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shboard" sheetId="1" r:id="rId4"/>
    <sheet state="visible" name="Portfolio" sheetId="2" r:id="rId5"/>
    <sheet state="visible" name="Filtered Portfolio" sheetId="3" r:id="rId6"/>
    <sheet state="visible" name="Transactions" sheetId="4" r:id="rId7"/>
    <sheet state="visible" name="Watchlist" sheetId="5" r:id="rId8"/>
  </sheets>
  <definedNames>
    <definedName hidden="1" localSheetId="2" name="_xlnm._FilterDatabase">'Filtered Portfolio'!$A$2:$AA$498</definedName>
    <definedName hidden="1" localSheetId="3" name="_xlnm._FilterDatabase">Transactions!$A$2:$X$2885</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1">
      <text>
        <t xml:space="preserve">Currency:
Choose a currency to look at the numbers in an overall currency. This is for consistency purposes as there might be some investors who invest in multiple currencies or want to see their transactions, portfolio and dashboard numbers in different currencies. </t>
      </text>
    </comment>
    <comment authorId="0" ref="B4">
      <text>
        <t xml:space="preserve">Total Portfolio Return:
Includes Realised and Unrealised P/L</t>
      </text>
    </comment>
    <comment authorId="0" ref="N17">
      <text>
        <t xml:space="preserve">Signal:
Calculated by adding buy and sell factors to the conditions.
Buy at 50% Factor: When the difference between 52-Week High and Low is 50% or less of the 52-Week Low then it's a buy.
Sell at 85% Factor: When the difference between 52-Week High and Low is 85% or higher of the 52-Week High then it's a sell.
Change the factor by entering your desired percentage in the formulas.</t>
      </text>
    </comment>
    <comment authorId="0" ref="B19">
      <text>
        <t xml:space="preserve">CAGR:
Compound Annual Growth Rate calculation to understand your returns on a yearly basis. 
The calculation uses YEARFRAC to convert the amount of time you've been investing for to a decimal for more precise short-term results. Feel free to change the calculation to whole year numbers if you prefer.</t>
      </text>
    </comment>
    <comment authorId="0" ref="B21">
      <text>
        <t xml:space="preserve">Stats:
All statistics in this table will change based on the Start and End Date chosen.</t>
      </text>
    </comment>
    <comment authorId="0" ref="B23">
      <text>
        <t xml:space="preserve">Select End Date:
Has TODAY() formula but you can delete it and enter a custom date.</t>
      </text>
    </comment>
    <comment authorId="0" ref="B34">
      <text>
        <t xml:space="preserve">Approx. Dividend Yield:
This is an approximate taken by dividing the total dividend income and the portfolio value. It is an approximate as not all investments in the portfolio pay dividends. For a better analysis on dividend or crypto interest income check the Income Breakdown table or access the in-depth Planet Finance Dividend Tracker.</t>
      </text>
    </comment>
    <comment authorId="0" ref="B50">
      <text>
        <t xml:space="preserve">Platform:
If you have more platforms than the available space make sure to add more rows after row 63 and then drag down each of the formulas from C:L as the formulas in this template only reach row 62. </t>
      </text>
    </comment>
    <comment authorId="0" ref="N65">
      <text>
        <t xml:space="preserve">Crypto Breakdown:
If you have more platforms than the available space make sure to add more columns after column U and then drag across each of the formulas from 066:O101 as the formulas in this template only reach column U.</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Asset Name:
Asset Name taken from 'Transactions' automatically. If the web-scraping for cryptocurrencies is not working please refresh this page. If it persists add a "/" (or remove it) at the end of the asset name in 'Transactions' or manually in the 'Portfolio's' corresponding row.</t>
      </text>
    </comment>
    <comment authorId="0" ref="E2">
      <text>
        <t xml:space="preserve">Current Price:
Prices for Stablecoins will remain the same when changing the currency of the tracker. Unfortunately, Google Finance does not convert Stablecoins pairs, therefore, the formula simply shows the current price as per coinmarketcap.com which is always in USD. </t>
      </text>
    </comment>
    <comment authorId="0" ref="G2">
      <text>
        <t xml:space="preserve">Trendy Chart:
Feel free to change the number in cell F2 to see the price trend of your desired period.
Some cryptocurrencies might not show the Trendy Chart as Google Finance has not added them to their GOOGLEFINANCE(x,"price") data base.</t>
      </text>
    </comment>
    <comment authorId="0" ref="Q2">
      <text>
        <t xml:space="preserve">Realised P/L:
Calculation: Sell + Dividends - Buy - DRIP + Cost + Stablecoin Buy.
This calculation adds back Cost so the realised figure might not be entirely precise due to the changing nature of Avg. Purchase Price and Cost when you buy at new prices or get Crypto Interest.
Currently working on a formula that will make this more precise.</t>
      </text>
    </comment>
    <comment authorId="0" ref="S2">
      <text>
        <t xml:space="preserve">Return:
Feel free to change the number in cell O2 to see the price change of your desired period to today.</t>
      </text>
    </comment>
    <comment authorId="0" ref="U2">
      <text>
        <t xml:space="preserve">Benchmark:
You can enter any ticker available in Google Finance to use as a benchmark.</t>
      </text>
    </comment>
    <comment authorId="0" ref="Y2">
      <text>
        <t xml:space="preserve">Target Weight:
Enter your desired target weight per investment. Cell U2 will show the total of your target weights. 
This will also be automatically added up per asset class in the 'Asset Class Target Weight' (Column Y) as a guide of what is the target weight per asset class. </t>
      </text>
    </comment>
    <comment authorId="0" ref="AS2">
      <text>
        <t xml:space="preserve">Realised P/L:
Calculation: Sell + Dividends - Buy - DRIP + Cost + Stablecoin Buy.
This calculation adds back Cost so the realised figure might not be entirely precise due to the changing nature of Avg. Purchase Price and Cost when you buy at new prices or get Crypto Interest.</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Filtered Portfolio:
This tab works as a filter for the 'Portfolio' tab. Unfortunately adding a filter in the main 'Portfolio' tab will break the formulas so this tab is a direct copy that you can manipulate without a problem. 
Every time you create add or remove an investment from 'Transactions' you will need to refresh the filter. For example, 'Current Value' (column J) is currently filtered from Z-A excluding blanks. If you add a new investment simply click the filter icon in J and click OK again. This will refresh the filter and you will see the new investment in the filtered view.</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Transactions:
Transactions in this tracker are a manual process that can't be skipped. You must enter every movement within each account to get the most precise results. For a future generation tracker, will be looking to implement a template to capture different fields when you dump a csv export from any broker. Open to suggestions. </t>
      </text>
    </comment>
    <comment authorId="0" ref="B2">
      <text>
        <t xml:space="preserve">Currency:
Make sure to enter the currency that you are using to buy an Asset. This is the currency that will be used as a basis for the overall currency conversion of the whole tracker.</t>
      </text>
    </comment>
    <comment authorId="0" ref="E2">
      <text>
        <t xml:space="preserve">Asset Name:
Column used for crypto as you need the crypto name for the web-scraping function to get the current price. Web-scraping might have lag issues so if you get an error in the crypto price in 'Portfolio' either add a "/" (or remove it) at the end of the Asset Name to refresh the IMPORTHTML. 
This column is also useful for the Crypto Breakdown table if you want to know your overall holding for a specific crypto if you bought it in different currencies.
If you don't know the name to use in 'Asset Name' please go to https://coinmarketcap.com/ and click the crypto that you want to add to the tracker. Look at the URL and enter the name shown after "currencies/" in the URL. 
For example, if you bought SHIBA INU look at the URL (https://coinmarketcap.com/currencies/shiba-inu/). You should enter shiba-inu as the Asset Name in the Buy order. 
You can also add the Asset name when entering Transfers, Crypto Interest, or Sell orders but this will be irrelevant to the formulas and just beneficial for your tracking.</t>
      </text>
    </comment>
    <comment authorId="0" ref="H2">
      <text>
        <t xml:space="preserve">Action:
Only use the 'Cash Deposit' and 'Cash Withdrawal' actions when entering cash transactions for the platform. Remember you need to enter cash into a platform before buying assets. The transactions should follow this sequence for the cash balances to be precise in the Dashboard.
When entering a 'Transfer Send' or 'Transfer Deposit' you only need to enter the quantity transferred without a price. Make sure to enter the Platform correctly so that the formulas understand where it's coming from and going to.
For cash dividends use the 'Dividend' action. The format for cash dividends is to always enter 1 in the Quantity column and then the actual cash dividend received in the 'Price / Amount' column.
For DRIP dividends enter the number of shares repurchased in the 'Quantity' column and then the share price at repurchase in the 'Price / Amount' column. The dividend amount should be automatically calculated in the Total column.
This tracker assumes all sell orders are turned into cash.</t>
      </text>
    </comment>
    <comment authorId="0" ref="J2">
      <text>
        <t xml:space="preserve">Price / Amount:
Make sure to enter the buy or sell price in the currency you are using in your platform. No need to enter a price for 'Transfer Send', 'Transfer Deposit', or 'Crypto Interest' transactions.
For 'Cash Deposit' or 'Cash Withdrawal' simply enter 1 in Quantity and then the amount of cash in the 'Price / Amount' column.</t>
      </text>
    </comment>
    <comment authorId="0" ref="L2">
      <text>
        <t xml:space="preserve">Notes:
Use to enter any notes you want. 
IMPORTANT!
When buying crypto with a Stablecoin, please enter 'Stablecoin' in Notes. This is for the formulas to capture the correct cash available. 
Also, SPLITS are not calculated for old transactions so if there is ever a SPLIT you want to account for you will need to do what was done for the AAPL investment in row 4. A SPLIT of 4:1 means you need to divide the price by 4 and multiply the # of shares by 4. </t>
      </text>
    </comment>
    <comment authorId="0" ref="M2">
      <text>
        <t xml:space="preserve">Total:
The standard 'Total' column function only subtracts brokerage fees from 'Cash Withdrawal' and 'Sell' orders:
=IF(ISBLANK(A3),"",IFERROR(IF(H3="Sell",(I3*J3)-K3,IF(H3="Cash Withdrawal",(I3*J3)-K3,(I3*J3))),0))
If you want to deduct brokerage fees from Buy orders as well. enter the below formula in cell M3 and then drag down:
=IF(ISBLANK(A3),"",IFERROR((I3*J3)-K3,"0"))
If you want to add the brokerage fee to Buy orders enter the below formula in cell M3 and then drag down:
=IF(ISBLANK(A3),"",IFERROR(IF(H3="Sell",(I3*J3)-K3,IF(H3="Cash Withdrawal",(I3*J3)-K3,IF(H3="Buy",(I3*J3)+K3,(I3*J3)))),0))
If you want to add brokerage fee for Buy Orders and deduct brokerage fee from Dividends (could be used for tax), enter the below formula in cell M3 and then drag down:
=IF(ISBLANK(A3),"",IFERROR(IF(OR(H3="Sell",H3="Dividend",H3="Cash Withdrawal"),I3*J3-K3,IF(H3="Buy",I3*J3+K3,ABS(I3*J3))),0))</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
      <text>
        <t xml:space="preserve">Enter the ticker name for your stock/ETF/crypto available in Google Finance (https://www.google.com/finance/)
If you're adding crypto to your Watchlist that is not Bitcoin, Ethereum, Litecoin, or Bitcoin Cash, go to https://coinmarketcap.com/ and click the crypto that you want to add to the tracker. Look at the URL and enter the name shown after "currencies/" in the URL. 
For example, if you want to add SHIBA INU look at the URL (https://coinmarketcap.com/currencies/shiba-inu/). You should enter Shiba-inu as the Ticker. </t>
      </text>
    </comment>
    <comment authorId="0" ref="I1">
      <text>
        <t xml:space="preserve">Cryptocurrency prices are shown in USD. To change the currency pair enter your desired currency in cell C13.
If you're only adding Bitcoin, Ethereum, Litcoin, or Bitcoin Cash to the Watchlist, feel free to enter the ticker with your desired currency (E.g. ETHUSD for Ethereum in USD). 
This will show you the current price from Google's data base instead of coinmarketcap.com as well as the the trendy chart because these 4 cryptos have tickers that are available in the parameters of =GOOGLEFINANCE.</t>
      </text>
    </comment>
    <comment authorId="0" ref="J1">
      <text>
        <t xml:space="preserve">Buy Signal: If % Off Buy Price is negative then it's at a discount from target buy. Lower = better.
Sell Signal: If % Off Buy Price is positive then the higher return if you sell it. Higher = better.
Hold Signal: Means the current price hasn't reached target sell. The % Off Buy Price for this one simply compares the current price from the target buy to see how much it has increased.</t>
      </text>
    </comment>
    <comment authorId="0" ref="S1">
      <text>
        <t xml:space="preserve">Buy at 50% Factor: When the difference between 52-Week High and Low is 50% or less of the 52-Week Low then it's a buy.
Change the factor by entering your desired percentage in cell S15</t>
      </text>
    </comment>
    <comment authorId="0" ref="U1">
      <text>
        <t xml:space="preserve">Sell at 85% Factor: When the difference between 52-Week High and Low is 85% or higher of the 52-Week High then it's a sell.
Change the factor by entering your desired percentage in cell U15</t>
      </text>
    </comment>
    <comment authorId="0" ref="AD1">
      <text>
        <t xml:space="preserve">Sector automation has been set for US stocks only. If there is an "Enter Manually" message it means the function could not find a sector for your ticker most likely because it's international. Therefore, you need to enter it manually or adjust a formula to capture it from another website.</t>
      </text>
    </comment>
    <comment authorId="0" ref="D13">
      <text>
        <t xml:space="preserve">.INX is the symbol of S&amp;P500</t>
      </text>
    </comment>
    <comment authorId="0" ref="B15">
      <text>
        <t xml:space="preserve">Cryptocurrency prices from coinmarketcap.com are shown in USD. To change the currency pair enter your desired currency in cell C13.</t>
      </text>
    </comment>
    <comment authorId="0" ref="B17">
      <text>
        <t xml:space="preserve">Enter the ticker name for your stock/ETF/crypto available in Google Finance (https://www.google.com/finance/)
If you're adding crypto to your Watchlist that is not Bitcoin, Ethereum, Litecoin, or Bitcoin Cash, go to https://coinmarketcap.com/ and click the crypto that you want to add to the tracker. Look at the URL and enter the name shown after "currencies/" in the URL. 
For example, if you want to add SHIBA INU look at the URL (https://coinmarketcap.com/currencies/shiba-inu/). You should enter Shiba-inu as the Ticker. </t>
      </text>
    </comment>
    <comment authorId="0" ref="I17">
      <text>
        <t xml:space="preserve">Cryptocurrency prices are shown in USD. To change the currency pair enter your desired currency in cell C13.
If you're only adding Bitcoin, Ethereum, Litcoin, or Bitcoin Cash to the Watchlist, feel free to enter the ticker with your desired currency (E.g. ETHUSD for Ethereum in USD). 
This will show you the current price from Google's data base instead of coinmarketcap.com as well as the the trendy chart because these 4 cryptos have tickers that are available in the parameters of =GOOGLEFINANCE.</t>
      </text>
    </comment>
    <comment authorId="0" ref="J17">
      <text>
        <t xml:space="preserve">Buy Signal: If % Off Buy Price is negative then it's at a discount from target buy. Lower = better.
Sell Signal: If % Off Buy Price is positive then the higher return if you sell it. Higher = better.
Hold Signal: Means the current price hasn't reached target sell. The % Off Buy Price for this one simply compares the current price from the target buy to see how much it has increased.</t>
      </text>
    </comment>
    <comment authorId="0" ref="S17">
      <text>
        <t xml:space="preserve">Buy at 50% Factor: When the difference between 52-Week High and Low is 50% or less of the 52-Week Low then it's a buy.
Change the factor by entering your desired percentage in cell S15</t>
      </text>
    </comment>
    <comment authorId="0" ref="U17">
      <text>
        <t xml:space="preserve">Sell at 85% Factor: When the difference between 52-Week High and Low is 85% or higher of the 52-Week High then it's a sell.
Change the factor by entering your desired percentage in cell U15</t>
      </text>
    </comment>
    <comment authorId="0" ref="AD17">
      <text>
        <t xml:space="preserve">Sector automation has been set for US stocks only. If there is an "Enter Manually" message it means the function could not find a sector for your ticker most likely because it's international. Therefore, you need to enter it manually or adjust a formula to capture it from another website.</t>
      </text>
    </comment>
    <comment authorId="0" ref="B18">
      <text>
        <t xml:space="preserve">2024.05.28 in USD price
179.24 price at the moment
Previous Close
173.74
Open
174.81
Bid
--
Ask
--
Day's Range
173.73 - 180.08
52 Week Range
138.80 - 299.29
Volume
65,584,478
Avg. Volume
96,260,890
Market Cap (intraday)
571.632B
Beta (5Y Monthly)
2.41
PE Ratio (TTM)
45.84
EPS (TTM)
3.91
Earnings Date
Jul 17, 2024 - Jul 22, 2024
Forward Dividend &amp; Yield
--
Ex-Dividend Date
--
1y Target Est
178.97</t>
      </text>
    </comment>
    <comment authorId="0" ref="B27">
      <text>
        <t xml:space="preserve">Previous Close
189.99
Open
189.51
Bid
190.31 x 200
Ask
190.43 x 200
Day's Range
189.51 - 192.25
52 Week Range
164.08 - 199.62
Volume
52,538,500
Avg. Volume
62,739,854
Market Cap (intraday)
2.918T
Beta (5Y Monthly)
1.26
PE Ratio (TTM)
29.59
EPS (TTM)
6.43
Earnings Date
Aug 1, 2024 - Aug 5, 2024
Forward Dividend &amp; Yield
1.00 (0.53%)
Ex-Dividend Date
May 10, 2024
1y Target Est
203.54</t>
      </text>
    </comment>
    <comment authorId="0" ref="C48">
      <text>
        <t xml:space="preserve">Suggested by Norbert, on 2024.03.27                                                                                                                                                                                                                                                                                                                                                                                                                                                          Apertura        
2,79
Massimo        
2,85
Minimo        
2,74
Capitalizz.        
6,49 Mrd
Rapp. P/E        
-
Div./prezzo        
-
Max 52 sett.        
8,87
Min 52 sett.        
2,54</t>
      </text>
    </comment>
    <comment authorId="0" ref="C49">
      <text>
        <t xml:space="preserve">2024.03.27 Competitor of TESLA, Chinese / 
KEY DATA
OPEN
$26.50
DAY RANGE
25.45 - 26.80
52 WEEK RANGE
21.80 - 36.27
MARKET CAP
$83.65B
SHARES OUTSTANDING
1.1B
PUBLIC FLOAT
1.01B
BETA
N/A
REV. PER EMPLOYEE
$149.13K
P/E RATIO
17.82
EPS
$1.45
YIELD
N/A
DIVIDEND
N/A
EX-DIVIDEND DATE
N/A
SHORT INTEREST
N/A
% OF FLOAT SHORTED
N/A
AVERAGE VOLUME
167.94K                                                                                                                                                   </t>
      </text>
    </comment>
    <comment authorId="0" ref="C50">
      <text>
        <t xml:space="preserve">2024.03.27 KEY DATA
OPEN
$290.49
DAY RANGE
281.61 - 290.90
52 WEEK RANGE
176.30 - 380.84
MARKET CAP
$92.63B
SHARES OUTSTANDING
323.1M
PUBLIC FLOAT
318.91M
BETA
1.01
REV. PER EMPLOYEE
$539.68K
P/E RATIO
44.07
EPS
$6.40
YIELD
N/A
DIVIDEND
N/A
EX-DIVIDEND DATE
N/A
SHORT INTEREST
13.43M 03/15/24
% OF FLOAT SHORTED
4.21%
AVERAGE VOLUME
5.75M</t>
      </text>
    </comment>
    <comment authorId="0" ref="C51">
      <text>
        <t xml:space="preserve">2024.03.27 KEY DATA
OPEN
$179.80
DAY RANGE
178.81 - 180.24
52 WEEK RANGE
130.96 - 182.89
MARKET CAP
$316.53B
SHARES OUTSTANDING
1.77B
PUBLIC FLOAT
1.76B
BETA
0.58
REV. PER EMPLOYEE
$1.086M
P/E RATIO
65.96
EPS
$2.72
YIELD
3.46%
DIVIDEND
$1.55
EX-DIVIDEND DATE
Apr 12, 2024
SHORT INTEREST
14.69M 03/15/24
% OF FLOAT SHORTED
0.83%
AVERAGE VOLUME
5.49M</t>
      </text>
    </comment>
    <comment authorId="0" ref="C52">
      <text>
        <t xml:space="preserve">2024.03.07 KEY DATA
OPEN
$128.33
DAY RANGE
127.29 - 128.62
52 WEEK RANGE
75.56 - 138.28
MARKET CAP
$577.6B
SHARES OUTSTANDING
3.44B
PUBLIC FLOAT
3.38B
BETA
0.55
REV. PER EMPLOYEE
$531.80K
P/E RATIO
47.31
EPS
$2.70
YIELD
0.76%
DIVIDEND
$0.88
EX-DIVIDEND DATE
Aug 18, 2023
SHORT INTEREST
4.11M 03/15/24
% OF FLOAT SHORTED
0.12%
AVERAGE VOLUME
5.02M
PERFORMANCE
5 Day        
-1.93%
1 Month        
5.18%
3 Month        
23.30%
YTD        
23.58%
1 Year        
63.29%
</t>
      </text>
    </comment>
    <comment authorId="0" ref="C53">
      <text>
        <t xml:space="preserve">On 2024.05.28 in USD price
28.30 USD
Previous Close
28.88
Open
28.80
Bid
28.28 x 3200
Ask
28.28 x 2900
Day's Range
28.13 - 28.88
52 Week Range
25.20 - 40.37
Volume
28,023,838
Avg. Volume
42,557,586
Market Cap (intraday)
160.364B
Beta (5Y Monthly)
0.58
PE Ratio (TTM)
--
EPS (TTM)
-0.05
Earnings Date
Jul 30, 2024 - Aug 5, 2024
Forward Dividend &amp; Yield
1.68 (5.82%)
Ex-Dividend Date
May 9, 2024
1y Target Est
31.46</t>
      </text>
    </comment>
    <comment authorId="0" ref="C63">
      <text>
        <t xml:space="preserve">20204.03.27 
KEY DATA
OPEN
$53.00
DAY RANGE
52.86 - 53.77
52 WEEK RANGE
45.04 - 64.18
MARKET CAP
$45.3B
SHARES OUTSTANDING
861.12M
PUBLIC FLOAT
860.12M
BETA
0.95
REV. PER EMPLOYEE
$9.796M
P/E RATIO
42.60
EPS
$1.26
YIELD
5.75%
DIVIDEND
$0.26
EX-DIVIDEND DATE
Mar 28, 2024
SHORT INTEREST
10.06M 03/15/24
% OF FLOAT SHORTED
1.17%
AVERAGE VOLUME
7.11M
PERFORMANCE
5 Day        
2.54%
1 Month        
3.36%
3 Month        
-7.29%
YTD        
-6.36%
1 Year        
-13.33%</t>
      </text>
    </comment>
    <comment authorId="0" ref="C64">
      <text>
        <t xml:space="preserve">2024.03.27
KEY DATA
OPEN
$29.36
DAY RANGE
29.30 - 29.76
52 WEEK RANGE
26.63 - 34.05
MARKET CAP
$30.39B
SHARES OUTSTANDING
1.04B
PUBLIC FLOAT
1.04B
BETA
1.17
REV. PER EMPLOYEE
$129.000M
P/E RATIO
12.00
EPS
$2.47
YIELD
5.60%
DIVIDEND
$0.41
EX-DIVIDEND DATE
Mar 20, 2024
SHORT INTEREST
21.07M 03/15/24
% OF FLOAT SHORTED
2.03%
AVERAGE VOLUME
6.13M
PERFORMANCE
5 Day        
3.23%
1 Month        
0.64%
3 Month        
-6.51%
YTD        
-6.68%
1 Year        
-6.15%</t>
      </text>
    </comment>
    <comment authorId="0" ref="C65">
      <text>
        <t xml:space="preserve">2024.03.27 
KEY DATA
OPEN
$55.11
DAY RANGE
55.11 - 55.98
52 WEEK RANGE
50.28 - 76.59
MARKET CAP
$12.16B
SHARES OUTSTANDING
218.67M
PUBLIC FLOAT
215.91M
BETA
0.90
REV. PER EMPLOYEE
$8.839M
P/E RATIO
16.94
EPS
$3.30
YIELD
6.19%
DIVIDEND
$0.87
EX-DIVIDEND DATE
Mar 27, 2024
SHORT INTEREST
5.64M 03/15/24
% OF FLOAT SHORTED
2.61%
AVERAGE VOLUME
1.43M
PERFORMANCE
5 Day        
-0.60%
1 Month        
0.63%
3 Month        
-14.59%
YTD        
-13.62%
1 Year        
-26.89%</t>
      </text>
    </comment>
    <comment authorId="0" ref="C88">
      <text>
        <t xml:space="preserve">At 2024.04.10
Previous Close	189.69 USD
Open	187.73
Bid	187.77 x 200
Ask	187.97 x 100
Day's Range	186.56 - 189.39
52 Week Range	185.19 - 229.72
Volume	353,995
Avg. Volume	578,027
Market Cap	18.955B
Beta (5Y Monthly)	0.87
PE Ratio (TTM)	23.81
EPS (TTM)	7.89
Earnings Date	Apr 25, 2024
Forward Dividend &amp; Yield	N/A (N/A)
Ex-Dividend Date	May 05, 2011
1y Target Est	225.50</t>
      </text>
    </comment>
    <comment authorId="0" ref="C89">
      <text>
        <t xml:space="preserve">As of 2024.04.10 USD
Previous Close	3.4500
Open	3.4200
Bid	3.3100 x 800
Ask	3.3200 x 6300
Day's Range	3.2700 - 3.4600
52 Week Range	3.2700 - 7.9500
Volume	21,388,320
Avg. Volume	14,678,893
Market Cap	12.757B
Beta (5Y Monthly)	1.06
PE Ratio (TTM)	10.37
EPS (TTM)	0.3200
Earnings Date	Apr 30, 2024
Forward Dividend &amp; Yield	0.11 (2.72%)
Ex-Dividend Date	Feb 08, 2024
1y Target Est	4.56
</t>
      </text>
    </comment>
    <comment authorId="0" ref="C90">
      <text>
        <t xml:space="preserve">Ares Capital Corporation Common Stock (ARCC)
Nasdaq Listed
$20.34 -0.19 (-0.93%)
Bid: $20.34 x 1208 Ask: $20.35 x 2100
Volume: 2,444,480
APR 10, 2024 3:14 PM ET
ARCC Dividend History
 EX-DIVIDEND DATE
 03/14/2024
 DIVIDEND YIELD
 9.35%
 ANNUAL DIVIDEND
 $1.92
 P/E RATIO
 7.69</t>
      </text>
    </comment>
    <comment authorId="0" ref="C91">
      <text>
        <t xml:space="preserve">As of 2024.04.10 USD
Previous Close	16.60
Open	16.54
Bid	16.58 x 100
Ask	16.63 x 100
Day's Range	16.51 - 16.61
52 Week Range	12.78 - 16.77
Volume	450,354
Avg. Volume	896,285
Market Cap	2.829B
Beta (5Y Monthly)	0.59
PE Ratio (TTM)	9.11
EPS (TTM)	1.82
Earnings Date	May 06, 2024
Forward Dividend &amp; Yield	1.56 (9.54%)
Ex-Dividend Date	Feb 29, 2024
1y Target Est	16.70
</t>
      </text>
    </comment>
    <comment authorId="0" ref="C92">
      <text>
        <t xml:space="preserve">iShares MSCI India UCITS ETF USD (Acc)
ISIN IE00BZCQB185   |  Ticker QDV5 
TER 
0.65% p.a.
Distribution policy 
Accumulating
Replication 
Sampling
Fund size 
4,026 m 
Holdings 
136
Overview
Quote
EUR 8.48
18/04/2024 21:13:40 (gettex)
+0.03|+0.36%
daily change
Buy|Sell
8.50|8.46
Spread
0.04|0.47%
52 weeks low/high
6.18
8.64
</t>
      </text>
    </comment>
    <comment authorId="0" ref="C93">
      <text>
        <t xml:space="preserve">Franklin FTSE India UCITS ETF
ISIN IE00BHZRQZ17   |  Ticker FLXI
TER 
0.19% p.a.
Distribution policy 
Accumulating
Replication 
Full replication
Fund size 
620 m 
Holdings 
213
Overview
Quote
EUR 39.23
18/04/2024 (XETRA)
-0.04|-0.10%
daily change
52 weeks low/high
28.23
39.92
</t>
      </text>
    </comment>
    <comment authorId="0" ref="C96">
      <text>
        <t xml:space="preserve">As of 2024.05.21 USD
NYSE - Nasdaq Real Time Price
USD
Brown &amp; Brown, Inc. (BRO)
90.05
+0.19
(+0.21%)
Previous Close
89.86
Open
90.07
Bid
90.12 x 800
Ask
90.14 x 1100
Day's Range
89.89 - 90.50
52 Week Range
61.71 - 90.50
Volume
427,673
Avg. Volume
1,180,106
Market Cap (intraday)
25.692B
Beta (5Y Monthly)
0.80
PE Ratio (TTM)
27.80
EPS (TTM)
3.24
Earnings Date
Jul 22, 2024 - Jul 26, 2024
Forward Dividend &amp; Yield
0.52 (0.58%)
Ex-Dividend Date
May 3, 2024
1y Target Est
90.43</t>
      </text>
    </comment>
    <comment authorId="0" ref="C97">
      <text>
        <t xml:space="preserve">As of 2024.05.21 AUD
ASX - Delayed Quote
•
AUD
Kelly Partners Group Holdings Limited (KPG.AX)
7.48
+0.66
(+9.68%)
Previous Close
6.82
Open
7.09
Bid
7.18 x --
Ask
7.48 x --
Day's Range
6.88 - 7.48
52 Week Range
3.93 - 7.48
Volume
105,304
Avg. Volume
35,574
Market Cap (intraday)
336.6M
Beta (5Y Monthly)
0.71
PE Ratio (TTM)
106.86
EPS (TTM)
0.07
Earnings Date
Aug 9, 2024 - Aug 13, 2024
Forward Dividend &amp; Yield
0.05 (0.70%)
Ex-Dividend Date
Feb 20, 2024
1y Target Est
--</t>
      </text>
    </comment>
    <comment authorId="0" ref="C98">
      <text>
        <t xml:space="preserve">As of 2024.05.21 USD
NasdaqGS - Nasdaq Real Time Price
•
USD
Medpace Holdings, Inc. (MEDP)
394.93
-2.32
(-0.58%)
As of 2:05 PM EDT. Market Open.
Previous Close
397.25
Open
397.00
Bid
394.39 x 100
Ask
395.71 x 100
Day's Range
392.64 - 397.10
52 Week Range
197.39 - 421.00
Volume
86,832
Avg. Volume
245,800
Market Cap (intraday)
12.24B
Beta (5Y Monthly)
1.40
PE Ratio (TTM)
40.27
EPS (TTM)
9.81
Earnings Date
Jul 22, 2024 - Jul 26, 2024
Forward Dividend &amp; Yield
--
Ex-Dividend Date
--
1y Target Est
448.60</t>
      </text>
    </comment>
    <comment authorId="0" ref="C99">
      <text>
        <t xml:space="preserve">On 2024.05.28 in USD price
215.37 USD
Previous Close
215.21
Open
214.78
Bid
214.36 x 800
Ask
214.44 x 800
Day's Range
213.97 - 216.80
52 Week Range
181.85 - 262.49
Volume
3,067,504
Avg. Volume
2,329,757
Market Cap (intraday)
123.233B
Beta (5Y Monthly)
1.14
PE Ratio (TTM)
17.26
EPS (TTM)
12.48
Earnings Date
Aug 20, 2024
Forward Dividend &amp; Yield
4.40 (2.04%)
Ex-Dividend Date
Apr 23, 2024
1y Target Est
252.22
</t>
      </text>
    </comment>
    <comment authorId="0" ref="C100">
      <text>
        <t xml:space="preserve">On 2024.05.28 in USD price
100.05 USD
Previous Close
99.93
Open
99.34
Bid
99.84 x 900
Ask
99.93 x 800
Day's Range
99.05 - 100.12
52 Week Range
87.23 - 101.46
Volume
2,536,205
Avg. Volume
5,954,106
Market Cap (intraday)
155.534B
Beta (5Y Monthly)
0.62
PE Ratio (TTM)
19.54
EPS (TTM)
5.12
Earnings Date
Jul 23, 2024
Forward Dividend &amp; Yield
5.20 (5.20%)
Ex-Dividend Date
Mar 20, 2024
1y Target Est
109.52</t>
      </text>
    </comment>
    <comment authorId="0" ref="C101">
      <text>
        <t xml:space="preserve">On 2024.05.28 in USD price
92 USD
Previous Close
91.75
Open
91.74
Bid
91.98 x 800
Ask
91.95 x 1100
Day's Range
91.35 - 92.51
52 Week Range
88.66 - 123.39
Volume
8,591,219
Avg. Volume
9,759,267
Market Cap (intraday)
138.861B
Beta (5Y Monthly)
1.08
PE Ratio (TTM)
27.06
EPS (TTM)
3.40
Earnings Date
Jun 27, 2024 - Jul 1, 2024
Forward Dividend &amp; Yield
1.48 (1.61%)
Ex-Dividend Date
Jun 3, 2024
1y Target Est
108.9
</t>
      </text>
    </comment>
    <comment authorId="0" ref="C102">
      <text>
        <t xml:space="preserve">On 2024.05.28 in USD price
328.70 USD
Previous Close
325.10
Open
325.39
Bid
325.00 x 800
Ask
328.08 x 1100
Day's Range
324.48 - 330.95
52 Week Range
274.26 - 396.87
Volume
2,625,457
Avg. Volume
3,610,703
Market Cap (intraday)
325.944B
Beta (5Y Monthly)
1.01
PE Ratio (TTM)
22.03
EPS (TTM)
14.92
Earnings Date
Aug 13, 2024
Forward Dividend &amp; Yield
9.00 (2.77%)
Ex-Dividend Date
May 30, 2024
1y Target Est
381.20</t>
      </text>
    </comment>
    <comment authorId="0" ref="C103">
      <text>
        <t xml:space="preserve">On 2024.05.28 in USD price
163.11 USD
Previous Close
165.33
Open
164.49
Bid
162.87 x 800
Ask
162.78 x 900
Day's Range
162.26 - 164.76
52 Week Range
141.45 - 168.54
Volume
4,292,895
Avg. Volume
6,128,267
Market Cap (intraday)
384.962B
Beta (5Y Monthly)
0.42
PE Ratio (TTM)
26.65
EPS (TTM)
6.12
Earnings Date
Jul 30, 2024
Forward Dividend &amp; Yield
4.03 (2.44%)
Ex-Dividend Date
Apr 18, 2024
1y Target Est
171.82</t>
      </text>
    </comment>
    <comment authorId="0" ref="C104">
      <text>
        <t xml:space="preserve">On 2024.05.28 in USD price
159.04 USD
Previous Close
157.75
Open
158.12
Bid
159.23 x 800
Ask
159.31 x 900
Day's Range
157.95 - 159.42
52 Week Range
139.62 - 171.70
Volume
5,820,685
Avg. Volume
7,726,404
Market Cap (intraday)
290.852B
Beta (5Y Monthly)
1.11
PE Ratio (TTM)
14.63
EPS (TTM)
10.87
Earnings Date
Jul 26, 2024 - Jul 30, 2024
Forward Dividend &amp; Yield
6.52 (4.13%)
Ex-Dividend Date
May 16, 2024
1y Target Est
184.24</t>
      </text>
    </comment>
    <comment authorId="0" ref="C105">
      <text>
        <t xml:space="preserve">On 2024.05.28 in USD price
213.08 USD
Previous Close
210.36
Open
217.10
Bid
213.04 x 100
Ask
213.22 x 100
Day's Range
211.30 - 217.38
52 Week Range
104.33 - 217.38
Volume
12,359,164
Avg. Volume
8,483,016
Market Cap (intraday)
237.797B
Beta (5Y Monthly)
1.33
PE Ratio (TTM)
28.37
EPS (TTM)
7.51
Earnings Date
Jul 31, 2024 - Aug 5, 2024
Forward Dividend &amp; Yield
3.40 (1.62%)
Ex-Dividend Date
May 30, 2024
1y Target Est
185.40
</t>
      </text>
    </comment>
    <comment authorId="0" ref="C106">
      <text>
        <t xml:space="preserve">On 2024.05.28 in USD price
429.92 USD
Previous Close
435.57
Open
430.99
Bid
429.88 x 100
Ask
430.12 x 100
Day's Range
427.14 - 433.31
52 Week Range
350.60 - 477.71
Volume
1,580,835
Avg. Volume
2,480,329
Market Cap (intraday)
206.669B
Beta (5Y Monthly)
0.95
PE Ratio (TTM)
33.35
EPS (TTM)
12.89
Earnings Date
--
Forward Dividend &amp; Yield
5.56 (1.28%)
Ex-Dividend Date
Jun 4, 2024
1y Target Est
469.99
</t>
      </text>
    </comment>
    <comment authorId="0" ref="C107">
      <text>
        <t xml:space="preserve">On 2024.05.28 in USD price
144.38 USD 
Previous Close
146.97
Open
146.79
Bid
144.41 x 1400
Ask
144.43 x 1200
Day's Range
144.15 - 146.79
52 Week Range
143.13 - 175.97
Volume
7,920,428
Avg. Volume
7,519,475
Market Cap (intraday)
347.476B
Beta (5Y Monthly)
0.55
PE Ratio (TTM)
21.45
EPS (TTM)
6.73
Earnings Date
Jul 17, 2024
Forward Dividend &amp; Yield
4.96 (3.37%)
Ex-Dividend Date
May 20, 2024
1y Target Est
172.72</t>
      </text>
    </comment>
    <comment authorId="0" ref="C108">
      <text>
        <t xml:space="preserve">On 2024.05.28 in USD price
114.86 USD
Previous Close
113.42
Open
113.52
Bid
114.89 x 1100
Ask
114.95 x 800
Day's Range
113.07 - 115.11
52 Week Range
95.77 - 123.75
Volume
11,588,800
Avg. Volume
18,058,570
Market Cap (intraday)
515.254B
Beta (5Y Monthly)
0.95
PE Ratio (TTM)
14.09
EPS (TTM)
8.15
Earnings Date
Jul 26, 2024 - Jul 30, 2024
Forward Dividend &amp; Yield
3.80 (3.35%)
Ex-Dividend Date
May 14, 2024
1y Target Est
132.88</t>
      </text>
    </comment>
  </commentList>
</comments>
</file>

<file path=xl/sharedStrings.xml><?xml version="1.0" encoding="utf-8"?>
<sst xmlns="http://schemas.openxmlformats.org/spreadsheetml/2006/main" count="361" uniqueCount="167">
  <si>
    <t xml:space="preserve">Portfolio Tracker </t>
  </si>
  <si>
    <t>Currency</t>
  </si>
  <si>
    <t>EUR</t>
  </si>
  <si>
    <t>Trendy Chart</t>
  </si>
  <si>
    <t>Screener</t>
  </si>
  <si>
    <t>AAPL</t>
  </si>
  <si>
    <t>TSLA</t>
  </si>
  <si>
    <t>INTC</t>
  </si>
  <si>
    <t>PLTR</t>
  </si>
  <si>
    <t>PYPL</t>
  </si>
  <si>
    <t>Portfolio Market Value</t>
  </si>
  <si>
    <t>Total Portfolio Return</t>
  </si>
  <si>
    <t>Name</t>
  </si>
  <si>
    <t>Current Portfolio Return</t>
  </si>
  <si>
    <t>Ticker Currency</t>
  </si>
  <si>
    <t>Daily Portfolio Change</t>
  </si>
  <si>
    <t>Current Price</t>
  </si>
  <si>
    <t>Daily % Change</t>
  </si>
  <si>
    <t>Top Performer Today</t>
  </si>
  <si>
    <t>Worst Performer Today</t>
  </si>
  <si>
    <t>Daily Change</t>
  </si>
  <si>
    <t>Market Cap</t>
  </si>
  <si>
    <t>Top Performer Overall</t>
  </si>
  <si>
    <t>Worst Performer Overall</t>
  </si>
  <si>
    <t>Volume</t>
  </si>
  <si>
    <t>P/E Ratio</t>
  </si>
  <si>
    <t>Beta</t>
  </si>
  <si>
    <t>Account Value</t>
  </si>
  <si>
    <t>EPS</t>
  </si>
  <si>
    <t>Positions</t>
  </si>
  <si>
    <t>52-Week High</t>
  </si>
  <si>
    <t>Cash</t>
  </si>
  <si>
    <t>52-Week Low</t>
  </si>
  <si>
    <t>Unrealised P/L</t>
  </si>
  <si>
    <t>1-Year Return</t>
  </si>
  <si>
    <t>Realised P/L</t>
  </si>
  <si>
    <t>Signal</t>
  </si>
  <si>
    <t>Total P/L</t>
  </si>
  <si>
    <t>CAGR Since 1st Trade</t>
  </si>
  <si>
    <t>Individual Performance Screener</t>
  </si>
  <si>
    <t>Asset</t>
  </si>
  <si>
    <t>Cost</t>
  </si>
  <si>
    <t>Current Value</t>
  </si>
  <si>
    <t>Unrealised ROI</t>
  </si>
  <si>
    <t>Date</t>
  </si>
  <si>
    <t>Buy Price</t>
  </si>
  <si>
    <t>Close Price</t>
  </si>
  <si>
    <t>Stats</t>
  </si>
  <si>
    <t>BTCEUR</t>
  </si>
  <si>
    <t>Select Start Date</t>
  </si>
  <si>
    <t>Select End Date</t>
  </si>
  <si>
    <t>Cash Deposits</t>
  </si>
  <si>
    <t>Cash Withdrawals</t>
  </si>
  <si>
    <t>Net Deposit</t>
  </si>
  <si>
    <t># of Cash Deposits</t>
  </si>
  <si>
    <t># of Cash Withdrawals</t>
  </si>
  <si>
    <t>Fees</t>
  </si>
  <si>
    <t>Number of Trades</t>
  </si>
  <si>
    <t>Cash Dividends</t>
  </si>
  <si>
    <t>DRIP</t>
  </si>
  <si>
    <t>Total Dividend Income</t>
  </si>
  <si>
    <t>Approx. Dividend Yield</t>
  </si>
  <si>
    <t>Income Breakdown</t>
  </si>
  <si>
    <t>Return Hourly Salary</t>
  </si>
  <si>
    <t>Year</t>
  </si>
  <si>
    <t>2024</t>
  </si>
  <si>
    <t>Months</t>
  </si>
  <si>
    <t>Dividend Income</t>
  </si>
  <si>
    <t>Tax</t>
  </si>
  <si>
    <t>Dividend After-Tax</t>
  </si>
  <si>
    <t>Income Tax</t>
  </si>
  <si>
    <t>Crypto Interest Breakdown</t>
  </si>
  <si>
    <t>All</t>
  </si>
  <si>
    <t>Platform Breakdown</t>
  </si>
  <si>
    <t>Totals</t>
  </si>
  <si>
    <t>Total</t>
  </si>
  <si>
    <t>Platform</t>
  </si>
  <si>
    <t>Cash Available</t>
  </si>
  <si>
    <t>.</t>
  </si>
  <si>
    <t>← dot</t>
  </si>
  <si>
    <t>Average</t>
  </si>
  <si>
    <t>Portfolio per Cryptocurrency</t>
  </si>
  <si>
    <t>Crypto Breakdown per Platform</t>
  </si>
  <si>
    <t>Quantity</t>
  </si>
  <si>
    <t>Avg. Purchase Price</t>
  </si>
  <si>
    <t>Total Profit/Loss</t>
  </si>
  <si>
    <t>Investment Portfolio in Original Currencies</t>
  </si>
  <si>
    <t>Asset Name</t>
  </si>
  <si>
    <t>Ticker</t>
  </si>
  <si>
    <t>Current Price $</t>
  </si>
  <si>
    <t>Price €</t>
  </si>
  <si>
    <t>Tot Buy</t>
  </si>
  <si>
    <t>Tot Dividend</t>
  </si>
  <si>
    <t>Tot Sell</t>
  </si>
  <si>
    <t>Day Return</t>
  </si>
  <si>
    <t>.INX</t>
  </si>
  <si>
    <t>Benchmark Return</t>
  </si>
  <si>
    <t>Diff</t>
  </si>
  <si>
    <t>Actual Weight</t>
  </si>
  <si>
    <t>Asset Class</t>
  </si>
  <si>
    <t>Asset Class Actual Weight</t>
  </si>
  <si>
    <t>Asset Class Target Weight</t>
  </si>
  <si>
    <t>Sector</t>
  </si>
  <si>
    <t>Target Weight</t>
  </si>
  <si>
    <t>0,1%</t>
  </si>
  <si>
    <t>Transactions</t>
  </si>
  <si>
    <t>Rolling Cost Controls</t>
  </si>
  <si>
    <t>Currency Conversion</t>
  </si>
  <si>
    <t>Date Breakdown</t>
  </si>
  <si>
    <t>Asset Ticker</t>
  </si>
  <si>
    <t>Action</t>
  </si>
  <si>
    <t>Price / Amount</t>
  </si>
  <si>
    <t>Notes</t>
  </si>
  <si>
    <t>Total Cost</t>
  </si>
  <si>
    <t>Rolling Quantity</t>
  </si>
  <si>
    <t>Rolling Cost</t>
  </si>
  <si>
    <t>Day</t>
  </si>
  <si>
    <t>Month</t>
  </si>
  <si>
    <t>Realized P/L</t>
  </si>
  <si>
    <t>Binance</t>
  </si>
  <si>
    <t>Cash Deposit</t>
  </si>
  <si>
    <t>Bitcoin</t>
  </si>
  <si>
    <t>Crypto</t>
  </si>
  <si>
    <t>Buy</t>
  </si>
  <si>
    <t>Sell</t>
  </si>
  <si>
    <t>Interactive Brokers</t>
  </si>
  <si>
    <t>Tesla Inc</t>
  </si>
  <si>
    <t>Stock</t>
  </si>
  <si>
    <t>Information Technology</t>
  </si>
  <si>
    <t>XTB</t>
  </si>
  <si>
    <t>Apple</t>
  </si>
  <si>
    <t>MCD</t>
  </si>
  <si>
    <t>MCDonalds</t>
  </si>
  <si>
    <t>Degiro</t>
  </si>
  <si>
    <t>IBM</t>
  </si>
  <si>
    <t>NFLX</t>
  </si>
  <si>
    <t>Netflix</t>
  </si>
  <si>
    <t>MSFT</t>
  </si>
  <si>
    <t>Microsoft</t>
  </si>
  <si>
    <t>Manual Target Buy</t>
  </si>
  <si>
    <t>Manual Target Sell</t>
  </si>
  <si>
    <t>Signal for Manual</t>
  </si>
  <si>
    <t>Day Trend</t>
  </si>
  <si>
    <t>% Off Buy Price</t>
  </si>
  <si>
    <t>% Change</t>
  </si>
  <si>
    <t>1 Year Return</t>
  </si>
  <si>
    <t>% Off 52-Week Low</t>
  </si>
  <si>
    <t>% Off 52-Week High</t>
  </si>
  <si>
    <t>Target Buy at</t>
  </si>
  <si>
    <t>Target Sell at</t>
  </si>
  <si>
    <t>Link</t>
  </si>
  <si>
    <t>Parameter</t>
  </si>
  <si>
    <t>List of XPATHs</t>
  </si>
  <si>
    <t>//*[@id="__next"]/div[1]/div/div[2]/div/div[1]/div[2]/div/div[2]/div[1]/div/span</t>
  </si>
  <si>
    <t>//*[@id="__next"]/div[1]/div/div[2]/div/div[1]/div[2]/div/div[3]/div[1]/div[1]/div/div[2]/div</t>
  </si>
  <si>
    <t>Benchmark</t>
  </si>
  <si>
    <t>YTD Return</t>
  </si>
  <si>
    <t>Crypto Price in</t>
  </si>
  <si>
    <t>AUD</t>
  </si>
  <si>
    <t>Suggested by Norbert</t>
  </si>
  <si>
    <t>Suggested by Laura</t>
  </si>
  <si>
    <t>MGC</t>
  </si>
  <si>
    <t>IWF</t>
  </si>
  <si>
    <t>IWD</t>
  </si>
  <si>
    <t>SMCI</t>
  </si>
  <si>
    <t>Suggested by Anthony</t>
  </si>
  <si>
    <t>Suggested by Viliam</t>
  </si>
</sst>
</file>

<file path=xl/styles.xml><?xml version="1.0" encoding="utf-8"?>
<styleSheet xmlns="http://schemas.openxmlformats.org/spreadsheetml/2006/main" xmlns:x14ac="http://schemas.microsoft.com/office/spreadsheetml/2009/9/ac" xmlns:mc="http://schemas.openxmlformats.org/markup-compatibility/2006">
  <numFmts count="20">
    <numFmt numFmtId="164" formatCode="#&quot;-Day&quot;"/>
    <numFmt numFmtId="165" formatCode="&quot;$&quot;#,##0.00"/>
    <numFmt numFmtId="166" formatCode="[$€]#,##0.00"/>
    <numFmt numFmtId="167" formatCode="0.0"/>
    <numFmt numFmtId="168" formatCode="[$€]#,##0.000"/>
    <numFmt numFmtId="169" formatCode="d&quot;-&quot;mmm&quot;-&quot;yyyy"/>
    <numFmt numFmtId="170" formatCode="_(&quot;$&quot;* #,##0.00_);_(&quot;$&quot;* \(#,##0.00\);_(&quot;$&quot;* &quot;-&quot;??_);_(@_)"/>
    <numFmt numFmtId="171" formatCode="0.00000000"/>
    <numFmt numFmtId="172" formatCode="#,##0.0000"/>
    <numFmt numFmtId="173" formatCode="[$$]#,##0.00"/>
    <numFmt numFmtId="174" formatCode="#&quot; Day Trend&quot;"/>
    <numFmt numFmtId="175" formatCode="#,##0.000"/>
    <numFmt numFmtId="176" formatCode="[$€]#,##0.0000"/>
    <numFmt numFmtId="177" formatCode="#,##0.00;(#,##0.00)"/>
    <numFmt numFmtId="178" formatCode="0.0000"/>
    <numFmt numFmtId="179" formatCode="0.00% &quot;Factor&quot;"/>
    <numFmt numFmtId="180" formatCode="&quot;Price&quot; # &quot;Days Ago&quot;"/>
    <numFmt numFmtId="181" formatCode="#&quot;-Day % Change&quot;"/>
    <numFmt numFmtId="182" formatCode="# &quot;Day Chart&quot;"/>
    <numFmt numFmtId="183" formatCode="#&quot;-Day Trendy Chart&quot;"/>
  </numFmts>
  <fonts count="32">
    <font>
      <sz val="10.0"/>
      <color rgb="FF000000"/>
      <name val="Arial"/>
      <scheme val="minor"/>
    </font>
    <font>
      <color theme="1"/>
      <name val="Arial"/>
      <scheme val="minor"/>
    </font>
    <font>
      <b/>
      <u/>
      <sz val="12.0"/>
      <color rgb="FF073763"/>
      <name val="Arial"/>
      <scheme val="minor"/>
    </font>
    <font>
      <b/>
      <sz val="24.0"/>
      <color rgb="FF073763"/>
      <name val="Arial"/>
      <scheme val="minor"/>
    </font>
    <font/>
    <font>
      <b/>
      <sz val="14.0"/>
      <color rgb="FF073763"/>
      <name val="Arial"/>
      <scheme val="minor"/>
    </font>
    <font>
      <b/>
      <sz val="14.0"/>
      <color rgb="FFFFFFFF"/>
      <name val="Arial"/>
      <scheme val="minor"/>
    </font>
    <font>
      <b/>
      <sz val="12.0"/>
      <color rgb="FFFFFFFF"/>
      <name val="Arial"/>
      <scheme val="minor"/>
    </font>
    <font>
      <b/>
      <sz val="12.0"/>
      <color theme="1"/>
      <name val="Arial"/>
    </font>
    <font>
      <sz val="11.0"/>
      <color theme="1"/>
      <name val="Arial"/>
    </font>
    <font>
      <sz val="11.0"/>
      <color theme="1"/>
      <name val="Arial"/>
      <scheme val="minor"/>
    </font>
    <font>
      <b/>
      <sz val="11.0"/>
      <color rgb="FFFFFFFF"/>
      <name val="Arial"/>
    </font>
    <font>
      <b/>
      <sz val="13.0"/>
      <color rgb="FF000000"/>
      <name val="Arial"/>
      <scheme val="minor"/>
    </font>
    <font>
      <b/>
      <sz val="13.0"/>
      <color theme="1"/>
      <name val="Arial"/>
      <scheme val="minor"/>
    </font>
    <font>
      <b/>
      <sz val="12.0"/>
      <color theme="1"/>
      <name val="Arial"/>
      <scheme val="minor"/>
    </font>
    <font>
      <sz val="12.0"/>
      <color theme="1"/>
      <name val="Arial"/>
      <scheme val="minor"/>
    </font>
    <font>
      <b/>
      <sz val="11.0"/>
      <color theme="1"/>
      <name val="Arial"/>
    </font>
    <font>
      <b/>
      <sz val="11.0"/>
      <color theme="1"/>
      <name val="Arial"/>
      <scheme val="minor"/>
    </font>
    <font>
      <color theme="1"/>
      <name val="Arial"/>
    </font>
    <font>
      <b/>
      <color theme="1"/>
      <name val="Arial"/>
      <scheme val="minor"/>
    </font>
    <font>
      <b/>
      <sz val="10.0"/>
      <color theme="1"/>
      <name val="Arial"/>
      <scheme val="minor"/>
    </font>
    <font>
      <b/>
      <sz val="11.0"/>
      <color rgb="FFFFFFFF"/>
      <name val="Arial"/>
      <scheme val="minor"/>
    </font>
    <font>
      <sz val="11.0"/>
      <color rgb="FFFFFFFF"/>
      <name val="Arial"/>
      <scheme val="minor"/>
    </font>
    <font>
      <b/>
      <sz val="24.0"/>
      <color rgb="FFFFFFFF"/>
      <name val="Arial"/>
      <scheme val="minor"/>
    </font>
    <font>
      <b/>
      <sz val="24.0"/>
      <color theme="1"/>
      <name val="Arial"/>
      <scheme val="minor"/>
    </font>
    <font>
      <b/>
      <sz val="14.0"/>
      <color theme="1"/>
      <name val="Arial"/>
      <scheme val="minor"/>
    </font>
    <font>
      <b/>
      <sz val="11.0"/>
      <color rgb="FF0000FF"/>
      <name val="Arial"/>
    </font>
    <font>
      <sz val="11.0"/>
      <color rgb="FFEA4335"/>
      <name val="Arial"/>
    </font>
    <font>
      <color rgb="FFEA4335"/>
      <name val="Arial"/>
    </font>
    <font>
      <b/>
      <color rgb="FFFFFFFF"/>
      <name val="Arial"/>
      <scheme val="minor"/>
    </font>
    <font>
      <color rgb="FF1155CC"/>
      <name val="Arial"/>
      <scheme val="minor"/>
    </font>
    <font>
      <u/>
      <color rgb="FF0000FF"/>
    </font>
  </fonts>
  <fills count="19">
    <fill>
      <patternFill patternType="none"/>
    </fill>
    <fill>
      <patternFill patternType="lightGray"/>
    </fill>
    <fill>
      <patternFill patternType="solid">
        <fgColor rgb="FFFFFFFF"/>
        <bgColor rgb="FFFFFFFF"/>
      </patternFill>
    </fill>
    <fill>
      <patternFill patternType="solid">
        <fgColor rgb="FF1C4587"/>
        <bgColor rgb="FF1C4587"/>
      </patternFill>
    </fill>
    <fill>
      <patternFill patternType="solid">
        <fgColor rgb="FFC9DAF8"/>
        <bgColor rgb="FFC9DAF8"/>
      </patternFill>
    </fill>
    <fill>
      <patternFill patternType="solid">
        <fgColor rgb="FFE8F0FE"/>
        <bgColor rgb="FFE8F0FE"/>
      </patternFill>
    </fill>
    <fill>
      <patternFill patternType="solid">
        <fgColor rgb="FFA4C2F4"/>
        <bgColor rgb="FFA4C2F4"/>
      </patternFill>
    </fill>
    <fill>
      <patternFill patternType="solid">
        <fgColor rgb="FFEA9999"/>
        <bgColor rgb="FFEA9999"/>
      </patternFill>
    </fill>
    <fill>
      <patternFill patternType="solid">
        <fgColor rgb="FFCC0000"/>
        <bgColor rgb="FFCC0000"/>
      </patternFill>
    </fill>
    <fill>
      <patternFill patternType="solid">
        <fgColor rgb="FFF3F3F3"/>
        <bgColor rgb="FFF3F3F3"/>
      </patternFill>
    </fill>
    <fill>
      <patternFill patternType="solid">
        <fgColor rgb="FFB4A7D6"/>
        <bgColor rgb="FFB4A7D6"/>
      </patternFill>
    </fill>
    <fill>
      <patternFill patternType="solid">
        <fgColor rgb="FFD9D2E9"/>
        <bgColor rgb="FFD9D2E9"/>
      </patternFill>
    </fill>
    <fill>
      <patternFill patternType="solid">
        <fgColor rgb="FFB7B7B7"/>
        <bgColor rgb="FFB7B7B7"/>
      </patternFill>
    </fill>
    <fill>
      <patternFill patternType="solid">
        <fgColor rgb="FFF4CCCC"/>
        <bgColor rgb="FFF4CCCC"/>
      </patternFill>
    </fill>
    <fill>
      <patternFill patternType="solid">
        <fgColor rgb="FFB7E1CD"/>
        <bgColor rgb="FFB7E1CD"/>
      </patternFill>
    </fill>
    <fill>
      <patternFill patternType="solid">
        <fgColor rgb="FFCCCCCC"/>
        <bgColor rgb="FFCCCCCC"/>
      </patternFill>
    </fill>
    <fill>
      <patternFill patternType="solid">
        <fgColor rgb="FFCFE2F3"/>
        <bgColor rgb="FFCFE2F3"/>
      </patternFill>
    </fill>
    <fill>
      <patternFill patternType="solid">
        <fgColor rgb="FFD9D9D9"/>
        <bgColor rgb="FFD9D9D9"/>
      </patternFill>
    </fill>
    <fill>
      <patternFill patternType="solid">
        <fgColor rgb="FFEFEFEF"/>
        <bgColor rgb="FFEFEFEF"/>
      </patternFill>
    </fill>
  </fills>
  <borders count="33">
    <border/>
    <border>
      <bottom style="medium">
        <color rgb="FF1C4587"/>
      </bottom>
    </border>
    <border>
      <bottom style="medium">
        <color rgb="FF073763"/>
      </bottom>
    </border>
    <border>
      <left style="medium">
        <color rgb="FF1C4587"/>
      </left>
      <top style="medium">
        <color rgb="FF1C4587"/>
      </top>
      <bottom style="medium">
        <color rgb="FF1C4587"/>
      </bottom>
    </border>
    <border>
      <top style="medium">
        <color rgb="FF1C4587"/>
      </top>
      <bottom style="medium">
        <color rgb="FF1C4587"/>
      </bottom>
    </border>
    <border>
      <right style="medium">
        <color rgb="FF1C4587"/>
      </right>
      <top style="medium">
        <color rgb="FF1C4587"/>
      </top>
      <bottom style="medium">
        <color rgb="FF1C4587"/>
      </bottom>
    </border>
    <border>
      <left style="medium">
        <color rgb="FF1C4587"/>
      </left>
      <top style="medium">
        <color rgb="FF1C4587"/>
      </top>
    </border>
    <border>
      <right style="medium">
        <color rgb="FF1C4587"/>
      </right>
      <top style="medium">
        <color rgb="FF1C4587"/>
      </top>
    </border>
    <border>
      <top style="medium">
        <color rgb="FF1C4587"/>
      </top>
    </border>
    <border>
      <left style="medium">
        <color rgb="FF1C4587"/>
      </left>
      <bottom style="medium">
        <color rgb="FF1C4587"/>
      </bottom>
    </border>
    <border>
      <right style="medium">
        <color rgb="FF1C4587"/>
      </right>
      <bottom style="medium">
        <color rgb="FF1C4587"/>
      </bottom>
    </border>
    <border>
      <left style="medium">
        <color rgb="FF1C4587"/>
      </left>
    </border>
    <border>
      <right style="medium">
        <color rgb="FF1C4587"/>
      </right>
    </border>
    <border>
      <left style="medium">
        <color rgb="FF1C4587"/>
      </left>
      <right style="medium">
        <color rgb="FF1C4587"/>
      </right>
      <top style="medium">
        <color rgb="FF1C4587"/>
      </top>
    </border>
    <border>
      <left style="medium">
        <color rgb="FF1C4587"/>
      </left>
      <right style="medium">
        <color rgb="FF1C4587"/>
      </right>
      <top style="medium">
        <color rgb="FF1C4587"/>
      </top>
      <bottom style="medium">
        <color rgb="FF1C4587"/>
      </bottom>
    </border>
    <border>
      <left style="medium">
        <color rgb="FF1C4587"/>
      </left>
      <right style="medium">
        <color rgb="FF1C4587"/>
      </right>
    </border>
    <border>
      <left style="medium">
        <color rgb="FF073763"/>
      </left>
      <top style="medium">
        <color rgb="FF073763"/>
      </top>
      <bottom style="medium">
        <color rgb="FF1C4587"/>
      </bottom>
    </border>
    <border>
      <top style="medium">
        <color rgb="FF073763"/>
      </top>
      <bottom style="medium">
        <color rgb="FF1C4587"/>
      </bottom>
    </border>
    <border>
      <right style="medium">
        <color rgb="FF1C4587"/>
      </right>
      <top style="medium">
        <color rgb="FF073763"/>
      </top>
      <bottom style="medium">
        <color rgb="FF1C4587"/>
      </bottom>
    </border>
    <border>
      <top style="medium">
        <color rgb="FF073763"/>
      </top>
    </border>
    <border>
      <right style="medium">
        <color rgb="FF1C4587"/>
      </right>
      <top style="medium">
        <color rgb="FF073763"/>
      </top>
    </border>
    <border>
      <top style="medium">
        <color rgb="FF1C4587"/>
      </top>
      <bottom style="hair">
        <color rgb="FF000000"/>
      </bottom>
    </border>
    <border>
      <right style="medium">
        <color rgb="FF1C4587"/>
      </right>
      <top style="medium">
        <color rgb="FF1C4587"/>
      </top>
      <bottom style="hair">
        <color rgb="FF000000"/>
      </bottom>
    </border>
    <border>
      <bottom style="hair">
        <color rgb="FF000000"/>
      </bottom>
    </border>
    <border>
      <right style="medium">
        <color rgb="FF1C4587"/>
      </right>
      <bottom style="hair">
        <color rgb="FF000000"/>
      </bottom>
    </border>
    <border>
      <right style="thin">
        <color rgb="FFFFFFFF"/>
      </right>
      <top style="medium">
        <color rgb="FF1C4587"/>
      </top>
      <bottom style="medium">
        <color rgb="FF1C4587"/>
      </bottom>
    </border>
    <border>
      <bottom style="medium">
        <color rgb="FF000000"/>
      </bottom>
    </border>
    <border>
      <left style="medium">
        <color rgb="FF1C4587"/>
      </left>
      <top style="medium">
        <color rgb="FF1C4587"/>
      </top>
      <bottom style="hair">
        <color rgb="FF34A853"/>
      </bottom>
    </border>
    <border>
      <bottom style="hair">
        <color rgb="FF34A853"/>
      </bottom>
    </border>
    <border>
      <top style="medium">
        <color rgb="FF1C4587"/>
      </top>
      <bottom style="hair">
        <color rgb="FF34A853"/>
      </bottom>
    </border>
    <border>
      <right style="medium">
        <color rgb="FF1C4587"/>
      </right>
      <top style="medium">
        <color rgb="FF1C4587"/>
      </top>
      <bottom style="hair">
        <color rgb="FF34A853"/>
      </bottom>
    </border>
    <border>
      <left style="medium">
        <color rgb="FF1C4587"/>
      </left>
      <bottom style="hair">
        <color rgb="FF34A853"/>
      </bottom>
    </border>
    <border>
      <right style="medium">
        <color rgb="FF1C4587"/>
      </right>
      <bottom style="hair">
        <color rgb="FF34A853"/>
      </bottom>
    </border>
  </borders>
  <cellStyleXfs count="1">
    <xf borderId="0" fillId="0" fontId="0" numFmtId="0" applyAlignment="1" applyFont="1"/>
  </cellStyleXfs>
  <cellXfs count="332">
    <xf borderId="0" fillId="0" fontId="0" numFmtId="0" xfId="0" applyAlignment="1" applyFont="1">
      <alignment readingOrder="0" shrinkToFit="0" vertical="bottom" wrapText="0"/>
    </xf>
    <xf borderId="1" fillId="0" fontId="1" numFmtId="0" xfId="0" applyAlignment="1" applyBorder="1" applyFont="1">
      <alignment vertical="center"/>
    </xf>
    <xf borderId="2" fillId="0" fontId="2" numFmtId="0" xfId="0" applyAlignment="1" applyBorder="1" applyFont="1">
      <alignment horizontal="center" readingOrder="0" shrinkToFit="0" vertical="center" wrapText="1"/>
    </xf>
    <xf borderId="1" fillId="2" fontId="3" numFmtId="0" xfId="0" applyAlignment="1" applyBorder="1" applyFill="1" applyFont="1">
      <alignment horizontal="center" readingOrder="0" vertical="center"/>
    </xf>
    <xf borderId="1" fillId="0" fontId="4" numFmtId="0" xfId="0" applyBorder="1" applyFont="1"/>
    <xf borderId="1" fillId="2" fontId="5" numFmtId="0" xfId="0" applyAlignment="1" applyBorder="1" applyFont="1">
      <alignment horizontal="center" readingOrder="0" vertical="center"/>
    </xf>
    <xf borderId="1" fillId="3" fontId="6" numFmtId="0" xfId="0" applyAlignment="1" applyBorder="1" applyFill="1" applyFont="1">
      <alignment horizontal="center" readingOrder="0" vertical="center"/>
    </xf>
    <xf borderId="1" fillId="0" fontId="1" numFmtId="0" xfId="0" applyAlignment="1" applyBorder="1" applyFont="1">
      <alignment horizontal="center" vertical="center"/>
    </xf>
    <xf borderId="3" fillId="3" fontId="7" numFmtId="164" xfId="0" applyAlignment="1" applyBorder="1" applyFont="1" applyNumberFormat="1">
      <alignment horizontal="center" readingOrder="0" vertical="center"/>
    </xf>
    <xf borderId="4" fillId="4" fontId="8" numFmtId="0" xfId="0" applyAlignment="1" applyBorder="1" applyFill="1" applyFont="1">
      <alignment horizontal="center" readingOrder="0" vertical="center"/>
    </xf>
    <xf borderId="3" fillId="5" fontId="9" numFmtId="165" xfId="0" applyAlignment="1" applyBorder="1" applyFill="1" applyFont="1" applyNumberFormat="1">
      <alignment horizontal="center" vertical="center"/>
    </xf>
    <xf borderId="4" fillId="5" fontId="9" numFmtId="165" xfId="0" applyAlignment="1" applyBorder="1" applyFont="1" applyNumberFormat="1">
      <alignment horizontal="center" vertical="center"/>
    </xf>
    <xf borderId="5" fillId="5" fontId="9" numFmtId="165" xfId="0" applyAlignment="1" applyBorder="1" applyFont="1" applyNumberFormat="1">
      <alignment horizontal="center" vertical="center"/>
    </xf>
    <xf borderId="0" fillId="0" fontId="1" numFmtId="0" xfId="0" applyAlignment="1" applyFont="1">
      <alignment horizontal="center" vertical="center"/>
    </xf>
    <xf borderId="0" fillId="0" fontId="10" numFmtId="0" xfId="0" applyAlignment="1" applyFont="1">
      <alignment horizontal="center" vertical="center"/>
    </xf>
    <xf borderId="6" fillId="6" fontId="8" numFmtId="0" xfId="0" applyAlignment="1" applyBorder="1" applyFill="1" applyFont="1">
      <alignment horizontal="center" readingOrder="0" vertical="center"/>
    </xf>
    <xf borderId="7" fillId="0" fontId="4" numFmtId="0" xfId="0" applyBorder="1" applyFont="1"/>
    <xf borderId="0" fillId="3" fontId="11" numFmtId="0" xfId="0" applyAlignment="1" applyFont="1">
      <alignment horizontal="center" readingOrder="0" shrinkToFit="0" vertical="center" wrapText="1"/>
    </xf>
    <xf borderId="6" fillId="6" fontId="12" numFmtId="0" xfId="0" applyAlignment="1" applyBorder="1" applyFont="1">
      <alignment horizontal="center" readingOrder="0" vertical="center"/>
    </xf>
    <xf borderId="8" fillId="0" fontId="4" numFmtId="0" xfId="0" applyBorder="1" applyFont="1"/>
    <xf borderId="8" fillId="5" fontId="13" numFmtId="166" xfId="0" applyAlignment="1" applyBorder="1" applyFont="1" applyNumberFormat="1">
      <alignment horizontal="center" vertical="center"/>
    </xf>
    <xf borderId="0" fillId="0" fontId="1" numFmtId="0" xfId="0" applyAlignment="1" applyFont="1">
      <alignment vertical="center"/>
    </xf>
    <xf borderId="9" fillId="0" fontId="4" numFmtId="0" xfId="0" applyBorder="1" applyFont="1"/>
    <xf borderId="10" fillId="0" fontId="4" numFmtId="0" xfId="0" applyBorder="1" applyFont="1"/>
    <xf borderId="11" fillId="6" fontId="14" numFmtId="0" xfId="0" applyAlignment="1" applyBorder="1" applyFont="1">
      <alignment horizontal="center" readingOrder="0" vertical="center"/>
    </xf>
    <xf borderId="0" fillId="5" fontId="15" numFmtId="166" xfId="0" applyAlignment="1" applyFont="1" applyNumberFormat="1">
      <alignment horizontal="center" vertical="center"/>
    </xf>
    <xf borderId="12" fillId="0" fontId="4" numFmtId="0" xfId="0" applyBorder="1" applyFont="1"/>
    <xf borderId="11" fillId="4" fontId="16" numFmtId="0" xfId="0" applyAlignment="1" applyBorder="1" applyFont="1">
      <alignment horizontal="center" vertical="center"/>
    </xf>
    <xf borderId="6" fillId="5" fontId="9" numFmtId="0" xfId="0" applyAlignment="1" applyBorder="1" applyFont="1">
      <alignment horizontal="center" shrinkToFit="0" vertical="center" wrapText="1"/>
    </xf>
    <xf borderId="8" fillId="5" fontId="9" numFmtId="0" xfId="0" applyAlignment="1" applyBorder="1" applyFont="1">
      <alignment horizontal="center" shrinkToFit="0" vertical="center" wrapText="1"/>
    </xf>
    <xf borderId="7" fillId="5" fontId="9" numFmtId="0" xfId="0" applyAlignment="1" applyBorder="1" applyFont="1">
      <alignment horizontal="center" shrinkToFit="0" vertical="center" wrapText="1"/>
    </xf>
    <xf borderId="0" fillId="5" fontId="15" numFmtId="165" xfId="0" applyAlignment="1" applyFont="1" applyNumberFormat="1">
      <alignment horizontal="center" vertical="center"/>
    </xf>
    <xf borderId="12" fillId="5" fontId="15" numFmtId="10" xfId="0" applyAlignment="1" applyBorder="1" applyFont="1" applyNumberFormat="1">
      <alignment horizontal="center" vertical="center"/>
    </xf>
    <xf borderId="11" fillId="4" fontId="16" numFmtId="0" xfId="0" applyAlignment="1" applyBorder="1" applyFont="1">
      <alignment horizontal="center" readingOrder="0" vertical="center"/>
    </xf>
    <xf borderId="11" fillId="5" fontId="9" numFmtId="165" xfId="0" applyAlignment="1" applyBorder="1" applyFont="1" applyNumberFormat="1">
      <alignment horizontal="center" vertical="center"/>
    </xf>
    <xf borderId="0" fillId="5" fontId="9" numFmtId="165" xfId="0" applyAlignment="1" applyFont="1" applyNumberFormat="1">
      <alignment horizontal="center" vertical="center"/>
    </xf>
    <xf borderId="12" fillId="5" fontId="9" numFmtId="165" xfId="0" applyAlignment="1" applyBorder="1" applyFont="1" applyNumberFormat="1">
      <alignment horizontal="center" vertical="center"/>
    </xf>
    <xf borderId="9" fillId="6" fontId="14" numFmtId="0" xfId="0" applyAlignment="1" applyBorder="1" applyFont="1">
      <alignment horizontal="center" readingOrder="0" vertical="center"/>
    </xf>
    <xf borderId="1" fillId="5" fontId="15" numFmtId="165" xfId="0" applyAlignment="1" applyBorder="1" applyFont="1" applyNumberFormat="1">
      <alignment horizontal="center" vertical="center"/>
    </xf>
    <xf borderId="10" fillId="5" fontId="15" numFmtId="10" xfId="0" applyAlignment="1" applyBorder="1" applyFont="1" applyNumberFormat="1">
      <alignment horizontal="center" vertical="center"/>
    </xf>
    <xf borderId="11" fillId="5" fontId="9" numFmtId="10" xfId="0" applyAlignment="1" applyBorder="1" applyFont="1" applyNumberFormat="1">
      <alignment horizontal="center" vertical="center"/>
    </xf>
    <xf borderId="0" fillId="5" fontId="9" numFmtId="10" xfId="0" applyAlignment="1" applyFont="1" applyNumberFormat="1">
      <alignment horizontal="center" vertical="center"/>
    </xf>
    <xf borderId="12" fillId="5" fontId="9" numFmtId="10" xfId="0" applyAlignment="1" applyBorder="1" applyFont="1" applyNumberFormat="1">
      <alignment horizontal="center" vertical="center"/>
    </xf>
    <xf borderId="6" fillId="6" fontId="17" numFmtId="0" xfId="0" applyAlignment="1" applyBorder="1" applyFont="1">
      <alignment horizontal="center" vertical="center"/>
    </xf>
    <xf borderId="8" fillId="6" fontId="17" numFmtId="0" xfId="0" applyAlignment="1" applyBorder="1" applyFont="1">
      <alignment horizontal="center" vertical="center"/>
    </xf>
    <xf borderId="11" fillId="4" fontId="16" numFmtId="0" xfId="0" applyAlignment="1" applyBorder="1" applyFont="1">
      <alignment horizontal="center" readingOrder="0" vertical="center"/>
    </xf>
    <xf borderId="11" fillId="5" fontId="10" numFmtId="0" xfId="0" applyAlignment="1" applyBorder="1" applyFont="1">
      <alignment horizontal="center" vertical="center"/>
    </xf>
    <xf borderId="0" fillId="5" fontId="10" numFmtId="10" xfId="0" applyAlignment="1" applyFont="1" applyNumberFormat="1">
      <alignment horizontal="center" vertical="center"/>
    </xf>
    <xf borderId="0" fillId="5" fontId="10" numFmtId="0" xfId="0" applyAlignment="1" applyFont="1">
      <alignment horizontal="center" vertical="center"/>
    </xf>
    <xf borderId="12" fillId="5" fontId="10" numFmtId="10" xfId="0" applyAlignment="1" applyBorder="1" applyFont="1" applyNumberFormat="1">
      <alignment horizontal="center" vertical="center"/>
    </xf>
    <xf borderId="0" fillId="0" fontId="10" numFmtId="10" xfId="0" applyAlignment="1" applyFont="1" applyNumberFormat="1">
      <alignment horizontal="center" vertical="center"/>
    </xf>
    <xf borderId="11" fillId="5" fontId="9" numFmtId="0" xfId="0" applyAlignment="1" applyBorder="1" applyFont="1">
      <alignment horizontal="center" vertical="center"/>
    </xf>
    <xf borderId="0" fillId="5" fontId="9" numFmtId="0" xfId="0" applyAlignment="1" applyFont="1">
      <alignment horizontal="center" vertical="center"/>
    </xf>
    <xf borderId="12" fillId="5" fontId="9" numFmtId="0" xfId="0" applyAlignment="1" applyBorder="1" applyFont="1">
      <alignment horizontal="center" vertical="center"/>
    </xf>
    <xf borderId="11" fillId="6" fontId="17" numFmtId="0" xfId="0" applyAlignment="1" applyBorder="1" applyFont="1">
      <alignment horizontal="center" readingOrder="0" vertical="center"/>
    </xf>
    <xf borderId="0" fillId="6" fontId="17" numFmtId="0" xfId="0" applyAlignment="1" applyFont="1">
      <alignment horizontal="center" readingOrder="0" vertical="center"/>
    </xf>
    <xf borderId="11" fillId="5" fontId="9" numFmtId="3" xfId="0" applyAlignment="1" applyBorder="1" applyFont="1" applyNumberFormat="1">
      <alignment horizontal="center" vertical="center"/>
    </xf>
    <xf borderId="0" fillId="5" fontId="9" numFmtId="3" xfId="0" applyAlignment="1" applyFont="1" applyNumberFormat="1">
      <alignment horizontal="center" vertical="center"/>
    </xf>
    <xf borderId="12" fillId="5" fontId="9" numFmtId="3" xfId="0" applyAlignment="1" applyBorder="1" applyFont="1" applyNumberFormat="1">
      <alignment horizontal="center" vertical="center"/>
    </xf>
    <xf borderId="9" fillId="5" fontId="10" numFmtId="0" xfId="0" applyAlignment="1" applyBorder="1" applyFont="1">
      <alignment horizontal="center" vertical="center"/>
    </xf>
    <xf borderId="1" fillId="5" fontId="10" numFmtId="10" xfId="0" applyAlignment="1" applyBorder="1" applyFont="1" applyNumberFormat="1">
      <alignment horizontal="center" vertical="center"/>
    </xf>
    <xf borderId="1" fillId="5" fontId="10" numFmtId="0" xfId="0" applyAlignment="1" applyBorder="1" applyFont="1">
      <alignment horizontal="center" vertical="center"/>
    </xf>
    <xf borderId="10" fillId="5" fontId="10" numFmtId="10" xfId="0" applyAlignment="1" applyBorder="1" applyFont="1" applyNumberFormat="1">
      <alignment horizontal="center" vertical="center"/>
    </xf>
    <xf borderId="11" fillId="5" fontId="9" numFmtId="167" xfId="0" applyAlignment="1" applyBorder="1" applyFont="1" applyNumberFormat="1">
      <alignment horizontal="center" vertical="center"/>
    </xf>
    <xf borderId="0" fillId="5" fontId="9" numFmtId="167" xfId="0" applyAlignment="1" applyFont="1" applyNumberFormat="1">
      <alignment horizontal="center" vertical="center"/>
    </xf>
    <xf borderId="12" fillId="5" fontId="9" numFmtId="167" xfId="0" applyAlignment="1" applyBorder="1" applyFont="1" applyNumberFormat="1">
      <alignment horizontal="center" vertical="center"/>
    </xf>
    <xf borderId="6" fillId="6" fontId="14" numFmtId="0" xfId="0" applyAlignment="1" applyBorder="1" applyFont="1">
      <alignment horizontal="center" readingOrder="0" vertical="center"/>
    </xf>
    <xf borderId="7" fillId="5" fontId="14" numFmtId="166" xfId="0" applyAlignment="1" applyBorder="1" applyFont="1" applyNumberFormat="1">
      <alignment horizontal="center" vertical="center"/>
    </xf>
    <xf borderId="12" fillId="5" fontId="10" numFmtId="166" xfId="0" applyAlignment="1" applyBorder="1" applyFont="1" applyNumberFormat="1">
      <alignment horizontal="center" vertical="center"/>
    </xf>
    <xf borderId="0" fillId="0" fontId="1" numFmtId="0" xfId="0" applyAlignment="1" applyFont="1">
      <alignment readingOrder="0" vertical="center"/>
    </xf>
    <xf borderId="9" fillId="4" fontId="16" numFmtId="0" xfId="0" applyAlignment="1" applyBorder="1" applyFont="1">
      <alignment horizontal="center" vertical="center"/>
    </xf>
    <xf borderId="9" fillId="5" fontId="9" numFmtId="165" xfId="0" applyAlignment="1" applyBorder="1" applyFont="1" applyNumberFormat="1">
      <alignment horizontal="center" vertical="center"/>
    </xf>
    <xf borderId="1" fillId="5" fontId="9" numFmtId="165" xfId="0" applyAlignment="1" applyBorder="1" applyFont="1" applyNumberFormat="1">
      <alignment horizontal="center" vertical="center"/>
    </xf>
    <xf borderId="10" fillId="5" fontId="9" numFmtId="165" xfId="0" applyAlignment="1" applyBorder="1" applyFont="1" applyNumberFormat="1">
      <alignment horizontal="center" vertical="center"/>
    </xf>
    <xf borderId="0" fillId="0" fontId="17" numFmtId="0" xfId="0" applyAlignment="1" applyFont="1">
      <alignment horizontal="left" readingOrder="0" vertical="center"/>
    </xf>
    <xf borderId="9" fillId="6" fontId="17" numFmtId="0" xfId="0" applyAlignment="1" applyBorder="1" applyFont="1">
      <alignment horizontal="center" readingOrder="0" vertical="center"/>
    </xf>
    <xf borderId="0" fillId="0" fontId="14" numFmtId="0" xfId="0" applyAlignment="1" applyFont="1">
      <alignment horizontal="left" readingOrder="0" vertical="center"/>
    </xf>
    <xf borderId="0" fillId="0" fontId="18" numFmtId="0" xfId="0" applyAlignment="1" applyFont="1">
      <alignment vertical="center"/>
    </xf>
    <xf borderId="13" fillId="0" fontId="17" numFmtId="0" xfId="0" applyAlignment="1" applyBorder="1" applyFont="1">
      <alignment horizontal="center" readingOrder="0" vertical="center"/>
    </xf>
    <xf borderId="6" fillId="0" fontId="19" numFmtId="0" xfId="0" applyAlignment="1" applyBorder="1" applyFont="1">
      <alignment horizontal="center" readingOrder="0" vertical="center"/>
    </xf>
    <xf borderId="8" fillId="0" fontId="19" numFmtId="0" xfId="0" applyAlignment="1" applyBorder="1" applyFont="1">
      <alignment horizontal="center" readingOrder="0" vertical="center"/>
    </xf>
    <xf borderId="8" fillId="0" fontId="19" numFmtId="0" xfId="0" applyAlignment="1" applyBorder="1" applyFont="1">
      <alignment horizontal="center" readingOrder="0" vertical="center"/>
    </xf>
    <xf borderId="8" fillId="0" fontId="20" numFmtId="0" xfId="0" applyAlignment="1" applyBorder="1" applyFont="1">
      <alignment horizontal="center" readingOrder="0" vertical="center"/>
    </xf>
    <xf borderId="7" fillId="0" fontId="19" numFmtId="0" xfId="0" applyAlignment="1" applyBorder="1" applyFont="1">
      <alignment horizontal="center" readingOrder="0" vertical="center"/>
    </xf>
    <xf borderId="1" fillId="0" fontId="17" numFmtId="0" xfId="0" applyAlignment="1" applyBorder="1" applyFont="1">
      <alignment horizontal="center" readingOrder="0" vertical="top"/>
    </xf>
    <xf borderId="3" fillId="6" fontId="14" numFmtId="0" xfId="0" applyAlignment="1" applyBorder="1" applyFont="1">
      <alignment horizontal="center" shrinkToFit="0" vertical="center" wrapText="1"/>
    </xf>
    <xf borderId="4" fillId="0" fontId="4" numFmtId="0" xfId="0" applyBorder="1" applyFont="1"/>
    <xf borderId="5" fillId="0" fontId="4" numFmtId="0" xfId="0" applyBorder="1" applyFont="1"/>
    <xf borderId="0" fillId="0" fontId="10" numFmtId="0" xfId="0" applyAlignment="1" applyFont="1">
      <alignment horizontal="center" readingOrder="0" shrinkToFit="0" vertical="center" wrapText="1"/>
    </xf>
    <xf borderId="9" fillId="3" fontId="21" numFmtId="0" xfId="0" applyAlignment="1" applyBorder="1" applyFont="1">
      <alignment horizontal="center" readingOrder="0" vertical="center"/>
    </xf>
    <xf borderId="3" fillId="0" fontId="1" numFmtId="165" xfId="0" applyAlignment="1" applyBorder="1" applyFont="1" applyNumberFormat="1">
      <alignment horizontal="center" vertical="center"/>
    </xf>
    <xf borderId="4" fillId="0" fontId="1" numFmtId="168" xfId="0" applyAlignment="1" applyBorder="1" applyFont="1" applyNumberFormat="1">
      <alignment horizontal="center" vertical="center"/>
    </xf>
    <xf borderId="4" fillId="0" fontId="1" numFmtId="10" xfId="0" applyAlignment="1" applyBorder="1" applyFont="1" applyNumberFormat="1">
      <alignment horizontal="center" vertical="center"/>
    </xf>
    <xf borderId="4" fillId="0" fontId="1" numFmtId="166" xfId="0" applyAlignment="1" applyBorder="1" applyFont="1" applyNumberFormat="1">
      <alignment horizontal="center" vertical="center"/>
    </xf>
    <xf borderId="5" fillId="0" fontId="1" numFmtId="166" xfId="0" applyAlignment="1" applyBorder="1" applyFont="1" applyNumberFormat="1">
      <alignment horizontal="center" vertical="center"/>
    </xf>
    <xf borderId="0" fillId="0" fontId="10" numFmtId="169" xfId="0" applyAlignment="1" applyFont="1" applyNumberFormat="1">
      <alignment horizontal="center" vertical="center"/>
    </xf>
    <xf borderId="0" fillId="0" fontId="10" numFmtId="165" xfId="0" applyAlignment="1" applyFont="1" applyNumberFormat="1">
      <alignment horizontal="center" vertical="center"/>
    </xf>
    <xf borderId="11" fillId="4" fontId="17" numFmtId="0" xfId="0" applyAlignment="1" applyBorder="1" applyFont="1">
      <alignment horizontal="center" readingOrder="0" shrinkToFit="0" vertical="center" wrapText="1"/>
    </xf>
    <xf borderId="12" fillId="3" fontId="22" numFmtId="169" xfId="0" applyAlignment="1" applyBorder="1" applyFont="1" applyNumberFormat="1">
      <alignment horizontal="center" readingOrder="0" shrinkToFit="0" vertical="center" wrapText="1"/>
    </xf>
    <xf borderId="0" fillId="0" fontId="10" numFmtId="0" xfId="0" applyAlignment="1" applyFont="1">
      <alignment horizontal="left" readingOrder="0" vertical="center"/>
    </xf>
    <xf borderId="11" fillId="4" fontId="17" numFmtId="0" xfId="0" applyAlignment="1" applyBorder="1" applyFont="1">
      <alignment horizontal="center" readingOrder="0" vertical="center"/>
    </xf>
    <xf borderId="12" fillId="5" fontId="10" numFmtId="165" xfId="0" applyAlignment="1" applyBorder="1" applyFont="1" applyNumberFormat="1">
      <alignment horizontal="center" vertical="center"/>
    </xf>
    <xf borderId="12" fillId="5" fontId="10" numFmtId="0" xfId="0" applyAlignment="1" applyBorder="1" applyFont="1">
      <alignment horizontal="center" readingOrder="0" shrinkToFit="0" vertical="center" wrapText="1"/>
    </xf>
    <xf borderId="11" fillId="4" fontId="17" numFmtId="0" xfId="0" applyAlignment="1" applyBorder="1" applyFont="1">
      <alignment horizontal="center" shrinkToFit="0" vertical="center" wrapText="1"/>
    </xf>
    <xf borderId="12" fillId="5" fontId="10" numFmtId="0" xfId="0" applyAlignment="1" applyBorder="1" applyFont="1">
      <alignment horizontal="center" vertical="center"/>
    </xf>
    <xf borderId="11" fillId="4" fontId="17" numFmtId="0" xfId="0" applyAlignment="1" applyBorder="1" applyFont="1">
      <alignment horizontal="center" readingOrder="0" shrinkToFit="0" vertical="center" wrapText="1"/>
    </xf>
    <xf borderId="1" fillId="0" fontId="14" numFmtId="0" xfId="0" applyAlignment="1" applyBorder="1" applyFont="1">
      <alignment horizontal="left" readingOrder="0" vertical="center"/>
    </xf>
    <xf borderId="9" fillId="4" fontId="17" numFmtId="0" xfId="0" applyAlignment="1" applyBorder="1" applyFont="1">
      <alignment horizontal="center" shrinkToFit="0" vertical="center" wrapText="1"/>
    </xf>
    <xf borderId="10" fillId="5" fontId="10" numFmtId="166" xfId="0" applyAlignment="1" applyBorder="1" applyFont="1" applyNumberFormat="1">
      <alignment horizontal="center" vertical="center"/>
    </xf>
    <xf borderId="14" fillId="6" fontId="17" numFmtId="0" xfId="0" applyAlignment="1" applyBorder="1" applyFont="1">
      <alignment horizontal="center" vertical="center"/>
    </xf>
    <xf borderId="14" fillId="3" fontId="21" numFmtId="49" xfId="0" applyAlignment="1" applyBorder="1" applyFont="1" applyNumberFormat="1">
      <alignment horizontal="center" readingOrder="0" vertical="center"/>
    </xf>
    <xf borderId="0" fillId="0" fontId="10" numFmtId="0" xfId="0" applyAlignment="1" applyFont="1">
      <alignment horizontal="center" readingOrder="0" vertical="center"/>
    </xf>
    <xf borderId="4" fillId="6" fontId="17" numFmtId="0" xfId="0" applyAlignment="1" applyBorder="1" applyFont="1">
      <alignment horizontal="center" shrinkToFit="0" vertical="center" wrapText="1"/>
    </xf>
    <xf borderId="5" fillId="6" fontId="17" numFmtId="0" xfId="0" applyAlignment="1" applyBorder="1" applyFont="1">
      <alignment horizontal="center" shrinkToFit="0" vertical="center" wrapText="1"/>
    </xf>
    <xf borderId="14" fillId="7" fontId="17" numFmtId="0" xfId="0" applyAlignment="1" applyBorder="1" applyFill="1" applyFont="1">
      <alignment horizontal="center" vertical="center"/>
    </xf>
    <xf borderId="14" fillId="8" fontId="21" numFmtId="9" xfId="0" applyAlignment="1" applyBorder="1" applyFill="1" applyFont="1" applyNumberFormat="1">
      <alignment horizontal="center" readingOrder="0" vertical="center"/>
    </xf>
    <xf borderId="15" fillId="9" fontId="17" numFmtId="0" xfId="0" applyAlignment="1" applyBorder="1" applyFill="1" applyFont="1">
      <alignment horizontal="center" vertical="center"/>
    </xf>
    <xf borderId="0" fillId="0" fontId="10" numFmtId="170" xfId="0" applyAlignment="1" applyFont="1" applyNumberFormat="1">
      <alignment horizontal="center" vertical="center"/>
    </xf>
    <xf borderId="12" fillId="0" fontId="10" numFmtId="170" xfId="0" applyAlignment="1" applyBorder="1" applyFont="1" applyNumberFormat="1">
      <alignment horizontal="center" vertical="center"/>
    </xf>
    <xf borderId="3" fillId="10" fontId="17" numFmtId="0" xfId="0" applyAlignment="1" applyBorder="1" applyFill="1" applyFont="1">
      <alignment horizontal="center" readingOrder="0" vertical="center"/>
    </xf>
    <xf borderId="3" fillId="11" fontId="17" numFmtId="0" xfId="0" applyAlignment="1" applyBorder="1" applyFill="1" applyFont="1">
      <alignment horizontal="center" readingOrder="0" vertical="center"/>
    </xf>
    <xf borderId="5" fillId="11" fontId="17" numFmtId="0" xfId="0" applyAlignment="1" applyBorder="1" applyFont="1">
      <alignment readingOrder="0" vertical="center"/>
    </xf>
    <xf borderId="0" fillId="0" fontId="19" numFmtId="0" xfId="0" applyAlignment="1" applyFont="1">
      <alignment readingOrder="0" vertical="center"/>
    </xf>
    <xf borderId="11" fillId="0" fontId="10" numFmtId="0" xfId="0" applyAlignment="1" applyBorder="1" applyFont="1">
      <alignment horizontal="center" vertical="center"/>
    </xf>
    <xf borderId="12" fillId="0" fontId="10" numFmtId="171" xfId="0" applyAlignment="1" applyBorder="1" applyFont="1" applyNumberFormat="1">
      <alignment horizontal="center" vertical="center"/>
    </xf>
    <xf borderId="0" fillId="0" fontId="1" numFmtId="0" xfId="0" applyAlignment="1" applyFont="1">
      <alignment horizontal="left" vertical="center"/>
    </xf>
    <xf borderId="0" fillId="0" fontId="14" numFmtId="0" xfId="0" applyAlignment="1" applyFont="1">
      <alignment readingOrder="0"/>
    </xf>
    <xf borderId="1" fillId="0" fontId="14" numFmtId="0" xfId="0" applyAlignment="1" applyBorder="1" applyFont="1">
      <alignment readingOrder="0" vertical="center"/>
    </xf>
    <xf borderId="0" fillId="0" fontId="16" numFmtId="166" xfId="0" applyAlignment="1" applyFont="1" applyNumberFormat="1">
      <alignment vertical="center"/>
    </xf>
    <xf borderId="0" fillId="0" fontId="16" numFmtId="166" xfId="0" applyAlignment="1" applyFont="1" applyNumberFormat="1">
      <alignment horizontal="center" vertical="center"/>
    </xf>
    <xf borderId="0" fillId="0" fontId="16" numFmtId="3" xfId="0" applyAlignment="1" applyFont="1" applyNumberFormat="1">
      <alignment horizontal="center" vertical="center"/>
    </xf>
    <xf borderId="13" fillId="6" fontId="17" numFmtId="0" xfId="0" applyAlignment="1" applyBorder="1" applyFont="1">
      <alignment horizontal="center" vertical="center"/>
    </xf>
    <xf borderId="8" fillId="6" fontId="17" numFmtId="170" xfId="0" applyAlignment="1" applyBorder="1" applyFont="1" applyNumberFormat="1">
      <alignment horizontal="center" vertical="center"/>
    </xf>
    <xf borderId="7" fillId="6" fontId="17" numFmtId="170" xfId="0" applyAlignment="1" applyBorder="1" applyFont="1" applyNumberFormat="1">
      <alignment horizontal="center" vertical="center"/>
    </xf>
    <xf borderId="0" fillId="0" fontId="17" numFmtId="0" xfId="0" applyAlignment="1" applyFont="1">
      <alignment horizontal="center" shrinkToFit="0" vertical="center" wrapText="1"/>
    </xf>
    <xf borderId="4" fillId="6" fontId="16" numFmtId="166" xfId="0" applyAlignment="1" applyBorder="1" applyFont="1" applyNumberFormat="1">
      <alignment horizontal="center" shrinkToFit="0" vertical="center" wrapText="1"/>
    </xf>
    <xf borderId="4" fillId="6" fontId="16" numFmtId="166" xfId="0" applyAlignment="1" applyBorder="1" applyFont="1" applyNumberFormat="1">
      <alignment horizontal="center" readingOrder="0" shrinkToFit="0" vertical="center" wrapText="1"/>
    </xf>
    <xf borderId="0" fillId="0" fontId="17" numFmtId="0" xfId="0" applyAlignment="1" applyFont="1">
      <alignment horizontal="center" readingOrder="0" vertical="center"/>
    </xf>
    <xf borderId="4" fillId="6" fontId="17" numFmtId="170" xfId="0" applyAlignment="1" applyBorder="1" applyFont="1" applyNumberFormat="1">
      <alignment horizontal="center" vertical="center"/>
    </xf>
    <xf borderId="5" fillId="6" fontId="17" numFmtId="170" xfId="0" applyAlignment="1" applyBorder="1" applyFont="1" applyNumberFormat="1">
      <alignment horizontal="center" vertical="center"/>
    </xf>
    <xf borderId="0" fillId="0" fontId="17" numFmtId="169" xfId="0" applyAlignment="1" applyFont="1" applyNumberFormat="1">
      <alignment horizontal="center" shrinkToFit="0" vertical="center" wrapText="1"/>
    </xf>
    <xf borderId="0" fillId="0" fontId="17" numFmtId="165" xfId="0" applyAlignment="1" applyFont="1" applyNumberFormat="1">
      <alignment horizontal="center" shrinkToFit="0" vertical="center" wrapText="1"/>
    </xf>
    <xf borderId="0" fillId="0" fontId="17" numFmtId="166" xfId="0" applyAlignment="1" applyFont="1" applyNumberFormat="1">
      <alignment horizontal="center" shrinkToFit="0" vertical="center" wrapText="1"/>
    </xf>
    <xf borderId="8" fillId="0" fontId="9" numFmtId="166" xfId="0" applyAlignment="1" applyBorder="1" applyFont="1" applyNumberFormat="1">
      <alignment horizontal="center" vertical="center"/>
    </xf>
    <xf borderId="0" fillId="0" fontId="9" numFmtId="166" xfId="0" applyAlignment="1" applyFont="1" applyNumberFormat="1">
      <alignment horizontal="center" vertical="center"/>
    </xf>
    <xf borderId="0" fillId="0" fontId="10" numFmtId="166" xfId="0" applyAlignment="1" applyFont="1" applyNumberFormat="1">
      <alignment horizontal="center" vertical="center"/>
    </xf>
    <xf borderId="0" fillId="0" fontId="10" numFmtId="3" xfId="0" applyAlignment="1" applyFont="1" applyNumberFormat="1">
      <alignment horizontal="center" vertical="center"/>
    </xf>
    <xf borderId="0" fillId="0" fontId="17" numFmtId="166" xfId="0" applyAlignment="1" applyFont="1" applyNumberFormat="1">
      <alignment horizontal="center" shrinkToFit="0" vertical="center" wrapText="1"/>
    </xf>
    <xf borderId="0" fillId="0" fontId="10" numFmtId="1" xfId="0" applyAlignment="1" applyFont="1" applyNumberFormat="1">
      <alignment horizontal="center" vertical="center"/>
    </xf>
    <xf borderId="0" fillId="0" fontId="17" numFmtId="166" xfId="0" applyAlignment="1" applyFont="1" applyNumberFormat="1">
      <alignment horizontal="center" vertical="center"/>
    </xf>
    <xf borderId="1" fillId="0" fontId="14" numFmtId="166" xfId="0" applyAlignment="1" applyBorder="1" applyFont="1" applyNumberFormat="1">
      <alignment readingOrder="0" vertical="center"/>
    </xf>
    <xf borderId="1" fillId="0" fontId="16" numFmtId="166" xfId="0" applyAlignment="1" applyBorder="1" applyFont="1" applyNumberFormat="1">
      <alignment horizontal="center" vertical="center"/>
    </xf>
    <xf borderId="1" fillId="0" fontId="17" numFmtId="10" xfId="0" applyAlignment="1" applyBorder="1" applyFont="1" applyNumberFormat="1">
      <alignment horizontal="center" readingOrder="0" vertical="center"/>
    </xf>
    <xf borderId="1" fillId="6" fontId="17" numFmtId="166" xfId="0" applyAlignment="1" applyBorder="1" applyFont="1" applyNumberFormat="1">
      <alignment horizontal="center" shrinkToFit="0" vertical="center" wrapText="1"/>
    </xf>
    <xf borderId="1" fillId="6" fontId="17" numFmtId="166" xfId="0" applyAlignment="1" applyBorder="1" applyFont="1" applyNumberFormat="1">
      <alignment horizontal="center" readingOrder="0" shrinkToFit="0" vertical="center" wrapText="1"/>
    </xf>
    <xf borderId="0" fillId="0" fontId="17" numFmtId="0" xfId="0" applyAlignment="1" applyFont="1">
      <alignment horizontal="center" shrinkToFit="0" vertical="center" wrapText="1"/>
    </xf>
    <xf borderId="0" fillId="0" fontId="10" numFmtId="4" xfId="0" applyAlignment="1" applyFont="1" applyNumberFormat="1">
      <alignment horizontal="right" vertical="center"/>
    </xf>
    <xf borderId="0" fillId="0" fontId="17" numFmtId="0" xfId="0" applyAlignment="1" applyFont="1">
      <alignment horizontal="center" vertical="center"/>
    </xf>
    <xf borderId="0" fillId="0" fontId="10" numFmtId="172" xfId="0" applyAlignment="1" applyFont="1" applyNumberFormat="1">
      <alignment horizontal="center" vertical="center"/>
    </xf>
    <xf borderId="0" fillId="0" fontId="10" numFmtId="4" xfId="0" applyAlignment="1" applyFont="1" applyNumberFormat="1">
      <alignment horizontal="center" vertical="center"/>
    </xf>
    <xf borderId="9" fillId="3" fontId="23" numFmtId="0" xfId="0" applyAlignment="1" applyBorder="1" applyFont="1">
      <alignment horizontal="center" readingOrder="0" vertical="center"/>
    </xf>
    <xf borderId="1" fillId="12" fontId="24" numFmtId="0" xfId="0" applyAlignment="1" applyBorder="1" applyFill="1" applyFont="1">
      <alignment horizontal="center" readingOrder="0" vertical="center"/>
    </xf>
    <xf borderId="9" fillId="4" fontId="14" numFmtId="0" xfId="0" applyAlignment="1" applyBorder="1" applyFont="1">
      <alignment horizontal="center" readingOrder="0" shrinkToFit="0" vertical="center" wrapText="1"/>
    </xf>
    <xf borderId="1" fillId="4" fontId="14" numFmtId="0" xfId="0" applyAlignment="1" applyBorder="1" applyFont="1">
      <alignment horizontal="center" readingOrder="0" shrinkToFit="0" vertical="center" wrapText="1"/>
    </xf>
    <xf borderId="1" fillId="4" fontId="14" numFmtId="172" xfId="0" applyAlignment="1" applyBorder="1" applyFont="1" applyNumberFormat="1">
      <alignment horizontal="right" readingOrder="0" shrinkToFit="0" vertical="center" wrapText="1"/>
    </xf>
    <xf borderId="1" fillId="4" fontId="14" numFmtId="168" xfId="0" applyAlignment="1" applyBorder="1" applyFont="1" applyNumberFormat="1">
      <alignment horizontal="right" readingOrder="0" shrinkToFit="0" vertical="center" wrapText="1"/>
    </xf>
    <xf borderId="1" fillId="4" fontId="14" numFmtId="173" xfId="0" applyAlignment="1" applyBorder="1" applyFont="1" applyNumberFormat="1">
      <alignment horizontal="center" readingOrder="0" shrinkToFit="0" vertical="center" wrapText="1"/>
    </xf>
    <xf borderId="1" fillId="4" fontId="14" numFmtId="166" xfId="0" applyAlignment="1" applyBorder="1" applyFont="1" applyNumberFormat="1">
      <alignment horizontal="center" readingOrder="0" shrinkToFit="0" vertical="center" wrapText="1"/>
    </xf>
    <xf borderId="1" fillId="3" fontId="7" numFmtId="174" xfId="0" applyAlignment="1" applyBorder="1" applyFont="1" applyNumberFormat="1">
      <alignment horizontal="center" readingOrder="0" shrinkToFit="0" vertical="center" wrapText="1"/>
    </xf>
    <xf borderId="1" fillId="4" fontId="14" numFmtId="168" xfId="0" applyAlignment="1" applyBorder="1" applyFont="1" applyNumberFormat="1">
      <alignment horizontal="center" readingOrder="0" shrinkToFit="0" vertical="center" wrapText="1"/>
    </xf>
    <xf borderId="1" fillId="3" fontId="7" numFmtId="0" xfId="0" applyAlignment="1" applyBorder="1" applyFont="1">
      <alignment horizontal="center" readingOrder="0" shrinkToFit="0" vertical="center" wrapText="1"/>
    </xf>
    <xf borderId="1" fillId="4" fontId="14" numFmtId="10" xfId="0" applyAlignment="1" applyBorder="1" applyFont="1" applyNumberFormat="1">
      <alignment horizontal="center" readingOrder="0" shrinkToFit="0" vertical="center" wrapText="1"/>
    </xf>
    <xf borderId="10" fillId="4"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0" fillId="9" fontId="14" numFmtId="0" xfId="0" applyAlignment="1" applyBorder="1" applyFont="1">
      <alignment horizontal="center" readingOrder="0" shrinkToFit="0" vertical="center" wrapText="1"/>
    </xf>
    <xf borderId="0" fillId="0" fontId="10" numFmtId="172" xfId="0" applyAlignment="1" applyFont="1" applyNumberFormat="1">
      <alignment horizontal="right" vertical="center"/>
    </xf>
    <xf borderId="0" fillId="0" fontId="10" numFmtId="168" xfId="0" applyAlignment="1" applyFont="1" applyNumberFormat="1">
      <alignment horizontal="right" vertical="center"/>
    </xf>
    <xf borderId="0" fillId="0" fontId="10" numFmtId="173" xfId="0" applyAlignment="1" applyFont="1" applyNumberFormat="1">
      <alignment horizontal="center" vertical="center"/>
    </xf>
    <xf borderId="0" fillId="0" fontId="10" numFmtId="168" xfId="0" applyAlignment="1" applyFont="1" applyNumberFormat="1">
      <alignment horizontal="center" vertical="center"/>
    </xf>
    <xf borderId="0" fillId="0" fontId="10" numFmtId="10" xfId="0" applyAlignment="1" applyFont="1" applyNumberFormat="1">
      <alignment horizontal="center" readingOrder="0" vertical="center"/>
    </xf>
    <xf borderId="12" fillId="0" fontId="10" numFmtId="0" xfId="0" applyAlignment="1" applyBorder="1" applyFont="1">
      <alignment horizontal="center" vertical="center"/>
    </xf>
    <xf borderId="0" fillId="0" fontId="10" numFmtId="165" xfId="0" applyAlignment="1" applyFont="1" applyNumberFormat="1">
      <alignment horizontal="center" readingOrder="0" vertical="center"/>
    </xf>
    <xf borderId="0" fillId="0" fontId="10" numFmtId="0" xfId="0" applyAlignment="1" applyFont="1">
      <alignment horizontal="center" readingOrder="0" vertical="center"/>
    </xf>
    <xf borderId="0" fillId="0" fontId="10" numFmtId="0" xfId="0" applyAlignment="1" applyFont="1">
      <alignment horizontal="left" vertical="center"/>
    </xf>
    <xf borderId="0" fillId="0" fontId="10" numFmtId="175" xfId="0" applyAlignment="1" applyFont="1" applyNumberFormat="1">
      <alignment horizontal="center" vertical="center"/>
    </xf>
    <xf borderId="1" fillId="4" fontId="14" numFmtId="172" xfId="0" applyAlignment="1" applyBorder="1" applyFont="1" applyNumberFormat="1">
      <alignment horizontal="center" readingOrder="0" shrinkToFit="0" vertical="center" wrapText="1"/>
    </xf>
    <xf borderId="1" fillId="4" fontId="14" numFmtId="174" xfId="0" applyAlignment="1" applyBorder="1" applyFont="1" applyNumberFormat="1">
      <alignment horizontal="center" readingOrder="0" shrinkToFit="0" vertical="center" wrapText="1"/>
    </xf>
    <xf borderId="16" fillId="3" fontId="23" numFmtId="0" xfId="0" applyAlignment="1" applyBorder="1" applyFont="1">
      <alignment horizontal="center" readingOrder="0" vertical="center"/>
    </xf>
    <xf borderId="17" fillId="0" fontId="4" numFmtId="0" xfId="0" applyBorder="1" applyFont="1"/>
    <xf borderId="16" fillId="13" fontId="25" numFmtId="166" xfId="0" applyAlignment="1" applyBorder="1" applyFill="1" applyFont="1" applyNumberFormat="1">
      <alignment horizontal="center" readingOrder="0" vertical="center"/>
    </xf>
    <xf borderId="18" fillId="0" fontId="4" numFmtId="0" xfId="0" applyBorder="1" applyFont="1"/>
    <xf borderId="19" fillId="14" fontId="25" numFmtId="165" xfId="0" applyAlignment="1" applyBorder="1" applyFill="1" applyFont="1" applyNumberFormat="1">
      <alignment horizontal="center" readingOrder="0" vertical="center"/>
    </xf>
    <xf borderId="19" fillId="0" fontId="4" numFmtId="0" xfId="0" applyBorder="1" applyFont="1"/>
    <xf borderId="20" fillId="0" fontId="4" numFmtId="0" xfId="0" applyBorder="1" applyFont="1"/>
    <xf borderId="3" fillId="4" fontId="25" numFmtId="165" xfId="0" applyAlignment="1" applyBorder="1" applyFont="1" applyNumberFormat="1">
      <alignment horizontal="center" readingOrder="0" vertical="center"/>
    </xf>
    <xf borderId="0" fillId="4" fontId="25" numFmtId="165" xfId="0" applyAlignment="1" applyFont="1" applyNumberFormat="1">
      <alignment horizontal="center" readingOrder="0" vertical="center"/>
    </xf>
    <xf borderId="3" fillId="0" fontId="14" numFmtId="0" xfId="0" applyAlignment="1" applyBorder="1" applyFont="1">
      <alignment horizontal="center" readingOrder="0" shrinkToFit="0" vertical="center" wrapText="1"/>
    </xf>
    <xf borderId="4" fillId="0" fontId="14" numFmtId="0" xfId="0" applyAlignment="1" applyBorder="1" applyFont="1">
      <alignment horizontal="center" readingOrder="0" shrinkToFit="0" vertical="center" wrapText="1"/>
    </xf>
    <xf borderId="4" fillId="0" fontId="14" numFmtId="168" xfId="0" applyAlignment="1" applyBorder="1" applyFont="1" applyNumberFormat="1">
      <alignment horizontal="right" readingOrder="0" shrinkToFit="0" vertical="center" wrapText="1"/>
    </xf>
    <xf borderId="4" fillId="0" fontId="14" numFmtId="176" xfId="0" applyAlignment="1" applyBorder="1" applyFont="1" applyNumberFormat="1">
      <alignment horizontal="center" readingOrder="0" shrinkToFit="0" vertical="center" wrapText="1"/>
    </xf>
    <xf borderId="14" fillId="15" fontId="14" numFmtId="177" xfId="0" applyAlignment="1" applyBorder="1" applyFill="1" applyFont="1" applyNumberFormat="1">
      <alignment horizontal="center" readingOrder="0" shrinkToFit="0" vertical="center" wrapText="1"/>
    </xf>
    <xf borderId="4" fillId="12" fontId="14" numFmtId="166" xfId="0" applyAlignment="1" applyBorder="1" applyFont="1" applyNumberFormat="1">
      <alignment horizontal="center" readingOrder="0" shrinkToFit="0" vertical="center" wrapText="1"/>
    </xf>
    <xf borderId="4" fillId="12" fontId="14" numFmtId="0" xfId="0" applyAlignment="1" applyBorder="1" applyFont="1">
      <alignment horizontal="center" readingOrder="0" shrinkToFit="0" vertical="center" wrapText="1"/>
    </xf>
    <xf borderId="3" fillId="12" fontId="14" numFmtId="0" xfId="0" applyAlignment="1" applyBorder="1" applyFont="1">
      <alignment horizontal="center" readingOrder="0" shrinkToFit="0" vertical="center" wrapText="1"/>
    </xf>
    <xf borderId="5" fillId="12" fontId="14" numFmtId="166" xfId="0" applyAlignment="1" applyBorder="1" applyFont="1" applyNumberFormat="1">
      <alignment horizontal="center" readingOrder="0" shrinkToFit="0" vertical="center" wrapText="1"/>
    </xf>
    <xf borderId="5" fillId="12" fontId="14" numFmtId="0" xfId="0" applyAlignment="1" applyBorder="1" applyFont="1">
      <alignment horizontal="center" readingOrder="0" shrinkToFit="0" vertical="center" wrapText="1"/>
    </xf>
    <xf borderId="0" fillId="12" fontId="14" numFmtId="0" xfId="0" applyAlignment="1" applyFont="1">
      <alignment horizontal="center" readingOrder="0" shrinkToFit="0" vertical="center" wrapText="1"/>
    </xf>
    <xf borderId="21" fillId="16" fontId="9" numFmtId="0" xfId="0" applyAlignment="1" applyBorder="1" applyFill="1" applyFont="1">
      <alignment horizontal="center" vertical="bottom"/>
    </xf>
    <xf borderId="21" fillId="16" fontId="9" numFmtId="169" xfId="0" applyAlignment="1" applyBorder="1" applyFont="1" applyNumberFormat="1">
      <alignment horizontal="center" vertical="bottom"/>
    </xf>
    <xf borderId="21" fillId="16" fontId="18" numFmtId="0" xfId="0" applyAlignment="1" applyBorder="1" applyFont="1">
      <alignment vertical="bottom"/>
    </xf>
    <xf borderId="21" fillId="16" fontId="26" numFmtId="0" xfId="0" applyAlignment="1" applyBorder="1" applyFont="1">
      <alignment horizontal="center" vertical="bottom"/>
    </xf>
    <xf borderId="21" fillId="16" fontId="16" numFmtId="0" xfId="0" applyAlignment="1" applyBorder="1" applyFont="1">
      <alignment horizontal="center" vertical="bottom"/>
    </xf>
    <xf borderId="21" fillId="16" fontId="9" numFmtId="178" xfId="0" applyAlignment="1" applyBorder="1" applyFont="1" applyNumberFormat="1">
      <alignment horizontal="center" vertical="bottom"/>
    </xf>
    <xf borderId="21" fillId="16" fontId="9" numFmtId="165" xfId="0" applyAlignment="1" applyBorder="1" applyFont="1" applyNumberFormat="1">
      <alignment horizontal="right" vertical="bottom"/>
    </xf>
    <xf borderId="21" fillId="16" fontId="27" numFmtId="176" xfId="0" applyAlignment="1" applyBorder="1" applyFont="1" applyNumberFormat="1">
      <alignment horizontal="right" vertical="bottom"/>
    </xf>
    <xf borderId="22" fillId="16" fontId="18" numFmtId="0" xfId="0" applyAlignment="1" applyBorder="1" applyFont="1">
      <alignment vertical="bottom"/>
    </xf>
    <xf borderId="7" fillId="17" fontId="16" numFmtId="177" xfId="0" applyAlignment="1" applyBorder="1" applyFill="1" applyFont="1" applyNumberFormat="1">
      <alignment horizontal="center" vertical="bottom"/>
    </xf>
    <xf borderId="8" fillId="9" fontId="9" numFmtId="166" xfId="0" applyAlignment="1" applyBorder="1" applyFont="1" applyNumberFormat="1">
      <alignment horizontal="center" vertical="bottom"/>
    </xf>
    <xf borderId="8" fillId="9" fontId="9" numFmtId="0" xfId="0" applyAlignment="1" applyBorder="1" applyFont="1">
      <alignment horizontal="center" vertical="bottom"/>
    </xf>
    <xf borderId="7" fillId="9" fontId="9" numFmtId="166" xfId="0" applyAlignment="1" applyBorder="1" applyFont="1" applyNumberFormat="1">
      <alignment horizontal="center" vertical="bottom"/>
    </xf>
    <xf borderId="8" fillId="9" fontId="27" numFmtId="166" xfId="0" applyAlignment="1" applyBorder="1" applyFont="1" applyNumberFormat="1">
      <alignment horizontal="center" vertical="bottom"/>
    </xf>
    <xf borderId="7" fillId="9" fontId="16" numFmtId="166" xfId="0" applyAlignment="1" applyBorder="1" applyFont="1" applyNumberFormat="1">
      <alignment horizontal="center" vertical="bottom"/>
    </xf>
    <xf borderId="7" fillId="9" fontId="18" numFmtId="0" xfId="0" applyAlignment="1" applyBorder="1" applyFont="1">
      <alignment vertical="bottom"/>
    </xf>
    <xf borderId="0" fillId="9" fontId="18" numFmtId="0" xfId="0" applyAlignment="1" applyFont="1">
      <alignment vertical="bottom"/>
    </xf>
    <xf borderId="23" fillId="16" fontId="9" numFmtId="0" xfId="0" applyAlignment="1" applyBorder="1" applyFont="1">
      <alignment horizontal="center" vertical="bottom"/>
    </xf>
    <xf borderId="23" fillId="16" fontId="9" numFmtId="169" xfId="0" applyAlignment="1" applyBorder="1" applyFont="1" applyNumberFormat="1">
      <alignment horizontal="center" vertical="bottom"/>
    </xf>
    <xf borderId="23" fillId="16" fontId="16" numFmtId="0" xfId="0" applyAlignment="1" applyBorder="1" applyFont="1">
      <alignment horizontal="center" vertical="bottom"/>
    </xf>
    <xf borderId="23" fillId="16" fontId="9" numFmtId="178" xfId="0" applyAlignment="1" applyBorder="1" applyFont="1" applyNumberFormat="1">
      <alignment horizontal="center" vertical="bottom"/>
    </xf>
    <xf borderId="23" fillId="16" fontId="9" numFmtId="165" xfId="0" applyAlignment="1" applyBorder="1" applyFont="1" applyNumberFormat="1">
      <alignment horizontal="right" vertical="bottom"/>
    </xf>
    <xf borderId="23" fillId="16" fontId="27" numFmtId="176" xfId="0" applyAlignment="1" applyBorder="1" applyFont="1" applyNumberFormat="1">
      <alignment horizontal="right" vertical="bottom"/>
    </xf>
    <xf borderId="24" fillId="16" fontId="18" numFmtId="0" xfId="0" applyAlignment="1" applyBorder="1" applyFont="1">
      <alignment vertical="bottom"/>
    </xf>
    <xf borderId="12" fillId="17" fontId="16" numFmtId="177" xfId="0" applyAlignment="1" applyBorder="1" applyFont="1" applyNumberFormat="1">
      <alignment horizontal="center" vertical="bottom"/>
    </xf>
    <xf borderId="0" fillId="9" fontId="9" numFmtId="166" xfId="0" applyAlignment="1" applyFont="1" applyNumberFormat="1">
      <alignment horizontal="center" vertical="bottom"/>
    </xf>
    <xf borderId="0" fillId="9" fontId="9" numFmtId="0" xfId="0" applyAlignment="1" applyFont="1">
      <alignment horizontal="center" vertical="bottom"/>
    </xf>
    <xf borderId="12" fillId="9" fontId="9" numFmtId="166" xfId="0" applyAlignment="1" applyBorder="1" applyFont="1" applyNumberFormat="1">
      <alignment horizontal="center" vertical="bottom"/>
    </xf>
    <xf borderId="0" fillId="9" fontId="27" numFmtId="166" xfId="0" applyAlignment="1" applyFont="1" applyNumberFormat="1">
      <alignment horizontal="center" vertical="bottom"/>
    </xf>
    <xf borderId="12" fillId="9" fontId="16" numFmtId="166" xfId="0" applyAlignment="1" applyBorder="1" applyFont="1" applyNumberFormat="1">
      <alignment horizontal="center" vertical="bottom"/>
    </xf>
    <xf borderId="12" fillId="9" fontId="18" numFmtId="0" xfId="0" applyAlignment="1" applyBorder="1" applyFont="1">
      <alignment vertical="bottom"/>
    </xf>
    <xf borderId="0" fillId="9" fontId="28" numFmtId="166" xfId="0" applyAlignment="1" applyFont="1" applyNumberFormat="1">
      <alignment horizontal="right" vertical="bottom"/>
    </xf>
    <xf borderId="23" fillId="16" fontId="9" numFmtId="169" xfId="0" applyAlignment="1" applyBorder="1" applyFont="1" applyNumberFormat="1">
      <alignment horizontal="center"/>
    </xf>
    <xf borderId="23" fillId="16" fontId="18" numFmtId="176" xfId="0" applyAlignment="1" applyBorder="1" applyFont="1" applyNumberFormat="1">
      <alignment vertical="bottom"/>
    </xf>
    <xf borderId="0" fillId="9" fontId="18" numFmtId="166" xfId="0" applyAlignment="1" applyFont="1" applyNumberFormat="1">
      <alignment vertical="bottom"/>
    </xf>
    <xf borderId="0" fillId="9" fontId="18" numFmtId="165" xfId="0" applyAlignment="1" applyFont="1" applyNumberFormat="1">
      <alignment horizontal="right" vertical="bottom"/>
    </xf>
    <xf borderId="23" fillId="16" fontId="9" numFmtId="0" xfId="0" applyAlignment="1" applyBorder="1" applyFont="1">
      <alignment horizontal="center"/>
    </xf>
    <xf borderId="23" fillId="16" fontId="18" numFmtId="0" xfId="0" applyAlignment="1" applyBorder="1" applyFont="1">
      <alignment vertical="bottom"/>
    </xf>
    <xf borderId="23" fillId="16" fontId="26" numFmtId="0" xfId="0" applyAlignment="1" applyBorder="1" applyFont="1">
      <alignment horizontal="center" vertical="bottom"/>
    </xf>
    <xf borderId="24" fillId="16" fontId="18" numFmtId="0" xfId="0" applyBorder="1" applyFont="1"/>
    <xf borderId="12" fillId="17" fontId="16" numFmtId="177" xfId="0" applyAlignment="1" applyBorder="1" applyFont="1" applyNumberFormat="1">
      <alignment horizontal="center"/>
    </xf>
    <xf borderId="0" fillId="9" fontId="9" numFmtId="166" xfId="0" applyAlignment="1" applyFont="1" applyNumberFormat="1">
      <alignment horizontal="center"/>
    </xf>
    <xf borderId="0" fillId="9" fontId="9" numFmtId="0" xfId="0" applyAlignment="1" applyFont="1">
      <alignment horizontal="center"/>
    </xf>
    <xf borderId="12" fillId="9" fontId="9" numFmtId="166" xfId="0" applyAlignment="1" applyBorder="1" applyFont="1" applyNumberFormat="1">
      <alignment horizontal="center"/>
    </xf>
    <xf borderId="0" fillId="9" fontId="27" numFmtId="166" xfId="0" applyAlignment="1" applyFont="1" applyNumberFormat="1">
      <alignment horizontal="center"/>
    </xf>
    <xf borderId="12" fillId="9" fontId="16" numFmtId="166" xfId="0" applyAlignment="1" applyBorder="1" applyFont="1" applyNumberFormat="1">
      <alignment horizontal="center"/>
    </xf>
    <xf borderId="12" fillId="9" fontId="9" numFmtId="0" xfId="0" applyAlignment="1" applyBorder="1" applyFont="1">
      <alignment horizontal="center"/>
    </xf>
    <xf borderId="0" fillId="9" fontId="18" numFmtId="0" xfId="0" applyFont="1"/>
    <xf borderId="23" fillId="16" fontId="16" numFmtId="0" xfId="0" applyAlignment="1" applyBorder="1" applyFont="1">
      <alignment horizontal="center"/>
    </xf>
    <xf borderId="23" fillId="16" fontId="9" numFmtId="165" xfId="0" applyAlignment="1" applyBorder="1" applyFont="1" applyNumberFormat="1">
      <alignment horizontal="right" readingOrder="0"/>
    </xf>
    <xf borderId="23" fillId="16" fontId="18" numFmtId="176" xfId="0" applyBorder="1" applyFont="1" applyNumberFormat="1"/>
    <xf borderId="23" fillId="0" fontId="10" numFmtId="0" xfId="0" applyAlignment="1" applyBorder="1" applyFont="1">
      <alignment horizontal="center" readingOrder="0" vertical="center"/>
    </xf>
    <xf borderId="23" fillId="16" fontId="9" numFmtId="0" xfId="0" applyAlignment="1" applyBorder="1" applyFont="1">
      <alignment horizontal="center" readingOrder="0"/>
    </xf>
    <xf borderId="23" fillId="0" fontId="10" numFmtId="176" xfId="0" applyAlignment="1" applyBorder="1" applyFont="1" applyNumberFormat="1">
      <alignment horizontal="center" vertical="center"/>
    </xf>
    <xf borderId="23" fillId="0" fontId="10" numFmtId="0" xfId="0" applyAlignment="1" applyBorder="1" applyFont="1">
      <alignment horizontal="center" vertical="center"/>
    </xf>
    <xf borderId="15" fillId="0" fontId="10" numFmtId="177" xfId="0" applyAlignment="1" applyBorder="1" applyFont="1" applyNumberFormat="1">
      <alignment horizontal="center" vertical="center"/>
    </xf>
    <xf borderId="0" fillId="9" fontId="10" numFmtId="166" xfId="0" applyAlignment="1" applyFont="1" applyNumberFormat="1">
      <alignment horizontal="center" vertical="center"/>
    </xf>
    <xf borderId="0" fillId="9" fontId="10" numFmtId="0" xfId="0" applyAlignment="1" applyFont="1">
      <alignment horizontal="center" vertical="center"/>
    </xf>
    <xf borderId="12" fillId="9" fontId="10" numFmtId="166" xfId="0" applyAlignment="1" applyBorder="1" applyFont="1" applyNumberFormat="1">
      <alignment horizontal="center" vertical="center"/>
    </xf>
    <xf borderId="12" fillId="9" fontId="17" numFmtId="166" xfId="0" applyAlignment="1" applyBorder="1" applyFont="1" applyNumberFormat="1">
      <alignment horizontal="center" vertical="center"/>
    </xf>
    <xf borderId="12" fillId="9" fontId="10" numFmtId="0" xfId="0" applyAlignment="1" applyBorder="1" applyFont="1">
      <alignment horizontal="center" vertical="center"/>
    </xf>
    <xf borderId="23" fillId="16" fontId="9" numFmtId="169" xfId="0" applyAlignment="1" applyBorder="1" applyFont="1" applyNumberFormat="1">
      <alignment horizontal="center" readingOrder="0"/>
    </xf>
    <xf borderId="23" fillId="0" fontId="10" numFmtId="169" xfId="0" applyAlignment="1" applyBorder="1" applyFont="1" applyNumberFormat="1">
      <alignment horizontal="center" readingOrder="0" vertical="center"/>
    </xf>
    <xf borderId="23" fillId="0" fontId="10" numFmtId="168" xfId="0" applyAlignment="1" applyBorder="1" applyFont="1" applyNumberFormat="1">
      <alignment horizontal="right" readingOrder="0" vertical="center"/>
    </xf>
    <xf borderId="23" fillId="0" fontId="17" numFmtId="0" xfId="0" applyAlignment="1" applyBorder="1" applyFont="1">
      <alignment horizontal="center" readingOrder="0" vertical="center"/>
    </xf>
    <xf borderId="23" fillId="0" fontId="10" numFmtId="168" xfId="0" applyAlignment="1" applyBorder="1" applyFont="1" applyNumberFormat="1">
      <alignment horizontal="right" vertical="center"/>
    </xf>
    <xf borderId="3" fillId="18" fontId="19" numFmtId="0" xfId="0" applyAlignment="1" applyBorder="1" applyFill="1" applyFont="1">
      <alignment horizontal="center" readingOrder="0" shrinkToFit="0" vertical="center" wrapText="1"/>
    </xf>
    <xf borderId="4" fillId="18" fontId="19" numFmtId="0" xfId="0" applyAlignment="1" applyBorder="1" applyFont="1">
      <alignment horizontal="center" readingOrder="0" shrinkToFit="0" vertical="center" wrapText="1"/>
    </xf>
    <xf borderId="5" fillId="18" fontId="19" numFmtId="0" xfId="0" applyAlignment="1" applyBorder="1" applyFont="1">
      <alignment horizontal="center" readingOrder="0" shrinkToFit="0" vertical="center" wrapText="1"/>
    </xf>
    <xf borderId="4" fillId="3" fontId="29" numFmtId="0" xfId="0" applyAlignment="1" applyBorder="1" applyFont="1">
      <alignment horizontal="center" readingOrder="0" shrinkToFit="0" vertical="center" wrapText="1"/>
    </xf>
    <xf borderId="4" fillId="3" fontId="29" numFmtId="179" xfId="0" applyAlignment="1" applyBorder="1" applyFont="1" applyNumberFormat="1">
      <alignment horizontal="center" readingOrder="0" shrinkToFit="0" vertical="center" wrapText="1"/>
    </xf>
    <xf borderId="25" fillId="3" fontId="29" numFmtId="180" xfId="0" applyAlignment="1" applyBorder="1" applyFont="1" applyNumberFormat="1">
      <alignment horizontal="center" readingOrder="0" shrinkToFit="0" vertical="center" wrapText="1"/>
    </xf>
    <xf borderId="4" fillId="3" fontId="29" numFmtId="181" xfId="0" applyAlignment="1" applyBorder="1" applyFont="1" applyNumberFormat="1">
      <alignment horizontal="center" readingOrder="0" shrinkToFit="0" vertical="center" wrapText="1"/>
    </xf>
    <xf borderId="4" fillId="18" fontId="19" numFmtId="182" xfId="0" applyAlignment="1" applyBorder="1" applyFont="1" applyNumberFormat="1">
      <alignment horizontal="center" readingOrder="0" shrinkToFit="0" vertical="center" wrapText="1"/>
    </xf>
    <xf borderId="5" fillId="18" fontId="19" numFmtId="0" xfId="0" applyAlignment="1" applyBorder="1" applyFont="1">
      <alignment horizontal="center" readingOrder="0" shrinkToFit="0" vertical="top" wrapText="1"/>
    </xf>
    <xf borderId="0" fillId="0" fontId="1" numFmtId="0" xfId="0" applyAlignment="1" applyFont="1">
      <alignment horizontal="center" readingOrder="0" vertical="center"/>
    </xf>
    <xf borderId="0" fillId="0" fontId="1" numFmtId="0" xfId="0" applyAlignment="1" applyFont="1">
      <alignment vertical="top"/>
    </xf>
    <xf borderId="0" fillId="0" fontId="8" numFmtId="0" xfId="0" applyAlignment="1" applyFont="1">
      <alignment horizontal="center"/>
    </xf>
    <xf borderId="26" fillId="0" fontId="8" numFmtId="0" xfId="0" applyAlignment="1" applyBorder="1" applyFont="1">
      <alignment horizontal="center"/>
    </xf>
    <xf borderId="26" fillId="0" fontId="4" numFmtId="0" xfId="0" applyBorder="1" applyFont="1"/>
    <xf borderId="3" fillId="4" fontId="19" numFmtId="0" xfId="0" applyAlignment="1" applyBorder="1" applyFont="1">
      <alignment horizontal="center" readingOrder="0" vertical="center"/>
    </xf>
    <xf borderId="5" fillId="3" fontId="29" numFmtId="0" xfId="0" applyAlignment="1" applyBorder="1" applyFont="1">
      <alignment horizontal="center" readingOrder="0" shrinkToFit="0" vertical="center" wrapText="1"/>
    </xf>
    <xf borderId="4" fillId="3" fontId="29" numFmtId="183" xfId="0" applyAlignment="1" applyBorder="1" applyFont="1" applyNumberFormat="1">
      <alignment horizontal="center" readingOrder="0" shrinkToFit="0" vertical="center" wrapText="1"/>
    </xf>
    <xf borderId="4" fillId="3" fontId="29" numFmtId="183" xfId="0" applyAlignment="1" applyBorder="1" applyFont="1" applyNumberFormat="1">
      <alignment horizontal="center" readingOrder="0" shrinkToFit="0" vertical="center" wrapText="1"/>
    </xf>
    <xf borderId="0" fillId="0" fontId="9" numFmtId="0" xfId="0" applyAlignment="1" applyFont="1">
      <alignment horizontal="center"/>
    </xf>
    <xf borderId="0" fillId="0" fontId="9" numFmtId="0" xfId="0" applyFont="1"/>
    <xf borderId="11" fillId="5" fontId="19" numFmtId="0" xfId="0" applyAlignment="1" applyBorder="1" applyFont="1">
      <alignment horizontal="center" readingOrder="0" vertical="center"/>
    </xf>
    <xf borderId="12" fillId="5" fontId="1" numFmtId="0" xfId="0" applyAlignment="1" applyBorder="1" applyFont="1">
      <alignment horizontal="center" shrinkToFit="0" vertical="center" wrapText="1"/>
    </xf>
    <xf borderId="8" fillId="4" fontId="30" numFmtId="0" xfId="0" applyAlignment="1" applyBorder="1" applyFont="1">
      <alignment vertical="center"/>
    </xf>
    <xf borderId="6" fillId="4" fontId="30" numFmtId="0" xfId="0" applyAlignment="1" applyBorder="1" applyFont="1">
      <alignment vertical="center"/>
    </xf>
    <xf borderId="12" fillId="5" fontId="1" numFmtId="165" xfId="0" applyAlignment="1" applyBorder="1" applyFont="1" applyNumberFormat="1">
      <alignment horizontal="center" vertical="center"/>
    </xf>
    <xf borderId="11" fillId="0" fontId="4" numFmtId="0" xfId="0" applyBorder="1" applyFont="1"/>
    <xf borderId="12" fillId="5" fontId="1" numFmtId="0" xfId="0" applyAlignment="1" applyBorder="1" applyFont="1">
      <alignment horizontal="center" vertical="center"/>
    </xf>
    <xf borderId="12" fillId="5" fontId="1" numFmtId="3" xfId="0" applyAlignment="1" applyBorder="1" applyFont="1" applyNumberFormat="1">
      <alignment horizontal="center" vertical="center"/>
    </xf>
    <xf borderId="12" fillId="5" fontId="1" numFmtId="165" xfId="0" applyAlignment="1" applyBorder="1" applyFont="1" applyNumberFormat="1">
      <alignment horizontal="center" readingOrder="0" vertical="center"/>
    </xf>
    <xf borderId="14" fillId="4" fontId="19" numFmtId="0" xfId="0" applyAlignment="1" applyBorder="1" applyFont="1">
      <alignment horizontal="center" readingOrder="0" vertical="center"/>
    </xf>
    <xf borderId="14" fillId="3" fontId="29" numFmtId="0" xfId="0" applyAlignment="1" applyBorder="1" applyFont="1">
      <alignment horizontal="center" readingOrder="0" vertical="center"/>
    </xf>
    <xf borderId="12" fillId="5" fontId="1" numFmtId="10" xfId="0" applyAlignment="1" applyBorder="1" applyFont="1" applyNumberFormat="1">
      <alignment horizontal="center" vertical="center"/>
    </xf>
    <xf borderId="27" fillId="5" fontId="18" numFmtId="165" xfId="0" applyAlignment="1" applyBorder="1" applyFont="1" applyNumberFormat="1">
      <alignment horizontal="center"/>
    </xf>
    <xf borderId="28" fillId="0" fontId="1" numFmtId="165" xfId="0" applyAlignment="1" applyBorder="1" applyFont="1" applyNumberFormat="1">
      <alignment horizontal="center" readingOrder="0" vertical="center"/>
    </xf>
    <xf borderId="29" fillId="5" fontId="18" numFmtId="165" xfId="0" applyAlignment="1" applyBorder="1" applyFont="1" applyNumberFormat="1">
      <alignment horizontal="center"/>
    </xf>
    <xf borderId="30" fillId="5" fontId="18" numFmtId="165" xfId="0" applyAlignment="1" applyBorder="1" applyFont="1" applyNumberFormat="1">
      <alignment horizontal="center"/>
    </xf>
    <xf borderId="0" fillId="0" fontId="19" numFmtId="165" xfId="0" applyAlignment="1" applyFont="1" applyNumberFormat="1">
      <alignment horizontal="center" vertical="center"/>
    </xf>
    <xf borderId="0" fillId="0" fontId="1" numFmtId="10" xfId="0" applyAlignment="1" applyFont="1" applyNumberFormat="1">
      <alignment horizontal="center" vertical="center"/>
    </xf>
    <xf borderId="0" fillId="0" fontId="1" numFmtId="165" xfId="0" applyAlignment="1" applyFont="1" applyNumberFormat="1">
      <alignment horizontal="center" vertical="center"/>
    </xf>
    <xf borderId="0" fillId="0" fontId="1" numFmtId="2" xfId="0" applyAlignment="1" applyFont="1" applyNumberFormat="1">
      <alignment horizontal="center" vertical="center"/>
    </xf>
    <xf borderId="0" fillId="0" fontId="1" numFmtId="0" xfId="0" applyAlignment="1" applyFont="1">
      <alignment horizontal="center" shrinkToFit="0" vertical="center" wrapText="1"/>
    </xf>
    <xf borderId="0" fillId="0" fontId="31" numFmtId="0" xfId="0" applyAlignment="1" applyFont="1">
      <alignment horizontal="center" shrinkToFit="0" vertical="center" wrapText="1"/>
    </xf>
    <xf borderId="30" fillId="0" fontId="18" numFmtId="165" xfId="0" applyAlignment="1" applyBorder="1" applyFont="1" applyNumberFormat="1">
      <alignment shrinkToFit="0" vertical="top" wrapText="1"/>
    </xf>
    <xf borderId="31" fillId="5" fontId="18" numFmtId="0" xfId="0" applyAlignment="1" applyBorder="1" applyFont="1">
      <alignment horizontal="center"/>
    </xf>
    <xf borderId="28" fillId="5" fontId="18" numFmtId="165" xfId="0" applyBorder="1" applyFont="1" applyNumberFormat="1"/>
    <xf borderId="32" fillId="5" fontId="18" numFmtId="165" xfId="0" applyBorder="1" applyFont="1" applyNumberFormat="1"/>
    <xf borderId="32" fillId="0" fontId="18" numFmtId="165" xfId="0" applyAlignment="1" applyBorder="1" applyFont="1" applyNumberFormat="1">
      <alignment shrinkToFit="0" vertical="top" wrapText="1"/>
    </xf>
    <xf borderId="0" fillId="0" fontId="1" numFmtId="165" xfId="0" applyAlignment="1" applyFont="1" applyNumberFormat="1">
      <alignment horizontal="left" readingOrder="0" shrinkToFit="0" vertical="center" wrapText="1"/>
    </xf>
    <xf borderId="32" fillId="0" fontId="18" numFmtId="165" xfId="0" applyAlignment="1" applyBorder="1" applyFont="1" applyNumberFormat="1">
      <alignment vertical="top"/>
    </xf>
    <xf borderId="31" fillId="5" fontId="18" numFmtId="0" xfId="0" applyAlignment="1" applyBorder="1" applyFont="1">
      <alignment horizontal="center" vertical="bottom"/>
    </xf>
    <xf borderId="28" fillId="5" fontId="18" numFmtId="165" xfId="0" applyAlignment="1" applyBorder="1" applyFont="1" applyNumberFormat="1">
      <alignment horizontal="center" vertical="bottom"/>
    </xf>
    <xf borderId="32" fillId="5" fontId="18" numFmtId="165" xfId="0" applyAlignment="1" applyBorder="1" applyFont="1" applyNumberFormat="1">
      <alignment horizontal="center" vertical="bottom"/>
    </xf>
    <xf borderId="28" fillId="5" fontId="18" numFmtId="165" xfId="0" applyAlignment="1" applyBorder="1" applyFont="1" applyNumberFormat="1">
      <alignment horizontal="center"/>
    </xf>
    <xf borderId="32" fillId="5" fontId="18" numFmtId="165" xfId="0" applyAlignment="1" applyBorder="1" applyFont="1" applyNumberFormat="1">
      <alignment horizontal="center"/>
    </xf>
    <xf borderId="31" fillId="0" fontId="1" numFmtId="0" xfId="0" applyAlignment="1" applyBorder="1" applyFont="1">
      <alignment horizontal="center" readingOrder="0" vertical="center"/>
    </xf>
    <xf borderId="32" fillId="0" fontId="1" numFmtId="165" xfId="0" applyAlignment="1" applyBorder="1" applyFont="1" applyNumberFormat="1">
      <alignment horizontal="center" readingOrder="0" vertical="center"/>
    </xf>
    <xf borderId="32" fillId="0" fontId="1" numFmtId="165" xfId="0" applyAlignment="1" applyBorder="1" applyFont="1" applyNumberFormat="1">
      <alignment horizontal="left" readingOrder="0" shrinkToFit="0" vertical="top" wrapText="1"/>
    </xf>
    <xf borderId="0" fillId="0" fontId="1" numFmtId="165" xfId="0" applyAlignment="1" applyFont="1" applyNumberFormat="1">
      <alignment horizontal="center" readingOrder="0" vertical="center"/>
    </xf>
    <xf borderId="0" fillId="0" fontId="1" numFmtId="165" xfId="0" applyAlignment="1" applyFont="1" applyNumberFormat="1">
      <alignment horizontal="left" readingOrder="0" shrinkToFit="0" vertical="top" wrapText="1"/>
    </xf>
  </cellXfs>
  <cellStyles count="1">
    <cellStyle xfId="0" name="Normal" builtinId="0"/>
  </cellStyles>
  <dxfs count="24">
    <dxf>
      <font>
        <b/>
        <color theme="7"/>
      </font>
      <fill>
        <patternFill patternType="none"/>
      </fill>
      <border/>
    </dxf>
    <dxf>
      <font>
        <b/>
        <color theme="5"/>
      </font>
      <fill>
        <patternFill patternType="none"/>
      </fill>
      <border/>
    </dxf>
    <dxf>
      <font/>
      <fill>
        <patternFill patternType="solid">
          <fgColor rgb="FFA4C2F4"/>
          <bgColor rgb="FFA4C2F4"/>
        </patternFill>
      </fill>
      <border/>
    </dxf>
    <dxf>
      <font/>
      <fill>
        <patternFill patternType="solid">
          <fgColor rgb="FFC9DAF8"/>
          <bgColor rgb="FFC9DAF8"/>
        </patternFill>
      </fill>
      <border/>
    </dxf>
    <dxf>
      <font/>
      <fill>
        <patternFill patternType="solid">
          <fgColor rgb="FFE8F0FE"/>
          <bgColor rgb="FFE8F0FE"/>
        </patternFill>
      </fill>
      <border/>
    </dxf>
    <dxf>
      <font/>
      <fill>
        <patternFill patternType="solid">
          <fgColor theme="7"/>
          <bgColor theme="7"/>
        </patternFill>
      </fill>
      <border/>
    </dxf>
    <dxf>
      <font/>
      <fill>
        <patternFill patternType="solid">
          <fgColor rgb="FFE06666"/>
          <bgColor rgb="FFE06666"/>
        </patternFill>
      </fill>
      <border/>
    </dxf>
    <dxf>
      <font/>
      <fill>
        <patternFill patternType="solid">
          <fgColor rgb="FFFFD966"/>
          <bgColor rgb="FFFFD966"/>
        </patternFill>
      </fill>
      <border/>
    </dxf>
    <dxf>
      <font>
        <color theme="5"/>
      </font>
      <fill>
        <patternFill patternType="none"/>
      </fill>
      <border/>
    </dxf>
    <dxf>
      <font/>
      <fill>
        <patternFill patternType="solid">
          <fgColor rgb="FFF4CCCC"/>
          <bgColor rgb="FFF4CCCC"/>
        </patternFill>
      </fill>
      <border/>
    </dxf>
    <dxf>
      <font>
        <b/>
        <color rgb="FF34A853"/>
      </font>
      <fill>
        <patternFill patternType="none"/>
      </fill>
      <border/>
    </dxf>
    <dxf>
      <font>
        <b/>
        <color rgb="FFEA4335"/>
      </font>
      <fill>
        <patternFill patternType="none"/>
      </fill>
      <border/>
    </dxf>
    <dxf>
      <font>
        <color rgb="FFFFFFFF"/>
      </font>
      <fill>
        <patternFill patternType="solid">
          <fgColor rgb="FF1C4587"/>
          <bgColor rgb="FF1C4587"/>
        </patternFill>
      </fill>
      <border/>
    </dxf>
    <dxf>
      <font>
        <color theme="1"/>
      </font>
      <fill>
        <patternFill patternType="none"/>
      </fill>
      <border/>
    </dxf>
    <dxf>
      <font>
        <b/>
      </font>
      <fill>
        <patternFill patternType="solid">
          <fgColor rgb="FFD9D9D9"/>
          <bgColor rgb="FFD9D9D9"/>
        </patternFill>
      </fill>
      <border/>
    </dxf>
    <dxf>
      <font>
        <color rgb="FFEA4335"/>
      </font>
      <fill>
        <patternFill patternType="solid">
          <fgColor rgb="FFCFE2F3"/>
          <bgColor rgb="FFCFE2F3"/>
        </patternFill>
      </fill>
      <border/>
    </dxf>
    <dxf>
      <font>
        <b/>
        <color rgb="FFEA4335"/>
      </font>
      <fill>
        <patternFill patternType="solid">
          <fgColor rgb="FFCFE2F3"/>
          <bgColor rgb="FFCFE2F3"/>
        </patternFill>
      </fill>
      <border/>
    </dxf>
    <dxf>
      <font>
        <b/>
        <color rgb="FF34A853"/>
      </font>
      <fill>
        <patternFill patternType="solid">
          <fgColor rgb="FFCFE2F3"/>
          <bgColor rgb="FFCFE2F3"/>
        </patternFill>
      </fill>
      <border/>
    </dxf>
    <dxf>
      <font>
        <b/>
        <color rgb="FF9900FF"/>
      </font>
      <fill>
        <patternFill patternType="solid">
          <fgColor rgb="FFCFE2F3"/>
          <bgColor rgb="FFCFE2F3"/>
        </patternFill>
      </fill>
      <border/>
    </dxf>
    <dxf>
      <font>
        <b/>
        <color rgb="FF0000FF"/>
      </font>
      <fill>
        <patternFill patternType="solid">
          <fgColor rgb="FFCFE2F3"/>
          <bgColor rgb="FFCFE2F3"/>
        </patternFill>
      </fill>
      <border/>
    </dxf>
    <dxf>
      <font/>
      <fill>
        <patternFill patternType="solid">
          <fgColor rgb="FFCFE2F3"/>
          <bgColor rgb="FFCFE2F3"/>
        </patternFill>
      </fill>
      <border/>
    </dxf>
    <dxf>
      <font>
        <color theme="5"/>
      </font>
      <fill>
        <patternFill patternType="solid">
          <fgColor rgb="FFF3F3F3"/>
          <bgColor rgb="FFF3F3F3"/>
        </patternFill>
      </fill>
      <border/>
    </dxf>
    <dxf>
      <font/>
      <fill>
        <patternFill patternType="solid">
          <fgColor rgb="FFF3F3F3"/>
          <bgColor rgb="FFF3F3F3"/>
        </patternFill>
      </fill>
      <border/>
    </dxf>
    <dxf>
      <font>
        <color rgb="FFEA4335"/>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Performance per Investment</a:t>
            </a:r>
          </a:p>
        </c:rich>
      </c:tx>
      <c:overlay val="0"/>
    </c:title>
    <c:plotArea>
      <c:layout/>
      <c:barChart>
        <c:barDir val="col"/>
        <c:ser>
          <c:idx val="0"/>
          <c:order val="0"/>
          <c:tx>
            <c:strRef>
              <c:f>Portfolio!$K$2</c:f>
            </c:strRef>
          </c:tx>
          <c:spPr>
            <a:solidFill>
              <a:schemeClr val="accent1"/>
            </a:solidFill>
            <a:ln cmpd="sng">
              <a:solidFill>
                <a:srgbClr val="000000"/>
              </a:solidFill>
            </a:ln>
          </c:spPr>
          <c:cat>
            <c:strRef>
              <c:f>Portfolio!$B$3:$B$149</c:f>
            </c:strRef>
          </c:cat>
          <c:val>
            <c:numRef>
              <c:f>Portfolio!$K$3:$K$149</c:f>
              <c:numCache/>
            </c:numRef>
          </c:val>
        </c:ser>
        <c:axId val="125549215"/>
        <c:axId val="980672493"/>
      </c:barChart>
      <c:catAx>
        <c:axId val="12554921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80672493"/>
      </c:catAx>
      <c:valAx>
        <c:axId val="9806724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5549215"/>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Market Value</a:t>
            </a:r>
          </a:p>
        </c:rich>
      </c:tx>
      <c:overlay val="0"/>
    </c:title>
    <c:plotArea>
      <c:layout/>
      <c:pieChart>
        <c:varyColors val="1"/>
        <c:ser>
          <c:idx val="0"/>
          <c:order val="0"/>
          <c:tx>
            <c:strRef>
              <c:f>Portfolio!$J$2</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dPt>
          <c:dPt>
            <c:idx val="8"/>
          </c:dPt>
          <c:dPt>
            <c:idx val="9"/>
          </c:dPt>
          <c:dPt>
            <c:idx val="10"/>
          </c:dPt>
          <c:dPt>
            <c:idx val="11"/>
          </c:dPt>
          <c:dPt>
            <c:idx val="12"/>
          </c:dPt>
          <c:dPt>
            <c:idx val="13"/>
          </c:dPt>
          <c:dPt>
            <c:idx val="14"/>
          </c:dPt>
          <c:dPt>
            <c:idx val="15"/>
          </c:dPt>
          <c:dPt>
            <c:idx val="16"/>
          </c:dPt>
          <c:dPt>
            <c:idx val="17"/>
          </c:dPt>
          <c:dPt>
            <c:idx val="18"/>
          </c:dPt>
          <c:dPt>
            <c:idx val="19"/>
          </c:dPt>
          <c:dPt>
            <c:idx val="20"/>
          </c:dPt>
          <c:dPt>
            <c:idx val="21"/>
          </c:dPt>
          <c:dPt>
            <c:idx val="22"/>
          </c:dPt>
          <c:dPt>
            <c:idx val="23"/>
          </c:dPt>
          <c:dPt>
            <c:idx val="24"/>
          </c:dPt>
          <c:dPt>
            <c:idx val="25"/>
          </c:dPt>
          <c:dPt>
            <c:idx val="26"/>
          </c:dPt>
          <c:dPt>
            <c:idx val="27"/>
          </c:dPt>
          <c:dPt>
            <c:idx val="28"/>
          </c:dPt>
          <c:dPt>
            <c:idx val="29"/>
          </c:dPt>
          <c:dPt>
            <c:idx val="30"/>
          </c:dPt>
          <c:dPt>
            <c:idx val="31"/>
          </c:dPt>
          <c:dPt>
            <c:idx val="32"/>
          </c:dPt>
          <c:dPt>
            <c:idx val="33"/>
          </c:dPt>
          <c:dPt>
            <c:idx val="34"/>
          </c:dPt>
          <c:dPt>
            <c:idx val="35"/>
          </c:dPt>
          <c:dPt>
            <c:idx val="36"/>
          </c:dPt>
          <c:dPt>
            <c:idx val="37"/>
          </c:dPt>
          <c:dPt>
            <c:idx val="38"/>
          </c:dPt>
          <c:dPt>
            <c:idx val="39"/>
          </c:dPt>
          <c:dPt>
            <c:idx val="40"/>
          </c:dPt>
          <c:dPt>
            <c:idx val="41"/>
          </c:dPt>
          <c:dPt>
            <c:idx val="42"/>
          </c:dPt>
          <c:dPt>
            <c:idx val="43"/>
          </c:dPt>
          <c:dPt>
            <c:idx val="44"/>
          </c:dPt>
          <c:dPt>
            <c:idx val="45"/>
          </c:dPt>
          <c:dPt>
            <c:idx val="46"/>
          </c:dPt>
          <c:dPt>
            <c:idx val="47"/>
          </c:dPt>
          <c:dPt>
            <c:idx val="48"/>
          </c:dPt>
          <c:dPt>
            <c:idx val="49"/>
          </c:dPt>
          <c:dPt>
            <c:idx val="50"/>
          </c:dPt>
          <c:dPt>
            <c:idx val="51"/>
          </c:dPt>
          <c:dPt>
            <c:idx val="52"/>
          </c:dPt>
          <c:dPt>
            <c:idx val="53"/>
          </c:dPt>
          <c:dPt>
            <c:idx val="54"/>
          </c:dPt>
          <c:dPt>
            <c:idx val="55"/>
          </c:dPt>
          <c:dPt>
            <c:idx val="56"/>
          </c:dPt>
          <c:dPt>
            <c:idx val="57"/>
          </c:dPt>
          <c:dPt>
            <c:idx val="58"/>
          </c:dPt>
          <c:dPt>
            <c:idx val="59"/>
          </c:dPt>
          <c:dPt>
            <c:idx val="60"/>
          </c:dPt>
          <c:dPt>
            <c:idx val="61"/>
          </c:dPt>
          <c:dPt>
            <c:idx val="62"/>
          </c:dPt>
          <c:dPt>
            <c:idx val="63"/>
          </c:dPt>
          <c:dPt>
            <c:idx val="64"/>
          </c:dPt>
          <c:dPt>
            <c:idx val="65"/>
          </c:dPt>
          <c:dPt>
            <c:idx val="66"/>
          </c:dPt>
          <c:dPt>
            <c:idx val="67"/>
          </c:dPt>
          <c:dPt>
            <c:idx val="68"/>
          </c:dPt>
          <c:dPt>
            <c:idx val="69"/>
          </c:dPt>
          <c:dPt>
            <c:idx val="70"/>
          </c:dPt>
          <c:dPt>
            <c:idx val="71"/>
          </c:dPt>
          <c:dPt>
            <c:idx val="72"/>
          </c:dPt>
          <c:dPt>
            <c:idx val="73"/>
          </c:dPt>
          <c:dPt>
            <c:idx val="74"/>
          </c:dPt>
          <c:dPt>
            <c:idx val="75"/>
          </c:dPt>
          <c:dPt>
            <c:idx val="76"/>
          </c:dPt>
          <c:dPt>
            <c:idx val="77"/>
          </c:dPt>
          <c:dPt>
            <c:idx val="78"/>
          </c:dPt>
          <c:dPt>
            <c:idx val="79"/>
          </c:dPt>
          <c:dPt>
            <c:idx val="80"/>
          </c:dPt>
          <c:dPt>
            <c:idx val="81"/>
          </c:dPt>
          <c:dPt>
            <c:idx val="82"/>
          </c:dPt>
          <c:dPt>
            <c:idx val="83"/>
          </c:dPt>
          <c:dPt>
            <c:idx val="84"/>
          </c:dPt>
          <c:dPt>
            <c:idx val="85"/>
          </c:dPt>
          <c:dPt>
            <c:idx val="86"/>
          </c:dPt>
          <c:dPt>
            <c:idx val="87"/>
          </c:dPt>
          <c:dPt>
            <c:idx val="88"/>
          </c:dPt>
          <c:dPt>
            <c:idx val="89"/>
          </c:dPt>
          <c:dPt>
            <c:idx val="90"/>
          </c:dPt>
          <c:dPt>
            <c:idx val="91"/>
          </c:dPt>
          <c:dPt>
            <c:idx val="92"/>
          </c:dPt>
          <c:dPt>
            <c:idx val="93"/>
          </c:dPt>
          <c:dPt>
            <c:idx val="94"/>
          </c:dPt>
          <c:dPt>
            <c:idx val="95"/>
          </c:dPt>
          <c:dPt>
            <c:idx val="96"/>
          </c:dPt>
          <c:dPt>
            <c:idx val="97"/>
          </c:dPt>
          <c:dPt>
            <c:idx val="98"/>
          </c:dPt>
          <c:dPt>
            <c:idx val="99"/>
          </c:dPt>
          <c:dPt>
            <c:idx val="100"/>
          </c:dPt>
          <c:dPt>
            <c:idx val="101"/>
          </c:dPt>
          <c:dPt>
            <c:idx val="102"/>
          </c:dPt>
          <c:dPt>
            <c:idx val="103"/>
          </c:dPt>
          <c:dPt>
            <c:idx val="104"/>
          </c:dPt>
          <c:dPt>
            <c:idx val="105"/>
          </c:dPt>
          <c:dPt>
            <c:idx val="106"/>
          </c:dPt>
          <c:dPt>
            <c:idx val="107"/>
          </c:dPt>
          <c:dPt>
            <c:idx val="108"/>
          </c:dPt>
          <c:dPt>
            <c:idx val="109"/>
          </c:dPt>
          <c:dPt>
            <c:idx val="110"/>
          </c:dPt>
          <c:dPt>
            <c:idx val="111"/>
          </c:dPt>
          <c:dPt>
            <c:idx val="112"/>
          </c:dPt>
          <c:dPt>
            <c:idx val="113"/>
          </c:dPt>
          <c:dPt>
            <c:idx val="114"/>
          </c:dPt>
          <c:dPt>
            <c:idx val="115"/>
          </c:dPt>
          <c:dPt>
            <c:idx val="116"/>
          </c:dPt>
          <c:dPt>
            <c:idx val="117"/>
          </c:dPt>
          <c:dPt>
            <c:idx val="118"/>
          </c:dPt>
          <c:dPt>
            <c:idx val="119"/>
          </c:dPt>
          <c:dPt>
            <c:idx val="120"/>
          </c:dPt>
          <c:dPt>
            <c:idx val="121"/>
          </c:dPt>
          <c:dPt>
            <c:idx val="122"/>
          </c:dPt>
          <c:dPt>
            <c:idx val="123"/>
          </c:dPt>
          <c:dPt>
            <c:idx val="124"/>
          </c:dPt>
          <c:dPt>
            <c:idx val="125"/>
          </c:dPt>
          <c:dPt>
            <c:idx val="126"/>
          </c:dPt>
          <c:dPt>
            <c:idx val="127"/>
          </c:dPt>
          <c:dPt>
            <c:idx val="128"/>
          </c:dPt>
          <c:dPt>
            <c:idx val="129"/>
          </c:dPt>
          <c:dPt>
            <c:idx val="130"/>
          </c:dPt>
          <c:dPt>
            <c:idx val="131"/>
          </c:dPt>
          <c:dPt>
            <c:idx val="132"/>
          </c:dPt>
          <c:dPt>
            <c:idx val="133"/>
          </c:dPt>
          <c:dPt>
            <c:idx val="134"/>
          </c:dPt>
          <c:dPt>
            <c:idx val="135"/>
          </c:dPt>
          <c:dPt>
            <c:idx val="136"/>
          </c:dPt>
          <c:dPt>
            <c:idx val="137"/>
          </c:dPt>
          <c:dPt>
            <c:idx val="138"/>
          </c:dPt>
          <c:dPt>
            <c:idx val="139"/>
          </c:dPt>
          <c:dPt>
            <c:idx val="140"/>
          </c:dPt>
          <c:dPt>
            <c:idx val="141"/>
          </c:dPt>
          <c:dPt>
            <c:idx val="142"/>
          </c:dPt>
          <c:dPt>
            <c:idx val="143"/>
          </c:dPt>
          <c:dPt>
            <c:idx val="144"/>
          </c:dPt>
          <c:dPt>
            <c:idx val="145"/>
          </c:dPt>
          <c:dPt>
            <c:idx val="146"/>
          </c:dPt>
          <c:dLbls>
            <c:showLegendKey val="0"/>
            <c:showVal val="0"/>
            <c:showCatName val="0"/>
            <c:showSerName val="0"/>
            <c:showPercent val="0"/>
            <c:showBubbleSize val="0"/>
            <c:showLeaderLines val="1"/>
          </c:dLbls>
          <c:cat>
            <c:strRef>
              <c:f>Portfolio!$B$3:$B$149</c:f>
            </c:strRef>
          </c:cat>
          <c:val>
            <c:numRef>
              <c:f>Portfolio!$J$3:$J$149</c:f>
              <c:numCache/>
            </c:numRef>
          </c:val>
        </c:ser>
        <c:dLbls>
          <c:showLegendKey val="0"/>
          <c:showVal val="0"/>
          <c:showCatName val="0"/>
          <c:showSerName val="0"/>
          <c:showPercent val="0"/>
          <c:showBubbleSize val="0"/>
        </c:dLbls>
        <c:firstSliceAng val="0"/>
      </c:pieChart>
    </c:plotArea>
    <c:legend>
      <c:legendPos val="r"/>
      <c:overlay val="0"/>
      <c:txPr>
        <a:bodyPr/>
        <a:lstStyle/>
        <a:p>
          <a:pPr lvl="0">
            <a:defRPr b="1">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Portfolio!$J$2</c:f>
            </c:strRef>
          </c:tx>
          <c:spPr>
            <a:solidFill>
              <a:schemeClr val="accent4"/>
            </a:solidFill>
            <a:ln cmpd="sng">
              <a:solidFill>
                <a:srgbClr val="000000"/>
              </a:solidFill>
            </a:ln>
          </c:spPr>
          <c:cat>
            <c:strRef>
              <c:f>Portfolio!$B$3:$B$149</c:f>
            </c:strRef>
          </c:cat>
          <c:val>
            <c:numRef>
              <c:f>Portfolio!$J$3:$J$149</c:f>
              <c:numCache/>
            </c:numRef>
          </c:val>
        </c:ser>
        <c:axId val="498907823"/>
        <c:axId val="383889424"/>
      </c:barChart>
      <c:lineChart>
        <c:varyColors val="0"/>
        <c:ser>
          <c:idx val="1"/>
          <c:order val="1"/>
          <c:tx>
            <c:strRef>
              <c:f>Portfolio!$I$2</c:f>
            </c:strRef>
          </c:tx>
          <c:spPr>
            <a:ln cmpd="sng" w="19050">
              <a:solidFill>
                <a:srgbClr val="EA4335"/>
              </a:solidFill>
            </a:ln>
          </c:spPr>
          <c:marker>
            <c:symbol val="circle"/>
            <c:size val="5"/>
            <c:spPr>
              <a:solidFill>
                <a:srgbClr val="EA4335"/>
              </a:solidFill>
              <a:ln cmpd="sng">
                <a:solidFill>
                  <a:srgbClr val="EA4335"/>
                </a:solidFill>
              </a:ln>
            </c:spPr>
          </c:marker>
          <c:cat>
            <c:strRef>
              <c:f>Portfolio!$B$3:$B$149</c:f>
            </c:strRef>
          </c:cat>
          <c:val>
            <c:numRef>
              <c:f>Portfolio!$I$3:$I$149</c:f>
              <c:numCache/>
            </c:numRef>
          </c:val>
          <c:smooth val="0"/>
        </c:ser>
        <c:axId val="498907823"/>
        <c:axId val="383889424"/>
      </c:lineChart>
      <c:catAx>
        <c:axId val="4989078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83889424"/>
      </c:catAx>
      <c:valAx>
        <c:axId val="3838894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98907823"/>
      </c:valAx>
    </c:plotArea>
    <c:legend>
      <c:legendPos val="r"/>
      <c:overlay val="0"/>
      <c:txPr>
        <a:bodyPr/>
        <a:lstStyle/>
        <a:p>
          <a:pPr lvl="0">
            <a:defRPr b="1" sz="1400">
              <a:solidFill>
                <a:srgbClr val="000000"/>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Cash : Positions Ratio</a:t>
            </a:r>
          </a:p>
        </c:rich>
      </c:tx>
      <c:overlay val="0"/>
    </c:title>
    <c:plotArea>
      <c:layout/>
      <c:pieChart>
        <c:varyColors val="1"/>
        <c:ser>
          <c:idx val="0"/>
          <c:order val="0"/>
          <c:dPt>
            <c:idx val="0"/>
            <c:spPr>
              <a:solidFill>
                <a:srgbClr val="4285F4"/>
              </a:solidFill>
            </c:spPr>
          </c:dPt>
          <c:dPt>
            <c:idx val="1"/>
            <c:spPr>
              <a:solidFill>
                <a:srgbClr val="EA4335"/>
              </a:solidFill>
            </c:spPr>
          </c:dPt>
          <c:dLbls>
            <c:showLegendKey val="0"/>
            <c:showVal val="0"/>
            <c:showCatName val="0"/>
            <c:showSerName val="0"/>
            <c:showPercent val="0"/>
            <c:showBubbleSize val="0"/>
            <c:showLeaderLines val="1"/>
          </c:dLbls>
          <c:cat>
            <c:strRef>
              <c:f>Dashboard!$B$14:$B$15</c:f>
            </c:strRef>
          </c:cat>
          <c:val>
            <c:numRef>
              <c:f>Dashboard!$D$14:$D$15</c:f>
              <c:numCache/>
            </c:numRef>
          </c:val>
        </c:ser>
        <c:dLbls>
          <c:showLegendKey val="0"/>
          <c:showVal val="0"/>
          <c:showCatName val="0"/>
          <c:showSerName val="0"/>
          <c:showPercent val="0"/>
          <c:showBubbleSize val="0"/>
        </c:dLbls>
        <c:firstSliceAng val="0"/>
      </c:pieChart>
    </c:plotArea>
    <c:legend>
      <c:legendPos val="r"/>
      <c:overlay val="0"/>
      <c:txPr>
        <a:bodyPr/>
        <a:lstStyle/>
        <a:p>
          <a:pPr lvl="0">
            <a:defRPr b="1">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Dashboard!$X$20</c:f>
            </c:strRef>
          </c:tx>
          <c:spPr>
            <a:ln cmpd="sng">
              <a:solidFill>
                <a:srgbClr val="4285F4"/>
              </a:solidFill>
              <a:prstDash val="solid"/>
            </a:ln>
          </c:spPr>
          <c:marker>
            <c:symbol val="circle"/>
            <c:size val="20"/>
            <c:spPr>
              <a:solidFill>
                <a:srgbClr val="4285F4"/>
              </a:solidFill>
              <a:ln cmpd="sng">
                <a:solidFill>
                  <a:srgbClr val="4285F4"/>
                </a:solidFill>
              </a:ln>
            </c:spPr>
          </c:marker>
          <c:cat>
            <c:strRef>
              <c:f>Dashboard!$W$21:$W$101</c:f>
            </c:strRef>
          </c:cat>
          <c:val>
            <c:numRef>
              <c:f>Dashboard!$X$21:$X$101</c:f>
              <c:numCache/>
            </c:numRef>
          </c:val>
          <c:smooth val="0"/>
        </c:ser>
        <c:ser>
          <c:idx val="1"/>
          <c:order val="1"/>
          <c:tx>
            <c:strRef>
              <c:f>Dashboard!$Y$20</c:f>
            </c:strRef>
          </c:tx>
          <c:spPr>
            <a:ln cmpd="sng">
              <a:solidFill>
                <a:srgbClr val="EA4335"/>
              </a:solidFill>
            </a:ln>
          </c:spPr>
          <c:marker>
            <c:symbol val="circle"/>
            <c:size val="5"/>
            <c:spPr>
              <a:solidFill>
                <a:srgbClr val="EA4335"/>
              </a:solidFill>
              <a:ln cmpd="sng">
                <a:solidFill>
                  <a:srgbClr val="EA4335"/>
                </a:solidFill>
              </a:ln>
            </c:spPr>
          </c:marker>
          <c:cat>
            <c:strRef>
              <c:f>Dashboard!$W$21:$W$101</c:f>
            </c:strRef>
          </c:cat>
          <c:val>
            <c:numRef>
              <c:f>Dashboard!$Y$21:$Y$101</c:f>
              <c:numCache/>
            </c:numRef>
          </c:val>
          <c:smooth val="0"/>
        </c:ser>
        <c:axId val="1420024002"/>
        <c:axId val="1177218269"/>
      </c:lineChart>
      <c:catAx>
        <c:axId val="142002400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77218269"/>
      </c:catAx>
      <c:valAx>
        <c:axId val="11772182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20024002"/>
      </c:valAx>
    </c:plotArea>
    <c:legend>
      <c:legendPos val="r"/>
      <c:overlay val="0"/>
      <c:txPr>
        <a:bodyPr/>
        <a:lstStyle/>
        <a:p>
          <a:pPr lvl="0">
            <a:defRPr b="1" sz="1400">
              <a:solidFill>
                <a:srgbClr val="000000"/>
              </a:solidFill>
              <a:latin typeface="+mn-lt"/>
            </a:defRPr>
          </a:pPr>
        </a:p>
      </c:txPr>
    </c:legend>
    <c:plotVisOnly val="0"/>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Dividend Income</a:t>
            </a:r>
          </a:p>
        </c:rich>
      </c:tx>
      <c:overlay val="0"/>
    </c:title>
    <c:plotArea>
      <c:layout/>
      <c:areaChart>
        <c:ser>
          <c:idx val="0"/>
          <c:order val="0"/>
          <c:tx>
            <c:strRef>
              <c:f>Dashboard!$R$36</c:f>
            </c:strRef>
          </c:tx>
          <c:spPr>
            <a:solidFill>
              <a:schemeClr val="accent4">
                <a:alpha val="30000"/>
              </a:schemeClr>
            </a:solidFill>
            <a:ln cmpd="sng">
              <a:solidFill>
                <a:schemeClr val="accent4"/>
              </a:solidFill>
            </a:ln>
          </c:spPr>
          <c:trendline>
            <c:name/>
            <c:spPr>
              <a:ln w="19050">
                <a:solidFill>
                  <a:srgbClr val="000000"/>
                </a:solidFill>
              </a:ln>
            </c:spPr>
            <c:trendlineType val="linear"/>
            <c:dispRSqr val="0"/>
            <c:dispEq val="0"/>
          </c:trendline>
          <c:cat>
            <c:strRef>
              <c:f>Dashboard!$Q$37:$Q$48</c:f>
            </c:strRef>
          </c:cat>
          <c:val>
            <c:numRef>
              <c:f>Dashboard!$R$37:$R$48</c:f>
              <c:numCache/>
            </c:numRef>
          </c:val>
        </c:ser>
        <c:axId val="1512522658"/>
        <c:axId val="2101226598"/>
      </c:areaChart>
      <c:catAx>
        <c:axId val="15125226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01226598"/>
      </c:catAx>
      <c:valAx>
        <c:axId val="21012265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12522658"/>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300">
                <a:solidFill>
                  <a:srgbClr val="000000"/>
                </a:solidFill>
                <a:latin typeface="+mn-lt"/>
              </a:defRPr>
            </a:pPr>
            <a:r>
              <a:rPr b="1" sz="1300">
                <a:solidFill>
                  <a:srgbClr val="000000"/>
                </a:solidFill>
                <a:latin typeface="+mn-lt"/>
              </a:rPr>
              <a:t>Current Price's % Off 52-Week High</a:t>
            </a:r>
          </a:p>
        </c:rich>
      </c:tx>
      <c:overlay val="0"/>
    </c:title>
    <c:plotArea>
      <c:layout/>
      <c:barChart>
        <c:barDir val="col"/>
        <c:ser>
          <c:idx val="0"/>
          <c:order val="0"/>
          <c:tx>
            <c:strRef>
              <c:f>Watchlist!$R$17</c:f>
            </c:strRef>
          </c:tx>
          <c:spPr>
            <a:solidFill>
              <a:srgbClr val="1155CC"/>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Watchlist!$B$18:$B$109</c:f>
            </c:strRef>
          </c:cat>
          <c:val>
            <c:numRef>
              <c:f>Watchlist!$R$18:$R$102</c:f>
              <c:numCache/>
            </c:numRef>
          </c:val>
        </c:ser>
        <c:axId val="492045275"/>
        <c:axId val="401314986"/>
      </c:barChart>
      <c:catAx>
        <c:axId val="4920452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01314986"/>
      </c:catAx>
      <c:valAx>
        <c:axId val="4013149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92045275"/>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300">
                <a:solidFill>
                  <a:srgbClr val="000000"/>
                </a:solidFill>
                <a:latin typeface="+mn-lt"/>
              </a:defRPr>
            </a:pPr>
            <a:r>
              <a:rPr b="1" sz="1300">
                <a:solidFill>
                  <a:srgbClr val="000000"/>
                </a:solidFill>
                <a:latin typeface="+mn-lt"/>
              </a:rPr>
              <a:t>Current Price's % Off Manual Buy Price</a:t>
            </a:r>
          </a:p>
        </c:rich>
      </c:tx>
      <c:overlay val="0"/>
    </c:title>
    <c:plotArea>
      <c:layout/>
      <c:barChart>
        <c:barDir val="col"/>
        <c:ser>
          <c:idx val="0"/>
          <c:order val="0"/>
          <c:tx>
            <c:strRef>
              <c:f>Watchlist!$J$17</c:f>
            </c:strRef>
          </c:tx>
          <c:spPr>
            <a:solidFill>
              <a:srgbClr val="1155CC"/>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Watchlist!$B$18:$B$109</c:f>
            </c:strRef>
          </c:cat>
          <c:val>
            <c:numRef>
              <c:f>Watchlist!$J$18:$J$102</c:f>
              <c:numCache/>
            </c:numRef>
          </c:val>
        </c:ser>
        <c:axId val="965561032"/>
        <c:axId val="1391479726"/>
      </c:barChart>
      <c:catAx>
        <c:axId val="9655610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91479726"/>
      </c:catAx>
      <c:valAx>
        <c:axId val="13914797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65561032"/>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Watchlist!$L$17</c:f>
            </c:strRef>
          </c:tx>
          <c:spPr>
            <a:solidFill>
              <a:srgbClr val="1155CC"/>
            </a:solidFill>
            <a:ln cmpd="sng">
              <a:solidFill>
                <a:srgbClr val="000000"/>
              </a:solidFill>
            </a:ln>
          </c:spPr>
          <c:cat>
            <c:strRef>
              <c:f>Watchlist!$B$18:$B$109</c:f>
            </c:strRef>
          </c:cat>
          <c:val>
            <c:numRef>
              <c:f>Watchlist!$L$18:$L$102</c:f>
              <c:numCache/>
            </c:numRef>
          </c:val>
        </c:ser>
        <c:axId val="1946456243"/>
        <c:axId val="888211210"/>
      </c:barChart>
      <c:lineChart>
        <c:varyColors val="0"/>
        <c:ser>
          <c:idx val="1"/>
          <c:order val="1"/>
          <c:tx>
            <c:strRef>
              <c:f>Watchlist!$M$17</c:f>
            </c:strRef>
          </c:tx>
          <c:spPr>
            <a:ln cmpd="sng" w="19050">
              <a:solidFill>
                <a:srgbClr val="EA4335"/>
              </a:solidFill>
              <a:prstDash val="solid"/>
            </a:ln>
          </c:spPr>
          <c:marker>
            <c:symbol val="none"/>
          </c:marker>
          <c:cat>
            <c:strRef>
              <c:f>Watchlist!$B$18:$B$109</c:f>
            </c:strRef>
          </c:cat>
          <c:val>
            <c:numRef>
              <c:f>Watchlist!$M$18:$M$102</c:f>
              <c:numCache/>
            </c:numRef>
          </c:val>
          <c:smooth val="0"/>
        </c:ser>
        <c:axId val="1946456243"/>
        <c:axId val="888211210"/>
      </c:lineChart>
      <c:catAx>
        <c:axId val="19464562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88211210"/>
      </c:catAx>
      <c:valAx>
        <c:axId val="8882112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46456243"/>
      </c:valAx>
    </c:plotArea>
    <c:legend>
      <c:legendPos val="r"/>
      <c:overlay val="0"/>
      <c:txPr>
        <a:bodyPr/>
        <a:lstStyle/>
        <a:p>
          <a:pPr lvl="0">
            <a:defRPr b="1">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 Id="rId2" Type="http://schemas.openxmlformats.org/officeDocument/2006/relationships/chart" Target="../charts/chart8.xml"/><Relationship Id="rId3"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28575</xdr:colOff>
      <xdr:row>1</xdr:row>
      <xdr:rowOff>47625</xdr:rowOff>
    </xdr:from>
    <xdr:ext cx="6677025" cy="24288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19050</xdr:colOff>
      <xdr:row>24</xdr:row>
      <xdr:rowOff>47625</xdr:rowOff>
    </xdr:from>
    <xdr:ext cx="3724275" cy="23622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19050</xdr:colOff>
      <xdr:row>13</xdr:row>
      <xdr:rowOff>38100</xdr:rowOff>
    </xdr:from>
    <xdr:ext cx="7524750" cy="236220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104775</xdr:colOff>
      <xdr:row>35</xdr:row>
      <xdr:rowOff>38100</xdr:rowOff>
    </xdr:from>
    <xdr:ext cx="3962400" cy="27241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12</xdr:col>
      <xdr:colOff>95250</xdr:colOff>
      <xdr:row>21</xdr:row>
      <xdr:rowOff>47625</xdr:rowOff>
    </xdr:from>
    <xdr:ext cx="6505575" cy="251460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12</xdr:col>
      <xdr:colOff>95250</xdr:colOff>
      <xdr:row>50</xdr:row>
      <xdr:rowOff>19050</xdr:rowOff>
    </xdr:from>
    <xdr:ext cx="6505575" cy="286702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304800</xdr:colOff>
      <xdr:row>0</xdr:row>
      <xdr:rowOff>466725</xdr:rowOff>
    </xdr:from>
    <xdr:ext cx="4667250" cy="3019425"/>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762000</xdr:colOff>
      <xdr:row>0</xdr:row>
      <xdr:rowOff>466725</xdr:rowOff>
    </xdr:from>
    <xdr:ext cx="4810125" cy="3019425"/>
    <xdr:graphicFrame>
      <xdr:nvGraphicFramePr>
        <xdr:cNvPr id="8" name="Chart 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0</xdr:colOff>
      <xdr:row>1</xdr:row>
      <xdr:rowOff>228600</xdr:rowOff>
    </xdr:from>
    <xdr:ext cx="4610100" cy="2238375"/>
    <xdr:graphicFrame>
      <xdr:nvGraphicFramePr>
        <xdr:cNvPr id="9" name="Chart 9"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5.xml"/><Relationship Id="rId3"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outlineLevelCol="1"/>
  <cols>
    <col customWidth="1" min="1" max="1" width="1.63"/>
    <col customWidth="1" min="2" max="2" width="16.5"/>
    <col customWidth="1" min="3" max="3" width="16.75"/>
    <col customWidth="1" min="4" max="4" width="22.25"/>
    <col customWidth="1" min="5" max="5" width="9.0"/>
    <col customWidth="1" min="13" max="13" width="1.38"/>
    <col customWidth="1" min="14" max="14" width="11.13"/>
    <col customWidth="1" min="15" max="15" width="14.25"/>
    <col customWidth="1" min="16" max="16" width="11.13"/>
    <col customWidth="1" min="17" max="17" width="12.75"/>
    <col customWidth="1" min="18" max="18" width="12.38"/>
    <col customWidth="1" min="19" max="19" width="13.0"/>
    <col customWidth="1" min="20" max="20" width="11.13"/>
    <col collapsed="1" customWidth="1" min="21" max="21" width="2.0"/>
    <col customWidth="1" hidden="1" min="22" max="22" width="2.63" outlineLevel="1"/>
    <col customWidth="1" hidden="1" min="23" max="23" width="10.63" outlineLevel="1"/>
    <col customWidth="1" hidden="1" min="24" max="24" width="9.5" outlineLevel="1"/>
    <col customWidth="1" hidden="1" min="25" max="25" width="11.0" outlineLevel="1"/>
    <col customWidth="1" hidden="1" min="26" max="26" width="2.63" outlineLevel="1"/>
  </cols>
  <sheetData>
    <row r="1">
      <c r="A1" s="1"/>
      <c r="B1" s="2"/>
      <c r="C1" s="3" t="s">
        <v>0</v>
      </c>
      <c r="D1" s="4"/>
      <c r="E1" s="4"/>
      <c r="F1" s="4"/>
      <c r="G1" s="4"/>
      <c r="H1" s="4"/>
      <c r="I1" s="4"/>
      <c r="J1" s="4"/>
      <c r="K1" s="5" t="s">
        <v>1</v>
      </c>
      <c r="L1" s="6" t="s">
        <v>2</v>
      </c>
      <c r="M1" s="7"/>
      <c r="N1" s="8">
        <v>365.0</v>
      </c>
      <c r="O1" s="9" t="s">
        <v>3</v>
      </c>
      <c r="P1" s="10" t="str">
        <f>IFERROR(__xludf.DUMMYFUNCTION("SPARKLINE(GOOGLEFINANCE(P2,""price"",TODAY()-$N$1,TODAY()),{""color"",IF(INDEX(GOOGLEFINANCE(P2,""price"",TODAY()-$N$1,TODAY()),2,2)&lt;INDEX(GOOGLEFINANCE(P2,""price"",TODAY()-$N$1,TODAY()),ROWS(GOOGLEFINANCE(P2,""price"",TODAY()-$N$1,TODAY())),2),""green"""&amp;",""red"")})"),"")</f>
        <v/>
      </c>
      <c r="Q1" s="11" t="str">
        <f>IFERROR(__xludf.DUMMYFUNCTION("SPARKLINE(GOOGLEFINANCE(Q2,""price"",TODAY()-$N$1,TODAY()),{""color"",IF(INDEX(GOOGLEFINANCE(Q2,""price"",TODAY()-$N$1,TODAY()),2,2)&lt;INDEX(GOOGLEFINANCE(Q2,""price"",TODAY()-$N$1,TODAY()),ROWS(GOOGLEFINANCE(Q2,""price"",TODAY()-$N$1,TODAY())),2),""green"""&amp;",""red"")})"),"")</f>
        <v/>
      </c>
      <c r="R1" s="11" t="str">
        <f>IFERROR(__xludf.DUMMYFUNCTION("SPARKLINE(GOOGLEFINANCE(R2,""price"",TODAY()-$N$1,TODAY()),{""color"",IF(INDEX(GOOGLEFINANCE(R2,""price"",TODAY()-$N$1,TODAY()),2,2)&lt;INDEX(GOOGLEFINANCE(R2,""price"",TODAY()-$N$1,TODAY()),ROWS(GOOGLEFINANCE(R2,""price"",TODAY()-$N$1,TODAY())),2),""green"""&amp;",""red"")})"),"")</f>
        <v/>
      </c>
      <c r="S1" s="11" t="str">
        <f>IFERROR(__xludf.DUMMYFUNCTION("SPARKLINE(GOOGLEFINANCE(S2,""price"",TODAY()-$N$1,TODAY()),{""color"",IF(INDEX(GOOGLEFINANCE(S2,""price"",TODAY()-$N$1,TODAY()),2,2)&lt;INDEX(GOOGLEFINANCE(S2,""price"",TODAY()-$N$1,TODAY()),ROWS(GOOGLEFINANCE(S2,""price"",TODAY()-$N$1,TODAY())),2),""green"""&amp;",""red"")})"),"")</f>
        <v/>
      </c>
      <c r="T1" s="12" t="str">
        <f>IFERROR(__xludf.DUMMYFUNCTION("SPARKLINE(GOOGLEFINANCE(T2,""price"",TODAY()-$N$1,TODAY()),{""color"",IF(INDEX(GOOGLEFINANCE(T2,""price"",TODAY()-$N$1,TODAY()),2,2)&lt;INDEX(GOOGLEFINANCE(T2,""price"",TODAY()-$N$1,TODAY()),ROWS(GOOGLEFINANCE(T2,""price"",TODAY()-$N$1,TODAY())),2),""green"""&amp;",""red"")})"),"")</f>
        <v/>
      </c>
      <c r="U1" s="7"/>
      <c r="V1" s="13"/>
      <c r="W1" s="13"/>
      <c r="X1" s="13"/>
      <c r="Y1" s="13"/>
      <c r="Z1" s="13"/>
    </row>
    <row r="2" ht="6.0" customHeight="1">
      <c r="A2" s="14"/>
      <c r="B2" s="14"/>
      <c r="C2" s="14"/>
      <c r="D2" s="14"/>
      <c r="E2" s="14"/>
      <c r="F2" s="14"/>
      <c r="G2" s="14"/>
      <c r="H2" s="14"/>
      <c r="I2" s="14"/>
      <c r="J2" s="14"/>
      <c r="K2" s="14"/>
      <c r="L2" s="14"/>
      <c r="M2" s="14"/>
      <c r="N2" s="15" t="s">
        <v>4</v>
      </c>
      <c r="O2" s="16"/>
      <c r="P2" s="17" t="s">
        <v>5</v>
      </c>
      <c r="Q2" s="17" t="s">
        <v>6</v>
      </c>
      <c r="R2" s="17" t="s">
        <v>7</v>
      </c>
      <c r="S2" s="17" t="s">
        <v>8</v>
      </c>
      <c r="T2" s="17" t="s">
        <v>9</v>
      </c>
      <c r="U2" s="14"/>
      <c r="V2" s="14"/>
      <c r="W2" s="14"/>
      <c r="X2" s="14"/>
      <c r="Y2" s="14"/>
      <c r="Z2" s="14"/>
    </row>
    <row r="3">
      <c r="A3" s="14"/>
      <c r="B3" s="18" t="s">
        <v>10</v>
      </c>
      <c r="C3" s="19"/>
      <c r="D3" s="20">
        <f>SUM(Portfolio!$K:$K)</f>
        <v>1098924.769</v>
      </c>
      <c r="E3" s="16"/>
      <c r="F3" s="14"/>
      <c r="G3" s="21"/>
      <c r="H3" s="21"/>
      <c r="I3" s="21"/>
      <c r="J3" s="21"/>
      <c r="K3" s="21"/>
      <c r="M3" s="14"/>
      <c r="N3" s="22"/>
      <c r="O3" s="23"/>
      <c r="P3" s="4"/>
      <c r="Q3" s="4"/>
      <c r="R3" s="4"/>
      <c r="S3" s="4"/>
      <c r="T3" s="4"/>
    </row>
    <row r="4">
      <c r="A4" s="14"/>
      <c r="B4" s="24" t="s">
        <v>11</v>
      </c>
      <c r="D4" s="25">
        <f>SUM(Portfolio!$R:$R)</f>
        <v>573424.7687</v>
      </c>
      <c r="E4" s="26"/>
      <c r="F4" s="14"/>
      <c r="G4" s="21"/>
      <c r="H4" s="21"/>
      <c r="I4" s="21"/>
      <c r="J4" s="21"/>
      <c r="K4" s="21"/>
      <c r="M4" s="14"/>
      <c r="N4" s="27" t="s">
        <v>12</v>
      </c>
      <c r="O4" s="26"/>
      <c r="P4" s="28" t="str">
        <f>IFERROR(__xludf.DUMMYFUNCTION("IFERROR(GOOGLEFINANCE(P2,""name""),""-"")"),"Apple Inc")</f>
        <v>Apple Inc</v>
      </c>
      <c r="Q4" s="29" t="str">
        <f>IFERROR(__xludf.DUMMYFUNCTION("IFERROR(GOOGLEFINANCE(Q2,""name""),""-"")"),"Tesla Inc")</f>
        <v>Tesla Inc</v>
      </c>
      <c r="R4" s="29" t="str">
        <f>IFERROR(__xludf.DUMMYFUNCTION("IFERROR(GOOGLEFINANCE(R2,""name""),""-"")"),"Intel Corp")</f>
        <v>Intel Corp</v>
      </c>
      <c r="S4" s="29" t="str">
        <f>IFERROR(__xludf.DUMMYFUNCTION("IFERROR(GOOGLEFINANCE(S2,""name""),""-"")"),"Palantir Technologies Inc")</f>
        <v>Palantir Technologies Inc</v>
      </c>
      <c r="T4" s="30" t="str">
        <f>IFERROR(__xludf.DUMMYFUNCTION("IFERROR(GOOGLEFINANCE(T2,""name""),""-"")"),"PayPal Holdings Inc")</f>
        <v>PayPal Holdings Inc</v>
      </c>
    </row>
    <row r="5">
      <c r="A5" s="14"/>
      <c r="B5" s="24" t="s">
        <v>13</v>
      </c>
      <c r="D5" s="31">
        <f>SUM(Portfolio!$P:$P)</f>
        <v>527424.7687</v>
      </c>
      <c r="E5" s="32">
        <f>(SUM(Portfolio!$K:$K)-SUM(Portfolio!$J:$J))/SUM(Portfolio!$J:$J)</f>
        <v>0.9228779855</v>
      </c>
      <c r="F5" s="14"/>
      <c r="G5" s="21"/>
      <c r="H5" s="21"/>
      <c r="I5" s="21"/>
      <c r="J5" s="21"/>
      <c r="K5" s="21"/>
      <c r="M5" s="14"/>
      <c r="N5" s="33" t="s">
        <v>14</v>
      </c>
      <c r="O5" s="26"/>
      <c r="P5" s="34" t="str">
        <f>IFERROR(__xludf.DUMMYFUNCTION("IF(ISBLANK(P2),"""",IFERROR(GOOGLEFINANCE(P2,""currency""),""-""))"),"USD")</f>
        <v>USD</v>
      </c>
      <c r="Q5" s="35" t="str">
        <f>IFERROR(__xludf.DUMMYFUNCTION("IF(ISBLANK(Q2),"""",IFERROR(GOOGLEFINANCE(Q2,""currency""),""-""))"),"USD")</f>
        <v>USD</v>
      </c>
      <c r="R5" s="35" t="str">
        <f>IFERROR(__xludf.DUMMYFUNCTION("IF(ISBLANK(R2),"""",IFERROR(GOOGLEFINANCE(R2,""currency""),""-""))"),"USD")</f>
        <v>USD</v>
      </c>
      <c r="S5" s="35" t="str">
        <f>IFERROR(__xludf.DUMMYFUNCTION("IF(ISBLANK(S2),"""",IFERROR(GOOGLEFINANCE(S2,""currency""),""-""))"),"USD")</f>
        <v>USD</v>
      </c>
      <c r="T5" s="36" t="str">
        <f>IFERROR(__xludf.DUMMYFUNCTION("IF(ISBLANK(T2),"""",IFERROR(GOOGLEFINANCE(T2,""currency""),""-""))"),"USD")</f>
        <v>USD</v>
      </c>
    </row>
    <row r="6">
      <c r="A6" s="14"/>
      <c r="B6" s="37" t="s">
        <v>15</v>
      </c>
      <c r="C6" s="4"/>
      <c r="D6" s="38">
        <f>SUM(Portfolio!$I:$I)</f>
        <v>-3712.06732</v>
      </c>
      <c r="E6" s="39">
        <f>D6/D5</f>
        <v>-0.007038098209</v>
      </c>
      <c r="F6" s="14"/>
      <c r="G6" s="21"/>
      <c r="H6" s="21"/>
      <c r="I6" s="21"/>
      <c r="J6" s="21"/>
      <c r="K6" s="21"/>
      <c r="M6" s="14"/>
      <c r="N6" s="27" t="s">
        <v>16</v>
      </c>
      <c r="O6" s="26"/>
      <c r="P6" s="34">
        <f>IFERROR(__xludf.DUMMYFUNCTION("IFERROR(IF(P2="""","""",GOOGLEFINANCE(P2)),INDEX(IMPORTHTML(CONCAT(""https://coinmarketcap.com/currencies/"",P2),""table"",1),1,2))"),191.53)</f>
        <v>191.53</v>
      </c>
      <c r="Q6" s="35">
        <f>IFERROR(__xludf.DUMMYFUNCTION("IFERROR(IF(Q2="""","""",GOOGLEFINANCE(Q2)),INDEX(IMPORTHTML(CONCAT(""https://coinmarketcap.com/currencies/"",Q2),""table"",1),1,2))"),177.57)</f>
        <v>177.57</v>
      </c>
      <c r="R6" s="35">
        <f>IFERROR(__xludf.DUMMYFUNCTION("IFERROR(IF(R2="""","""",GOOGLEFINANCE(R2)),INDEX(IMPORTHTML(CONCAT(""https://coinmarketcap.com/currencies/"",R2),""table"",1),1,2))"),30.1)</f>
        <v>30.1</v>
      </c>
      <c r="S6" s="35">
        <f>IFERROR(__xludf.DUMMYFUNCTION("IFERROR(IF(S2="""","""",GOOGLEFINANCE(S2)),INDEX(IMPORTHTML(CONCAT(""https://coinmarketcap.com/currencies/"",S2),""table"",1),1,2))"),21.72)</f>
        <v>21.72</v>
      </c>
      <c r="T6" s="36">
        <f>IFERROR(__xludf.DUMMYFUNCTION("IFERROR(IF(T2="""","""",GOOGLEFINANCE(T2)),INDEX(IMPORTHTML(CONCAT(""https://coinmarketcap.com/currencies/"",T2),""table"",1),1,2))"),62.74)</f>
        <v>62.74</v>
      </c>
    </row>
    <row r="7" ht="14.25" customHeight="1">
      <c r="A7" s="14"/>
      <c r="B7" s="14"/>
      <c r="C7" s="14"/>
      <c r="D7" s="14"/>
      <c r="E7" s="14"/>
      <c r="F7" s="14"/>
      <c r="G7" s="21"/>
      <c r="H7" s="21"/>
      <c r="I7" s="21"/>
      <c r="J7" s="21"/>
      <c r="K7" s="21"/>
      <c r="M7" s="14"/>
      <c r="N7" s="33" t="s">
        <v>17</v>
      </c>
      <c r="O7" s="26"/>
      <c r="P7" s="40">
        <f>IFERROR(__xludf.DUMMYFUNCTION("IFERROR(GOOGLEFINANCE(P2,""changepct"")/100,"""")"),0.0013)</f>
        <v>0.0013</v>
      </c>
      <c r="Q7" s="41">
        <f>IFERROR(__xludf.DUMMYFUNCTION("IFERROR(GOOGLEFINANCE(Q2,""changepct"")/100,"""")"),-0.0069)</f>
        <v>-0.0069</v>
      </c>
      <c r="R7" s="41">
        <f>IFERROR(__xludf.DUMMYFUNCTION("IFERROR(GOOGLEFINANCE(R2,""changepct"")/100,"""")"),-0.003)</f>
        <v>-0.003</v>
      </c>
      <c r="S7" s="41">
        <f>IFERROR(__xludf.DUMMYFUNCTION("IFERROR(GOOGLEFINANCE(S2,""changepct"")/100,"""")"),-5.0E-4)</f>
        <v>-0.0005</v>
      </c>
      <c r="T7" s="42">
        <f>IFERROR(__xludf.DUMMYFUNCTION("IFERROR(GOOGLEFINANCE(T2,""changepct"")/100,"""")"),0.0036)</f>
        <v>0.0036</v>
      </c>
    </row>
    <row r="8">
      <c r="A8" s="14"/>
      <c r="B8" s="43" t="s">
        <v>18</v>
      </c>
      <c r="C8" s="19"/>
      <c r="D8" s="44" t="s">
        <v>19</v>
      </c>
      <c r="E8" s="16"/>
      <c r="F8" s="14"/>
      <c r="G8" s="21"/>
      <c r="H8" s="21"/>
      <c r="I8" s="21"/>
      <c r="J8" s="21"/>
      <c r="K8" s="21"/>
      <c r="M8" s="14"/>
      <c r="N8" s="45" t="s">
        <v>20</v>
      </c>
      <c r="O8" s="26"/>
      <c r="P8" s="34">
        <f>IFERROR(__xludf.DUMMYFUNCTION("IFERROR(GOOGLEFINANCE(P2,""change""),"""")"),0.24)</f>
        <v>0.24</v>
      </c>
      <c r="Q8" s="35">
        <f>IFERROR(__xludf.DUMMYFUNCTION("IFERROR(GOOGLEFINANCE(Q2,""change""),"""")"),-1.22)</f>
        <v>-1.22</v>
      </c>
      <c r="R8" s="35">
        <f>IFERROR(__xludf.DUMMYFUNCTION("IFERROR(GOOGLEFINANCE(R2,""change""),"""")"),-0.09)</f>
        <v>-0.09</v>
      </c>
      <c r="S8" s="35">
        <f>IFERROR(__xludf.DUMMYFUNCTION("IFERROR(GOOGLEFINANCE(S2,""change""),"""")"),-0.01)</f>
        <v>-0.01</v>
      </c>
      <c r="T8" s="36">
        <f>IFERROR(__xludf.DUMMYFUNCTION("IFERROR(GOOGLEFINANCE(T2,""change""),"""")"),0.23)</f>
        <v>0.23</v>
      </c>
    </row>
    <row r="9">
      <c r="A9" s="14"/>
      <c r="B9" s="46" t="str">
        <f>OFFSET(Portfolio!B2,MATCH(MAX(Portfolio!H:H),Portfolio!H3:H101,0),0,1)</f>
        <v>MCD</v>
      </c>
      <c r="C9" s="47">
        <f>MAX(Portfolio!$H:$H)</f>
        <v>0.0111</v>
      </c>
      <c r="D9" s="48" t="str">
        <f>OFFSET(Portfolio!B2,MATCH(MIN(Portfolio!H:H),Portfolio!H3:H101,0),0,1)</f>
        <v>NFLX</v>
      </c>
      <c r="E9" s="49">
        <f>MIN(Portfolio!$H:$H)</f>
        <v>-0.0188</v>
      </c>
      <c r="F9" s="50"/>
      <c r="G9" s="21"/>
      <c r="H9" s="21"/>
      <c r="I9" s="21"/>
      <c r="J9" s="21"/>
      <c r="K9" s="21"/>
      <c r="M9" s="14"/>
      <c r="N9" s="27" t="s">
        <v>21</v>
      </c>
      <c r="O9" s="26"/>
      <c r="P9" s="51" t="str">
        <f>IFERROR(__xludf.DUMMYFUNCTION("IF(ISBLANK(P2),"""",IFERROR(""$""&amp;Trunc(GOOGLEFINANCE(P2,""Marketcap"")/1000000000)&amp;"" B"",""-""))"),"$2938 B")</f>
        <v>$2938 B</v>
      </c>
      <c r="Q9" s="52" t="str">
        <f>IFERROR(__xludf.DUMMYFUNCTION("IF(ISBLANK(Q2),"""",IFERROR(""$""&amp;Trunc(GOOGLEFINANCE(Q2,""Marketcap"")/1000000000)&amp;"" B"",""-""))"),"$556 B")</f>
        <v>$556 B</v>
      </c>
      <c r="R9" s="52" t="str">
        <f>IFERROR(__xludf.DUMMYFUNCTION("IF(ISBLANK(R2),"""",IFERROR(""$""&amp;Trunc(GOOGLEFINANCE(R2,""Marketcap"")/1000000000)&amp;"" B"",""-""))"),"$128 B")</f>
        <v>$128 B</v>
      </c>
      <c r="S9" s="52" t="str">
        <f>IFERROR(__xludf.DUMMYFUNCTION("IF(ISBLANK(S2),"""",IFERROR(""$""&amp;Trunc(GOOGLEFINANCE(S2,""Marketcap"")/1000000000)&amp;"" B"",""-""))"),"$48 B")</f>
        <v>$48 B</v>
      </c>
      <c r="T9" s="53" t="str">
        <f>IFERROR(__xludf.DUMMYFUNCTION("IF(ISBLANK(T2),"""",IFERROR(""$""&amp;Trunc(GOOGLEFINANCE(T2,""Marketcap"")/1000000000)&amp;"" B"",""-""))"),"$65 B")</f>
        <v>$65 B</v>
      </c>
    </row>
    <row r="10">
      <c r="A10" s="14"/>
      <c r="B10" s="54" t="s">
        <v>22</v>
      </c>
      <c r="D10" s="55" t="s">
        <v>23</v>
      </c>
      <c r="E10" s="26"/>
      <c r="F10" s="14"/>
      <c r="G10" s="21"/>
      <c r="H10" s="21"/>
      <c r="I10" s="21"/>
      <c r="J10" s="21"/>
      <c r="K10" s="21"/>
      <c r="M10" s="14"/>
      <c r="N10" s="27" t="s">
        <v>24</v>
      </c>
      <c r="O10" s="26"/>
      <c r="P10" s="56">
        <f>IFERROR(__xludf.DUMMYFUNCTION("IFERROR(GOOGLEFINANCE(P2,""volume""),""-"")"),7932876.0)</f>
        <v>7932876</v>
      </c>
      <c r="Q10" s="57">
        <f>IFERROR(__xludf.DUMMYFUNCTION("IFERROR(GOOGLEFINANCE(Q2,""volume""),""-"")"),1.3878238E7)</f>
        <v>13878238</v>
      </c>
      <c r="R10" s="57">
        <f>IFERROR(__xludf.DUMMYFUNCTION("IFERROR(GOOGLEFINANCE(R2,""volume""),""-"")"),7857384.0)</f>
        <v>7857384</v>
      </c>
      <c r="S10" s="57">
        <f>IFERROR(__xludf.DUMMYFUNCTION("IFERROR(GOOGLEFINANCE(S2,""volume""),""-"")"),9040959.0)</f>
        <v>9040959</v>
      </c>
      <c r="T10" s="58">
        <f>IFERROR(__xludf.DUMMYFUNCTION("IFERROR(GOOGLEFINANCE(T2,""volume""),""-"")"),1611288.0)</f>
        <v>1611288</v>
      </c>
    </row>
    <row r="11">
      <c r="A11" s="14"/>
      <c r="B11" s="59" t="str">
        <f>OFFSET(Portfolio!B2,MATCH(MAX(Portfolio!O:O),Portfolio!O3:O101,0),0,1)</f>
        <v>MSFT</v>
      </c>
      <c r="C11" s="60">
        <f>MAX(Portfolio!$O:$O)</f>
        <v>7.206</v>
      </c>
      <c r="D11" s="61" t="str">
        <f>OFFSET(Portfolio!B2,MATCH(MIN(Portfolio!O:O),Portfolio!O3:O101,0),0,1)</f>
        <v>AAPL</v>
      </c>
      <c r="E11" s="62">
        <f>MIN(Portfolio!$O:$O)</f>
        <v>0.08042564103</v>
      </c>
      <c r="F11" s="14"/>
      <c r="G11" s="21"/>
      <c r="H11" s="21"/>
      <c r="I11" s="21"/>
      <c r="J11" s="21"/>
      <c r="K11" s="21"/>
      <c r="M11" s="14"/>
      <c r="N11" s="27" t="s">
        <v>25</v>
      </c>
      <c r="O11" s="26"/>
      <c r="P11" s="51">
        <f>IFERROR(__xludf.DUMMYFUNCTION("IFERROR(GOOGLEFINANCE(P2,""pe""),""-"")"),29.77)</f>
        <v>29.77</v>
      </c>
      <c r="Q11" s="52">
        <f>IFERROR(__xludf.DUMMYFUNCTION("IFERROR(GOOGLEFINANCE(Q2,""pe""),""-"")"),45.43)</f>
        <v>45.43</v>
      </c>
      <c r="R11" s="52">
        <f>IFERROR(__xludf.DUMMYFUNCTION("IFERROR(GOOGLEFINANCE(R2,""pe""),""-"")"),31.58)</f>
        <v>31.58</v>
      </c>
      <c r="S11" s="52">
        <f>IFERROR(__xludf.DUMMYFUNCTION("IFERROR(GOOGLEFINANCE(S2,""pe""),""-"")"),171.07)</f>
        <v>171.07</v>
      </c>
      <c r="T11" s="53">
        <f>IFERROR(__xludf.DUMMYFUNCTION("IFERROR(GOOGLEFINANCE(T2,""pe""),""-"")"),15.77)</f>
        <v>15.77</v>
      </c>
    </row>
    <row r="12" ht="14.25" customHeight="1">
      <c r="A12" s="14"/>
      <c r="E12" s="14"/>
      <c r="F12" s="14"/>
      <c r="G12" s="21"/>
      <c r="H12" s="21"/>
      <c r="I12" s="21"/>
      <c r="J12" s="21"/>
      <c r="K12" s="21"/>
      <c r="M12" s="14"/>
      <c r="N12" s="27" t="s">
        <v>26</v>
      </c>
      <c r="O12" s="26"/>
      <c r="P12" s="63">
        <f>IFERROR(__xludf.DUMMYFUNCTION("IFERROR(GOOGLEFINANCE(P2,""beta""),""-"")"),1.26)</f>
        <v>1.26</v>
      </c>
      <c r="Q12" s="64">
        <f>IFERROR(__xludf.DUMMYFUNCTION("IFERROR(GOOGLEFINANCE(Q2,""beta""),""-"")"),2.41)</f>
        <v>2.41</v>
      </c>
      <c r="R12" s="64">
        <f>IFERROR(__xludf.DUMMYFUNCTION("IFERROR(GOOGLEFINANCE(R2,""beta""),""-"")"),1.09)</f>
        <v>1.09</v>
      </c>
      <c r="S12" s="64">
        <f>IFERROR(__xludf.DUMMYFUNCTION("IFERROR(GOOGLEFINANCE(S2,""beta""),""-"")"),2.76)</f>
        <v>2.76</v>
      </c>
      <c r="T12" s="65">
        <f>IFERROR(__xludf.DUMMYFUNCTION("IFERROR(GOOGLEFINANCE(T2,""beta""),""-"")"),1.41)</f>
        <v>1.41</v>
      </c>
    </row>
    <row r="13">
      <c r="A13" s="14"/>
      <c r="B13" s="66" t="s">
        <v>27</v>
      </c>
      <c r="C13" s="19"/>
      <c r="D13" s="67">
        <f>D14+D15</f>
        <v>1061631.194</v>
      </c>
      <c r="E13" s="14"/>
      <c r="F13" s="14"/>
      <c r="G13" s="21"/>
      <c r="H13" s="21"/>
      <c r="I13" s="21"/>
      <c r="J13" s="21"/>
      <c r="K13" s="21"/>
      <c r="M13" s="14"/>
      <c r="N13" s="27" t="s">
        <v>28</v>
      </c>
      <c r="O13" s="26"/>
      <c r="P13" s="34">
        <f>IFERROR(__xludf.DUMMYFUNCTION("IFERROR(GOOGLEFINANCE(P2,""eps""),""-"")"),6.43)</f>
        <v>6.43</v>
      </c>
      <c r="Q13" s="35">
        <f>IFERROR(__xludf.DUMMYFUNCTION("IFERROR(GOOGLEFINANCE(Q2,""eps""),""-"")"),3.91)</f>
        <v>3.91</v>
      </c>
      <c r="R13" s="35">
        <f>IFERROR(__xludf.DUMMYFUNCTION("IFERROR(GOOGLEFINANCE(R2,""eps""),""-"")"),0.95)</f>
        <v>0.95</v>
      </c>
      <c r="S13" s="35">
        <f>IFERROR(__xludf.DUMMYFUNCTION("IFERROR(GOOGLEFINANCE(S2,""eps""),""-"")"),0.13)</f>
        <v>0.13</v>
      </c>
      <c r="T13" s="36">
        <f>IFERROR(__xludf.DUMMYFUNCTION("IFERROR(GOOGLEFINANCE(T2,""eps""),""-"")"),3.98)</f>
        <v>3.98</v>
      </c>
    </row>
    <row r="14">
      <c r="A14" s="14"/>
      <c r="B14" s="54" t="s">
        <v>29</v>
      </c>
      <c r="D14" s="68">
        <f>SUM(Portfolio!$K:$K)</f>
        <v>1098924.769</v>
      </c>
      <c r="E14" s="14"/>
      <c r="F14" s="14"/>
      <c r="G14" s="69"/>
      <c r="H14" s="69"/>
      <c r="I14" s="21"/>
      <c r="J14" s="21"/>
      <c r="K14" s="21"/>
      <c r="M14" s="14"/>
      <c r="N14" s="27" t="s">
        <v>30</v>
      </c>
      <c r="O14" s="26"/>
      <c r="P14" s="34">
        <f>IFERROR(__xludf.DUMMYFUNCTION("IFERROR(GOOGLEFINANCE(P2,""high52""),""-"")"),199.62)</f>
        <v>199.62</v>
      </c>
      <c r="Q14" s="35">
        <f>IFERROR(__xludf.DUMMYFUNCTION("IFERROR(GOOGLEFINANCE(Q2,""high52""),""-"")"),299.29)</f>
        <v>299.29</v>
      </c>
      <c r="R14" s="35">
        <f>IFERROR(__xludf.DUMMYFUNCTION("IFERROR(GOOGLEFINANCE(R2,""high52""),""-"")"),51.28)</f>
        <v>51.28</v>
      </c>
      <c r="S14" s="35">
        <f>IFERROR(__xludf.DUMMYFUNCTION("IFERROR(GOOGLEFINANCE(S2,""high52""),""-"")"),27.5)</f>
        <v>27.5</v>
      </c>
      <c r="T14" s="36">
        <f>IFERROR(__xludf.DUMMYFUNCTION("IFERROR(GOOGLEFINANCE(T2,""high52""),""-"")"),76.54)</f>
        <v>76.54</v>
      </c>
    </row>
    <row r="15">
      <c r="A15" s="14"/>
      <c r="B15" s="54" t="s">
        <v>31</v>
      </c>
      <c r="D15" s="68">
        <f>SUMIF(Transactions!$H:$H,"Cash Deposit",Transactions!$S:$S)+SUMIF(Transactions!$H:$H,"Sell",Transactions!$S:$S)+SUMIF(Transactions!$H:$H,"Dividend",Transactions!$S:$S)-SUMIF(Transactions!$H:$H,"Buy",Transactions!$S:$S)-SUMIF(Transactions!$H:$H,"Cash Withdrawal",Transactions!$S:$S)+SUMIFS(Transactions!$S:$S,Transactions!$L:$L,"Stablecoin",Transactions!$H:$H,"Buy")</f>
        <v>-37293.575</v>
      </c>
      <c r="E15" s="14"/>
      <c r="F15" s="14"/>
      <c r="G15" s="69"/>
      <c r="H15" s="69"/>
      <c r="I15" s="21"/>
      <c r="J15" s="21"/>
      <c r="K15" s="21"/>
      <c r="M15" s="14"/>
      <c r="N15" s="27" t="s">
        <v>32</v>
      </c>
      <c r="O15" s="26"/>
      <c r="P15" s="34">
        <f>IFERROR(__xludf.DUMMYFUNCTION("IFERROR(GOOGLEFINANCE(P2,""low52""),""-"")"),164.08)</f>
        <v>164.08</v>
      </c>
      <c r="Q15" s="35">
        <f>IFERROR(__xludf.DUMMYFUNCTION("IFERROR(GOOGLEFINANCE(Q2,""low52""),""-"")"),138.8)</f>
        <v>138.8</v>
      </c>
      <c r="R15" s="35">
        <f>IFERROR(__xludf.DUMMYFUNCTION("IFERROR(GOOGLEFINANCE(R2,""low52""),""-"")"),29.7)</f>
        <v>29.7</v>
      </c>
      <c r="S15" s="35">
        <f>IFERROR(__xludf.DUMMYFUNCTION("IFERROR(GOOGLEFINANCE(S2,""low52""),""-"")"),13.56)</f>
        <v>13.56</v>
      </c>
      <c r="T15" s="36">
        <f>IFERROR(__xludf.DUMMYFUNCTION("IFERROR(GOOGLEFINANCE(T2,""low52""),""-"")"),50.25)</f>
        <v>50.25</v>
      </c>
    </row>
    <row r="16">
      <c r="A16" s="14"/>
      <c r="B16" s="54" t="s">
        <v>33</v>
      </c>
      <c r="D16" s="68">
        <f>SUM(Portfolio!$P:$P)</f>
        <v>527424.7687</v>
      </c>
      <c r="E16" s="14"/>
      <c r="F16" s="14"/>
      <c r="G16" s="21"/>
      <c r="H16" s="21"/>
      <c r="I16" s="21"/>
      <c r="J16" s="21"/>
      <c r="K16" s="21"/>
      <c r="M16" s="14"/>
      <c r="N16" s="33" t="s">
        <v>34</v>
      </c>
      <c r="O16" s="26"/>
      <c r="P16" s="40">
        <f>IFERROR(__xludf.DUMMYFUNCTION("IFERROR((GOOGLEFINANCE(P2,""price"")/INDEX(GOOGLEFINANCE(P2,""price"",DATEVALUE(TODAY()-365) ),2,2)-1),"""")"),0.05846919038408416)</f>
        <v>0.05846919038</v>
      </c>
      <c r="Q16" s="41">
        <f>IFERROR(__xludf.DUMMYFUNCTION("IFERROR((GOOGLEFINANCE(Q2,""price"")/INDEX(GOOGLEFINANCE(Q2,""price"",DATEVALUE(TODAY()-365) ),2,2)-1),"""")"),-0.17011730616441556)</f>
        <v>-0.1701173062</v>
      </c>
      <c r="R16" s="41">
        <f>IFERROR(__xludf.DUMMYFUNCTION("IFERROR((GOOGLEFINANCE(R2,""price"")/INDEX(GOOGLEFINANCE(R2,""price"",DATEVALUE(TODAY()-365) ),2,2)-1),"""")"),-0.0386458000638773)</f>
        <v>-0.03864580006</v>
      </c>
      <c r="S16" s="41">
        <f>IFERROR(__xludf.DUMMYFUNCTION("IFERROR((GOOGLEFINANCE(S2,""price"")/INDEX(GOOGLEFINANCE(S2,""price"",DATEVALUE(TODAY()-365) ),2,2)-1),"""")"),0.4958677685950412)</f>
        <v>0.4958677686</v>
      </c>
      <c r="T16" s="42">
        <f>IFERROR(__xludf.DUMMYFUNCTION("IFERROR((GOOGLEFINANCE(T2,""price"")/INDEX(GOOGLEFINANCE(T2,""price"",DATEVALUE(TODAY()-365) ),2,2)-1),"""")"),-0.01907442151344585)</f>
        <v>-0.01907442151</v>
      </c>
    </row>
    <row r="17">
      <c r="A17" s="14"/>
      <c r="B17" s="54" t="s">
        <v>35</v>
      </c>
      <c r="D17" s="68">
        <f>SUM(Portfolio!$Q:$Q)</f>
        <v>46000</v>
      </c>
      <c r="E17" s="14"/>
      <c r="F17" s="14"/>
      <c r="G17" s="21"/>
      <c r="H17" s="21"/>
      <c r="I17" s="21"/>
      <c r="J17" s="21"/>
      <c r="K17" s="21"/>
      <c r="M17" s="14"/>
      <c r="N17" s="70" t="s">
        <v>36</v>
      </c>
      <c r="O17" s="23"/>
      <c r="P17" s="71" t="str">
        <f t="shared" ref="P17:T17" si="1">IFERROR(IF(P6&lt;((P14-P15)*0.5+P15),"Buy",IF(P6&gt;((P14-P15)*0.85+P15),"Sell","Hodl")),"-")</f>
        <v>Hodl</v>
      </c>
      <c r="Q17" s="72" t="str">
        <f t="shared" si="1"/>
        <v>Buy</v>
      </c>
      <c r="R17" s="72" t="str">
        <f t="shared" si="1"/>
        <v>Buy</v>
      </c>
      <c r="S17" s="72" t="str">
        <f t="shared" si="1"/>
        <v>Hodl</v>
      </c>
      <c r="T17" s="73" t="str">
        <f t="shared" si="1"/>
        <v>Buy</v>
      </c>
    </row>
    <row r="18">
      <c r="A18" s="14"/>
      <c r="B18" s="54" t="s">
        <v>37</v>
      </c>
      <c r="D18" s="68">
        <f>D16+D17</f>
        <v>573424.7687</v>
      </c>
      <c r="E18" s="14"/>
      <c r="F18" s="14"/>
      <c r="G18" s="21"/>
      <c r="H18" s="21"/>
      <c r="I18" s="21"/>
      <c r="J18" s="21"/>
      <c r="K18" s="21"/>
      <c r="M18" s="14"/>
      <c r="N18" s="74"/>
      <c r="O18" s="74"/>
      <c r="P18" s="74"/>
      <c r="Q18" s="74"/>
      <c r="R18" s="74"/>
      <c r="S18" s="74"/>
      <c r="T18" s="74"/>
      <c r="U18" s="14"/>
      <c r="V18" s="14"/>
      <c r="W18" s="14"/>
      <c r="X18" s="14"/>
      <c r="Y18" s="14"/>
      <c r="Z18" s="14"/>
    </row>
    <row r="19">
      <c r="A19" s="14"/>
      <c r="B19" s="75" t="s">
        <v>38</v>
      </c>
      <c r="C19" s="4"/>
      <c r="D19" s="62">
        <f>(SUM(Portfolio!$K:$K)/SUM(Portfolio!$J:$J))^(1/(YEARFRAC((MIN(Transactions!$C:$C)),TODAY())))-1</f>
        <v>0.2362105685</v>
      </c>
      <c r="E19" s="14"/>
      <c r="F19" s="14"/>
      <c r="G19" s="21"/>
      <c r="H19" s="21"/>
      <c r="I19" s="21"/>
      <c r="J19" s="21"/>
      <c r="K19" s="21"/>
      <c r="M19" s="14"/>
      <c r="N19" s="76" t="s">
        <v>39</v>
      </c>
      <c r="U19" s="14"/>
      <c r="V19" s="14"/>
      <c r="W19" s="14"/>
      <c r="X19" s="14"/>
      <c r="Y19" s="14"/>
      <c r="Z19" s="14"/>
    </row>
    <row r="20" ht="14.25" customHeight="1">
      <c r="A20" s="14"/>
      <c r="E20" s="14"/>
      <c r="F20" s="14"/>
      <c r="G20" s="77"/>
      <c r="H20" s="77"/>
      <c r="I20" s="21"/>
      <c r="J20" s="21"/>
      <c r="K20" s="21"/>
      <c r="M20" s="14"/>
      <c r="N20" s="78" t="s">
        <v>40</v>
      </c>
      <c r="O20" s="79" t="s">
        <v>41</v>
      </c>
      <c r="P20" s="80" t="s">
        <v>42</v>
      </c>
      <c r="Q20" s="81" t="s">
        <v>43</v>
      </c>
      <c r="R20" s="82" t="s">
        <v>33</v>
      </c>
      <c r="S20" s="81" t="s">
        <v>35</v>
      </c>
      <c r="T20" s="83" t="s">
        <v>37</v>
      </c>
      <c r="U20" s="14"/>
      <c r="V20" s="14"/>
      <c r="W20" s="84" t="s">
        <v>44</v>
      </c>
      <c r="X20" s="84" t="s">
        <v>45</v>
      </c>
      <c r="Y20" s="84" t="s">
        <v>46</v>
      </c>
      <c r="Z20" s="14"/>
    </row>
    <row r="21">
      <c r="A21" s="14"/>
      <c r="B21" s="85" t="s">
        <v>47</v>
      </c>
      <c r="C21" s="86"/>
      <c r="D21" s="87"/>
      <c r="E21" s="88"/>
      <c r="F21" s="14"/>
      <c r="G21" s="77"/>
      <c r="H21" s="77"/>
      <c r="I21" s="14"/>
      <c r="J21" s="14"/>
      <c r="K21" s="14"/>
      <c r="L21" s="14"/>
      <c r="M21" s="14"/>
      <c r="N21" s="89" t="s">
        <v>48</v>
      </c>
      <c r="O21" s="90">
        <f>IFERROR(__xludf.DUMMYFUNCTION("QUERY(Portfolio!$A$3:$AE101, ""Select I where B contains '""&amp;$N$21&amp;""'"")"),-337.16731999997864)</f>
        <v>-337.16732</v>
      </c>
      <c r="P21" s="91">
        <f>IFERROR(__xludf.DUMMYFUNCTION("QUERY(Portfolio!$A$3:$AE101, ""Select J where B contains '""&amp;$N$21&amp;""'"")"),96000.0)</f>
        <v>96000</v>
      </c>
      <c r="Q21" s="92">
        <f>IFERROR(__xludf.DUMMYFUNCTION("QUERY(Portfolio!$A$3:$AE101, ""Select K where B contains '""&amp;$N$21&amp;""'"")"),249312.46872000003)</f>
        <v>249312.4687</v>
      </c>
      <c r="R21" s="93">
        <f>IFERROR(__xludf.DUMMYFUNCTION("QUERY(Portfolio!$A$3:$AE101, ""Select L where B contains '""&amp;$N$21&amp;""'"")"),-120000.0)</f>
        <v>-120000</v>
      </c>
      <c r="S21" s="93">
        <f>IFERROR(__xludf.DUMMYFUNCTION("QUERY(Portfolio!$A$3:$AE101, ""Select M where B contains '""&amp;$N$21&amp;""'"")"),0.0)</f>
        <v>0</v>
      </c>
      <c r="T21" s="94">
        <f>IFERROR(__xludf.DUMMYFUNCTION("QUERY(Portfolio!$A$3:$AE101, ""Select N where B contains '""&amp;$N$21&amp;""'"")"),70000.0)</f>
        <v>70000</v>
      </c>
      <c r="U21" s="14"/>
      <c r="V21" s="14"/>
      <c r="W21" s="95">
        <f>IFERROR(__xludf.DUMMYFUNCTION("FILTER(Transactions!$C$3:$C101,(Transactions!$D$3:$D101=N21),(Transactions!$H$3:$H101=""Buy""))"),44317.0)</f>
        <v>44317</v>
      </c>
      <c r="X21" s="96">
        <f>IFERROR(__xludf.DUMMYFUNCTION("FILTER(Transactions!$J$3:$J101,(Transactions!$D$3:$D101=N21),(Transactions!$H$3:$H101=""Buy""))"),20000.0)</f>
        <v>20000</v>
      </c>
      <c r="Y21" s="96">
        <f>IFERROR(__xludf.DUMMYFUNCTION("IF(ISBLANK(W21),"""",QUERY(GOOGLEFINANCE($N$21,""Close"",W21-5,6),""select Col2 where Col1 &lt; date '""&amp;TEXT(W21+1, ""YYYY-MM-DD"")&amp;""' order by Col1 desc limit 1"",False)
)"),48135.14106)</f>
        <v>48135.14106</v>
      </c>
      <c r="Z21" s="14"/>
    </row>
    <row r="22">
      <c r="A22" s="14"/>
      <c r="B22" s="97" t="s">
        <v>49</v>
      </c>
      <c r="D22" s="98">
        <v>43831.0</v>
      </c>
      <c r="E22" s="88"/>
      <c r="F22" s="14"/>
      <c r="G22" s="77"/>
      <c r="H22" s="77"/>
      <c r="I22" s="14"/>
      <c r="J22" s="14"/>
      <c r="K22" s="14"/>
      <c r="L22" s="14"/>
      <c r="M22" s="14"/>
      <c r="N22" s="14"/>
      <c r="P22" s="14"/>
      <c r="Q22" s="14"/>
      <c r="R22" s="14"/>
      <c r="S22" s="14"/>
      <c r="T22" s="14"/>
      <c r="U22" s="14"/>
      <c r="V22" s="14"/>
      <c r="W22" s="95">
        <f>IFERROR(__xludf.DUMMYFUNCTION("""COMPUTED_VALUE"""),44409.0)</f>
        <v>44409</v>
      </c>
      <c r="X22" s="96">
        <f>IFERROR(__xludf.DUMMYFUNCTION("""COMPUTED_VALUE"""),30000.0)</f>
        <v>30000</v>
      </c>
      <c r="Y22" s="96">
        <f>IFERROR(__xludf.DUMMYFUNCTION("IF(ISBLANK(W22),"""",QUERY(GOOGLEFINANCE($N$21,""Close"",W22-5,6),""select Col2 where Col1 &lt; date '""&amp;TEXT(W22+1, ""YYYY-MM-DD"")&amp;""' order by Col1 desc limit 1"",False)
)"),33600.95104)</f>
        <v>33600.95104</v>
      </c>
      <c r="Z22" s="14"/>
    </row>
    <row r="23">
      <c r="A23" s="14"/>
      <c r="B23" s="97" t="s">
        <v>50</v>
      </c>
      <c r="D23" s="98">
        <f>TODAY()</f>
        <v>45444</v>
      </c>
      <c r="E23" s="88"/>
      <c r="F23" s="99"/>
      <c r="G23" s="77"/>
      <c r="H23" s="77"/>
      <c r="I23" s="14"/>
      <c r="J23" s="14"/>
      <c r="K23" s="14"/>
      <c r="L23" s="14"/>
      <c r="M23" s="14"/>
      <c r="N23" s="99"/>
      <c r="O23" s="14"/>
      <c r="P23" s="14"/>
      <c r="Q23" s="14"/>
      <c r="R23" s="14"/>
      <c r="S23" s="14"/>
      <c r="T23" s="14"/>
      <c r="U23" s="14"/>
      <c r="V23" s="14"/>
      <c r="W23" s="95"/>
      <c r="X23" s="96"/>
      <c r="Y23" s="96" t="str">
        <f>IFERROR(__xludf.DUMMYFUNCTION("IF(ISBLANK(W23),"""",QUERY(GOOGLEFINANCE($N$21,""Close"",W23-5,6),""select Col2 where Col1 &lt; date '""&amp;TEXT(W23+1, ""YYYY-MM-DD"")&amp;""' order by Col1 desc limit 1"",False)
)"),"")</f>
        <v/>
      </c>
      <c r="Z23" s="14"/>
    </row>
    <row r="24">
      <c r="A24" s="14"/>
      <c r="B24" s="100" t="s">
        <v>51</v>
      </c>
      <c r="D24" s="101">
        <f>SUMIFS(Transactions!$S:$S,Transactions!$F:$F,"Cash",Transactions!$H:$H,"Cash Deposit",Transactions!$C:$C,"&gt;="&amp;$D$22,Transactions!$C:$C,"&lt;="&amp;$D$23)</f>
        <v>450000</v>
      </c>
      <c r="E24" s="88"/>
      <c r="F24" s="14"/>
      <c r="G24" s="77"/>
      <c r="H24" s="77"/>
      <c r="I24" s="14"/>
      <c r="J24" s="14"/>
      <c r="K24" s="14"/>
      <c r="L24" s="14"/>
      <c r="M24" s="14"/>
      <c r="N24" s="14"/>
      <c r="O24" s="14"/>
      <c r="P24" s="14"/>
      <c r="Q24" s="14"/>
      <c r="R24" s="14"/>
      <c r="S24" s="14"/>
      <c r="T24" s="14"/>
      <c r="U24" s="14"/>
      <c r="V24" s="14"/>
      <c r="W24" s="95"/>
      <c r="X24" s="96"/>
      <c r="Y24" s="96" t="str">
        <f>IFERROR(__xludf.DUMMYFUNCTION("IF(ISBLANK(W24),"""",QUERY(GOOGLEFINANCE($N$21,""Close"",W24-5,6),""select Col2 where Col1 &lt; date '""&amp;TEXT(W24+1, ""YYYY-MM-DD"")&amp;""' order by Col1 desc limit 1"",False)
)"),"")</f>
        <v/>
      </c>
      <c r="Z24" s="14"/>
    </row>
    <row r="25">
      <c r="A25" s="14"/>
      <c r="B25" s="100" t="s">
        <v>52</v>
      </c>
      <c r="D25" s="101">
        <f>SUMIFS(Transactions!$S:$S,Transactions!$F:$F,"Cash",Transactions!$H:$H,"Cash Withdrawal",Transactions!$C:$C,"&gt;="&amp;$D$22,Transactions!$C:$C,"&lt;="&amp;$D$23)</f>
        <v>0</v>
      </c>
      <c r="E25" s="88"/>
      <c r="F25" s="14"/>
      <c r="G25" s="77"/>
      <c r="H25" s="77"/>
      <c r="I25" s="14"/>
      <c r="J25" s="14"/>
      <c r="K25" s="14"/>
      <c r="L25" s="14"/>
      <c r="M25" s="14"/>
      <c r="N25" s="14"/>
      <c r="O25" s="14"/>
      <c r="P25" s="14"/>
      <c r="Q25" s="14"/>
      <c r="R25" s="14"/>
      <c r="S25" s="14"/>
      <c r="T25" s="14"/>
      <c r="U25" s="14"/>
      <c r="V25" s="14"/>
      <c r="W25" s="95"/>
      <c r="X25" s="96"/>
      <c r="Y25" s="96" t="str">
        <f>IFERROR(__xludf.DUMMYFUNCTION("IF(ISBLANK(W25),"""",QUERY(GOOGLEFINANCE($N$21,""Close"",W25-5,6),""select Col2 where Col1 &lt; date '""&amp;TEXT(W25+1, ""YYYY-MM-DD"")&amp;""' order by Col1 desc limit 1"",False)
)"),"")</f>
        <v/>
      </c>
      <c r="Z25" s="14"/>
    </row>
    <row r="26">
      <c r="A26" s="14"/>
      <c r="B26" s="100" t="s">
        <v>53</v>
      </c>
      <c r="D26" s="101">
        <f>D24-D25</f>
        <v>450000</v>
      </c>
      <c r="E26" s="14"/>
      <c r="F26" s="14"/>
      <c r="G26" s="77"/>
      <c r="H26" s="77"/>
      <c r="I26" s="14"/>
      <c r="J26" s="14"/>
      <c r="K26" s="14"/>
      <c r="L26" s="14"/>
      <c r="M26" s="14"/>
      <c r="N26" s="99"/>
      <c r="O26" s="14"/>
      <c r="P26" s="14"/>
      <c r="Q26" s="14"/>
      <c r="R26" s="14"/>
      <c r="S26" s="14"/>
      <c r="T26" s="14"/>
      <c r="U26" s="14"/>
      <c r="V26" s="14"/>
      <c r="W26" s="95"/>
      <c r="X26" s="96"/>
      <c r="Y26" s="96" t="str">
        <f>IFERROR(__xludf.DUMMYFUNCTION("IF(ISBLANK(W26),"""",QUERY(GOOGLEFINANCE($N$21,""Close"",W26-5,6),""select Col2 where Col1 &lt; date '""&amp;TEXT(W26+1, ""YYYY-MM-DD"")&amp;""' order by Col1 desc limit 1"",False)
)"),"")</f>
        <v/>
      </c>
      <c r="Z26" s="14"/>
    </row>
    <row r="27">
      <c r="A27" s="14"/>
      <c r="B27" s="97" t="s">
        <v>54</v>
      </c>
      <c r="D27" s="102">
        <f>COUNTIFS(Transactions!$H:$H,"Cash Deposit",Transactions!$C:$C,"&gt;="&amp;$D$22,Transactions!$C:$C,"&lt;="&amp;$D$23)</f>
        <v>4</v>
      </c>
      <c r="E27" s="21"/>
      <c r="F27" s="14"/>
      <c r="G27" s="77"/>
      <c r="H27" s="77"/>
      <c r="I27" s="14"/>
      <c r="J27" s="14"/>
      <c r="K27" s="14"/>
      <c r="L27" s="14"/>
      <c r="M27" s="14"/>
      <c r="N27" s="99"/>
      <c r="O27" s="14"/>
      <c r="P27" s="14"/>
      <c r="Q27" s="14"/>
      <c r="R27" s="14"/>
      <c r="S27" s="14"/>
      <c r="T27" s="14"/>
      <c r="U27" s="14"/>
      <c r="V27" s="14"/>
      <c r="W27" s="95"/>
      <c r="X27" s="96"/>
      <c r="Y27" s="96" t="str">
        <f>IFERROR(__xludf.DUMMYFUNCTION("IF(ISBLANK(W27),"""",QUERY(GOOGLEFINANCE($N$21,""Close"",W27-5,6),""select Col2 where Col1 &lt; date '""&amp;TEXT(W27+1, ""YYYY-MM-DD"")&amp;""' order by Col1 desc limit 1"",False)
)"),"")</f>
        <v/>
      </c>
      <c r="Z27" s="14"/>
    </row>
    <row r="28">
      <c r="A28" s="14"/>
      <c r="B28" s="97" t="s">
        <v>55</v>
      </c>
      <c r="D28" s="102">
        <f>COUNTIFS(Transactions!$H:$H,"Cash Withdrawal",Transactions!$C:$C,"&gt;="&amp;$D$22,Transactions!$C:$C,"&lt;="&amp;$D$23)</f>
        <v>0</v>
      </c>
      <c r="E28" s="14"/>
      <c r="F28" s="14"/>
      <c r="G28" s="14"/>
      <c r="H28" s="14"/>
      <c r="I28" s="14"/>
      <c r="J28" s="14"/>
      <c r="K28" s="14"/>
      <c r="L28" s="14"/>
      <c r="M28" s="14"/>
      <c r="N28" s="14"/>
      <c r="O28" s="14"/>
      <c r="P28" s="14"/>
      <c r="Q28" s="14"/>
      <c r="R28" s="14"/>
      <c r="S28" s="14"/>
      <c r="T28" s="14"/>
      <c r="U28" s="14"/>
      <c r="V28" s="14"/>
      <c r="W28" s="95"/>
      <c r="X28" s="96"/>
      <c r="Y28" s="96" t="str">
        <f>IFERROR(__xludf.DUMMYFUNCTION("IF(ISBLANK(W28),"""",QUERY(GOOGLEFINANCE($N$21,""Close"",W28-5,6),""select Col2 where Col1 &lt; date '""&amp;TEXT(W28+1, ""YYYY-MM-DD"")&amp;""' order by Col1 desc limit 1"",False)
)"),"")</f>
        <v/>
      </c>
      <c r="Z28" s="14"/>
    </row>
    <row r="29">
      <c r="A29" s="14"/>
      <c r="B29" s="97" t="s">
        <v>56</v>
      </c>
      <c r="D29" s="101">
        <f>SUMIFS(Transactions!$R:$R,Transactions!$C:$C,"&gt;="&amp;$D$22,Transactions!$C:$C,"&lt;="&amp;$D$23)</f>
        <v>9.0288</v>
      </c>
      <c r="E29" s="14"/>
      <c r="F29" s="14"/>
      <c r="G29" s="14"/>
      <c r="H29" s="14"/>
      <c r="I29" s="14"/>
      <c r="J29" s="14"/>
      <c r="K29" s="14"/>
      <c r="L29" s="14"/>
      <c r="M29" s="14"/>
      <c r="N29" s="99"/>
      <c r="O29" s="14"/>
      <c r="P29" s="14"/>
      <c r="Q29" s="14"/>
      <c r="R29" s="14"/>
      <c r="S29" s="14"/>
      <c r="T29" s="14"/>
      <c r="U29" s="14"/>
      <c r="V29" s="14"/>
      <c r="W29" s="95"/>
      <c r="X29" s="96"/>
      <c r="Y29" s="96" t="str">
        <f>IFERROR(__xludf.DUMMYFUNCTION("IF(ISBLANK(W29),"""",QUERY(GOOGLEFINANCE($N$21,""Close"",W29-5,6),""select Col2 where Col1 &lt; date '""&amp;TEXT(W29+1, ""YYYY-MM-DD"")&amp;""' order by Col1 desc limit 1"",False)
)"),"")</f>
        <v/>
      </c>
      <c r="Z29" s="14"/>
    </row>
    <row r="30">
      <c r="A30" s="14"/>
      <c r="B30" s="103" t="s">
        <v>57</v>
      </c>
      <c r="D30" s="104">
        <f>COUNTIFS(Transactions!$H:$H,"Buy",Transactions!$C:$C,"&gt;="&amp;$D$22,Transactions!$C:$C,"&lt;="&amp;$D$23)+COUNTIFS(Transactions!$H:$H,"Sell",Transactions!$C:$C,"&gt;="&amp;$D$22,Transactions!$C:$C,"&lt;="&amp;$D$23)</f>
        <v>10</v>
      </c>
      <c r="E30" s="14"/>
      <c r="F30" s="14"/>
      <c r="G30" s="14"/>
      <c r="H30" s="14"/>
      <c r="I30" s="14"/>
      <c r="J30" s="14"/>
      <c r="K30" s="14"/>
      <c r="L30" s="14"/>
      <c r="M30" s="14"/>
      <c r="N30" s="14"/>
      <c r="O30" s="14"/>
      <c r="P30" s="14"/>
      <c r="Q30" s="14"/>
      <c r="R30" s="14"/>
      <c r="S30" s="14"/>
      <c r="T30" s="14"/>
      <c r="U30" s="14"/>
      <c r="V30" s="14"/>
      <c r="W30" s="95"/>
      <c r="X30" s="96"/>
      <c r="Y30" s="96" t="str">
        <f>IFERROR(__xludf.DUMMYFUNCTION("IF(ISBLANK(W30),"""",QUERY(GOOGLEFINANCE($N$21,""Close"",W30-5,6),""select Col2 where Col1 &lt; date '""&amp;TEXT(W30+1, ""YYYY-MM-DD"")&amp;""' order by Col1 desc limit 1"",False)
)"),"")</f>
        <v/>
      </c>
      <c r="Z30" s="14"/>
    </row>
    <row r="31">
      <c r="A31" s="14"/>
      <c r="B31" s="97" t="s">
        <v>58</v>
      </c>
      <c r="D31" s="101">
        <f>SUMIFS(Transactions!$S:$S,Transactions!$H:$H,"Dividend",Transactions!$C:$C,"&gt;="&amp;$D$22,Transactions!$C:$C,"&lt;="&amp;$D$23)</f>
        <v>0</v>
      </c>
      <c r="E31" s="14"/>
      <c r="F31" s="14"/>
      <c r="G31" s="14"/>
      <c r="H31" s="14"/>
      <c r="I31" s="14"/>
      <c r="J31" s="14"/>
      <c r="K31" s="14"/>
      <c r="L31" s="14"/>
      <c r="M31" s="14"/>
      <c r="N31" s="14"/>
      <c r="O31" s="14"/>
      <c r="P31" s="14"/>
      <c r="Q31" s="14"/>
      <c r="R31" s="14"/>
      <c r="S31" s="14"/>
      <c r="T31" s="14"/>
      <c r="U31" s="14"/>
      <c r="V31" s="14"/>
      <c r="W31" s="95"/>
      <c r="X31" s="96"/>
      <c r="Y31" s="96" t="str">
        <f>IFERROR(__xludf.DUMMYFUNCTION("IF(ISBLANK(W31),"""",QUERY(GOOGLEFINANCE($N$21,""Close"",W31-5,6),""select Col2 where Col1 &lt; date '""&amp;TEXT(W31+1, ""YYYY-MM-DD"")&amp;""' order by Col1 desc limit 1"",False)
)"),"")</f>
        <v/>
      </c>
      <c r="Z31" s="14"/>
    </row>
    <row r="32">
      <c r="A32" s="14"/>
      <c r="B32" s="97" t="s">
        <v>59</v>
      </c>
      <c r="D32" s="101">
        <f>SUMIFS(Transactions!$S:$S,Transactions!$H:$H,"DRIP",Transactions!$C:$C,"&gt;="&amp;$D$22,Transactions!$C:$C,"&lt;="&amp;$D$23)</f>
        <v>0</v>
      </c>
      <c r="E32" s="14"/>
      <c r="F32" s="14"/>
      <c r="G32" s="14"/>
      <c r="H32" s="14"/>
      <c r="I32" s="14"/>
      <c r="J32" s="14"/>
      <c r="K32" s="14"/>
      <c r="L32" s="14"/>
      <c r="M32" s="14"/>
      <c r="N32" s="14"/>
      <c r="O32" s="14"/>
      <c r="P32" s="14"/>
      <c r="Q32" s="14"/>
      <c r="R32" s="14"/>
      <c r="S32" s="14"/>
      <c r="T32" s="14"/>
      <c r="U32" s="14"/>
      <c r="V32" s="14"/>
      <c r="W32" s="95"/>
      <c r="X32" s="96"/>
      <c r="Y32" s="96" t="str">
        <f>IFERROR(__xludf.DUMMYFUNCTION("IF(ISBLANK(W32),"""",QUERY(GOOGLEFINANCE($N$21,""Close"",W32-5,6),""select Col2 where Col1 &lt; date '""&amp;TEXT(W32+1, ""YYYY-MM-DD"")&amp;""' order by Col1 desc limit 1"",False)
)"),"")</f>
        <v/>
      </c>
      <c r="Z32" s="14"/>
    </row>
    <row r="33">
      <c r="A33" s="14"/>
      <c r="B33" s="97" t="s">
        <v>60</v>
      </c>
      <c r="D33" s="101">
        <f>D31+D32</f>
        <v>0</v>
      </c>
      <c r="E33" s="14"/>
      <c r="F33" s="14"/>
      <c r="G33" s="14"/>
      <c r="H33" s="14"/>
      <c r="I33" s="14"/>
      <c r="J33" s="14"/>
      <c r="K33" s="14"/>
      <c r="L33" s="14"/>
      <c r="M33" s="14"/>
      <c r="N33" s="14"/>
      <c r="O33" s="14"/>
      <c r="P33" s="14"/>
      <c r="Q33" s="14"/>
      <c r="R33" s="14"/>
      <c r="S33" s="14"/>
      <c r="T33" s="14"/>
      <c r="U33" s="14"/>
      <c r="V33" s="14"/>
      <c r="W33" s="95"/>
      <c r="X33" s="96"/>
      <c r="Y33" s="96" t="str">
        <f>IFERROR(__xludf.DUMMYFUNCTION("IF(ISBLANK(W33),"""",QUERY(GOOGLEFINANCE($N$21,""Close"",W33-5,6),""select Col2 where Col1 &lt; date '""&amp;TEXT(W33+1, ""YYYY-MM-DD"")&amp;""' order by Col1 desc limit 1"",False)
)"),"")</f>
        <v/>
      </c>
      <c r="Z33" s="14"/>
    </row>
    <row r="34">
      <c r="A34" s="14"/>
      <c r="B34" s="105" t="s">
        <v>61</v>
      </c>
      <c r="D34" s="49">
        <f>D33/D3</f>
        <v>0</v>
      </c>
      <c r="E34" s="14"/>
      <c r="F34" s="14"/>
      <c r="G34" s="14"/>
      <c r="H34" s="14"/>
      <c r="I34" s="14"/>
      <c r="J34" s="14"/>
      <c r="K34" s="14"/>
      <c r="L34" s="14"/>
      <c r="M34" s="14"/>
      <c r="N34" s="106" t="s">
        <v>62</v>
      </c>
      <c r="O34" s="4"/>
      <c r="P34" s="4"/>
      <c r="Q34" s="4"/>
      <c r="R34" s="4"/>
      <c r="S34" s="4"/>
      <c r="T34" s="4"/>
      <c r="U34" s="14"/>
      <c r="V34" s="14"/>
      <c r="W34" s="95"/>
      <c r="X34" s="96"/>
      <c r="Y34" s="96" t="str">
        <f>IFERROR(__xludf.DUMMYFUNCTION("IF(ISBLANK(W34),"""",QUERY(GOOGLEFINANCE($N$21,""Close"",W34-5,6),""select Col2 where Col1 &lt; date '""&amp;TEXT(W34+1, ""YYYY-MM-DD"")&amp;""' order by Col1 desc limit 1"",False)
)"),"")</f>
        <v/>
      </c>
      <c r="Z34" s="14"/>
    </row>
    <row r="35">
      <c r="A35" s="14"/>
      <c r="B35" s="107" t="s">
        <v>63</v>
      </c>
      <c r="C35" s="4"/>
      <c r="D35" s="108">
        <f>(D4)/(40*52)</f>
        <v>275.684985</v>
      </c>
      <c r="E35" s="14"/>
      <c r="F35" s="14"/>
      <c r="G35" s="14"/>
      <c r="H35" s="14"/>
      <c r="I35" s="14"/>
      <c r="J35" s="14"/>
      <c r="K35" s="14"/>
      <c r="L35" s="14"/>
      <c r="M35" s="14"/>
      <c r="N35" s="14"/>
      <c r="O35" s="14"/>
      <c r="P35" s="14"/>
      <c r="Q35" s="14"/>
      <c r="R35" s="14"/>
      <c r="S35" s="14"/>
      <c r="T35" s="14"/>
      <c r="U35" s="14"/>
      <c r="V35" s="14"/>
      <c r="W35" s="95"/>
      <c r="X35" s="96"/>
      <c r="Y35" s="96" t="str">
        <f>IFERROR(__xludf.DUMMYFUNCTION("IF(ISBLANK(W35),"""",QUERY(GOOGLEFINANCE($N$21,""Close"",W35-5,6),""select Col2 where Col1 &lt; date '""&amp;TEXT(W35+1, ""YYYY-MM-DD"")&amp;""' order by Col1 desc limit 1"",False)
)"),"")</f>
        <v/>
      </c>
      <c r="Z35" s="14"/>
    </row>
    <row r="36">
      <c r="A36" s="14"/>
      <c r="B36" s="14"/>
      <c r="C36" s="14"/>
      <c r="D36" s="14"/>
      <c r="E36" s="14"/>
      <c r="F36" s="14"/>
      <c r="G36" s="14"/>
      <c r="H36" s="14"/>
      <c r="I36" s="14"/>
      <c r="J36" s="14"/>
      <c r="K36" s="14"/>
      <c r="L36" s="14"/>
      <c r="M36" s="14"/>
      <c r="N36" s="109" t="s">
        <v>64</v>
      </c>
      <c r="O36" s="110" t="s">
        <v>65</v>
      </c>
      <c r="P36" s="111"/>
      <c r="Q36" s="109" t="s">
        <v>66</v>
      </c>
      <c r="R36" s="112" t="s">
        <v>67</v>
      </c>
      <c r="S36" s="112" t="s">
        <v>68</v>
      </c>
      <c r="T36" s="113" t="s">
        <v>69</v>
      </c>
      <c r="U36" s="14"/>
      <c r="V36" s="14"/>
      <c r="W36" s="95"/>
      <c r="X36" s="96"/>
      <c r="Y36" s="96" t="str">
        <f>IFERROR(__xludf.DUMMYFUNCTION("IF(ISBLANK(W36),"""",QUERY(GOOGLEFINANCE($N$21,""Close"",W36-5,6),""select Col2 where Col1 &lt; date '""&amp;TEXT(W36+1, ""YYYY-MM-DD"")&amp;""' order by Col1 desc limit 1"",False)
)"),"")</f>
        <v/>
      </c>
      <c r="Z36" s="14"/>
    </row>
    <row r="37">
      <c r="A37" s="14"/>
      <c r="B37" s="14"/>
      <c r="C37" s="14"/>
      <c r="D37" s="14"/>
      <c r="E37" s="14"/>
      <c r="F37" s="14"/>
      <c r="G37" s="14"/>
      <c r="H37" s="14"/>
      <c r="I37" s="14"/>
      <c r="J37" s="14"/>
      <c r="K37" s="14"/>
      <c r="L37" s="14"/>
      <c r="M37" s="14"/>
      <c r="N37" s="114" t="s">
        <v>70</v>
      </c>
      <c r="O37" s="115">
        <v>0.3</v>
      </c>
      <c r="P37" s="111"/>
      <c r="Q37" s="116" t="str">
        <f>IFERROR(__xludf.DUMMYFUNCTION("UNIQUE(QUERY(Transactions!$A$3:$W101, ""Select U where V contains '""&amp;$O$36&amp;""'""))"),"May-24")</f>
        <v>May-24</v>
      </c>
      <c r="R37" s="117">
        <f>IF(ISBLANK(Q37),"",SUMIFS(Transactions!$S:$S,Transactions!$U:$U,Q37,Transactions!$H:$H,"Dividend")+SUMIFS(Transactions!$S:$S,Transactions!$U:$U,Q37,Transactions!$H:$H,"DRIP"))</f>
        <v>0</v>
      </c>
      <c r="S37" s="117">
        <f t="shared" ref="S37:S48" si="2">IF(ISBLANK(Q37),"",R37*$O$37)</f>
        <v>0</v>
      </c>
      <c r="T37" s="118">
        <f t="shared" ref="T37:T48" si="3">IF(ISBLANK(Q37),"",IFERROR(R37-S37,""))</f>
        <v>0</v>
      </c>
      <c r="U37" s="14"/>
      <c r="V37" s="14"/>
      <c r="W37" s="95"/>
      <c r="X37" s="96"/>
      <c r="Y37" s="96" t="str">
        <f>IFERROR(__xludf.DUMMYFUNCTION("IF(ISBLANK(W37),"""",QUERY(GOOGLEFINANCE($N$21,""Close"",W37-5,6),""select Col2 where Col1 &lt; date '""&amp;TEXT(W37+1, ""YYYY-MM-DD"")&amp;""' order by Col1 desc limit 1"",False)
)"),"")</f>
        <v/>
      </c>
      <c r="Z37" s="14"/>
    </row>
    <row r="38">
      <c r="A38" s="14"/>
      <c r="B38" s="14"/>
      <c r="C38" s="14"/>
      <c r="D38" s="14"/>
      <c r="E38" s="14"/>
      <c r="F38" s="14"/>
      <c r="G38" s="14"/>
      <c r="H38" s="14"/>
      <c r="I38" s="14"/>
      <c r="J38" s="14"/>
      <c r="K38" s="14"/>
      <c r="L38" s="14"/>
      <c r="M38" s="14"/>
      <c r="N38" s="14"/>
      <c r="O38" s="14"/>
      <c r="P38" s="111"/>
      <c r="Q38" s="116"/>
      <c r="R38" s="117" t="str">
        <f>IF(ISBLANK(Q38),"",SUMIFS(Transactions!$S:$S,Transactions!$U:$U,Q38,Transactions!$H:$H,"Dividend")+SUMIFS(Transactions!$S:$S,Transactions!$U:$U,Q38,Transactions!$H:$H,"DRIP"))</f>
        <v/>
      </c>
      <c r="S38" s="117" t="str">
        <f t="shared" si="2"/>
        <v/>
      </c>
      <c r="T38" s="118" t="str">
        <f t="shared" si="3"/>
        <v/>
      </c>
      <c r="U38" s="14"/>
      <c r="V38" s="14"/>
      <c r="W38" s="95"/>
      <c r="X38" s="96"/>
      <c r="Y38" s="96" t="str">
        <f>IFERROR(__xludf.DUMMYFUNCTION("IF(ISBLANK(W38),"""",QUERY(GOOGLEFINANCE($N$21,""Close"",W38-5,6),""select Col2 where Col1 &lt; date '""&amp;TEXT(W38+1, ""YYYY-MM-DD"")&amp;""' order by Col1 desc limit 1"",False)
)"),"")</f>
        <v/>
      </c>
      <c r="Z38" s="14"/>
    </row>
    <row r="39">
      <c r="A39" s="14"/>
      <c r="B39" s="14"/>
      <c r="C39" s="14"/>
      <c r="D39" s="14"/>
      <c r="E39" s="14"/>
      <c r="F39" s="14"/>
      <c r="G39" s="14"/>
      <c r="H39" s="14"/>
      <c r="I39" s="14"/>
      <c r="J39" s="14"/>
      <c r="K39" s="14"/>
      <c r="L39" s="14"/>
      <c r="M39" s="14"/>
      <c r="N39" s="119" t="s">
        <v>71</v>
      </c>
      <c r="O39" s="87"/>
      <c r="P39" s="21"/>
      <c r="Q39" s="116"/>
      <c r="R39" s="117" t="str">
        <f>IF(ISBLANK(Q39),"",SUMIFS(Transactions!$S:$S,Transactions!$U:$U,Q39,Transactions!$H:$H,"Dividend")+SUMIFS(Transactions!$S:$S,Transactions!$U:$U,Q39,Transactions!$H:$H,"DRIP"))</f>
        <v/>
      </c>
      <c r="S39" s="117" t="str">
        <f t="shared" si="2"/>
        <v/>
      </c>
      <c r="T39" s="118" t="str">
        <f t="shared" si="3"/>
        <v/>
      </c>
      <c r="U39" s="14"/>
      <c r="V39" s="14"/>
      <c r="W39" s="95"/>
      <c r="X39" s="96"/>
      <c r="Y39" s="96" t="str">
        <f>IFERROR(__xludf.DUMMYFUNCTION("IF(ISBLANK(W39),"""",QUERY(GOOGLEFINANCE($N$21,""Close"",W39-5,6),""select Col2 where Col1 &lt; date '""&amp;TEXT(W39+1, ""YYYY-MM-DD"")&amp;""' order by Col1 desc limit 1"",False)
)"),"")</f>
        <v/>
      </c>
      <c r="Z39" s="14"/>
    </row>
    <row r="40">
      <c r="A40" s="14"/>
      <c r="B40" s="14"/>
      <c r="C40" s="14"/>
      <c r="D40" s="14"/>
      <c r="E40" s="14"/>
      <c r="F40" s="14"/>
      <c r="G40" s="14"/>
      <c r="H40" s="14"/>
      <c r="I40" s="14"/>
      <c r="J40" s="14"/>
      <c r="K40" s="14"/>
      <c r="L40" s="14"/>
      <c r="M40" s="14"/>
      <c r="N40" s="120" t="s">
        <v>40</v>
      </c>
      <c r="O40" s="121" t="str">
        <f>"Interest ("&amp;O36&amp;")"</f>
        <v>Interest (2024)</v>
      </c>
      <c r="P40" s="122" t="s">
        <v>72</v>
      </c>
      <c r="Q40" s="116"/>
      <c r="R40" s="117" t="str">
        <f>IF(ISBLANK(Q40),"",SUMIFS(Transactions!$S:$S,Transactions!$U:$U,Q40,Transactions!$H:$H,"Dividend")+SUMIFS(Transactions!$S:$S,Transactions!$U:$U,Q40,Transactions!$H:$H,"DRIP"))</f>
        <v/>
      </c>
      <c r="S40" s="117" t="str">
        <f t="shared" si="2"/>
        <v/>
      </c>
      <c r="T40" s="118" t="str">
        <f t="shared" si="3"/>
        <v/>
      </c>
      <c r="U40" s="14"/>
      <c r="V40" s="14"/>
      <c r="W40" s="95"/>
      <c r="X40" s="96"/>
      <c r="Y40" s="96" t="str">
        <f>IFERROR(__xludf.DUMMYFUNCTION("IF(ISBLANK(W40),"""",QUERY(GOOGLEFINANCE($N$21,""Close"",W40-5,6),""select Col2 where Col1 &lt; date '""&amp;TEXT(W40+1, ""YYYY-MM-DD"")&amp;""' order by Col1 desc limit 1"",False)
)"),"")</f>
        <v/>
      </c>
      <c r="Z40" s="14"/>
    </row>
    <row r="41">
      <c r="A41" s="14"/>
      <c r="B41" s="14"/>
      <c r="C41" s="14"/>
      <c r="D41" s="14"/>
      <c r="E41" s="14"/>
      <c r="F41" s="14"/>
      <c r="G41" s="14"/>
      <c r="H41" s="14"/>
      <c r="I41" s="14"/>
      <c r="J41" s="14"/>
      <c r="K41" s="14"/>
      <c r="L41" s="14"/>
      <c r="M41" s="14"/>
      <c r="N41" s="123" t="str">
        <f>IFERROR(__xludf.DUMMYFUNCTION("UNIQUE(FILTER(Transactions!$D$3:$D101,(Transactions!$F$3:$F101=""Crypto"")+(Transactions!$F$3:$F101=""Stablecoin""),(Transactions!$H$3:$H101=""Crypto Interest"")))"),"#N/A")</f>
        <v>#N/A</v>
      </c>
      <c r="O41" s="124">
        <f>IF(ISBLANK(N41),"",SUMIFS(Transactions!$I:$I,Transactions!$H:$H,"Crypto Interest",Transactions!$V:$V,$O$36,Transactions!$D:$D,N41))</f>
        <v>0</v>
      </c>
      <c r="P41" s="125">
        <f>IF(ISBLANK(N41),"",SUMIFS(Transactions!$I:$I,Transactions!$H:$H,"Crypto Interest",Transactions!$W:$W,$P$40,Transactions!$D:$D,N41))</f>
        <v>0</v>
      </c>
      <c r="Q41" s="116"/>
      <c r="R41" s="117" t="str">
        <f>IF(ISBLANK(Q41),"",SUMIFS(Transactions!$S:$S,Transactions!$U:$U,Q41,Transactions!$H:$H,"Dividend")+SUMIFS(Transactions!$S:$S,Transactions!$U:$U,Q41,Transactions!$H:$H,"DRIP"))</f>
        <v/>
      </c>
      <c r="S41" s="117" t="str">
        <f t="shared" si="2"/>
        <v/>
      </c>
      <c r="T41" s="118" t="str">
        <f t="shared" si="3"/>
        <v/>
      </c>
      <c r="U41" s="14"/>
      <c r="V41" s="14"/>
      <c r="W41" s="95"/>
      <c r="X41" s="96"/>
      <c r="Y41" s="96" t="str">
        <f>IFERROR(__xludf.DUMMYFUNCTION("IF(ISBLANK(W41),"""",QUERY(GOOGLEFINANCE($N$21,""Close"",W41-5,6),""select Col2 where Col1 &lt; date '""&amp;TEXT(W41+1, ""YYYY-MM-DD"")&amp;""' order by Col1 desc limit 1"",False)
)"),"")</f>
        <v/>
      </c>
      <c r="Z41" s="14"/>
    </row>
    <row r="42">
      <c r="A42" s="14"/>
      <c r="B42" s="14"/>
      <c r="C42" s="14"/>
      <c r="D42" s="14"/>
      <c r="E42" s="14"/>
      <c r="F42" s="14"/>
      <c r="G42" s="14"/>
      <c r="H42" s="14"/>
      <c r="I42" s="14"/>
      <c r="J42" s="14"/>
      <c r="K42" s="14"/>
      <c r="L42" s="14"/>
      <c r="M42" s="14"/>
      <c r="N42" s="123"/>
      <c r="O42" s="124" t="str">
        <f>IF(ISBLANK(N42),"",SUMIFS(Transactions!$I:$I,Transactions!$H:$H,"Crypto Interest",Transactions!$V:$V,$O$36,Transactions!$D:$D,N42))</f>
        <v/>
      </c>
      <c r="P42" s="125" t="str">
        <f>IF(ISBLANK(N42),"",SUMIFS(Transactions!$I:$I,Transactions!$H:$H,"Crypto Interest",Transactions!$W:$W,$P$40,Transactions!$D:$D,N42))</f>
        <v/>
      </c>
      <c r="Q42" s="116"/>
      <c r="R42" s="117" t="str">
        <f>IF(ISBLANK(Q42),"",SUMIFS(Transactions!$S:$S,Transactions!$U:$U,Q42,Transactions!$H:$H,"Dividend")+SUMIFS(Transactions!$S:$S,Transactions!$U:$U,Q42,Transactions!$H:$H,"DRIP"))</f>
        <v/>
      </c>
      <c r="S42" s="117" t="str">
        <f t="shared" si="2"/>
        <v/>
      </c>
      <c r="T42" s="118" t="str">
        <f t="shared" si="3"/>
        <v/>
      </c>
      <c r="U42" s="14"/>
      <c r="V42" s="14"/>
      <c r="W42" s="95"/>
      <c r="X42" s="96"/>
      <c r="Y42" s="96" t="str">
        <f>IFERROR(__xludf.DUMMYFUNCTION("IF(ISBLANK(W42),"""",QUERY(GOOGLEFINANCE($N$21,""Close"",W42-5,6),""select Col2 where Col1 &lt; date '""&amp;TEXT(W42+1, ""YYYY-MM-DD"")&amp;""' order by Col1 desc limit 1"",False)
)"),"")</f>
        <v/>
      </c>
      <c r="Z42" s="14"/>
    </row>
    <row r="43">
      <c r="A43" s="14"/>
      <c r="B43" s="14"/>
      <c r="C43" s="14"/>
      <c r="D43" s="14"/>
      <c r="E43" s="14"/>
      <c r="F43" s="14"/>
      <c r="G43" s="14"/>
      <c r="H43" s="14"/>
      <c r="I43" s="14"/>
      <c r="J43" s="14"/>
      <c r="K43" s="14"/>
      <c r="L43" s="14"/>
      <c r="M43" s="14"/>
      <c r="N43" s="123"/>
      <c r="O43" s="124" t="str">
        <f>IF(ISBLANK(N43),"",SUMIFS(Transactions!$I:$I,Transactions!$H:$H,"Crypto Interest",Transactions!$V:$V,$O$36,Transactions!$D:$D,N43))</f>
        <v/>
      </c>
      <c r="P43" s="125" t="str">
        <f>IF(ISBLANK(N43),"",SUMIFS(Transactions!$I:$I,Transactions!$H:$H,"Crypto Interest",Transactions!$W:$W,$P$40,Transactions!$D:$D,N43))</f>
        <v/>
      </c>
      <c r="Q43" s="116"/>
      <c r="R43" s="117" t="str">
        <f>IF(ISBLANK(Q43),"",SUMIFS(Transactions!$S:$S,Transactions!$U:$U,Q43,Transactions!$H:$H,"Dividend")+SUMIFS(Transactions!$S:$S,Transactions!$U:$U,Q43,Transactions!$H:$H,"DRIP"))</f>
        <v/>
      </c>
      <c r="S43" s="117" t="str">
        <f t="shared" si="2"/>
        <v/>
      </c>
      <c r="T43" s="118" t="str">
        <f t="shared" si="3"/>
        <v/>
      </c>
      <c r="U43" s="14"/>
      <c r="V43" s="14"/>
      <c r="W43" s="95"/>
      <c r="X43" s="96"/>
      <c r="Y43" s="96" t="str">
        <f>IFERROR(__xludf.DUMMYFUNCTION("IF(ISBLANK(W43),"""",QUERY(GOOGLEFINANCE($N$21,""Close"",W43-5,6),""select Col2 where Col1 &lt; date '""&amp;TEXT(W43+1, ""YYYY-MM-DD"")&amp;""' order by Col1 desc limit 1"",False)
)"),"")</f>
        <v/>
      </c>
      <c r="Z43" s="14"/>
    </row>
    <row r="44">
      <c r="A44" s="14"/>
      <c r="B44" s="14"/>
      <c r="C44" s="14"/>
      <c r="D44" s="14"/>
      <c r="E44" s="14"/>
      <c r="F44" s="14"/>
      <c r="G44" s="14"/>
      <c r="H44" s="14"/>
      <c r="I44" s="14"/>
      <c r="J44" s="14"/>
      <c r="K44" s="14"/>
      <c r="L44" s="14"/>
      <c r="M44" s="14"/>
      <c r="N44" s="123"/>
      <c r="O44" s="124" t="str">
        <f>IF(ISBLANK(N44),"",SUMIFS(Transactions!$I:$I,Transactions!$H:$H,"Crypto Interest",Transactions!$V:$V,$O$36,Transactions!$D:$D,N44))</f>
        <v/>
      </c>
      <c r="P44" s="125" t="str">
        <f>IF(ISBLANK(N44),"",SUMIFS(Transactions!$I:$I,Transactions!$H:$H,"Crypto Interest",Transactions!$W:$W,$P$40,Transactions!$D:$D,N44))</f>
        <v/>
      </c>
      <c r="Q44" s="116"/>
      <c r="R44" s="117" t="str">
        <f>IF(ISBLANK(Q44),"",SUMIFS(Transactions!$S:$S,Transactions!$U:$U,Q44,Transactions!$H:$H,"Dividend")+SUMIFS(Transactions!$S:$S,Transactions!$U:$U,Q44,Transactions!$H:$H,"DRIP"))</f>
        <v/>
      </c>
      <c r="S44" s="117" t="str">
        <f t="shared" si="2"/>
        <v/>
      </c>
      <c r="T44" s="118" t="str">
        <f t="shared" si="3"/>
        <v/>
      </c>
      <c r="U44" s="14"/>
      <c r="V44" s="14"/>
      <c r="W44" s="95"/>
      <c r="X44" s="96"/>
      <c r="Y44" s="96" t="str">
        <f>IFERROR(__xludf.DUMMYFUNCTION("IF(ISBLANK(W44),"""",QUERY(GOOGLEFINANCE($N$21,""Close"",W44-5,6),""select Col2 where Col1 &lt; date '""&amp;TEXT(W44+1, ""YYYY-MM-DD"")&amp;""' order by Col1 desc limit 1"",False)
)"),"")</f>
        <v/>
      </c>
      <c r="Z44" s="14"/>
    </row>
    <row r="45">
      <c r="A45" s="14"/>
      <c r="B45" s="14"/>
      <c r="C45" s="14"/>
      <c r="D45" s="14"/>
      <c r="E45" s="14"/>
      <c r="F45" s="14"/>
      <c r="G45" s="14"/>
      <c r="H45" s="14"/>
      <c r="I45" s="14"/>
      <c r="J45" s="14"/>
      <c r="K45" s="14"/>
      <c r="L45" s="14"/>
      <c r="M45" s="14"/>
      <c r="N45" s="123"/>
      <c r="O45" s="124" t="str">
        <f>IF(ISBLANK(N45),"",SUMIFS(Transactions!$I:$I,Transactions!$H:$H,"Crypto Interest",Transactions!$V:$V,$O$36,Transactions!$D:$D,N45))</f>
        <v/>
      </c>
      <c r="P45" s="125" t="str">
        <f>IF(ISBLANK(N45),"",SUMIFS(Transactions!$I:$I,Transactions!$H:$H,"Crypto Interest",Transactions!$W:$W,$P$40,Transactions!$D:$D,N45))</f>
        <v/>
      </c>
      <c r="Q45" s="116"/>
      <c r="R45" s="117" t="str">
        <f>IF(ISBLANK(Q45),"",SUMIFS(Transactions!$S:$S,Transactions!$U:$U,Q45,Transactions!$H:$H,"Dividend")+SUMIFS(Transactions!$S:$S,Transactions!$U:$U,Q45,Transactions!$H:$H,"DRIP"))</f>
        <v/>
      </c>
      <c r="S45" s="117" t="str">
        <f t="shared" si="2"/>
        <v/>
      </c>
      <c r="T45" s="118" t="str">
        <f t="shared" si="3"/>
        <v/>
      </c>
      <c r="U45" s="14"/>
      <c r="V45" s="14"/>
      <c r="W45" s="95"/>
      <c r="X45" s="96"/>
      <c r="Y45" s="96" t="str">
        <f>IFERROR(__xludf.DUMMYFUNCTION("IF(ISBLANK(W45),"""",QUERY(GOOGLEFINANCE($N$21,""Close"",W45-5,6),""select Col2 where Col1 &lt; date '""&amp;TEXT(W45+1, ""YYYY-MM-DD"")&amp;""' order by Col1 desc limit 1"",False)
)"),"")</f>
        <v/>
      </c>
      <c r="Z45" s="14"/>
    </row>
    <row r="46">
      <c r="A46" s="14"/>
      <c r="B46" s="14"/>
      <c r="C46" s="14"/>
      <c r="D46" s="14"/>
      <c r="E46" s="14"/>
      <c r="F46" s="14"/>
      <c r="G46" s="14"/>
      <c r="H46" s="14"/>
      <c r="I46" s="14"/>
      <c r="J46" s="14"/>
      <c r="K46" s="14"/>
      <c r="L46" s="14"/>
      <c r="M46" s="14"/>
      <c r="N46" s="123"/>
      <c r="O46" s="124" t="str">
        <f>IF(ISBLANK(N46),"",SUMIFS(Transactions!$I:$I,Transactions!$H:$H,"Crypto Interest",Transactions!$V:$V,$O$36,Transactions!$D:$D,N46))</f>
        <v/>
      </c>
      <c r="P46" s="125" t="str">
        <f>IF(ISBLANK(N46),"",SUMIFS(Transactions!$I:$I,Transactions!$H:$H,"Crypto Interest",Transactions!$W:$W,$P$40,Transactions!$D:$D,N46))</f>
        <v/>
      </c>
      <c r="Q46" s="116"/>
      <c r="R46" s="117" t="str">
        <f>IF(ISBLANK(Q46),"",SUMIFS(Transactions!$S:$S,Transactions!$U:$U,Q46,Transactions!$H:$H,"Dividend")+SUMIFS(Transactions!$S:$S,Transactions!$U:$U,Q46,Transactions!$H:$H,"DRIP"))</f>
        <v/>
      </c>
      <c r="S46" s="117" t="str">
        <f t="shared" si="2"/>
        <v/>
      </c>
      <c r="T46" s="118" t="str">
        <f t="shared" si="3"/>
        <v/>
      </c>
      <c r="U46" s="14"/>
      <c r="V46" s="14"/>
      <c r="W46" s="95"/>
      <c r="X46" s="96"/>
      <c r="Y46" s="96" t="str">
        <f>IFERROR(__xludf.DUMMYFUNCTION("IF(ISBLANK(W46),"""",QUERY(GOOGLEFINANCE($N$21,""Close"",W46-5,6),""select Col2 where Col1 &lt; date '""&amp;TEXT(W46+1, ""YYYY-MM-DD"")&amp;""' order by Col1 desc limit 1"",False)
)"),"")</f>
        <v/>
      </c>
      <c r="Z46" s="14"/>
    </row>
    <row r="47">
      <c r="A47" s="14"/>
      <c r="B47" s="126"/>
      <c r="C47" s="126"/>
      <c r="D47" s="126"/>
      <c r="E47" s="126"/>
      <c r="F47" s="126"/>
      <c r="G47" s="126"/>
      <c r="H47" s="126"/>
      <c r="I47" s="126"/>
      <c r="J47" s="126"/>
      <c r="K47" s="126"/>
      <c r="L47" s="126"/>
      <c r="M47" s="14"/>
      <c r="N47" s="123"/>
      <c r="O47" s="124" t="str">
        <f>IF(ISBLANK(N47),"",SUMIFS(Transactions!$I:$I,Transactions!$H:$H,"Crypto Interest",Transactions!$V:$V,$O$36,Transactions!$D:$D,N47))</f>
        <v/>
      </c>
      <c r="P47" s="125" t="str">
        <f>IF(ISBLANK(N47),"",SUMIFS(Transactions!$I:$I,Transactions!$H:$H,"Crypto Interest",Transactions!$W:$W,$P$40,Transactions!$D:$D,N47))</f>
        <v/>
      </c>
      <c r="Q47" s="116"/>
      <c r="R47" s="117" t="str">
        <f>IF(ISBLANK(Q47),"",SUMIFS(Transactions!$S:$S,Transactions!$U:$U,Q47,Transactions!$H:$H,"Dividend")+SUMIFS(Transactions!$S:$S,Transactions!$U:$U,Q47,Transactions!$H:$H,"DRIP"))</f>
        <v/>
      </c>
      <c r="S47" s="117" t="str">
        <f t="shared" si="2"/>
        <v/>
      </c>
      <c r="T47" s="118" t="str">
        <f t="shared" si="3"/>
        <v/>
      </c>
      <c r="U47" s="14"/>
      <c r="V47" s="14"/>
      <c r="W47" s="95"/>
      <c r="X47" s="96"/>
      <c r="Y47" s="96" t="str">
        <f>IFERROR(__xludf.DUMMYFUNCTION("IF(ISBLANK(W47),"""",QUERY(GOOGLEFINANCE($N$21,""Close"",W47-5,6),""select Col2 where Col1 &lt; date '""&amp;TEXT(W47+1, ""YYYY-MM-DD"")&amp;""' order by Col1 desc limit 1"",False)
)"),"")</f>
        <v/>
      </c>
      <c r="Z47" s="14"/>
    </row>
    <row r="48">
      <c r="A48" s="14"/>
      <c r="B48" s="127" t="s">
        <v>73</v>
      </c>
      <c r="C48" s="4"/>
      <c r="D48" s="4"/>
      <c r="E48" s="4"/>
      <c r="F48" s="4"/>
      <c r="G48" s="4"/>
      <c r="H48" s="4"/>
      <c r="I48" s="4"/>
      <c r="J48" s="4"/>
      <c r="K48" s="4"/>
      <c r="L48" s="4"/>
      <c r="M48" s="14"/>
      <c r="N48" s="123"/>
      <c r="O48" s="124" t="str">
        <f>IF(ISBLANK(N48),"",SUMIFS(Transactions!$I:$I,Transactions!$H:$H,"Crypto Interest",Transactions!$V:$V,$O$36,Transactions!$D:$D,N48))</f>
        <v/>
      </c>
      <c r="P48" s="125" t="str">
        <f>IF(ISBLANK(N48),"",SUMIFS(Transactions!$I:$I,Transactions!$H:$H,"Crypto Interest",Transactions!$W:$W,$P$40,Transactions!$D:$D,N48))</f>
        <v/>
      </c>
      <c r="Q48" s="116"/>
      <c r="R48" s="117" t="str">
        <f>IF(ISBLANK(Q48),"",SUMIFS(Transactions!$S:$S,Transactions!$U:$U,Q48,Transactions!$H:$H,"Dividend")+SUMIFS(Transactions!$S:$S,Transactions!$U:$U,Q48,Transactions!$H:$H,"DRIP"))</f>
        <v/>
      </c>
      <c r="S48" s="117" t="str">
        <f t="shared" si="2"/>
        <v/>
      </c>
      <c r="T48" s="118" t="str">
        <f t="shared" si="3"/>
        <v/>
      </c>
      <c r="U48" s="14"/>
      <c r="V48" s="14"/>
      <c r="W48" s="95"/>
      <c r="X48" s="96"/>
      <c r="Y48" s="96" t="str">
        <f>IFERROR(__xludf.DUMMYFUNCTION("IF(ISBLANK(W48),"""",QUERY(GOOGLEFINANCE($N$21,""Close"",W48-5,6),""select Col2 where Col1 &lt; date '""&amp;TEXT(W48+1, ""YYYY-MM-DD"")&amp;""' order by Col1 desc limit 1"",False)
)"),"")</f>
        <v/>
      </c>
      <c r="Z48" s="14"/>
    </row>
    <row r="49">
      <c r="A49" s="14"/>
      <c r="B49" s="128" t="s">
        <v>74</v>
      </c>
      <c r="C49" s="129">
        <f t="shared" ref="C49:D49" si="4">SUMIF(C51:C62,"&lt;&gt;#N/A")</f>
        <v>450000</v>
      </c>
      <c r="D49" s="129">
        <f t="shared" si="4"/>
        <v>0</v>
      </c>
      <c r="F49" s="129">
        <f t="shared" ref="F49:L49" si="5">SUMIF(F51:F62,"&lt;&gt;#N/A")</f>
        <v>450000</v>
      </c>
      <c r="G49" s="129">
        <f t="shared" si="5"/>
        <v>-37293.575</v>
      </c>
      <c r="H49" s="129">
        <f t="shared" si="5"/>
        <v>9.0288</v>
      </c>
      <c r="I49" s="130">
        <f t="shared" si="5"/>
        <v>10</v>
      </c>
      <c r="J49" s="129">
        <f t="shared" si="5"/>
        <v>0</v>
      </c>
      <c r="K49" s="129">
        <f t="shared" si="5"/>
        <v>0</v>
      </c>
      <c r="L49" s="129">
        <f t="shared" si="5"/>
        <v>0</v>
      </c>
      <c r="M49" s="14"/>
      <c r="N49" s="123"/>
      <c r="O49" s="124" t="str">
        <f>IF(ISBLANK(N49),"",SUMIFS(Transactions!$I:$I,Transactions!$H:$H,"Crypto Interest",Transactions!$V:$V,$O$36,Transactions!$D:$D,N49))</f>
        <v/>
      </c>
      <c r="P49" s="125" t="str">
        <f>IF(ISBLANK(N49),"",SUMIFS(Transactions!$I:$I,Transactions!$H:$H,"Crypto Interest",Transactions!$W:$W,$P$40,Transactions!$D:$D,N49))</f>
        <v/>
      </c>
      <c r="Q49" s="131" t="s">
        <v>75</v>
      </c>
      <c r="R49" s="132">
        <f t="shared" ref="R49:T49" si="6">SUM(R37:R48)</f>
        <v>0</v>
      </c>
      <c r="S49" s="132">
        <f t="shared" si="6"/>
        <v>0</v>
      </c>
      <c r="T49" s="133">
        <f t="shared" si="6"/>
        <v>0</v>
      </c>
      <c r="U49" s="14"/>
      <c r="V49" s="14"/>
      <c r="W49" s="95"/>
      <c r="X49" s="96"/>
      <c r="Y49" s="96" t="str">
        <f>IFERROR(__xludf.DUMMYFUNCTION("IF(ISBLANK(W49),"""",QUERY(GOOGLEFINANCE($N$21,""Close"",W49-5,6),""select Col2 where Col1 &lt; date '""&amp;TEXT(W49+1, ""YYYY-MM-DD"")&amp;""' order by Col1 desc limit 1"",False)
)"),"")</f>
        <v/>
      </c>
      <c r="Z49" s="14"/>
    </row>
    <row r="50">
      <c r="A50" s="134"/>
      <c r="B50" s="135" t="s">
        <v>76</v>
      </c>
      <c r="C50" s="136" t="s">
        <v>51</v>
      </c>
      <c r="D50" s="136" t="s">
        <v>52</v>
      </c>
      <c r="E50" s="86"/>
      <c r="F50" s="136" t="s">
        <v>53</v>
      </c>
      <c r="G50" s="136" t="s">
        <v>77</v>
      </c>
      <c r="H50" s="136" t="s">
        <v>56</v>
      </c>
      <c r="I50" s="135" t="s">
        <v>57</v>
      </c>
      <c r="J50" s="136" t="s">
        <v>58</v>
      </c>
      <c r="K50" s="136" t="s">
        <v>59</v>
      </c>
      <c r="L50" s="136" t="s">
        <v>60</v>
      </c>
      <c r="N50" s="137" t="s">
        <v>78</v>
      </c>
      <c r="O50" s="69" t="s">
        <v>79</v>
      </c>
      <c r="P50" s="21"/>
      <c r="Q50" s="109" t="s">
        <v>80</v>
      </c>
      <c r="R50" s="138" t="str">
        <f t="shared" ref="R50:T50" si="7">IFERROR(AVERAGEIF(R37:R48, "&gt;0", R37:R48), "-")</f>
        <v>-</v>
      </c>
      <c r="S50" s="138" t="str">
        <f t="shared" si="7"/>
        <v>-</v>
      </c>
      <c r="T50" s="139" t="str">
        <f t="shared" si="7"/>
        <v>-</v>
      </c>
      <c r="U50" s="134"/>
      <c r="V50" s="134"/>
      <c r="W50" s="140"/>
      <c r="X50" s="141"/>
      <c r="Y50" s="96" t="str">
        <f>IFERROR(__xludf.DUMMYFUNCTION("IF(ISBLANK(W50),"""",QUERY(GOOGLEFINANCE($N$21,""Close"",W50-5,6),""select Col2 where Col1 &lt; date '""&amp;TEXT(W50+1, ""YYYY-MM-DD"")&amp;""' order by Col1 desc limit 1"",False)
)"),"")</f>
        <v/>
      </c>
      <c r="Z50" s="134"/>
    </row>
    <row r="51">
      <c r="A51" s="14"/>
      <c r="B51" s="142" t="str">
        <f>IFERROR(__xludf.DUMMYFUNCTION("SORT(UNIQUE(Transactions!A3:A101))"),"Binance")</f>
        <v>Binance</v>
      </c>
      <c r="C51" s="143">
        <f>IF(ISBLANK(B51),"",SUMIFS(Transactions!$S:$S,Transactions!$A:$A,$B51,Transactions!$H:$H,"Cash Deposit"))</f>
        <v>150000</v>
      </c>
      <c r="D51" s="144">
        <f>IF(ISBLANK(B51),"",SUMIFS(Transactions!$S:$S,Transactions!$A:$A,$B51,Transactions!$H:$H,"Cash Withdrawal"))</f>
        <v>0</v>
      </c>
      <c r="F51" s="145">
        <f>IF(ISBLANK(B51),"",SUMIFS(Transactions!$S:$S,Transactions!$A:$A,$B51,Transactions!$H:$H,"Cash Deposit")-SUMIFS(Transactions!$S:$S,Transactions!$A:$A,$B51,Transactions!$H:$H,"Cash Withdrawal"))</f>
        <v>150000</v>
      </c>
      <c r="G51" s="145">
        <f>IF(ISBLANK(B51),"",SUMIFS(Transactions!$S:$S,Transactions!$H:$H,"Cash Deposit",Transactions!$A:$A,B51)+SUMIFS(Transactions!$S:$S,Transactions!$H:$H,"Sell",Transactions!$A:$A,B51)+SUMIFS(Transactions!$S:$S,Transactions!$H:$H,"Dividend",Transactions!$A:$A,B51)-SUMIFS(Transactions!$S:$S,Transactions!$H:$H,"Buy",Transactions!$A:$A,B51)-SUMIFS(Transactions!$S:$S,Transactions!$H:$H,"Cash Withdrawal",Transactions!$A:$A,B51)+SUMIFS(Transactions!$S:$S,Transactions!$H:$H,"Buy",Transactions!$L:$L,"Stablecoin",Transactions!$A:$A,B51))</f>
        <v>100000</v>
      </c>
      <c r="H51" s="145">
        <f>IF(ISBLANK(B51),"",SUMIFS(Transactions!$R:$R,Transactions!$A:$A,$B51))</f>
        <v>6.0288</v>
      </c>
      <c r="I51" s="146">
        <f>IF(ISBLANK(B51),"",COUNTIFS(Transactions!$H:$H,"Buy",Transactions!$A:$A,B51)+COUNTIFS(Transactions!$H:$H,"Sell",Transactions!$A:$A,B51))</f>
        <v>3</v>
      </c>
      <c r="J51" s="145">
        <f>IF(ISBLANK(B51),"",SUMIFS(Transactions!$S:$S,Transactions!$A:$A,$B51,Transactions!$H:$H,"Dividend"))</f>
        <v>0</v>
      </c>
      <c r="K51" s="145">
        <f>IF(ISBLANK(B51),"",SUMIFS(Transactions!$S:$S,Transactions!$A:$A,$B51,Transactions!$H:$H,"DRIP"))</f>
        <v>0</v>
      </c>
      <c r="L51" s="145">
        <f t="shared" ref="L51:L62" si="8">IF(ISBLANK(B51),"",J51+K51)</f>
        <v>0</v>
      </c>
      <c r="M51" s="14"/>
      <c r="R51" s="14"/>
      <c r="S51" s="14"/>
      <c r="T51" s="14"/>
      <c r="U51" s="14"/>
      <c r="V51" s="14"/>
      <c r="W51" s="95"/>
      <c r="X51" s="96"/>
      <c r="Y51" s="96" t="str">
        <f>IFERROR(__xludf.DUMMYFUNCTION("IF(ISBLANK(W51),"""",QUERY(GOOGLEFINANCE($N$21,""Close"",W51-5,6),""select Col2 where Col1 &lt; date '""&amp;TEXT(W51+1, ""YYYY-MM-DD"")&amp;""' order by Col1 desc limit 1"",False)
)"),"")</f>
        <v/>
      </c>
      <c r="Z51" s="14"/>
    </row>
    <row r="52">
      <c r="A52" s="14"/>
      <c r="B52" s="147" t="str">
        <f>IFERROR(__xludf.DUMMYFUNCTION("""COMPUTED_VALUE"""),"Degiro")</f>
        <v>Degiro</v>
      </c>
      <c r="C52" s="145">
        <f>IF(ISBLANK(B52),"",SUMIFS(Transactions!$S:$S,Transactions!$A:$A,$B52,Transactions!$H:$H,"Cash Deposit"))</f>
        <v>100000</v>
      </c>
      <c r="D52" s="144">
        <f>IF(ISBLANK(B52),"",SUMIFS(Transactions!$S:$S,Transactions!$A:$A,$B52,Transactions!$H:$H,"Cash Withdrawal"))</f>
        <v>0</v>
      </c>
      <c r="F52" s="145">
        <f>IF(ISBLANK(B52),"",SUMIFS(Transactions!$S:$S,Transactions!$A:$A,$B52,Transactions!$H:$H,"Cash Deposit")-SUMIFS(Transactions!$S:$S,Transactions!$A:$A,$B52,Transactions!$H:$H,"Cash Withdrawal"))</f>
        <v>100000</v>
      </c>
      <c r="G52" s="145">
        <f>IF(ISBLANK(B52),"",SUMIFS(Transactions!$S:$S,Transactions!$H:$H,"Cash Deposit",Transactions!$A:$A,B52)+SUMIFS(Transactions!$S:$S,Transactions!$H:$H,"Sell",Transactions!$A:$A,B52)+SUMIFS(Transactions!$S:$S,Transactions!$H:$H,"Dividend",Transactions!$A:$A,B52)-SUMIFS(Transactions!$S:$S,Transactions!$H:$H,"Buy",Transactions!$A:$A,B52)-SUMIFS(Transactions!$S:$S,Transactions!$H:$H,"Cash Withdrawal",Transactions!$A:$A,B52)+SUMIFS(Transactions!$S:$S,Transactions!$H:$H,"Buy",Transactions!$L:$L,"Stablecoin",Transactions!$A:$A,B52))</f>
        <v>63214</v>
      </c>
      <c r="H52" s="145">
        <f>IF(ISBLANK(B52),"",SUMIFS(Transactions!$R:$R,Transactions!$A:$A,$B52))</f>
        <v>1</v>
      </c>
      <c r="I52" s="146">
        <f>IF(ISBLANK(B52),"",COUNTIFS(Transactions!$H:$H,"Buy",Transactions!$A:$A,B52)+COUNTIFS(Transactions!$H:$H,"Sell",Transactions!$A:$A,B52))</f>
        <v>1</v>
      </c>
      <c r="J52" s="145">
        <f>IF(ISBLANK(B52),"",SUMIFS(Transactions!$S:$S,Transactions!$A:$A,$B52,Transactions!$H:$H,"Dividend"))</f>
        <v>0</v>
      </c>
      <c r="K52" s="145">
        <f>IF(ISBLANK(B52),"",SUMIFS(Transactions!$S:$S,Transactions!$A:$A,$B52,Transactions!$H:$H,"DRIP"))</f>
        <v>0</v>
      </c>
      <c r="L52" s="145">
        <f t="shared" si="8"/>
        <v>0</v>
      </c>
      <c r="M52" s="14"/>
      <c r="R52" s="14"/>
      <c r="S52" s="14"/>
      <c r="T52" s="14"/>
      <c r="U52" s="14"/>
      <c r="V52" s="14"/>
      <c r="W52" s="95"/>
      <c r="X52" s="96"/>
      <c r="Y52" s="96" t="str">
        <f>IFERROR(__xludf.DUMMYFUNCTION("IF(ISBLANK(W52),"""",QUERY(GOOGLEFINANCE($N$21,""Close"",W52-5,6),""select Col2 where Col1 &lt; date '""&amp;TEXT(W52+1, ""YYYY-MM-DD"")&amp;""' order by Col1 desc limit 1"",False)
)"),"")</f>
        <v/>
      </c>
      <c r="Z52" s="14"/>
    </row>
    <row r="53">
      <c r="A53" s="14"/>
      <c r="B53" s="147" t="str">
        <f>IFERROR(__xludf.DUMMYFUNCTION("""COMPUTED_VALUE"""),"Interactive Brokers")</f>
        <v>Interactive Brokers</v>
      </c>
      <c r="C53" s="145">
        <f>IF(ISBLANK(B53),"",SUMIFS(Transactions!$S:$S,Transactions!$A:$A,$B53,Transactions!$H:$H,"Cash Deposit"))</f>
        <v>100000</v>
      </c>
      <c r="D53" s="144">
        <f>IF(ISBLANK(B53),"",SUMIFS(Transactions!$S:$S,Transactions!$A:$A,$B53,Transactions!$H:$H,"Cash Withdrawal"))</f>
        <v>0</v>
      </c>
      <c r="F53" s="145">
        <f>IF(ISBLANK(B53),"",SUMIFS(Transactions!$S:$S,Transactions!$A:$A,$B53,Transactions!$H:$H,"Cash Deposit")-SUMIFS(Transactions!$S:$S,Transactions!$A:$A,$B53,Transactions!$H:$H,"Cash Withdrawal"))</f>
        <v>100000</v>
      </c>
      <c r="G53" s="145">
        <f>IF(ISBLANK(B53),"",SUMIFS(Transactions!$S:$S,Transactions!$H:$H,"Cash Deposit",Transactions!$A:$A,B53)+SUMIFS(Transactions!$S:$S,Transactions!$H:$H,"Sell",Transactions!$A:$A,B53)+SUMIFS(Transactions!$S:$S,Transactions!$H:$H,"Dividend",Transactions!$A:$A,B53)-SUMIFS(Transactions!$S:$S,Transactions!$H:$H,"Buy",Transactions!$A:$A,B53)-SUMIFS(Transactions!$S:$S,Transactions!$H:$H,"Cash Withdrawal",Transactions!$A:$A,B53)+SUMIFS(Transactions!$S:$S,Transactions!$H:$H,"Buy",Transactions!$L:$L,"Stablecoin",Transactions!$A:$A,B53))</f>
        <v>8035</v>
      </c>
      <c r="H53" s="145">
        <f>IF(ISBLANK(B53),"",SUMIFS(Transactions!$R:$R,Transactions!$A:$A,$B53))</f>
        <v>1</v>
      </c>
      <c r="I53" s="146">
        <f>IF(ISBLANK(B53),"",COUNTIFS(Transactions!$H:$H,"Buy",Transactions!$A:$A,B53)+COUNTIFS(Transactions!$H:$H,"Sell",Transactions!$A:$A,B53))</f>
        <v>1</v>
      </c>
      <c r="J53" s="145">
        <f>IF(ISBLANK(B53),"",SUMIFS(Transactions!$S:$S,Transactions!$A:$A,$B53,Transactions!$H:$H,"Dividend"))</f>
        <v>0</v>
      </c>
      <c r="K53" s="145">
        <f>IF(ISBLANK(B53),"",SUMIFS(Transactions!$S:$S,Transactions!$A:$A,$B53,Transactions!$H:$H,"DRIP"))</f>
        <v>0</v>
      </c>
      <c r="L53" s="145">
        <f t="shared" si="8"/>
        <v>0</v>
      </c>
      <c r="M53" s="14"/>
      <c r="R53" s="14"/>
      <c r="S53" s="14"/>
      <c r="T53" s="14"/>
      <c r="U53" s="14"/>
      <c r="V53" s="14"/>
      <c r="W53" s="95"/>
      <c r="X53" s="96"/>
      <c r="Y53" s="96" t="str">
        <f>IFERROR(__xludf.DUMMYFUNCTION("IF(ISBLANK(W53),"""",QUERY(GOOGLEFINANCE($N$21,""Close"",W53-5,6),""select Col2 where Col1 &lt; date '""&amp;TEXT(W53+1, ""YYYY-MM-DD"")&amp;""' order by Col1 desc limit 1"",False)
)"),"")</f>
        <v/>
      </c>
      <c r="Z53" s="14"/>
    </row>
    <row r="54">
      <c r="A54" s="14"/>
      <c r="B54" s="142" t="str">
        <f>IFERROR(__xludf.DUMMYFUNCTION("""COMPUTED_VALUE"""),"XTB")</f>
        <v>XTB</v>
      </c>
      <c r="C54" s="145">
        <f>IF(ISBLANK(B54),"",SUMIFS(Transactions!$S:$S,Transactions!$A:$A,$B54,Transactions!$H:$H,"Cash Deposit"))</f>
        <v>100000</v>
      </c>
      <c r="D54" s="144">
        <f>IF(ISBLANK(B54),"",SUMIFS(Transactions!$S:$S,Transactions!$A:$A,$B54,Transactions!$H:$H,"Cash Withdrawal"))</f>
        <v>0</v>
      </c>
      <c r="F54" s="145">
        <f>IF(ISBLANK(B54),"",SUMIFS(Transactions!$S:$S,Transactions!$A:$A,$B54,Transactions!$H:$H,"Cash Deposit")-SUMIFS(Transactions!$S:$S,Transactions!$A:$A,$B54,Transactions!$H:$H,"Cash Withdrawal"))</f>
        <v>100000</v>
      </c>
      <c r="G54" s="145">
        <f>IF(ISBLANK(B54),"",SUMIFS(Transactions!$S:$S,Transactions!$H:$H,"Cash Deposit",Transactions!$A:$A,B54)+SUMIFS(Transactions!$S:$S,Transactions!$H:$H,"Sell",Transactions!$A:$A,B54)+SUMIFS(Transactions!$S:$S,Transactions!$H:$H,"Dividend",Transactions!$A:$A,B54)-SUMIFS(Transactions!$S:$S,Transactions!$H:$H,"Buy",Transactions!$A:$A,B54)-SUMIFS(Transactions!$S:$S,Transactions!$H:$H,"Cash Withdrawal",Transactions!$A:$A,B54)+SUMIFS(Transactions!$S:$S,Transactions!$H:$H,"Buy",Transactions!$L:$L,"Stablecoin",Transactions!$A:$A,B54))</f>
        <v>-208542.575</v>
      </c>
      <c r="H54" s="145">
        <f>IF(ISBLANK(B54),"",SUMIFS(Transactions!$R:$R,Transactions!$A:$A,$B54))</f>
        <v>1</v>
      </c>
      <c r="I54" s="146">
        <f>IF(ISBLANK(B54),"",COUNTIFS(Transactions!$H:$H,"Buy",Transactions!$A:$A,B54)+COUNTIFS(Transactions!$H:$H,"Sell",Transactions!$A:$A,B54))</f>
        <v>5</v>
      </c>
      <c r="J54" s="145">
        <f>IF(ISBLANK(B54),"",SUMIFS(Transactions!$S:$S,Transactions!$A:$A,$B54,Transactions!$H:$H,"Dividend"))</f>
        <v>0</v>
      </c>
      <c r="K54" s="145">
        <f>IF(ISBLANK(B54),"",SUMIFS(Transactions!$S:$S,Transactions!$A:$A,$B54,Transactions!$H:$H,"DRIP"))</f>
        <v>0</v>
      </c>
      <c r="L54" s="145">
        <f t="shared" si="8"/>
        <v>0</v>
      </c>
      <c r="M54" s="14"/>
      <c r="N54" s="14"/>
      <c r="O54" s="14"/>
      <c r="P54" s="14"/>
      <c r="Q54" s="14"/>
      <c r="R54" s="14"/>
      <c r="S54" s="14"/>
      <c r="T54" s="14"/>
      <c r="U54" s="14"/>
      <c r="V54" s="14"/>
      <c r="W54" s="95"/>
      <c r="X54" s="96"/>
      <c r="Y54" s="96" t="str">
        <f>IFERROR(__xludf.DUMMYFUNCTION("IF(ISBLANK(W54),"""",QUERY(GOOGLEFINANCE($N$21,""Close"",W54-5,6),""select Col2 where Col1 &lt; date '""&amp;TEXT(W54+1, ""YYYY-MM-DD"")&amp;""' order by Col1 desc limit 1"",False)
)"),"")</f>
        <v/>
      </c>
      <c r="Z54" s="14"/>
    </row>
    <row r="55">
      <c r="A55" s="14"/>
      <c r="B55" s="142"/>
      <c r="C55" s="145" t="str">
        <f>IF(ISBLANK(B55),"",SUMIFS(Transactions!$S:$S,Transactions!$A:$A,$B55,Transactions!$H:$H,"Cash Deposit"))</f>
        <v/>
      </c>
      <c r="D55" s="144" t="str">
        <f>IF(ISBLANK(B55),"",SUMIFS(Transactions!$S:$S,Transactions!$A:$A,$B55,Transactions!$H:$H,"Cash Withdrawal"))</f>
        <v/>
      </c>
      <c r="F55" s="145" t="str">
        <f>IF(ISBLANK(B55),"",SUMIFS(Transactions!$S:$S,Transactions!$A:$A,$B55,Transactions!$H:$H,"Cash Deposit")-SUMIFS(Transactions!$S:$S,Transactions!$A:$A,$B55,Transactions!$H:$H,"Cash Withdrawal"))</f>
        <v/>
      </c>
      <c r="G55" s="145" t="str">
        <f>IF(ISBLANK(B55),"",SUMIFS(Transactions!$S:$S,Transactions!$H:$H,"Cash Deposit",Transactions!$A:$A,B55)+SUMIFS(Transactions!$S:$S,Transactions!$H:$H,"Sell",Transactions!$A:$A,B55)+SUMIFS(Transactions!$S:$S,Transactions!$H:$H,"Dividend",Transactions!$A:$A,B55)-SUMIFS(Transactions!$S:$S,Transactions!$H:$H,"Buy",Transactions!$A:$A,B55)-SUMIFS(Transactions!$S:$S,Transactions!$H:$H,"Cash Withdrawal",Transactions!$A:$A,B55)+SUMIFS(Transactions!$S:$S,Transactions!$H:$H,"Buy",Transactions!$L:$L,"Stablecoin",Transactions!$A:$A,B55))</f>
        <v/>
      </c>
      <c r="H55" s="145" t="str">
        <f>IF(ISBLANK(B55),"",SUMIFS(Transactions!$R:$R,Transactions!$A:$A,$B55))</f>
        <v/>
      </c>
      <c r="I55" s="148" t="str">
        <f>IF(ISBLANK(B55),"",COUNTIFS(Transactions!$H:$H,"Buy",Transactions!$A:$A,B55)+COUNTIFS(Transactions!$H:$H,"Sell",Transactions!$A:$A,B55))</f>
        <v/>
      </c>
      <c r="J55" s="145" t="str">
        <f>IF(ISBLANK(B55),"",SUMIFS(Transactions!$S:$S,Transactions!$A:$A,$B55,Transactions!$H:$H,"Dividend"))</f>
        <v/>
      </c>
      <c r="K55" s="145" t="str">
        <f>IF(ISBLANK(B55),"",SUMIFS(Transactions!$S:$S,Transactions!$A:$A,$B55,Transactions!$H:$H,"DRIP"))</f>
        <v/>
      </c>
      <c r="L55" s="145" t="str">
        <f t="shared" si="8"/>
        <v/>
      </c>
      <c r="M55" s="14"/>
      <c r="N55" s="14"/>
      <c r="O55" s="14"/>
      <c r="P55" s="14"/>
      <c r="Q55" s="14"/>
      <c r="R55" s="14"/>
      <c r="S55" s="14"/>
      <c r="T55" s="14"/>
      <c r="U55" s="14"/>
      <c r="V55" s="14"/>
      <c r="W55" s="95"/>
      <c r="X55" s="96"/>
      <c r="Y55" s="96" t="str">
        <f>IFERROR(__xludf.DUMMYFUNCTION("IF(ISBLANK(W55),"""",QUERY(GOOGLEFINANCE($N$21,""Close"",W55-5,6),""select Col2 where Col1 &lt; date '""&amp;TEXT(W55+1, ""YYYY-MM-DD"")&amp;""' order by Col1 desc limit 1"",False)
)"),"")</f>
        <v/>
      </c>
      <c r="Z55" s="14"/>
    </row>
    <row r="56">
      <c r="A56" s="14"/>
      <c r="B56" s="142"/>
      <c r="C56" s="145" t="str">
        <f>IF(ISBLANK(B56),"",SUMIFS(Transactions!$S:$S,Transactions!$A:$A,$B56,Transactions!$H:$H,"Cash Deposit"))</f>
        <v/>
      </c>
      <c r="D56" s="144" t="str">
        <f>IF(ISBLANK(B56),"",SUMIFS(Transactions!$S:$S,Transactions!$A:$A,$B56,Transactions!$H:$H,"Cash Withdrawal"))</f>
        <v/>
      </c>
      <c r="F56" s="145" t="str">
        <f>IF(ISBLANK(B56),"",SUMIFS(Transactions!$S:$S,Transactions!$A:$A,$B56,Transactions!$H:$H,"Cash Deposit")-SUMIFS(Transactions!$S:$S,Transactions!$A:$A,$B56,Transactions!$H:$H,"Cash Withdrawal"))</f>
        <v/>
      </c>
      <c r="G56" s="145" t="str">
        <f>IF(ISBLANK(B56),"",SUMIFS(Transactions!$S:$S,Transactions!$H:$H,"Cash Deposit",Transactions!$A:$A,B56)+SUMIFS(Transactions!$S:$S,Transactions!$H:$H,"Sell",Transactions!$A:$A,B56)+SUMIFS(Transactions!$S:$S,Transactions!$H:$H,"Dividend",Transactions!$A:$A,B56)-SUMIFS(Transactions!$S:$S,Transactions!$H:$H,"Buy",Transactions!$A:$A,B56)-SUMIFS(Transactions!$S:$S,Transactions!$H:$H,"Cash Withdrawal",Transactions!$A:$A,B56)+SUMIFS(Transactions!$S:$S,Transactions!$H:$H,"Buy",Transactions!$L:$L,"Stablecoin",Transactions!$A:$A,B56))</f>
        <v/>
      </c>
      <c r="H56" s="145" t="str">
        <f>IF(ISBLANK(B56),"",SUMIFS(Transactions!$R:$R,Transactions!$A:$A,$B56))</f>
        <v/>
      </c>
      <c r="I56" s="148" t="str">
        <f>IF(ISBLANK(B56),"",COUNTIFS(Transactions!$H:$H,"Buy",Transactions!$A:$A,B56)+COUNTIFS(Transactions!$H:$H,"Sell",Transactions!$A:$A,B56))</f>
        <v/>
      </c>
      <c r="J56" s="145" t="str">
        <f>IF(ISBLANK(B56),"",SUMIFS(Transactions!$S:$S,Transactions!$A:$A,$B56,Transactions!$H:$H,"Dividend"))</f>
        <v/>
      </c>
      <c r="K56" s="145" t="str">
        <f>IF(ISBLANK(B56),"",SUMIFS(Transactions!$S:$S,Transactions!$A:$A,$B56,Transactions!$H:$H,"DRIP"))</f>
        <v/>
      </c>
      <c r="L56" s="145" t="str">
        <f t="shared" si="8"/>
        <v/>
      </c>
      <c r="M56" s="14"/>
      <c r="N56" s="14"/>
      <c r="O56" s="14"/>
      <c r="P56" s="14"/>
      <c r="Q56" s="14"/>
      <c r="R56" s="14"/>
      <c r="S56" s="14"/>
      <c r="T56" s="14"/>
      <c r="U56" s="14"/>
      <c r="V56" s="14"/>
      <c r="W56" s="95"/>
      <c r="X56" s="96"/>
      <c r="Y56" s="96" t="str">
        <f>IFERROR(__xludf.DUMMYFUNCTION("IF(ISBLANK(W56),"""",QUERY(GOOGLEFINANCE($N$21,""Close"",W56-5,6),""select Col2 where Col1 &lt; date '""&amp;TEXT(W56+1, ""YYYY-MM-DD"")&amp;""' order by Col1 desc limit 1"",False)
)"),"")</f>
        <v/>
      </c>
      <c r="Z56" s="14"/>
    </row>
    <row r="57">
      <c r="A57" s="14"/>
      <c r="B57" s="142"/>
      <c r="C57" s="145" t="str">
        <f>IF(ISBLANK(B57),"",SUMIFS(Transactions!$S:$S,Transactions!$A:$A,$B57,Transactions!$H:$H,"Cash Deposit"))</f>
        <v/>
      </c>
      <c r="D57" s="144" t="str">
        <f>IF(ISBLANK(B57),"",SUMIFS(Transactions!$S:$S,Transactions!$A:$A,$B57,Transactions!$H:$H,"Cash Withdrawal"))</f>
        <v/>
      </c>
      <c r="F57" s="145" t="str">
        <f>IF(ISBLANK(B57),"",SUMIFS(Transactions!$S:$S,Transactions!$A:$A,$B57,Transactions!$H:$H,"Cash Deposit")-SUMIFS(Transactions!$S:$S,Transactions!$A:$A,$B57,Transactions!$H:$H,"Cash Withdrawal"))</f>
        <v/>
      </c>
      <c r="G57" s="145" t="str">
        <f>IF(ISBLANK(B57),"",SUMIFS(Transactions!$S:$S,Transactions!$H:$H,"Cash Deposit",Transactions!$A:$A,B57)+SUMIFS(Transactions!$S:$S,Transactions!$H:$H,"Sell",Transactions!$A:$A,B57)+SUMIFS(Transactions!$S:$S,Transactions!$H:$H,"Dividend",Transactions!$A:$A,B57)-SUMIFS(Transactions!$S:$S,Transactions!$H:$H,"Buy",Transactions!$A:$A,B57)-SUMIFS(Transactions!$S:$S,Transactions!$H:$H,"Cash Withdrawal",Transactions!$A:$A,B57)+SUMIFS(Transactions!$S:$S,Transactions!$H:$H,"Buy",Transactions!$L:$L,"Stablecoin",Transactions!$A:$A,B57))</f>
        <v/>
      </c>
      <c r="H57" s="145" t="str">
        <f>IF(ISBLANK(B57),"",SUMIFS(Transactions!$R:$R,Transactions!$A:$A,$B57))</f>
        <v/>
      </c>
      <c r="I57" s="148" t="str">
        <f>IF(ISBLANK(B57),"",COUNTIFS(Transactions!$H:$H,"Buy",Transactions!$A:$A,B57)+COUNTIFS(Transactions!$H:$H,"Sell",Transactions!$A:$A,B57))</f>
        <v/>
      </c>
      <c r="J57" s="145" t="str">
        <f>IF(ISBLANK(B57),"",SUMIFS(Transactions!$S:$S,Transactions!$A:$A,$B57,Transactions!$H:$H,"Dividend"))</f>
        <v/>
      </c>
      <c r="K57" s="145" t="str">
        <f>IF(ISBLANK(B57),"",SUMIFS(Transactions!$S:$S,Transactions!$A:$A,$B57,Transactions!$H:$H,"DRIP"))</f>
        <v/>
      </c>
      <c r="L57" s="145" t="str">
        <f t="shared" si="8"/>
        <v/>
      </c>
      <c r="M57" s="14"/>
      <c r="N57" s="14"/>
      <c r="O57" s="14"/>
      <c r="P57" s="14"/>
      <c r="Q57" s="14"/>
      <c r="R57" s="14"/>
      <c r="S57" s="14"/>
      <c r="T57" s="14"/>
      <c r="U57" s="14"/>
      <c r="V57" s="14"/>
      <c r="W57" s="95"/>
      <c r="X57" s="96"/>
      <c r="Y57" s="96" t="str">
        <f>IFERROR(__xludf.DUMMYFUNCTION("IF(ISBLANK(W57),"""",QUERY(GOOGLEFINANCE($N$21,""Close"",W57-5,6),""select Col2 where Col1 &lt; date '""&amp;TEXT(W57+1, ""YYYY-MM-DD"")&amp;""' order by Col1 desc limit 1"",False)
)"),"")</f>
        <v/>
      </c>
      <c r="Z57" s="14"/>
    </row>
    <row r="58">
      <c r="A58" s="14"/>
      <c r="B58" s="142"/>
      <c r="C58" s="145" t="str">
        <f>IF(ISBLANK(B58),"",SUMIFS(Transactions!$S:$S,Transactions!$A:$A,$B58,Transactions!$H:$H,"Cash Deposit"))</f>
        <v/>
      </c>
      <c r="D58" s="144" t="str">
        <f>IF(ISBLANK(B58),"",SUMIFS(Transactions!$S:$S,Transactions!$A:$A,$B58,Transactions!$H:$H,"Cash Withdrawal"))</f>
        <v/>
      </c>
      <c r="F58" s="145" t="str">
        <f>IF(ISBLANK(B58),"",SUMIFS(Transactions!$S:$S,Transactions!$A:$A,$B58,Transactions!$H:$H,"Cash Deposit")-SUMIFS(Transactions!$S:$S,Transactions!$A:$A,$B58,Transactions!$H:$H,"Cash Withdrawal"))</f>
        <v/>
      </c>
      <c r="G58" s="145" t="str">
        <f>IF(ISBLANK(B58),"",SUMIFS(Transactions!$S:$S,Transactions!$H:$H,"Cash Deposit",Transactions!$A:$A,B58)+SUMIFS(Transactions!$S:$S,Transactions!$H:$H,"Sell",Transactions!$A:$A,B58)+SUMIFS(Transactions!$S:$S,Transactions!$H:$H,"Dividend",Transactions!$A:$A,B58)-SUMIFS(Transactions!$S:$S,Transactions!$H:$H,"Buy",Transactions!$A:$A,B58)-SUMIFS(Transactions!$S:$S,Transactions!$H:$H,"Cash Withdrawal",Transactions!$A:$A,B58)+SUMIFS(Transactions!$S:$S,Transactions!$H:$H,"Buy",Transactions!$L:$L,"Stablecoin",Transactions!$A:$A,B58))</f>
        <v/>
      </c>
      <c r="H58" s="145" t="str">
        <f>IF(ISBLANK(B58),"",SUMIFS(Transactions!$R:$R,Transactions!$A:$A,$B58))</f>
        <v/>
      </c>
      <c r="I58" s="148" t="str">
        <f>IF(ISBLANK(B58),"",COUNTIFS(Transactions!$H:$H,"Buy",Transactions!$A:$A,B58)+COUNTIFS(Transactions!$H:$H,"Sell",Transactions!$A:$A,B58))</f>
        <v/>
      </c>
      <c r="J58" s="145" t="str">
        <f>IF(ISBLANK(B58),"",SUMIFS(Transactions!$S:$S,Transactions!$A:$A,$B58,Transactions!$H:$H,"Dividend"))</f>
        <v/>
      </c>
      <c r="K58" s="145" t="str">
        <f>IF(ISBLANK(B58),"",SUMIFS(Transactions!$S:$S,Transactions!$A:$A,$B58,Transactions!$H:$H,"DRIP"))</f>
        <v/>
      </c>
      <c r="L58" s="145" t="str">
        <f t="shared" si="8"/>
        <v/>
      </c>
      <c r="M58" s="14"/>
      <c r="N58" s="14"/>
      <c r="O58" s="14"/>
      <c r="P58" s="14"/>
      <c r="Q58" s="14"/>
      <c r="R58" s="14"/>
      <c r="S58" s="14"/>
      <c r="T58" s="14"/>
      <c r="U58" s="14"/>
      <c r="V58" s="14"/>
      <c r="W58" s="95"/>
      <c r="X58" s="96"/>
      <c r="Y58" s="96" t="str">
        <f>IFERROR(__xludf.DUMMYFUNCTION("IF(ISBLANK(W58),"""",QUERY(GOOGLEFINANCE($N$21,""Close"",W58-5,6),""select Col2 where Col1 &lt; date '""&amp;TEXT(W58+1, ""YYYY-MM-DD"")&amp;""' order by Col1 desc limit 1"",False)
)"),"")</f>
        <v/>
      </c>
      <c r="Z58" s="14"/>
    </row>
    <row r="59">
      <c r="A59" s="14"/>
      <c r="B59" s="142"/>
      <c r="C59" s="145" t="str">
        <f>IF(ISBLANK(B59),"",SUMIFS(Transactions!$S:$S,Transactions!$A:$A,$B59,Transactions!$H:$H,"Cash Deposit"))</f>
        <v/>
      </c>
      <c r="D59" s="144" t="str">
        <f>IF(ISBLANK(B59),"",SUMIFS(Transactions!$S:$S,Transactions!$A:$A,$B59,Transactions!$H:$H,"Cash Withdrawal"))</f>
        <v/>
      </c>
      <c r="F59" s="145" t="str">
        <f>IF(ISBLANK(B59),"",SUMIFS(Transactions!$S:$S,Transactions!$A:$A,$B59,Transactions!$H:$H,"Cash Deposit")-SUMIFS(Transactions!$S:$S,Transactions!$A:$A,$B59,Transactions!$H:$H,"Cash Withdrawal"))</f>
        <v/>
      </c>
      <c r="G59" s="145" t="str">
        <f>IF(ISBLANK(B59),"",SUMIFS(Transactions!$S:$S,Transactions!$H:$H,"Cash Deposit",Transactions!$A:$A,B59)+SUMIFS(Transactions!$S:$S,Transactions!$H:$H,"Sell",Transactions!$A:$A,B59)+SUMIFS(Transactions!$S:$S,Transactions!$H:$H,"Dividend",Transactions!$A:$A,B59)-SUMIFS(Transactions!$S:$S,Transactions!$H:$H,"Buy",Transactions!$A:$A,B59)-SUMIFS(Transactions!$S:$S,Transactions!$H:$H,"Cash Withdrawal",Transactions!$A:$A,B59)+SUMIFS(Transactions!$S:$S,Transactions!$H:$H,"Buy",Transactions!$L:$L,"Stablecoin",Transactions!$A:$A,B59))</f>
        <v/>
      </c>
      <c r="H59" s="145" t="str">
        <f>IF(ISBLANK(B59),"",SUMIFS(Transactions!$R:$R,Transactions!$A:$A,$B59))</f>
        <v/>
      </c>
      <c r="I59" s="148" t="str">
        <f>IF(ISBLANK(B59),"",COUNTIFS(Transactions!$H:$H,"Buy",Transactions!$A:$A,B59)+COUNTIFS(Transactions!$H:$H,"Sell",Transactions!$A:$A,B59))</f>
        <v/>
      </c>
      <c r="J59" s="145" t="str">
        <f>IF(ISBLANK(B59),"",SUMIFS(Transactions!$S:$S,Transactions!$A:$A,$B59,Transactions!$H:$H,"Dividend"))</f>
        <v/>
      </c>
      <c r="K59" s="145" t="str">
        <f>IF(ISBLANK(B59),"",SUMIFS(Transactions!$S:$S,Transactions!$A:$A,$B59,Transactions!$H:$H,"DRIP"))</f>
        <v/>
      </c>
      <c r="L59" s="145" t="str">
        <f t="shared" si="8"/>
        <v/>
      </c>
      <c r="M59" s="14"/>
      <c r="N59" s="14"/>
      <c r="O59" s="14"/>
      <c r="P59" s="14"/>
      <c r="Q59" s="14"/>
      <c r="R59" s="14"/>
      <c r="S59" s="14"/>
      <c r="T59" s="14"/>
      <c r="U59" s="14"/>
      <c r="V59" s="14"/>
      <c r="W59" s="95"/>
      <c r="X59" s="96"/>
      <c r="Y59" s="96" t="str">
        <f>IFERROR(__xludf.DUMMYFUNCTION("IF(ISBLANK(W59),"""",QUERY(GOOGLEFINANCE($N$21,""Close"",W59-5,6),""select Col2 where Col1 &lt; date '""&amp;TEXT(W59+1, ""YYYY-MM-DD"")&amp;""' order by Col1 desc limit 1"",False)
)"),"")</f>
        <v/>
      </c>
      <c r="Z59" s="14"/>
    </row>
    <row r="60">
      <c r="A60" s="14"/>
      <c r="B60" s="142"/>
      <c r="C60" s="145" t="str">
        <f>IF(ISBLANK(B60),"",SUMIFS(Transactions!$S:$S,Transactions!$A:$A,$B60,Transactions!$H:$H,"Cash Deposit"))</f>
        <v/>
      </c>
      <c r="D60" s="144" t="str">
        <f>IF(ISBLANK(B60),"",SUMIFS(Transactions!$S:$S,Transactions!$A:$A,$B60,Transactions!$H:$H,"Cash Withdrawal"))</f>
        <v/>
      </c>
      <c r="F60" s="145" t="str">
        <f>IF(ISBLANK(B60),"",SUMIFS(Transactions!$S:$S,Transactions!$A:$A,$B60,Transactions!$H:$H,"Cash Deposit")-SUMIFS(Transactions!$S:$S,Transactions!$A:$A,$B60,Transactions!$H:$H,"Cash Withdrawal"))</f>
        <v/>
      </c>
      <c r="G60" s="145" t="str">
        <f>IF(ISBLANK(B60),"",SUMIFS(Transactions!$S:$S,Transactions!$H:$H,"Cash Deposit",Transactions!$A:$A,B60)+SUMIFS(Transactions!$S:$S,Transactions!$H:$H,"Sell",Transactions!$A:$A,B60)+SUMIFS(Transactions!$S:$S,Transactions!$H:$H,"Dividend",Transactions!$A:$A,B60)-SUMIFS(Transactions!$S:$S,Transactions!$H:$H,"Buy",Transactions!$A:$A,B60)-SUMIFS(Transactions!$S:$S,Transactions!$H:$H,"Cash Withdrawal",Transactions!$A:$A,B60)+SUMIFS(Transactions!$S:$S,Transactions!$H:$H,"Buy",Transactions!$L:$L,"Stablecoin",Transactions!$A:$A,B60))</f>
        <v/>
      </c>
      <c r="H60" s="145" t="str">
        <f>IF(ISBLANK(B60),"",SUMIFS(Transactions!$R:$R,Transactions!$A:$A,$B60))</f>
        <v/>
      </c>
      <c r="I60" s="145" t="str">
        <f>IF(ISBLANK(B60),"",COUNTIFS(Transactions!$H:$H,"Buy",Transactions!$A:$A,B60)+COUNTIFS(Transactions!$H:$H,"Sell",Transactions!$A:$A,B60))</f>
        <v/>
      </c>
      <c r="J60" s="145" t="str">
        <f>IF(ISBLANK(B60),"",SUMIFS(Transactions!$S:$S,Transactions!$A:$A,$B60,Transactions!$H:$H,"Dividend"))</f>
        <v/>
      </c>
      <c r="K60" s="145" t="str">
        <f>IF(ISBLANK(B60),"",SUMIFS(Transactions!$S:$S,Transactions!$A:$A,$B60,Transactions!$H:$H,"DRIP"))</f>
        <v/>
      </c>
      <c r="L60" s="145" t="str">
        <f t="shared" si="8"/>
        <v/>
      </c>
      <c r="M60" s="14"/>
      <c r="N60" s="14"/>
      <c r="O60" s="14"/>
      <c r="P60" s="14"/>
      <c r="Q60" s="14"/>
      <c r="R60" s="14"/>
      <c r="S60" s="14"/>
      <c r="T60" s="14"/>
      <c r="U60" s="14"/>
      <c r="V60" s="14"/>
      <c r="W60" s="95"/>
      <c r="X60" s="96"/>
      <c r="Y60" s="96" t="str">
        <f>IFERROR(__xludf.DUMMYFUNCTION("IF(ISBLANK(W60),"""",QUERY(GOOGLEFINANCE($N$21,""Close"",W60-5,6),""select Col2 where Col1 &lt; date '""&amp;TEXT(W60+1, ""YYYY-MM-DD"")&amp;""' order by Col1 desc limit 1"",False)
)"),"")</f>
        <v/>
      </c>
      <c r="Z60" s="14"/>
    </row>
    <row r="61">
      <c r="A61" s="14"/>
      <c r="B61" s="142"/>
      <c r="C61" s="145" t="str">
        <f>IF(ISBLANK(B61),"",SUMIFS(Transactions!$S:$S,Transactions!$A:$A,$B61,Transactions!$H:$H,"Cash Deposit"))</f>
        <v/>
      </c>
      <c r="D61" s="144" t="str">
        <f>IF(ISBLANK(B61),"",SUMIFS(Transactions!$S:$S,Transactions!$A:$A,$B61,Transactions!$H:$H,"Cash Withdrawal"))</f>
        <v/>
      </c>
      <c r="F61" s="145" t="str">
        <f>IF(ISBLANK(B61),"",SUMIFS(Transactions!$S:$S,Transactions!$A:$A,$B61,Transactions!$H:$H,"Cash Deposit")-SUMIFS(Transactions!$S:$S,Transactions!$A:$A,$B61,Transactions!$H:$H,"Cash Withdrawal"))</f>
        <v/>
      </c>
      <c r="G61" s="145" t="str">
        <f>IF(ISBLANK(B61),"",SUMIFS(Transactions!$S:$S,Transactions!$H:$H,"Cash Deposit",Transactions!$A:$A,B61)+SUMIFS(Transactions!$S:$S,Transactions!$H:$H,"Sell",Transactions!$A:$A,B61)+SUMIFS(Transactions!$S:$S,Transactions!$H:$H,"Dividend",Transactions!$A:$A,B61)-SUMIFS(Transactions!$S:$S,Transactions!$H:$H,"Buy",Transactions!$A:$A,B61)-SUMIFS(Transactions!$S:$S,Transactions!$H:$H,"Cash Withdrawal",Transactions!$A:$A,B61)+SUMIFS(Transactions!$S:$S,Transactions!$H:$H,"Buy",Transactions!$L:$L,"Stablecoin",Transactions!$A:$A,B61))</f>
        <v/>
      </c>
      <c r="H61" s="145" t="str">
        <f>IF(ISBLANK(B61),"",SUMIFS(Transactions!$R:$R,Transactions!$A:$A,$B61))</f>
        <v/>
      </c>
      <c r="I61" s="145" t="str">
        <f>IF(ISBLANK(B61),"",COUNTIFS(Transactions!$H:$H,"Buy",Transactions!$A:$A,B61)+COUNTIFS(Transactions!$H:$H,"Sell",Transactions!$A:$A,B61))</f>
        <v/>
      </c>
      <c r="J61" s="145" t="str">
        <f>IF(ISBLANK(B61),"",SUMIFS(Transactions!$S:$S,Transactions!$A:$A,$B61,Transactions!$H:$H,"Dividend"))</f>
        <v/>
      </c>
      <c r="K61" s="145" t="str">
        <f>IF(ISBLANK(B61),"",SUMIFS(Transactions!$S:$S,Transactions!$A:$A,$B61,Transactions!$H:$H,"DRIP"))</f>
        <v/>
      </c>
      <c r="L61" s="145" t="str">
        <f t="shared" si="8"/>
        <v/>
      </c>
      <c r="M61" s="14"/>
      <c r="N61" s="14"/>
      <c r="O61" s="14"/>
      <c r="P61" s="14"/>
      <c r="Q61" s="14"/>
      <c r="R61" s="14"/>
      <c r="S61" s="14"/>
      <c r="T61" s="14"/>
      <c r="U61" s="14"/>
      <c r="V61" s="14"/>
      <c r="W61" s="95"/>
      <c r="X61" s="96"/>
      <c r="Y61" s="96" t="str">
        <f>IFERROR(__xludf.DUMMYFUNCTION("IF(ISBLANK(W61),"""",QUERY(GOOGLEFINANCE($N$21,""Close"",W61-5,6),""select Col2 where Col1 &lt; date '""&amp;TEXT(W61+1, ""YYYY-MM-DD"")&amp;""' order by Col1 desc limit 1"",False)
)"),"")</f>
        <v/>
      </c>
      <c r="Z61" s="14"/>
    </row>
    <row r="62">
      <c r="A62" s="14"/>
      <c r="B62" s="142"/>
      <c r="C62" s="145" t="str">
        <f>IF(ISBLANK(B62),"",SUMIFS(Transactions!$S:$S,Transactions!$A:$A,$B62,Transactions!$H:$H,"Cash Deposit"))</f>
        <v/>
      </c>
      <c r="D62" s="144" t="str">
        <f>IF(ISBLANK(B62),"",SUMIFS(Transactions!$S:$S,Transactions!$A:$A,$B62,Transactions!$H:$H,"Cash Withdrawal"))</f>
        <v/>
      </c>
      <c r="F62" s="145" t="str">
        <f>IF(ISBLANK(B62),"",SUMIFS(Transactions!$S:$S,Transactions!$A:$A,$B62,Transactions!$H:$H,"Cash Deposit")-SUMIFS(Transactions!$S:$S,Transactions!$A:$A,$B62,Transactions!$H:$H,"Cash Withdrawal"))</f>
        <v/>
      </c>
      <c r="G62" s="145" t="str">
        <f>IF(ISBLANK(B62),"",SUMIFS(Transactions!$S:$S,Transactions!$H:$H,"Cash Deposit",Transactions!$A:$A,B62)+SUMIFS(Transactions!$S:$S,Transactions!$H:$H,"Sell",Transactions!$A:$A,B62)+SUMIFS(Transactions!$S:$S,Transactions!$H:$H,"Dividend",Transactions!$A:$A,B62)-SUMIFS(Transactions!$S:$S,Transactions!$H:$H,"Buy",Transactions!$A:$A,B62)-SUMIFS(Transactions!$S:$S,Transactions!$H:$H,"Cash Withdrawal",Transactions!$A:$A,B62)+SUMIFS(Transactions!$S:$S,Transactions!$H:$H,"Buy",Transactions!$L:$L,"Stablecoin",Transactions!$A:$A,B62))</f>
        <v/>
      </c>
      <c r="H62" s="145" t="str">
        <f>IF(ISBLANK(B62),"",SUMIFS(Transactions!$R:$R,Transactions!$A:$A,$B62))</f>
        <v/>
      </c>
      <c r="I62" s="145" t="str">
        <f>IF(ISBLANK(B62),"",COUNTIFS(Transactions!$H:$H,"Buy",Transactions!$A:$A,B62)+COUNTIFS(Transactions!$H:$H,"Sell",Transactions!$A:$A,B62))</f>
        <v/>
      </c>
      <c r="J62" s="145" t="str">
        <f>IF(ISBLANK(B62),"",SUMIFS(Transactions!$S:$S,Transactions!$A:$A,$B62,Transactions!$H:$H,"Dividend"))</f>
        <v/>
      </c>
      <c r="K62" s="145" t="str">
        <f>IF(ISBLANK(B62),"",SUMIFS(Transactions!$S:$S,Transactions!$A:$A,$B62,Transactions!$H:$H,"DRIP"))</f>
        <v/>
      </c>
      <c r="L62" s="145" t="str">
        <f t="shared" si="8"/>
        <v/>
      </c>
      <c r="M62" s="14"/>
      <c r="N62" s="14"/>
      <c r="O62" s="14"/>
      <c r="P62" s="14"/>
      <c r="Q62" s="14"/>
      <c r="R62" s="14"/>
      <c r="S62" s="14"/>
      <c r="T62" s="14"/>
      <c r="U62" s="14"/>
      <c r="V62" s="14"/>
      <c r="W62" s="95"/>
      <c r="X62" s="96"/>
      <c r="Y62" s="96" t="str">
        <f>IFERROR(__xludf.DUMMYFUNCTION("IF(ISBLANK(W62),"""",QUERY(GOOGLEFINANCE($N$21,""Close"",W62-5,6),""select Col2 where Col1 &lt; date '""&amp;TEXT(W62+1, ""YYYY-MM-DD"")&amp;""' order by Col1 desc limit 1"",False)
)"),"")</f>
        <v/>
      </c>
      <c r="Z62" s="14"/>
    </row>
    <row r="63">
      <c r="A63" s="14"/>
      <c r="B63" s="149"/>
      <c r="C63" s="145"/>
      <c r="D63" s="144"/>
      <c r="F63" s="145"/>
      <c r="G63" s="145"/>
      <c r="H63" s="145"/>
      <c r="I63" s="145"/>
      <c r="J63" s="145"/>
      <c r="K63" s="145"/>
      <c r="L63" s="145"/>
      <c r="M63" s="14"/>
      <c r="N63" s="14"/>
      <c r="O63" s="14"/>
      <c r="P63" s="14"/>
      <c r="Q63" s="14"/>
      <c r="R63" s="14"/>
      <c r="S63" s="14"/>
      <c r="T63" s="14"/>
      <c r="U63" s="14"/>
      <c r="V63" s="14"/>
      <c r="W63" s="95"/>
      <c r="X63" s="96"/>
      <c r="Y63" s="96" t="str">
        <f>IFERROR(__xludf.DUMMYFUNCTION("IF(ISBLANK(W63),"""",QUERY(GOOGLEFINANCE($N$21,""Close"",W63-5,6),""select Col2 where Col1 &lt; date '""&amp;TEXT(W63+1, ""YYYY-MM-DD"")&amp;""' order by Col1 desc limit 1"",False)
)"),"")</f>
        <v/>
      </c>
      <c r="Z63" s="14"/>
    </row>
    <row r="64">
      <c r="A64" s="14"/>
      <c r="B64" s="150" t="s">
        <v>81</v>
      </c>
      <c r="C64" s="4"/>
      <c r="D64" s="4"/>
      <c r="E64" s="4"/>
      <c r="F64" s="150"/>
      <c r="G64" s="151">
        <f t="shared" ref="G64:H64" si="9">SUMIF(G66:G101,"&lt;&gt;#N/A")</f>
        <v>96000</v>
      </c>
      <c r="H64" s="151">
        <f t="shared" si="9"/>
        <v>249312.4687</v>
      </c>
      <c r="I64" s="152">
        <f>IFERROR(((H64-G64)/G64),"")</f>
        <v>1.597004883</v>
      </c>
      <c r="J64" s="151">
        <f t="shared" ref="J64:L64" si="10">SUMIF(J66:J101,"&lt;&gt;#N/A")</f>
        <v>153312.4687</v>
      </c>
      <c r="K64" s="151">
        <f t="shared" si="10"/>
        <v>46000</v>
      </c>
      <c r="L64" s="151">
        <f t="shared" si="10"/>
        <v>199312.4687</v>
      </c>
      <c r="M64" s="14"/>
      <c r="N64" s="127" t="s">
        <v>82</v>
      </c>
      <c r="O64" s="4"/>
      <c r="P64" s="4"/>
      <c r="Q64" s="4"/>
      <c r="R64" s="4"/>
      <c r="S64" s="4"/>
      <c r="T64" s="4"/>
      <c r="U64" s="14"/>
      <c r="V64" s="14"/>
      <c r="W64" s="95"/>
      <c r="X64" s="96"/>
      <c r="Y64" s="96" t="str">
        <f>IFERROR(__xludf.DUMMYFUNCTION("IF(ISBLANK(W64),"""",QUERY(GOOGLEFINANCE($N$21,""Close"",W64-5,6),""select Col2 where Col1 &lt; date '""&amp;TEXT(W64+1, ""YYYY-MM-DD"")&amp;""' order by Col1 desc limit 1"",False)
)"),"")</f>
        <v/>
      </c>
      <c r="Z64" s="14"/>
    </row>
    <row r="65">
      <c r="A65" s="134"/>
      <c r="B65" s="153"/>
      <c r="C65" s="154" t="s">
        <v>83</v>
      </c>
      <c r="D65" s="154" t="s">
        <v>84</v>
      </c>
      <c r="E65" s="4"/>
      <c r="F65" s="154" t="s">
        <v>16</v>
      </c>
      <c r="G65" s="154" t="s">
        <v>41</v>
      </c>
      <c r="H65" s="154" t="s">
        <v>42</v>
      </c>
      <c r="I65" s="154" t="s">
        <v>43</v>
      </c>
      <c r="J65" s="154" t="s">
        <v>33</v>
      </c>
      <c r="K65" s="154" t="s">
        <v>35</v>
      </c>
      <c r="L65" s="154" t="s">
        <v>85</v>
      </c>
      <c r="M65" s="134"/>
      <c r="N65" s="134"/>
      <c r="O65" s="134" t="str">
        <f>IFERROR(__xludf.DUMMYFUNCTION("TRANSPOSE(UNIQUE(FILTER(Transactions!$A$3:$A101,(Transactions!$F$3:$F101=""Crypto"")+(Transactions!$F$3:$F101=""Stablecoin""))))"),"Binance")</f>
        <v>Binance</v>
      </c>
      <c r="P65" s="134"/>
      <c r="Q65" s="134"/>
      <c r="R65" s="155"/>
      <c r="S65" s="155"/>
      <c r="T65" s="134"/>
      <c r="U65" s="14"/>
      <c r="V65" s="14"/>
      <c r="W65" s="95"/>
      <c r="X65" s="96"/>
      <c r="Y65" s="96" t="str">
        <f>IFERROR(__xludf.DUMMYFUNCTION("IF(ISBLANK(W65),"""",QUERY(GOOGLEFINANCE($N$21,""Close"",W65-5,6),""select Col2 where Col1 &lt; date '""&amp;TEXT(W65+1, ""YYYY-MM-DD"")&amp;""' order by Col1 desc limit 1"",False)
)"),"")</f>
        <v/>
      </c>
      <c r="Z65" s="14"/>
    </row>
    <row r="66">
      <c r="A66" s="14"/>
      <c r="B66" s="149" t="str">
        <f>IFERROR(__xludf.DUMMYFUNCTION("UNIQUE(FILTER(Transactions!$E$3:$E101,(Transactions!$F$3:$F101=""Crypto"")+(Transactions!$F$3:$F101=""Stablecoin"")))"),"Bitcoin")</f>
        <v>Bitcoin</v>
      </c>
      <c r="C66" s="156">
        <f>IF(ISBLANK(B66),"",SUMIF(Portfolio!$A:$A,B66,Portfolio!$C:$C))</f>
        <v>4</v>
      </c>
      <c r="D66" s="145">
        <f>IF(ISBLANK(B66),"",AVERAGEIF(Portfolio!$A:$A,B66,Portfolio!$D:$D))</f>
        <v>24000</v>
      </c>
      <c r="F66" s="145">
        <f>IF(ISBLANK(B66),"",VLOOKUP(B66,Portfolio!$A:$E,5,0))</f>
        <v>62328.11718</v>
      </c>
      <c r="G66" s="145">
        <f>IF(ISBLANK(B66),"",IFERROR(((C66-SUMIFS(Transactions!I:I,Transactions!H:H,"Crypto Interest",Transactions!E:E,B66))*D66),""))</f>
        <v>96000</v>
      </c>
      <c r="H66" s="145">
        <f t="shared" ref="H66:H101" si="11">IF(ISBLANK(B66),"",IFERROR((C66*F66),""))</f>
        <v>249312.4687</v>
      </c>
      <c r="I66" s="50">
        <f t="shared" ref="I66:I101" si="12">IF(ISBLANK(B66),"",IFERROR(((H66-G66)/G66),""))</f>
        <v>1.597004883</v>
      </c>
      <c r="J66" s="145">
        <f t="shared" ref="J66:J101" si="13">IF(ISBLANK(B66),"",IFERROR((H66-G66),""))</f>
        <v>153312.4687</v>
      </c>
      <c r="K66" s="145">
        <f>IF(ISBLANK(B66),"",SUMIF(Portfolio!$A:$A,B66,Portfolio!$Q:$Q))</f>
        <v>46000</v>
      </c>
      <c r="L66" s="145">
        <f t="shared" ref="L66:L101" si="14">IF(ISBLANK(B66),"",J66+K66)</f>
        <v>199312.4687</v>
      </c>
      <c r="M66" s="14"/>
      <c r="N66" s="157" t="str">
        <f>IFERROR(__xludf.DUMMYFUNCTION("UNIQUE(FILTER(Transactions!$D$3:$D101,(Transactions!$F$3:$F101=""Crypto"")+(Transactions!$F$3:$F101=""Stablecoin"")))"),"BTCEUR")</f>
        <v>BTCEUR</v>
      </c>
      <c r="O66" s="158">
        <f>IF(OR(ISBLANK($N66),ISBLANK(O$65)),"",
SUMIFS(Transactions!$I$3:$I101,Transactions!$H$3:$H101,"Buy",Transactions!$F$3:$F101,"Crypto",Transactions!$A$3:$A101,O$65,Transactions!$D$3:$D101,$N66)
+SUMIFS(Transactions!$I$3:$I101,Transactions!$H$3:$H101,"Crypto Interest",Transactions!$F$3:$F101,"Crypto",Transactions!$A$3:$A101,O$65,Transactions!$D$3:$D101,$N66)
+SUMIFS(Transactions!$I$3:$I101,Transactions!$H$3:$H101,"Transfer Deposit",Transactions!$F$3:$F101,"Crypto",Transactions!$A$3:$A101,O$65,Transactions!$D$3:$D101,$N66)
-SUMIFS(Transactions!$I$3:$I101,Transactions!$H$3:$H101,"Transfer Send",Transactions!$F$3:$F101,"Crypto",Transactions!$A$3:$A101,O$65,Transactions!$D$3:$D101,$N66)
-SUMIFS(Transactions!$I$3:$I101,Transactions!$H$3:$H101,"Sell",Transactions!$F$3:$F101,"Crypto",Transactions!$A$3:$A101,O$65,Transactions!$D$3:$D101,$N66)
+SUMIFS(Transactions!$I$3:$I101,Transactions!$H$3:$H101,"Buy",Transactions!$F$3:$F101,"Stablecoin",Transactions!$A$3:$A101,O$65,Transactions!$D$3:$D101,$N66)
+SUMIFS(Transactions!$I$3:$I101,Transactions!$H$3:$H101,"Crypto Interest",Transactions!$F$3:$F101,"Stablecoin",Transactions!$A$3:$A101,O$65,Transactions!$D$3:$D101,$N66)
+SUMIFS(Transactions!$I$3:$I101,Transactions!$H$3:$H101,"Transfer Deposit",Transactions!$F$3:$F101,"Stablecoin",Transactions!$A$3:$A101,O$65,Transactions!$D$3:$D101,$N66)
-SUMIFS(Transactions!$I$3:$I101,Transactions!$H$3:$H101,"Transfer Send",Transactions!$F$3:$F101,"Stablecoin",Transactions!$A$3:$A101,O$65,Transactions!$D$3:$D101,$N66)
-SUMIFS(Transactions!$I$3:$I101,Transactions!$H$3:$H101,"Sell",Transactions!$F$3:$F101,"Stablecoin",Transactions!$A$3:$A101,O$65,Transactions!$D$3:$D101,$N66)
-SUMIFS(Transactions!$M$3:$M101,Transactions!$H$3:$H101,"Buy",Transactions!$A$3:$A101,O$65,Transactions!$B$3:$B101,$N66))</f>
        <v>4</v>
      </c>
      <c r="P66" s="158" t="str">
        <f>IF(OR(ISBLANK($N66),ISBLANK(P$65)),"",
SUMIFS(Transactions!$I$3:$I101,Transactions!$H$3:$H101,"Buy",Transactions!$F$3:$F101,"Crypto",Transactions!$A$3:$A101,P$65,Transactions!$D$3:$D101,$N66)
+SUMIFS(Transactions!$I$3:$I101,Transactions!$H$3:$H101,"Crypto Interest",Transactions!$F$3:$F101,"Crypto",Transactions!$A$3:$A101,P$65,Transactions!$D$3:$D101,$N66)
+SUMIFS(Transactions!$I$3:$I101,Transactions!$H$3:$H101,"Transfer Deposit",Transactions!$F$3:$F101,"Crypto",Transactions!$A$3:$A101,P$65,Transactions!$D$3:$D101,$N66)
-SUMIFS(Transactions!$I$3:$I101,Transactions!$H$3:$H101,"Transfer Send",Transactions!$F$3:$F101,"Crypto",Transactions!$A$3:$A101,P$65,Transactions!$D$3:$D101,$N66)
-SUMIFS(Transactions!$I$3:$I101,Transactions!$H$3:$H101,"Sell",Transactions!$F$3:$F101,"Crypto",Transactions!$A$3:$A101,P$65,Transactions!$D$3:$D101,$N66)
+SUMIFS(Transactions!$I$3:$I101,Transactions!$H$3:$H101,"Buy",Transactions!$F$3:$F101,"Stablecoin",Transactions!$A$3:$A101,P$65,Transactions!$D$3:$D101,$N66)
+SUMIFS(Transactions!$I$3:$I101,Transactions!$H$3:$H101,"Crypto Interest",Transactions!$F$3:$F101,"Stablecoin",Transactions!$A$3:$A101,P$65,Transactions!$D$3:$D101,$N66)
+SUMIFS(Transactions!$I$3:$I101,Transactions!$H$3:$H101,"Transfer Deposit",Transactions!$F$3:$F101,"Stablecoin",Transactions!$A$3:$A101,P$65,Transactions!$D$3:$D101,$N66)
-SUMIFS(Transactions!$I$3:$I101,Transactions!$H$3:$H101,"Transfer Send",Transactions!$F$3:$F101,"Stablecoin",Transactions!$A$3:$A101,P$65,Transactions!$D$3:$D101,$N66)
-SUMIFS(Transactions!$I$3:$I101,Transactions!$H$3:$H101,"Sell",Transactions!$F$3:$F101,"Stablecoin",Transactions!$A$3:$A101,P$65,Transactions!$D$3:$D101,$N66)
-SUMIFS(Transactions!$M$3:$M101,Transactions!$H$3:$H101,"Buy",Transactions!$A$3:$A101,P$65,Transactions!$B$3:$B101,$N66))</f>
        <v/>
      </c>
      <c r="Q66" s="158" t="str">
        <f>IF(OR(ISBLANK($N66),ISBLANK(Q$65)),"",
SUMIFS(Transactions!$I$3:$I101,Transactions!$H$3:$H101,"Buy",Transactions!$F$3:$F101,"Crypto",Transactions!$A$3:$A101,Q$65,Transactions!$D$3:$D101,$N66)
+SUMIFS(Transactions!$I$3:$I101,Transactions!$H$3:$H101,"Crypto Interest",Transactions!$F$3:$F101,"Crypto",Transactions!$A$3:$A101,Q$65,Transactions!$D$3:$D101,$N66)
+SUMIFS(Transactions!$I$3:$I101,Transactions!$H$3:$H101,"Transfer Deposit",Transactions!$F$3:$F101,"Crypto",Transactions!$A$3:$A101,Q$65,Transactions!$D$3:$D101,$N66)
-SUMIFS(Transactions!$I$3:$I101,Transactions!$H$3:$H101,"Transfer Send",Transactions!$F$3:$F101,"Crypto",Transactions!$A$3:$A101,Q$65,Transactions!$D$3:$D101,$N66)
-SUMIFS(Transactions!$I$3:$I101,Transactions!$H$3:$H101,"Sell",Transactions!$F$3:$F101,"Crypto",Transactions!$A$3:$A101,Q$65,Transactions!$D$3:$D101,$N66)
+SUMIFS(Transactions!$I$3:$I101,Transactions!$H$3:$H101,"Buy",Transactions!$F$3:$F101,"Stablecoin",Transactions!$A$3:$A101,Q$65,Transactions!$D$3:$D101,$N66)
+SUMIFS(Transactions!$I$3:$I101,Transactions!$H$3:$H101,"Crypto Interest",Transactions!$F$3:$F101,"Stablecoin",Transactions!$A$3:$A101,Q$65,Transactions!$D$3:$D101,$N66)
+SUMIFS(Transactions!$I$3:$I101,Transactions!$H$3:$H101,"Transfer Deposit",Transactions!$F$3:$F101,"Stablecoin",Transactions!$A$3:$A101,Q$65,Transactions!$D$3:$D101,$N66)
-SUMIFS(Transactions!$I$3:$I101,Transactions!$H$3:$H101,"Transfer Send",Transactions!$F$3:$F101,"Stablecoin",Transactions!$A$3:$A101,Q$65,Transactions!$D$3:$D101,$N66)
-SUMIFS(Transactions!$I$3:$I101,Transactions!$H$3:$H101,"Sell",Transactions!$F$3:$F101,"Stablecoin",Transactions!$A$3:$A101,Q$65,Transactions!$D$3:$D101,$N66)
-SUMIFS(Transactions!$M$3:$M101,Transactions!$H$3:$H101,"Buy",Transactions!$A$3:$A101,Q$65,Transactions!$B$3:$B101,$N66))</f>
        <v/>
      </c>
      <c r="R66" s="158" t="str">
        <f>IF(OR(ISBLANK($N66),ISBLANK(R$65)),"",
SUMIFS(Transactions!$I$3:$I101,Transactions!$H$3:$H101,"Buy",Transactions!$F$3:$F101,"Crypto",Transactions!$A$3:$A101,R$65,Transactions!$D$3:$D101,$N66)
+SUMIFS(Transactions!$I$3:$I101,Transactions!$H$3:$H101,"Crypto Interest",Transactions!$F$3:$F101,"Crypto",Transactions!$A$3:$A101,R$65,Transactions!$D$3:$D101,$N66)
+SUMIFS(Transactions!$I$3:$I101,Transactions!$H$3:$H101,"Transfer Deposit",Transactions!$F$3:$F101,"Crypto",Transactions!$A$3:$A101,R$65,Transactions!$D$3:$D101,$N66)
-SUMIFS(Transactions!$I$3:$I101,Transactions!$H$3:$H101,"Transfer Send",Transactions!$F$3:$F101,"Crypto",Transactions!$A$3:$A101,R$65,Transactions!$D$3:$D101,$N66)
-SUMIFS(Transactions!$I$3:$I101,Transactions!$H$3:$H101,"Sell",Transactions!$F$3:$F101,"Crypto",Transactions!$A$3:$A101,R$65,Transactions!$D$3:$D101,$N66)
+SUMIFS(Transactions!$I$3:$I101,Transactions!$H$3:$H101,"Buy",Transactions!$F$3:$F101,"Stablecoin",Transactions!$A$3:$A101,R$65,Transactions!$D$3:$D101,$N66)
+SUMIFS(Transactions!$I$3:$I101,Transactions!$H$3:$H101,"Crypto Interest",Transactions!$F$3:$F101,"Stablecoin",Transactions!$A$3:$A101,R$65,Transactions!$D$3:$D101,$N66)
+SUMIFS(Transactions!$I$3:$I101,Transactions!$H$3:$H101,"Transfer Deposit",Transactions!$F$3:$F101,"Stablecoin",Transactions!$A$3:$A101,R$65,Transactions!$D$3:$D101,$N66)
-SUMIFS(Transactions!$I$3:$I101,Transactions!$H$3:$H101,"Transfer Send",Transactions!$F$3:$F101,"Stablecoin",Transactions!$A$3:$A101,R$65,Transactions!$D$3:$D101,$N66)
-SUMIFS(Transactions!$I$3:$I101,Transactions!$H$3:$H101,"Sell",Transactions!$F$3:$F101,"Stablecoin",Transactions!$A$3:$A101,R$65,Transactions!$D$3:$D101,$N66)
-SUMIFS(Transactions!$M$3:$M101,Transactions!$H$3:$H101,"Buy",Transactions!$A$3:$A101,R$65,Transactions!$B$3:$B101,$N66))</f>
        <v/>
      </c>
      <c r="S66" s="158" t="str">
        <f>IF(OR(ISBLANK($N66),ISBLANK(S$65)),"",
SUMIFS(Transactions!$I$3:$I101,Transactions!$H$3:$H101,"Buy",Transactions!$F$3:$F101,"Crypto",Transactions!$A$3:$A101,S$65,Transactions!$D$3:$D101,$N66)
+SUMIFS(Transactions!$I$3:$I101,Transactions!$H$3:$H101,"Crypto Interest",Transactions!$F$3:$F101,"Crypto",Transactions!$A$3:$A101,S$65,Transactions!$D$3:$D101,$N66)
+SUMIFS(Transactions!$I$3:$I101,Transactions!$H$3:$H101,"Transfer Deposit",Transactions!$F$3:$F101,"Crypto",Transactions!$A$3:$A101,S$65,Transactions!$D$3:$D101,$N66)
-SUMIFS(Transactions!$I$3:$I101,Transactions!$H$3:$H101,"Transfer Send",Transactions!$F$3:$F101,"Crypto",Transactions!$A$3:$A101,S$65,Transactions!$D$3:$D101,$N66)
-SUMIFS(Transactions!$I$3:$I101,Transactions!$H$3:$H101,"Sell",Transactions!$F$3:$F101,"Crypto",Transactions!$A$3:$A101,S$65,Transactions!$D$3:$D101,$N66)
+SUMIFS(Transactions!$I$3:$I101,Transactions!$H$3:$H101,"Buy",Transactions!$F$3:$F101,"Stablecoin",Transactions!$A$3:$A101,S$65,Transactions!$D$3:$D101,$N66)
+SUMIFS(Transactions!$I$3:$I101,Transactions!$H$3:$H101,"Crypto Interest",Transactions!$F$3:$F101,"Stablecoin",Transactions!$A$3:$A101,S$65,Transactions!$D$3:$D101,$N66)
+SUMIFS(Transactions!$I$3:$I101,Transactions!$H$3:$H101,"Transfer Deposit",Transactions!$F$3:$F101,"Stablecoin",Transactions!$A$3:$A101,S$65,Transactions!$D$3:$D101,$N66)
-SUMIFS(Transactions!$I$3:$I101,Transactions!$H$3:$H101,"Transfer Send",Transactions!$F$3:$F101,"Stablecoin",Transactions!$A$3:$A101,S$65,Transactions!$D$3:$D101,$N66)
-SUMIFS(Transactions!$I$3:$I101,Transactions!$H$3:$H101,"Sell",Transactions!$F$3:$F101,"Stablecoin",Transactions!$A$3:$A101,S$65,Transactions!$D$3:$D101,$N66)
-SUMIFS(Transactions!$M$3:$M101,Transactions!$H$3:$H101,"Buy",Transactions!$A$3:$A101,S$65,Transactions!$B$3:$B101,$N66))</f>
        <v/>
      </c>
      <c r="T66" s="158" t="str">
        <f>IF(OR(ISBLANK($N66),ISBLANK(T$65)),"",
SUMIFS(Transactions!$I$3:$I101,Transactions!$H$3:$H101,"Buy",Transactions!$F$3:$F101,"Crypto",Transactions!$A$3:$A101,T$65,Transactions!$D$3:$D101,$N66)
+SUMIFS(Transactions!$I$3:$I101,Transactions!$H$3:$H101,"Crypto Interest",Transactions!$F$3:$F101,"Crypto",Transactions!$A$3:$A101,T$65,Transactions!$D$3:$D101,$N66)
+SUMIFS(Transactions!$I$3:$I101,Transactions!$H$3:$H101,"Transfer Deposit",Transactions!$F$3:$F101,"Crypto",Transactions!$A$3:$A101,T$65,Transactions!$D$3:$D101,$N66)
-SUMIFS(Transactions!$I$3:$I101,Transactions!$H$3:$H101,"Transfer Send",Transactions!$F$3:$F101,"Crypto",Transactions!$A$3:$A101,T$65,Transactions!$D$3:$D101,$N66)
-SUMIFS(Transactions!$I$3:$I101,Transactions!$H$3:$H101,"Sell",Transactions!$F$3:$F101,"Crypto",Transactions!$A$3:$A101,T$65,Transactions!$D$3:$D101,$N66)
+SUMIFS(Transactions!$I$3:$I101,Transactions!$H$3:$H101,"Buy",Transactions!$F$3:$F101,"Stablecoin",Transactions!$A$3:$A101,T$65,Transactions!$D$3:$D101,$N66)
+SUMIFS(Transactions!$I$3:$I101,Transactions!$H$3:$H101,"Crypto Interest",Transactions!$F$3:$F101,"Stablecoin",Transactions!$A$3:$A101,T$65,Transactions!$D$3:$D101,$N66)
+SUMIFS(Transactions!$I$3:$I101,Transactions!$H$3:$H101,"Transfer Deposit",Transactions!$F$3:$F101,"Stablecoin",Transactions!$A$3:$A101,T$65,Transactions!$D$3:$D101,$N66)
-SUMIFS(Transactions!$I$3:$I101,Transactions!$H$3:$H101,"Transfer Send",Transactions!$F$3:$F101,"Stablecoin",Transactions!$A$3:$A101,T$65,Transactions!$D$3:$D101,$N66)
-SUMIFS(Transactions!$I$3:$I101,Transactions!$H$3:$H101,"Sell",Transactions!$F$3:$F101,"Stablecoin",Transactions!$A$3:$A101,T$65,Transactions!$D$3:$D101,$N66)
-SUMIFS(Transactions!$M$3:$M101,Transactions!$H$3:$H101,"Buy",Transactions!$A$3:$A101,T$65,Transactions!$B$3:$B101,$N66))</f>
        <v/>
      </c>
      <c r="U66" s="158" t="str">
        <f>IF(OR(ISBLANK($N66),ISBLANK(U$65)),"",
SUMIFS(Transactions!$I$3:$I101,Transactions!$H$3:$H101,"Buy",Transactions!$F$3:$F101,"Crypto",Transactions!$A$3:$A101,U$65,Transactions!$D$3:$D101,$N66)
+SUMIFS(Transactions!$I$3:$I101,Transactions!$H$3:$H101,"Crypto Interest",Transactions!$F$3:$F101,"Crypto",Transactions!$A$3:$A101,U$65,Transactions!$D$3:$D101,$N66)
+SUMIFS(Transactions!$I$3:$I101,Transactions!$H$3:$H101,"Transfer Deposit",Transactions!$F$3:$F101,"Crypto",Transactions!$A$3:$A101,U$65,Transactions!$D$3:$D101,$N66)
-SUMIFS(Transactions!$I$3:$I101,Transactions!$H$3:$H101,"Transfer Send",Transactions!$F$3:$F101,"Crypto",Transactions!$A$3:$A101,U$65,Transactions!$D$3:$D101,$N66)
-SUMIFS(Transactions!$I$3:$I101,Transactions!$H$3:$H101,"Sell",Transactions!$F$3:$F101,"Crypto",Transactions!$A$3:$A101,U$65,Transactions!$D$3:$D101,$N66)
+SUMIFS(Transactions!$I$3:$I101,Transactions!$H$3:$H101,"Buy",Transactions!$F$3:$F101,"Stablecoin",Transactions!$A$3:$A101,U$65,Transactions!$D$3:$D101,$N66)
+SUMIFS(Transactions!$I$3:$I101,Transactions!$H$3:$H101,"Crypto Interest",Transactions!$F$3:$F101,"Stablecoin",Transactions!$A$3:$A101,U$65,Transactions!$D$3:$D101,$N66)
+SUMIFS(Transactions!$I$3:$I101,Transactions!$H$3:$H101,"Transfer Deposit",Transactions!$F$3:$F101,"Stablecoin",Transactions!$A$3:$A101,U$65,Transactions!$D$3:$D101,$N66)
-SUMIFS(Transactions!$I$3:$I101,Transactions!$H$3:$H101,"Transfer Send",Transactions!$F$3:$F101,"Stablecoin",Transactions!$A$3:$A101,U$65,Transactions!$D$3:$D101,$N66)
-SUMIFS(Transactions!$I$3:$I101,Transactions!$H$3:$H101,"Sell",Transactions!$F$3:$F101,"Stablecoin",Transactions!$A$3:$A101,U$65,Transactions!$D$3:$D101,$N66)
-SUMIFS(Transactions!$M$3:$M101,Transactions!$H$3:$H101,"Buy",Transactions!$A$3:$A101,U$65,Transactions!$B$3:$B101,$N66))</f>
        <v/>
      </c>
      <c r="V66" s="158"/>
      <c r="W66" s="95"/>
      <c r="X66" s="96"/>
      <c r="Y66" s="96" t="str">
        <f>IFERROR(__xludf.DUMMYFUNCTION("IF(ISBLANK(W66),"""",QUERY(GOOGLEFINANCE($N$21,""Close"",W66-5,6),""select Col2 where Col1 &lt; date '""&amp;TEXT(W66+1, ""YYYY-MM-DD"")&amp;""' order by Col1 desc limit 1"",False)
)"),"")</f>
        <v/>
      </c>
      <c r="Z66" s="158"/>
    </row>
    <row r="67">
      <c r="A67" s="14"/>
      <c r="B67" s="149"/>
      <c r="C67" s="156" t="str">
        <f>IF(ISBLANK(B67),"",SUMIF(Portfolio!$A:$A,B67,Portfolio!$C:$C))</f>
        <v/>
      </c>
      <c r="D67" s="145" t="str">
        <f>IF(ISBLANK(B67),"",AVERAGEIF(Portfolio!$A:$A,B67,Portfolio!$D:$D))</f>
        <v/>
      </c>
      <c r="F67" s="145" t="str">
        <f>IF(ISBLANK(B67),"",VLOOKUP(B67,Portfolio!$A:$E,5,0))</f>
        <v/>
      </c>
      <c r="G67" s="145" t="str">
        <f>IF(ISBLANK(B67),"",IFERROR(((C67-SUMIFS(Transactions!I:I,Transactions!H:H,"Crypto Interest",Transactions!E:E,B67))*D67),""))</f>
        <v/>
      </c>
      <c r="H67" s="145" t="str">
        <f t="shared" si="11"/>
        <v/>
      </c>
      <c r="I67" s="50" t="str">
        <f t="shared" si="12"/>
        <v/>
      </c>
      <c r="J67" s="145" t="str">
        <f t="shared" si="13"/>
        <v/>
      </c>
      <c r="K67" s="145" t="str">
        <f>IF(ISBLANK(B67),"",SUMIF(Portfolio!$A:$A,B67,Portfolio!$Q:$Q))</f>
        <v/>
      </c>
      <c r="L67" s="145" t="str">
        <f t="shared" si="14"/>
        <v/>
      </c>
      <c r="M67" s="14"/>
      <c r="N67" s="157"/>
      <c r="O67" s="158" t="str">
        <f>IF(OR(ISBLANK($N67),ISBLANK(O$65)),"",
SUMIFS(Transactions!$I$3:$I101,Transactions!$H$3:$H101,"Buy",Transactions!$F$3:$F101,"Crypto",Transactions!$A$3:$A101,O$65,Transactions!$D$3:$D101,$N67)
+SUMIFS(Transactions!$I$3:$I101,Transactions!$H$3:$H101,"Crypto Interest",Transactions!$F$3:$F101,"Crypto",Transactions!$A$3:$A101,O$65,Transactions!$D$3:$D101,$N67)
+SUMIFS(Transactions!$I$3:$I101,Transactions!$H$3:$H101,"Transfer Deposit",Transactions!$F$3:$F101,"Crypto",Transactions!$A$3:$A101,O$65,Transactions!$D$3:$D101,$N67)
-SUMIFS(Transactions!$I$3:$I101,Transactions!$H$3:$H101,"Transfer Send",Transactions!$F$3:$F101,"Crypto",Transactions!$A$3:$A101,O$65,Transactions!$D$3:$D101,$N67)
-SUMIFS(Transactions!$I$3:$I101,Transactions!$H$3:$H101,"Sell",Transactions!$F$3:$F101,"Crypto",Transactions!$A$3:$A101,O$65,Transactions!$D$3:$D101,$N67)
+SUMIFS(Transactions!$I$3:$I101,Transactions!$H$3:$H101,"Buy",Transactions!$F$3:$F101,"Stablecoin",Transactions!$A$3:$A101,O$65,Transactions!$D$3:$D101,$N67)
+SUMIFS(Transactions!$I$3:$I101,Transactions!$H$3:$H101,"Crypto Interest",Transactions!$F$3:$F101,"Stablecoin",Transactions!$A$3:$A101,O$65,Transactions!$D$3:$D101,$N67)
+SUMIFS(Transactions!$I$3:$I101,Transactions!$H$3:$H101,"Transfer Deposit",Transactions!$F$3:$F101,"Stablecoin",Transactions!$A$3:$A101,O$65,Transactions!$D$3:$D101,$N67)
-SUMIFS(Transactions!$I$3:$I101,Transactions!$H$3:$H101,"Transfer Send",Transactions!$F$3:$F101,"Stablecoin",Transactions!$A$3:$A101,O$65,Transactions!$D$3:$D101,$N67)
-SUMIFS(Transactions!$I$3:$I101,Transactions!$H$3:$H101,"Sell",Transactions!$F$3:$F101,"Stablecoin",Transactions!$A$3:$A101,O$65,Transactions!$D$3:$D101,$N67)
-SUMIFS(Transactions!$M$3:$M101,Transactions!$H$3:$H101,"Buy",Transactions!$A$3:$A101,O$65,Transactions!$B$3:$B101,$N67))</f>
        <v/>
      </c>
      <c r="P67" s="158" t="str">
        <f>IF(OR(ISBLANK($N67),ISBLANK(P$65)),"",
SUMIFS(Transactions!$I$3:$I101,Transactions!$H$3:$H101,"Buy",Transactions!$F$3:$F101,"Crypto",Transactions!$A$3:$A101,P$65,Transactions!$D$3:$D101,$N67)
+SUMIFS(Transactions!$I$3:$I101,Transactions!$H$3:$H101,"Crypto Interest",Transactions!$F$3:$F101,"Crypto",Transactions!$A$3:$A101,P$65,Transactions!$D$3:$D101,$N67)
+SUMIFS(Transactions!$I$3:$I101,Transactions!$H$3:$H101,"Transfer Deposit",Transactions!$F$3:$F101,"Crypto",Transactions!$A$3:$A101,P$65,Transactions!$D$3:$D101,$N67)
-SUMIFS(Transactions!$I$3:$I101,Transactions!$H$3:$H101,"Transfer Send",Transactions!$F$3:$F101,"Crypto",Transactions!$A$3:$A101,P$65,Transactions!$D$3:$D101,$N67)
-SUMIFS(Transactions!$I$3:$I101,Transactions!$H$3:$H101,"Sell",Transactions!$F$3:$F101,"Crypto",Transactions!$A$3:$A101,P$65,Transactions!$D$3:$D101,$N67)
+SUMIFS(Transactions!$I$3:$I101,Transactions!$H$3:$H101,"Buy",Transactions!$F$3:$F101,"Stablecoin",Transactions!$A$3:$A101,P$65,Transactions!$D$3:$D101,$N67)
+SUMIFS(Transactions!$I$3:$I101,Transactions!$H$3:$H101,"Crypto Interest",Transactions!$F$3:$F101,"Stablecoin",Transactions!$A$3:$A101,P$65,Transactions!$D$3:$D101,$N67)
+SUMIFS(Transactions!$I$3:$I101,Transactions!$H$3:$H101,"Transfer Deposit",Transactions!$F$3:$F101,"Stablecoin",Transactions!$A$3:$A101,P$65,Transactions!$D$3:$D101,$N67)
-SUMIFS(Transactions!$I$3:$I101,Transactions!$H$3:$H101,"Transfer Send",Transactions!$F$3:$F101,"Stablecoin",Transactions!$A$3:$A101,P$65,Transactions!$D$3:$D101,$N67)
-SUMIFS(Transactions!$I$3:$I101,Transactions!$H$3:$H101,"Sell",Transactions!$F$3:$F101,"Stablecoin",Transactions!$A$3:$A101,P$65,Transactions!$D$3:$D101,$N67)
-SUMIFS(Transactions!$M$3:$M101,Transactions!$H$3:$H101,"Buy",Transactions!$A$3:$A101,P$65,Transactions!$B$3:$B101,$N67))</f>
        <v/>
      </c>
      <c r="Q67" s="158" t="str">
        <f>IF(OR(ISBLANK($N67),ISBLANK(Q$65)),"",
SUMIFS(Transactions!$I$3:$I101,Transactions!$H$3:$H101,"Buy",Transactions!$F$3:$F101,"Crypto",Transactions!$A$3:$A101,Q$65,Transactions!$D$3:$D101,$N67)
+SUMIFS(Transactions!$I$3:$I101,Transactions!$H$3:$H101,"Crypto Interest",Transactions!$F$3:$F101,"Crypto",Transactions!$A$3:$A101,Q$65,Transactions!$D$3:$D101,$N67)
+SUMIFS(Transactions!$I$3:$I101,Transactions!$H$3:$H101,"Transfer Deposit",Transactions!$F$3:$F101,"Crypto",Transactions!$A$3:$A101,Q$65,Transactions!$D$3:$D101,$N67)
-SUMIFS(Transactions!$I$3:$I101,Transactions!$H$3:$H101,"Transfer Send",Transactions!$F$3:$F101,"Crypto",Transactions!$A$3:$A101,Q$65,Transactions!$D$3:$D101,$N67)
-SUMIFS(Transactions!$I$3:$I101,Transactions!$H$3:$H101,"Sell",Transactions!$F$3:$F101,"Crypto",Transactions!$A$3:$A101,Q$65,Transactions!$D$3:$D101,$N67)
+SUMIFS(Transactions!$I$3:$I101,Transactions!$H$3:$H101,"Buy",Transactions!$F$3:$F101,"Stablecoin",Transactions!$A$3:$A101,Q$65,Transactions!$D$3:$D101,$N67)
+SUMIFS(Transactions!$I$3:$I101,Transactions!$H$3:$H101,"Crypto Interest",Transactions!$F$3:$F101,"Stablecoin",Transactions!$A$3:$A101,Q$65,Transactions!$D$3:$D101,$N67)
+SUMIFS(Transactions!$I$3:$I101,Transactions!$H$3:$H101,"Transfer Deposit",Transactions!$F$3:$F101,"Stablecoin",Transactions!$A$3:$A101,Q$65,Transactions!$D$3:$D101,$N67)
-SUMIFS(Transactions!$I$3:$I101,Transactions!$H$3:$H101,"Transfer Send",Transactions!$F$3:$F101,"Stablecoin",Transactions!$A$3:$A101,Q$65,Transactions!$D$3:$D101,$N67)
-SUMIFS(Transactions!$I$3:$I101,Transactions!$H$3:$H101,"Sell",Transactions!$F$3:$F101,"Stablecoin",Transactions!$A$3:$A101,Q$65,Transactions!$D$3:$D101,$N67)
-SUMIFS(Transactions!$M$3:$M101,Transactions!$H$3:$H101,"Buy",Transactions!$A$3:$A101,Q$65,Transactions!$B$3:$B101,$N67))</f>
        <v/>
      </c>
      <c r="R67" s="158" t="str">
        <f>IF(OR(ISBLANK($N67),ISBLANK(R$65)),"",
SUMIFS(Transactions!$I$3:$I101,Transactions!$H$3:$H101,"Buy",Transactions!$F$3:$F101,"Crypto",Transactions!$A$3:$A101,R$65,Transactions!$D$3:$D101,$N67)
+SUMIFS(Transactions!$I$3:$I101,Transactions!$H$3:$H101,"Crypto Interest",Transactions!$F$3:$F101,"Crypto",Transactions!$A$3:$A101,R$65,Transactions!$D$3:$D101,$N67)
+SUMIFS(Transactions!$I$3:$I101,Transactions!$H$3:$H101,"Transfer Deposit",Transactions!$F$3:$F101,"Crypto",Transactions!$A$3:$A101,R$65,Transactions!$D$3:$D101,$N67)
-SUMIFS(Transactions!$I$3:$I101,Transactions!$H$3:$H101,"Transfer Send",Transactions!$F$3:$F101,"Crypto",Transactions!$A$3:$A101,R$65,Transactions!$D$3:$D101,$N67)
-SUMIFS(Transactions!$I$3:$I101,Transactions!$H$3:$H101,"Sell",Transactions!$F$3:$F101,"Crypto",Transactions!$A$3:$A101,R$65,Transactions!$D$3:$D101,$N67)
+SUMIFS(Transactions!$I$3:$I101,Transactions!$H$3:$H101,"Buy",Transactions!$F$3:$F101,"Stablecoin",Transactions!$A$3:$A101,R$65,Transactions!$D$3:$D101,$N67)
+SUMIFS(Transactions!$I$3:$I101,Transactions!$H$3:$H101,"Crypto Interest",Transactions!$F$3:$F101,"Stablecoin",Transactions!$A$3:$A101,R$65,Transactions!$D$3:$D101,$N67)
+SUMIFS(Transactions!$I$3:$I101,Transactions!$H$3:$H101,"Transfer Deposit",Transactions!$F$3:$F101,"Stablecoin",Transactions!$A$3:$A101,R$65,Transactions!$D$3:$D101,$N67)
-SUMIFS(Transactions!$I$3:$I101,Transactions!$H$3:$H101,"Transfer Send",Transactions!$F$3:$F101,"Stablecoin",Transactions!$A$3:$A101,R$65,Transactions!$D$3:$D101,$N67)
-SUMIFS(Transactions!$I$3:$I101,Transactions!$H$3:$H101,"Sell",Transactions!$F$3:$F101,"Stablecoin",Transactions!$A$3:$A101,R$65,Transactions!$D$3:$D101,$N67)
-SUMIFS(Transactions!$M$3:$M101,Transactions!$H$3:$H101,"Buy",Transactions!$A$3:$A101,R$65,Transactions!$B$3:$B101,$N67))</f>
        <v/>
      </c>
      <c r="S67" s="158" t="str">
        <f>IF(OR(ISBLANK($N67),ISBLANK(S$65)),"",
SUMIFS(Transactions!$I$3:$I101,Transactions!$H$3:$H101,"Buy",Transactions!$F$3:$F101,"Crypto",Transactions!$A$3:$A101,S$65,Transactions!$D$3:$D101,$N67)
+SUMIFS(Transactions!$I$3:$I101,Transactions!$H$3:$H101,"Crypto Interest",Transactions!$F$3:$F101,"Crypto",Transactions!$A$3:$A101,S$65,Transactions!$D$3:$D101,$N67)
+SUMIFS(Transactions!$I$3:$I101,Transactions!$H$3:$H101,"Transfer Deposit",Transactions!$F$3:$F101,"Crypto",Transactions!$A$3:$A101,S$65,Transactions!$D$3:$D101,$N67)
-SUMIFS(Transactions!$I$3:$I101,Transactions!$H$3:$H101,"Transfer Send",Transactions!$F$3:$F101,"Crypto",Transactions!$A$3:$A101,S$65,Transactions!$D$3:$D101,$N67)
-SUMIFS(Transactions!$I$3:$I101,Transactions!$H$3:$H101,"Sell",Transactions!$F$3:$F101,"Crypto",Transactions!$A$3:$A101,S$65,Transactions!$D$3:$D101,$N67)
+SUMIFS(Transactions!$I$3:$I101,Transactions!$H$3:$H101,"Buy",Transactions!$F$3:$F101,"Stablecoin",Transactions!$A$3:$A101,S$65,Transactions!$D$3:$D101,$N67)
+SUMIFS(Transactions!$I$3:$I101,Transactions!$H$3:$H101,"Crypto Interest",Transactions!$F$3:$F101,"Stablecoin",Transactions!$A$3:$A101,S$65,Transactions!$D$3:$D101,$N67)
+SUMIFS(Transactions!$I$3:$I101,Transactions!$H$3:$H101,"Transfer Deposit",Transactions!$F$3:$F101,"Stablecoin",Transactions!$A$3:$A101,S$65,Transactions!$D$3:$D101,$N67)
-SUMIFS(Transactions!$I$3:$I101,Transactions!$H$3:$H101,"Transfer Send",Transactions!$F$3:$F101,"Stablecoin",Transactions!$A$3:$A101,S$65,Transactions!$D$3:$D101,$N67)
-SUMIFS(Transactions!$I$3:$I101,Transactions!$H$3:$H101,"Sell",Transactions!$F$3:$F101,"Stablecoin",Transactions!$A$3:$A101,S$65,Transactions!$D$3:$D101,$N67)
-SUMIFS(Transactions!$M$3:$M101,Transactions!$H$3:$H101,"Buy",Transactions!$A$3:$A101,S$65,Transactions!$B$3:$B101,$N67))</f>
        <v/>
      </c>
      <c r="T67" s="158" t="str">
        <f>IF(OR(ISBLANK($N67),ISBLANK(T$65)),"",
SUMIFS(Transactions!$I$3:$I101,Transactions!$H$3:$H101,"Buy",Transactions!$F$3:$F101,"Crypto",Transactions!$A$3:$A101,T$65,Transactions!$D$3:$D101,$N67)
+SUMIFS(Transactions!$I$3:$I101,Transactions!$H$3:$H101,"Crypto Interest",Transactions!$F$3:$F101,"Crypto",Transactions!$A$3:$A101,T$65,Transactions!$D$3:$D101,$N67)
+SUMIFS(Transactions!$I$3:$I101,Transactions!$H$3:$H101,"Transfer Deposit",Transactions!$F$3:$F101,"Crypto",Transactions!$A$3:$A101,T$65,Transactions!$D$3:$D101,$N67)
-SUMIFS(Transactions!$I$3:$I101,Transactions!$H$3:$H101,"Transfer Send",Transactions!$F$3:$F101,"Crypto",Transactions!$A$3:$A101,T$65,Transactions!$D$3:$D101,$N67)
-SUMIFS(Transactions!$I$3:$I101,Transactions!$H$3:$H101,"Sell",Transactions!$F$3:$F101,"Crypto",Transactions!$A$3:$A101,T$65,Transactions!$D$3:$D101,$N67)
+SUMIFS(Transactions!$I$3:$I101,Transactions!$H$3:$H101,"Buy",Transactions!$F$3:$F101,"Stablecoin",Transactions!$A$3:$A101,T$65,Transactions!$D$3:$D101,$N67)
+SUMIFS(Transactions!$I$3:$I101,Transactions!$H$3:$H101,"Crypto Interest",Transactions!$F$3:$F101,"Stablecoin",Transactions!$A$3:$A101,T$65,Transactions!$D$3:$D101,$N67)
+SUMIFS(Transactions!$I$3:$I101,Transactions!$H$3:$H101,"Transfer Deposit",Transactions!$F$3:$F101,"Stablecoin",Transactions!$A$3:$A101,T$65,Transactions!$D$3:$D101,$N67)
-SUMIFS(Transactions!$I$3:$I101,Transactions!$H$3:$H101,"Transfer Send",Transactions!$F$3:$F101,"Stablecoin",Transactions!$A$3:$A101,T$65,Transactions!$D$3:$D101,$N67)
-SUMIFS(Transactions!$I$3:$I101,Transactions!$H$3:$H101,"Sell",Transactions!$F$3:$F101,"Stablecoin",Transactions!$A$3:$A101,T$65,Transactions!$D$3:$D101,$N67)
-SUMIFS(Transactions!$M$3:$M101,Transactions!$H$3:$H101,"Buy",Transactions!$A$3:$A101,T$65,Transactions!$B$3:$B101,$N67))</f>
        <v/>
      </c>
      <c r="U67" s="158" t="str">
        <f>IF(OR(ISBLANK($N67),ISBLANK(U$65)),"",
SUMIFS(Transactions!$I$3:$I101,Transactions!$H$3:$H101,"Buy",Transactions!$F$3:$F101,"Crypto",Transactions!$A$3:$A101,U$65,Transactions!$D$3:$D101,$N67)
+SUMIFS(Transactions!$I$3:$I101,Transactions!$H$3:$H101,"Crypto Interest",Transactions!$F$3:$F101,"Crypto",Transactions!$A$3:$A101,U$65,Transactions!$D$3:$D101,$N67)
+SUMIFS(Transactions!$I$3:$I101,Transactions!$H$3:$H101,"Transfer Deposit",Transactions!$F$3:$F101,"Crypto",Transactions!$A$3:$A101,U$65,Transactions!$D$3:$D101,$N67)
-SUMIFS(Transactions!$I$3:$I101,Transactions!$H$3:$H101,"Transfer Send",Transactions!$F$3:$F101,"Crypto",Transactions!$A$3:$A101,U$65,Transactions!$D$3:$D101,$N67)
-SUMIFS(Transactions!$I$3:$I101,Transactions!$H$3:$H101,"Sell",Transactions!$F$3:$F101,"Crypto",Transactions!$A$3:$A101,U$65,Transactions!$D$3:$D101,$N67)
+SUMIFS(Transactions!$I$3:$I101,Transactions!$H$3:$H101,"Buy",Transactions!$F$3:$F101,"Stablecoin",Transactions!$A$3:$A101,U$65,Transactions!$D$3:$D101,$N67)
+SUMIFS(Transactions!$I$3:$I101,Transactions!$H$3:$H101,"Crypto Interest",Transactions!$F$3:$F101,"Stablecoin",Transactions!$A$3:$A101,U$65,Transactions!$D$3:$D101,$N67)
+SUMIFS(Transactions!$I$3:$I101,Transactions!$H$3:$H101,"Transfer Deposit",Transactions!$F$3:$F101,"Stablecoin",Transactions!$A$3:$A101,U$65,Transactions!$D$3:$D101,$N67)
-SUMIFS(Transactions!$I$3:$I101,Transactions!$H$3:$H101,"Transfer Send",Transactions!$F$3:$F101,"Stablecoin",Transactions!$A$3:$A101,U$65,Transactions!$D$3:$D101,$N67)
-SUMIFS(Transactions!$I$3:$I101,Transactions!$H$3:$H101,"Sell",Transactions!$F$3:$F101,"Stablecoin",Transactions!$A$3:$A101,U$65,Transactions!$D$3:$D101,$N67)
-SUMIFS(Transactions!$M$3:$M101,Transactions!$H$3:$H101,"Buy",Transactions!$A$3:$A101,U$65,Transactions!$B$3:$B101,$N67))</f>
        <v/>
      </c>
      <c r="V67" s="158"/>
      <c r="W67" s="95"/>
      <c r="X67" s="96"/>
      <c r="Y67" s="96" t="str">
        <f>IFERROR(__xludf.DUMMYFUNCTION("IF(ISBLANK(W67),"""",QUERY(GOOGLEFINANCE($N$21,""Close"",W67-5,6),""select Col2 where Col1 &lt; date '""&amp;TEXT(W67+1, ""YYYY-MM-DD"")&amp;""' order by Col1 desc limit 1"",False)
)"),"")</f>
        <v/>
      </c>
      <c r="Z67" s="158"/>
    </row>
    <row r="68">
      <c r="A68" s="14"/>
      <c r="B68" s="149"/>
      <c r="C68" s="156" t="str">
        <f>IF(ISBLANK(B68),"",SUMIF(Portfolio!$A:$A,B68,Portfolio!$C:$C))</f>
        <v/>
      </c>
      <c r="D68" s="145" t="str">
        <f>IF(ISBLANK(B68),"",AVERAGEIF(Portfolio!$A:$A,B68,Portfolio!$D:$D))</f>
        <v/>
      </c>
      <c r="F68" s="145" t="str">
        <f>IF(ISBLANK(B68),"",VLOOKUP(B68,Portfolio!$A:$E,5,0))</f>
        <v/>
      </c>
      <c r="G68" s="145" t="str">
        <f>IF(ISBLANK(B68),"",IFERROR(((C68-SUMIFS(Transactions!I:I,Transactions!H:H,"Crypto Interest",Transactions!E:E,B68))*D68),""))</f>
        <v/>
      </c>
      <c r="H68" s="145" t="str">
        <f t="shared" si="11"/>
        <v/>
      </c>
      <c r="I68" s="50" t="str">
        <f t="shared" si="12"/>
        <v/>
      </c>
      <c r="J68" s="145" t="str">
        <f t="shared" si="13"/>
        <v/>
      </c>
      <c r="K68" s="145" t="str">
        <f>IF(ISBLANK(B68),"",SUMIF(Portfolio!$A:$A,B68,Portfolio!$Q:$Q))</f>
        <v/>
      </c>
      <c r="L68" s="145" t="str">
        <f t="shared" si="14"/>
        <v/>
      </c>
      <c r="M68" s="14"/>
      <c r="N68" s="157"/>
      <c r="O68" s="158" t="str">
        <f>IF(OR(ISBLANK($N68),ISBLANK(O$65)),"",
SUMIFS(Transactions!$I$3:$I101,Transactions!$H$3:$H101,"Buy",Transactions!$F$3:$F101,"Crypto",Transactions!$A$3:$A101,O$65,Transactions!$D$3:$D101,$N68)
+SUMIFS(Transactions!$I$3:$I101,Transactions!$H$3:$H101,"Crypto Interest",Transactions!$F$3:$F101,"Crypto",Transactions!$A$3:$A101,O$65,Transactions!$D$3:$D101,$N68)
+SUMIFS(Transactions!$I$3:$I101,Transactions!$H$3:$H101,"Transfer Deposit",Transactions!$F$3:$F101,"Crypto",Transactions!$A$3:$A101,O$65,Transactions!$D$3:$D101,$N68)
-SUMIFS(Transactions!$I$3:$I101,Transactions!$H$3:$H101,"Transfer Send",Transactions!$F$3:$F101,"Crypto",Transactions!$A$3:$A101,O$65,Transactions!$D$3:$D101,$N68)
-SUMIFS(Transactions!$I$3:$I101,Transactions!$H$3:$H101,"Sell",Transactions!$F$3:$F101,"Crypto",Transactions!$A$3:$A101,O$65,Transactions!$D$3:$D101,$N68)
+SUMIFS(Transactions!$I$3:$I101,Transactions!$H$3:$H101,"Buy",Transactions!$F$3:$F101,"Stablecoin",Transactions!$A$3:$A101,O$65,Transactions!$D$3:$D101,$N68)
+SUMIFS(Transactions!$I$3:$I101,Transactions!$H$3:$H101,"Crypto Interest",Transactions!$F$3:$F101,"Stablecoin",Transactions!$A$3:$A101,O$65,Transactions!$D$3:$D101,$N68)
+SUMIFS(Transactions!$I$3:$I101,Transactions!$H$3:$H101,"Transfer Deposit",Transactions!$F$3:$F101,"Stablecoin",Transactions!$A$3:$A101,O$65,Transactions!$D$3:$D101,$N68)
-SUMIFS(Transactions!$I$3:$I101,Transactions!$H$3:$H101,"Transfer Send",Transactions!$F$3:$F101,"Stablecoin",Transactions!$A$3:$A101,O$65,Transactions!$D$3:$D101,$N68)
-SUMIFS(Transactions!$I$3:$I101,Transactions!$H$3:$H101,"Sell",Transactions!$F$3:$F101,"Stablecoin",Transactions!$A$3:$A101,O$65,Transactions!$D$3:$D101,$N68)
-SUMIFS(Transactions!$M$3:$M101,Transactions!$H$3:$H101,"Buy",Transactions!$A$3:$A101,O$65,Transactions!$B$3:$B101,$N68))</f>
        <v/>
      </c>
      <c r="P68" s="158" t="str">
        <f>IF(OR(ISBLANK($N68),ISBLANK(P$65)),"",
SUMIFS(Transactions!$I$3:$I101,Transactions!$H$3:$H101,"Buy",Transactions!$F$3:$F101,"Crypto",Transactions!$A$3:$A101,P$65,Transactions!$D$3:$D101,$N68)
+SUMIFS(Transactions!$I$3:$I101,Transactions!$H$3:$H101,"Crypto Interest",Transactions!$F$3:$F101,"Crypto",Transactions!$A$3:$A101,P$65,Transactions!$D$3:$D101,$N68)
+SUMIFS(Transactions!$I$3:$I101,Transactions!$H$3:$H101,"Transfer Deposit",Transactions!$F$3:$F101,"Crypto",Transactions!$A$3:$A101,P$65,Transactions!$D$3:$D101,$N68)
-SUMIFS(Transactions!$I$3:$I101,Transactions!$H$3:$H101,"Transfer Send",Transactions!$F$3:$F101,"Crypto",Transactions!$A$3:$A101,P$65,Transactions!$D$3:$D101,$N68)
-SUMIFS(Transactions!$I$3:$I101,Transactions!$H$3:$H101,"Sell",Transactions!$F$3:$F101,"Crypto",Transactions!$A$3:$A101,P$65,Transactions!$D$3:$D101,$N68)
+SUMIFS(Transactions!$I$3:$I101,Transactions!$H$3:$H101,"Buy",Transactions!$F$3:$F101,"Stablecoin",Transactions!$A$3:$A101,P$65,Transactions!$D$3:$D101,$N68)
+SUMIFS(Transactions!$I$3:$I101,Transactions!$H$3:$H101,"Crypto Interest",Transactions!$F$3:$F101,"Stablecoin",Transactions!$A$3:$A101,P$65,Transactions!$D$3:$D101,$N68)
+SUMIFS(Transactions!$I$3:$I101,Transactions!$H$3:$H101,"Transfer Deposit",Transactions!$F$3:$F101,"Stablecoin",Transactions!$A$3:$A101,P$65,Transactions!$D$3:$D101,$N68)
-SUMIFS(Transactions!$I$3:$I101,Transactions!$H$3:$H101,"Transfer Send",Transactions!$F$3:$F101,"Stablecoin",Transactions!$A$3:$A101,P$65,Transactions!$D$3:$D101,$N68)
-SUMIFS(Transactions!$I$3:$I101,Transactions!$H$3:$H101,"Sell",Transactions!$F$3:$F101,"Stablecoin",Transactions!$A$3:$A101,P$65,Transactions!$D$3:$D101,$N68)
-SUMIFS(Transactions!$M$3:$M101,Transactions!$H$3:$H101,"Buy",Transactions!$A$3:$A101,P$65,Transactions!$B$3:$B101,$N68))</f>
        <v/>
      </c>
      <c r="Q68" s="158" t="str">
        <f>IF(OR(ISBLANK($N68),ISBLANK(Q$65)),"",
SUMIFS(Transactions!$I$3:$I101,Transactions!$H$3:$H101,"Buy",Transactions!$F$3:$F101,"Crypto",Transactions!$A$3:$A101,Q$65,Transactions!$D$3:$D101,$N68)
+SUMIFS(Transactions!$I$3:$I101,Transactions!$H$3:$H101,"Crypto Interest",Transactions!$F$3:$F101,"Crypto",Transactions!$A$3:$A101,Q$65,Transactions!$D$3:$D101,$N68)
+SUMIFS(Transactions!$I$3:$I101,Transactions!$H$3:$H101,"Transfer Deposit",Transactions!$F$3:$F101,"Crypto",Transactions!$A$3:$A101,Q$65,Transactions!$D$3:$D101,$N68)
-SUMIFS(Transactions!$I$3:$I101,Transactions!$H$3:$H101,"Transfer Send",Transactions!$F$3:$F101,"Crypto",Transactions!$A$3:$A101,Q$65,Transactions!$D$3:$D101,$N68)
-SUMIFS(Transactions!$I$3:$I101,Transactions!$H$3:$H101,"Sell",Transactions!$F$3:$F101,"Crypto",Transactions!$A$3:$A101,Q$65,Transactions!$D$3:$D101,$N68)
+SUMIFS(Transactions!$I$3:$I101,Transactions!$H$3:$H101,"Buy",Transactions!$F$3:$F101,"Stablecoin",Transactions!$A$3:$A101,Q$65,Transactions!$D$3:$D101,$N68)
+SUMIFS(Transactions!$I$3:$I101,Transactions!$H$3:$H101,"Crypto Interest",Transactions!$F$3:$F101,"Stablecoin",Transactions!$A$3:$A101,Q$65,Transactions!$D$3:$D101,$N68)
+SUMIFS(Transactions!$I$3:$I101,Transactions!$H$3:$H101,"Transfer Deposit",Transactions!$F$3:$F101,"Stablecoin",Transactions!$A$3:$A101,Q$65,Transactions!$D$3:$D101,$N68)
-SUMIFS(Transactions!$I$3:$I101,Transactions!$H$3:$H101,"Transfer Send",Transactions!$F$3:$F101,"Stablecoin",Transactions!$A$3:$A101,Q$65,Transactions!$D$3:$D101,$N68)
-SUMIFS(Transactions!$I$3:$I101,Transactions!$H$3:$H101,"Sell",Transactions!$F$3:$F101,"Stablecoin",Transactions!$A$3:$A101,Q$65,Transactions!$D$3:$D101,$N68)
-SUMIFS(Transactions!$M$3:$M101,Transactions!$H$3:$H101,"Buy",Transactions!$A$3:$A101,Q$65,Transactions!$B$3:$B101,$N68))</f>
        <v/>
      </c>
      <c r="R68" s="158" t="str">
        <f>IF(OR(ISBLANK($N68),ISBLANK(R$65)),"",
SUMIFS(Transactions!$I$3:$I101,Transactions!$H$3:$H101,"Buy",Transactions!$F$3:$F101,"Crypto",Transactions!$A$3:$A101,R$65,Transactions!$D$3:$D101,$N68)
+SUMIFS(Transactions!$I$3:$I101,Transactions!$H$3:$H101,"Crypto Interest",Transactions!$F$3:$F101,"Crypto",Transactions!$A$3:$A101,R$65,Transactions!$D$3:$D101,$N68)
+SUMIFS(Transactions!$I$3:$I101,Transactions!$H$3:$H101,"Transfer Deposit",Transactions!$F$3:$F101,"Crypto",Transactions!$A$3:$A101,R$65,Transactions!$D$3:$D101,$N68)
-SUMIFS(Transactions!$I$3:$I101,Transactions!$H$3:$H101,"Transfer Send",Transactions!$F$3:$F101,"Crypto",Transactions!$A$3:$A101,R$65,Transactions!$D$3:$D101,$N68)
-SUMIFS(Transactions!$I$3:$I101,Transactions!$H$3:$H101,"Sell",Transactions!$F$3:$F101,"Crypto",Transactions!$A$3:$A101,R$65,Transactions!$D$3:$D101,$N68)
+SUMIFS(Transactions!$I$3:$I101,Transactions!$H$3:$H101,"Buy",Transactions!$F$3:$F101,"Stablecoin",Transactions!$A$3:$A101,R$65,Transactions!$D$3:$D101,$N68)
+SUMIFS(Transactions!$I$3:$I101,Transactions!$H$3:$H101,"Crypto Interest",Transactions!$F$3:$F101,"Stablecoin",Transactions!$A$3:$A101,R$65,Transactions!$D$3:$D101,$N68)
+SUMIFS(Transactions!$I$3:$I101,Transactions!$H$3:$H101,"Transfer Deposit",Transactions!$F$3:$F101,"Stablecoin",Transactions!$A$3:$A101,R$65,Transactions!$D$3:$D101,$N68)
-SUMIFS(Transactions!$I$3:$I101,Transactions!$H$3:$H101,"Transfer Send",Transactions!$F$3:$F101,"Stablecoin",Transactions!$A$3:$A101,R$65,Transactions!$D$3:$D101,$N68)
-SUMIFS(Transactions!$I$3:$I101,Transactions!$H$3:$H101,"Sell",Transactions!$F$3:$F101,"Stablecoin",Transactions!$A$3:$A101,R$65,Transactions!$D$3:$D101,$N68)
-SUMIFS(Transactions!$M$3:$M101,Transactions!$H$3:$H101,"Buy",Transactions!$A$3:$A101,R$65,Transactions!$B$3:$B101,$N68))</f>
        <v/>
      </c>
      <c r="S68" s="158" t="str">
        <f>IF(OR(ISBLANK($N68),ISBLANK(S$65)),"",
SUMIFS(Transactions!$I$3:$I101,Transactions!$H$3:$H101,"Buy",Transactions!$F$3:$F101,"Crypto",Transactions!$A$3:$A101,S$65,Transactions!$D$3:$D101,$N68)
+SUMIFS(Transactions!$I$3:$I101,Transactions!$H$3:$H101,"Crypto Interest",Transactions!$F$3:$F101,"Crypto",Transactions!$A$3:$A101,S$65,Transactions!$D$3:$D101,$N68)
+SUMIFS(Transactions!$I$3:$I101,Transactions!$H$3:$H101,"Transfer Deposit",Transactions!$F$3:$F101,"Crypto",Transactions!$A$3:$A101,S$65,Transactions!$D$3:$D101,$N68)
-SUMIFS(Transactions!$I$3:$I101,Transactions!$H$3:$H101,"Transfer Send",Transactions!$F$3:$F101,"Crypto",Transactions!$A$3:$A101,S$65,Transactions!$D$3:$D101,$N68)
-SUMIFS(Transactions!$I$3:$I101,Transactions!$H$3:$H101,"Sell",Transactions!$F$3:$F101,"Crypto",Transactions!$A$3:$A101,S$65,Transactions!$D$3:$D101,$N68)
+SUMIFS(Transactions!$I$3:$I101,Transactions!$H$3:$H101,"Buy",Transactions!$F$3:$F101,"Stablecoin",Transactions!$A$3:$A101,S$65,Transactions!$D$3:$D101,$N68)
+SUMIFS(Transactions!$I$3:$I101,Transactions!$H$3:$H101,"Crypto Interest",Transactions!$F$3:$F101,"Stablecoin",Transactions!$A$3:$A101,S$65,Transactions!$D$3:$D101,$N68)
+SUMIFS(Transactions!$I$3:$I101,Transactions!$H$3:$H101,"Transfer Deposit",Transactions!$F$3:$F101,"Stablecoin",Transactions!$A$3:$A101,S$65,Transactions!$D$3:$D101,$N68)
-SUMIFS(Transactions!$I$3:$I101,Transactions!$H$3:$H101,"Transfer Send",Transactions!$F$3:$F101,"Stablecoin",Transactions!$A$3:$A101,S$65,Transactions!$D$3:$D101,$N68)
-SUMIFS(Transactions!$I$3:$I101,Transactions!$H$3:$H101,"Sell",Transactions!$F$3:$F101,"Stablecoin",Transactions!$A$3:$A101,S$65,Transactions!$D$3:$D101,$N68)
-SUMIFS(Transactions!$M$3:$M101,Transactions!$H$3:$H101,"Buy",Transactions!$A$3:$A101,S$65,Transactions!$B$3:$B101,$N68))</f>
        <v/>
      </c>
      <c r="T68" s="158" t="str">
        <f>IF(OR(ISBLANK($N68),ISBLANK(T$65)),"",
SUMIFS(Transactions!$I$3:$I101,Transactions!$H$3:$H101,"Buy",Transactions!$F$3:$F101,"Crypto",Transactions!$A$3:$A101,T$65,Transactions!$D$3:$D101,$N68)
+SUMIFS(Transactions!$I$3:$I101,Transactions!$H$3:$H101,"Crypto Interest",Transactions!$F$3:$F101,"Crypto",Transactions!$A$3:$A101,T$65,Transactions!$D$3:$D101,$N68)
+SUMIFS(Transactions!$I$3:$I101,Transactions!$H$3:$H101,"Transfer Deposit",Transactions!$F$3:$F101,"Crypto",Transactions!$A$3:$A101,T$65,Transactions!$D$3:$D101,$N68)
-SUMIFS(Transactions!$I$3:$I101,Transactions!$H$3:$H101,"Transfer Send",Transactions!$F$3:$F101,"Crypto",Transactions!$A$3:$A101,T$65,Transactions!$D$3:$D101,$N68)
-SUMIFS(Transactions!$I$3:$I101,Transactions!$H$3:$H101,"Sell",Transactions!$F$3:$F101,"Crypto",Transactions!$A$3:$A101,T$65,Transactions!$D$3:$D101,$N68)
+SUMIFS(Transactions!$I$3:$I101,Transactions!$H$3:$H101,"Buy",Transactions!$F$3:$F101,"Stablecoin",Transactions!$A$3:$A101,T$65,Transactions!$D$3:$D101,$N68)
+SUMIFS(Transactions!$I$3:$I101,Transactions!$H$3:$H101,"Crypto Interest",Transactions!$F$3:$F101,"Stablecoin",Transactions!$A$3:$A101,T$65,Transactions!$D$3:$D101,$N68)
+SUMIFS(Transactions!$I$3:$I101,Transactions!$H$3:$H101,"Transfer Deposit",Transactions!$F$3:$F101,"Stablecoin",Transactions!$A$3:$A101,T$65,Transactions!$D$3:$D101,$N68)
-SUMIFS(Transactions!$I$3:$I101,Transactions!$H$3:$H101,"Transfer Send",Transactions!$F$3:$F101,"Stablecoin",Transactions!$A$3:$A101,T$65,Transactions!$D$3:$D101,$N68)
-SUMIFS(Transactions!$I$3:$I101,Transactions!$H$3:$H101,"Sell",Transactions!$F$3:$F101,"Stablecoin",Transactions!$A$3:$A101,T$65,Transactions!$D$3:$D101,$N68)
-SUMIFS(Transactions!$M$3:$M101,Transactions!$H$3:$H101,"Buy",Transactions!$A$3:$A101,T$65,Transactions!$B$3:$B101,$N68))</f>
        <v/>
      </c>
      <c r="U68" s="158" t="str">
        <f>IF(OR(ISBLANK($N68),ISBLANK(U$65)),"",
SUMIFS(Transactions!$I$3:$I101,Transactions!$H$3:$H101,"Buy",Transactions!$F$3:$F101,"Crypto",Transactions!$A$3:$A101,U$65,Transactions!$D$3:$D101,$N68)
+SUMIFS(Transactions!$I$3:$I101,Transactions!$H$3:$H101,"Crypto Interest",Transactions!$F$3:$F101,"Crypto",Transactions!$A$3:$A101,U$65,Transactions!$D$3:$D101,$N68)
+SUMIFS(Transactions!$I$3:$I101,Transactions!$H$3:$H101,"Transfer Deposit",Transactions!$F$3:$F101,"Crypto",Transactions!$A$3:$A101,U$65,Transactions!$D$3:$D101,$N68)
-SUMIFS(Transactions!$I$3:$I101,Transactions!$H$3:$H101,"Transfer Send",Transactions!$F$3:$F101,"Crypto",Transactions!$A$3:$A101,U$65,Transactions!$D$3:$D101,$N68)
-SUMIFS(Transactions!$I$3:$I101,Transactions!$H$3:$H101,"Sell",Transactions!$F$3:$F101,"Crypto",Transactions!$A$3:$A101,U$65,Transactions!$D$3:$D101,$N68)
+SUMIFS(Transactions!$I$3:$I101,Transactions!$H$3:$H101,"Buy",Transactions!$F$3:$F101,"Stablecoin",Transactions!$A$3:$A101,U$65,Transactions!$D$3:$D101,$N68)
+SUMIFS(Transactions!$I$3:$I101,Transactions!$H$3:$H101,"Crypto Interest",Transactions!$F$3:$F101,"Stablecoin",Transactions!$A$3:$A101,U$65,Transactions!$D$3:$D101,$N68)
+SUMIFS(Transactions!$I$3:$I101,Transactions!$H$3:$H101,"Transfer Deposit",Transactions!$F$3:$F101,"Stablecoin",Transactions!$A$3:$A101,U$65,Transactions!$D$3:$D101,$N68)
-SUMIFS(Transactions!$I$3:$I101,Transactions!$H$3:$H101,"Transfer Send",Transactions!$F$3:$F101,"Stablecoin",Transactions!$A$3:$A101,U$65,Transactions!$D$3:$D101,$N68)
-SUMIFS(Transactions!$I$3:$I101,Transactions!$H$3:$H101,"Sell",Transactions!$F$3:$F101,"Stablecoin",Transactions!$A$3:$A101,U$65,Transactions!$D$3:$D101,$N68)
-SUMIFS(Transactions!$M$3:$M101,Transactions!$H$3:$H101,"Buy",Transactions!$A$3:$A101,U$65,Transactions!$B$3:$B101,$N68))</f>
        <v/>
      </c>
      <c r="V68" s="158"/>
      <c r="W68" s="95"/>
      <c r="X68" s="96"/>
      <c r="Y68" s="96" t="str">
        <f>IFERROR(__xludf.DUMMYFUNCTION("IF(ISBLANK(W68),"""",QUERY(GOOGLEFINANCE($N$21,""Close"",W68-5,6),""select Col2 where Col1 &lt; date '""&amp;TEXT(W68+1, ""YYYY-MM-DD"")&amp;""' order by Col1 desc limit 1"",False)
)"),"")</f>
        <v/>
      </c>
      <c r="Z68" s="158"/>
    </row>
    <row r="69">
      <c r="A69" s="14"/>
      <c r="B69" s="149"/>
      <c r="C69" s="156" t="str">
        <f>IF(ISBLANK(B69),"",SUMIF(Portfolio!$A:$A,B69,Portfolio!$C:$C))</f>
        <v/>
      </c>
      <c r="D69" s="145" t="str">
        <f>IF(ISBLANK(B69),"",AVERAGEIF(Portfolio!$A:$A,B69,Portfolio!$D:$D))</f>
        <v/>
      </c>
      <c r="F69" s="145" t="str">
        <f>IF(ISBLANK(B69),"",VLOOKUP(B69,Portfolio!$A:$E,5,0))</f>
        <v/>
      </c>
      <c r="G69" s="145" t="str">
        <f>IF(ISBLANK(B69),"",IFERROR(((C69-SUMIFS(Transactions!I:I,Transactions!H:H,"Crypto Interest",Transactions!E:E,B69))*D69),""))</f>
        <v/>
      </c>
      <c r="H69" s="145" t="str">
        <f t="shared" si="11"/>
        <v/>
      </c>
      <c r="I69" s="50" t="str">
        <f t="shared" si="12"/>
        <v/>
      </c>
      <c r="J69" s="145" t="str">
        <f t="shared" si="13"/>
        <v/>
      </c>
      <c r="K69" s="145" t="str">
        <f>IF(ISBLANK(B69),"",SUMIF(Portfolio!$A:$A,B69,Portfolio!$Q:$Q))</f>
        <v/>
      </c>
      <c r="L69" s="145" t="str">
        <f t="shared" si="14"/>
        <v/>
      </c>
      <c r="M69" s="14"/>
      <c r="N69" s="157"/>
      <c r="O69" s="158" t="str">
        <f>IF(OR(ISBLANK($N69),ISBLANK(O$65)),"",
SUMIFS(Transactions!$I$3:$I101,Transactions!$H$3:$H101,"Buy",Transactions!$F$3:$F101,"Crypto",Transactions!$A$3:$A101,O$65,Transactions!$D$3:$D101,$N69)
+SUMIFS(Transactions!$I$3:$I101,Transactions!$H$3:$H101,"Crypto Interest",Transactions!$F$3:$F101,"Crypto",Transactions!$A$3:$A101,O$65,Transactions!$D$3:$D101,$N69)
+SUMIFS(Transactions!$I$3:$I101,Transactions!$H$3:$H101,"Transfer Deposit",Transactions!$F$3:$F101,"Crypto",Transactions!$A$3:$A101,O$65,Transactions!$D$3:$D101,$N69)
-SUMIFS(Transactions!$I$3:$I101,Transactions!$H$3:$H101,"Transfer Send",Transactions!$F$3:$F101,"Crypto",Transactions!$A$3:$A101,O$65,Transactions!$D$3:$D101,$N69)
-SUMIFS(Transactions!$I$3:$I101,Transactions!$H$3:$H101,"Sell",Transactions!$F$3:$F101,"Crypto",Transactions!$A$3:$A101,O$65,Transactions!$D$3:$D101,$N69)
+SUMIFS(Transactions!$I$3:$I101,Transactions!$H$3:$H101,"Buy",Transactions!$F$3:$F101,"Stablecoin",Transactions!$A$3:$A101,O$65,Transactions!$D$3:$D101,$N69)
+SUMIFS(Transactions!$I$3:$I101,Transactions!$H$3:$H101,"Crypto Interest",Transactions!$F$3:$F101,"Stablecoin",Transactions!$A$3:$A101,O$65,Transactions!$D$3:$D101,$N69)
+SUMIFS(Transactions!$I$3:$I101,Transactions!$H$3:$H101,"Transfer Deposit",Transactions!$F$3:$F101,"Stablecoin",Transactions!$A$3:$A101,O$65,Transactions!$D$3:$D101,$N69)
-SUMIFS(Transactions!$I$3:$I101,Transactions!$H$3:$H101,"Transfer Send",Transactions!$F$3:$F101,"Stablecoin",Transactions!$A$3:$A101,O$65,Transactions!$D$3:$D101,$N69)
-SUMIFS(Transactions!$I$3:$I101,Transactions!$H$3:$H101,"Sell",Transactions!$F$3:$F101,"Stablecoin",Transactions!$A$3:$A101,O$65,Transactions!$D$3:$D101,$N69)
-SUMIFS(Transactions!$M$3:$M101,Transactions!$H$3:$H101,"Buy",Transactions!$A$3:$A101,O$65,Transactions!$B$3:$B101,$N69))</f>
        <v/>
      </c>
      <c r="P69" s="158" t="str">
        <f>IF(OR(ISBLANK($N69),ISBLANK(P$65)),"",
SUMIFS(Transactions!$I$3:$I101,Transactions!$H$3:$H101,"Buy",Transactions!$F$3:$F101,"Crypto",Transactions!$A$3:$A101,P$65,Transactions!$D$3:$D101,$N69)
+SUMIFS(Transactions!$I$3:$I101,Transactions!$H$3:$H101,"Crypto Interest",Transactions!$F$3:$F101,"Crypto",Transactions!$A$3:$A101,P$65,Transactions!$D$3:$D101,$N69)
+SUMIFS(Transactions!$I$3:$I101,Transactions!$H$3:$H101,"Transfer Deposit",Transactions!$F$3:$F101,"Crypto",Transactions!$A$3:$A101,P$65,Transactions!$D$3:$D101,$N69)
-SUMIFS(Transactions!$I$3:$I101,Transactions!$H$3:$H101,"Transfer Send",Transactions!$F$3:$F101,"Crypto",Transactions!$A$3:$A101,P$65,Transactions!$D$3:$D101,$N69)
-SUMIFS(Transactions!$I$3:$I101,Transactions!$H$3:$H101,"Sell",Transactions!$F$3:$F101,"Crypto",Transactions!$A$3:$A101,P$65,Transactions!$D$3:$D101,$N69)
+SUMIFS(Transactions!$I$3:$I101,Transactions!$H$3:$H101,"Buy",Transactions!$F$3:$F101,"Stablecoin",Transactions!$A$3:$A101,P$65,Transactions!$D$3:$D101,$N69)
+SUMIFS(Transactions!$I$3:$I101,Transactions!$H$3:$H101,"Crypto Interest",Transactions!$F$3:$F101,"Stablecoin",Transactions!$A$3:$A101,P$65,Transactions!$D$3:$D101,$N69)
+SUMIFS(Transactions!$I$3:$I101,Transactions!$H$3:$H101,"Transfer Deposit",Transactions!$F$3:$F101,"Stablecoin",Transactions!$A$3:$A101,P$65,Transactions!$D$3:$D101,$N69)
-SUMIFS(Transactions!$I$3:$I101,Transactions!$H$3:$H101,"Transfer Send",Transactions!$F$3:$F101,"Stablecoin",Transactions!$A$3:$A101,P$65,Transactions!$D$3:$D101,$N69)
-SUMIFS(Transactions!$I$3:$I101,Transactions!$H$3:$H101,"Sell",Transactions!$F$3:$F101,"Stablecoin",Transactions!$A$3:$A101,P$65,Transactions!$D$3:$D101,$N69)
-SUMIFS(Transactions!$M$3:$M101,Transactions!$H$3:$H101,"Buy",Transactions!$A$3:$A101,P$65,Transactions!$B$3:$B101,$N69))</f>
        <v/>
      </c>
      <c r="Q69" s="158" t="str">
        <f>IF(OR(ISBLANK($N69),ISBLANK(Q$65)),"",
SUMIFS(Transactions!$I$3:$I101,Transactions!$H$3:$H101,"Buy",Transactions!$F$3:$F101,"Crypto",Transactions!$A$3:$A101,Q$65,Transactions!$D$3:$D101,$N69)
+SUMIFS(Transactions!$I$3:$I101,Transactions!$H$3:$H101,"Crypto Interest",Transactions!$F$3:$F101,"Crypto",Transactions!$A$3:$A101,Q$65,Transactions!$D$3:$D101,$N69)
+SUMIFS(Transactions!$I$3:$I101,Transactions!$H$3:$H101,"Transfer Deposit",Transactions!$F$3:$F101,"Crypto",Transactions!$A$3:$A101,Q$65,Transactions!$D$3:$D101,$N69)
-SUMIFS(Transactions!$I$3:$I101,Transactions!$H$3:$H101,"Transfer Send",Transactions!$F$3:$F101,"Crypto",Transactions!$A$3:$A101,Q$65,Transactions!$D$3:$D101,$N69)
-SUMIFS(Transactions!$I$3:$I101,Transactions!$H$3:$H101,"Sell",Transactions!$F$3:$F101,"Crypto",Transactions!$A$3:$A101,Q$65,Transactions!$D$3:$D101,$N69)
+SUMIFS(Transactions!$I$3:$I101,Transactions!$H$3:$H101,"Buy",Transactions!$F$3:$F101,"Stablecoin",Transactions!$A$3:$A101,Q$65,Transactions!$D$3:$D101,$N69)
+SUMIFS(Transactions!$I$3:$I101,Transactions!$H$3:$H101,"Crypto Interest",Transactions!$F$3:$F101,"Stablecoin",Transactions!$A$3:$A101,Q$65,Transactions!$D$3:$D101,$N69)
+SUMIFS(Transactions!$I$3:$I101,Transactions!$H$3:$H101,"Transfer Deposit",Transactions!$F$3:$F101,"Stablecoin",Transactions!$A$3:$A101,Q$65,Transactions!$D$3:$D101,$N69)
-SUMIFS(Transactions!$I$3:$I101,Transactions!$H$3:$H101,"Transfer Send",Transactions!$F$3:$F101,"Stablecoin",Transactions!$A$3:$A101,Q$65,Transactions!$D$3:$D101,$N69)
-SUMIFS(Transactions!$I$3:$I101,Transactions!$H$3:$H101,"Sell",Transactions!$F$3:$F101,"Stablecoin",Transactions!$A$3:$A101,Q$65,Transactions!$D$3:$D101,$N69)
-SUMIFS(Transactions!$M$3:$M101,Transactions!$H$3:$H101,"Buy",Transactions!$A$3:$A101,Q$65,Transactions!$B$3:$B101,$N69))</f>
        <v/>
      </c>
      <c r="R69" s="158" t="str">
        <f>IF(OR(ISBLANK($N69),ISBLANK(R$65)),"",
SUMIFS(Transactions!$I$3:$I101,Transactions!$H$3:$H101,"Buy",Transactions!$F$3:$F101,"Crypto",Transactions!$A$3:$A101,R$65,Transactions!$D$3:$D101,$N69)
+SUMIFS(Transactions!$I$3:$I101,Transactions!$H$3:$H101,"Crypto Interest",Transactions!$F$3:$F101,"Crypto",Transactions!$A$3:$A101,R$65,Transactions!$D$3:$D101,$N69)
+SUMIFS(Transactions!$I$3:$I101,Transactions!$H$3:$H101,"Transfer Deposit",Transactions!$F$3:$F101,"Crypto",Transactions!$A$3:$A101,R$65,Transactions!$D$3:$D101,$N69)
-SUMIFS(Transactions!$I$3:$I101,Transactions!$H$3:$H101,"Transfer Send",Transactions!$F$3:$F101,"Crypto",Transactions!$A$3:$A101,R$65,Transactions!$D$3:$D101,$N69)
-SUMIFS(Transactions!$I$3:$I101,Transactions!$H$3:$H101,"Sell",Transactions!$F$3:$F101,"Crypto",Transactions!$A$3:$A101,R$65,Transactions!$D$3:$D101,$N69)
+SUMIFS(Transactions!$I$3:$I101,Transactions!$H$3:$H101,"Buy",Transactions!$F$3:$F101,"Stablecoin",Transactions!$A$3:$A101,R$65,Transactions!$D$3:$D101,$N69)
+SUMIFS(Transactions!$I$3:$I101,Transactions!$H$3:$H101,"Crypto Interest",Transactions!$F$3:$F101,"Stablecoin",Transactions!$A$3:$A101,R$65,Transactions!$D$3:$D101,$N69)
+SUMIFS(Transactions!$I$3:$I101,Transactions!$H$3:$H101,"Transfer Deposit",Transactions!$F$3:$F101,"Stablecoin",Transactions!$A$3:$A101,R$65,Transactions!$D$3:$D101,$N69)
-SUMIFS(Transactions!$I$3:$I101,Transactions!$H$3:$H101,"Transfer Send",Transactions!$F$3:$F101,"Stablecoin",Transactions!$A$3:$A101,R$65,Transactions!$D$3:$D101,$N69)
-SUMIFS(Transactions!$I$3:$I101,Transactions!$H$3:$H101,"Sell",Transactions!$F$3:$F101,"Stablecoin",Transactions!$A$3:$A101,R$65,Transactions!$D$3:$D101,$N69)
-SUMIFS(Transactions!$M$3:$M101,Transactions!$H$3:$H101,"Buy",Transactions!$A$3:$A101,R$65,Transactions!$B$3:$B101,$N69))</f>
        <v/>
      </c>
      <c r="S69" s="158" t="str">
        <f>IF(OR(ISBLANK($N69),ISBLANK(S$65)),"",
SUMIFS(Transactions!$I$3:$I101,Transactions!$H$3:$H101,"Buy",Transactions!$F$3:$F101,"Crypto",Transactions!$A$3:$A101,S$65,Transactions!$D$3:$D101,$N69)
+SUMIFS(Transactions!$I$3:$I101,Transactions!$H$3:$H101,"Crypto Interest",Transactions!$F$3:$F101,"Crypto",Transactions!$A$3:$A101,S$65,Transactions!$D$3:$D101,$N69)
+SUMIFS(Transactions!$I$3:$I101,Transactions!$H$3:$H101,"Transfer Deposit",Transactions!$F$3:$F101,"Crypto",Transactions!$A$3:$A101,S$65,Transactions!$D$3:$D101,$N69)
-SUMIFS(Transactions!$I$3:$I101,Transactions!$H$3:$H101,"Transfer Send",Transactions!$F$3:$F101,"Crypto",Transactions!$A$3:$A101,S$65,Transactions!$D$3:$D101,$N69)
-SUMIFS(Transactions!$I$3:$I101,Transactions!$H$3:$H101,"Sell",Transactions!$F$3:$F101,"Crypto",Transactions!$A$3:$A101,S$65,Transactions!$D$3:$D101,$N69)
+SUMIFS(Transactions!$I$3:$I101,Transactions!$H$3:$H101,"Buy",Transactions!$F$3:$F101,"Stablecoin",Transactions!$A$3:$A101,S$65,Transactions!$D$3:$D101,$N69)
+SUMIFS(Transactions!$I$3:$I101,Transactions!$H$3:$H101,"Crypto Interest",Transactions!$F$3:$F101,"Stablecoin",Transactions!$A$3:$A101,S$65,Transactions!$D$3:$D101,$N69)
+SUMIFS(Transactions!$I$3:$I101,Transactions!$H$3:$H101,"Transfer Deposit",Transactions!$F$3:$F101,"Stablecoin",Transactions!$A$3:$A101,S$65,Transactions!$D$3:$D101,$N69)
-SUMIFS(Transactions!$I$3:$I101,Transactions!$H$3:$H101,"Transfer Send",Transactions!$F$3:$F101,"Stablecoin",Transactions!$A$3:$A101,S$65,Transactions!$D$3:$D101,$N69)
-SUMIFS(Transactions!$I$3:$I101,Transactions!$H$3:$H101,"Sell",Transactions!$F$3:$F101,"Stablecoin",Transactions!$A$3:$A101,S$65,Transactions!$D$3:$D101,$N69)
-SUMIFS(Transactions!$M$3:$M101,Transactions!$H$3:$H101,"Buy",Transactions!$A$3:$A101,S$65,Transactions!$B$3:$B101,$N69))</f>
        <v/>
      </c>
      <c r="T69" s="158" t="str">
        <f>IF(OR(ISBLANK($N69),ISBLANK(T$65)),"",
SUMIFS(Transactions!$I$3:$I101,Transactions!$H$3:$H101,"Buy",Transactions!$F$3:$F101,"Crypto",Transactions!$A$3:$A101,T$65,Transactions!$D$3:$D101,$N69)
+SUMIFS(Transactions!$I$3:$I101,Transactions!$H$3:$H101,"Crypto Interest",Transactions!$F$3:$F101,"Crypto",Transactions!$A$3:$A101,T$65,Transactions!$D$3:$D101,$N69)
+SUMIFS(Transactions!$I$3:$I101,Transactions!$H$3:$H101,"Transfer Deposit",Transactions!$F$3:$F101,"Crypto",Transactions!$A$3:$A101,T$65,Transactions!$D$3:$D101,$N69)
-SUMIFS(Transactions!$I$3:$I101,Transactions!$H$3:$H101,"Transfer Send",Transactions!$F$3:$F101,"Crypto",Transactions!$A$3:$A101,T$65,Transactions!$D$3:$D101,$N69)
-SUMIFS(Transactions!$I$3:$I101,Transactions!$H$3:$H101,"Sell",Transactions!$F$3:$F101,"Crypto",Transactions!$A$3:$A101,T$65,Transactions!$D$3:$D101,$N69)
+SUMIFS(Transactions!$I$3:$I101,Transactions!$H$3:$H101,"Buy",Transactions!$F$3:$F101,"Stablecoin",Transactions!$A$3:$A101,T$65,Transactions!$D$3:$D101,$N69)
+SUMIFS(Transactions!$I$3:$I101,Transactions!$H$3:$H101,"Crypto Interest",Transactions!$F$3:$F101,"Stablecoin",Transactions!$A$3:$A101,T$65,Transactions!$D$3:$D101,$N69)
+SUMIFS(Transactions!$I$3:$I101,Transactions!$H$3:$H101,"Transfer Deposit",Transactions!$F$3:$F101,"Stablecoin",Transactions!$A$3:$A101,T$65,Transactions!$D$3:$D101,$N69)
-SUMIFS(Transactions!$I$3:$I101,Transactions!$H$3:$H101,"Transfer Send",Transactions!$F$3:$F101,"Stablecoin",Transactions!$A$3:$A101,T$65,Transactions!$D$3:$D101,$N69)
-SUMIFS(Transactions!$I$3:$I101,Transactions!$H$3:$H101,"Sell",Transactions!$F$3:$F101,"Stablecoin",Transactions!$A$3:$A101,T$65,Transactions!$D$3:$D101,$N69)
-SUMIFS(Transactions!$M$3:$M101,Transactions!$H$3:$H101,"Buy",Transactions!$A$3:$A101,T$65,Transactions!$B$3:$B101,$N69))</f>
        <v/>
      </c>
      <c r="U69" s="158" t="str">
        <f>IF(OR(ISBLANK($N69),ISBLANK(U$65)),"",
SUMIFS(Transactions!$I$3:$I101,Transactions!$H$3:$H101,"Buy",Transactions!$F$3:$F101,"Crypto",Transactions!$A$3:$A101,U$65,Transactions!$D$3:$D101,$N69)
+SUMIFS(Transactions!$I$3:$I101,Transactions!$H$3:$H101,"Crypto Interest",Transactions!$F$3:$F101,"Crypto",Transactions!$A$3:$A101,U$65,Transactions!$D$3:$D101,$N69)
+SUMIFS(Transactions!$I$3:$I101,Transactions!$H$3:$H101,"Transfer Deposit",Transactions!$F$3:$F101,"Crypto",Transactions!$A$3:$A101,U$65,Transactions!$D$3:$D101,$N69)
-SUMIFS(Transactions!$I$3:$I101,Transactions!$H$3:$H101,"Transfer Send",Transactions!$F$3:$F101,"Crypto",Transactions!$A$3:$A101,U$65,Transactions!$D$3:$D101,$N69)
-SUMIFS(Transactions!$I$3:$I101,Transactions!$H$3:$H101,"Sell",Transactions!$F$3:$F101,"Crypto",Transactions!$A$3:$A101,U$65,Transactions!$D$3:$D101,$N69)
+SUMIFS(Transactions!$I$3:$I101,Transactions!$H$3:$H101,"Buy",Transactions!$F$3:$F101,"Stablecoin",Transactions!$A$3:$A101,U$65,Transactions!$D$3:$D101,$N69)
+SUMIFS(Transactions!$I$3:$I101,Transactions!$H$3:$H101,"Crypto Interest",Transactions!$F$3:$F101,"Stablecoin",Transactions!$A$3:$A101,U$65,Transactions!$D$3:$D101,$N69)
+SUMIFS(Transactions!$I$3:$I101,Transactions!$H$3:$H101,"Transfer Deposit",Transactions!$F$3:$F101,"Stablecoin",Transactions!$A$3:$A101,U$65,Transactions!$D$3:$D101,$N69)
-SUMIFS(Transactions!$I$3:$I101,Transactions!$H$3:$H101,"Transfer Send",Transactions!$F$3:$F101,"Stablecoin",Transactions!$A$3:$A101,U$65,Transactions!$D$3:$D101,$N69)
-SUMIFS(Transactions!$I$3:$I101,Transactions!$H$3:$H101,"Sell",Transactions!$F$3:$F101,"Stablecoin",Transactions!$A$3:$A101,U$65,Transactions!$D$3:$D101,$N69)
-SUMIFS(Transactions!$M$3:$M101,Transactions!$H$3:$H101,"Buy",Transactions!$A$3:$A101,U$65,Transactions!$B$3:$B101,$N69))</f>
        <v/>
      </c>
      <c r="V69" s="158"/>
      <c r="W69" s="95"/>
      <c r="X69" s="96"/>
      <c r="Y69" s="96" t="str">
        <f>IFERROR(__xludf.DUMMYFUNCTION("IF(ISBLANK(W69),"""",QUERY(GOOGLEFINANCE($N$21,""Close"",W69-5,6),""select Col2 where Col1 &lt; date '""&amp;TEXT(W69+1, ""YYYY-MM-DD"")&amp;""' order by Col1 desc limit 1"",False)
)"),"")</f>
        <v/>
      </c>
      <c r="Z69" s="158"/>
    </row>
    <row r="70">
      <c r="A70" s="14"/>
      <c r="B70" s="149"/>
      <c r="C70" s="156" t="str">
        <f>IF(ISBLANK(B70),"",SUMIF(Portfolio!$A:$A,B70,Portfolio!$C:$C))</f>
        <v/>
      </c>
      <c r="D70" s="145" t="str">
        <f>IF(ISBLANK(B70),"",AVERAGEIF(Portfolio!$A:$A,B70,Portfolio!$D:$D))</f>
        <v/>
      </c>
      <c r="F70" s="145" t="str">
        <f>IF(ISBLANK(B70),"",VLOOKUP(B70,Portfolio!$A:$E,5,0))</f>
        <v/>
      </c>
      <c r="G70" s="145" t="str">
        <f>IF(ISBLANK(B70),"",IFERROR(((C70-SUMIFS(Transactions!I:I,Transactions!H:H,"Crypto Interest",Transactions!E:E,B70))*D70),""))</f>
        <v/>
      </c>
      <c r="H70" s="145" t="str">
        <f t="shared" si="11"/>
        <v/>
      </c>
      <c r="I70" s="50" t="str">
        <f t="shared" si="12"/>
        <v/>
      </c>
      <c r="J70" s="145" t="str">
        <f t="shared" si="13"/>
        <v/>
      </c>
      <c r="K70" s="145" t="str">
        <f>IF(ISBLANK(B70),"",SUMIF(Portfolio!$A:$A,B70,Portfolio!$Q:$Q))</f>
        <v/>
      </c>
      <c r="L70" s="145" t="str">
        <f t="shared" si="14"/>
        <v/>
      </c>
      <c r="M70" s="14"/>
      <c r="N70" s="157"/>
      <c r="O70" s="158" t="str">
        <f>IF(OR(ISBLANK($N70),ISBLANK(O$65)),"",
SUMIFS(Transactions!$I$3:$I101,Transactions!$H$3:$H101,"Buy",Transactions!$F$3:$F101,"Crypto",Transactions!$A$3:$A101,O$65,Transactions!$D$3:$D101,$N70)
+SUMIFS(Transactions!$I$3:$I101,Transactions!$H$3:$H101,"Crypto Interest",Transactions!$F$3:$F101,"Crypto",Transactions!$A$3:$A101,O$65,Transactions!$D$3:$D101,$N70)
+SUMIFS(Transactions!$I$3:$I101,Transactions!$H$3:$H101,"Transfer Deposit",Transactions!$F$3:$F101,"Crypto",Transactions!$A$3:$A101,O$65,Transactions!$D$3:$D101,$N70)
-SUMIFS(Transactions!$I$3:$I101,Transactions!$H$3:$H101,"Transfer Send",Transactions!$F$3:$F101,"Crypto",Transactions!$A$3:$A101,O$65,Transactions!$D$3:$D101,$N70)
-SUMIFS(Transactions!$I$3:$I101,Transactions!$H$3:$H101,"Sell",Transactions!$F$3:$F101,"Crypto",Transactions!$A$3:$A101,O$65,Transactions!$D$3:$D101,$N70)
+SUMIFS(Transactions!$I$3:$I101,Transactions!$H$3:$H101,"Buy",Transactions!$F$3:$F101,"Stablecoin",Transactions!$A$3:$A101,O$65,Transactions!$D$3:$D101,$N70)
+SUMIFS(Transactions!$I$3:$I101,Transactions!$H$3:$H101,"Crypto Interest",Transactions!$F$3:$F101,"Stablecoin",Transactions!$A$3:$A101,O$65,Transactions!$D$3:$D101,$N70)
+SUMIFS(Transactions!$I$3:$I101,Transactions!$H$3:$H101,"Transfer Deposit",Transactions!$F$3:$F101,"Stablecoin",Transactions!$A$3:$A101,O$65,Transactions!$D$3:$D101,$N70)
-SUMIFS(Transactions!$I$3:$I101,Transactions!$H$3:$H101,"Transfer Send",Transactions!$F$3:$F101,"Stablecoin",Transactions!$A$3:$A101,O$65,Transactions!$D$3:$D101,$N70)
-SUMIFS(Transactions!$I$3:$I101,Transactions!$H$3:$H101,"Sell",Transactions!$F$3:$F101,"Stablecoin",Transactions!$A$3:$A101,O$65,Transactions!$D$3:$D101,$N70)
-SUMIFS(Transactions!$M$3:$M101,Transactions!$H$3:$H101,"Buy",Transactions!$A$3:$A101,O$65,Transactions!$B$3:$B101,$N70))</f>
        <v/>
      </c>
      <c r="P70" s="158" t="str">
        <f>IF(OR(ISBLANK($N70),ISBLANK(P$65)),"",
SUMIFS(Transactions!$I$3:$I101,Transactions!$H$3:$H101,"Buy",Transactions!$F$3:$F101,"Crypto",Transactions!$A$3:$A101,P$65,Transactions!$D$3:$D101,$N70)
+SUMIFS(Transactions!$I$3:$I101,Transactions!$H$3:$H101,"Crypto Interest",Transactions!$F$3:$F101,"Crypto",Transactions!$A$3:$A101,P$65,Transactions!$D$3:$D101,$N70)
+SUMIFS(Transactions!$I$3:$I101,Transactions!$H$3:$H101,"Transfer Deposit",Transactions!$F$3:$F101,"Crypto",Transactions!$A$3:$A101,P$65,Transactions!$D$3:$D101,$N70)
-SUMIFS(Transactions!$I$3:$I101,Transactions!$H$3:$H101,"Transfer Send",Transactions!$F$3:$F101,"Crypto",Transactions!$A$3:$A101,P$65,Transactions!$D$3:$D101,$N70)
-SUMIFS(Transactions!$I$3:$I101,Transactions!$H$3:$H101,"Sell",Transactions!$F$3:$F101,"Crypto",Transactions!$A$3:$A101,P$65,Transactions!$D$3:$D101,$N70)
+SUMIFS(Transactions!$I$3:$I101,Transactions!$H$3:$H101,"Buy",Transactions!$F$3:$F101,"Stablecoin",Transactions!$A$3:$A101,P$65,Transactions!$D$3:$D101,$N70)
+SUMIFS(Transactions!$I$3:$I101,Transactions!$H$3:$H101,"Crypto Interest",Transactions!$F$3:$F101,"Stablecoin",Transactions!$A$3:$A101,P$65,Transactions!$D$3:$D101,$N70)
+SUMIFS(Transactions!$I$3:$I101,Transactions!$H$3:$H101,"Transfer Deposit",Transactions!$F$3:$F101,"Stablecoin",Transactions!$A$3:$A101,P$65,Transactions!$D$3:$D101,$N70)
-SUMIFS(Transactions!$I$3:$I101,Transactions!$H$3:$H101,"Transfer Send",Transactions!$F$3:$F101,"Stablecoin",Transactions!$A$3:$A101,P$65,Transactions!$D$3:$D101,$N70)
-SUMIFS(Transactions!$I$3:$I101,Transactions!$H$3:$H101,"Sell",Transactions!$F$3:$F101,"Stablecoin",Transactions!$A$3:$A101,P$65,Transactions!$D$3:$D101,$N70)
-SUMIFS(Transactions!$M$3:$M101,Transactions!$H$3:$H101,"Buy",Transactions!$A$3:$A101,P$65,Transactions!$B$3:$B101,$N70))</f>
        <v/>
      </c>
      <c r="Q70" s="158" t="str">
        <f>IF(OR(ISBLANK($N70),ISBLANK(Q$65)),"",
SUMIFS(Transactions!$I$3:$I101,Transactions!$H$3:$H101,"Buy",Transactions!$F$3:$F101,"Crypto",Transactions!$A$3:$A101,Q$65,Transactions!$D$3:$D101,$N70)
+SUMIFS(Transactions!$I$3:$I101,Transactions!$H$3:$H101,"Crypto Interest",Transactions!$F$3:$F101,"Crypto",Transactions!$A$3:$A101,Q$65,Transactions!$D$3:$D101,$N70)
+SUMIFS(Transactions!$I$3:$I101,Transactions!$H$3:$H101,"Transfer Deposit",Transactions!$F$3:$F101,"Crypto",Transactions!$A$3:$A101,Q$65,Transactions!$D$3:$D101,$N70)
-SUMIFS(Transactions!$I$3:$I101,Transactions!$H$3:$H101,"Transfer Send",Transactions!$F$3:$F101,"Crypto",Transactions!$A$3:$A101,Q$65,Transactions!$D$3:$D101,$N70)
-SUMIFS(Transactions!$I$3:$I101,Transactions!$H$3:$H101,"Sell",Transactions!$F$3:$F101,"Crypto",Transactions!$A$3:$A101,Q$65,Transactions!$D$3:$D101,$N70)
+SUMIFS(Transactions!$I$3:$I101,Transactions!$H$3:$H101,"Buy",Transactions!$F$3:$F101,"Stablecoin",Transactions!$A$3:$A101,Q$65,Transactions!$D$3:$D101,$N70)
+SUMIFS(Transactions!$I$3:$I101,Transactions!$H$3:$H101,"Crypto Interest",Transactions!$F$3:$F101,"Stablecoin",Transactions!$A$3:$A101,Q$65,Transactions!$D$3:$D101,$N70)
+SUMIFS(Transactions!$I$3:$I101,Transactions!$H$3:$H101,"Transfer Deposit",Transactions!$F$3:$F101,"Stablecoin",Transactions!$A$3:$A101,Q$65,Transactions!$D$3:$D101,$N70)
-SUMIFS(Transactions!$I$3:$I101,Transactions!$H$3:$H101,"Transfer Send",Transactions!$F$3:$F101,"Stablecoin",Transactions!$A$3:$A101,Q$65,Transactions!$D$3:$D101,$N70)
-SUMIFS(Transactions!$I$3:$I101,Transactions!$H$3:$H101,"Sell",Transactions!$F$3:$F101,"Stablecoin",Transactions!$A$3:$A101,Q$65,Transactions!$D$3:$D101,$N70)
-SUMIFS(Transactions!$M$3:$M101,Transactions!$H$3:$H101,"Buy",Transactions!$A$3:$A101,Q$65,Transactions!$B$3:$B101,$N70))</f>
        <v/>
      </c>
      <c r="R70" s="158" t="str">
        <f>IF(OR(ISBLANK($N70),ISBLANK(R$65)),"",
SUMIFS(Transactions!$I$3:$I101,Transactions!$H$3:$H101,"Buy",Transactions!$F$3:$F101,"Crypto",Transactions!$A$3:$A101,R$65,Transactions!$D$3:$D101,$N70)
+SUMIFS(Transactions!$I$3:$I101,Transactions!$H$3:$H101,"Crypto Interest",Transactions!$F$3:$F101,"Crypto",Transactions!$A$3:$A101,R$65,Transactions!$D$3:$D101,$N70)
+SUMIFS(Transactions!$I$3:$I101,Transactions!$H$3:$H101,"Transfer Deposit",Transactions!$F$3:$F101,"Crypto",Transactions!$A$3:$A101,R$65,Transactions!$D$3:$D101,$N70)
-SUMIFS(Transactions!$I$3:$I101,Transactions!$H$3:$H101,"Transfer Send",Transactions!$F$3:$F101,"Crypto",Transactions!$A$3:$A101,R$65,Transactions!$D$3:$D101,$N70)
-SUMIFS(Transactions!$I$3:$I101,Transactions!$H$3:$H101,"Sell",Transactions!$F$3:$F101,"Crypto",Transactions!$A$3:$A101,R$65,Transactions!$D$3:$D101,$N70)
+SUMIFS(Transactions!$I$3:$I101,Transactions!$H$3:$H101,"Buy",Transactions!$F$3:$F101,"Stablecoin",Transactions!$A$3:$A101,R$65,Transactions!$D$3:$D101,$N70)
+SUMIFS(Transactions!$I$3:$I101,Transactions!$H$3:$H101,"Crypto Interest",Transactions!$F$3:$F101,"Stablecoin",Transactions!$A$3:$A101,R$65,Transactions!$D$3:$D101,$N70)
+SUMIFS(Transactions!$I$3:$I101,Transactions!$H$3:$H101,"Transfer Deposit",Transactions!$F$3:$F101,"Stablecoin",Transactions!$A$3:$A101,R$65,Transactions!$D$3:$D101,$N70)
-SUMIFS(Transactions!$I$3:$I101,Transactions!$H$3:$H101,"Transfer Send",Transactions!$F$3:$F101,"Stablecoin",Transactions!$A$3:$A101,R$65,Transactions!$D$3:$D101,$N70)
-SUMIFS(Transactions!$I$3:$I101,Transactions!$H$3:$H101,"Sell",Transactions!$F$3:$F101,"Stablecoin",Transactions!$A$3:$A101,R$65,Transactions!$D$3:$D101,$N70)
-SUMIFS(Transactions!$M$3:$M101,Transactions!$H$3:$H101,"Buy",Transactions!$A$3:$A101,R$65,Transactions!$B$3:$B101,$N70))</f>
        <v/>
      </c>
      <c r="S70" s="158" t="str">
        <f>IF(OR(ISBLANK($N70),ISBLANK(S$65)),"",
SUMIFS(Transactions!$I$3:$I101,Transactions!$H$3:$H101,"Buy",Transactions!$F$3:$F101,"Crypto",Transactions!$A$3:$A101,S$65,Transactions!$D$3:$D101,$N70)
+SUMIFS(Transactions!$I$3:$I101,Transactions!$H$3:$H101,"Crypto Interest",Transactions!$F$3:$F101,"Crypto",Transactions!$A$3:$A101,S$65,Transactions!$D$3:$D101,$N70)
+SUMIFS(Transactions!$I$3:$I101,Transactions!$H$3:$H101,"Transfer Deposit",Transactions!$F$3:$F101,"Crypto",Transactions!$A$3:$A101,S$65,Transactions!$D$3:$D101,$N70)
-SUMIFS(Transactions!$I$3:$I101,Transactions!$H$3:$H101,"Transfer Send",Transactions!$F$3:$F101,"Crypto",Transactions!$A$3:$A101,S$65,Transactions!$D$3:$D101,$N70)
-SUMIFS(Transactions!$I$3:$I101,Transactions!$H$3:$H101,"Sell",Transactions!$F$3:$F101,"Crypto",Transactions!$A$3:$A101,S$65,Transactions!$D$3:$D101,$N70)
+SUMIFS(Transactions!$I$3:$I101,Transactions!$H$3:$H101,"Buy",Transactions!$F$3:$F101,"Stablecoin",Transactions!$A$3:$A101,S$65,Transactions!$D$3:$D101,$N70)
+SUMIFS(Transactions!$I$3:$I101,Transactions!$H$3:$H101,"Crypto Interest",Transactions!$F$3:$F101,"Stablecoin",Transactions!$A$3:$A101,S$65,Transactions!$D$3:$D101,$N70)
+SUMIFS(Transactions!$I$3:$I101,Transactions!$H$3:$H101,"Transfer Deposit",Transactions!$F$3:$F101,"Stablecoin",Transactions!$A$3:$A101,S$65,Transactions!$D$3:$D101,$N70)
-SUMIFS(Transactions!$I$3:$I101,Transactions!$H$3:$H101,"Transfer Send",Transactions!$F$3:$F101,"Stablecoin",Transactions!$A$3:$A101,S$65,Transactions!$D$3:$D101,$N70)
-SUMIFS(Transactions!$I$3:$I101,Transactions!$H$3:$H101,"Sell",Transactions!$F$3:$F101,"Stablecoin",Transactions!$A$3:$A101,S$65,Transactions!$D$3:$D101,$N70)
-SUMIFS(Transactions!$M$3:$M101,Transactions!$H$3:$H101,"Buy",Transactions!$A$3:$A101,S$65,Transactions!$B$3:$B101,$N70))</f>
        <v/>
      </c>
      <c r="T70" s="158" t="str">
        <f>IF(OR(ISBLANK($N70),ISBLANK(T$65)),"",
SUMIFS(Transactions!$I$3:$I101,Transactions!$H$3:$H101,"Buy",Transactions!$F$3:$F101,"Crypto",Transactions!$A$3:$A101,T$65,Transactions!$D$3:$D101,$N70)
+SUMIFS(Transactions!$I$3:$I101,Transactions!$H$3:$H101,"Crypto Interest",Transactions!$F$3:$F101,"Crypto",Transactions!$A$3:$A101,T$65,Transactions!$D$3:$D101,$N70)
+SUMIFS(Transactions!$I$3:$I101,Transactions!$H$3:$H101,"Transfer Deposit",Transactions!$F$3:$F101,"Crypto",Transactions!$A$3:$A101,T$65,Transactions!$D$3:$D101,$N70)
-SUMIFS(Transactions!$I$3:$I101,Transactions!$H$3:$H101,"Transfer Send",Transactions!$F$3:$F101,"Crypto",Transactions!$A$3:$A101,T$65,Transactions!$D$3:$D101,$N70)
-SUMIFS(Transactions!$I$3:$I101,Transactions!$H$3:$H101,"Sell",Transactions!$F$3:$F101,"Crypto",Transactions!$A$3:$A101,T$65,Transactions!$D$3:$D101,$N70)
+SUMIFS(Transactions!$I$3:$I101,Transactions!$H$3:$H101,"Buy",Transactions!$F$3:$F101,"Stablecoin",Transactions!$A$3:$A101,T$65,Transactions!$D$3:$D101,$N70)
+SUMIFS(Transactions!$I$3:$I101,Transactions!$H$3:$H101,"Crypto Interest",Transactions!$F$3:$F101,"Stablecoin",Transactions!$A$3:$A101,T$65,Transactions!$D$3:$D101,$N70)
+SUMIFS(Transactions!$I$3:$I101,Transactions!$H$3:$H101,"Transfer Deposit",Transactions!$F$3:$F101,"Stablecoin",Transactions!$A$3:$A101,T$65,Transactions!$D$3:$D101,$N70)
-SUMIFS(Transactions!$I$3:$I101,Transactions!$H$3:$H101,"Transfer Send",Transactions!$F$3:$F101,"Stablecoin",Transactions!$A$3:$A101,T$65,Transactions!$D$3:$D101,$N70)
-SUMIFS(Transactions!$I$3:$I101,Transactions!$H$3:$H101,"Sell",Transactions!$F$3:$F101,"Stablecoin",Transactions!$A$3:$A101,T$65,Transactions!$D$3:$D101,$N70)
-SUMIFS(Transactions!$M$3:$M101,Transactions!$H$3:$H101,"Buy",Transactions!$A$3:$A101,T$65,Transactions!$B$3:$B101,$N70))</f>
        <v/>
      </c>
      <c r="U70" s="158" t="str">
        <f>IF(OR(ISBLANK($N70),ISBLANK(U$65)),"",
SUMIFS(Transactions!$I$3:$I101,Transactions!$H$3:$H101,"Buy",Transactions!$F$3:$F101,"Crypto",Transactions!$A$3:$A101,U$65,Transactions!$D$3:$D101,$N70)
+SUMIFS(Transactions!$I$3:$I101,Transactions!$H$3:$H101,"Crypto Interest",Transactions!$F$3:$F101,"Crypto",Transactions!$A$3:$A101,U$65,Transactions!$D$3:$D101,$N70)
+SUMIFS(Transactions!$I$3:$I101,Transactions!$H$3:$H101,"Transfer Deposit",Transactions!$F$3:$F101,"Crypto",Transactions!$A$3:$A101,U$65,Transactions!$D$3:$D101,$N70)
-SUMIFS(Transactions!$I$3:$I101,Transactions!$H$3:$H101,"Transfer Send",Transactions!$F$3:$F101,"Crypto",Transactions!$A$3:$A101,U$65,Transactions!$D$3:$D101,$N70)
-SUMIFS(Transactions!$I$3:$I101,Transactions!$H$3:$H101,"Sell",Transactions!$F$3:$F101,"Crypto",Transactions!$A$3:$A101,U$65,Transactions!$D$3:$D101,$N70)
+SUMIFS(Transactions!$I$3:$I101,Transactions!$H$3:$H101,"Buy",Transactions!$F$3:$F101,"Stablecoin",Transactions!$A$3:$A101,U$65,Transactions!$D$3:$D101,$N70)
+SUMIFS(Transactions!$I$3:$I101,Transactions!$H$3:$H101,"Crypto Interest",Transactions!$F$3:$F101,"Stablecoin",Transactions!$A$3:$A101,U$65,Transactions!$D$3:$D101,$N70)
+SUMIFS(Transactions!$I$3:$I101,Transactions!$H$3:$H101,"Transfer Deposit",Transactions!$F$3:$F101,"Stablecoin",Transactions!$A$3:$A101,U$65,Transactions!$D$3:$D101,$N70)
-SUMIFS(Transactions!$I$3:$I101,Transactions!$H$3:$H101,"Transfer Send",Transactions!$F$3:$F101,"Stablecoin",Transactions!$A$3:$A101,U$65,Transactions!$D$3:$D101,$N70)
-SUMIFS(Transactions!$I$3:$I101,Transactions!$H$3:$H101,"Sell",Transactions!$F$3:$F101,"Stablecoin",Transactions!$A$3:$A101,U$65,Transactions!$D$3:$D101,$N70)
-SUMIFS(Transactions!$M$3:$M101,Transactions!$H$3:$H101,"Buy",Transactions!$A$3:$A101,U$65,Transactions!$B$3:$B101,$N70))</f>
        <v/>
      </c>
      <c r="V70" s="158"/>
      <c r="W70" s="95"/>
      <c r="X70" s="96"/>
      <c r="Y70" s="96" t="str">
        <f>IFERROR(__xludf.DUMMYFUNCTION("IF(ISBLANK(W70),"""",QUERY(GOOGLEFINANCE($N$21,""Close"",W70-5,6),""select Col2 where Col1 &lt; date '""&amp;TEXT(W70+1, ""YYYY-MM-DD"")&amp;""' order by Col1 desc limit 1"",False)
)"),"")</f>
        <v/>
      </c>
      <c r="Z70" s="158"/>
    </row>
    <row r="71">
      <c r="A71" s="14"/>
      <c r="B71" s="149"/>
      <c r="C71" s="156" t="str">
        <f>IF(ISBLANK(B71),"",SUMIF(Portfolio!$A:$A,B71,Portfolio!$C:$C))</f>
        <v/>
      </c>
      <c r="D71" s="145" t="str">
        <f>IF(ISBLANK(B71),"",AVERAGEIF(Portfolio!$A:$A,B71,Portfolio!$D:$D))</f>
        <v/>
      </c>
      <c r="F71" s="145" t="str">
        <f>IF(ISBLANK(B71),"",VLOOKUP(B71,Portfolio!$A:$E,5,0))</f>
        <v/>
      </c>
      <c r="G71" s="145" t="str">
        <f>IF(ISBLANK(B71),"",IFERROR(((C71-SUMIFS(Transactions!I:I,Transactions!H:H,"Crypto Interest",Transactions!E:E,B71))*D71),""))</f>
        <v/>
      </c>
      <c r="H71" s="145" t="str">
        <f t="shared" si="11"/>
        <v/>
      </c>
      <c r="I71" s="50" t="str">
        <f t="shared" si="12"/>
        <v/>
      </c>
      <c r="J71" s="145" t="str">
        <f t="shared" si="13"/>
        <v/>
      </c>
      <c r="K71" s="145" t="str">
        <f>IF(ISBLANK(B71),"",SUMIF(Portfolio!$A:$A,B71,Portfolio!$Q:$Q))</f>
        <v/>
      </c>
      <c r="L71" s="145" t="str">
        <f t="shared" si="14"/>
        <v/>
      </c>
      <c r="M71" s="14"/>
      <c r="N71" s="157"/>
      <c r="O71" s="158" t="str">
        <f>IF(OR(ISBLANK($N71),ISBLANK(O$65)),"",
SUMIFS(Transactions!$I$3:$I101,Transactions!$H$3:$H101,"Buy",Transactions!$F$3:$F101,"Crypto",Transactions!$A$3:$A101,O$65,Transactions!$D$3:$D101,$N71)
+SUMIFS(Transactions!$I$3:$I101,Transactions!$H$3:$H101,"Crypto Interest",Transactions!$F$3:$F101,"Crypto",Transactions!$A$3:$A101,O$65,Transactions!$D$3:$D101,$N71)
+SUMIFS(Transactions!$I$3:$I101,Transactions!$H$3:$H101,"Transfer Deposit",Transactions!$F$3:$F101,"Crypto",Transactions!$A$3:$A101,O$65,Transactions!$D$3:$D101,$N71)
-SUMIFS(Transactions!$I$3:$I101,Transactions!$H$3:$H101,"Transfer Send",Transactions!$F$3:$F101,"Crypto",Transactions!$A$3:$A101,O$65,Transactions!$D$3:$D101,$N71)
-SUMIFS(Transactions!$I$3:$I101,Transactions!$H$3:$H101,"Sell",Transactions!$F$3:$F101,"Crypto",Transactions!$A$3:$A101,O$65,Transactions!$D$3:$D101,$N71)
+SUMIFS(Transactions!$I$3:$I101,Transactions!$H$3:$H101,"Buy",Transactions!$F$3:$F101,"Stablecoin",Transactions!$A$3:$A101,O$65,Transactions!$D$3:$D101,$N71)
+SUMIFS(Transactions!$I$3:$I101,Transactions!$H$3:$H101,"Crypto Interest",Transactions!$F$3:$F101,"Stablecoin",Transactions!$A$3:$A101,O$65,Transactions!$D$3:$D101,$N71)
+SUMIFS(Transactions!$I$3:$I101,Transactions!$H$3:$H101,"Transfer Deposit",Transactions!$F$3:$F101,"Stablecoin",Transactions!$A$3:$A101,O$65,Transactions!$D$3:$D101,$N71)
-SUMIFS(Transactions!$I$3:$I101,Transactions!$H$3:$H101,"Transfer Send",Transactions!$F$3:$F101,"Stablecoin",Transactions!$A$3:$A101,O$65,Transactions!$D$3:$D101,$N71)
-SUMIFS(Transactions!$I$3:$I101,Transactions!$H$3:$H101,"Sell",Transactions!$F$3:$F101,"Stablecoin",Transactions!$A$3:$A101,O$65,Transactions!$D$3:$D101,$N71)
-SUMIFS(Transactions!$M$3:$M101,Transactions!$H$3:$H101,"Buy",Transactions!$A$3:$A101,O$65,Transactions!$B$3:$B101,$N71))</f>
        <v/>
      </c>
      <c r="P71" s="158" t="str">
        <f>IF(OR(ISBLANK($N71),ISBLANK(P$65)),"",
SUMIFS(Transactions!$I$3:$I101,Transactions!$H$3:$H101,"Buy",Transactions!$F$3:$F101,"Crypto",Transactions!$A$3:$A101,P$65,Transactions!$D$3:$D101,$N71)
+SUMIFS(Transactions!$I$3:$I101,Transactions!$H$3:$H101,"Crypto Interest",Transactions!$F$3:$F101,"Crypto",Transactions!$A$3:$A101,P$65,Transactions!$D$3:$D101,$N71)
+SUMIFS(Transactions!$I$3:$I101,Transactions!$H$3:$H101,"Transfer Deposit",Transactions!$F$3:$F101,"Crypto",Transactions!$A$3:$A101,P$65,Transactions!$D$3:$D101,$N71)
-SUMIFS(Transactions!$I$3:$I101,Transactions!$H$3:$H101,"Transfer Send",Transactions!$F$3:$F101,"Crypto",Transactions!$A$3:$A101,P$65,Transactions!$D$3:$D101,$N71)
-SUMIFS(Transactions!$I$3:$I101,Transactions!$H$3:$H101,"Sell",Transactions!$F$3:$F101,"Crypto",Transactions!$A$3:$A101,P$65,Transactions!$D$3:$D101,$N71)
+SUMIFS(Transactions!$I$3:$I101,Transactions!$H$3:$H101,"Buy",Transactions!$F$3:$F101,"Stablecoin",Transactions!$A$3:$A101,P$65,Transactions!$D$3:$D101,$N71)
+SUMIFS(Transactions!$I$3:$I101,Transactions!$H$3:$H101,"Crypto Interest",Transactions!$F$3:$F101,"Stablecoin",Transactions!$A$3:$A101,P$65,Transactions!$D$3:$D101,$N71)
+SUMIFS(Transactions!$I$3:$I101,Transactions!$H$3:$H101,"Transfer Deposit",Transactions!$F$3:$F101,"Stablecoin",Transactions!$A$3:$A101,P$65,Transactions!$D$3:$D101,$N71)
-SUMIFS(Transactions!$I$3:$I101,Transactions!$H$3:$H101,"Transfer Send",Transactions!$F$3:$F101,"Stablecoin",Transactions!$A$3:$A101,P$65,Transactions!$D$3:$D101,$N71)
-SUMIFS(Transactions!$I$3:$I101,Transactions!$H$3:$H101,"Sell",Transactions!$F$3:$F101,"Stablecoin",Transactions!$A$3:$A101,P$65,Transactions!$D$3:$D101,$N71)
-SUMIFS(Transactions!$M$3:$M101,Transactions!$H$3:$H101,"Buy",Transactions!$A$3:$A101,P$65,Transactions!$B$3:$B101,$N71))</f>
        <v/>
      </c>
      <c r="Q71" s="158" t="str">
        <f>IF(OR(ISBLANK($N71),ISBLANK(Q$65)),"",
SUMIFS(Transactions!$I$3:$I101,Transactions!$H$3:$H101,"Buy",Transactions!$F$3:$F101,"Crypto",Transactions!$A$3:$A101,Q$65,Transactions!$D$3:$D101,$N71)
+SUMIFS(Transactions!$I$3:$I101,Transactions!$H$3:$H101,"Crypto Interest",Transactions!$F$3:$F101,"Crypto",Transactions!$A$3:$A101,Q$65,Transactions!$D$3:$D101,$N71)
+SUMIFS(Transactions!$I$3:$I101,Transactions!$H$3:$H101,"Transfer Deposit",Transactions!$F$3:$F101,"Crypto",Transactions!$A$3:$A101,Q$65,Transactions!$D$3:$D101,$N71)
-SUMIFS(Transactions!$I$3:$I101,Transactions!$H$3:$H101,"Transfer Send",Transactions!$F$3:$F101,"Crypto",Transactions!$A$3:$A101,Q$65,Transactions!$D$3:$D101,$N71)
-SUMIFS(Transactions!$I$3:$I101,Transactions!$H$3:$H101,"Sell",Transactions!$F$3:$F101,"Crypto",Transactions!$A$3:$A101,Q$65,Transactions!$D$3:$D101,$N71)
+SUMIFS(Transactions!$I$3:$I101,Transactions!$H$3:$H101,"Buy",Transactions!$F$3:$F101,"Stablecoin",Transactions!$A$3:$A101,Q$65,Transactions!$D$3:$D101,$N71)
+SUMIFS(Transactions!$I$3:$I101,Transactions!$H$3:$H101,"Crypto Interest",Transactions!$F$3:$F101,"Stablecoin",Transactions!$A$3:$A101,Q$65,Transactions!$D$3:$D101,$N71)
+SUMIFS(Transactions!$I$3:$I101,Transactions!$H$3:$H101,"Transfer Deposit",Transactions!$F$3:$F101,"Stablecoin",Transactions!$A$3:$A101,Q$65,Transactions!$D$3:$D101,$N71)
-SUMIFS(Transactions!$I$3:$I101,Transactions!$H$3:$H101,"Transfer Send",Transactions!$F$3:$F101,"Stablecoin",Transactions!$A$3:$A101,Q$65,Transactions!$D$3:$D101,$N71)
-SUMIFS(Transactions!$I$3:$I101,Transactions!$H$3:$H101,"Sell",Transactions!$F$3:$F101,"Stablecoin",Transactions!$A$3:$A101,Q$65,Transactions!$D$3:$D101,$N71)
-SUMIFS(Transactions!$M$3:$M101,Transactions!$H$3:$H101,"Buy",Transactions!$A$3:$A101,Q$65,Transactions!$B$3:$B101,$N71))</f>
        <v/>
      </c>
      <c r="R71" s="158" t="str">
        <f>IF(OR(ISBLANK($N71),ISBLANK(R$65)),"",
SUMIFS(Transactions!$I$3:$I101,Transactions!$H$3:$H101,"Buy",Transactions!$F$3:$F101,"Crypto",Transactions!$A$3:$A101,R$65,Transactions!$D$3:$D101,$N71)
+SUMIFS(Transactions!$I$3:$I101,Transactions!$H$3:$H101,"Crypto Interest",Transactions!$F$3:$F101,"Crypto",Transactions!$A$3:$A101,R$65,Transactions!$D$3:$D101,$N71)
+SUMIFS(Transactions!$I$3:$I101,Transactions!$H$3:$H101,"Transfer Deposit",Transactions!$F$3:$F101,"Crypto",Transactions!$A$3:$A101,R$65,Transactions!$D$3:$D101,$N71)
-SUMIFS(Transactions!$I$3:$I101,Transactions!$H$3:$H101,"Transfer Send",Transactions!$F$3:$F101,"Crypto",Transactions!$A$3:$A101,R$65,Transactions!$D$3:$D101,$N71)
-SUMIFS(Transactions!$I$3:$I101,Transactions!$H$3:$H101,"Sell",Transactions!$F$3:$F101,"Crypto",Transactions!$A$3:$A101,R$65,Transactions!$D$3:$D101,$N71)
+SUMIFS(Transactions!$I$3:$I101,Transactions!$H$3:$H101,"Buy",Transactions!$F$3:$F101,"Stablecoin",Transactions!$A$3:$A101,R$65,Transactions!$D$3:$D101,$N71)
+SUMIFS(Transactions!$I$3:$I101,Transactions!$H$3:$H101,"Crypto Interest",Transactions!$F$3:$F101,"Stablecoin",Transactions!$A$3:$A101,R$65,Transactions!$D$3:$D101,$N71)
+SUMIFS(Transactions!$I$3:$I101,Transactions!$H$3:$H101,"Transfer Deposit",Transactions!$F$3:$F101,"Stablecoin",Transactions!$A$3:$A101,R$65,Transactions!$D$3:$D101,$N71)
-SUMIFS(Transactions!$I$3:$I101,Transactions!$H$3:$H101,"Transfer Send",Transactions!$F$3:$F101,"Stablecoin",Transactions!$A$3:$A101,R$65,Transactions!$D$3:$D101,$N71)
-SUMIFS(Transactions!$I$3:$I101,Transactions!$H$3:$H101,"Sell",Transactions!$F$3:$F101,"Stablecoin",Transactions!$A$3:$A101,R$65,Transactions!$D$3:$D101,$N71)
-SUMIFS(Transactions!$M$3:$M101,Transactions!$H$3:$H101,"Buy",Transactions!$A$3:$A101,R$65,Transactions!$B$3:$B101,$N71))</f>
        <v/>
      </c>
      <c r="S71" s="158" t="str">
        <f>IF(OR(ISBLANK($N71),ISBLANK(S$65)),"",
SUMIFS(Transactions!$I$3:$I101,Transactions!$H$3:$H101,"Buy",Transactions!$F$3:$F101,"Crypto",Transactions!$A$3:$A101,S$65,Transactions!$D$3:$D101,$N71)
+SUMIFS(Transactions!$I$3:$I101,Transactions!$H$3:$H101,"Crypto Interest",Transactions!$F$3:$F101,"Crypto",Transactions!$A$3:$A101,S$65,Transactions!$D$3:$D101,$N71)
+SUMIFS(Transactions!$I$3:$I101,Transactions!$H$3:$H101,"Transfer Deposit",Transactions!$F$3:$F101,"Crypto",Transactions!$A$3:$A101,S$65,Transactions!$D$3:$D101,$N71)
-SUMIFS(Transactions!$I$3:$I101,Transactions!$H$3:$H101,"Transfer Send",Transactions!$F$3:$F101,"Crypto",Transactions!$A$3:$A101,S$65,Transactions!$D$3:$D101,$N71)
-SUMIFS(Transactions!$I$3:$I101,Transactions!$H$3:$H101,"Sell",Transactions!$F$3:$F101,"Crypto",Transactions!$A$3:$A101,S$65,Transactions!$D$3:$D101,$N71)
+SUMIFS(Transactions!$I$3:$I101,Transactions!$H$3:$H101,"Buy",Transactions!$F$3:$F101,"Stablecoin",Transactions!$A$3:$A101,S$65,Transactions!$D$3:$D101,$N71)
+SUMIFS(Transactions!$I$3:$I101,Transactions!$H$3:$H101,"Crypto Interest",Transactions!$F$3:$F101,"Stablecoin",Transactions!$A$3:$A101,S$65,Transactions!$D$3:$D101,$N71)
+SUMIFS(Transactions!$I$3:$I101,Transactions!$H$3:$H101,"Transfer Deposit",Transactions!$F$3:$F101,"Stablecoin",Transactions!$A$3:$A101,S$65,Transactions!$D$3:$D101,$N71)
-SUMIFS(Transactions!$I$3:$I101,Transactions!$H$3:$H101,"Transfer Send",Transactions!$F$3:$F101,"Stablecoin",Transactions!$A$3:$A101,S$65,Transactions!$D$3:$D101,$N71)
-SUMIFS(Transactions!$I$3:$I101,Transactions!$H$3:$H101,"Sell",Transactions!$F$3:$F101,"Stablecoin",Transactions!$A$3:$A101,S$65,Transactions!$D$3:$D101,$N71)
-SUMIFS(Transactions!$M$3:$M101,Transactions!$H$3:$H101,"Buy",Transactions!$A$3:$A101,S$65,Transactions!$B$3:$B101,$N71))</f>
        <v/>
      </c>
      <c r="T71" s="158" t="str">
        <f>IF(OR(ISBLANK($N71),ISBLANK(T$65)),"",
SUMIFS(Transactions!$I$3:$I101,Transactions!$H$3:$H101,"Buy",Transactions!$F$3:$F101,"Crypto",Transactions!$A$3:$A101,T$65,Transactions!$D$3:$D101,$N71)
+SUMIFS(Transactions!$I$3:$I101,Transactions!$H$3:$H101,"Crypto Interest",Transactions!$F$3:$F101,"Crypto",Transactions!$A$3:$A101,T$65,Transactions!$D$3:$D101,$N71)
+SUMIFS(Transactions!$I$3:$I101,Transactions!$H$3:$H101,"Transfer Deposit",Transactions!$F$3:$F101,"Crypto",Transactions!$A$3:$A101,T$65,Transactions!$D$3:$D101,$N71)
-SUMIFS(Transactions!$I$3:$I101,Transactions!$H$3:$H101,"Transfer Send",Transactions!$F$3:$F101,"Crypto",Transactions!$A$3:$A101,T$65,Transactions!$D$3:$D101,$N71)
-SUMIFS(Transactions!$I$3:$I101,Transactions!$H$3:$H101,"Sell",Transactions!$F$3:$F101,"Crypto",Transactions!$A$3:$A101,T$65,Transactions!$D$3:$D101,$N71)
+SUMIFS(Transactions!$I$3:$I101,Transactions!$H$3:$H101,"Buy",Transactions!$F$3:$F101,"Stablecoin",Transactions!$A$3:$A101,T$65,Transactions!$D$3:$D101,$N71)
+SUMIFS(Transactions!$I$3:$I101,Transactions!$H$3:$H101,"Crypto Interest",Transactions!$F$3:$F101,"Stablecoin",Transactions!$A$3:$A101,T$65,Transactions!$D$3:$D101,$N71)
+SUMIFS(Transactions!$I$3:$I101,Transactions!$H$3:$H101,"Transfer Deposit",Transactions!$F$3:$F101,"Stablecoin",Transactions!$A$3:$A101,T$65,Transactions!$D$3:$D101,$N71)
-SUMIFS(Transactions!$I$3:$I101,Transactions!$H$3:$H101,"Transfer Send",Transactions!$F$3:$F101,"Stablecoin",Transactions!$A$3:$A101,T$65,Transactions!$D$3:$D101,$N71)
-SUMIFS(Transactions!$I$3:$I101,Transactions!$H$3:$H101,"Sell",Transactions!$F$3:$F101,"Stablecoin",Transactions!$A$3:$A101,T$65,Transactions!$D$3:$D101,$N71)
-SUMIFS(Transactions!$M$3:$M101,Transactions!$H$3:$H101,"Buy",Transactions!$A$3:$A101,T$65,Transactions!$B$3:$B101,$N71))</f>
        <v/>
      </c>
      <c r="U71" s="158" t="str">
        <f>IF(OR(ISBLANK($N71),ISBLANK(U$65)),"",
SUMIFS(Transactions!$I$3:$I101,Transactions!$H$3:$H101,"Buy",Transactions!$F$3:$F101,"Crypto",Transactions!$A$3:$A101,U$65,Transactions!$D$3:$D101,$N71)
+SUMIFS(Transactions!$I$3:$I101,Transactions!$H$3:$H101,"Crypto Interest",Transactions!$F$3:$F101,"Crypto",Transactions!$A$3:$A101,U$65,Transactions!$D$3:$D101,$N71)
+SUMIFS(Transactions!$I$3:$I101,Transactions!$H$3:$H101,"Transfer Deposit",Transactions!$F$3:$F101,"Crypto",Transactions!$A$3:$A101,U$65,Transactions!$D$3:$D101,$N71)
-SUMIFS(Transactions!$I$3:$I101,Transactions!$H$3:$H101,"Transfer Send",Transactions!$F$3:$F101,"Crypto",Transactions!$A$3:$A101,U$65,Transactions!$D$3:$D101,$N71)
-SUMIFS(Transactions!$I$3:$I101,Transactions!$H$3:$H101,"Sell",Transactions!$F$3:$F101,"Crypto",Transactions!$A$3:$A101,U$65,Transactions!$D$3:$D101,$N71)
+SUMIFS(Transactions!$I$3:$I101,Transactions!$H$3:$H101,"Buy",Transactions!$F$3:$F101,"Stablecoin",Transactions!$A$3:$A101,U$65,Transactions!$D$3:$D101,$N71)
+SUMIFS(Transactions!$I$3:$I101,Transactions!$H$3:$H101,"Crypto Interest",Transactions!$F$3:$F101,"Stablecoin",Transactions!$A$3:$A101,U$65,Transactions!$D$3:$D101,$N71)
+SUMIFS(Transactions!$I$3:$I101,Transactions!$H$3:$H101,"Transfer Deposit",Transactions!$F$3:$F101,"Stablecoin",Transactions!$A$3:$A101,U$65,Transactions!$D$3:$D101,$N71)
-SUMIFS(Transactions!$I$3:$I101,Transactions!$H$3:$H101,"Transfer Send",Transactions!$F$3:$F101,"Stablecoin",Transactions!$A$3:$A101,U$65,Transactions!$D$3:$D101,$N71)
-SUMIFS(Transactions!$I$3:$I101,Transactions!$H$3:$H101,"Sell",Transactions!$F$3:$F101,"Stablecoin",Transactions!$A$3:$A101,U$65,Transactions!$D$3:$D101,$N71)
-SUMIFS(Transactions!$M$3:$M101,Transactions!$H$3:$H101,"Buy",Transactions!$A$3:$A101,U$65,Transactions!$B$3:$B101,$N71))</f>
        <v/>
      </c>
      <c r="V71" s="158"/>
      <c r="W71" s="95"/>
      <c r="X71" s="96"/>
      <c r="Y71" s="96" t="str">
        <f>IFERROR(__xludf.DUMMYFUNCTION("IF(ISBLANK(W71),"""",QUERY(GOOGLEFINANCE($N$21,""Close"",W71-5,6),""select Col2 where Col1 &lt; date '""&amp;TEXT(W71+1, ""YYYY-MM-DD"")&amp;""' order by Col1 desc limit 1"",False)
)"),"")</f>
        <v/>
      </c>
      <c r="Z71" s="158"/>
    </row>
    <row r="72">
      <c r="A72" s="14"/>
      <c r="B72" s="149"/>
      <c r="C72" s="156" t="str">
        <f>IF(ISBLANK(B72),"",SUMIF(Portfolio!$A:$A,B72,Portfolio!$C:$C))</f>
        <v/>
      </c>
      <c r="D72" s="145" t="str">
        <f>IF(ISBLANK(B72),"",AVERAGEIF(Portfolio!$A:$A,B72,Portfolio!$D:$D))</f>
        <v/>
      </c>
      <c r="F72" s="145" t="str">
        <f>IF(ISBLANK(B72),"",VLOOKUP(B72,Portfolio!$A:$E,5,0))</f>
        <v/>
      </c>
      <c r="G72" s="145" t="str">
        <f>IF(ISBLANK(B72),"",IFERROR(((C72-SUMIFS(Transactions!I:I,Transactions!H:H,"Crypto Interest",Transactions!E:E,B72))*D72),""))</f>
        <v/>
      </c>
      <c r="H72" s="145" t="str">
        <f t="shared" si="11"/>
        <v/>
      </c>
      <c r="I72" s="50" t="str">
        <f t="shared" si="12"/>
        <v/>
      </c>
      <c r="J72" s="145" t="str">
        <f t="shared" si="13"/>
        <v/>
      </c>
      <c r="K72" s="145" t="str">
        <f>IF(ISBLANK(B72),"",SUMIF(Portfolio!$A:$A,B72,Portfolio!$Q:$Q))</f>
        <v/>
      </c>
      <c r="L72" s="145" t="str">
        <f t="shared" si="14"/>
        <v/>
      </c>
      <c r="M72" s="14"/>
      <c r="N72" s="157"/>
      <c r="O72" s="158" t="str">
        <f>IF(OR(ISBLANK($N72),ISBLANK(O$65)),"",
SUMIFS(Transactions!$I$3:$I101,Transactions!$H$3:$H101,"Buy",Transactions!$F$3:$F101,"Crypto",Transactions!$A$3:$A101,O$65,Transactions!$D$3:$D101,$N72)
+SUMIFS(Transactions!$I$3:$I101,Transactions!$H$3:$H101,"Crypto Interest",Transactions!$F$3:$F101,"Crypto",Transactions!$A$3:$A101,O$65,Transactions!$D$3:$D101,$N72)
+SUMIFS(Transactions!$I$3:$I101,Transactions!$H$3:$H101,"Transfer Deposit",Transactions!$F$3:$F101,"Crypto",Transactions!$A$3:$A101,O$65,Transactions!$D$3:$D101,$N72)
-SUMIFS(Transactions!$I$3:$I101,Transactions!$H$3:$H101,"Transfer Send",Transactions!$F$3:$F101,"Crypto",Transactions!$A$3:$A101,O$65,Transactions!$D$3:$D101,$N72)
-SUMIFS(Transactions!$I$3:$I101,Transactions!$H$3:$H101,"Sell",Transactions!$F$3:$F101,"Crypto",Transactions!$A$3:$A101,O$65,Transactions!$D$3:$D101,$N72)
+SUMIFS(Transactions!$I$3:$I101,Transactions!$H$3:$H101,"Buy",Transactions!$F$3:$F101,"Stablecoin",Transactions!$A$3:$A101,O$65,Transactions!$D$3:$D101,$N72)
+SUMIFS(Transactions!$I$3:$I101,Transactions!$H$3:$H101,"Crypto Interest",Transactions!$F$3:$F101,"Stablecoin",Transactions!$A$3:$A101,O$65,Transactions!$D$3:$D101,$N72)
+SUMIFS(Transactions!$I$3:$I101,Transactions!$H$3:$H101,"Transfer Deposit",Transactions!$F$3:$F101,"Stablecoin",Transactions!$A$3:$A101,O$65,Transactions!$D$3:$D101,$N72)
-SUMIFS(Transactions!$I$3:$I101,Transactions!$H$3:$H101,"Transfer Send",Transactions!$F$3:$F101,"Stablecoin",Transactions!$A$3:$A101,O$65,Transactions!$D$3:$D101,$N72)
-SUMIFS(Transactions!$I$3:$I101,Transactions!$H$3:$H101,"Sell",Transactions!$F$3:$F101,"Stablecoin",Transactions!$A$3:$A101,O$65,Transactions!$D$3:$D101,$N72)
-SUMIFS(Transactions!$M$3:$M101,Transactions!$H$3:$H101,"Buy",Transactions!$A$3:$A101,O$65,Transactions!$B$3:$B101,$N72))</f>
        <v/>
      </c>
      <c r="P72" s="158" t="str">
        <f>IF(OR(ISBLANK($N72),ISBLANK(P$65)),"",
SUMIFS(Transactions!$I$3:$I101,Transactions!$H$3:$H101,"Buy",Transactions!$F$3:$F101,"Crypto",Transactions!$A$3:$A101,P$65,Transactions!$D$3:$D101,$N72)
+SUMIFS(Transactions!$I$3:$I101,Transactions!$H$3:$H101,"Crypto Interest",Transactions!$F$3:$F101,"Crypto",Transactions!$A$3:$A101,P$65,Transactions!$D$3:$D101,$N72)
+SUMIFS(Transactions!$I$3:$I101,Transactions!$H$3:$H101,"Transfer Deposit",Transactions!$F$3:$F101,"Crypto",Transactions!$A$3:$A101,P$65,Transactions!$D$3:$D101,$N72)
-SUMIFS(Transactions!$I$3:$I101,Transactions!$H$3:$H101,"Transfer Send",Transactions!$F$3:$F101,"Crypto",Transactions!$A$3:$A101,P$65,Transactions!$D$3:$D101,$N72)
-SUMIFS(Transactions!$I$3:$I101,Transactions!$H$3:$H101,"Sell",Transactions!$F$3:$F101,"Crypto",Transactions!$A$3:$A101,P$65,Transactions!$D$3:$D101,$N72)
+SUMIFS(Transactions!$I$3:$I101,Transactions!$H$3:$H101,"Buy",Transactions!$F$3:$F101,"Stablecoin",Transactions!$A$3:$A101,P$65,Transactions!$D$3:$D101,$N72)
+SUMIFS(Transactions!$I$3:$I101,Transactions!$H$3:$H101,"Crypto Interest",Transactions!$F$3:$F101,"Stablecoin",Transactions!$A$3:$A101,P$65,Transactions!$D$3:$D101,$N72)
+SUMIFS(Transactions!$I$3:$I101,Transactions!$H$3:$H101,"Transfer Deposit",Transactions!$F$3:$F101,"Stablecoin",Transactions!$A$3:$A101,P$65,Transactions!$D$3:$D101,$N72)
-SUMIFS(Transactions!$I$3:$I101,Transactions!$H$3:$H101,"Transfer Send",Transactions!$F$3:$F101,"Stablecoin",Transactions!$A$3:$A101,P$65,Transactions!$D$3:$D101,$N72)
-SUMIFS(Transactions!$I$3:$I101,Transactions!$H$3:$H101,"Sell",Transactions!$F$3:$F101,"Stablecoin",Transactions!$A$3:$A101,P$65,Transactions!$D$3:$D101,$N72)
-SUMIFS(Transactions!$M$3:$M101,Transactions!$H$3:$H101,"Buy",Transactions!$A$3:$A101,P$65,Transactions!$B$3:$B101,$N72))</f>
        <v/>
      </c>
      <c r="Q72" s="158" t="str">
        <f>IF(OR(ISBLANK($N72),ISBLANK(Q$65)),"",
SUMIFS(Transactions!$I$3:$I101,Transactions!$H$3:$H101,"Buy",Transactions!$F$3:$F101,"Crypto",Transactions!$A$3:$A101,Q$65,Transactions!$D$3:$D101,$N72)
+SUMIFS(Transactions!$I$3:$I101,Transactions!$H$3:$H101,"Crypto Interest",Transactions!$F$3:$F101,"Crypto",Transactions!$A$3:$A101,Q$65,Transactions!$D$3:$D101,$N72)
+SUMIFS(Transactions!$I$3:$I101,Transactions!$H$3:$H101,"Transfer Deposit",Transactions!$F$3:$F101,"Crypto",Transactions!$A$3:$A101,Q$65,Transactions!$D$3:$D101,$N72)
-SUMIFS(Transactions!$I$3:$I101,Transactions!$H$3:$H101,"Transfer Send",Transactions!$F$3:$F101,"Crypto",Transactions!$A$3:$A101,Q$65,Transactions!$D$3:$D101,$N72)
-SUMIFS(Transactions!$I$3:$I101,Transactions!$H$3:$H101,"Sell",Transactions!$F$3:$F101,"Crypto",Transactions!$A$3:$A101,Q$65,Transactions!$D$3:$D101,$N72)
+SUMIFS(Transactions!$I$3:$I101,Transactions!$H$3:$H101,"Buy",Transactions!$F$3:$F101,"Stablecoin",Transactions!$A$3:$A101,Q$65,Transactions!$D$3:$D101,$N72)
+SUMIFS(Transactions!$I$3:$I101,Transactions!$H$3:$H101,"Crypto Interest",Transactions!$F$3:$F101,"Stablecoin",Transactions!$A$3:$A101,Q$65,Transactions!$D$3:$D101,$N72)
+SUMIFS(Transactions!$I$3:$I101,Transactions!$H$3:$H101,"Transfer Deposit",Transactions!$F$3:$F101,"Stablecoin",Transactions!$A$3:$A101,Q$65,Transactions!$D$3:$D101,$N72)
-SUMIFS(Transactions!$I$3:$I101,Transactions!$H$3:$H101,"Transfer Send",Transactions!$F$3:$F101,"Stablecoin",Transactions!$A$3:$A101,Q$65,Transactions!$D$3:$D101,$N72)
-SUMIFS(Transactions!$I$3:$I101,Transactions!$H$3:$H101,"Sell",Transactions!$F$3:$F101,"Stablecoin",Transactions!$A$3:$A101,Q$65,Transactions!$D$3:$D101,$N72)
-SUMIFS(Transactions!$M$3:$M101,Transactions!$H$3:$H101,"Buy",Transactions!$A$3:$A101,Q$65,Transactions!$B$3:$B101,$N72))</f>
        <v/>
      </c>
      <c r="R72" s="158" t="str">
        <f>IF(OR(ISBLANK($N72),ISBLANK(R$65)),"",
SUMIFS(Transactions!$I$3:$I101,Transactions!$H$3:$H101,"Buy",Transactions!$F$3:$F101,"Crypto",Transactions!$A$3:$A101,R$65,Transactions!$D$3:$D101,$N72)
+SUMIFS(Transactions!$I$3:$I101,Transactions!$H$3:$H101,"Crypto Interest",Transactions!$F$3:$F101,"Crypto",Transactions!$A$3:$A101,R$65,Transactions!$D$3:$D101,$N72)
+SUMIFS(Transactions!$I$3:$I101,Transactions!$H$3:$H101,"Transfer Deposit",Transactions!$F$3:$F101,"Crypto",Transactions!$A$3:$A101,R$65,Transactions!$D$3:$D101,$N72)
-SUMIFS(Transactions!$I$3:$I101,Transactions!$H$3:$H101,"Transfer Send",Transactions!$F$3:$F101,"Crypto",Transactions!$A$3:$A101,R$65,Transactions!$D$3:$D101,$N72)
-SUMIFS(Transactions!$I$3:$I101,Transactions!$H$3:$H101,"Sell",Transactions!$F$3:$F101,"Crypto",Transactions!$A$3:$A101,R$65,Transactions!$D$3:$D101,$N72)
+SUMIFS(Transactions!$I$3:$I101,Transactions!$H$3:$H101,"Buy",Transactions!$F$3:$F101,"Stablecoin",Transactions!$A$3:$A101,R$65,Transactions!$D$3:$D101,$N72)
+SUMIFS(Transactions!$I$3:$I101,Transactions!$H$3:$H101,"Crypto Interest",Transactions!$F$3:$F101,"Stablecoin",Transactions!$A$3:$A101,R$65,Transactions!$D$3:$D101,$N72)
+SUMIFS(Transactions!$I$3:$I101,Transactions!$H$3:$H101,"Transfer Deposit",Transactions!$F$3:$F101,"Stablecoin",Transactions!$A$3:$A101,R$65,Transactions!$D$3:$D101,$N72)
-SUMIFS(Transactions!$I$3:$I101,Transactions!$H$3:$H101,"Transfer Send",Transactions!$F$3:$F101,"Stablecoin",Transactions!$A$3:$A101,R$65,Transactions!$D$3:$D101,$N72)
-SUMIFS(Transactions!$I$3:$I101,Transactions!$H$3:$H101,"Sell",Transactions!$F$3:$F101,"Stablecoin",Transactions!$A$3:$A101,R$65,Transactions!$D$3:$D101,$N72)
-SUMIFS(Transactions!$M$3:$M101,Transactions!$H$3:$H101,"Buy",Transactions!$A$3:$A101,R$65,Transactions!$B$3:$B101,$N72))</f>
        <v/>
      </c>
      <c r="S72" s="158" t="str">
        <f>IF(OR(ISBLANK($N72),ISBLANK(S$65)),"",
SUMIFS(Transactions!$I$3:$I101,Transactions!$H$3:$H101,"Buy",Transactions!$F$3:$F101,"Crypto",Transactions!$A$3:$A101,S$65,Transactions!$D$3:$D101,$N72)
+SUMIFS(Transactions!$I$3:$I101,Transactions!$H$3:$H101,"Crypto Interest",Transactions!$F$3:$F101,"Crypto",Transactions!$A$3:$A101,S$65,Transactions!$D$3:$D101,$N72)
+SUMIFS(Transactions!$I$3:$I101,Transactions!$H$3:$H101,"Transfer Deposit",Transactions!$F$3:$F101,"Crypto",Transactions!$A$3:$A101,S$65,Transactions!$D$3:$D101,$N72)
-SUMIFS(Transactions!$I$3:$I101,Transactions!$H$3:$H101,"Transfer Send",Transactions!$F$3:$F101,"Crypto",Transactions!$A$3:$A101,S$65,Transactions!$D$3:$D101,$N72)
-SUMIFS(Transactions!$I$3:$I101,Transactions!$H$3:$H101,"Sell",Transactions!$F$3:$F101,"Crypto",Transactions!$A$3:$A101,S$65,Transactions!$D$3:$D101,$N72)
+SUMIFS(Transactions!$I$3:$I101,Transactions!$H$3:$H101,"Buy",Transactions!$F$3:$F101,"Stablecoin",Transactions!$A$3:$A101,S$65,Transactions!$D$3:$D101,$N72)
+SUMIFS(Transactions!$I$3:$I101,Transactions!$H$3:$H101,"Crypto Interest",Transactions!$F$3:$F101,"Stablecoin",Transactions!$A$3:$A101,S$65,Transactions!$D$3:$D101,$N72)
+SUMIFS(Transactions!$I$3:$I101,Transactions!$H$3:$H101,"Transfer Deposit",Transactions!$F$3:$F101,"Stablecoin",Transactions!$A$3:$A101,S$65,Transactions!$D$3:$D101,$N72)
-SUMIFS(Transactions!$I$3:$I101,Transactions!$H$3:$H101,"Transfer Send",Transactions!$F$3:$F101,"Stablecoin",Transactions!$A$3:$A101,S$65,Transactions!$D$3:$D101,$N72)
-SUMIFS(Transactions!$I$3:$I101,Transactions!$H$3:$H101,"Sell",Transactions!$F$3:$F101,"Stablecoin",Transactions!$A$3:$A101,S$65,Transactions!$D$3:$D101,$N72)
-SUMIFS(Transactions!$M$3:$M101,Transactions!$H$3:$H101,"Buy",Transactions!$A$3:$A101,S$65,Transactions!$B$3:$B101,$N72))</f>
        <v/>
      </c>
      <c r="T72" s="158" t="str">
        <f>IF(OR(ISBLANK($N72),ISBLANK(T$65)),"",
SUMIFS(Transactions!$I$3:$I101,Transactions!$H$3:$H101,"Buy",Transactions!$F$3:$F101,"Crypto",Transactions!$A$3:$A101,T$65,Transactions!$D$3:$D101,$N72)
+SUMIFS(Transactions!$I$3:$I101,Transactions!$H$3:$H101,"Crypto Interest",Transactions!$F$3:$F101,"Crypto",Transactions!$A$3:$A101,T$65,Transactions!$D$3:$D101,$N72)
+SUMIFS(Transactions!$I$3:$I101,Transactions!$H$3:$H101,"Transfer Deposit",Transactions!$F$3:$F101,"Crypto",Transactions!$A$3:$A101,T$65,Transactions!$D$3:$D101,$N72)
-SUMIFS(Transactions!$I$3:$I101,Transactions!$H$3:$H101,"Transfer Send",Transactions!$F$3:$F101,"Crypto",Transactions!$A$3:$A101,T$65,Transactions!$D$3:$D101,$N72)
-SUMIFS(Transactions!$I$3:$I101,Transactions!$H$3:$H101,"Sell",Transactions!$F$3:$F101,"Crypto",Transactions!$A$3:$A101,T$65,Transactions!$D$3:$D101,$N72)
+SUMIFS(Transactions!$I$3:$I101,Transactions!$H$3:$H101,"Buy",Transactions!$F$3:$F101,"Stablecoin",Transactions!$A$3:$A101,T$65,Transactions!$D$3:$D101,$N72)
+SUMIFS(Transactions!$I$3:$I101,Transactions!$H$3:$H101,"Crypto Interest",Transactions!$F$3:$F101,"Stablecoin",Transactions!$A$3:$A101,T$65,Transactions!$D$3:$D101,$N72)
+SUMIFS(Transactions!$I$3:$I101,Transactions!$H$3:$H101,"Transfer Deposit",Transactions!$F$3:$F101,"Stablecoin",Transactions!$A$3:$A101,T$65,Transactions!$D$3:$D101,$N72)
-SUMIFS(Transactions!$I$3:$I101,Transactions!$H$3:$H101,"Transfer Send",Transactions!$F$3:$F101,"Stablecoin",Transactions!$A$3:$A101,T$65,Transactions!$D$3:$D101,$N72)
-SUMIFS(Transactions!$I$3:$I101,Transactions!$H$3:$H101,"Sell",Transactions!$F$3:$F101,"Stablecoin",Transactions!$A$3:$A101,T$65,Transactions!$D$3:$D101,$N72)
-SUMIFS(Transactions!$M$3:$M101,Transactions!$H$3:$H101,"Buy",Transactions!$A$3:$A101,T$65,Transactions!$B$3:$B101,$N72))</f>
        <v/>
      </c>
      <c r="U72" s="158" t="str">
        <f>IF(OR(ISBLANK($N72),ISBLANK(U$65)),"",
SUMIFS(Transactions!$I$3:$I101,Transactions!$H$3:$H101,"Buy",Transactions!$F$3:$F101,"Crypto",Transactions!$A$3:$A101,U$65,Transactions!$D$3:$D101,$N72)
+SUMIFS(Transactions!$I$3:$I101,Transactions!$H$3:$H101,"Crypto Interest",Transactions!$F$3:$F101,"Crypto",Transactions!$A$3:$A101,U$65,Transactions!$D$3:$D101,$N72)
+SUMIFS(Transactions!$I$3:$I101,Transactions!$H$3:$H101,"Transfer Deposit",Transactions!$F$3:$F101,"Crypto",Transactions!$A$3:$A101,U$65,Transactions!$D$3:$D101,$N72)
-SUMIFS(Transactions!$I$3:$I101,Transactions!$H$3:$H101,"Transfer Send",Transactions!$F$3:$F101,"Crypto",Transactions!$A$3:$A101,U$65,Transactions!$D$3:$D101,$N72)
-SUMIFS(Transactions!$I$3:$I101,Transactions!$H$3:$H101,"Sell",Transactions!$F$3:$F101,"Crypto",Transactions!$A$3:$A101,U$65,Transactions!$D$3:$D101,$N72)
+SUMIFS(Transactions!$I$3:$I101,Transactions!$H$3:$H101,"Buy",Transactions!$F$3:$F101,"Stablecoin",Transactions!$A$3:$A101,U$65,Transactions!$D$3:$D101,$N72)
+SUMIFS(Transactions!$I$3:$I101,Transactions!$H$3:$H101,"Crypto Interest",Transactions!$F$3:$F101,"Stablecoin",Transactions!$A$3:$A101,U$65,Transactions!$D$3:$D101,$N72)
+SUMIFS(Transactions!$I$3:$I101,Transactions!$H$3:$H101,"Transfer Deposit",Transactions!$F$3:$F101,"Stablecoin",Transactions!$A$3:$A101,U$65,Transactions!$D$3:$D101,$N72)
-SUMIFS(Transactions!$I$3:$I101,Transactions!$H$3:$H101,"Transfer Send",Transactions!$F$3:$F101,"Stablecoin",Transactions!$A$3:$A101,U$65,Transactions!$D$3:$D101,$N72)
-SUMIFS(Transactions!$I$3:$I101,Transactions!$H$3:$H101,"Sell",Transactions!$F$3:$F101,"Stablecoin",Transactions!$A$3:$A101,U$65,Transactions!$D$3:$D101,$N72)
-SUMIFS(Transactions!$M$3:$M101,Transactions!$H$3:$H101,"Buy",Transactions!$A$3:$A101,U$65,Transactions!$B$3:$B101,$N72))</f>
        <v/>
      </c>
      <c r="V72" s="158"/>
      <c r="W72" s="95"/>
      <c r="X72" s="96"/>
      <c r="Y72" s="96" t="str">
        <f>IFERROR(__xludf.DUMMYFUNCTION("IF(ISBLANK(W72),"""",QUERY(GOOGLEFINANCE($N$21,""Close"",W72-5,6),""select Col2 where Col1 &lt; date '""&amp;TEXT(W72+1, ""YYYY-MM-DD"")&amp;""' order by Col1 desc limit 1"",False)
)"),"")</f>
        <v/>
      </c>
      <c r="Z72" s="158"/>
    </row>
    <row r="73">
      <c r="A73" s="14"/>
      <c r="B73" s="149"/>
      <c r="C73" s="156" t="str">
        <f>IF(ISBLANK(B73),"",SUMIF(Portfolio!$A:$A,B73,Portfolio!$C:$C))</f>
        <v/>
      </c>
      <c r="D73" s="145" t="str">
        <f>IF(ISBLANK(B73),"",AVERAGEIF(Portfolio!$A:$A,B73,Portfolio!$D:$D))</f>
        <v/>
      </c>
      <c r="F73" s="145" t="str">
        <f>IF(ISBLANK(B73),"",VLOOKUP(B73,Portfolio!$A:$E,5,0))</f>
        <v/>
      </c>
      <c r="G73" s="145" t="str">
        <f>IF(ISBLANK(B73),"",IFERROR(((C73-SUMIFS(Transactions!I:I,Transactions!H:H,"Crypto Interest",Transactions!E:E,B73))*D73),""))</f>
        <v/>
      </c>
      <c r="H73" s="145" t="str">
        <f t="shared" si="11"/>
        <v/>
      </c>
      <c r="I73" s="50" t="str">
        <f t="shared" si="12"/>
        <v/>
      </c>
      <c r="J73" s="145" t="str">
        <f t="shared" si="13"/>
        <v/>
      </c>
      <c r="K73" s="145" t="str">
        <f>IF(ISBLANK(B73),"",SUMIF(Portfolio!$A:$A,B73,Portfolio!$Q:$Q))</f>
        <v/>
      </c>
      <c r="L73" s="145" t="str">
        <f t="shared" si="14"/>
        <v/>
      </c>
      <c r="M73" s="14"/>
      <c r="N73" s="157"/>
      <c r="O73" s="158" t="str">
        <f>IF(OR(ISBLANK($N73),ISBLANK(O$65)),"",
SUMIFS(Transactions!$I$3:$I101,Transactions!$H$3:$H101,"Buy",Transactions!$F$3:$F101,"Crypto",Transactions!$A$3:$A101,O$65,Transactions!$D$3:$D101,$N73)
+SUMIFS(Transactions!$I$3:$I101,Transactions!$H$3:$H101,"Crypto Interest",Transactions!$F$3:$F101,"Crypto",Transactions!$A$3:$A101,O$65,Transactions!$D$3:$D101,$N73)
+SUMIFS(Transactions!$I$3:$I101,Transactions!$H$3:$H101,"Transfer Deposit",Transactions!$F$3:$F101,"Crypto",Transactions!$A$3:$A101,O$65,Transactions!$D$3:$D101,$N73)
-SUMIFS(Transactions!$I$3:$I101,Transactions!$H$3:$H101,"Transfer Send",Transactions!$F$3:$F101,"Crypto",Transactions!$A$3:$A101,O$65,Transactions!$D$3:$D101,$N73)
-SUMIFS(Transactions!$I$3:$I101,Transactions!$H$3:$H101,"Sell",Transactions!$F$3:$F101,"Crypto",Transactions!$A$3:$A101,O$65,Transactions!$D$3:$D101,$N73)
+SUMIFS(Transactions!$I$3:$I101,Transactions!$H$3:$H101,"Buy",Transactions!$F$3:$F101,"Stablecoin",Transactions!$A$3:$A101,O$65,Transactions!$D$3:$D101,$N73)
+SUMIFS(Transactions!$I$3:$I101,Transactions!$H$3:$H101,"Crypto Interest",Transactions!$F$3:$F101,"Stablecoin",Transactions!$A$3:$A101,O$65,Transactions!$D$3:$D101,$N73)
+SUMIFS(Transactions!$I$3:$I101,Transactions!$H$3:$H101,"Transfer Deposit",Transactions!$F$3:$F101,"Stablecoin",Transactions!$A$3:$A101,O$65,Transactions!$D$3:$D101,$N73)
-SUMIFS(Transactions!$I$3:$I101,Transactions!$H$3:$H101,"Transfer Send",Transactions!$F$3:$F101,"Stablecoin",Transactions!$A$3:$A101,O$65,Transactions!$D$3:$D101,$N73)
-SUMIFS(Transactions!$I$3:$I101,Transactions!$H$3:$H101,"Sell",Transactions!$F$3:$F101,"Stablecoin",Transactions!$A$3:$A101,O$65,Transactions!$D$3:$D101,$N73)
-SUMIFS(Transactions!$M$3:$M101,Transactions!$H$3:$H101,"Buy",Transactions!$A$3:$A101,O$65,Transactions!$B$3:$B101,$N73))</f>
        <v/>
      </c>
      <c r="P73" s="158" t="str">
        <f>IF(OR(ISBLANK($N73),ISBLANK(P$65)),"",
SUMIFS(Transactions!$I$3:$I101,Transactions!$H$3:$H101,"Buy",Transactions!$F$3:$F101,"Crypto",Transactions!$A$3:$A101,P$65,Transactions!$D$3:$D101,$N73)
+SUMIFS(Transactions!$I$3:$I101,Transactions!$H$3:$H101,"Crypto Interest",Transactions!$F$3:$F101,"Crypto",Transactions!$A$3:$A101,P$65,Transactions!$D$3:$D101,$N73)
+SUMIFS(Transactions!$I$3:$I101,Transactions!$H$3:$H101,"Transfer Deposit",Transactions!$F$3:$F101,"Crypto",Transactions!$A$3:$A101,P$65,Transactions!$D$3:$D101,$N73)
-SUMIFS(Transactions!$I$3:$I101,Transactions!$H$3:$H101,"Transfer Send",Transactions!$F$3:$F101,"Crypto",Transactions!$A$3:$A101,P$65,Transactions!$D$3:$D101,$N73)
-SUMIFS(Transactions!$I$3:$I101,Transactions!$H$3:$H101,"Sell",Transactions!$F$3:$F101,"Crypto",Transactions!$A$3:$A101,P$65,Transactions!$D$3:$D101,$N73)
+SUMIFS(Transactions!$I$3:$I101,Transactions!$H$3:$H101,"Buy",Transactions!$F$3:$F101,"Stablecoin",Transactions!$A$3:$A101,P$65,Transactions!$D$3:$D101,$N73)
+SUMIFS(Transactions!$I$3:$I101,Transactions!$H$3:$H101,"Crypto Interest",Transactions!$F$3:$F101,"Stablecoin",Transactions!$A$3:$A101,P$65,Transactions!$D$3:$D101,$N73)
+SUMIFS(Transactions!$I$3:$I101,Transactions!$H$3:$H101,"Transfer Deposit",Transactions!$F$3:$F101,"Stablecoin",Transactions!$A$3:$A101,P$65,Transactions!$D$3:$D101,$N73)
-SUMIFS(Transactions!$I$3:$I101,Transactions!$H$3:$H101,"Transfer Send",Transactions!$F$3:$F101,"Stablecoin",Transactions!$A$3:$A101,P$65,Transactions!$D$3:$D101,$N73)
-SUMIFS(Transactions!$I$3:$I101,Transactions!$H$3:$H101,"Sell",Transactions!$F$3:$F101,"Stablecoin",Transactions!$A$3:$A101,P$65,Transactions!$D$3:$D101,$N73)
-SUMIFS(Transactions!$M$3:$M101,Transactions!$H$3:$H101,"Buy",Transactions!$A$3:$A101,P$65,Transactions!$B$3:$B101,$N73))</f>
        <v/>
      </c>
      <c r="Q73" s="158" t="str">
        <f>IF(OR(ISBLANK($N73),ISBLANK(Q$65)),"",
SUMIFS(Transactions!$I$3:$I101,Transactions!$H$3:$H101,"Buy",Transactions!$F$3:$F101,"Crypto",Transactions!$A$3:$A101,Q$65,Transactions!$D$3:$D101,$N73)
+SUMIFS(Transactions!$I$3:$I101,Transactions!$H$3:$H101,"Crypto Interest",Transactions!$F$3:$F101,"Crypto",Transactions!$A$3:$A101,Q$65,Transactions!$D$3:$D101,$N73)
+SUMIFS(Transactions!$I$3:$I101,Transactions!$H$3:$H101,"Transfer Deposit",Transactions!$F$3:$F101,"Crypto",Transactions!$A$3:$A101,Q$65,Transactions!$D$3:$D101,$N73)
-SUMIFS(Transactions!$I$3:$I101,Transactions!$H$3:$H101,"Transfer Send",Transactions!$F$3:$F101,"Crypto",Transactions!$A$3:$A101,Q$65,Transactions!$D$3:$D101,$N73)
-SUMIFS(Transactions!$I$3:$I101,Transactions!$H$3:$H101,"Sell",Transactions!$F$3:$F101,"Crypto",Transactions!$A$3:$A101,Q$65,Transactions!$D$3:$D101,$N73)
+SUMIFS(Transactions!$I$3:$I101,Transactions!$H$3:$H101,"Buy",Transactions!$F$3:$F101,"Stablecoin",Transactions!$A$3:$A101,Q$65,Transactions!$D$3:$D101,$N73)
+SUMIFS(Transactions!$I$3:$I101,Transactions!$H$3:$H101,"Crypto Interest",Transactions!$F$3:$F101,"Stablecoin",Transactions!$A$3:$A101,Q$65,Transactions!$D$3:$D101,$N73)
+SUMIFS(Transactions!$I$3:$I101,Transactions!$H$3:$H101,"Transfer Deposit",Transactions!$F$3:$F101,"Stablecoin",Transactions!$A$3:$A101,Q$65,Transactions!$D$3:$D101,$N73)
-SUMIFS(Transactions!$I$3:$I101,Transactions!$H$3:$H101,"Transfer Send",Transactions!$F$3:$F101,"Stablecoin",Transactions!$A$3:$A101,Q$65,Transactions!$D$3:$D101,$N73)
-SUMIFS(Transactions!$I$3:$I101,Transactions!$H$3:$H101,"Sell",Transactions!$F$3:$F101,"Stablecoin",Transactions!$A$3:$A101,Q$65,Transactions!$D$3:$D101,$N73)
-SUMIFS(Transactions!$M$3:$M101,Transactions!$H$3:$H101,"Buy",Transactions!$A$3:$A101,Q$65,Transactions!$B$3:$B101,$N73))</f>
        <v/>
      </c>
      <c r="R73" s="158" t="str">
        <f>IF(OR(ISBLANK($N73),ISBLANK(R$65)),"",
SUMIFS(Transactions!$I$3:$I101,Transactions!$H$3:$H101,"Buy",Transactions!$F$3:$F101,"Crypto",Transactions!$A$3:$A101,R$65,Transactions!$D$3:$D101,$N73)
+SUMIFS(Transactions!$I$3:$I101,Transactions!$H$3:$H101,"Crypto Interest",Transactions!$F$3:$F101,"Crypto",Transactions!$A$3:$A101,R$65,Transactions!$D$3:$D101,$N73)
+SUMIFS(Transactions!$I$3:$I101,Transactions!$H$3:$H101,"Transfer Deposit",Transactions!$F$3:$F101,"Crypto",Transactions!$A$3:$A101,R$65,Transactions!$D$3:$D101,$N73)
-SUMIFS(Transactions!$I$3:$I101,Transactions!$H$3:$H101,"Transfer Send",Transactions!$F$3:$F101,"Crypto",Transactions!$A$3:$A101,R$65,Transactions!$D$3:$D101,$N73)
-SUMIFS(Transactions!$I$3:$I101,Transactions!$H$3:$H101,"Sell",Transactions!$F$3:$F101,"Crypto",Transactions!$A$3:$A101,R$65,Transactions!$D$3:$D101,$N73)
+SUMIFS(Transactions!$I$3:$I101,Transactions!$H$3:$H101,"Buy",Transactions!$F$3:$F101,"Stablecoin",Transactions!$A$3:$A101,R$65,Transactions!$D$3:$D101,$N73)
+SUMIFS(Transactions!$I$3:$I101,Transactions!$H$3:$H101,"Crypto Interest",Transactions!$F$3:$F101,"Stablecoin",Transactions!$A$3:$A101,R$65,Transactions!$D$3:$D101,$N73)
+SUMIFS(Transactions!$I$3:$I101,Transactions!$H$3:$H101,"Transfer Deposit",Transactions!$F$3:$F101,"Stablecoin",Transactions!$A$3:$A101,R$65,Transactions!$D$3:$D101,$N73)
-SUMIFS(Transactions!$I$3:$I101,Transactions!$H$3:$H101,"Transfer Send",Transactions!$F$3:$F101,"Stablecoin",Transactions!$A$3:$A101,R$65,Transactions!$D$3:$D101,$N73)
-SUMIFS(Transactions!$I$3:$I101,Transactions!$H$3:$H101,"Sell",Transactions!$F$3:$F101,"Stablecoin",Transactions!$A$3:$A101,R$65,Transactions!$D$3:$D101,$N73)
-SUMIFS(Transactions!$M$3:$M101,Transactions!$H$3:$H101,"Buy",Transactions!$A$3:$A101,R$65,Transactions!$B$3:$B101,$N73))</f>
        <v/>
      </c>
      <c r="S73" s="158" t="str">
        <f>IF(OR(ISBLANK($N73),ISBLANK(S$65)),"",
SUMIFS(Transactions!$I$3:$I101,Transactions!$H$3:$H101,"Buy",Transactions!$F$3:$F101,"Crypto",Transactions!$A$3:$A101,S$65,Transactions!$D$3:$D101,$N73)
+SUMIFS(Transactions!$I$3:$I101,Transactions!$H$3:$H101,"Crypto Interest",Transactions!$F$3:$F101,"Crypto",Transactions!$A$3:$A101,S$65,Transactions!$D$3:$D101,$N73)
+SUMIFS(Transactions!$I$3:$I101,Transactions!$H$3:$H101,"Transfer Deposit",Transactions!$F$3:$F101,"Crypto",Transactions!$A$3:$A101,S$65,Transactions!$D$3:$D101,$N73)
-SUMIFS(Transactions!$I$3:$I101,Transactions!$H$3:$H101,"Transfer Send",Transactions!$F$3:$F101,"Crypto",Transactions!$A$3:$A101,S$65,Transactions!$D$3:$D101,$N73)
-SUMIFS(Transactions!$I$3:$I101,Transactions!$H$3:$H101,"Sell",Transactions!$F$3:$F101,"Crypto",Transactions!$A$3:$A101,S$65,Transactions!$D$3:$D101,$N73)
+SUMIFS(Transactions!$I$3:$I101,Transactions!$H$3:$H101,"Buy",Transactions!$F$3:$F101,"Stablecoin",Transactions!$A$3:$A101,S$65,Transactions!$D$3:$D101,$N73)
+SUMIFS(Transactions!$I$3:$I101,Transactions!$H$3:$H101,"Crypto Interest",Transactions!$F$3:$F101,"Stablecoin",Transactions!$A$3:$A101,S$65,Transactions!$D$3:$D101,$N73)
+SUMIFS(Transactions!$I$3:$I101,Transactions!$H$3:$H101,"Transfer Deposit",Transactions!$F$3:$F101,"Stablecoin",Transactions!$A$3:$A101,S$65,Transactions!$D$3:$D101,$N73)
-SUMIFS(Transactions!$I$3:$I101,Transactions!$H$3:$H101,"Transfer Send",Transactions!$F$3:$F101,"Stablecoin",Transactions!$A$3:$A101,S$65,Transactions!$D$3:$D101,$N73)
-SUMIFS(Transactions!$I$3:$I101,Transactions!$H$3:$H101,"Sell",Transactions!$F$3:$F101,"Stablecoin",Transactions!$A$3:$A101,S$65,Transactions!$D$3:$D101,$N73)
-SUMIFS(Transactions!$M$3:$M101,Transactions!$H$3:$H101,"Buy",Transactions!$A$3:$A101,S$65,Transactions!$B$3:$B101,$N73))</f>
        <v/>
      </c>
      <c r="T73" s="158" t="str">
        <f>IF(OR(ISBLANK($N73),ISBLANK(T$65)),"",
SUMIFS(Transactions!$I$3:$I101,Transactions!$H$3:$H101,"Buy",Transactions!$F$3:$F101,"Crypto",Transactions!$A$3:$A101,T$65,Transactions!$D$3:$D101,$N73)
+SUMIFS(Transactions!$I$3:$I101,Transactions!$H$3:$H101,"Crypto Interest",Transactions!$F$3:$F101,"Crypto",Transactions!$A$3:$A101,T$65,Transactions!$D$3:$D101,$N73)
+SUMIFS(Transactions!$I$3:$I101,Transactions!$H$3:$H101,"Transfer Deposit",Transactions!$F$3:$F101,"Crypto",Transactions!$A$3:$A101,T$65,Transactions!$D$3:$D101,$N73)
-SUMIFS(Transactions!$I$3:$I101,Transactions!$H$3:$H101,"Transfer Send",Transactions!$F$3:$F101,"Crypto",Transactions!$A$3:$A101,T$65,Transactions!$D$3:$D101,$N73)
-SUMIFS(Transactions!$I$3:$I101,Transactions!$H$3:$H101,"Sell",Transactions!$F$3:$F101,"Crypto",Transactions!$A$3:$A101,T$65,Transactions!$D$3:$D101,$N73)
+SUMIFS(Transactions!$I$3:$I101,Transactions!$H$3:$H101,"Buy",Transactions!$F$3:$F101,"Stablecoin",Transactions!$A$3:$A101,T$65,Transactions!$D$3:$D101,$N73)
+SUMIFS(Transactions!$I$3:$I101,Transactions!$H$3:$H101,"Crypto Interest",Transactions!$F$3:$F101,"Stablecoin",Transactions!$A$3:$A101,T$65,Transactions!$D$3:$D101,$N73)
+SUMIFS(Transactions!$I$3:$I101,Transactions!$H$3:$H101,"Transfer Deposit",Transactions!$F$3:$F101,"Stablecoin",Transactions!$A$3:$A101,T$65,Transactions!$D$3:$D101,$N73)
-SUMIFS(Transactions!$I$3:$I101,Transactions!$H$3:$H101,"Transfer Send",Transactions!$F$3:$F101,"Stablecoin",Transactions!$A$3:$A101,T$65,Transactions!$D$3:$D101,$N73)
-SUMIFS(Transactions!$I$3:$I101,Transactions!$H$3:$H101,"Sell",Transactions!$F$3:$F101,"Stablecoin",Transactions!$A$3:$A101,T$65,Transactions!$D$3:$D101,$N73)
-SUMIFS(Transactions!$M$3:$M101,Transactions!$H$3:$H101,"Buy",Transactions!$A$3:$A101,T$65,Transactions!$B$3:$B101,$N73))</f>
        <v/>
      </c>
      <c r="U73" s="158" t="str">
        <f>IF(OR(ISBLANK($N73),ISBLANK(U$65)),"",
SUMIFS(Transactions!$I$3:$I101,Transactions!$H$3:$H101,"Buy",Transactions!$F$3:$F101,"Crypto",Transactions!$A$3:$A101,U$65,Transactions!$D$3:$D101,$N73)
+SUMIFS(Transactions!$I$3:$I101,Transactions!$H$3:$H101,"Crypto Interest",Transactions!$F$3:$F101,"Crypto",Transactions!$A$3:$A101,U$65,Transactions!$D$3:$D101,$N73)
+SUMIFS(Transactions!$I$3:$I101,Transactions!$H$3:$H101,"Transfer Deposit",Transactions!$F$3:$F101,"Crypto",Transactions!$A$3:$A101,U$65,Transactions!$D$3:$D101,$N73)
-SUMIFS(Transactions!$I$3:$I101,Transactions!$H$3:$H101,"Transfer Send",Transactions!$F$3:$F101,"Crypto",Transactions!$A$3:$A101,U$65,Transactions!$D$3:$D101,$N73)
-SUMIFS(Transactions!$I$3:$I101,Transactions!$H$3:$H101,"Sell",Transactions!$F$3:$F101,"Crypto",Transactions!$A$3:$A101,U$65,Transactions!$D$3:$D101,$N73)
+SUMIFS(Transactions!$I$3:$I101,Transactions!$H$3:$H101,"Buy",Transactions!$F$3:$F101,"Stablecoin",Transactions!$A$3:$A101,U$65,Transactions!$D$3:$D101,$N73)
+SUMIFS(Transactions!$I$3:$I101,Transactions!$H$3:$H101,"Crypto Interest",Transactions!$F$3:$F101,"Stablecoin",Transactions!$A$3:$A101,U$65,Transactions!$D$3:$D101,$N73)
+SUMIFS(Transactions!$I$3:$I101,Transactions!$H$3:$H101,"Transfer Deposit",Transactions!$F$3:$F101,"Stablecoin",Transactions!$A$3:$A101,U$65,Transactions!$D$3:$D101,$N73)
-SUMIFS(Transactions!$I$3:$I101,Transactions!$H$3:$H101,"Transfer Send",Transactions!$F$3:$F101,"Stablecoin",Transactions!$A$3:$A101,U$65,Transactions!$D$3:$D101,$N73)
-SUMIFS(Transactions!$I$3:$I101,Transactions!$H$3:$H101,"Sell",Transactions!$F$3:$F101,"Stablecoin",Transactions!$A$3:$A101,U$65,Transactions!$D$3:$D101,$N73)
-SUMIFS(Transactions!$M$3:$M101,Transactions!$H$3:$H101,"Buy",Transactions!$A$3:$A101,U$65,Transactions!$B$3:$B101,$N73))</f>
        <v/>
      </c>
      <c r="V73" s="158"/>
      <c r="W73" s="95"/>
      <c r="X73" s="96"/>
      <c r="Y73" s="96" t="str">
        <f>IFERROR(__xludf.DUMMYFUNCTION("IF(ISBLANK(W73),"""",QUERY(GOOGLEFINANCE($N$21,""Close"",W73-5,6),""select Col2 where Col1 &lt; date '""&amp;TEXT(W73+1, ""YYYY-MM-DD"")&amp;""' order by Col1 desc limit 1"",False)
)"),"")</f>
        <v/>
      </c>
      <c r="Z73" s="158"/>
    </row>
    <row r="74">
      <c r="A74" s="14"/>
      <c r="B74" s="149"/>
      <c r="C74" s="156" t="str">
        <f>IF(ISBLANK(B74),"",SUMIF(Portfolio!$A:$A,B74,Portfolio!$C:$C))</f>
        <v/>
      </c>
      <c r="D74" s="145" t="str">
        <f>IF(ISBLANK(B74),"",AVERAGEIF(Portfolio!$A:$A,B74,Portfolio!$D:$D))</f>
        <v/>
      </c>
      <c r="F74" s="145" t="str">
        <f>IF(ISBLANK(B74),"",VLOOKUP(B74,Portfolio!$A:$E,5,0))</f>
        <v/>
      </c>
      <c r="G74" s="145" t="str">
        <f>IF(ISBLANK(B74),"",IFERROR(((C74-SUMIFS(Transactions!I:I,Transactions!H:H,"Crypto Interest",Transactions!E:E,B74))*D74),""))</f>
        <v/>
      </c>
      <c r="H74" s="145" t="str">
        <f t="shared" si="11"/>
        <v/>
      </c>
      <c r="I74" s="50" t="str">
        <f t="shared" si="12"/>
        <v/>
      </c>
      <c r="J74" s="145" t="str">
        <f t="shared" si="13"/>
        <v/>
      </c>
      <c r="K74" s="145" t="str">
        <f>IF(ISBLANK(B74),"",SUMIF(Portfolio!$A:$A,B74,Portfolio!$Q:$Q))</f>
        <v/>
      </c>
      <c r="L74" s="145" t="str">
        <f t="shared" si="14"/>
        <v/>
      </c>
      <c r="M74" s="14"/>
      <c r="N74" s="157"/>
      <c r="O74" s="158" t="str">
        <f>IF(OR(ISBLANK($N74),ISBLANK(O$65)),"",
SUMIFS(Transactions!$I$3:$I101,Transactions!$H$3:$H101,"Buy",Transactions!$F$3:$F101,"Crypto",Transactions!$A$3:$A101,O$65,Transactions!$D$3:$D101,$N74)
+SUMIFS(Transactions!$I$3:$I101,Transactions!$H$3:$H101,"Crypto Interest",Transactions!$F$3:$F101,"Crypto",Transactions!$A$3:$A101,O$65,Transactions!$D$3:$D101,$N74)
+SUMIFS(Transactions!$I$3:$I101,Transactions!$H$3:$H101,"Transfer Deposit",Transactions!$F$3:$F101,"Crypto",Transactions!$A$3:$A101,O$65,Transactions!$D$3:$D101,$N74)
-SUMIFS(Transactions!$I$3:$I101,Transactions!$H$3:$H101,"Transfer Send",Transactions!$F$3:$F101,"Crypto",Transactions!$A$3:$A101,O$65,Transactions!$D$3:$D101,$N74)
-SUMIFS(Transactions!$I$3:$I101,Transactions!$H$3:$H101,"Sell",Transactions!$F$3:$F101,"Crypto",Transactions!$A$3:$A101,O$65,Transactions!$D$3:$D101,$N74)
+SUMIFS(Transactions!$I$3:$I101,Transactions!$H$3:$H101,"Buy",Transactions!$F$3:$F101,"Stablecoin",Transactions!$A$3:$A101,O$65,Transactions!$D$3:$D101,$N74)
+SUMIFS(Transactions!$I$3:$I101,Transactions!$H$3:$H101,"Crypto Interest",Transactions!$F$3:$F101,"Stablecoin",Transactions!$A$3:$A101,O$65,Transactions!$D$3:$D101,$N74)
+SUMIFS(Transactions!$I$3:$I101,Transactions!$H$3:$H101,"Transfer Deposit",Transactions!$F$3:$F101,"Stablecoin",Transactions!$A$3:$A101,O$65,Transactions!$D$3:$D101,$N74)
-SUMIFS(Transactions!$I$3:$I101,Transactions!$H$3:$H101,"Transfer Send",Transactions!$F$3:$F101,"Stablecoin",Transactions!$A$3:$A101,O$65,Transactions!$D$3:$D101,$N74)
-SUMIFS(Transactions!$I$3:$I101,Transactions!$H$3:$H101,"Sell",Transactions!$F$3:$F101,"Stablecoin",Transactions!$A$3:$A101,O$65,Transactions!$D$3:$D101,$N74)
-SUMIFS(Transactions!$M$3:$M101,Transactions!$H$3:$H101,"Buy",Transactions!$A$3:$A101,O$65,Transactions!$B$3:$B101,$N74))</f>
        <v/>
      </c>
      <c r="P74" s="158" t="str">
        <f>IF(OR(ISBLANK($N74),ISBLANK(P$65)),"",
SUMIFS(Transactions!$I$3:$I101,Transactions!$H$3:$H101,"Buy",Transactions!$F$3:$F101,"Crypto",Transactions!$A$3:$A101,P$65,Transactions!$D$3:$D101,$N74)
+SUMIFS(Transactions!$I$3:$I101,Transactions!$H$3:$H101,"Crypto Interest",Transactions!$F$3:$F101,"Crypto",Transactions!$A$3:$A101,P$65,Transactions!$D$3:$D101,$N74)
+SUMIFS(Transactions!$I$3:$I101,Transactions!$H$3:$H101,"Transfer Deposit",Transactions!$F$3:$F101,"Crypto",Transactions!$A$3:$A101,P$65,Transactions!$D$3:$D101,$N74)
-SUMIFS(Transactions!$I$3:$I101,Transactions!$H$3:$H101,"Transfer Send",Transactions!$F$3:$F101,"Crypto",Transactions!$A$3:$A101,P$65,Transactions!$D$3:$D101,$N74)
-SUMIFS(Transactions!$I$3:$I101,Transactions!$H$3:$H101,"Sell",Transactions!$F$3:$F101,"Crypto",Transactions!$A$3:$A101,P$65,Transactions!$D$3:$D101,$N74)
+SUMIFS(Transactions!$I$3:$I101,Transactions!$H$3:$H101,"Buy",Transactions!$F$3:$F101,"Stablecoin",Transactions!$A$3:$A101,P$65,Transactions!$D$3:$D101,$N74)
+SUMIFS(Transactions!$I$3:$I101,Transactions!$H$3:$H101,"Crypto Interest",Transactions!$F$3:$F101,"Stablecoin",Transactions!$A$3:$A101,P$65,Transactions!$D$3:$D101,$N74)
+SUMIFS(Transactions!$I$3:$I101,Transactions!$H$3:$H101,"Transfer Deposit",Transactions!$F$3:$F101,"Stablecoin",Transactions!$A$3:$A101,P$65,Transactions!$D$3:$D101,$N74)
-SUMIFS(Transactions!$I$3:$I101,Transactions!$H$3:$H101,"Transfer Send",Transactions!$F$3:$F101,"Stablecoin",Transactions!$A$3:$A101,P$65,Transactions!$D$3:$D101,$N74)
-SUMIFS(Transactions!$I$3:$I101,Transactions!$H$3:$H101,"Sell",Transactions!$F$3:$F101,"Stablecoin",Transactions!$A$3:$A101,P$65,Transactions!$D$3:$D101,$N74)
-SUMIFS(Transactions!$M$3:$M101,Transactions!$H$3:$H101,"Buy",Transactions!$A$3:$A101,P$65,Transactions!$B$3:$B101,$N74))</f>
        <v/>
      </c>
      <c r="Q74" s="158" t="str">
        <f>IF(OR(ISBLANK($N74),ISBLANK(Q$65)),"",
SUMIFS(Transactions!$I$3:$I101,Transactions!$H$3:$H101,"Buy",Transactions!$F$3:$F101,"Crypto",Transactions!$A$3:$A101,Q$65,Transactions!$D$3:$D101,$N74)
+SUMIFS(Transactions!$I$3:$I101,Transactions!$H$3:$H101,"Crypto Interest",Transactions!$F$3:$F101,"Crypto",Transactions!$A$3:$A101,Q$65,Transactions!$D$3:$D101,$N74)
+SUMIFS(Transactions!$I$3:$I101,Transactions!$H$3:$H101,"Transfer Deposit",Transactions!$F$3:$F101,"Crypto",Transactions!$A$3:$A101,Q$65,Transactions!$D$3:$D101,$N74)
-SUMIFS(Transactions!$I$3:$I101,Transactions!$H$3:$H101,"Transfer Send",Transactions!$F$3:$F101,"Crypto",Transactions!$A$3:$A101,Q$65,Transactions!$D$3:$D101,$N74)
-SUMIFS(Transactions!$I$3:$I101,Transactions!$H$3:$H101,"Sell",Transactions!$F$3:$F101,"Crypto",Transactions!$A$3:$A101,Q$65,Transactions!$D$3:$D101,$N74)
+SUMIFS(Transactions!$I$3:$I101,Transactions!$H$3:$H101,"Buy",Transactions!$F$3:$F101,"Stablecoin",Transactions!$A$3:$A101,Q$65,Transactions!$D$3:$D101,$N74)
+SUMIFS(Transactions!$I$3:$I101,Transactions!$H$3:$H101,"Crypto Interest",Transactions!$F$3:$F101,"Stablecoin",Transactions!$A$3:$A101,Q$65,Transactions!$D$3:$D101,$N74)
+SUMIFS(Transactions!$I$3:$I101,Transactions!$H$3:$H101,"Transfer Deposit",Transactions!$F$3:$F101,"Stablecoin",Transactions!$A$3:$A101,Q$65,Transactions!$D$3:$D101,$N74)
-SUMIFS(Transactions!$I$3:$I101,Transactions!$H$3:$H101,"Transfer Send",Transactions!$F$3:$F101,"Stablecoin",Transactions!$A$3:$A101,Q$65,Transactions!$D$3:$D101,$N74)
-SUMIFS(Transactions!$I$3:$I101,Transactions!$H$3:$H101,"Sell",Transactions!$F$3:$F101,"Stablecoin",Transactions!$A$3:$A101,Q$65,Transactions!$D$3:$D101,$N74)
-SUMIFS(Transactions!$M$3:$M101,Transactions!$H$3:$H101,"Buy",Transactions!$A$3:$A101,Q$65,Transactions!$B$3:$B101,$N74))</f>
        <v/>
      </c>
      <c r="R74" s="158" t="str">
        <f>IF(OR(ISBLANK($N74),ISBLANK(R$65)),"",
SUMIFS(Transactions!$I$3:$I101,Transactions!$H$3:$H101,"Buy",Transactions!$F$3:$F101,"Crypto",Transactions!$A$3:$A101,R$65,Transactions!$D$3:$D101,$N74)
+SUMIFS(Transactions!$I$3:$I101,Transactions!$H$3:$H101,"Crypto Interest",Transactions!$F$3:$F101,"Crypto",Transactions!$A$3:$A101,R$65,Transactions!$D$3:$D101,$N74)
+SUMIFS(Transactions!$I$3:$I101,Transactions!$H$3:$H101,"Transfer Deposit",Transactions!$F$3:$F101,"Crypto",Transactions!$A$3:$A101,R$65,Transactions!$D$3:$D101,$N74)
-SUMIFS(Transactions!$I$3:$I101,Transactions!$H$3:$H101,"Transfer Send",Transactions!$F$3:$F101,"Crypto",Transactions!$A$3:$A101,R$65,Transactions!$D$3:$D101,$N74)
-SUMIFS(Transactions!$I$3:$I101,Transactions!$H$3:$H101,"Sell",Transactions!$F$3:$F101,"Crypto",Transactions!$A$3:$A101,R$65,Transactions!$D$3:$D101,$N74)
+SUMIFS(Transactions!$I$3:$I101,Transactions!$H$3:$H101,"Buy",Transactions!$F$3:$F101,"Stablecoin",Transactions!$A$3:$A101,R$65,Transactions!$D$3:$D101,$N74)
+SUMIFS(Transactions!$I$3:$I101,Transactions!$H$3:$H101,"Crypto Interest",Transactions!$F$3:$F101,"Stablecoin",Transactions!$A$3:$A101,R$65,Transactions!$D$3:$D101,$N74)
+SUMIFS(Transactions!$I$3:$I101,Transactions!$H$3:$H101,"Transfer Deposit",Transactions!$F$3:$F101,"Stablecoin",Transactions!$A$3:$A101,R$65,Transactions!$D$3:$D101,$N74)
-SUMIFS(Transactions!$I$3:$I101,Transactions!$H$3:$H101,"Transfer Send",Transactions!$F$3:$F101,"Stablecoin",Transactions!$A$3:$A101,R$65,Transactions!$D$3:$D101,$N74)
-SUMIFS(Transactions!$I$3:$I101,Transactions!$H$3:$H101,"Sell",Transactions!$F$3:$F101,"Stablecoin",Transactions!$A$3:$A101,R$65,Transactions!$D$3:$D101,$N74)
-SUMIFS(Transactions!$M$3:$M101,Transactions!$H$3:$H101,"Buy",Transactions!$A$3:$A101,R$65,Transactions!$B$3:$B101,$N74))</f>
        <v/>
      </c>
      <c r="S74" s="158" t="str">
        <f>IF(OR(ISBLANK($N74),ISBLANK(S$65)),"",
SUMIFS(Transactions!$I$3:$I101,Transactions!$H$3:$H101,"Buy",Transactions!$F$3:$F101,"Crypto",Transactions!$A$3:$A101,S$65,Transactions!$D$3:$D101,$N74)
+SUMIFS(Transactions!$I$3:$I101,Transactions!$H$3:$H101,"Crypto Interest",Transactions!$F$3:$F101,"Crypto",Transactions!$A$3:$A101,S$65,Transactions!$D$3:$D101,$N74)
+SUMIFS(Transactions!$I$3:$I101,Transactions!$H$3:$H101,"Transfer Deposit",Transactions!$F$3:$F101,"Crypto",Transactions!$A$3:$A101,S$65,Transactions!$D$3:$D101,$N74)
-SUMIFS(Transactions!$I$3:$I101,Transactions!$H$3:$H101,"Transfer Send",Transactions!$F$3:$F101,"Crypto",Transactions!$A$3:$A101,S$65,Transactions!$D$3:$D101,$N74)
-SUMIFS(Transactions!$I$3:$I101,Transactions!$H$3:$H101,"Sell",Transactions!$F$3:$F101,"Crypto",Transactions!$A$3:$A101,S$65,Transactions!$D$3:$D101,$N74)
+SUMIFS(Transactions!$I$3:$I101,Transactions!$H$3:$H101,"Buy",Transactions!$F$3:$F101,"Stablecoin",Transactions!$A$3:$A101,S$65,Transactions!$D$3:$D101,$N74)
+SUMIFS(Transactions!$I$3:$I101,Transactions!$H$3:$H101,"Crypto Interest",Transactions!$F$3:$F101,"Stablecoin",Transactions!$A$3:$A101,S$65,Transactions!$D$3:$D101,$N74)
+SUMIFS(Transactions!$I$3:$I101,Transactions!$H$3:$H101,"Transfer Deposit",Transactions!$F$3:$F101,"Stablecoin",Transactions!$A$3:$A101,S$65,Transactions!$D$3:$D101,$N74)
-SUMIFS(Transactions!$I$3:$I101,Transactions!$H$3:$H101,"Transfer Send",Transactions!$F$3:$F101,"Stablecoin",Transactions!$A$3:$A101,S$65,Transactions!$D$3:$D101,$N74)
-SUMIFS(Transactions!$I$3:$I101,Transactions!$H$3:$H101,"Sell",Transactions!$F$3:$F101,"Stablecoin",Transactions!$A$3:$A101,S$65,Transactions!$D$3:$D101,$N74)
-SUMIFS(Transactions!$M$3:$M101,Transactions!$H$3:$H101,"Buy",Transactions!$A$3:$A101,S$65,Transactions!$B$3:$B101,$N74))</f>
        <v/>
      </c>
      <c r="T74" s="158" t="str">
        <f>IF(OR(ISBLANK($N74),ISBLANK(T$65)),"",
SUMIFS(Transactions!$I$3:$I101,Transactions!$H$3:$H101,"Buy",Transactions!$F$3:$F101,"Crypto",Transactions!$A$3:$A101,T$65,Transactions!$D$3:$D101,$N74)
+SUMIFS(Transactions!$I$3:$I101,Transactions!$H$3:$H101,"Crypto Interest",Transactions!$F$3:$F101,"Crypto",Transactions!$A$3:$A101,T$65,Transactions!$D$3:$D101,$N74)
+SUMIFS(Transactions!$I$3:$I101,Transactions!$H$3:$H101,"Transfer Deposit",Transactions!$F$3:$F101,"Crypto",Transactions!$A$3:$A101,T$65,Transactions!$D$3:$D101,$N74)
-SUMIFS(Transactions!$I$3:$I101,Transactions!$H$3:$H101,"Transfer Send",Transactions!$F$3:$F101,"Crypto",Transactions!$A$3:$A101,T$65,Transactions!$D$3:$D101,$N74)
-SUMIFS(Transactions!$I$3:$I101,Transactions!$H$3:$H101,"Sell",Transactions!$F$3:$F101,"Crypto",Transactions!$A$3:$A101,T$65,Transactions!$D$3:$D101,$N74)
+SUMIFS(Transactions!$I$3:$I101,Transactions!$H$3:$H101,"Buy",Transactions!$F$3:$F101,"Stablecoin",Transactions!$A$3:$A101,T$65,Transactions!$D$3:$D101,$N74)
+SUMIFS(Transactions!$I$3:$I101,Transactions!$H$3:$H101,"Crypto Interest",Transactions!$F$3:$F101,"Stablecoin",Transactions!$A$3:$A101,T$65,Transactions!$D$3:$D101,$N74)
+SUMIFS(Transactions!$I$3:$I101,Transactions!$H$3:$H101,"Transfer Deposit",Transactions!$F$3:$F101,"Stablecoin",Transactions!$A$3:$A101,T$65,Transactions!$D$3:$D101,$N74)
-SUMIFS(Transactions!$I$3:$I101,Transactions!$H$3:$H101,"Transfer Send",Transactions!$F$3:$F101,"Stablecoin",Transactions!$A$3:$A101,T$65,Transactions!$D$3:$D101,$N74)
-SUMIFS(Transactions!$I$3:$I101,Transactions!$H$3:$H101,"Sell",Transactions!$F$3:$F101,"Stablecoin",Transactions!$A$3:$A101,T$65,Transactions!$D$3:$D101,$N74)
-SUMIFS(Transactions!$M$3:$M101,Transactions!$H$3:$H101,"Buy",Transactions!$A$3:$A101,T$65,Transactions!$B$3:$B101,$N74))</f>
        <v/>
      </c>
      <c r="U74" s="158" t="str">
        <f>IF(OR(ISBLANK($N74),ISBLANK(U$65)),"",
SUMIFS(Transactions!$I$3:$I101,Transactions!$H$3:$H101,"Buy",Transactions!$F$3:$F101,"Crypto",Transactions!$A$3:$A101,U$65,Transactions!$D$3:$D101,$N74)
+SUMIFS(Transactions!$I$3:$I101,Transactions!$H$3:$H101,"Crypto Interest",Transactions!$F$3:$F101,"Crypto",Transactions!$A$3:$A101,U$65,Transactions!$D$3:$D101,$N74)
+SUMIFS(Transactions!$I$3:$I101,Transactions!$H$3:$H101,"Transfer Deposit",Transactions!$F$3:$F101,"Crypto",Transactions!$A$3:$A101,U$65,Transactions!$D$3:$D101,$N74)
-SUMIFS(Transactions!$I$3:$I101,Transactions!$H$3:$H101,"Transfer Send",Transactions!$F$3:$F101,"Crypto",Transactions!$A$3:$A101,U$65,Transactions!$D$3:$D101,$N74)
-SUMIFS(Transactions!$I$3:$I101,Transactions!$H$3:$H101,"Sell",Transactions!$F$3:$F101,"Crypto",Transactions!$A$3:$A101,U$65,Transactions!$D$3:$D101,$N74)
+SUMIFS(Transactions!$I$3:$I101,Transactions!$H$3:$H101,"Buy",Transactions!$F$3:$F101,"Stablecoin",Transactions!$A$3:$A101,U$65,Transactions!$D$3:$D101,$N74)
+SUMIFS(Transactions!$I$3:$I101,Transactions!$H$3:$H101,"Crypto Interest",Transactions!$F$3:$F101,"Stablecoin",Transactions!$A$3:$A101,U$65,Transactions!$D$3:$D101,$N74)
+SUMIFS(Transactions!$I$3:$I101,Transactions!$H$3:$H101,"Transfer Deposit",Transactions!$F$3:$F101,"Stablecoin",Transactions!$A$3:$A101,U$65,Transactions!$D$3:$D101,$N74)
-SUMIFS(Transactions!$I$3:$I101,Transactions!$H$3:$H101,"Transfer Send",Transactions!$F$3:$F101,"Stablecoin",Transactions!$A$3:$A101,U$65,Transactions!$D$3:$D101,$N74)
-SUMIFS(Transactions!$I$3:$I101,Transactions!$H$3:$H101,"Sell",Transactions!$F$3:$F101,"Stablecoin",Transactions!$A$3:$A101,U$65,Transactions!$D$3:$D101,$N74)
-SUMIFS(Transactions!$M$3:$M101,Transactions!$H$3:$H101,"Buy",Transactions!$A$3:$A101,U$65,Transactions!$B$3:$B101,$N74))</f>
        <v/>
      </c>
      <c r="V74" s="158"/>
      <c r="W74" s="95"/>
      <c r="X74" s="96"/>
      <c r="Y74" s="96" t="str">
        <f>IFERROR(__xludf.DUMMYFUNCTION("IF(ISBLANK(W74),"""",QUERY(GOOGLEFINANCE($N$21,""Close"",W74-5,6),""select Col2 where Col1 &lt; date '""&amp;TEXT(W74+1, ""YYYY-MM-DD"")&amp;""' order by Col1 desc limit 1"",False)
)"),"")</f>
        <v/>
      </c>
      <c r="Z74" s="158"/>
    </row>
    <row r="75">
      <c r="A75" s="14"/>
      <c r="B75" s="149"/>
      <c r="C75" s="156" t="str">
        <f>IF(ISBLANK(B75),"",SUMIF(Portfolio!$A:$A,B75,Portfolio!$C:$C))</f>
        <v/>
      </c>
      <c r="D75" s="145" t="str">
        <f>IF(ISBLANK(B75),"",AVERAGEIF(Portfolio!$A:$A,B75,Portfolio!$D:$D))</f>
        <v/>
      </c>
      <c r="F75" s="145" t="str">
        <f>IF(ISBLANK(B75),"",VLOOKUP(B75,Portfolio!$A:$E,5,0))</f>
        <v/>
      </c>
      <c r="G75" s="145" t="str">
        <f>IF(ISBLANK(B75),"",IFERROR(((C75-SUMIFS(Transactions!I:I,Transactions!H:H,"Crypto Interest",Transactions!E:E,B75))*D75),""))</f>
        <v/>
      </c>
      <c r="H75" s="145" t="str">
        <f t="shared" si="11"/>
        <v/>
      </c>
      <c r="I75" s="50" t="str">
        <f t="shared" si="12"/>
        <v/>
      </c>
      <c r="J75" s="145" t="str">
        <f t="shared" si="13"/>
        <v/>
      </c>
      <c r="K75" s="145" t="str">
        <f>IF(ISBLANK(B75),"",SUMIF(Portfolio!$A:$A,B75,Portfolio!$Q:$Q))</f>
        <v/>
      </c>
      <c r="L75" s="145" t="str">
        <f t="shared" si="14"/>
        <v/>
      </c>
      <c r="M75" s="14"/>
      <c r="N75" s="157"/>
      <c r="O75" s="158" t="str">
        <f>IF(OR(ISBLANK($N75),ISBLANK(O$65)),"",
SUMIFS(Transactions!$I$3:$I101,Transactions!$H$3:$H101,"Buy",Transactions!$F$3:$F101,"Crypto",Transactions!$A$3:$A101,O$65,Transactions!$D$3:$D101,$N75)
+SUMIFS(Transactions!$I$3:$I101,Transactions!$H$3:$H101,"Crypto Interest",Transactions!$F$3:$F101,"Crypto",Transactions!$A$3:$A101,O$65,Transactions!$D$3:$D101,$N75)
+SUMIFS(Transactions!$I$3:$I101,Transactions!$H$3:$H101,"Transfer Deposit",Transactions!$F$3:$F101,"Crypto",Transactions!$A$3:$A101,O$65,Transactions!$D$3:$D101,$N75)
-SUMIFS(Transactions!$I$3:$I101,Transactions!$H$3:$H101,"Transfer Send",Transactions!$F$3:$F101,"Crypto",Transactions!$A$3:$A101,O$65,Transactions!$D$3:$D101,$N75)
-SUMIFS(Transactions!$I$3:$I101,Transactions!$H$3:$H101,"Sell",Transactions!$F$3:$F101,"Crypto",Transactions!$A$3:$A101,O$65,Transactions!$D$3:$D101,$N75)
+SUMIFS(Transactions!$I$3:$I101,Transactions!$H$3:$H101,"Buy",Transactions!$F$3:$F101,"Stablecoin",Transactions!$A$3:$A101,O$65,Transactions!$D$3:$D101,$N75)
+SUMIFS(Transactions!$I$3:$I101,Transactions!$H$3:$H101,"Crypto Interest",Transactions!$F$3:$F101,"Stablecoin",Transactions!$A$3:$A101,O$65,Transactions!$D$3:$D101,$N75)
+SUMIFS(Transactions!$I$3:$I101,Transactions!$H$3:$H101,"Transfer Deposit",Transactions!$F$3:$F101,"Stablecoin",Transactions!$A$3:$A101,O$65,Transactions!$D$3:$D101,$N75)
-SUMIFS(Transactions!$I$3:$I101,Transactions!$H$3:$H101,"Transfer Send",Transactions!$F$3:$F101,"Stablecoin",Transactions!$A$3:$A101,O$65,Transactions!$D$3:$D101,$N75)
-SUMIFS(Transactions!$I$3:$I101,Transactions!$H$3:$H101,"Sell",Transactions!$F$3:$F101,"Stablecoin",Transactions!$A$3:$A101,O$65,Transactions!$D$3:$D101,$N75)
-SUMIFS(Transactions!$M$3:$M101,Transactions!$H$3:$H101,"Buy",Transactions!$A$3:$A101,O$65,Transactions!$B$3:$B101,$N75))</f>
        <v/>
      </c>
      <c r="P75" s="158" t="str">
        <f>IF(OR(ISBLANK($N75),ISBLANK(P$65)),"",
SUMIFS(Transactions!$I$3:$I101,Transactions!$H$3:$H101,"Buy",Transactions!$F$3:$F101,"Crypto",Transactions!$A$3:$A101,P$65,Transactions!$D$3:$D101,$N75)
+SUMIFS(Transactions!$I$3:$I101,Transactions!$H$3:$H101,"Crypto Interest",Transactions!$F$3:$F101,"Crypto",Transactions!$A$3:$A101,P$65,Transactions!$D$3:$D101,$N75)
+SUMIFS(Transactions!$I$3:$I101,Transactions!$H$3:$H101,"Transfer Deposit",Transactions!$F$3:$F101,"Crypto",Transactions!$A$3:$A101,P$65,Transactions!$D$3:$D101,$N75)
-SUMIFS(Transactions!$I$3:$I101,Transactions!$H$3:$H101,"Transfer Send",Transactions!$F$3:$F101,"Crypto",Transactions!$A$3:$A101,P$65,Transactions!$D$3:$D101,$N75)
-SUMIFS(Transactions!$I$3:$I101,Transactions!$H$3:$H101,"Sell",Transactions!$F$3:$F101,"Crypto",Transactions!$A$3:$A101,P$65,Transactions!$D$3:$D101,$N75)
+SUMIFS(Transactions!$I$3:$I101,Transactions!$H$3:$H101,"Buy",Transactions!$F$3:$F101,"Stablecoin",Transactions!$A$3:$A101,P$65,Transactions!$D$3:$D101,$N75)
+SUMIFS(Transactions!$I$3:$I101,Transactions!$H$3:$H101,"Crypto Interest",Transactions!$F$3:$F101,"Stablecoin",Transactions!$A$3:$A101,P$65,Transactions!$D$3:$D101,$N75)
+SUMIFS(Transactions!$I$3:$I101,Transactions!$H$3:$H101,"Transfer Deposit",Transactions!$F$3:$F101,"Stablecoin",Transactions!$A$3:$A101,P$65,Transactions!$D$3:$D101,$N75)
-SUMIFS(Transactions!$I$3:$I101,Transactions!$H$3:$H101,"Transfer Send",Transactions!$F$3:$F101,"Stablecoin",Transactions!$A$3:$A101,P$65,Transactions!$D$3:$D101,$N75)
-SUMIFS(Transactions!$I$3:$I101,Transactions!$H$3:$H101,"Sell",Transactions!$F$3:$F101,"Stablecoin",Transactions!$A$3:$A101,P$65,Transactions!$D$3:$D101,$N75)
-SUMIFS(Transactions!$M$3:$M101,Transactions!$H$3:$H101,"Buy",Transactions!$A$3:$A101,P$65,Transactions!$B$3:$B101,$N75))</f>
        <v/>
      </c>
      <c r="Q75" s="158" t="str">
        <f>IF(OR(ISBLANK($N75),ISBLANK(Q$65)),"",
SUMIFS(Transactions!$I$3:$I101,Transactions!$H$3:$H101,"Buy",Transactions!$F$3:$F101,"Crypto",Transactions!$A$3:$A101,Q$65,Transactions!$D$3:$D101,$N75)
+SUMIFS(Transactions!$I$3:$I101,Transactions!$H$3:$H101,"Crypto Interest",Transactions!$F$3:$F101,"Crypto",Transactions!$A$3:$A101,Q$65,Transactions!$D$3:$D101,$N75)
+SUMIFS(Transactions!$I$3:$I101,Transactions!$H$3:$H101,"Transfer Deposit",Transactions!$F$3:$F101,"Crypto",Transactions!$A$3:$A101,Q$65,Transactions!$D$3:$D101,$N75)
-SUMIFS(Transactions!$I$3:$I101,Transactions!$H$3:$H101,"Transfer Send",Transactions!$F$3:$F101,"Crypto",Transactions!$A$3:$A101,Q$65,Transactions!$D$3:$D101,$N75)
-SUMIFS(Transactions!$I$3:$I101,Transactions!$H$3:$H101,"Sell",Transactions!$F$3:$F101,"Crypto",Transactions!$A$3:$A101,Q$65,Transactions!$D$3:$D101,$N75)
+SUMIFS(Transactions!$I$3:$I101,Transactions!$H$3:$H101,"Buy",Transactions!$F$3:$F101,"Stablecoin",Transactions!$A$3:$A101,Q$65,Transactions!$D$3:$D101,$N75)
+SUMIFS(Transactions!$I$3:$I101,Transactions!$H$3:$H101,"Crypto Interest",Transactions!$F$3:$F101,"Stablecoin",Transactions!$A$3:$A101,Q$65,Transactions!$D$3:$D101,$N75)
+SUMIFS(Transactions!$I$3:$I101,Transactions!$H$3:$H101,"Transfer Deposit",Transactions!$F$3:$F101,"Stablecoin",Transactions!$A$3:$A101,Q$65,Transactions!$D$3:$D101,$N75)
-SUMIFS(Transactions!$I$3:$I101,Transactions!$H$3:$H101,"Transfer Send",Transactions!$F$3:$F101,"Stablecoin",Transactions!$A$3:$A101,Q$65,Transactions!$D$3:$D101,$N75)
-SUMIFS(Transactions!$I$3:$I101,Transactions!$H$3:$H101,"Sell",Transactions!$F$3:$F101,"Stablecoin",Transactions!$A$3:$A101,Q$65,Transactions!$D$3:$D101,$N75)
-SUMIFS(Transactions!$M$3:$M101,Transactions!$H$3:$H101,"Buy",Transactions!$A$3:$A101,Q$65,Transactions!$B$3:$B101,$N75))</f>
        <v/>
      </c>
      <c r="R75" s="158" t="str">
        <f>IF(OR(ISBLANK($N75),ISBLANK(R$65)),"",
SUMIFS(Transactions!$I$3:$I101,Transactions!$H$3:$H101,"Buy",Transactions!$F$3:$F101,"Crypto",Transactions!$A$3:$A101,R$65,Transactions!$D$3:$D101,$N75)
+SUMIFS(Transactions!$I$3:$I101,Transactions!$H$3:$H101,"Crypto Interest",Transactions!$F$3:$F101,"Crypto",Transactions!$A$3:$A101,R$65,Transactions!$D$3:$D101,$N75)
+SUMIFS(Transactions!$I$3:$I101,Transactions!$H$3:$H101,"Transfer Deposit",Transactions!$F$3:$F101,"Crypto",Transactions!$A$3:$A101,R$65,Transactions!$D$3:$D101,$N75)
-SUMIFS(Transactions!$I$3:$I101,Transactions!$H$3:$H101,"Transfer Send",Transactions!$F$3:$F101,"Crypto",Transactions!$A$3:$A101,R$65,Transactions!$D$3:$D101,$N75)
-SUMIFS(Transactions!$I$3:$I101,Transactions!$H$3:$H101,"Sell",Transactions!$F$3:$F101,"Crypto",Transactions!$A$3:$A101,R$65,Transactions!$D$3:$D101,$N75)
+SUMIFS(Transactions!$I$3:$I101,Transactions!$H$3:$H101,"Buy",Transactions!$F$3:$F101,"Stablecoin",Transactions!$A$3:$A101,R$65,Transactions!$D$3:$D101,$N75)
+SUMIFS(Transactions!$I$3:$I101,Transactions!$H$3:$H101,"Crypto Interest",Transactions!$F$3:$F101,"Stablecoin",Transactions!$A$3:$A101,R$65,Transactions!$D$3:$D101,$N75)
+SUMIFS(Transactions!$I$3:$I101,Transactions!$H$3:$H101,"Transfer Deposit",Transactions!$F$3:$F101,"Stablecoin",Transactions!$A$3:$A101,R$65,Transactions!$D$3:$D101,$N75)
-SUMIFS(Transactions!$I$3:$I101,Transactions!$H$3:$H101,"Transfer Send",Transactions!$F$3:$F101,"Stablecoin",Transactions!$A$3:$A101,R$65,Transactions!$D$3:$D101,$N75)
-SUMIFS(Transactions!$I$3:$I101,Transactions!$H$3:$H101,"Sell",Transactions!$F$3:$F101,"Stablecoin",Transactions!$A$3:$A101,R$65,Transactions!$D$3:$D101,$N75)
-SUMIFS(Transactions!$M$3:$M101,Transactions!$H$3:$H101,"Buy",Transactions!$A$3:$A101,R$65,Transactions!$B$3:$B101,$N75))</f>
        <v/>
      </c>
      <c r="S75" s="158" t="str">
        <f>IF(OR(ISBLANK($N75),ISBLANK(S$65)),"",
SUMIFS(Transactions!$I$3:$I101,Transactions!$H$3:$H101,"Buy",Transactions!$F$3:$F101,"Crypto",Transactions!$A$3:$A101,S$65,Transactions!$D$3:$D101,$N75)
+SUMIFS(Transactions!$I$3:$I101,Transactions!$H$3:$H101,"Crypto Interest",Transactions!$F$3:$F101,"Crypto",Transactions!$A$3:$A101,S$65,Transactions!$D$3:$D101,$N75)
+SUMIFS(Transactions!$I$3:$I101,Transactions!$H$3:$H101,"Transfer Deposit",Transactions!$F$3:$F101,"Crypto",Transactions!$A$3:$A101,S$65,Transactions!$D$3:$D101,$N75)
-SUMIFS(Transactions!$I$3:$I101,Transactions!$H$3:$H101,"Transfer Send",Transactions!$F$3:$F101,"Crypto",Transactions!$A$3:$A101,S$65,Transactions!$D$3:$D101,$N75)
-SUMIFS(Transactions!$I$3:$I101,Transactions!$H$3:$H101,"Sell",Transactions!$F$3:$F101,"Crypto",Transactions!$A$3:$A101,S$65,Transactions!$D$3:$D101,$N75)
+SUMIFS(Transactions!$I$3:$I101,Transactions!$H$3:$H101,"Buy",Transactions!$F$3:$F101,"Stablecoin",Transactions!$A$3:$A101,S$65,Transactions!$D$3:$D101,$N75)
+SUMIFS(Transactions!$I$3:$I101,Transactions!$H$3:$H101,"Crypto Interest",Transactions!$F$3:$F101,"Stablecoin",Transactions!$A$3:$A101,S$65,Transactions!$D$3:$D101,$N75)
+SUMIFS(Transactions!$I$3:$I101,Transactions!$H$3:$H101,"Transfer Deposit",Transactions!$F$3:$F101,"Stablecoin",Transactions!$A$3:$A101,S$65,Transactions!$D$3:$D101,$N75)
-SUMIFS(Transactions!$I$3:$I101,Transactions!$H$3:$H101,"Transfer Send",Transactions!$F$3:$F101,"Stablecoin",Transactions!$A$3:$A101,S$65,Transactions!$D$3:$D101,$N75)
-SUMIFS(Transactions!$I$3:$I101,Transactions!$H$3:$H101,"Sell",Transactions!$F$3:$F101,"Stablecoin",Transactions!$A$3:$A101,S$65,Transactions!$D$3:$D101,$N75)
-SUMIFS(Transactions!$M$3:$M101,Transactions!$H$3:$H101,"Buy",Transactions!$A$3:$A101,S$65,Transactions!$B$3:$B101,$N75))</f>
        <v/>
      </c>
      <c r="T75" s="158" t="str">
        <f>IF(OR(ISBLANK($N75),ISBLANK(T$65)),"",
SUMIFS(Transactions!$I$3:$I101,Transactions!$H$3:$H101,"Buy",Transactions!$F$3:$F101,"Crypto",Transactions!$A$3:$A101,T$65,Transactions!$D$3:$D101,$N75)
+SUMIFS(Transactions!$I$3:$I101,Transactions!$H$3:$H101,"Crypto Interest",Transactions!$F$3:$F101,"Crypto",Transactions!$A$3:$A101,T$65,Transactions!$D$3:$D101,$N75)
+SUMIFS(Transactions!$I$3:$I101,Transactions!$H$3:$H101,"Transfer Deposit",Transactions!$F$3:$F101,"Crypto",Transactions!$A$3:$A101,T$65,Transactions!$D$3:$D101,$N75)
-SUMIFS(Transactions!$I$3:$I101,Transactions!$H$3:$H101,"Transfer Send",Transactions!$F$3:$F101,"Crypto",Transactions!$A$3:$A101,T$65,Transactions!$D$3:$D101,$N75)
-SUMIFS(Transactions!$I$3:$I101,Transactions!$H$3:$H101,"Sell",Transactions!$F$3:$F101,"Crypto",Transactions!$A$3:$A101,T$65,Transactions!$D$3:$D101,$N75)
+SUMIFS(Transactions!$I$3:$I101,Transactions!$H$3:$H101,"Buy",Transactions!$F$3:$F101,"Stablecoin",Transactions!$A$3:$A101,T$65,Transactions!$D$3:$D101,$N75)
+SUMIFS(Transactions!$I$3:$I101,Transactions!$H$3:$H101,"Crypto Interest",Transactions!$F$3:$F101,"Stablecoin",Transactions!$A$3:$A101,T$65,Transactions!$D$3:$D101,$N75)
+SUMIFS(Transactions!$I$3:$I101,Transactions!$H$3:$H101,"Transfer Deposit",Transactions!$F$3:$F101,"Stablecoin",Transactions!$A$3:$A101,T$65,Transactions!$D$3:$D101,$N75)
-SUMIFS(Transactions!$I$3:$I101,Transactions!$H$3:$H101,"Transfer Send",Transactions!$F$3:$F101,"Stablecoin",Transactions!$A$3:$A101,T$65,Transactions!$D$3:$D101,$N75)
-SUMIFS(Transactions!$I$3:$I101,Transactions!$H$3:$H101,"Sell",Transactions!$F$3:$F101,"Stablecoin",Transactions!$A$3:$A101,T$65,Transactions!$D$3:$D101,$N75)
-SUMIFS(Transactions!$M$3:$M101,Transactions!$H$3:$H101,"Buy",Transactions!$A$3:$A101,T$65,Transactions!$B$3:$B101,$N75))</f>
        <v/>
      </c>
      <c r="U75" s="158" t="str">
        <f>IF(OR(ISBLANK($N75),ISBLANK(U$65)),"",
SUMIFS(Transactions!$I$3:$I101,Transactions!$H$3:$H101,"Buy",Transactions!$F$3:$F101,"Crypto",Transactions!$A$3:$A101,U$65,Transactions!$D$3:$D101,$N75)
+SUMIFS(Transactions!$I$3:$I101,Transactions!$H$3:$H101,"Crypto Interest",Transactions!$F$3:$F101,"Crypto",Transactions!$A$3:$A101,U$65,Transactions!$D$3:$D101,$N75)
+SUMIFS(Transactions!$I$3:$I101,Transactions!$H$3:$H101,"Transfer Deposit",Transactions!$F$3:$F101,"Crypto",Transactions!$A$3:$A101,U$65,Transactions!$D$3:$D101,$N75)
-SUMIFS(Transactions!$I$3:$I101,Transactions!$H$3:$H101,"Transfer Send",Transactions!$F$3:$F101,"Crypto",Transactions!$A$3:$A101,U$65,Transactions!$D$3:$D101,$N75)
-SUMIFS(Transactions!$I$3:$I101,Transactions!$H$3:$H101,"Sell",Transactions!$F$3:$F101,"Crypto",Transactions!$A$3:$A101,U$65,Transactions!$D$3:$D101,$N75)
+SUMIFS(Transactions!$I$3:$I101,Transactions!$H$3:$H101,"Buy",Transactions!$F$3:$F101,"Stablecoin",Transactions!$A$3:$A101,U$65,Transactions!$D$3:$D101,$N75)
+SUMIFS(Transactions!$I$3:$I101,Transactions!$H$3:$H101,"Crypto Interest",Transactions!$F$3:$F101,"Stablecoin",Transactions!$A$3:$A101,U$65,Transactions!$D$3:$D101,$N75)
+SUMIFS(Transactions!$I$3:$I101,Transactions!$H$3:$H101,"Transfer Deposit",Transactions!$F$3:$F101,"Stablecoin",Transactions!$A$3:$A101,U$65,Transactions!$D$3:$D101,$N75)
-SUMIFS(Transactions!$I$3:$I101,Transactions!$H$3:$H101,"Transfer Send",Transactions!$F$3:$F101,"Stablecoin",Transactions!$A$3:$A101,U$65,Transactions!$D$3:$D101,$N75)
-SUMIFS(Transactions!$I$3:$I101,Transactions!$H$3:$H101,"Sell",Transactions!$F$3:$F101,"Stablecoin",Transactions!$A$3:$A101,U$65,Transactions!$D$3:$D101,$N75)
-SUMIFS(Transactions!$M$3:$M101,Transactions!$H$3:$H101,"Buy",Transactions!$A$3:$A101,U$65,Transactions!$B$3:$B101,$N75))</f>
        <v/>
      </c>
      <c r="V75" s="158"/>
      <c r="W75" s="95"/>
      <c r="X75" s="96"/>
      <c r="Y75" s="96" t="str">
        <f>IFERROR(__xludf.DUMMYFUNCTION("IF(ISBLANK(W75),"""",QUERY(GOOGLEFINANCE($N$21,""Close"",W75-5,6),""select Col2 where Col1 &lt; date '""&amp;TEXT(W75+1, ""YYYY-MM-DD"")&amp;""' order by Col1 desc limit 1"",False)
)"),"")</f>
        <v/>
      </c>
      <c r="Z75" s="158"/>
    </row>
    <row r="76">
      <c r="A76" s="14"/>
      <c r="B76" s="149"/>
      <c r="C76" s="156" t="str">
        <f>IF(ISBLANK(B76),"",SUMIF(Portfolio!$A:$A,B76,Portfolio!$C:$C))</f>
        <v/>
      </c>
      <c r="D76" s="145" t="str">
        <f>IF(ISBLANK(B76),"",AVERAGEIF(Portfolio!$A:$A,B76,Portfolio!$D:$D))</f>
        <v/>
      </c>
      <c r="F76" s="145" t="str">
        <f>IF(ISBLANK(B76),"",VLOOKUP(B76,Portfolio!$A:$E,5,0))</f>
        <v/>
      </c>
      <c r="G76" s="145" t="str">
        <f>IF(ISBLANK(B76),"",IFERROR(((C76-SUMIFS(Transactions!I:I,Transactions!H:H,"Crypto Interest",Transactions!E:E,B76))*D76),""))</f>
        <v/>
      </c>
      <c r="H76" s="145" t="str">
        <f t="shared" si="11"/>
        <v/>
      </c>
      <c r="I76" s="50" t="str">
        <f t="shared" si="12"/>
        <v/>
      </c>
      <c r="J76" s="145" t="str">
        <f t="shared" si="13"/>
        <v/>
      </c>
      <c r="K76" s="145" t="str">
        <f>IF(ISBLANK(B76),"",SUMIF(Portfolio!$A:$A,B76,Portfolio!$Q:$Q))</f>
        <v/>
      </c>
      <c r="L76" s="145" t="str">
        <f t="shared" si="14"/>
        <v/>
      </c>
      <c r="M76" s="14"/>
      <c r="N76" s="157"/>
      <c r="O76" s="158" t="str">
        <f>IF(OR(ISBLANK($N76),ISBLANK(O$65)),"",
SUMIFS(Transactions!$I$3:$I101,Transactions!$H$3:$H101,"Buy",Transactions!$F$3:$F101,"Crypto",Transactions!$A$3:$A101,O$65,Transactions!$D$3:$D101,$N76)
+SUMIFS(Transactions!$I$3:$I101,Transactions!$H$3:$H101,"Crypto Interest",Transactions!$F$3:$F101,"Crypto",Transactions!$A$3:$A101,O$65,Transactions!$D$3:$D101,$N76)
+SUMIFS(Transactions!$I$3:$I101,Transactions!$H$3:$H101,"Transfer Deposit",Transactions!$F$3:$F101,"Crypto",Transactions!$A$3:$A101,O$65,Transactions!$D$3:$D101,$N76)
-SUMIFS(Transactions!$I$3:$I101,Transactions!$H$3:$H101,"Transfer Send",Transactions!$F$3:$F101,"Crypto",Transactions!$A$3:$A101,O$65,Transactions!$D$3:$D101,$N76)
-SUMIFS(Transactions!$I$3:$I101,Transactions!$H$3:$H101,"Sell",Transactions!$F$3:$F101,"Crypto",Transactions!$A$3:$A101,O$65,Transactions!$D$3:$D101,$N76)
+SUMIFS(Transactions!$I$3:$I101,Transactions!$H$3:$H101,"Buy",Transactions!$F$3:$F101,"Stablecoin",Transactions!$A$3:$A101,O$65,Transactions!$D$3:$D101,$N76)
+SUMIFS(Transactions!$I$3:$I101,Transactions!$H$3:$H101,"Crypto Interest",Transactions!$F$3:$F101,"Stablecoin",Transactions!$A$3:$A101,O$65,Transactions!$D$3:$D101,$N76)
+SUMIFS(Transactions!$I$3:$I101,Transactions!$H$3:$H101,"Transfer Deposit",Transactions!$F$3:$F101,"Stablecoin",Transactions!$A$3:$A101,O$65,Transactions!$D$3:$D101,$N76)
-SUMIFS(Transactions!$I$3:$I101,Transactions!$H$3:$H101,"Transfer Send",Transactions!$F$3:$F101,"Stablecoin",Transactions!$A$3:$A101,O$65,Transactions!$D$3:$D101,$N76)
-SUMIFS(Transactions!$I$3:$I101,Transactions!$H$3:$H101,"Sell",Transactions!$F$3:$F101,"Stablecoin",Transactions!$A$3:$A101,O$65,Transactions!$D$3:$D101,$N76)
-SUMIFS(Transactions!$M$3:$M101,Transactions!$H$3:$H101,"Buy",Transactions!$A$3:$A101,O$65,Transactions!$B$3:$B101,$N76))</f>
        <v/>
      </c>
      <c r="P76" s="158" t="str">
        <f>IF(OR(ISBLANK($N76),ISBLANK(P$65)),"",
SUMIFS(Transactions!$I$3:$I101,Transactions!$H$3:$H101,"Buy",Transactions!$F$3:$F101,"Crypto",Transactions!$A$3:$A101,P$65,Transactions!$D$3:$D101,$N76)
+SUMIFS(Transactions!$I$3:$I101,Transactions!$H$3:$H101,"Crypto Interest",Transactions!$F$3:$F101,"Crypto",Transactions!$A$3:$A101,P$65,Transactions!$D$3:$D101,$N76)
+SUMIFS(Transactions!$I$3:$I101,Transactions!$H$3:$H101,"Transfer Deposit",Transactions!$F$3:$F101,"Crypto",Transactions!$A$3:$A101,P$65,Transactions!$D$3:$D101,$N76)
-SUMIFS(Transactions!$I$3:$I101,Transactions!$H$3:$H101,"Transfer Send",Transactions!$F$3:$F101,"Crypto",Transactions!$A$3:$A101,P$65,Transactions!$D$3:$D101,$N76)
-SUMIFS(Transactions!$I$3:$I101,Transactions!$H$3:$H101,"Sell",Transactions!$F$3:$F101,"Crypto",Transactions!$A$3:$A101,P$65,Transactions!$D$3:$D101,$N76)
+SUMIFS(Transactions!$I$3:$I101,Transactions!$H$3:$H101,"Buy",Transactions!$F$3:$F101,"Stablecoin",Transactions!$A$3:$A101,P$65,Transactions!$D$3:$D101,$N76)
+SUMIFS(Transactions!$I$3:$I101,Transactions!$H$3:$H101,"Crypto Interest",Transactions!$F$3:$F101,"Stablecoin",Transactions!$A$3:$A101,P$65,Transactions!$D$3:$D101,$N76)
+SUMIFS(Transactions!$I$3:$I101,Transactions!$H$3:$H101,"Transfer Deposit",Transactions!$F$3:$F101,"Stablecoin",Transactions!$A$3:$A101,P$65,Transactions!$D$3:$D101,$N76)
-SUMIFS(Transactions!$I$3:$I101,Transactions!$H$3:$H101,"Transfer Send",Transactions!$F$3:$F101,"Stablecoin",Transactions!$A$3:$A101,P$65,Transactions!$D$3:$D101,$N76)
-SUMIFS(Transactions!$I$3:$I101,Transactions!$H$3:$H101,"Sell",Transactions!$F$3:$F101,"Stablecoin",Transactions!$A$3:$A101,P$65,Transactions!$D$3:$D101,$N76)
-SUMIFS(Transactions!$M$3:$M101,Transactions!$H$3:$H101,"Buy",Transactions!$A$3:$A101,P$65,Transactions!$B$3:$B101,$N76))</f>
        <v/>
      </c>
      <c r="Q76" s="158" t="str">
        <f>IF(OR(ISBLANK($N76),ISBLANK(Q$65)),"",
SUMIFS(Transactions!$I$3:$I101,Transactions!$H$3:$H101,"Buy",Transactions!$F$3:$F101,"Crypto",Transactions!$A$3:$A101,Q$65,Transactions!$D$3:$D101,$N76)
+SUMIFS(Transactions!$I$3:$I101,Transactions!$H$3:$H101,"Crypto Interest",Transactions!$F$3:$F101,"Crypto",Transactions!$A$3:$A101,Q$65,Transactions!$D$3:$D101,$N76)
+SUMIFS(Transactions!$I$3:$I101,Transactions!$H$3:$H101,"Transfer Deposit",Transactions!$F$3:$F101,"Crypto",Transactions!$A$3:$A101,Q$65,Transactions!$D$3:$D101,$N76)
-SUMIFS(Transactions!$I$3:$I101,Transactions!$H$3:$H101,"Transfer Send",Transactions!$F$3:$F101,"Crypto",Transactions!$A$3:$A101,Q$65,Transactions!$D$3:$D101,$N76)
-SUMIFS(Transactions!$I$3:$I101,Transactions!$H$3:$H101,"Sell",Transactions!$F$3:$F101,"Crypto",Transactions!$A$3:$A101,Q$65,Transactions!$D$3:$D101,$N76)
+SUMIFS(Transactions!$I$3:$I101,Transactions!$H$3:$H101,"Buy",Transactions!$F$3:$F101,"Stablecoin",Transactions!$A$3:$A101,Q$65,Transactions!$D$3:$D101,$N76)
+SUMIFS(Transactions!$I$3:$I101,Transactions!$H$3:$H101,"Crypto Interest",Transactions!$F$3:$F101,"Stablecoin",Transactions!$A$3:$A101,Q$65,Transactions!$D$3:$D101,$N76)
+SUMIFS(Transactions!$I$3:$I101,Transactions!$H$3:$H101,"Transfer Deposit",Transactions!$F$3:$F101,"Stablecoin",Transactions!$A$3:$A101,Q$65,Transactions!$D$3:$D101,$N76)
-SUMIFS(Transactions!$I$3:$I101,Transactions!$H$3:$H101,"Transfer Send",Transactions!$F$3:$F101,"Stablecoin",Transactions!$A$3:$A101,Q$65,Transactions!$D$3:$D101,$N76)
-SUMIFS(Transactions!$I$3:$I101,Transactions!$H$3:$H101,"Sell",Transactions!$F$3:$F101,"Stablecoin",Transactions!$A$3:$A101,Q$65,Transactions!$D$3:$D101,$N76)
-SUMIFS(Transactions!$M$3:$M101,Transactions!$H$3:$H101,"Buy",Transactions!$A$3:$A101,Q$65,Transactions!$B$3:$B101,$N76))</f>
        <v/>
      </c>
      <c r="R76" s="158" t="str">
        <f>IF(OR(ISBLANK($N76),ISBLANK(R$65)),"",
SUMIFS(Transactions!$I$3:$I101,Transactions!$H$3:$H101,"Buy",Transactions!$F$3:$F101,"Crypto",Transactions!$A$3:$A101,R$65,Transactions!$D$3:$D101,$N76)
+SUMIFS(Transactions!$I$3:$I101,Transactions!$H$3:$H101,"Crypto Interest",Transactions!$F$3:$F101,"Crypto",Transactions!$A$3:$A101,R$65,Transactions!$D$3:$D101,$N76)
+SUMIFS(Transactions!$I$3:$I101,Transactions!$H$3:$H101,"Transfer Deposit",Transactions!$F$3:$F101,"Crypto",Transactions!$A$3:$A101,R$65,Transactions!$D$3:$D101,$N76)
-SUMIFS(Transactions!$I$3:$I101,Transactions!$H$3:$H101,"Transfer Send",Transactions!$F$3:$F101,"Crypto",Transactions!$A$3:$A101,R$65,Transactions!$D$3:$D101,$N76)
-SUMIFS(Transactions!$I$3:$I101,Transactions!$H$3:$H101,"Sell",Transactions!$F$3:$F101,"Crypto",Transactions!$A$3:$A101,R$65,Transactions!$D$3:$D101,$N76)
+SUMIFS(Transactions!$I$3:$I101,Transactions!$H$3:$H101,"Buy",Transactions!$F$3:$F101,"Stablecoin",Transactions!$A$3:$A101,R$65,Transactions!$D$3:$D101,$N76)
+SUMIFS(Transactions!$I$3:$I101,Transactions!$H$3:$H101,"Crypto Interest",Transactions!$F$3:$F101,"Stablecoin",Transactions!$A$3:$A101,R$65,Transactions!$D$3:$D101,$N76)
+SUMIFS(Transactions!$I$3:$I101,Transactions!$H$3:$H101,"Transfer Deposit",Transactions!$F$3:$F101,"Stablecoin",Transactions!$A$3:$A101,R$65,Transactions!$D$3:$D101,$N76)
-SUMIFS(Transactions!$I$3:$I101,Transactions!$H$3:$H101,"Transfer Send",Transactions!$F$3:$F101,"Stablecoin",Transactions!$A$3:$A101,R$65,Transactions!$D$3:$D101,$N76)
-SUMIFS(Transactions!$I$3:$I101,Transactions!$H$3:$H101,"Sell",Transactions!$F$3:$F101,"Stablecoin",Transactions!$A$3:$A101,R$65,Transactions!$D$3:$D101,$N76)
-SUMIFS(Transactions!$M$3:$M101,Transactions!$H$3:$H101,"Buy",Transactions!$A$3:$A101,R$65,Transactions!$B$3:$B101,$N76))</f>
        <v/>
      </c>
      <c r="S76" s="158" t="str">
        <f>IF(OR(ISBLANK($N76),ISBLANK(S$65)),"",
SUMIFS(Transactions!$I$3:$I101,Transactions!$H$3:$H101,"Buy",Transactions!$F$3:$F101,"Crypto",Transactions!$A$3:$A101,S$65,Transactions!$D$3:$D101,$N76)
+SUMIFS(Transactions!$I$3:$I101,Transactions!$H$3:$H101,"Crypto Interest",Transactions!$F$3:$F101,"Crypto",Transactions!$A$3:$A101,S$65,Transactions!$D$3:$D101,$N76)
+SUMIFS(Transactions!$I$3:$I101,Transactions!$H$3:$H101,"Transfer Deposit",Transactions!$F$3:$F101,"Crypto",Transactions!$A$3:$A101,S$65,Transactions!$D$3:$D101,$N76)
-SUMIFS(Transactions!$I$3:$I101,Transactions!$H$3:$H101,"Transfer Send",Transactions!$F$3:$F101,"Crypto",Transactions!$A$3:$A101,S$65,Transactions!$D$3:$D101,$N76)
-SUMIFS(Transactions!$I$3:$I101,Transactions!$H$3:$H101,"Sell",Transactions!$F$3:$F101,"Crypto",Transactions!$A$3:$A101,S$65,Transactions!$D$3:$D101,$N76)
+SUMIFS(Transactions!$I$3:$I101,Transactions!$H$3:$H101,"Buy",Transactions!$F$3:$F101,"Stablecoin",Transactions!$A$3:$A101,S$65,Transactions!$D$3:$D101,$N76)
+SUMIFS(Transactions!$I$3:$I101,Transactions!$H$3:$H101,"Crypto Interest",Transactions!$F$3:$F101,"Stablecoin",Transactions!$A$3:$A101,S$65,Transactions!$D$3:$D101,$N76)
+SUMIFS(Transactions!$I$3:$I101,Transactions!$H$3:$H101,"Transfer Deposit",Transactions!$F$3:$F101,"Stablecoin",Transactions!$A$3:$A101,S$65,Transactions!$D$3:$D101,$N76)
-SUMIFS(Transactions!$I$3:$I101,Transactions!$H$3:$H101,"Transfer Send",Transactions!$F$3:$F101,"Stablecoin",Transactions!$A$3:$A101,S$65,Transactions!$D$3:$D101,$N76)
-SUMIFS(Transactions!$I$3:$I101,Transactions!$H$3:$H101,"Sell",Transactions!$F$3:$F101,"Stablecoin",Transactions!$A$3:$A101,S$65,Transactions!$D$3:$D101,$N76)
-SUMIFS(Transactions!$M$3:$M101,Transactions!$H$3:$H101,"Buy",Transactions!$A$3:$A101,S$65,Transactions!$B$3:$B101,$N76))</f>
        <v/>
      </c>
      <c r="T76" s="158" t="str">
        <f>IF(OR(ISBLANK($N76),ISBLANK(T$65)),"",
SUMIFS(Transactions!$I$3:$I101,Transactions!$H$3:$H101,"Buy",Transactions!$F$3:$F101,"Crypto",Transactions!$A$3:$A101,T$65,Transactions!$D$3:$D101,$N76)
+SUMIFS(Transactions!$I$3:$I101,Transactions!$H$3:$H101,"Crypto Interest",Transactions!$F$3:$F101,"Crypto",Transactions!$A$3:$A101,T$65,Transactions!$D$3:$D101,$N76)
+SUMIFS(Transactions!$I$3:$I101,Transactions!$H$3:$H101,"Transfer Deposit",Transactions!$F$3:$F101,"Crypto",Transactions!$A$3:$A101,T$65,Transactions!$D$3:$D101,$N76)
-SUMIFS(Transactions!$I$3:$I101,Transactions!$H$3:$H101,"Transfer Send",Transactions!$F$3:$F101,"Crypto",Transactions!$A$3:$A101,T$65,Transactions!$D$3:$D101,$N76)
-SUMIFS(Transactions!$I$3:$I101,Transactions!$H$3:$H101,"Sell",Transactions!$F$3:$F101,"Crypto",Transactions!$A$3:$A101,T$65,Transactions!$D$3:$D101,$N76)
+SUMIFS(Transactions!$I$3:$I101,Transactions!$H$3:$H101,"Buy",Transactions!$F$3:$F101,"Stablecoin",Transactions!$A$3:$A101,T$65,Transactions!$D$3:$D101,$N76)
+SUMIFS(Transactions!$I$3:$I101,Transactions!$H$3:$H101,"Crypto Interest",Transactions!$F$3:$F101,"Stablecoin",Transactions!$A$3:$A101,T$65,Transactions!$D$3:$D101,$N76)
+SUMIFS(Transactions!$I$3:$I101,Transactions!$H$3:$H101,"Transfer Deposit",Transactions!$F$3:$F101,"Stablecoin",Transactions!$A$3:$A101,T$65,Transactions!$D$3:$D101,$N76)
-SUMIFS(Transactions!$I$3:$I101,Transactions!$H$3:$H101,"Transfer Send",Transactions!$F$3:$F101,"Stablecoin",Transactions!$A$3:$A101,T$65,Transactions!$D$3:$D101,$N76)
-SUMIFS(Transactions!$I$3:$I101,Transactions!$H$3:$H101,"Sell",Transactions!$F$3:$F101,"Stablecoin",Transactions!$A$3:$A101,T$65,Transactions!$D$3:$D101,$N76)
-SUMIFS(Transactions!$M$3:$M101,Transactions!$H$3:$H101,"Buy",Transactions!$A$3:$A101,T$65,Transactions!$B$3:$B101,$N76))</f>
        <v/>
      </c>
      <c r="U76" s="158" t="str">
        <f>IF(OR(ISBLANK($N76),ISBLANK(U$65)),"",
SUMIFS(Transactions!$I$3:$I101,Transactions!$H$3:$H101,"Buy",Transactions!$F$3:$F101,"Crypto",Transactions!$A$3:$A101,U$65,Transactions!$D$3:$D101,$N76)
+SUMIFS(Transactions!$I$3:$I101,Transactions!$H$3:$H101,"Crypto Interest",Transactions!$F$3:$F101,"Crypto",Transactions!$A$3:$A101,U$65,Transactions!$D$3:$D101,$N76)
+SUMIFS(Transactions!$I$3:$I101,Transactions!$H$3:$H101,"Transfer Deposit",Transactions!$F$3:$F101,"Crypto",Transactions!$A$3:$A101,U$65,Transactions!$D$3:$D101,$N76)
-SUMIFS(Transactions!$I$3:$I101,Transactions!$H$3:$H101,"Transfer Send",Transactions!$F$3:$F101,"Crypto",Transactions!$A$3:$A101,U$65,Transactions!$D$3:$D101,$N76)
-SUMIFS(Transactions!$I$3:$I101,Transactions!$H$3:$H101,"Sell",Transactions!$F$3:$F101,"Crypto",Transactions!$A$3:$A101,U$65,Transactions!$D$3:$D101,$N76)
+SUMIFS(Transactions!$I$3:$I101,Transactions!$H$3:$H101,"Buy",Transactions!$F$3:$F101,"Stablecoin",Transactions!$A$3:$A101,U$65,Transactions!$D$3:$D101,$N76)
+SUMIFS(Transactions!$I$3:$I101,Transactions!$H$3:$H101,"Crypto Interest",Transactions!$F$3:$F101,"Stablecoin",Transactions!$A$3:$A101,U$65,Transactions!$D$3:$D101,$N76)
+SUMIFS(Transactions!$I$3:$I101,Transactions!$H$3:$H101,"Transfer Deposit",Transactions!$F$3:$F101,"Stablecoin",Transactions!$A$3:$A101,U$65,Transactions!$D$3:$D101,$N76)
-SUMIFS(Transactions!$I$3:$I101,Transactions!$H$3:$H101,"Transfer Send",Transactions!$F$3:$F101,"Stablecoin",Transactions!$A$3:$A101,U$65,Transactions!$D$3:$D101,$N76)
-SUMIFS(Transactions!$I$3:$I101,Transactions!$H$3:$H101,"Sell",Transactions!$F$3:$F101,"Stablecoin",Transactions!$A$3:$A101,U$65,Transactions!$D$3:$D101,$N76)
-SUMIFS(Transactions!$M$3:$M101,Transactions!$H$3:$H101,"Buy",Transactions!$A$3:$A101,U$65,Transactions!$B$3:$B101,$N76))</f>
        <v/>
      </c>
      <c r="V76" s="158"/>
      <c r="W76" s="95"/>
      <c r="X76" s="96"/>
      <c r="Y76" s="96" t="str">
        <f>IFERROR(__xludf.DUMMYFUNCTION("IF(ISBLANK(W76),"""",QUERY(GOOGLEFINANCE($N$21,""Close"",W76-5,6),""select Col2 where Col1 &lt; date '""&amp;TEXT(W76+1, ""YYYY-MM-DD"")&amp;""' order by Col1 desc limit 1"",False)
)"),"")</f>
        <v/>
      </c>
      <c r="Z76" s="158"/>
    </row>
    <row r="77">
      <c r="A77" s="14"/>
      <c r="B77" s="149"/>
      <c r="C77" s="156" t="str">
        <f>IF(ISBLANK(B77),"",SUMIF(Portfolio!$A:$A,B77,Portfolio!$C:$C))</f>
        <v/>
      </c>
      <c r="D77" s="145" t="str">
        <f>IF(ISBLANK(B77),"",AVERAGEIF(Portfolio!$A:$A,B77,Portfolio!$D:$D))</f>
        <v/>
      </c>
      <c r="F77" s="145" t="str">
        <f>IF(ISBLANK(B77),"",VLOOKUP(B77,Portfolio!$A:$E,5,0))</f>
        <v/>
      </c>
      <c r="G77" s="145" t="str">
        <f>IF(ISBLANK(B77),"",IFERROR(((C77-SUMIFS(Transactions!I:I,Transactions!H:H,"Crypto Interest",Transactions!E:E,B77))*D77),""))</f>
        <v/>
      </c>
      <c r="H77" s="145" t="str">
        <f t="shared" si="11"/>
        <v/>
      </c>
      <c r="I77" s="50" t="str">
        <f t="shared" si="12"/>
        <v/>
      </c>
      <c r="J77" s="145" t="str">
        <f t="shared" si="13"/>
        <v/>
      </c>
      <c r="K77" s="145" t="str">
        <f>IF(ISBLANK(B77),"",SUMIF(Portfolio!$A:$A,B77,Portfolio!$Q:$Q))</f>
        <v/>
      </c>
      <c r="L77" s="145" t="str">
        <f t="shared" si="14"/>
        <v/>
      </c>
      <c r="M77" s="14"/>
      <c r="N77" s="157"/>
      <c r="O77" s="158" t="str">
        <f>IF(OR(ISBLANK($N77),ISBLANK(O$65)),"",
SUMIFS(Transactions!$I$3:$I101,Transactions!$H$3:$H101,"Buy",Transactions!$F$3:$F101,"Crypto",Transactions!$A$3:$A101,O$65,Transactions!$D$3:$D101,$N77)
+SUMIFS(Transactions!$I$3:$I101,Transactions!$H$3:$H101,"Crypto Interest",Transactions!$F$3:$F101,"Crypto",Transactions!$A$3:$A101,O$65,Transactions!$D$3:$D101,$N77)
+SUMIFS(Transactions!$I$3:$I101,Transactions!$H$3:$H101,"Transfer Deposit",Transactions!$F$3:$F101,"Crypto",Transactions!$A$3:$A101,O$65,Transactions!$D$3:$D101,$N77)
-SUMIFS(Transactions!$I$3:$I101,Transactions!$H$3:$H101,"Transfer Send",Transactions!$F$3:$F101,"Crypto",Transactions!$A$3:$A101,O$65,Transactions!$D$3:$D101,$N77)
-SUMIFS(Transactions!$I$3:$I101,Transactions!$H$3:$H101,"Sell",Transactions!$F$3:$F101,"Crypto",Transactions!$A$3:$A101,O$65,Transactions!$D$3:$D101,$N77)
+SUMIFS(Transactions!$I$3:$I101,Transactions!$H$3:$H101,"Buy",Transactions!$F$3:$F101,"Stablecoin",Transactions!$A$3:$A101,O$65,Transactions!$D$3:$D101,$N77)
+SUMIFS(Transactions!$I$3:$I101,Transactions!$H$3:$H101,"Crypto Interest",Transactions!$F$3:$F101,"Stablecoin",Transactions!$A$3:$A101,O$65,Transactions!$D$3:$D101,$N77)
+SUMIFS(Transactions!$I$3:$I101,Transactions!$H$3:$H101,"Transfer Deposit",Transactions!$F$3:$F101,"Stablecoin",Transactions!$A$3:$A101,O$65,Transactions!$D$3:$D101,$N77)
-SUMIFS(Transactions!$I$3:$I101,Transactions!$H$3:$H101,"Transfer Send",Transactions!$F$3:$F101,"Stablecoin",Transactions!$A$3:$A101,O$65,Transactions!$D$3:$D101,$N77)
-SUMIFS(Transactions!$I$3:$I101,Transactions!$H$3:$H101,"Sell",Transactions!$F$3:$F101,"Stablecoin",Transactions!$A$3:$A101,O$65,Transactions!$D$3:$D101,$N77)
-SUMIFS(Transactions!$M$3:$M101,Transactions!$H$3:$H101,"Buy",Transactions!$A$3:$A101,O$65,Transactions!$B$3:$B101,$N77))</f>
        <v/>
      </c>
      <c r="P77" s="158" t="str">
        <f>IF(OR(ISBLANK($N77),ISBLANK(P$65)),"",
SUMIFS(Transactions!$I$3:$I101,Transactions!$H$3:$H101,"Buy",Transactions!$F$3:$F101,"Crypto",Transactions!$A$3:$A101,P$65,Transactions!$D$3:$D101,$N77)
+SUMIFS(Transactions!$I$3:$I101,Transactions!$H$3:$H101,"Crypto Interest",Transactions!$F$3:$F101,"Crypto",Transactions!$A$3:$A101,P$65,Transactions!$D$3:$D101,$N77)
+SUMIFS(Transactions!$I$3:$I101,Transactions!$H$3:$H101,"Transfer Deposit",Transactions!$F$3:$F101,"Crypto",Transactions!$A$3:$A101,P$65,Transactions!$D$3:$D101,$N77)
-SUMIFS(Transactions!$I$3:$I101,Transactions!$H$3:$H101,"Transfer Send",Transactions!$F$3:$F101,"Crypto",Transactions!$A$3:$A101,P$65,Transactions!$D$3:$D101,$N77)
-SUMIFS(Transactions!$I$3:$I101,Transactions!$H$3:$H101,"Sell",Transactions!$F$3:$F101,"Crypto",Transactions!$A$3:$A101,P$65,Transactions!$D$3:$D101,$N77)
+SUMIFS(Transactions!$I$3:$I101,Transactions!$H$3:$H101,"Buy",Transactions!$F$3:$F101,"Stablecoin",Transactions!$A$3:$A101,P$65,Transactions!$D$3:$D101,$N77)
+SUMIFS(Transactions!$I$3:$I101,Transactions!$H$3:$H101,"Crypto Interest",Transactions!$F$3:$F101,"Stablecoin",Transactions!$A$3:$A101,P$65,Transactions!$D$3:$D101,$N77)
+SUMIFS(Transactions!$I$3:$I101,Transactions!$H$3:$H101,"Transfer Deposit",Transactions!$F$3:$F101,"Stablecoin",Transactions!$A$3:$A101,P$65,Transactions!$D$3:$D101,$N77)
-SUMIFS(Transactions!$I$3:$I101,Transactions!$H$3:$H101,"Transfer Send",Transactions!$F$3:$F101,"Stablecoin",Transactions!$A$3:$A101,P$65,Transactions!$D$3:$D101,$N77)
-SUMIFS(Transactions!$I$3:$I101,Transactions!$H$3:$H101,"Sell",Transactions!$F$3:$F101,"Stablecoin",Transactions!$A$3:$A101,P$65,Transactions!$D$3:$D101,$N77)
-SUMIFS(Transactions!$M$3:$M101,Transactions!$H$3:$H101,"Buy",Transactions!$A$3:$A101,P$65,Transactions!$B$3:$B101,$N77))</f>
        <v/>
      </c>
      <c r="Q77" s="158" t="str">
        <f>IF(OR(ISBLANK($N77),ISBLANK(Q$65)),"",
SUMIFS(Transactions!$I$3:$I101,Transactions!$H$3:$H101,"Buy",Transactions!$F$3:$F101,"Crypto",Transactions!$A$3:$A101,Q$65,Transactions!$D$3:$D101,$N77)
+SUMIFS(Transactions!$I$3:$I101,Transactions!$H$3:$H101,"Crypto Interest",Transactions!$F$3:$F101,"Crypto",Transactions!$A$3:$A101,Q$65,Transactions!$D$3:$D101,$N77)
+SUMIFS(Transactions!$I$3:$I101,Transactions!$H$3:$H101,"Transfer Deposit",Transactions!$F$3:$F101,"Crypto",Transactions!$A$3:$A101,Q$65,Transactions!$D$3:$D101,$N77)
-SUMIFS(Transactions!$I$3:$I101,Transactions!$H$3:$H101,"Transfer Send",Transactions!$F$3:$F101,"Crypto",Transactions!$A$3:$A101,Q$65,Transactions!$D$3:$D101,$N77)
-SUMIFS(Transactions!$I$3:$I101,Transactions!$H$3:$H101,"Sell",Transactions!$F$3:$F101,"Crypto",Transactions!$A$3:$A101,Q$65,Transactions!$D$3:$D101,$N77)
+SUMIFS(Transactions!$I$3:$I101,Transactions!$H$3:$H101,"Buy",Transactions!$F$3:$F101,"Stablecoin",Transactions!$A$3:$A101,Q$65,Transactions!$D$3:$D101,$N77)
+SUMIFS(Transactions!$I$3:$I101,Transactions!$H$3:$H101,"Crypto Interest",Transactions!$F$3:$F101,"Stablecoin",Transactions!$A$3:$A101,Q$65,Transactions!$D$3:$D101,$N77)
+SUMIFS(Transactions!$I$3:$I101,Transactions!$H$3:$H101,"Transfer Deposit",Transactions!$F$3:$F101,"Stablecoin",Transactions!$A$3:$A101,Q$65,Transactions!$D$3:$D101,$N77)
-SUMIFS(Transactions!$I$3:$I101,Transactions!$H$3:$H101,"Transfer Send",Transactions!$F$3:$F101,"Stablecoin",Transactions!$A$3:$A101,Q$65,Transactions!$D$3:$D101,$N77)
-SUMIFS(Transactions!$I$3:$I101,Transactions!$H$3:$H101,"Sell",Transactions!$F$3:$F101,"Stablecoin",Transactions!$A$3:$A101,Q$65,Transactions!$D$3:$D101,$N77)
-SUMIFS(Transactions!$M$3:$M101,Transactions!$H$3:$H101,"Buy",Transactions!$A$3:$A101,Q$65,Transactions!$B$3:$B101,$N77))</f>
        <v/>
      </c>
      <c r="R77" s="158" t="str">
        <f>IF(OR(ISBLANK($N77),ISBLANK(R$65)),"",
SUMIFS(Transactions!$I$3:$I101,Transactions!$H$3:$H101,"Buy",Transactions!$F$3:$F101,"Crypto",Transactions!$A$3:$A101,R$65,Transactions!$D$3:$D101,$N77)
+SUMIFS(Transactions!$I$3:$I101,Transactions!$H$3:$H101,"Crypto Interest",Transactions!$F$3:$F101,"Crypto",Transactions!$A$3:$A101,R$65,Transactions!$D$3:$D101,$N77)
+SUMIFS(Transactions!$I$3:$I101,Transactions!$H$3:$H101,"Transfer Deposit",Transactions!$F$3:$F101,"Crypto",Transactions!$A$3:$A101,R$65,Transactions!$D$3:$D101,$N77)
-SUMIFS(Transactions!$I$3:$I101,Transactions!$H$3:$H101,"Transfer Send",Transactions!$F$3:$F101,"Crypto",Transactions!$A$3:$A101,R$65,Transactions!$D$3:$D101,$N77)
-SUMIFS(Transactions!$I$3:$I101,Transactions!$H$3:$H101,"Sell",Transactions!$F$3:$F101,"Crypto",Transactions!$A$3:$A101,R$65,Transactions!$D$3:$D101,$N77)
+SUMIFS(Transactions!$I$3:$I101,Transactions!$H$3:$H101,"Buy",Transactions!$F$3:$F101,"Stablecoin",Transactions!$A$3:$A101,R$65,Transactions!$D$3:$D101,$N77)
+SUMIFS(Transactions!$I$3:$I101,Transactions!$H$3:$H101,"Crypto Interest",Transactions!$F$3:$F101,"Stablecoin",Transactions!$A$3:$A101,R$65,Transactions!$D$3:$D101,$N77)
+SUMIFS(Transactions!$I$3:$I101,Transactions!$H$3:$H101,"Transfer Deposit",Transactions!$F$3:$F101,"Stablecoin",Transactions!$A$3:$A101,R$65,Transactions!$D$3:$D101,$N77)
-SUMIFS(Transactions!$I$3:$I101,Transactions!$H$3:$H101,"Transfer Send",Transactions!$F$3:$F101,"Stablecoin",Transactions!$A$3:$A101,R$65,Transactions!$D$3:$D101,$N77)
-SUMIFS(Transactions!$I$3:$I101,Transactions!$H$3:$H101,"Sell",Transactions!$F$3:$F101,"Stablecoin",Transactions!$A$3:$A101,R$65,Transactions!$D$3:$D101,$N77)
-SUMIFS(Transactions!$M$3:$M101,Transactions!$H$3:$H101,"Buy",Transactions!$A$3:$A101,R$65,Transactions!$B$3:$B101,$N77))</f>
        <v/>
      </c>
      <c r="S77" s="158" t="str">
        <f>IF(OR(ISBLANK($N77),ISBLANK(S$65)),"",
SUMIFS(Transactions!$I$3:$I101,Transactions!$H$3:$H101,"Buy",Transactions!$F$3:$F101,"Crypto",Transactions!$A$3:$A101,S$65,Transactions!$D$3:$D101,$N77)
+SUMIFS(Transactions!$I$3:$I101,Transactions!$H$3:$H101,"Crypto Interest",Transactions!$F$3:$F101,"Crypto",Transactions!$A$3:$A101,S$65,Transactions!$D$3:$D101,$N77)
+SUMIFS(Transactions!$I$3:$I101,Transactions!$H$3:$H101,"Transfer Deposit",Transactions!$F$3:$F101,"Crypto",Transactions!$A$3:$A101,S$65,Transactions!$D$3:$D101,$N77)
-SUMIFS(Transactions!$I$3:$I101,Transactions!$H$3:$H101,"Transfer Send",Transactions!$F$3:$F101,"Crypto",Transactions!$A$3:$A101,S$65,Transactions!$D$3:$D101,$N77)
-SUMIFS(Transactions!$I$3:$I101,Transactions!$H$3:$H101,"Sell",Transactions!$F$3:$F101,"Crypto",Transactions!$A$3:$A101,S$65,Transactions!$D$3:$D101,$N77)
+SUMIFS(Transactions!$I$3:$I101,Transactions!$H$3:$H101,"Buy",Transactions!$F$3:$F101,"Stablecoin",Transactions!$A$3:$A101,S$65,Transactions!$D$3:$D101,$N77)
+SUMIFS(Transactions!$I$3:$I101,Transactions!$H$3:$H101,"Crypto Interest",Transactions!$F$3:$F101,"Stablecoin",Transactions!$A$3:$A101,S$65,Transactions!$D$3:$D101,$N77)
+SUMIFS(Transactions!$I$3:$I101,Transactions!$H$3:$H101,"Transfer Deposit",Transactions!$F$3:$F101,"Stablecoin",Transactions!$A$3:$A101,S$65,Transactions!$D$3:$D101,$N77)
-SUMIFS(Transactions!$I$3:$I101,Transactions!$H$3:$H101,"Transfer Send",Transactions!$F$3:$F101,"Stablecoin",Transactions!$A$3:$A101,S$65,Transactions!$D$3:$D101,$N77)
-SUMIFS(Transactions!$I$3:$I101,Transactions!$H$3:$H101,"Sell",Transactions!$F$3:$F101,"Stablecoin",Transactions!$A$3:$A101,S$65,Transactions!$D$3:$D101,$N77)
-SUMIFS(Transactions!$M$3:$M101,Transactions!$H$3:$H101,"Buy",Transactions!$A$3:$A101,S$65,Transactions!$B$3:$B101,$N77))</f>
        <v/>
      </c>
      <c r="T77" s="158" t="str">
        <f>IF(OR(ISBLANK($N77),ISBLANK(T$65)),"",
SUMIFS(Transactions!$I$3:$I101,Transactions!$H$3:$H101,"Buy",Transactions!$F$3:$F101,"Crypto",Transactions!$A$3:$A101,T$65,Transactions!$D$3:$D101,$N77)
+SUMIFS(Transactions!$I$3:$I101,Transactions!$H$3:$H101,"Crypto Interest",Transactions!$F$3:$F101,"Crypto",Transactions!$A$3:$A101,T$65,Transactions!$D$3:$D101,$N77)
+SUMIFS(Transactions!$I$3:$I101,Transactions!$H$3:$H101,"Transfer Deposit",Transactions!$F$3:$F101,"Crypto",Transactions!$A$3:$A101,T$65,Transactions!$D$3:$D101,$N77)
-SUMIFS(Transactions!$I$3:$I101,Transactions!$H$3:$H101,"Transfer Send",Transactions!$F$3:$F101,"Crypto",Transactions!$A$3:$A101,T$65,Transactions!$D$3:$D101,$N77)
-SUMIFS(Transactions!$I$3:$I101,Transactions!$H$3:$H101,"Sell",Transactions!$F$3:$F101,"Crypto",Transactions!$A$3:$A101,T$65,Transactions!$D$3:$D101,$N77)
+SUMIFS(Transactions!$I$3:$I101,Transactions!$H$3:$H101,"Buy",Transactions!$F$3:$F101,"Stablecoin",Transactions!$A$3:$A101,T$65,Transactions!$D$3:$D101,$N77)
+SUMIFS(Transactions!$I$3:$I101,Transactions!$H$3:$H101,"Crypto Interest",Transactions!$F$3:$F101,"Stablecoin",Transactions!$A$3:$A101,T$65,Transactions!$D$3:$D101,$N77)
+SUMIFS(Transactions!$I$3:$I101,Transactions!$H$3:$H101,"Transfer Deposit",Transactions!$F$3:$F101,"Stablecoin",Transactions!$A$3:$A101,T$65,Transactions!$D$3:$D101,$N77)
-SUMIFS(Transactions!$I$3:$I101,Transactions!$H$3:$H101,"Transfer Send",Transactions!$F$3:$F101,"Stablecoin",Transactions!$A$3:$A101,T$65,Transactions!$D$3:$D101,$N77)
-SUMIFS(Transactions!$I$3:$I101,Transactions!$H$3:$H101,"Sell",Transactions!$F$3:$F101,"Stablecoin",Transactions!$A$3:$A101,T$65,Transactions!$D$3:$D101,$N77)
-SUMIFS(Transactions!$M$3:$M101,Transactions!$H$3:$H101,"Buy",Transactions!$A$3:$A101,T$65,Transactions!$B$3:$B101,$N77))</f>
        <v/>
      </c>
      <c r="U77" s="158" t="str">
        <f>IF(OR(ISBLANK($N77),ISBLANK(U$65)),"",
SUMIFS(Transactions!$I$3:$I101,Transactions!$H$3:$H101,"Buy",Transactions!$F$3:$F101,"Crypto",Transactions!$A$3:$A101,U$65,Transactions!$D$3:$D101,$N77)
+SUMIFS(Transactions!$I$3:$I101,Transactions!$H$3:$H101,"Crypto Interest",Transactions!$F$3:$F101,"Crypto",Transactions!$A$3:$A101,U$65,Transactions!$D$3:$D101,$N77)
+SUMIFS(Transactions!$I$3:$I101,Transactions!$H$3:$H101,"Transfer Deposit",Transactions!$F$3:$F101,"Crypto",Transactions!$A$3:$A101,U$65,Transactions!$D$3:$D101,$N77)
-SUMIFS(Transactions!$I$3:$I101,Transactions!$H$3:$H101,"Transfer Send",Transactions!$F$3:$F101,"Crypto",Transactions!$A$3:$A101,U$65,Transactions!$D$3:$D101,$N77)
-SUMIFS(Transactions!$I$3:$I101,Transactions!$H$3:$H101,"Sell",Transactions!$F$3:$F101,"Crypto",Transactions!$A$3:$A101,U$65,Transactions!$D$3:$D101,$N77)
+SUMIFS(Transactions!$I$3:$I101,Transactions!$H$3:$H101,"Buy",Transactions!$F$3:$F101,"Stablecoin",Transactions!$A$3:$A101,U$65,Transactions!$D$3:$D101,$N77)
+SUMIFS(Transactions!$I$3:$I101,Transactions!$H$3:$H101,"Crypto Interest",Transactions!$F$3:$F101,"Stablecoin",Transactions!$A$3:$A101,U$65,Transactions!$D$3:$D101,$N77)
+SUMIFS(Transactions!$I$3:$I101,Transactions!$H$3:$H101,"Transfer Deposit",Transactions!$F$3:$F101,"Stablecoin",Transactions!$A$3:$A101,U$65,Transactions!$D$3:$D101,$N77)
-SUMIFS(Transactions!$I$3:$I101,Transactions!$H$3:$H101,"Transfer Send",Transactions!$F$3:$F101,"Stablecoin",Transactions!$A$3:$A101,U$65,Transactions!$D$3:$D101,$N77)
-SUMIFS(Transactions!$I$3:$I101,Transactions!$H$3:$H101,"Sell",Transactions!$F$3:$F101,"Stablecoin",Transactions!$A$3:$A101,U$65,Transactions!$D$3:$D101,$N77)
-SUMIFS(Transactions!$M$3:$M101,Transactions!$H$3:$H101,"Buy",Transactions!$A$3:$A101,U$65,Transactions!$B$3:$B101,$N77))</f>
        <v/>
      </c>
      <c r="V77" s="158"/>
      <c r="W77" s="95"/>
      <c r="X77" s="96"/>
      <c r="Y77" s="96" t="str">
        <f>IFERROR(__xludf.DUMMYFUNCTION("IF(ISBLANK(W77),"""",QUERY(GOOGLEFINANCE($N$21,""Close"",W77-5,6),""select Col2 where Col1 &lt; date '""&amp;TEXT(W77+1, ""YYYY-MM-DD"")&amp;""' order by Col1 desc limit 1"",False)
)"),"")</f>
        <v/>
      </c>
      <c r="Z77" s="158"/>
    </row>
    <row r="78">
      <c r="A78" s="14"/>
      <c r="B78" s="149"/>
      <c r="C78" s="156" t="str">
        <f>IF(ISBLANK(B78),"",SUMIF(Portfolio!$A:$A,B78,Portfolio!$C:$C))</f>
        <v/>
      </c>
      <c r="D78" s="145" t="str">
        <f>IF(ISBLANK(B78),"",AVERAGEIF(Portfolio!$A:$A,B78,Portfolio!$D:$D))</f>
        <v/>
      </c>
      <c r="F78" s="145" t="str">
        <f>IF(ISBLANK(B78),"",VLOOKUP(B78,Portfolio!$A:$E,5,0))</f>
        <v/>
      </c>
      <c r="G78" s="145" t="str">
        <f>IF(ISBLANK(B78),"",IFERROR(((C78-SUMIFS(Transactions!I:I,Transactions!H:H,"Crypto Interest",Transactions!E:E,B78))*D78),""))</f>
        <v/>
      </c>
      <c r="H78" s="145" t="str">
        <f t="shared" si="11"/>
        <v/>
      </c>
      <c r="I78" s="50" t="str">
        <f t="shared" si="12"/>
        <v/>
      </c>
      <c r="J78" s="145" t="str">
        <f t="shared" si="13"/>
        <v/>
      </c>
      <c r="K78" s="145" t="str">
        <f>IF(ISBLANK(B78),"",SUMIF(Portfolio!$A:$A,B78,Portfolio!$Q:$Q))</f>
        <v/>
      </c>
      <c r="L78" s="145" t="str">
        <f t="shared" si="14"/>
        <v/>
      </c>
      <c r="M78" s="14"/>
      <c r="N78" s="157"/>
      <c r="O78" s="158" t="str">
        <f>IF(OR(ISBLANK($N78),ISBLANK(O$65)),"",
SUMIFS(Transactions!$I$3:$I101,Transactions!$H$3:$H101,"Buy",Transactions!$F$3:$F101,"Crypto",Transactions!$A$3:$A101,O$65,Transactions!$D$3:$D101,$N78)
+SUMIFS(Transactions!$I$3:$I101,Transactions!$H$3:$H101,"Crypto Interest",Transactions!$F$3:$F101,"Crypto",Transactions!$A$3:$A101,O$65,Transactions!$D$3:$D101,$N78)
+SUMIFS(Transactions!$I$3:$I101,Transactions!$H$3:$H101,"Transfer Deposit",Transactions!$F$3:$F101,"Crypto",Transactions!$A$3:$A101,O$65,Transactions!$D$3:$D101,$N78)
-SUMIFS(Transactions!$I$3:$I101,Transactions!$H$3:$H101,"Transfer Send",Transactions!$F$3:$F101,"Crypto",Transactions!$A$3:$A101,O$65,Transactions!$D$3:$D101,$N78)
-SUMIFS(Transactions!$I$3:$I101,Transactions!$H$3:$H101,"Sell",Transactions!$F$3:$F101,"Crypto",Transactions!$A$3:$A101,O$65,Transactions!$D$3:$D101,$N78)
+SUMIFS(Transactions!$I$3:$I101,Transactions!$H$3:$H101,"Buy",Transactions!$F$3:$F101,"Stablecoin",Transactions!$A$3:$A101,O$65,Transactions!$D$3:$D101,$N78)
+SUMIFS(Transactions!$I$3:$I101,Transactions!$H$3:$H101,"Crypto Interest",Transactions!$F$3:$F101,"Stablecoin",Transactions!$A$3:$A101,O$65,Transactions!$D$3:$D101,$N78)
+SUMIFS(Transactions!$I$3:$I101,Transactions!$H$3:$H101,"Transfer Deposit",Transactions!$F$3:$F101,"Stablecoin",Transactions!$A$3:$A101,O$65,Transactions!$D$3:$D101,$N78)
-SUMIFS(Transactions!$I$3:$I101,Transactions!$H$3:$H101,"Transfer Send",Transactions!$F$3:$F101,"Stablecoin",Transactions!$A$3:$A101,O$65,Transactions!$D$3:$D101,$N78)
-SUMIFS(Transactions!$I$3:$I101,Transactions!$H$3:$H101,"Sell",Transactions!$F$3:$F101,"Stablecoin",Transactions!$A$3:$A101,O$65,Transactions!$D$3:$D101,$N78)
-SUMIFS(Transactions!$M$3:$M101,Transactions!$H$3:$H101,"Buy",Transactions!$A$3:$A101,O$65,Transactions!$B$3:$B101,$N78))</f>
        <v/>
      </c>
      <c r="P78" s="158" t="str">
        <f>IF(OR(ISBLANK($N78),ISBLANK(P$65)),"",
SUMIFS(Transactions!$I$3:$I101,Transactions!$H$3:$H101,"Buy",Transactions!$F$3:$F101,"Crypto",Transactions!$A$3:$A101,P$65,Transactions!$D$3:$D101,$N78)
+SUMIFS(Transactions!$I$3:$I101,Transactions!$H$3:$H101,"Crypto Interest",Transactions!$F$3:$F101,"Crypto",Transactions!$A$3:$A101,P$65,Transactions!$D$3:$D101,$N78)
+SUMIFS(Transactions!$I$3:$I101,Transactions!$H$3:$H101,"Transfer Deposit",Transactions!$F$3:$F101,"Crypto",Transactions!$A$3:$A101,P$65,Transactions!$D$3:$D101,$N78)
-SUMIFS(Transactions!$I$3:$I101,Transactions!$H$3:$H101,"Transfer Send",Transactions!$F$3:$F101,"Crypto",Transactions!$A$3:$A101,P$65,Transactions!$D$3:$D101,$N78)
-SUMIFS(Transactions!$I$3:$I101,Transactions!$H$3:$H101,"Sell",Transactions!$F$3:$F101,"Crypto",Transactions!$A$3:$A101,P$65,Transactions!$D$3:$D101,$N78)
+SUMIFS(Transactions!$I$3:$I101,Transactions!$H$3:$H101,"Buy",Transactions!$F$3:$F101,"Stablecoin",Transactions!$A$3:$A101,P$65,Transactions!$D$3:$D101,$N78)
+SUMIFS(Transactions!$I$3:$I101,Transactions!$H$3:$H101,"Crypto Interest",Transactions!$F$3:$F101,"Stablecoin",Transactions!$A$3:$A101,P$65,Transactions!$D$3:$D101,$N78)
+SUMIFS(Transactions!$I$3:$I101,Transactions!$H$3:$H101,"Transfer Deposit",Transactions!$F$3:$F101,"Stablecoin",Transactions!$A$3:$A101,P$65,Transactions!$D$3:$D101,$N78)
-SUMIFS(Transactions!$I$3:$I101,Transactions!$H$3:$H101,"Transfer Send",Transactions!$F$3:$F101,"Stablecoin",Transactions!$A$3:$A101,P$65,Transactions!$D$3:$D101,$N78)
-SUMIFS(Transactions!$I$3:$I101,Transactions!$H$3:$H101,"Sell",Transactions!$F$3:$F101,"Stablecoin",Transactions!$A$3:$A101,P$65,Transactions!$D$3:$D101,$N78)
-SUMIFS(Transactions!$M$3:$M101,Transactions!$H$3:$H101,"Buy",Transactions!$A$3:$A101,P$65,Transactions!$B$3:$B101,$N78))</f>
        <v/>
      </c>
      <c r="Q78" s="158" t="str">
        <f>IF(OR(ISBLANK($N78),ISBLANK(Q$65)),"",
SUMIFS(Transactions!$I$3:$I101,Transactions!$H$3:$H101,"Buy",Transactions!$F$3:$F101,"Crypto",Transactions!$A$3:$A101,Q$65,Transactions!$D$3:$D101,$N78)
+SUMIFS(Transactions!$I$3:$I101,Transactions!$H$3:$H101,"Crypto Interest",Transactions!$F$3:$F101,"Crypto",Transactions!$A$3:$A101,Q$65,Transactions!$D$3:$D101,$N78)
+SUMIFS(Transactions!$I$3:$I101,Transactions!$H$3:$H101,"Transfer Deposit",Transactions!$F$3:$F101,"Crypto",Transactions!$A$3:$A101,Q$65,Transactions!$D$3:$D101,$N78)
-SUMIFS(Transactions!$I$3:$I101,Transactions!$H$3:$H101,"Transfer Send",Transactions!$F$3:$F101,"Crypto",Transactions!$A$3:$A101,Q$65,Transactions!$D$3:$D101,$N78)
-SUMIFS(Transactions!$I$3:$I101,Transactions!$H$3:$H101,"Sell",Transactions!$F$3:$F101,"Crypto",Transactions!$A$3:$A101,Q$65,Transactions!$D$3:$D101,$N78)
+SUMIFS(Transactions!$I$3:$I101,Transactions!$H$3:$H101,"Buy",Transactions!$F$3:$F101,"Stablecoin",Transactions!$A$3:$A101,Q$65,Transactions!$D$3:$D101,$N78)
+SUMIFS(Transactions!$I$3:$I101,Transactions!$H$3:$H101,"Crypto Interest",Transactions!$F$3:$F101,"Stablecoin",Transactions!$A$3:$A101,Q$65,Transactions!$D$3:$D101,$N78)
+SUMIFS(Transactions!$I$3:$I101,Transactions!$H$3:$H101,"Transfer Deposit",Transactions!$F$3:$F101,"Stablecoin",Transactions!$A$3:$A101,Q$65,Transactions!$D$3:$D101,$N78)
-SUMIFS(Transactions!$I$3:$I101,Transactions!$H$3:$H101,"Transfer Send",Transactions!$F$3:$F101,"Stablecoin",Transactions!$A$3:$A101,Q$65,Transactions!$D$3:$D101,$N78)
-SUMIFS(Transactions!$I$3:$I101,Transactions!$H$3:$H101,"Sell",Transactions!$F$3:$F101,"Stablecoin",Transactions!$A$3:$A101,Q$65,Transactions!$D$3:$D101,$N78)
-SUMIFS(Transactions!$M$3:$M101,Transactions!$H$3:$H101,"Buy",Transactions!$A$3:$A101,Q$65,Transactions!$B$3:$B101,$N78))</f>
        <v/>
      </c>
      <c r="R78" s="158" t="str">
        <f>IF(OR(ISBLANK($N78),ISBLANK(R$65)),"",
SUMIFS(Transactions!$I$3:$I101,Transactions!$H$3:$H101,"Buy",Transactions!$F$3:$F101,"Crypto",Transactions!$A$3:$A101,R$65,Transactions!$D$3:$D101,$N78)
+SUMIFS(Transactions!$I$3:$I101,Transactions!$H$3:$H101,"Crypto Interest",Transactions!$F$3:$F101,"Crypto",Transactions!$A$3:$A101,R$65,Transactions!$D$3:$D101,$N78)
+SUMIFS(Transactions!$I$3:$I101,Transactions!$H$3:$H101,"Transfer Deposit",Transactions!$F$3:$F101,"Crypto",Transactions!$A$3:$A101,R$65,Transactions!$D$3:$D101,$N78)
-SUMIFS(Transactions!$I$3:$I101,Transactions!$H$3:$H101,"Transfer Send",Transactions!$F$3:$F101,"Crypto",Transactions!$A$3:$A101,R$65,Transactions!$D$3:$D101,$N78)
-SUMIFS(Transactions!$I$3:$I101,Transactions!$H$3:$H101,"Sell",Transactions!$F$3:$F101,"Crypto",Transactions!$A$3:$A101,R$65,Transactions!$D$3:$D101,$N78)
+SUMIFS(Transactions!$I$3:$I101,Transactions!$H$3:$H101,"Buy",Transactions!$F$3:$F101,"Stablecoin",Transactions!$A$3:$A101,R$65,Transactions!$D$3:$D101,$N78)
+SUMIFS(Transactions!$I$3:$I101,Transactions!$H$3:$H101,"Crypto Interest",Transactions!$F$3:$F101,"Stablecoin",Transactions!$A$3:$A101,R$65,Transactions!$D$3:$D101,$N78)
+SUMIFS(Transactions!$I$3:$I101,Transactions!$H$3:$H101,"Transfer Deposit",Transactions!$F$3:$F101,"Stablecoin",Transactions!$A$3:$A101,R$65,Transactions!$D$3:$D101,$N78)
-SUMIFS(Transactions!$I$3:$I101,Transactions!$H$3:$H101,"Transfer Send",Transactions!$F$3:$F101,"Stablecoin",Transactions!$A$3:$A101,R$65,Transactions!$D$3:$D101,$N78)
-SUMIFS(Transactions!$I$3:$I101,Transactions!$H$3:$H101,"Sell",Transactions!$F$3:$F101,"Stablecoin",Transactions!$A$3:$A101,R$65,Transactions!$D$3:$D101,$N78)
-SUMIFS(Transactions!$M$3:$M101,Transactions!$H$3:$H101,"Buy",Transactions!$A$3:$A101,R$65,Transactions!$B$3:$B101,$N78))</f>
        <v/>
      </c>
      <c r="S78" s="158" t="str">
        <f>IF(OR(ISBLANK($N78),ISBLANK(S$65)),"",
SUMIFS(Transactions!$I$3:$I101,Transactions!$H$3:$H101,"Buy",Transactions!$F$3:$F101,"Crypto",Transactions!$A$3:$A101,S$65,Transactions!$D$3:$D101,$N78)
+SUMIFS(Transactions!$I$3:$I101,Transactions!$H$3:$H101,"Crypto Interest",Transactions!$F$3:$F101,"Crypto",Transactions!$A$3:$A101,S$65,Transactions!$D$3:$D101,$N78)
+SUMIFS(Transactions!$I$3:$I101,Transactions!$H$3:$H101,"Transfer Deposit",Transactions!$F$3:$F101,"Crypto",Transactions!$A$3:$A101,S$65,Transactions!$D$3:$D101,$N78)
-SUMIFS(Transactions!$I$3:$I101,Transactions!$H$3:$H101,"Transfer Send",Transactions!$F$3:$F101,"Crypto",Transactions!$A$3:$A101,S$65,Transactions!$D$3:$D101,$N78)
-SUMIFS(Transactions!$I$3:$I101,Transactions!$H$3:$H101,"Sell",Transactions!$F$3:$F101,"Crypto",Transactions!$A$3:$A101,S$65,Transactions!$D$3:$D101,$N78)
+SUMIFS(Transactions!$I$3:$I101,Transactions!$H$3:$H101,"Buy",Transactions!$F$3:$F101,"Stablecoin",Transactions!$A$3:$A101,S$65,Transactions!$D$3:$D101,$N78)
+SUMIFS(Transactions!$I$3:$I101,Transactions!$H$3:$H101,"Crypto Interest",Transactions!$F$3:$F101,"Stablecoin",Transactions!$A$3:$A101,S$65,Transactions!$D$3:$D101,$N78)
+SUMIFS(Transactions!$I$3:$I101,Transactions!$H$3:$H101,"Transfer Deposit",Transactions!$F$3:$F101,"Stablecoin",Transactions!$A$3:$A101,S$65,Transactions!$D$3:$D101,$N78)
-SUMIFS(Transactions!$I$3:$I101,Transactions!$H$3:$H101,"Transfer Send",Transactions!$F$3:$F101,"Stablecoin",Transactions!$A$3:$A101,S$65,Transactions!$D$3:$D101,$N78)
-SUMIFS(Transactions!$I$3:$I101,Transactions!$H$3:$H101,"Sell",Transactions!$F$3:$F101,"Stablecoin",Transactions!$A$3:$A101,S$65,Transactions!$D$3:$D101,$N78)
-SUMIFS(Transactions!$M$3:$M101,Transactions!$H$3:$H101,"Buy",Transactions!$A$3:$A101,S$65,Transactions!$B$3:$B101,$N78))</f>
        <v/>
      </c>
      <c r="T78" s="158" t="str">
        <f>IF(OR(ISBLANK($N78),ISBLANK(T$65)),"",
SUMIFS(Transactions!$I$3:$I101,Transactions!$H$3:$H101,"Buy",Transactions!$F$3:$F101,"Crypto",Transactions!$A$3:$A101,T$65,Transactions!$D$3:$D101,$N78)
+SUMIFS(Transactions!$I$3:$I101,Transactions!$H$3:$H101,"Crypto Interest",Transactions!$F$3:$F101,"Crypto",Transactions!$A$3:$A101,T$65,Transactions!$D$3:$D101,$N78)
+SUMIFS(Transactions!$I$3:$I101,Transactions!$H$3:$H101,"Transfer Deposit",Transactions!$F$3:$F101,"Crypto",Transactions!$A$3:$A101,T$65,Transactions!$D$3:$D101,$N78)
-SUMIFS(Transactions!$I$3:$I101,Transactions!$H$3:$H101,"Transfer Send",Transactions!$F$3:$F101,"Crypto",Transactions!$A$3:$A101,T$65,Transactions!$D$3:$D101,$N78)
-SUMIFS(Transactions!$I$3:$I101,Transactions!$H$3:$H101,"Sell",Transactions!$F$3:$F101,"Crypto",Transactions!$A$3:$A101,T$65,Transactions!$D$3:$D101,$N78)
+SUMIFS(Transactions!$I$3:$I101,Transactions!$H$3:$H101,"Buy",Transactions!$F$3:$F101,"Stablecoin",Transactions!$A$3:$A101,T$65,Transactions!$D$3:$D101,$N78)
+SUMIFS(Transactions!$I$3:$I101,Transactions!$H$3:$H101,"Crypto Interest",Transactions!$F$3:$F101,"Stablecoin",Transactions!$A$3:$A101,T$65,Transactions!$D$3:$D101,$N78)
+SUMIFS(Transactions!$I$3:$I101,Transactions!$H$3:$H101,"Transfer Deposit",Transactions!$F$3:$F101,"Stablecoin",Transactions!$A$3:$A101,T$65,Transactions!$D$3:$D101,$N78)
-SUMIFS(Transactions!$I$3:$I101,Transactions!$H$3:$H101,"Transfer Send",Transactions!$F$3:$F101,"Stablecoin",Transactions!$A$3:$A101,T$65,Transactions!$D$3:$D101,$N78)
-SUMIFS(Transactions!$I$3:$I101,Transactions!$H$3:$H101,"Sell",Transactions!$F$3:$F101,"Stablecoin",Transactions!$A$3:$A101,T$65,Transactions!$D$3:$D101,$N78)
-SUMIFS(Transactions!$M$3:$M101,Transactions!$H$3:$H101,"Buy",Transactions!$A$3:$A101,T$65,Transactions!$B$3:$B101,$N78))</f>
        <v/>
      </c>
      <c r="U78" s="158" t="str">
        <f>IF(OR(ISBLANK($N78),ISBLANK(U$65)),"",
SUMIFS(Transactions!$I$3:$I101,Transactions!$H$3:$H101,"Buy",Transactions!$F$3:$F101,"Crypto",Transactions!$A$3:$A101,U$65,Transactions!$D$3:$D101,$N78)
+SUMIFS(Transactions!$I$3:$I101,Transactions!$H$3:$H101,"Crypto Interest",Transactions!$F$3:$F101,"Crypto",Transactions!$A$3:$A101,U$65,Transactions!$D$3:$D101,$N78)
+SUMIFS(Transactions!$I$3:$I101,Transactions!$H$3:$H101,"Transfer Deposit",Transactions!$F$3:$F101,"Crypto",Transactions!$A$3:$A101,U$65,Transactions!$D$3:$D101,$N78)
-SUMIFS(Transactions!$I$3:$I101,Transactions!$H$3:$H101,"Transfer Send",Transactions!$F$3:$F101,"Crypto",Transactions!$A$3:$A101,U$65,Transactions!$D$3:$D101,$N78)
-SUMIFS(Transactions!$I$3:$I101,Transactions!$H$3:$H101,"Sell",Transactions!$F$3:$F101,"Crypto",Transactions!$A$3:$A101,U$65,Transactions!$D$3:$D101,$N78)
+SUMIFS(Transactions!$I$3:$I101,Transactions!$H$3:$H101,"Buy",Transactions!$F$3:$F101,"Stablecoin",Transactions!$A$3:$A101,U$65,Transactions!$D$3:$D101,$N78)
+SUMIFS(Transactions!$I$3:$I101,Transactions!$H$3:$H101,"Crypto Interest",Transactions!$F$3:$F101,"Stablecoin",Transactions!$A$3:$A101,U$65,Transactions!$D$3:$D101,$N78)
+SUMIFS(Transactions!$I$3:$I101,Transactions!$H$3:$H101,"Transfer Deposit",Transactions!$F$3:$F101,"Stablecoin",Transactions!$A$3:$A101,U$65,Transactions!$D$3:$D101,$N78)
-SUMIFS(Transactions!$I$3:$I101,Transactions!$H$3:$H101,"Transfer Send",Transactions!$F$3:$F101,"Stablecoin",Transactions!$A$3:$A101,U$65,Transactions!$D$3:$D101,$N78)
-SUMIFS(Transactions!$I$3:$I101,Transactions!$H$3:$H101,"Sell",Transactions!$F$3:$F101,"Stablecoin",Transactions!$A$3:$A101,U$65,Transactions!$D$3:$D101,$N78)
-SUMIFS(Transactions!$M$3:$M101,Transactions!$H$3:$H101,"Buy",Transactions!$A$3:$A101,U$65,Transactions!$B$3:$B101,$N78))</f>
        <v/>
      </c>
      <c r="V78" s="158"/>
      <c r="W78" s="95"/>
      <c r="X78" s="96"/>
      <c r="Y78" s="96" t="str">
        <f>IFERROR(__xludf.DUMMYFUNCTION("IF(ISBLANK(W78),"""",QUERY(GOOGLEFINANCE($N$21,""Close"",W78-5,6),""select Col2 where Col1 &lt; date '""&amp;TEXT(W78+1, ""YYYY-MM-DD"")&amp;""' order by Col1 desc limit 1"",False)
)"),"")</f>
        <v/>
      </c>
      <c r="Z78" s="158"/>
    </row>
    <row r="79">
      <c r="A79" s="14"/>
      <c r="B79" s="149"/>
      <c r="C79" s="156" t="str">
        <f>IF(ISBLANK(B79),"",SUMIF(Portfolio!$A:$A,B79,Portfolio!$C:$C))</f>
        <v/>
      </c>
      <c r="D79" s="145" t="str">
        <f>IF(ISBLANK(B79),"",AVERAGEIF(Portfolio!$A:$A,B79,Portfolio!$D:$D))</f>
        <v/>
      </c>
      <c r="F79" s="145" t="str">
        <f>IF(ISBLANK(B79),"",VLOOKUP(B79,Portfolio!$A:$E,5,0))</f>
        <v/>
      </c>
      <c r="G79" s="145" t="str">
        <f>IF(ISBLANK(B79),"",IFERROR(((C79-SUMIFS(Transactions!I:I,Transactions!H:H,"Crypto Interest",Transactions!E:E,B79))*D79),""))</f>
        <v/>
      </c>
      <c r="H79" s="145" t="str">
        <f t="shared" si="11"/>
        <v/>
      </c>
      <c r="I79" s="50" t="str">
        <f t="shared" si="12"/>
        <v/>
      </c>
      <c r="J79" s="145" t="str">
        <f t="shared" si="13"/>
        <v/>
      </c>
      <c r="K79" s="145" t="str">
        <f>IF(ISBLANK(B79),"",SUMIF(Portfolio!$A:$A,B79,Portfolio!$Q:$Q))</f>
        <v/>
      </c>
      <c r="L79" s="145" t="str">
        <f t="shared" si="14"/>
        <v/>
      </c>
      <c r="M79" s="14"/>
      <c r="N79" s="157"/>
      <c r="O79" s="158" t="str">
        <f>IF(OR(ISBLANK($N79),ISBLANK(O$65)),"",
SUMIFS(Transactions!$I$3:$I101,Transactions!$H$3:$H101,"Buy",Transactions!$F$3:$F101,"Crypto",Transactions!$A$3:$A101,O$65,Transactions!$D$3:$D101,$N79)
+SUMIFS(Transactions!$I$3:$I101,Transactions!$H$3:$H101,"Crypto Interest",Transactions!$F$3:$F101,"Crypto",Transactions!$A$3:$A101,O$65,Transactions!$D$3:$D101,$N79)
+SUMIFS(Transactions!$I$3:$I101,Transactions!$H$3:$H101,"Transfer Deposit",Transactions!$F$3:$F101,"Crypto",Transactions!$A$3:$A101,O$65,Transactions!$D$3:$D101,$N79)
-SUMIFS(Transactions!$I$3:$I101,Transactions!$H$3:$H101,"Transfer Send",Transactions!$F$3:$F101,"Crypto",Transactions!$A$3:$A101,O$65,Transactions!$D$3:$D101,$N79)
-SUMIFS(Transactions!$I$3:$I101,Transactions!$H$3:$H101,"Sell",Transactions!$F$3:$F101,"Crypto",Transactions!$A$3:$A101,O$65,Transactions!$D$3:$D101,$N79)
+SUMIFS(Transactions!$I$3:$I101,Transactions!$H$3:$H101,"Buy",Transactions!$F$3:$F101,"Stablecoin",Transactions!$A$3:$A101,O$65,Transactions!$D$3:$D101,$N79)
+SUMIFS(Transactions!$I$3:$I101,Transactions!$H$3:$H101,"Crypto Interest",Transactions!$F$3:$F101,"Stablecoin",Transactions!$A$3:$A101,O$65,Transactions!$D$3:$D101,$N79)
+SUMIFS(Transactions!$I$3:$I101,Transactions!$H$3:$H101,"Transfer Deposit",Transactions!$F$3:$F101,"Stablecoin",Transactions!$A$3:$A101,O$65,Transactions!$D$3:$D101,$N79)
-SUMIFS(Transactions!$I$3:$I101,Transactions!$H$3:$H101,"Transfer Send",Transactions!$F$3:$F101,"Stablecoin",Transactions!$A$3:$A101,O$65,Transactions!$D$3:$D101,$N79)
-SUMIFS(Transactions!$I$3:$I101,Transactions!$H$3:$H101,"Sell",Transactions!$F$3:$F101,"Stablecoin",Transactions!$A$3:$A101,O$65,Transactions!$D$3:$D101,$N79)
-SUMIFS(Transactions!$M$3:$M101,Transactions!$H$3:$H101,"Buy",Transactions!$A$3:$A101,O$65,Transactions!$B$3:$B101,$N79))</f>
        <v/>
      </c>
      <c r="P79" s="158" t="str">
        <f>IF(OR(ISBLANK($N79),ISBLANK(P$65)),"",
SUMIFS(Transactions!$I$3:$I101,Transactions!$H$3:$H101,"Buy",Transactions!$F$3:$F101,"Crypto",Transactions!$A$3:$A101,P$65,Transactions!$D$3:$D101,$N79)
+SUMIFS(Transactions!$I$3:$I101,Transactions!$H$3:$H101,"Crypto Interest",Transactions!$F$3:$F101,"Crypto",Transactions!$A$3:$A101,P$65,Transactions!$D$3:$D101,$N79)
+SUMIFS(Transactions!$I$3:$I101,Transactions!$H$3:$H101,"Transfer Deposit",Transactions!$F$3:$F101,"Crypto",Transactions!$A$3:$A101,P$65,Transactions!$D$3:$D101,$N79)
-SUMIFS(Transactions!$I$3:$I101,Transactions!$H$3:$H101,"Transfer Send",Transactions!$F$3:$F101,"Crypto",Transactions!$A$3:$A101,P$65,Transactions!$D$3:$D101,$N79)
-SUMIFS(Transactions!$I$3:$I101,Transactions!$H$3:$H101,"Sell",Transactions!$F$3:$F101,"Crypto",Transactions!$A$3:$A101,P$65,Transactions!$D$3:$D101,$N79)
+SUMIFS(Transactions!$I$3:$I101,Transactions!$H$3:$H101,"Buy",Transactions!$F$3:$F101,"Stablecoin",Transactions!$A$3:$A101,P$65,Transactions!$D$3:$D101,$N79)
+SUMIFS(Transactions!$I$3:$I101,Transactions!$H$3:$H101,"Crypto Interest",Transactions!$F$3:$F101,"Stablecoin",Transactions!$A$3:$A101,P$65,Transactions!$D$3:$D101,$N79)
+SUMIFS(Transactions!$I$3:$I101,Transactions!$H$3:$H101,"Transfer Deposit",Transactions!$F$3:$F101,"Stablecoin",Transactions!$A$3:$A101,P$65,Transactions!$D$3:$D101,$N79)
-SUMIFS(Transactions!$I$3:$I101,Transactions!$H$3:$H101,"Transfer Send",Transactions!$F$3:$F101,"Stablecoin",Transactions!$A$3:$A101,P$65,Transactions!$D$3:$D101,$N79)
-SUMIFS(Transactions!$I$3:$I101,Transactions!$H$3:$H101,"Sell",Transactions!$F$3:$F101,"Stablecoin",Transactions!$A$3:$A101,P$65,Transactions!$D$3:$D101,$N79)
-SUMIFS(Transactions!$M$3:$M101,Transactions!$H$3:$H101,"Buy",Transactions!$A$3:$A101,P$65,Transactions!$B$3:$B101,$N79))</f>
        <v/>
      </c>
      <c r="Q79" s="158" t="str">
        <f>IF(OR(ISBLANK($N79),ISBLANK(Q$65)),"",
SUMIFS(Transactions!$I$3:$I101,Transactions!$H$3:$H101,"Buy",Transactions!$F$3:$F101,"Crypto",Transactions!$A$3:$A101,Q$65,Transactions!$D$3:$D101,$N79)
+SUMIFS(Transactions!$I$3:$I101,Transactions!$H$3:$H101,"Crypto Interest",Transactions!$F$3:$F101,"Crypto",Transactions!$A$3:$A101,Q$65,Transactions!$D$3:$D101,$N79)
+SUMIFS(Transactions!$I$3:$I101,Transactions!$H$3:$H101,"Transfer Deposit",Transactions!$F$3:$F101,"Crypto",Transactions!$A$3:$A101,Q$65,Transactions!$D$3:$D101,$N79)
-SUMIFS(Transactions!$I$3:$I101,Transactions!$H$3:$H101,"Transfer Send",Transactions!$F$3:$F101,"Crypto",Transactions!$A$3:$A101,Q$65,Transactions!$D$3:$D101,$N79)
-SUMIFS(Transactions!$I$3:$I101,Transactions!$H$3:$H101,"Sell",Transactions!$F$3:$F101,"Crypto",Transactions!$A$3:$A101,Q$65,Transactions!$D$3:$D101,$N79)
+SUMIFS(Transactions!$I$3:$I101,Transactions!$H$3:$H101,"Buy",Transactions!$F$3:$F101,"Stablecoin",Transactions!$A$3:$A101,Q$65,Transactions!$D$3:$D101,$N79)
+SUMIFS(Transactions!$I$3:$I101,Transactions!$H$3:$H101,"Crypto Interest",Transactions!$F$3:$F101,"Stablecoin",Transactions!$A$3:$A101,Q$65,Transactions!$D$3:$D101,$N79)
+SUMIFS(Transactions!$I$3:$I101,Transactions!$H$3:$H101,"Transfer Deposit",Transactions!$F$3:$F101,"Stablecoin",Transactions!$A$3:$A101,Q$65,Transactions!$D$3:$D101,$N79)
-SUMIFS(Transactions!$I$3:$I101,Transactions!$H$3:$H101,"Transfer Send",Transactions!$F$3:$F101,"Stablecoin",Transactions!$A$3:$A101,Q$65,Transactions!$D$3:$D101,$N79)
-SUMIFS(Transactions!$I$3:$I101,Transactions!$H$3:$H101,"Sell",Transactions!$F$3:$F101,"Stablecoin",Transactions!$A$3:$A101,Q$65,Transactions!$D$3:$D101,$N79)
-SUMIFS(Transactions!$M$3:$M101,Transactions!$H$3:$H101,"Buy",Transactions!$A$3:$A101,Q$65,Transactions!$B$3:$B101,$N79))</f>
        <v/>
      </c>
      <c r="R79" s="158" t="str">
        <f>IF(OR(ISBLANK($N79),ISBLANK(R$65)),"",
SUMIFS(Transactions!$I$3:$I101,Transactions!$H$3:$H101,"Buy",Transactions!$F$3:$F101,"Crypto",Transactions!$A$3:$A101,R$65,Transactions!$D$3:$D101,$N79)
+SUMIFS(Transactions!$I$3:$I101,Transactions!$H$3:$H101,"Crypto Interest",Transactions!$F$3:$F101,"Crypto",Transactions!$A$3:$A101,R$65,Transactions!$D$3:$D101,$N79)
+SUMIFS(Transactions!$I$3:$I101,Transactions!$H$3:$H101,"Transfer Deposit",Transactions!$F$3:$F101,"Crypto",Transactions!$A$3:$A101,R$65,Transactions!$D$3:$D101,$N79)
-SUMIFS(Transactions!$I$3:$I101,Transactions!$H$3:$H101,"Transfer Send",Transactions!$F$3:$F101,"Crypto",Transactions!$A$3:$A101,R$65,Transactions!$D$3:$D101,$N79)
-SUMIFS(Transactions!$I$3:$I101,Transactions!$H$3:$H101,"Sell",Transactions!$F$3:$F101,"Crypto",Transactions!$A$3:$A101,R$65,Transactions!$D$3:$D101,$N79)
+SUMIFS(Transactions!$I$3:$I101,Transactions!$H$3:$H101,"Buy",Transactions!$F$3:$F101,"Stablecoin",Transactions!$A$3:$A101,R$65,Transactions!$D$3:$D101,$N79)
+SUMIFS(Transactions!$I$3:$I101,Transactions!$H$3:$H101,"Crypto Interest",Transactions!$F$3:$F101,"Stablecoin",Transactions!$A$3:$A101,R$65,Transactions!$D$3:$D101,$N79)
+SUMIFS(Transactions!$I$3:$I101,Transactions!$H$3:$H101,"Transfer Deposit",Transactions!$F$3:$F101,"Stablecoin",Transactions!$A$3:$A101,R$65,Transactions!$D$3:$D101,$N79)
-SUMIFS(Transactions!$I$3:$I101,Transactions!$H$3:$H101,"Transfer Send",Transactions!$F$3:$F101,"Stablecoin",Transactions!$A$3:$A101,R$65,Transactions!$D$3:$D101,$N79)
-SUMIFS(Transactions!$I$3:$I101,Transactions!$H$3:$H101,"Sell",Transactions!$F$3:$F101,"Stablecoin",Transactions!$A$3:$A101,R$65,Transactions!$D$3:$D101,$N79)
-SUMIFS(Transactions!$M$3:$M101,Transactions!$H$3:$H101,"Buy",Transactions!$A$3:$A101,R$65,Transactions!$B$3:$B101,$N79))</f>
        <v/>
      </c>
      <c r="S79" s="158" t="str">
        <f>IF(OR(ISBLANK($N79),ISBLANK(S$65)),"",
SUMIFS(Transactions!$I$3:$I101,Transactions!$H$3:$H101,"Buy",Transactions!$F$3:$F101,"Crypto",Transactions!$A$3:$A101,S$65,Transactions!$D$3:$D101,$N79)
+SUMIFS(Transactions!$I$3:$I101,Transactions!$H$3:$H101,"Crypto Interest",Transactions!$F$3:$F101,"Crypto",Transactions!$A$3:$A101,S$65,Transactions!$D$3:$D101,$N79)
+SUMIFS(Transactions!$I$3:$I101,Transactions!$H$3:$H101,"Transfer Deposit",Transactions!$F$3:$F101,"Crypto",Transactions!$A$3:$A101,S$65,Transactions!$D$3:$D101,$N79)
-SUMIFS(Transactions!$I$3:$I101,Transactions!$H$3:$H101,"Transfer Send",Transactions!$F$3:$F101,"Crypto",Transactions!$A$3:$A101,S$65,Transactions!$D$3:$D101,$N79)
-SUMIFS(Transactions!$I$3:$I101,Transactions!$H$3:$H101,"Sell",Transactions!$F$3:$F101,"Crypto",Transactions!$A$3:$A101,S$65,Transactions!$D$3:$D101,$N79)
+SUMIFS(Transactions!$I$3:$I101,Transactions!$H$3:$H101,"Buy",Transactions!$F$3:$F101,"Stablecoin",Transactions!$A$3:$A101,S$65,Transactions!$D$3:$D101,$N79)
+SUMIFS(Transactions!$I$3:$I101,Transactions!$H$3:$H101,"Crypto Interest",Transactions!$F$3:$F101,"Stablecoin",Transactions!$A$3:$A101,S$65,Transactions!$D$3:$D101,$N79)
+SUMIFS(Transactions!$I$3:$I101,Transactions!$H$3:$H101,"Transfer Deposit",Transactions!$F$3:$F101,"Stablecoin",Transactions!$A$3:$A101,S$65,Transactions!$D$3:$D101,$N79)
-SUMIFS(Transactions!$I$3:$I101,Transactions!$H$3:$H101,"Transfer Send",Transactions!$F$3:$F101,"Stablecoin",Transactions!$A$3:$A101,S$65,Transactions!$D$3:$D101,$N79)
-SUMIFS(Transactions!$I$3:$I101,Transactions!$H$3:$H101,"Sell",Transactions!$F$3:$F101,"Stablecoin",Transactions!$A$3:$A101,S$65,Transactions!$D$3:$D101,$N79)
-SUMIFS(Transactions!$M$3:$M101,Transactions!$H$3:$H101,"Buy",Transactions!$A$3:$A101,S$65,Transactions!$B$3:$B101,$N79))</f>
        <v/>
      </c>
      <c r="T79" s="158" t="str">
        <f>IF(OR(ISBLANK($N79),ISBLANK(T$65)),"",
SUMIFS(Transactions!$I$3:$I101,Transactions!$H$3:$H101,"Buy",Transactions!$F$3:$F101,"Crypto",Transactions!$A$3:$A101,T$65,Transactions!$D$3:$D101,$N79)
+SUMIFS(Transactions!$I$3:$I101,Transactions!$H$3:$H101,"Crypto Interest",Transactions!$F$3:$F101,"Crypto",Transactions!$A$3:$A101,T$65,Transactions!$D$3:$D101,$N79)
+SUMIFS(Transactions!$I$3:$I101,Transactions!$H$3:$H101,"Transfer Deposit",Transactions!$F$3:$F101,"Crypto",Transactions!$A$3:$A101,T$65,Transactions!$D$3:$D101,$N79)
-SUMIFS(Transactions!$I$3:$I101,Transactions!$H$3:$H101,"Transfer Send",Transactions!$F$3:$F101,"Crypto",Transactions!$A$3:$A101,T$65,Transactions!$D$3:$D101,$N79)
-SUMIFS(Transactions!$I$3:$I101,Transactions!$H$3:$H101,"Sell",Transactions!$F$3:$F101,"Crypto",Transactions!$A$3:$A101,T$65,Transactions!$D$3:$D101,$N79)
+SUMIFS(Transactions!$I$3:$I101,Transactions!$H$3:$H101,"Buy",Transactions!$F$3:$F101,"Stablecoin",Transactions!$A$3:$A101,T$65,Transactions!$D$3:$D101,$N79)
+SUMIFS(Transactions!$I$3:$I101,Transactions!$H$3:$H101,"Crypto Interest",Transactions!$F$3:$F101,"Stablecoin",Transactions!$A$3:$A101,T$65,Transactions!$D$3:$D101,$N79)
+SUMIFS(Transactions!$I$3:$I101,Transactions!$H$3:$H101,"Transfer Deposit",Transactions!$F$3:$F101,"Stablecoin",Transactions!$A$3:$A101,T$65,Transactions!$D$3:$D101,$N79)
-SUMIFS(Transactions!$I$3:$I101,Transactions!$H$3:$H101,"Transfer Send",Transactions!$F$3:$F101,"Stablecoin",Transactions!$A$3:$A101,T$65,Transactions!$D$3:$D101,$N79)
-SUMIFS(Transactions!$I$3:$I101,Transactions!$H$3:$H101,"Sell",Transactions!$F$3:$F101,"Stablecoin",Transactions!$A$3:$A101,T$65,Transactions!$D$3:$D101,$N79)
-SUMIFS(Transactions!$M$3:$M101,Transactions!$H$3:$H101,"Buy",Transactions!$A$3:$A101,T$65,Transactions!$B$3:$B101,$N79))</f>
        <v/>
      </c>
      <c r="U79" s="158" t="str">
        <f>IF(OR(ISBLANK($N79),ISBLANK(U$65)),"",
SUMIFS(Transactions!$I$3:$I101,Transactions!$H$3:$H101,"Buy",Transactions!$F$3:$F101,"Crypto",Transactions!$A$3:$A101,U$65,Transactions!$D$3:$D101,$N79)
+SUMIFS(Transactions!$I$3:$I101,Transactions!$H$3:$H101,"Crypto Interest",Transactions!$F$3:$F101,"Crypto",Transactions!$A$3:$A101,U$65,Transactions!$D$3:$D101,$N79)
+SUMIFS(Transactions!$I$3:$I101,Transactions!$H$3:$H101,"Transfer Deposit",Transactions!$F$3:$F101,"Crypto",Transactions!$A$3:$A101,U$65,Transactions!$D$3:$D101,$N79)
-SUMIFS(Transactions!$I$3:$I101,Transactions!$H$3:$H101,"Transfer Send",Transactions!$F$3:$F101,"Crypto",Transactions!$A$3:$A101,U$65,Transactions!$D$3:$D101,$N79)
-SUMIFS(Transactions!$I$3:$I101,Transactions!$H$3:$H101,"Sell",Transactions!$F$3:$F101,"Crypto",Transactions!$A$3:$A101,U$65,Transactions!$D$3:$D101,$N79)
+SUMIFS(Transactions!$I$3:$I101,Transactions!$H$3:$H101,"Buy",Transactions!$F$3:$F101,"Stablecoin",Transactions!$A$3:$A101,U$65,Transactions!$D$3:$D101,$N79)
+SUMIFS(Transactions!$I$3:$I101,Transactions!$H$3:$H101,"Crypto Interest",Transactions!$F$3:$F101,"Stablecoin",Transactions!$A$3:$A101,U$65,Transactions!$D$3:$D101,$N79)
+SUMIFS(Transactions!$I$3:$I101,Transactions!$H$3:$H101,"Transfer Deposit",Transactions!$F$3:$F101,"Stablecoin",Transactions!$A$3:$A101,U$65,Transactions!$D$3:$D101,$N79)
-SUMIFS(Transactions!$I$3:$I101,Transactions!$H$3:$H101,"Transfer Send",Transactions!$F$3:$F101,"Stablecoin",Transactions!$A$3:$A101,U$65,Transactions!$D$3:$D101,$N79)
-SUMIFS(Transactions!$I$3:$I101,Transactions!$H$3:$H101,"Sell",Transactions!$F$3:$F101,"Stablecoin",Transactions!$A$3:$A101,U$65,Transactions!$D$3:$D101,$N79)
-SUMIFS(Transactions!$M$3:$M101,Transactions!$H$3:$H101,"Buy",Transactions!$A$3:$A101,U$65,Transactions!$B$3:$B101,$N79))</f>
        <v/>
      </c>
      <c r="V79" s="158"/>
      <c r="W79" s="95"/>
      <c r="X79" s="96"/>
      <c r="Y79" s="96" t="str">
        <f>IFERROR(__xludf.DUMMYFUNCTION("IF(ISBLANK(W79),"""",QUERY(GOOGLEFINANCE($N$21,""Close"",W79-5,6),""select Col2 where Col1 &lt; date '""&amp;TEXT(W79+1, ""YYYY-MM-DD"")&amp;""' order by Col1 desc limit 1"",False)
)"),"")</f>
        <v/>
      </c>
      <c r="Z79" s="158"/>
    </row>
    <row r="80">
      <c r="A80" s="14"/>
      <c r="B80" s="149"/>
      <c r="C80" s="156" t="str">
        <f>IF(ISBLANK(B80),"",SUMIF(Portfolio!$A:$A,B80,Portfolio!$C:$C))</f>
        <v/>
      </c>
      <c r="D80" s="145" t="str">
        <f>IF(ISBLANK(B80),"",AVERAGEIF(Portfolio!$A:$A,B80,Portfolio!$D:$D))</f>
        <v/>
      </c>
      <c r="F80" s="145" t="str">
        <f>IF(ISBLANK(B80),"",VLOOKUP(B80,Portfolio!$A:$E,5,0))</f>
        <v/>
      </c>
      <c r="G80" s="145" t="str">
        <f>IF(ISBLANK(B80),"",IFERROR(((C80-SUMIFS(Transactions!I:I,Transactions!H:H,"Crypto Interest",Transactions!E:E,B80))*D80),""))</f>
        <v/>
      </c>
      <c r="H80" s="145" t="str">
        <f t="shared" si="11"/>
        <v/>
      </c>
      <c r="I80" s="50" t="str">
        <f t="shared" si="12"/>
        <v/>
      </c>
      <c r="J80" s="145" t="str">
        <f t="shared" si="13"/>
        <v/>
      </c>
      <c r="K80" s="145" t="str">
        <f>IF(ISBLANK(B80),"",SUMIF(Portfolio!$A:$A,B80,Portfolio!$Q:$Q))</f>
        <v/>
      </c>
      <c r="L80" s="145" t="str">
        <f t="shared" si="14"/>
        <v/>
      </c>
      <c r="M80" s="14"/>
      <c r="N80" s="157"/>
      <c r="O80" s="158" t="str">
        <f>IF(OR(ISBLANK($N80),ISBLANK(O$65)),"",
SUMIFS(Transactions!$I$3:$I101,Transactions!$H$3:$H101,"Buy",Transactions!$F$3:$F101,"Crypto",Transactions!$A$3:$A101,O$65,Transactions!$D$3:$D101,$N80)
+SUMIFS(Transactions!$I$3:$I101,Transactions!$H$3:$H101,"Crypto Interest",Transactions!$F$3:$F101,"Crypto",Transactions!$A$3:$A101,O$65,Transactions!$D$3:$D101,$N80)
+SUMIFS(Transactions!$I$3:$I101,Transactions!$H$3:$H101,"Transfer Deposit",Transactions!$F$3:$F101,"Crypto",Transactions!$A$3:$A101,O$65,Transactions!$D$3:$D101,$N80)
-SUMIFS(Transactions!$I$3:$I101,Transactions!$H$3:$H101,"Transfer Send",Transactions!$F$3:$F101,"Crypto",Transactions!$A$3:$A101,O$65,Transactions!$D$3:$D101,$N80)
-SUMIFS(Transactions!$I$3:$I101,Transactions!$H$3:$H101,"Sell",Transactions!$F$3:$F101,"Crypto",Transactions!$A$3:$A101,O$65,Transactions!$D$3:$D101,$N80)
+SUMIFS(Transactions!$I$3:$I101,Transactions!$H$3:$H101,"Buy",Transactions!$F$3:$F101,"Stablecoin",Transactions!$A$3:$A101,O$65,Transactions!$D$3:$D101,$N80)
+SUMIFS(Transactions!$I$3:$I101,Transactions!$H$3:$H101,"Crypto Interest",Transactions!$F$3:$F101,"Stablecoin",Transactions!$A$3:$A101,O$65,Transactions!$D$3:$D101,$N80)
+SUMIFS(Transactions!$I$3:$I101,Transactions!$H$3:$H101,"Transfer Deposit",Transactions!$F$3:$F101,"Stablecoin",Transactions!$A$3:$A101,O$65,Transactions!$D$3:$D101,$N80)
-SUMIFS(Transactions!$I$3:$I101,Transactions!$H$3:$H101,"Transfer Send",Transactions!$F$3:$F101,"Stablecoin",Transactions!$A$3:$A101,O$65,Transactions!$D$3:$D101,$N80)
-SUMIFS(Transactions!$I$3:$I101,Transactions!$H$3:$H101,"Sell",Transactions!$F$3:$F101,"Stablecoin",Transactions!$A$3:$A101,O$65,Transactions!$D$3:$D101,$N80)
-SUMIFS(Transactions!$M$3:$M101,Transactions!$H$3:$H101,"Buy",Transactions!$A$3:$A101,O$65,Transactions!$B$3:$B101,$N80))</f>
        <v/>
      </c>
      <c r="P80" s="158" t="str">
        <f>IF(OR(ISBLANK($N80),ISBLANK(P$65)),"",
SUMIFS(Transactions!$I$3:$I101,Transactions!$H$3:$H101,"Buy",Transactions!$F$3:$F101,"Crypto",Transactions!$A$3:$A101,P$65,Transactions!$D$3:$D101,$N80)
+SUMIFS(Transactions!$I$3:$I101,Transactions!$H$3:$H101,"Crypto Interest",Transactions!$F$3:$F101,"Crypto",Transactions!$A$3:$A101,P$65,Transactions!$D$3:$D101,$N80)
+SUMIFS(Transactions!$I$3:$I101,Transactions!$H$3:$H101,"Transfer Deposit",Transactions!$F$3:$F101,"Crypto",Transactions!$A$3:$A101,P$65,Transactions!$D$3:$D101,$N80)
-SUMIFS(Transactions!$I$3:$I101,Transactions!$H$3:$H101,"Transfer Send",Transactions!$F$3:$F101,"Crypto",Transactions!$A$3:$A101,P$65,Transactions!$D$3:$D101,$N80)
-SUMIFS(Transactions!$I$3:$I101,Transactions!$H$3:$H101,"Sell",Transactions!$F$3:$F101,"Crypto",Transactions!$A$3:$A101,P$65,Transactions!$D$3:$D101,$N80)
+SUMIFS(Transactions!$I$3:$I101,Transactions!$H$3:$H101,"Buy",Transactions!$F$3:$F101,"Stablecoin",Transactions!$A$3:$A101,P$65,Transactions!$D$3:$D101,$N80)
+SUMIFS(Transactions!$I$3:$I101,Transactions!$H$3:$H101,"Crypto Interest",Transactions!$F$3:$F101,"Stablecoin",Transactions!$A$3:$A101,P$65,Transactions!$D$3:$D101,$N80)
+SUMIFS(Transactions!$I$3:$I101,Transactions!$H$3:$H101,"Transfer Deposit",Transactions!$F$3:$F101,"Stablecoin",Transactions!$A$3:$A101,P$65,Transactions!$D$3:$D101,$N80)
-SUMIFS(Transactions!$I$3:$I101,Transactions!$H$3:$H101,"Transfer Send",Transactions!$F$3:$F101,"Stablecoin",Transactions!$A$3:$A101,P$65,Transactions!$D$3:$D101,$N80)
-SUMIFS(Transactions!$I$3:$I101,Transactions!$H$3:$H101,"Sell",Transactions!$F$3:$F101,"Stablecoin",Transactions!$A$3:$A101,P$65,Transactions!$D$3:$D101,$N80)
-SUMIFS(Transactions!$M$3:$M101,Transactions!$H$3:$H101,"Buy",Transactions!$A$3:$A101,P$65,Transactions!$B$3:$B101,$N80))</f>
        <v/>
      </c>
      <c r="Q80" s="158" t="str">
        <f>IF(OR(ISBLANK($N80),ISBLANK(Q$65)),"",
SUMIFS(Transactions!$I$3:$I101,Transactions!$H$3:$H101,"Buy",Transactions!$F$3:$F101,"Crypto",Transactions!$A$3:$A101,Q$65,Transactions!$D$3:$D101,$N80)
+SUMIFS(Transactions!$I$3:$I101,Transactions!$H$3:$H101,"Crypto Interest",Transactions!$F$3:$F101,"Crypto",Transactions!$A$3:$A101,Q$65,Transactions!$D$3:$D101,$N80)
+SUMIFS(Transactions!$I$3:$I101,Transactions!$H$3:$H101,"Transfer Deposit",Transactions!$F$3:$F101,"Crypto",Transactions!$A$3:$A101,Q$65,Transactions!$D$3:$D101,$N80)
-SUMIFS(Transactions!$I$3:$I101,Transactions!$H$3:$H101,"Transfer Send",Transactions!$F$3:$F101,"Crypto",Transactions!$A$3:$A101,Q$65,Transactions!$D$3:$D101,$N80)
-SUMIFS(Transactions!$I$3:$I101,Transactions!$H$3:$H101,"Sell",Transactions!$F$3:$F101,"Crypto",Transactions!$A$3:$A101,Q$65,Transactions!$D$3:$D101,$N80)
+SUMIFS(Transactions!$I$3:$I101,Transactions!$H$3:$H101,"Buy",Transactions!$F$3:$F101,"Stablecoin",Transactions!$A$3:$A101,Q$65,Transactions!$D$3:$D101,$N80)
+SUMIFS(Transactions!$I$3:$I101,Transactions!$H$3:$H101,"Crypto Interest",Transactions!$F$3:$F101,"Stablecoin",Transactions!$A$3:$A101,Q$65,Transactions!$D$3:$D101,$N80)
+SUMIFS(Transactions!$I$3:$I101,Transactions!$H$3:$H101,"Transfer Deposit",Transactions!$F$3:$F101,"Stablecoin",Transactions!$A$3:$A101,Q$65,Transactions!$D$3:$D101,$N80)
-SUMIFS(Transactions!$I$3:$I101,Transactions!$H$3:$H101,"Transfer Send",Transactions!$F$3:$F101,"Stablecoin",Transactions!$A$3:$A101,Q$65,Transactions!$D$3:$D101,$N80)
-SUMIFS(Transactions!$I$3:$I101,Transactions!$H$3:$H101,"Sell",Transactions!$F$3:$F101,"Stablecoin",Transactions!$A$3:$A101,Q$65,Transactions!$D$3:$D101,$N80)
-SUMIFS(Transactions!$M$3:$M101,Transactions!$H$3:$H101,"Buy",Transactions!$A$3:$A101,Q$65,Transactions!$B$3:$B101,$N80))</f>
        <v/>
      </c>
      <c r="R80" s="158" t="str">
        <f>IF(OR(ISBLANK($N80),ISBLANK(R$65)),"",
SUMIFS(Transactions!$I$3:$I101,Transactions!$H$3:$H101,"Buy",Transactions!$F$3:$F101,"Crypto",Transactions!$A$3:$A101,R$65,Transactions!$D$3:$D101,$N80)
+SUMIFS(Transactions!$I$3:$I101,Transactions!$H$3:$H101,"Crypto Interest",Transactions!$F$3:$F101,"Crypto",Transactions!$A$3:$A101,R$65,Transactions!$D$3:$D101,$N80)
+SUMIFS(Transactions!$I$3:$I101,Transactions!$H$3:$H101,"Transfer Deposit",Transactions!$F$3:$F101,"Crypto",Transactions!$A$3:$A101,R$65,Transactions!$D$3:$D101,$N80)
-SUMIFS(Transactions!$I$3:$I101,Transactions!$H$3:$H101,"Transfer Send",Transactions!$F$3:$F101,"Crypto",Transactions!$A$3:$A101,R$65,Transactions!$D$3:$D101,$N80)
-SUMIFS(Transactions!$I$3:$I101,Transactions!$H$3:$H101,"Sell",Transactions!$F$3:$F101,"Crypto",Transactions!$A$3:$A101,R$65,Transactions!$D$3:$D101,$N80)
+SUMIFS(Transactions!$I$3:$I101,Transactions!$H$3:$H101,"Buy",Transactions!$F$3:$F101,"Stablecoin",Transactions!$A$3:$A101,R$65,Transactions!$D$3:$D101,$N80)
+SUMIFS(Transactions!$I$3:$I101,Transactions!$H$3:$H101,"Crypto Interest",Transactions!$F$3:$F101,"Stablecoin",Transactions!$A$3:$A101,R$65,Transactions!$D$3:$D101,$N80)
+SUMIFS(Transactions!$I$3:$I101,Transactions!$H$3:$H101,"Transfer Deposit",Transactions!$F$3:$F101,"Stablecoin",Transactions!$A$3:$A101,R$65,Transactions!$D$3:$D101,$N80)
-SUMIFS(Transactions!$I$3:$I101,Transactions!$H$3:$H101,"Transfer Send",Transactions!$F$3:$F101,"Stablecoin",Transactions!$A$3:$A101,R$65,Transactions!$D$3:$D101,$N80)
-SUMIFS(Transactions!$I$3:$I101,Transactions!$H$3:$H101,"Sell",Transactions!$F$3:$F101,"Stablecoin",Transactions!$A$3:$A101,R$65,Transactions!$D$3:$D101,$N80)
-SUMIFS(Transactions!$M$3:$M101,Transactions!$H$3:$H101,"Buy",Transactions!$A$3:$A101,R$65,Transactions!$B$3:$B101,$N80))</f>
        <v/>
      </c>
      <c r="S80" s="158" t="str">
        <f>IF(OR(ISBLANK($N80),ISBLANK(S$65)),"",
SUMIFS(Transactions!$I$3:$I101,Transactions!$H$3:$H101,"Buy",Transactions!$F$3:$F101,"Crypto",Transactions!$A$3:$A101,S$65,Transactions!$D$3:$D101,$N80)
+SUMIFS(Transactions!$I$3:$I101,Transactions!$H$3:$H101,"Crypto Interest",Transactions!$F$3:$F101,"Crypto",Transactions!$A$3:$A101,S$65,Transactions!$D$3:$D101,$N80)
+SUMIFS(Transactions!$I$3:$I101,Transactions!$H$3:$H101,"Transfer Deposit",Transactions!$F$3:$F101,"Crypto",Transactions!$A$3:$A101,S$65,Transactions!$D$3:$D101,$N80)
-SUMIFS(Transactions!$I$3:$I101,Transactions!$H$3:$H101,"Transfer Send",Transactions!$F$3:$F101,"Crypto",Transactions!$A$3:$A101,S$65,Transactions!$D$3:$D101,$N80)
-SUMIFS(Transactions!$I$3:$I101,Transactions!$H$3:$H101,"Sell",Transactions!$F$3:$F101,"Crypto",Transactions!$A$3:$A101,S$65,Transactions!$D$3:$D101,$N80)
+SUMIFS(Transactions!$I$3:$I101,Transactions!$H$3:$H101,"Buy",Transactions!$F$3:$F101,"Stablecoin",Transactions!$A$3:$A101,S$65,Transactions!$D$3:$D101,$N80)
+SUMIFS(Transactions!$I$3:$I101,Transactions!$H$3:$H101,"Crypto Interest",Transactions!$F$3:$F101,"Stablecoin",Transactions!$A$3:$A101,S$65,Transactions!$D$3:$D101,$N80)
+SUMIFS(Transactions!$I$3:$I101,Transactions!$H$3:$H101,"Transfer Deposit",Transactions!$F$3:$F101,"Stablecoin",Transactions!$A$3:$A101,S$65,Transactions!$D$3:$D101,$N80)
-SUMIFS(Transactions!$I$3:$I101,Transactions!$H$3:$H101,"Transfer Send",Transactions!$F$3:$F101,"Stablecoin",Transactions!$A$3:$A101,S$65,Transactions!$D$3:$D101,$N80)
-SUMIFS(Transactions!$I$3:$I101,Transactions!$H$3:$H101,"Sell",Transactions!$F$3:$F101,"Stablecoin",Transactions!$A$3:$A101,S$65,Transactions!$D$3:$D101,$N80)
-SUMIFS(Transactions!$M$3:$M101,Transactions!$H$3:$H101,"Buy",Transactions!$A$3:$A101,S$65,Transactions!$B$3:$B101,$N80))</f>
        <v/>
      </c>
      <c r="T80" s="158" t="str">
        <f>IF(OR(ISBLANK($N80),ISBLANK(T$65)),"",
SUMIFS(Transactions!$I$3:$I101,Transactions!$H$3:$H101,"Buy",Transactions!$F$3:$F101,"Crypto",Transactions!$A$3:$A101,T$65,Transactions!$D$3:$D101,$N80)
+SUMIFS(Transactions!$I$3:$I101,Transactions!$H$3:$H101,"Crypto Interest",Transactions!$F$3:$F101,"Crypto",Transactions!$A$3:$A101,T$65,Transactions!$D$3:$D101,$N80)
+SUMIFS(Transactions!$I$3:$I101,Transactions!$H$3:$H101,"Transfer Deposit",Transactions!$F$3:$F101,"Crypto",Transactions!$A$3:$A101,T$65,Transactions!$D$3:$D101,$N80)
-SUMIFS(Transactions!$I$3:$I101,Transactions!$H$3:$H101,"Transfer Send",Transactions!$F$3:$F101,"Crypto",Transactions!$A$3:$A101,T$65,Transactions!$D$3:$D101,$N80)
-SUMIFS(Transactions!$I$3:$I101,Transactions!$H$3:$H101,"Sell",Transactions!$F$3:$F101,"Crypto",Transactions!$A$3:$A101,T$65,Transactions!$D$3:$D101,$N80)
+SUMIFS(Transactions!$I$3:$I101,Transactions!$H$3:$H101,"Buy",Transactions!$F$3:$F101,"Stablecoin",Transactions!$A$3:$A101,T$65,Transactions!$D$3:$D101,$N80)
+SUMIFS(Transactions!$I$3:$I101,Transactions!$H$3:$H101,"Crypto Interest",Transactions!$F$3:$F101,"Stablecoin",Transactions!$A$3:$A101,T$65,Transactions!$D$3:$D101,$N80)
+SUMIFS(Transactions!$I$3:$I101,Transactions!$H$3:$H101,"Transfer Deposit",Transactions!$F$3:$F101,"Stablecoin",Transactions!$A$3:$A101,T$65,Transactions!$D$3:$D101,$N80)
-SUMIFS(Transactions!$I$3:$I101,Transactions!$H$3:$H101,"Transfer Send",Transactions!$F$3:$F101,"Stablecoin",Transactions!$A$3:$A101,T$65,Transactions!$D$3:$D101,$N80)
-SUMIFS(Transactions!$I$3:$I101,Transactions!$H$3:$H101,"Sell",Transactions!$F$3:$F101,"Stablecoin",Transactions!$A$3:$A101,T$65,Transactions!$D$3:$D101,$N80)
-SUMIFS(Transactions!$M$3:$M101,Transactions!$H$3:$H101,"Buy",Transactions!$A$3:$A101,T$65,Transactions!$B$3:$B101,$N80))</f>
        <v/>
      </c>
      <c r="U80" s="158" t="str">
        <f>IF(OR(ISBLANK($N80),ISBLANK(U$65)),"",
SUMIFS(Transactions!$I$3:$I101,Transactions!$H$3:$H101,"Buy",Transactions!$F$3:$F101,"Crypto",Transactions!$A$3:$A101,U$65,Transactions!$D$3:$D101,$N80)
+SUMIFS(Transactions!$I$3:$I101,Transactions!$H$3:$H101,"Crypto Interest",Transactions!$F$3:$F101,"Crypto",Transactions!$A$3:$A101,U$65,Transactions!$D$3:$D101,$N80)
+SUMIFS(Transactions!$I$3:$I101,Transactions!$H$3:$H101,"Transfer Deposit",Transactions!$F$3:$F101,"Crypto",Transactions!$A$3:$A101,U$65,Transactions!$D$3:$D101,$N80)
-SUMIFS(Transactions!$I$3:$I101,Transactions!$H$3:$H101,"Transfer Send",Transactions!$F$3:$F101,"Crypto",Transactions!$A$3:$A101,U$65,Transactions!$D$3:$D101,$N80)
-SUMIFS(Transactions!$I$3:$I101,Transactions!$H$3:$H101,"Sell",Transactions!$F$3:$F101,"Crypto",Transactions!$A$3:$A101,U$65,Transactions!$D$3:$D101,$N80)
+SUMIFS(Transactions!$I$3:$I101,Transactions!$H$3:$H101,"Buy",Transactions!$F$3:$F101,"Stablecoin",Transactions!$A$3:$A101,U$65,Transactions!$D$3:$D101,$N80)
+SUMIFS(Transactions!$I$3:$I101,Transactions!$H$3:$H101,"Crypto Interest",Transactions!$F$3:$F101,"Stablecoin",Transactions!$A$3:$A101,U$65,Transactions!$D$3:$D101,$N80)
+SUMIFS(Transactions!$I$3:$I101,Transactions!$H$3:$H101,"Transfer Deposit",Transactions!$F$3:$F101,"Stablecoin",Transactions!$A$3:$A101,U$65,Transactions!$D$3:$D101,$N80)
-SUMIFS(Transactions!$I$3:$I101,Transactions!$H$3:$H101,"Transfer Send",Transactions!$F$3:$F101,"Stablecoin",Transactions!$A$3:$A101,U$65,Transactions!$D$3:$D101,$N80)
-SUMIFS(Transactions!$I$3:$I101,Transactions!$H$3:$H101,"Sell",Transactions!$F$3:$F101,"Stablecoin",Transactions!$A$3:$A101,U$65,Transactions!$D$3:$D101,$N80)
-SUMIFS(Transactions!$M$3:$M101,Transactions!$H$3:$H101,"Buy",Transactions!$A$3:$A101,U$65,Transactions!$B$3:$B101,$N80))</f>
        <v/>
      </c>
      <c r="V80" s="158"/>
      <c r="W80" s="95"/>
      <c r="X80" s="96"/>
      <c r="Y80" s="96" t="str">
        <f>IFERROR(__xludf.DUMMYFUNCTION("IF(ISBLANK(W80),"""",QUERY(GOOGLEFINANCE($N$21,""Close"",W80-5,6),""select Col2 where Col1 &lt; date '""&amp;TEXT(W80+1, ""YYYY-MM-DD"")&amp;""' order by Col1 desc limit 1"",False)
)"),"")</f>
        <v/>
      </c>
      <c r="Z80" s="158"/>
    </row>
    <row r="81">
      <c r="A81" s="14"/>
      <c r="B81" s="149"/>
      <c r="C81" s="156" t="str">
        <f>IF(ISBLANK(B81),"",SUMIF(Portfolio!$A:$A,B81,Portfolio!$C:$C))</f>
        <v/>
      </c>
      <c r="D81" s="145" t="str">
        <f>IF(ISBLANK(B81),"",AVERAGEIF(Portfolio!$A:$A,B81,Portfolio!$D:$D))</f>
        <v/>
      </c>
      <c r="F81" s="145" t="str">
        <f>IF(ISBLANK(B81),"",VLOOKUP(B81,Portfolio!$A:$E,5,0))</f>
        <v/>
      </c>
      <c r="G81" s="145" t="str">
        <f>IF(ISBLANK(B81),"",IFERROR(((C81-SUMIFS(Transactions!I:I,Transactions!H:H,"Crypto Interest",Transactions!E:E,B81))*D81),""))</f>
        <v/>
      </c>
      <c r="H81" s="145" t="str">
        <f t="shared" si="11"/>
        <v/>
      </c>
      <c r="I81" s="50" t="str">
        <f t="shared" si="12"/>
        <v/>
      </c>
      <c r="J81" s="145" t="str">
        <f t="shared" si="13"/>
        <v/>
      </c>
      <c r="K81" s="145" t="str">
        <f>IF(ISBLANK(B81),"",SUMIF(Portfolio!$A:$A,B81,Portfolio!$Q:$Q))</f>
        <v/>
      </c>
      <c r="L81" s="145" t="str">
        <f t="shared" si="14"/>
        <v/>
      </c>
      <c r="M81" s="14"/>
      <c r="N81" s="157"/>
      <c r="O81" s="158" t="str">
        <f>IF(OR(ISBLANK($N81),ISBLANK(O$65)),"",
SUMIFS(Transactions!$I$3:$I101,Transactions!$H$3:$H101,"Buy",Transactions!$F$3:$F101,"Crypto",Transactions!$A$3:$A101,O$65,Transactions!$D$3:$D101,$N81)
+SUMIFS(Transactions!$I$3:$I101,Transactions!$H$3:$H101,"Crypto Interest",Transactions!$F$3:$F101,"Crypto",Transactions!$A$3:$A101,O$65,Transactions!$D$3:$D101,$N81)
+SUMIFS(Transactions!$I$3:$I101,Transactions!$H$3:$H101,"Transfer Deposit",Transactions!$F$3:$F101,"Crypto",Transactions!$A$3:$A101,O$65,Transactions!$D$3:$D101,$N81)
-SUMIFS(Transactions!$I$3:$I101,Transactions!$H$3:$H101,"Transfer Send",Transactions!$F$3:$F101,"Crypto",Transactions!$A$3:$A101,O$65,Transactions!$D$3:$D101,$N81)
-SUMIFS(Transactions!$I$3:$I101,Transactions!$H$3:$H101,"Sell",Transactions!$F$3:$F101,"Crypto",Transactions!$A$3:$A101,O$65,Transactions!$D$3:$D101,$N81)
+SUMIFS(Transactions!$I$3:$I101,Transactions!$H$3:$H101,"Buy",Transactions!$F$3:$F101,"Stablecoin",Transactions!$A$3:$A101,O$65,Transactions!$D$3:$D101,$N81)
+SUMIFS(Transactions!$I$3:$I101,Transactions!$H$3:$H101,"Crypto Interest",Transactions!$F$3:$F101,"Stablecoin",Transactions!$A$3:$A101,O$65,Transactions!$D$3:$D101,$N81)
+SUMIFS(Transactions!$I$3:$I101,Transactions!$H$3:$H101,"Transfer Deposit",Transactions!$F$3:$F101,"Stablecoin",Transactions!$A$3:$A101,O$65,Transactions!$D$3:$D101,$N81)
-SUMIFS(Transactions!$I$3:$I101,Transactions!$H$3:$H101,"Transfer Send",Transactions!$F$3:$F101,"Stablecoin",Transactions!$A$3:$A101,O$65,Transactions!$D$3:$D101,$N81)
-SUMIFS(Transactions!$I$3:$I101,Transactions!$H$3:$H101,"Sell",Transactions!$F$3:$F101,"Stablecoin",Transactions!$A$3:$A101,O$65,Transactions!$D$3:$D101,$N81)
-SUMIFS(Transactions!$M$3:$M101,Transactions!$H$3:$H101,"Buy",Transactions!$A$3:$A101,O$65,Transactions!$B$3:$B101,$N81))</f>
        <v/>
      </c>
      <c r="P81" s="158" t="str">
        <f>IF(OR(ISBLANK($N81),ISBLANK(P$65)),"",
SUMIFS(Transactions!$I$3:$I101,Transactions!$H$3:$H101,"Buy",Transactions!$F$3:$F101,"Crypto",Transactions!$A$3:$A101,P$65,Transactions!$D$3:$D101,$N81)
+SUMIFS(Transactions!$I$3:$I101,Transactions!$H$3:$H101,"Crypto Interest",Transactions!$F$3:$F101,"Crypto",Transactions!$A$3:$A101,P$65,Transactions!$D$3:$D101,$N81)
+SUMIFS(Transactions!$I$3:$I101,Transactions!$H$3:$H101,"Transfer Deposit",Transactions!$F$3:$F101,"Crypto",Transactions!$A$3:$A101,P$65,Transactions!$D$3:$D101,$N81)
-SUMIFS(Transactions!$I$3:$I101,Transactions!$H$3:$H101,"Transfer Send",Transactions!$F$3:$F101,"Crypto",Transactions!$A$3:$A101,P$65,Transactions!$D$3:$D101,$N81)
-SUMIFS(Transactions!$I$3:$I101,Transactions!$H$3:$H101,"Sell",Transactions!$F$3:$F101,"Crypto",Transactions!$A$3:$A101,P$65,Transactions!$D$3:$D101,$N81)
+SUMIFS(Transactions!$I$3:$I101,Transactions!$H$3:$H101,"Buy",Transactions!$F$3:$F101,"Stablecoin",Transactions!$A$3:$A101,P$65,Transactions!$D$3:$D101,$N81)
+SUMIFS(Transactions!$I$3:$I101,Transactions!$H$3:$H101,"Crypto Interest",Transactions!$F$3:$F101,"Stablecoin",Transactions!$A$3:$A101,P$65,Transactions!$D$3:$D101,$N81)
+SUMIFS(Transactions!$I$3:$I101,Transactions!$H$3:$H101,"Transfer Deposit",Transactions!$F$3:$F101,"Stablecoin",Transactions!$A$3:$A101,P$65,Transactions!$D$3:$D101,$N81)
-SUMIFS(Transactions!$I$3:$I101,Transactions!$H$3:$H101,"Transfer Send",Transactions!$F$3:$F101,"Stablecoin",Transactions!$A$3:$A101,P$65,Transactions!$D$3:$D101,$N81)
-SUMIFS(Transactions!$I$3:$I101,Transactions!$H$3:$H101,"Sell",Transactions!$F$3:$F101,"Stablecoin",Transactions!$A$3:$A101,P$65,Transactions!$D$3:$D101,$N81)
-SUMIFS(Transactions!$M$3:$M101,Transactions!$H$3:$H101,"Buy",Transactions!$A$3:$A101,P$65,Transactions!$B$3:$B101,$N81))</f>
        <v/>
      </c>
      <c r="Q81" s="158" t="str">
        <f>IF(OR(ISBLANK($N81),ISBLANK(Q$65)),"",
SUMIFS(Transactions!$I$3:$I101,Transactions!$H$3:$H101,"Buy",Transactions!$F$3:$F101,"Crypto",Transactions!$A$3:$A101,Q$65,Transactions!$D$3:$D101,$N81)
+SUMIFS(Transactions!$I$3:$I101,Transactions!$H$3:$H101,"Crypto Interest",Transactions!$F$3:$F101,"Crypto",Transactions!$A$3:$A101,Q$65,Transactions!$D$3:$D101,$N81)
+SUMIFS(Transactions!$I$3:$I101,Transactions!$H$3:$H101,"Transfer Deposit",Transactions!$F$3:$F101,"Crypto",Transactions!$A$3:$A101,Q$65,Transactions!$D$3:$D101,$N81)
-SUMIFS(Transactions!$I$3:$I101,Transactions!$H$3:$H101,"Transfer Send",Transactions!$F$3:$F101,"Crypto",Transactions!$A$3:$A101,Q$65,Transactions!$D$3:$D101,$N81)
-SUMIFS(Transactions!$I$3:$I101,Transactions!$H$3:$H101,"Sell",Transactions!$F$3:$F101,"Crypto",Transactions!$A$3:$A101,Q$65,Transactions!$D$3:$D101,$N81)
+SUMIFS(Transactions!$I$3:$I101,Transactions!$H$3:$H101,"Buy",Transactions!$F$3:$F101,"Stablecoin",Transactions!$A$3:$A101,Q$65,Transactions!$D$3:$D101,$N81)
+SUMIFS(Transactions!$I$3:$I101,Transactions!$H$3:$H101,"Crypto Interest",Transactions!$F$3:$F101,"Stablecoin",Transactions!$A$3:$A101,Q$65,Transactions!$D$3:$D101,$N81)
+SUMIFS(Transactions!$I$3:$I101,Transactions!$H$3:$H101,"Transfer Deposit",Transactions!$F$3:$F101,"Stablecoin",Transactions!$A$3:$A101,Q$65,Transactions!$D$3:$D101,$N81)
-SUMIFS(Transactions!$I$3:$I101,Transactions!$H$3:$H101,"Transfer Send",Transactions!$F$3:$F101,"Stablecoin",Transactions!$A$3:$A101,Q$65,Transactions!$D$3:$D101,$N81)
-SUMIFS(Transactions!$I$3:$I101,Transactions!$H$3:$H101,"Sell",Transactions!$F$3:$F101,"Stablecoin",Transactions!$A$3:$A101,Q$65,Transactions!$D$3:$D101,$N81)
-SUMIFS(Transactions!$M$3:$M101,Transactions!$H$3:$H101,"Buy",Transactions!$A$3:$A101,Q$65,Transactions!$B$3:$B101,$N81))</f>
        <v/>
      </c>
      <c r="R81" s="158" t="str">
        <f>IF(OR(ISBLANK($N81),ISBLANK(R$65)),"",
SUMIFS(Transactions!$I$3:$I101,Transactions!$H$3:$H101,"Buy",Transactions!$F$3:$F101,"Crypto",Transactions!$A$3:$A101,R$65,Transactions!$D$3:$D101,$N81)
+SUMIFS(Transactions!$I$3:$I101,Transactions!$H$3:$H101,"Crypto Interest",Transactions!$F$3:$F101,"Crypto",Transactions!$A$3:$A101,R$65,Transactions!$D$3:$D101,$N81)
+SUMIFS(Transactions!$I$3:$I101,Transactions!$H$3:$H101,"Transfer Deposit",Transactions!$F$3:$F101,"Crypto",Transactions!$A$3:$A101,R$65,Transactions!$D$3:$D101,$N81)
-SUMIFS(Transactions!$I$3:$I101,Transactions!$H$3:$H101,"Transfer Send",Transactions!$F$3:$F101,"Crypto",Transactions!$A$3:$A101,R$65,Transactions!$D$3:$D101,$N81)
-SUMIFS(Transactions!$I$3:$I101,Transactions!$H$3:$H101,"Sell",Transactions!$F$3:$F101,"Crypto",Transactions!$A$3:$A101,R$65,Transactions!$D$3:$D101,$N81)
+SUMIFS(Transactions!$I$3:$I101,Transactions!$H$3:$H101,"Buy",Transactions!$F$3:$F101,"Stablecoin",Transactions!$A$3:$A101,R$65,Transactions!$D$3:$D101,$N81)
+SUMIFS(Transactions!$I$3:$I101,Transactions!$H$3:$H101,"Crypto Interest",Transactions!$F$3:$F101,"Stablecoin",Transactions!$A$3:$A101,R$65,Transactions!$D$3:$D101,$N81)
+SUMIFS(Transactions!$I$3:$I101,Transactions!$H$3:$H101,"Transfer Deposit",Transactions!$F$3:$F101,"Stablecoin",Transactions!$A$3:$A101,R$65,Transactions!$D$3:$D101,$N81)
-SUMIFS(Transactions!$I$3:$I101,Transactions!$H$3:$H101,"Transfer Send",Transactions!$F$3:$F101,"Stablecoin",Transactions!$A$3:$A101,R$65,Transactions!$D$3:$D101,$N81)
-SUMIFS(Transactions!$I$3:$I101,Transactions!$H$3:$H101,"Sell",Transactions!$F$3:$F101,"Stablecoin",Transactions!$A$3:$A101,R$65,Transactions!$D$3:$D101,$N81)
-SUMIFS(Transactions!$M$3:$M101,Transactions!$H$3:$H101,"Buy",Transactions!$A$3:$A101,R$65,Transactions!$B$3:$B101,$N81))</f>
        <v/>
      </c>
      <c r="S81" s="158" t="str">
        <f>IF(OR(ISBLANK($N81),ISBLANK(S$65)),"",
SUMIFS(Transactions!$I$3:$I101,Transactions!$H$3:$H101,"Buy",Transactions!$F$3:$F101,"Crypto",Transactions!$A$3:$A101,S$65,Transactions!$D$3:$D101,$N81)
+SUMIFS(Transactions!$I$3:$I101,Transactions!$H$3:$H101,"Crypto Interest",Transactions!$F$3:$F101,"Crypto",Transactions!$A$3:$A101,S$65,Transactions!$D$3:$D101,$N81)
+SUMIFS(Transactions!$I$3:$I101,Transactions!$H$3:$H101,"Transfer Deposit",Transactions!$F$3:$F101,"Crypto",Transactions!$A$3:$A101,S$65,Transactions!$D$3:$D101,$N81)
-SUMIFS(Transactions!$I$3:$I101,Transactions!$H$3:$H101,"Transfer Send",Transactions!$F$3:$F101,"Crypto",Transactions!$A$3:$A101,S$65,Transactions!$D$3:$D101,$N81)
-SUMIFS(Transactions!$I$3:$I101,Transactions!$H$3:$H101,"Sell",Transactions!$F$3:$F101,"Crypto",Transactions!$A$3:$A101,S$65,Transactions!$D$3:$D101,$N81)
+SUMIFS(Transactions!$I$3:$I101,Transactions!$H$3:$H101,"Buy",Transactions!$F$3:$F101,"Stablecoin",Transactions!$A$3:$A101,S$65,Transactions!$D$3:$D101,$N81)
+SUMIFS(Transactions!$I$3:$I101,Transactions!$H$3:$H101,"Crypto Interest",Transactions!$F$3:$F101,"Stablecoin",Transactions!$A$3:$A101,S$65,Transactions!$D$3:$D101,$N81)
+SUMIFS(Transactions!$I$3:$I101,Transactions!$H$3:$H101,"Transfer Deposit",Transactions!$F$3:$F101,"Stablecoin",Transactions!$A$3:$A101,S$65,Transactions!$D$3:$D101,$N81)
-SUMIFS(Transactions!$I$3:$I101,Transactions!$H$3:$H101,"Transfer Send",Transactions!$F$3:$F101,"Stablecoin",Transactions!$A$3:$A101,S$65,Transactions!$D$3:$D101,$N81)
-SUMIFS(Transactions!$I$3:$I101,Transactions!$H$3:$H101,"Sell",Transactions!$F$3:$F101,"Stablecoin",Transactions!$A$3:$A101,S$65,Transactions!$D$3:$D101,$N81)
-SUMIFS(Transactions!$M$3:$M101,Transactions!$H$3:$H101,"Buy",Transactions!$A$3:$A101,S$65,Transactions!$B$3:$B101,$N81))</f>
        <v/>
      </c>
      <c r="T81" s="158" t="str">
        <f>IF(OR(ISBLANK($N81),ISBLANK(T$65)),"",
SUMIFS(Transactions!$I$3:$I101,Transactions!$H$3:$H101,"Buy",Transactions!$F$3:$F101,"Crypto",Transactions!$A$3:$A101,T$65,Transactions!$D$3:$D101,$N81)
+SUMIFS(Transactions!$I$3:$I101,Transactions!$H$3:$H101,"Crypto Interest",Transactions!$F$3:$F101,"Crypto",Transactions!$A$3:$A101,T$65,Transactions!$D$3:$D101,$N81)
+SUMIFS(Transactions!$I$3:$I101,Transactions!$H$3:$H101,"Transfer Deposit",Transactions!$F$3:$F101,"Crypto",Transactions!$A$3:$A101,T$65,Transactions!$D$3:$D101,$N81)
-SUMIFS(Transactions!$I$3:$I101,Transactions!$H$3:$H101,"Transfer Send",Transactions!$F$3:$F101,"Crypto",Transactions!$A$3:$A101,T$65,Transactions!$D$3:$D101,$N81)
-SUMIFS(Transactions!$I$3:$I101,Transactions!$H$3:$H101,"Sell",Transactions!$F$3:$F101,"Crypto",Transactions!$A$3:$A101,T$65,Transactions!$D$3:$D101,$N81)
+SUMIFS(Transactions!$I$3:$I101,Transactions!$H$3:$H101,"Buy",Transactions!$F$3:$F101,"Stablecoin",Transactions!$A$3:$A101,T$65,Transactions!$D$3:$D101,$N81)
+SUMIFS(Transactions!$I$3:$I101,Transactions!$H$3:$H101,"Crypto Interest",Transactions!$F$3:$F101,"Stablecoin",Transactions!$A$3:$A101,T$65,Transactions!$D$3:$D101,$N81)
+SUMIFS(Transactions!$I$3:$I101,Transactions!$H$3:$H101,"Transfer Deposit",Transactions!$F$3:$F101,"Stablecoin",Transactions!$A$3:$A101,T$65,Transactions!$D$3:$D101,$N81)
-SUMIFS(Transactions!$I$3:$I101,Transactions!$H$3:$H101,"Transfer Send",Transactions!$F$3:$F101,"Stablecoin",Transactions!$A$3:$A101,T$65,Transactions!$D$3:$D101,$N81)
-SUMIFS(Transactions!$I$3:$I101,Transactions!$H$3:$H101,"Sell",Transactions!$F$3:$F101,"Stablecoin",Transactions!$A$3:$A101,T$65,Transactions!$D$3:$D101,$N81)
-SUMIFS(Transactions!$M$3:$M101,Transactions!$H$3:$H101,"Buy",Transactions!$A$3:$A101,T$65,Transactions!$B$3:$B101,$N81))</f>
        <v/>
      </c>
      <c r="U81" s="158" t="str">
        <f>IF(OR(ISBLANK($N81),ISBLANK(U$65)),"",
SUMIFS(Transactions!$I$3:$I101,Transactions!$H$3:$H101,"Buy",Transactions!$F$3:$F101,"Crypto",Transactions!$A$3:$A101,U$65,Transactions!$D$3:$D101,$N81)
+SUMIFS(Transactions!$I$3:$I101,Transactions!$H$3:$H101,"Crypto Interest",Transactions!$F$3:$F101,"Crypto",Transactions!$A$3:$A101,U$65,Transactions!$D$3:$D101,$N81)
+SUMIFS(Transactions!$I$3:$I101,Transactions!$H$3:$H101,"Transfer Deposit",Transactions!$F$3:$F101,"Crypto",Transactions!$A$3:$A101,U$65,Transactions!$D$3:$D101,$N81)
-SUMIFS(Transactions!$I$3:$I101,Transactions!$H$3:$H101,"Transfer Send",Transactions!$F$3:$F101,"Crypto",Transactions!$A$3:$A101,U$65,Transactions!$D$3:$D101,$N81)
-SUMIFS(Transactions!$I$3:$I101,Transactions!$H$3:$H101,"Sell",Transactions!$F$3:$F101,"Crypto",Transactions!$A$3:$A101,U$65,Transactions!$D$3:$D101,$N81)
+SUMIFS(Transactions!$I$3:$I101,Transactions!$H$3:$H101,"Buy",Transactions!$F$3:$F101,"Stablecoin",Transactions!$A$3:$A101,U$65,Transactions!$D$3:$D101,$N81)
+SUMIFS(Transactions!$I$3:$I101,Transactions!$H$3:$H101,"Crypto Interest",Transactions!$F$3:$F101,"Stablecoin",Transactions!$A$3:$A101,U$65,Transactions!$D$3:$D101,$N81)
+SUMIFS(Transactions!$I$3:$I101,Transactions!$H$3:$H101,"Transfer Deposit",Transactions!$F$3:$F101,"Stablecoin",Transactions!$A$3:$A101,U$65,Transactions!$D$3:$D101,$N81)
-SUMIFS(Transactions!$I$3:$I101,Transactions!$H$3:$H101,"Transfer Send",Transactions!$F$3:$F101,"Stablecoin",Transactions!$A$3:$A101,U$65,Transactions!$D$3:$D101,$N81)
-SUMIFS(Transactions!$I$3:$I101,Transactions!$H$3:$H101,"Sell",Transactions!$F$3:$F101,"Stablecoin",Transactions!$A$3:$A101,U$65,Transactions!$D$3:$D101,$N81)
-SUMIFS(Transactions!$M$3:$M101,Transactions!$H$3:$H101,"Buy",Transactions!$A$3:$A101,U$65,Transactions!$B$3:$B101,$N81))</f>
        <v/>
      </c>
      <c r="V81" s="158"/>
      <c r="W81" s="95"/>
      <c r="X81" s="96"/>
      <c r="Y81" s="96" t="str">
        <f>IFERROR(__xludf.DUMMYFUNCTION("IF(ISBLANK(W81),"""",QUERY(GOOGLEFINANCE($N$21,""Close"",W81-5,6),""select Col2 where Col1 &lt; date '""&amp;TEXT(W81+1, ""YYYY-MM-DD"")&amp;""' order by Col1 desc limit 1"",False)
)"),"")</f>
        <v/>
      </c>
      <c r="Z81" s="158"/>
    </row>
    <row r="82">
      <c r="A82" s="14"/>
      <c r="B82" s="149"/>
      <c r="C82" s="156" t="str">
        <f>IF(ISBLANK(B82),"",SUMIF(Portfolio!$A:$A,B82,Portfolio!$C:$C))</f>
        <v/>
      </c>
      <c r="D82" s="145" t="str">
        <f>IF(ISBLANK(B82),"",AVERAGEIF(Portfolio!$A:$A,B82,Portfolio!$D:$D))</f>
        <v/>
      </c>
      <c r="F82" s="145" t="str">
        <f>IF(ISBLANK(B82),"",VLOOKUP(B82,Portfolio!$A:$E,5,0))</f>
        <v/>
      </c>
      <c r="G82" s="145" t="str">
        <f>IF(ISBLANK(B82),"",IFERROR(((C82-SUMIFS(Transactions!I:I,Transactions!H:H,"Crypto Interest",Transactions!E:E,B82))*D82),""))</f>
        <v/>
      </c>
      <c r="H82" s="145" t="str">
        <f t="shared" si="11"/>
        <v/>
      </c>
      <c r="I82" s="50" t="str">
        <f t="shared" si="12"/>
        <v/>
      </c>
      <c r="J82" s="145" t="str">
        <f t="shared" si="13"/>
        <v/>
      </c>
      <c r="K82" s="145" t="str">
        <f>IF(ISBLANK(B82),"",SUMIF(Portfolio!$A:$A,B82,Portfolio!$Q:$Q))</f>
        <v/>
      </c>
      <c r="L82" s="145" t="str">
        <f t="shared" si="14"/>
        <v/>
      </c>
      <c r="M82" s="14"/>
      <c r="N82" s="157"/>
      <c r="O82" s="158" t="str">
        <f>IF(OR(ISBLANK($N82),ISBLANK(O$65)),"",
SUMIFS(Transactions!$I$3:$I101,Transactions!$H$3:$H101,"Buy",Transactions!$F$3:$F101,"Crypto",Transactions!$A$3:$A101,O$65,Transactions!$D$3:$D101,$N82)
+SUMIFS(Transactions!$I$3:$I101,Transactions!$H$3:$H101,"Crypto Interest",Transactions!$F$3:$F101,"Crypto",Transactions!$A$3:$A101,O$65,Transactions!$D$3:$D101,$N82)
+SUMIFS(Transactions!$I$3:$I101,Transactions!$H$3:$H101,"Transfer Deposit",Transactions!$F$3:$F101,"Crypto",Transactions!$A$3:$A101,O$65,Transactions!$D$3:$D101,$N82)
-SUMIFS(Transactions!$I$3:$I101,Transactions!$H$3:$H101,"Transfer Send",Transactions!$F$3:$F101,"Crypto",Transactions!$A$3:$A101,O$65,Transactions!$D$3:$D101,$N82)
-SUMIFS(Transactions!$I$3:$I101,Transactions!$H$3:$H101,"Sell",Transactions!$F$3:$F101,"Crypto",Transactions!$A$3:$A101,O$65,Transactions!$D$3:$D101,$N82)
+SUMIFS(Transactions!$I$3:$I101,Transactions!$H$3:$H101,"Buy",Transactions!$F$3:$F101,"Stablecoin",Transactions!$A$3:$A101,O$65,Transactions!$D$3:$D101,$N82)
+SUMIFS(Transactions!$I$3:$I101,Transactions!$H$3:$H101,"Crypto Interest",Transactions!$F$3:$F101,"Stablecoin",Transactions!$A$3:$A101,O$65,Transactions!$D$3:$D101,$N82)
+SUMIFS(Transactions!$I$3:$I101,Transactions!$H$3:$H101,"Transfer Deposit",Transactions!$F$3:$F101,"Stablecoin",Transactions!$A$3:$A101,O$65,Transactions!$D$3:$D101,$N82)
-SUMIFS(Transactions!$I$3:$I101,Transactions!$H$3:$H101,"Transfer Send",Transactions!$F$3:$F101,"Stablecoin",Transactions!$A$3:$A101,O$65,Transactions!$D$3:$D101,$N82)
-SUMIFS(Transactions!$I$3:$I101,Transactions!$H$3:$H101,"Sell",Transactions!$F$3:$F101,"Stablecoin",Transactions!$A$3:$A101,O$65,Transactions!$D$3:$D101,$N82)
-SUMIFS(Transactions!$M$3:$M101,Transactions!$H$3:$H101,"Buy",Transactions!$A$3:$A101,O$65,Transactions!$B$3:$B101,$N82))</f>
        <v/>
      </c>
      <c r="P82" s="158" t="str">
        <f>IF(OR(ISBLANK($N82),ISBLANK(P$65)),"",
SUMIFS(Transactions!$I$3:$I101,Transactions!$H$3:$H101,"Buy",Transactions!$F$3:$F101,"Crypto",Transactions!$A$3:$A101,P$65,Transactions!$D$3:$D101,$N82)
+SUMIFS(Transactions!$I$3:$I101,Transactions!$H$3:$H101,"Crypto Interest",Transactions!$F$3:$F101,"Crypto",Transactions!$A$3:$A101,P$65,Transactions!$D$3:$D101,$N82)
+SUMIFS(Transactions!$I$3:$I101,Transactions!$H$3:$H101,"Transfer Deposit",Transactions!$F$3:$F101,"Crypto",Transactions!$A$3:$A101,P$65,Transactions!$D$3:$D101,$N82)
-SUMIFS(Transactions!$I$3:$I101,Transactions!$H$3:$H101,"Transfer Send",Transactions!$F$3:$F101,"Crypto",Transactions!$A$3:$A101,P$65,Transactions!$D$3:$D101,$N82)
-SUMIFS(Transactions!$I$3:$I101,Transactions!$H$3:$H101,"Sell",Transactions!$F$3:$F101,"Crypto",Transactions!$A$3:$A101,P$65,Transactions!$D$3:$D101,$N82)
+SUMIFS(Transactions!$I$3:$I101,Transactions!$H$3:$H101,"Buy",Transactions!$F$3:$F101,"Stablecoin",Transactions!$A$3:$A101,P$65,Transactions!$D$3:$D101,$N82)
+SUMIFS(Transactions!$I$3:$I101,Transactions!$H$3:$H101,"Crypto Interest",Transactions!$F$3:$F101,"Stablecoin",Transactions!$A$3:$A101,P$65,Transactions!$D$3:$D101,$N82)
+SUMIFS(Transactions!$I$3:$I101,Transactions!$H$3:$H101,"Transfer Deposit",Transactions!$F$3:$F101,"Stablecoin",Transactions!$A$3:$A101,P$65,Transactions!$D$3:$D101,$N82)
-SUMIFS(Transactions!$I$3:$I101,Transactions!$H$3:$H101,"Transfer Send",Transactions!$F$3:$F101,"Stablecoin",Transactions!$A$3:$A101,P$65,Transactions!$D$3:$D101,$N82)
-SUMIFS(Transactions!$I$3:$I101,Transactions!$H$3:$H101,"Sell",Transactions!$F$3:$F101,"Stablecoin",Transactions!$A$3:$A101,P$65,Transactions!$D$3:$D101,$N82)
-SUMIFS(Transactions!$M$3:$M101,Transactions!$H$3:$H101,"Buy",Transactions!$A$3:$A101,P$65,Transactions!$B$3:$B101,$N82))</f>
        <v/>
      </c>
      <c r="Q82" s="158" t="str">
        <f>IF(OR(ISBLANK($N82),ISBLANK(Q$65)),"",
SUMIFS(Transactions!$I$3:$I101,Transactions!$H$3:$H101,"Buy",Transactions!$F$3:$F101,"Crypto",Transactions!$A$3:$A101,Q$65,Transactions!$D$3:$D101,$N82)
+SUMIFS(Transactions!$I$3:$I101,Transactions!$H$3:$H101,"Crypto Interest",Transactions!$F$3:$F101,"Crypto",Transactions!$A$3:$A101,Q$65,Transactions!$D$3:$D101,$N82)
+SUMIFS(Transactions!$I$3:$I101,Transactions!$H$3:$H101,"Transfer Deposit",Transactions!$F$3:$F101,"Crypto",Transactions!$A$3:$A101,Q$65,Transactions!$D$3:$D101,$N82)
-SUMIFS(Transactions!$I$3:$I101,Transactions!$H$3:$H101,"Transfer Send",Transactions!$F$3:$F101,"Crypto",Transactions!$A$3:$A101,Q$65,Transactions!$D$3:$D101,$N82)
-SUMIFS(Transactions!$I$3:$I101,Transactions!$H$3:$H101,"Sell",Transactions!$F$3:$F101,"Crypto",Transactions!$A$3:$A101,Q$65,Transactions!$D$3:$D101,$N82)
+SUMIFS(Transactions!$I$3:$I101,Transactions!$H$3:$H101,"Buy",Transactions!$F$3:$F101,"Stablecoin",Transactions!$A$3:$A101,Q$65,Transactions!$D$3:$D101,$N82)
+SUMIFS(Transactions!$I$3:$I101,Transactions!$H$3:$H101,"Crypto Interest",Transactions!$F$3:$F101,"Stablecoin",Transactions!$A$3:$A101,Q$65,Transactions!$D$3:$D101,$N82)
+SUMIFS(Transactions!$I$3:$I101,Transactions!$H$3:$H101,"Transfer Deposit",Transactions!$F$3:$F101,"Stablecoin",Transactions!$A$3:$A101,Q$65,Transactions!$D$3:$D101,$N82)
-SUMIFS(Transactions!$I$3:$I101,Transactions!$H$3:$H101,"Transfer Send",Transactions!$F$3:$F101,"Stablecoin",Transactions!$A$3:$A101,Q$65,Transactions!$D$3:$D101,$N82)
-SUMIFS(Transactions!$I$3:$I101,Transactions!$H$3:$H101,"Sell",Transactions!$F$3:$F101,"Stablecoin",Transactions!$A$3:$A101,Q$65,Transactions!$D$3:$D101,$N82)
-SUMIFS(Transactions!$M$3:$M101,Transactions!$H$3:$H101,"Buy",Transactions!$A$3:$A101,Q$65,Transactions!$B$3:$B101,$N82))</f>
        <v/>
      </c>
      <c r="R82" s="158" t="str">
        <f>IF(OR(ISBLANK($N82),ISBLANK(R$65)),"",
SUMIFS(Transactions!$I$3:$I101,Transactions!$H$3:$H101,"Buy",Transactions!$F$3:$F101,"Crypto",Transactions!$A$3:$A101,R$65,Transactions!$D$3:$D101,$N82)
+SUMIFS(Transactions!$I$3:$I101,Transactions!$H$3:$H101,"Crypto Interest",Transactions!$F$3:$F101,"Crypto",Transactions!$A$3:$A101,R$65,Transactions!$D$3:$D101,$N82)
+SUMIFS(Transactions!$I$3:$I101,Transactions!$H$3:$H101,"Transfer Deposit",Transactions!$F$3:$F101,"Crypto",Transactions!$A$3:$A101,R$65,Transactions!$D$3:$D101,$N82)
-SUMIFS(Transactions!$I$3:$I101,Transactions!$H$3:$H101,"Transfer Send",Transactions!$F$3:$F101,"Crypto",Transactions!$A$3:$A101,R$65,Transactions!$D$3:$D101,$N82)
-SUMIFS(Transactions!$I$3:$I101,Transactions!$H$3:$H101,"Sell",Transactions!$F$3:$F101,"Crypto",Transactions!$A$3:$A101,R$65,Transactions!$D$3:$D101,$N82)
+SUMIFS(Transactions!$I$3:$I101,Transactions!$H$3:$H101,"Buy",Transactions!$F$3:$F101,"Stablecoin",Transactions!$A$3:$A101,R$65,Transactions!$D$3:$D101,$N82)
+SUMIFS(Transactions!$I$3:$I101,Transactions!$H$3:$H101,"Crypto Interest",Transactions!$F$3:$F101,"Stablecoin",Transactions!$A$3:$A101,R$65,Transactions!$D$3:$D101,$N82)
+SUMIFS(Transactions!$I$3:$I101,Transactions!$H$3:$H101,"Transfer Deposit",Transactions!$F$3:$F101,"Stablecoin",Transactions!$A$3:$A101,R$65,Transactions!$D$3:$D101,$N82)
-SUMIFS(Transactions!$I$3:$I101,Transactions!$H$3:$H101,"Transfer Send",Transactions!$F$3:$F101,"Stablecoin",Transactions!$A$3:$A101,R$65,Transactions!$D$3:$D101,$N82)
-SUMIFS(Transactions!$I$3:$I101,Transactions!$H$3:$H101,"Sell",Transactions!$F$3:$F101,"Stablecoin",Transactions!$A$3:$A101,R$65,Transactions!$D$3:$D101,$N82)
-SUMIFS(Transactions!$M$3:$M101,Transactions!$H$3:$H101,"Buy",Transactions!$A$3:$A101,R$65,Transactions!$B$3:$B101,$N82))</f>
        <v/>
      </c>
      <c r="S82" s="158" t="str">
        <f>IF(OR(ISBLANK($N82),ISBLANK(S$65)),"",
SUMIFS(Transactions!$I$3:$I101,Transactions!$H$3:$H101,"Buy",Transactions!$F$3:$F101,"Crypto",Transactions!$A$3:$A101,S$65,Transactions!$D$3:$D101,$N82)
+SUMIFS(Transactions!$I$3:$I101,Transactions!$H$3:$H101,"Crypto Interest",Transactions!$F$3:$F101,"Crypto",Transactions!$A$3:$A101,S$65,Transactions!$D$3:$D101,$N82)
+SUMIFS(Transactions!$I$3:$I101,Transactions!$H$3:$H101,"Transfer Deposit",Transactions!$F$3:$F101,"Crypto",Transactions!$A$3:$A101,S$65,Transactions!$D$3:$D101,$N82)
-SUMIFS(Transactions!$I$3:$I101,Transactions!$H$3:$H101,"Transfer Send",Transactions!$F$3:$F101,"Crypto",Transactions!$A$3:$A101,S$65,Transactions!$D$3:$D101,$N82)
-SUMIFS(Transactions!$I$3:$I101,Transactions!$H$3:$H101,"Sell",Transactions!$F$3:$F101,"Crypto",Transactions!$A$3:$A101,S$65,Transactions!$D$3:$D101,$N82)
+SUMIFS(Transactions!$I$3:$I101,Transactions!$H$3:$H101,"Buy",Transactions!$F$3:$F101,"Stablecoin",Transactions!$A$3:$A101,S$65,Transactions!$D$3:$D101,$N82)
+SUMIFS(Transactions!$I$3:$I101,Transactions!$H$3:$H101,"Crypto Interest",Transactions!$F$3:$F101,"Stablecoin",Transactions!$A$3:$A101,S$65,Transactions!$D$3:$D101,$N82)
+SUMIFS(Transactions!$I$3:$I101,Transactions!$H$3:$H101,"Transfer Deposit",Transactions!$F$3:$F101,"Stablecoin",Transactions!$A$3:$A101,S$65,Transactions!$D$3:$D101,$N82)
-SUMIFS(Transactions!$I$3:$I101,Transactions!$H$3:$H101,"Transfer Send",Transactions!$F$3:$F101,"Stablecoin",Transactions!$A$3:$A101,S$65,Transactions!$D$3:$D101,$N82)
-SUMIFS(Transactions!$I$3:$I101,Transactions!$H$3:$H101,"Sell",Transactions!$F$3:$F101,"Stablecoin",Transactions!$A$3:$A101,S$65,Transactions!$D$3:$D101,$N82)
-SUMIFS(Transactions!$M$3:$M101,Transactions!$H$3:$H101,"Buy",Transactions!$A$3:$A101,S$65,Transactions!$B$3:$B101,$N82))</f>
        <v/>
      </c>
      <c r="T82" s="158" t="str">
        <f>IF(OR(ISBLANK($N82),ISBLANK(T$65)),"",
SUMIFS(Transactions!$I$3:$I101,Transactions!$H$3:$H101,"Buy",Transactions!$F$3:$F101,"Crypto",Transactions!$A$3:$A101,T$65,Transactions!$D$3:$D101,$N82)
+SUMIFS(Transactions!$I$3:$I101,Transactions!$H$3:$H101,"Crypto Interest",Transactions!$F$3:$F101,"Crypto",Transactions!$A$3:$A101,T$65,Transactions!$D$3:$D101,$N82)
+SUMIFS(Transactions!$I$3:$I101,Transactions!$H$3:$H101,"Transfer Deposit",Transactions!$F$3:$F101,"Crypto",Transactions!$A$3:$A101,T$65,Transactions!$D$3:$D101,$N82)
-SUMIFS(Transactions!$I$3:$I101,Transactions!$H$3:$H101,"Transfer Send",Transactions!$F$3:$F101,"Crypto",Transactions!$A$3:$A101,T$65,Transactions!$D$3:$D101,$N82)
-SUMIFS(Transactions!$I$3:$I101,Transactions!$H$3:$H101,"Sell",Transactions!$F$3:$F101,"Crypto",Transactions!$A$3:$A101,T$65,Transactions!$D$3:$D101,$N82)
+SUMIFS(Transactions!$I$3:$I101,Transactions!$H$3:$H101,"Buy",Transactions!$F$3:$F101,"Stablecoin",Transactions!$A$3:$A101,T$65,Transactions!$D$3:$D101,$N82)
+SUMIFS(Transactions!$I$3:$I101,Transactions!$H$3:$H101,"Crypto Interest",Transactions!$F$3:$F101,"Stablecoin",Transactions!$A$3:$A101,T$65,Transactions!$D$3:$D101,$N82)
+SUMIFS(Transactions!$I$3:$I101,Transactions!$H$3:$H101,"Transfer Deposit",Transactions!$F$3:$F101,"Stablecoin",Transactions!$A$3:$A101,T$65,Transactions!$D$3:$D101,$N82)
-SUMIFS(Transactions!$I$3:$I101,Transactions!$H$3:$H101,"Transfer Send",Transactions!$F$3:$F101,"Stablecoin",Transactions!$A$3:$A101,T$65,Transactions!$D$3:$D101,$N82)
-SUMIFS(Transactions!$I$3:$I101,Transactions!$H$3:$H101,"Sell",Transactions!$F$3:$F101,"Stablecoin",Transactions!$A$3:$A101,T$65,Transactions!$D$3:$D101,$N82)
-SUMIFS(Transactions!$M$3:$M101,Transactions!$H$3:$H101,"Buy",Transactions!$A$3:$A101,T$65,Transactions!$B$3:$B101,$N82))</f>
        <v/>
      </c>
      <c r="U82" s="158" t="str">
        <f>IF(OR(ISBLANK($N82),ISBLANK(U$65)),"",
SUMIFS(Transactions!$I$3:$I101,Transactions!$H$3:$H101,"Buy",Transactions!$F$3:$F101,"Crypto",Transactions!$A$3:$A101,U$65,Transactions!$D$3:$D101,$N82)
+SUMIFS(Transactions!$I$3:$I101,Transactions!$H$3:$H101,"Crypto Interest",Transactions!$F$3:$F101,"Crypto",Transactions!$A$3:$A101,U$65,Transactions!$D$3:$D101,$N82)
+SUMIFS(Transactions!$I$3:$I101,Transactions!$H$3:$H101,"Transfer Deposit",Transactions!$F$3:$F101,"Crypto",Transactions!$A$3:$A101,U$65,Transactions!$D$3:$D101,$N82)
-SUMIFS(Transactions!$I$3:$I101,Transactions!$H$3:$H101,"Transfer Send",Transactions!$F$3:$F101,"Crypto",Transactions!$A$3:$A101,U$65,Transactions!$D$3:$D101,$N82)
-SUMIFS(Transactions!$I$3:$I101,Transactions!$H$3:$H101,"Sell",Transactions!$F$3:$F101,"Crypto",Transactions!$A$3:$A101,U$65,Transactions!$D$3:$D101,$N82)
+SUMIFS(Transactions!$I$3:$I101,Transactions!$H$3:$H101,"Buy",Transactions!$F$3:$F101,"Stablecoin",Transactions!$A$3:$A101,U$65,Transactions!$D$3:$D101,$N82)
+SUMIFS(Transactions!$I$3:$I101,Transactions!$H$3:$H101,"Crypto Interest",Transactions!$F$3:$F101,"Stablecoin",Transactions!$A$3:$A101,U$65,Transactions!$D$3:$D101,$N82)
+SUMIFS(Transactions!$I$3:$I101,Transactions!$H$3:$H101,"Transfer Deposit",Transactions!$F$3:$F101,"Stablecoin",Transactions!$A$3:$A101,U$65,Transactions!$D$3:$D101,$N82)
-SUMIFS(Transactions!$I$3:$I101,Transactions!$H$3:$H101,"Transfer Send",Transactions!$F$3:$F101,"Stablecoin",Transactions!$A$3:$A101,U$65,Transactions!$D$3:$D101,$N82)
-SUMIFS(Transactions!$I$3:$I101,Transactions!$H$3:$H101,"Sell",Transactions!$F$3:$F101,"Stablecoin",Transactions!$A$3:$A101,U$65,Transactions!$D$3:$D101,$N82)
-SUMIFS(Transactions!$M$3:$M101,Transactions!$H$3:$H101,"Buy",Transactions!$A$3:$A101,U$65,Transactions!$B$3:$B101,$N82))</f>
        <v/>
      </c>
      <c r="V82" s="158"/>
      <c r="W82" s="95"/>
      <c r="X82" s="96"/>
      <c r="Y82" s="96" t="str">
        <f>IFERROR(__xludf.DUMMYFUNCTION("IF(ISBLANK(W82),"""",QUERY(GOOGLEFINANCE($N$21,""Close"",W82-5,6),""select Col2 where Col1 &lt; date '""&amp;TEXT(W82+1, ""YYYY-MM-DD"")&amp;""' order by Col1 desc limit 1"",False)
)"),"")</f>
        <v/>
      </c>
      <c r="Z82" s="158"/>
    </row>
    <row r="83">
      <c r="A83" s="14"/>
      <c r="B83" s="149"/>
      <c r="C83" s="156" t="str">
        <f>IF(ISBLANK(B83),"",SUMIF(Portfolio!$A:$A,B83,Portfolio!$C:$C))</f>
        <v/>
      </c>
      <c r="D83" s="145" t="str">
        <f>IF(ISBLANK(B83),"",AVERAGEIF(Portfolio!$A:$A,B83,Portfolio!$D:$D))</f>
        <v/>
      </c>
      <c r="F83" s="145" t="str">
        <f>IF(ISBLANK(B83),"",VLOOKUP(B83,Portfolio!$A:$E,5,0))</f>
        <v/>
      </c>
      <c r="G83" s="145" t="str">
        <f>IF(ISBLANK(B83),"",IFERROR(((C83-SUMIFS(Transactions!I:I,Transactions!H:H,"Crypto Interest",Transactions!E:E,B83))*D83),""))</f>
        <v/>
      </c>
      <c r="H83" s="145" t="str">
        <f t="shared" si="11"/>
        <v/>
      </c>
      <c r="I83" s="50" t="str">
        <f t="shared" si="12"/>
        <v/>
      </c>
      <c r="J83" s="145" t="str">
        <f t="shared" si="13"/>
        <v/>
      </c>
      <c r="K83" s="145" t="str">
        <f>IF(ISBLANK(B83),"",SUMIF(Portfolio!$A:$A,B83,Portfolio!$Q:$Q))</f>
        <v/>
      </c>
      <c r="L83" s="145" t="str">
        <f t="shared" si="14"/>
        <v/>
      </c>
      <c r="M83" s="14"/>
      <c r="N83" s="157"/>
      <c r="O83" s="158" t="str">
        <f>IF(OR(ISBLANK($N83),ISBLANK(O$65)),"",
SUMIFS(Transactions!$I$3:$I101,Transactions!$H$3:$H101,"Buy",Transactions!$F$3:$F101,"Crypto",Transactions!$A$3:$A101,O$65,Transactions!$D$3:$D101,$N83)
+SUMIFS(Transactions!$I$3:$I101,Transactions!$H$3:$H101,"Crypto Interest",Transactions!$F$3:$F101,"Crypto",Transactions!$A$3:$A101,O$65,Transactions!$D$3:$D101,$N83)
+SUMIFS(Transactions!$I$3:$I101,Transactions!$H$3:$H101,"Transfer Deposit",Transactions!$F$3:$F101,"Crypto",Transactions!$A$3:$A101,O$65,Transactions!$D$3:$D101,$N83)
-SUMIFS(Transactions!$I$3:$I101,Transactions!$H$3:$H101,"Transfer Send",Transactions!$F$3:$F101,"Crypto",Transactions!$A$3:$A101,O$65,Transactions!$D$3:$D101,$N83)
-SUMIFS(Transactions!$I$3:$I101,Transactions!$H$3:$H101,"Sell",Transactions!$F$3:$F101,"Crypto",Transactions!$A$3:$A101,O$65,Transactions!$D$3:$D101,$N83)
+SUMIFS(Transactions!$I$3:$I101,Transactions!$H$3:$H101,"Buy",Transactions!$F$3:$F101,"Stablecoin",Transactions!$A$3:$A101,O$65,Transactions!$D$3:$D101,$N83)
+SUMIFS(Transactions!$I$3:$I101,Transactions!$H$3:$H101,"Crypto Interest",Transactions!$F$3:$F101,"Stablecoin",Transactions!$A$3:$A101,O$65,Transactions!$D$3:$D101,$N83)
+SUMIFS(Transactions!$I$3:$I101,Transactions!$H$3:$H101,"Transfer Deposit",Transactions!$F$3:$F101,"Stablecoin",Transactions!$A$3:$A101,O$65,Transactions!$D$3:$D101,$N83)
-SUMIFS(Transactions!$I$3:$I101,Transactions!$H$3:$H101,"Transfer Send",Transactions!$F$3:$F101,"Stablecoin",Transactions!$A$3:$A101,O$65,Transactions!$D$3:$D101,$N83)
-SUMIFS(Transactions!$I$3:$I101,Transactions!$H$3:$H101,"Sell",Transactions!$F$3:$F101,"Stablecoin",Transactions!$A$3:$A101,O$65,Transactions!$D$3:$D101,$N83)
-SUMIFS(Transactions!$M$3:$M101,Transactions!$H$3:$H101,"Buy",Transactions!$A$3:$A101,O$65,Transactions!$B$3:$B101,$N83))</f>
        <v/>
      </c>
      <c r="P83" s="158" t="str">
        <f>IF(OR(ISBLANK($N83),ISBLANK(P$65)),"",
SUMIFS(Transactions!$I$3:$I101,Transactions!$H$3:$H101,"Buy",Transactions!$F$3:$F101,"Crypto",Transactions!$A$3:$A101,P$65,Transactions!$D$3:$D101,$N83)
+SUMIFS(Transactions!$I$3:$I101,Transactions!$H$3:$H101,"Crypto Interest",Transactions!$F$3:$F101,"Crypto",Transactions!$A$3:$A101,P$65,Transactions!$D$3:$D101,$N83)
+SUMIFS(Transactions!$I$3:$I101,Transactions!$H$3:$H101,"Transfer Deposit",Transactions!$F$3:$F101,"Crypto",Transactions!$A$3:$A101,P$65,Transactions!$D$3:$D101,$N83)
-SUMIFS(Transactions!$I$3:$I101,Transactions!$H$3:$H101,"Transfer Send",Transactions!$F$3:$F101,"Crypto",Transactions!$A$3:$A101,P$65,Transactions!$D$3:$D101,$N83)
-SUMIFS(Transactions!$I$3:$I101,Transactions!$H$3:$H101,"Sell",Transactions!$F$3:$F101,"Crypto",Transactions!$A$3:$A101,P$65,Transactions!$D$3:$D101,$N83)
+SUMIFS(Transactions!$I$3:$I101,Transactions!$H$3:$H101,"Buy",Transactions!$F$3:$F101,"Stablecoin",Transactions!$A$3:$A101,P$65,Transactions!$D$3:$D101,$N83)
+SUMIFS(Transactions!$I$3:$I101,Transactions!$H$3:$H101,"Crypto Interest",Transactions!$F$3:$F101,"Stablecoin",Transactions!$A$3:$A101,P$65,Transactions!$D$3:$D101,$N83)
+SUMIFS(Transactions!$I$3:$I101,Transactions!$H$3:$H101,"Transfer Deposit",Transactions!$F$3:$F101,"Stablecoin",Transactions!$A$3:$A101,P$65,Transactions!$D$3:$D101,$N83)
-SUMIFS(Transactions!$I$3:$I101,Transactions!$H$3:$H101,"Transfer Send",Transactions!$F$3:$F101,"Stablecoin",Transactions!$A$3:$A101,P$65,Transactions!$D$3:$D101,$N83)
-SUMIFS(Transactions!$I$3:$I101,Transactions!$H$3:$H101,"Sell",Transactions!$F$3:$F101,"Stablecoin",Transactions!$A$3:$A101,P$65,Transactions!$D$3:$D101,$N83)
-SUMIFS(Transactions!$M$3:$M101,Transactions!$H$3:$H101,"Buy",Transactions!$A$3:$A101,P$65,Transactions!$B$3:$B101,$N83))</f>
        <v/>
      </c>
      <c r="Q83" s="158" t="str">
        <f>IF(OR(ISBLANK($N83),ISBLANK(Q$65)),"",
SUMIFS(Transactions!$I$3:$I101,Transactions!$H$3:$H101,"Buy",Transactions!$F$3:$F101,"Crypto",Transactions!$A$3:$A101,Q$65,Transactions!$D$3:$D101,$N83)
+SUMIFS(Transactions!$I$3:$I101,Transactions!$H$3:$H101,"Crypto Interest",Transactions!$F$3:$F101,"Crypto",Transactions!$A$3:$A101,Q$65,Transactions!$D$3:$D101,$N83)
+SUMIFS(Transactions!$I$3:$I101,Transactions!$H$3:$H101,"Transfer Deposit",Transactions!$F$3:$F101,"Crypto",Transactions!$A$3:$A101,Q$65,Transactions!$D$3:$D101,$N83)
-SUMIFS(Transactions!$I$3:$I101,Transactions!$H$3:$H101,"Transfer Send",Transactions!$F$3:$F101,"Crypto",Transactions!$A$3:$A101,Q$65,Transactions!$D$3:$D101,$N83)
-SUMIFS(Transactions!$I$3:$I101,Transactions!$H$3:$H101,"Sell",Transactions!$F$3:$F101,"Crypto",Transactions!$A$3:$A101,Q$65,Transactions!$D$3:$D101,$N83)
+SUMIFS(Transactions!$I$3:$I101,Transactions!$H$3:$H101,"Buy",Transactions!$F$3:$F101,"Stablecoin",Transactions!$A$3:$A101,Q$65,Transactions!$D$3:$D101,$N83)
+SUMIFS(Transactions!$I$3:$I101,Transactions!$H$3:$H101,"Crypto Interest",Transactions!$F$3:$F101,"Stablecoin",Transactions!$A$3:$A101,Q$65,Transactions!$D$3:$D101,$N83)
+SUMIFS(Transactions!$I$3:$I101,Transactions!$H$3:$H101,"Transfer Deposit",Transactions!$F$3:$F101,"Stablecoin",Transactions!$A$3:$A101,Q$65,Transactions!$D$3:$D101,$N83)
-SUMIFS(Transactions!$I$3:$I101,Transactions!$H$3:$H101,"Transfer Send",Transactions!$F$3:$F101,"Stablecoin",Transactions!$A$3:$A101,Q$65,Transactions!$D$3:$D101,$N83)
-SUMIFS(Transactions!$I$3:$I101,Transactions!$H$3:$H101,"Sell",Transactions!$F$3:$F101,"Stablecoin",Transactions!$A$3:$A101,Q$65,Transactions!$D$3:$D101,$N83)
-SUMIFS(Transactions!$M$3:$M101,Transactions!$H$3:$H101,"Buy",Transactions!$A$3:$A101,Q$65,Transactions!$B$3:$B101,$N83))</f>
        <v/>
      </c>
      <c r="R83" s="158" t="str">
        <f>IF(OR(ISBLANK($N83),ISBLANK(R$65)),"",
SUMIFS(Transactions!$I$3:$I101,Transactions!$H$3:$H101,"Buy",Transactions!$F$3:$F101,"Crypto",Transactions!$A$3:$A101,R$65,Transactions!$D$3:$D101,$N83)
+SUMIFS(Transactions!$I$3:$I101,Transactions!$H$3:$H101,"Crypto Interest",Transactions!$F$3:$F101,"Crypto",Transactions!$A$3:$A101,R$65,Transactions!$D$3:$D101,$N83)
+SUMIFS(Transactions!$I$3:$I101,Transactions!$H$3:$H101,"Transfer Deposit",Transactions!$F$3:$F101,"Crypto",Transactions!$A$3:$A101,R$65,Transactions!$D$3:$D101,$N83)
-SUMIFS(Transactions!$I$3:$I101,Transactions!$H$3:$H101,"Transfer Send",Transactions!$F$3:$F101,"Crypto",Transactions!$A$3:$A101,R$65,Transactions!$D$3:$D101,$N83)
-SUMIFS(Transactions!$I$3:$I101,Transactions!$H$3:$H101,"Sell",Transactions!$F$3:$F101,"Crypto",Transactions!$A$3:$A101,R$65,Transactions!$D$3:$D101,$N83)
+SUMIFS(Transactions!$I$3:$I101,Transactions!$H$3:$H101,"Buy",Transactions!$F$3:$F101,"Stablecoin",Transactions!$A$3:$A101,R$65,Transactions!$D$3:$D101,$N83)
+SUMIFS(Transactions!$I$3:$I101,Transactions!$H$3:$H101,"Crypto Interest",Transactions!$F$3:$F101,"Stablecoin",Transactions!$A$3:$A101,R$65,Transactions!$D$3:$D101,$N83)
+SUMIFS(Transactions!$I$3:$I101,Transactions!$H$3:$H101,"Transfer Deposit",Transactions!$F$3:$F101,"Stablecoin",Transactions!$A$3:$A101,R$65,Transactions!$D$3:$D101,$N83)
-SUMIFS(Transactions!$I$3:$I101,Transactions!$H$3:$H101,"Transfer Send",Transactions!$F$3:$F101,"Stablecoin",Transactions!$A$3:$A101,R$65,Transactions!$D$3:$D101,$N83)
-SUMIFS(Transactions!$I$3:$I101,Transactions!$H$3:$H101,"Sell",Transactions!$F$3:$F101,"Stablecoin",Transactions!$A$3:$A101,R$65,Transactions!$D$3:$D101,$N83)
-SUMIFS(Transactions!$M$3:$M101,Transactions!$H$3:$H101,"Buy",Transactions!$A$3:$A101,R$65,Transactions!$B$3:$B101,$N83))</f>
        <v/>
      </c>
      <c r="S83" s="158" t="str">
        <f>IF(OR(ISBLANK($N83),ISBLANK(S$65)),"",
SUMIFS(Transactions!$I$3:$I101,Transactions!$H$3:$H101,"Buy",Transactions!$F$3:$F101,"Crypto",Transactions!$A$3:$A101,S$65,Transactions!$D$3:$D101,$N83)
+SUMIFS(Transactions!$I$3:$I101,Transactions!$H$3:$H101,"Crypto Interest",Transactions!$F$3:$F101,"Crypto",Transactions!$A$3:$A101,S$65,Transactions!$D$3:$D101,$N83)
+SUMIFS(Transactions!$I$3:$I101,Transactions!$H$3:$H101,"Transfer Deposit",Transactions!$F$3:$F101,"Crypto",Transactions!$A$3:$A101,S$65,Transactions!$D$3:$D101,$N83)
-SUMIFS(Transactions!$I$3:$I101,Transactions!$H$3:$H101,"Transfer Send",Transactions!$F$3:$F101,"Crypto",Transactions!$A$3:$A101,S$65,Transactions!$D$3:$D101,$N83)
-SUMIFS(Transactions!$I$3:$I101,Transactions!$H$3:$H101,"Sell",Transactions!$F$3:$F101,"Crypto",Transactions!$A$3:$A101,S$65,Transactions!$D$3:$D101,$N83)
+SUMIFS(Transactions!$I$3:$I101,Transactions!$H$3:$H101,"Buy",Transactions!$F$3:$F101,"Stablecoin",Transactions!$A$3:$A101,S$65,Transactions!$D$3:$D101,$N83)
+SUMIFS(Transactions!$I$3:$I101,Transactions!$H$3:$H101,"Crypto Interest",Transactions!$F$3:$F101,"Stablecoin",Transactions!$A$3:$A101,S$65,Transactions!$D$3:$D101,$N83)
+SUMIFS(Transactions!$I$3:$I101,Transactions!$H$3:$H101,"Transfer Deposit",Transactions!$F$3:$F101,"Stablecoin",Transactions!$A$3:$A101,S$65,Transactions!$D$3:$D101,$N83)
-SUMIFS(Transactions!$I$3:$I101,Transactions!$H$3:$H101,"Transfer Send",Transactions!$F$3:$F101,"Stablecoin",Transactions!$A$3:$A101,S$65,Transactions!$D$3:$D101,$N83)
-SUMIFS(Transactions!$I$3:$I101,Transactions!$H$3:$H101,"Sell",Transactions!$F$3:$F101,"Stablecoin",Transactions!$A$3:$A101,S$65,Transactions!$D$3:$D101,$N83)
-SUMIFS(Transactions!$M$3:$M101,Transactions!$H$3:$H101,"Buy",Transactions!$A$3:$A101,S$65,Transactions!$B$3:$B101,$N83))</f>
        <v/>
      </c>
      <c r="T83" s="158" t="str">
        <f>IF(OR(ISBLANK($N83),ISBLANK(T$65)),"",
SUMIFS(Transactions!$I$3:$I101,Transactions!$H$3:$H101,"Buy",Transactions!$F$3:$F101,"Crypto",Transactions!$A$3:$A101,T$65,Transactions!$D$3:$D101,$N83)
+SUMIFS(Transactions!$I$3:$I101,Transactions!$H$3:$H101,"Crypto Interest",Transactions!$F$3:$F101,"Crypto",Transactions!$A$3:$A101,T$65,Transactions!$D$3:$D101,$N83)
+SUMIFS(Transactions!$I$3:$I101,Transactions!$H$3:$H101,"Transfer Deposit",Transactions!$F$3:$F101,"Crypto",Transactions!$A$3:$A101,T$65,Transactions!$D$3:$D101,$N83)
-SUMIFS(Transactions!$I$3:$I101,Transactions!$H$3:$H101,"Transfer Send",Transactions!$F$3:$F101,"Crypto",Transactions!$A$3:$A101,T$65,Transactions!$D$3:$D101,$N83)
-SUMIFS(Transactions!$I$3:$I101,Transactions!$H$3:$H101,"Sell",Transactions!$F$3:$F101,"Crypto",Transactions!$A$3:$A101,T$65,Transactions!$D$3:$D101,$N83)
+SUMIFS(Transactions!$I$3:$I101,Transactions!$H$3:$H101,"Buy",Transactions!$F$3:$F101,"Stablecoin",Transactions!$A$3:$A101,T$65,Transactions!$D$3:$D101,$N83)
+SUMIFS(Transactions!$I$3:$I101,Transactions!$H$3:$H101,"Crypto Interest",Transactions!$F$3:$F101,"Stablecoin",Transactions!$A$3:$A101,T$65,Transactions!$D$3:$D101,$N83)
+SUMIFS(Transactions!$I$3:$I101,Transactions!$H$3:$H101,"Transfer Deposit",Transactions!$F$3:$F101,"Stablecoin",Transactions!$A$3:$A101,T$65,Transactions!$D$3:$D101,$N83)
-SUMIFS(Transactions!$I$3:$I101,Transactions!$H$3:$H101,"Transfer Send",Transactions!$F$3:$F101,"Stablecoin",Transactions!$A$3:$A101,T$65,Transactions!$D$3:$D101,$N83)
-SUMIFS(Transactions!$I$3:$I101,Transactions!$H$3:$H101,"Sell",Transactions!$F$3:$F101,"Stablecoin",Transactions!$A$3:$A101,T$65,Transactions!$D$3:$D101,$N83)
-SUMIFS(Transactions!$M$3:$M101,Transactions!$H$3:$H101,"Buy",Transactions!$A$3:$A101,T$65,Transactions!$B$3:$B101,$N83))</f>
        <v/>
      </c>
      <c r="U83" s="158" t="str">
        <f>IF(OR(ISBLANK($N83),ISBLANK(U$65)),"",
SUMIFS(Transactions!$I$3:$I101,Transactions!$H$3:$H101,"Buy",Transactions!$F$3:$F101,"Crypto",Transactions!$A$3:$A101,U$65,Transactions!$D$3:$D101,$N83)
+SUMIFS(Transactions!$I$3:$I101,Transactions!$H$3:$H101,"Crypto Interest",Transactions!$F$3:$F101,"Crypto",Transactions!$A$3:$A101,U$65,Transactions!$D$3:$D101,$N83)
+SUMIFS(Transactions!$I$3:$I101,Transactions!$H$3:$H101,"Transfer Deposit",Transactions!$F$3:$F101,"Crypto",Transactions!$A$3:$A101,U$65,Transactions!$D$3:$D101,$N83)
-SUMIFS(Transactions!$I$3:$I101,Transactions!$H$3:$H101,"Transfer Send",Transactions!$F$3:$F101,"Crypto",Transactions!$A$3:$A101,U$65,Transactions!$D$3:$D101,$N83)
-SUMIFS(Transactions!$I$3:$I101,Transactions!$H$3:$H101,"Sell",Transactions!$F$3:$F101,"Crypto",Transactions!$A$3:$A101,U$65,Transactions!$D$3:$D101,$N83)
+SUMIFS(Transactions!$I$3:$I101,Transactions!$H$3:$H101,"Buy",Transactions!$F$3:$F101,"Stablecoin",Transactions!$A$3:$A101,U$65,Transactions!$D$3:$D101,$N83)
+SUMIFS(Transactions!$I$3:$I101,Transactions!$H$3:$H101,"Crypto Interest",Transactions!$F$3:$F101,"Stablecoin",Transactions!$A$3:$A101,U$65,Transactions!$D$3:$D101,$N83)
+SUMIFS(Transactions!$I$3:$I101,Transactions!$H$3:$H101,"Transfer Deposit",Transactions!$F$3:$F101,"Stablecoin",Transactions!$A$3:$A101,U$65,Transactions!$D$3:$D101,$N83)
-SUMIFS(Transactions!$I$3:$I101,Transactions!$H$3:$H101,"Transfer Send",Transactions!$F$3:$F101,"Stablecoin",Transactions!$A$3:$A101,U$65,Transactions!$D$3:$D101,$N83)
-SUMIFS(Transactions!$I$3:$I101,Transactions!$H$3:$H101,"Sell",Transactions!$F$3:$F101,"Stablecoin",Transactions!$A$3:$A101,U$65,Transactions!$D$3:$D101,$N83)
-SUMIFS(Transactions!$M$3:$M101,Transactions!$H$3:$H101,"Buy",Transactions!$A$3:$A101,U$65,Transactions!$B$3:$B101,$N83))</f>
        <v/>
      </c>
      <c r="V83" s="158"/>
      <c r="W83" s="95"/>
      <c r="X83" s="96"/>
      <c r="Y83" s="96" t="str">
        <f>IFERROR(__xludf.DUMMYFUNCTION("IF(ISBLANK(W83),"""",QUERY(GOOGLEFINANCE($N$21,""Close"",W83-5,6),""select Col2 where Col1 &lt; date '""&amp;TEXT(W83+1, ""YYYY-MM-DD"")&amp;""' order by Col1 desc limit 1"",False)
)"),"")</f>
        <v/>
      </c>
      <c r="Z83" s="158"/>
    </row>
    <row r="84">
      <c r="A84" s="14"/>
      <c r="B84" s="149"/>
      <c r="C84" s="156" t="str">
        <f>IF(ISBLANK(B84),"",SUMIF(Portfolio!$A:$A,B84,Portfolio!$C:$C))</f>
        <v/>
      </c>
      <c r="D84" s="145" t="str">
        <f>IF(ISBLANK(B84),"",AVERAGEIF(Portfolio!$A:$A,B84,Portfolio!$D:$D))</f>
        <v/>
      </c>
      <c r="F84" s="145" t="str">
        <f>IF(ISBLANK(B84),"",VLOOKUP(B84,Portfolio!$A:$E,5,0))</f>
        <v/>
      </c>
      <c r="G84" s="145" t="str">
        <f>IF(ISBLANK(B84),"",IFERROR(((C84-SUMIFS(Transactions!I:I,Transactions!H:H,"Crypto Interest",Transactions!E:E,B84))*D84),""))</f>
        <v/>
      </c>
      <c r="H84" s="145" t="str">
        <f t="shared" si="11"/>
        <v/>
      </c>
      <c r="I84" s="50" t="str">
        <f t="shared" si="12"/>
        <v/>
      </c>
      <c r="J84" s="145" t="str">
        <f t="shared" si="13"/>
        <v/>
      </c>
      <c r="K84" s="145" t="str">
        <f>IF(ISBLANK(B84),"",SUMIF(Portfolio!$A:$A,B84,Portfolio!$Q:$Q))</f>
        <v/>
      </c>
      <c r="L84" s="145" t="str">
        <f t="shared" si="14"/>
        <v/>
      </c>
      <c r="M84" s="14"/>
      <c r="N84" s="157"/>
      <c r="O84" s="158" t="str">
        <f>IF(OR(ISBLANK($N84),ISBLANK(O$65)),"",
SUMIFS(Transactions!$I$3:$I101,Transactions!$H$3:$H101,"Buy",Transactions!$F$3:$F101,"Crypto",Transactions!$A$3:$A101,O$65,Transactions!$D$3:$D101,$N84)
+SUMIFS(Transactions!$I$3:$I101,Transactions!$H$3:$H101,"Crypto Interest",Transactions!$F$3:$F101,"Crypto",Transactions!$A$3:$A101,O$65,Transactions!$D$3:$D101,$N84)
+SUMIFS(Transactions!$I$3:$I101,Transactions!$H$3:$H101,"Transfer Deposit",Transactions!$F$3:$F101,"Crypto",Transactions!$A$3:$A101,O$65,Transactions!$D$3:$D101,$N84)
-SUMIFS(Transactions!$I$3:$I101,Transactions!$H$3:$H101,"Transfer Send",Transactions!$F$3:$F101,"Crypto",Transactions!$A$3:$A101,O$65,Transactions!$D$3:$D101,$N84)
-SUMIFS(Transactions!$I$3:$I101,Transactions!$H$3:$H101,"Sell",Transactions!$F$3:$F101,"Crypto",Transactions!$A$3:$A101,O$65,Transactions!$D$3:$D101,$N84)
+SUMIFS(Transactions!$I$3:$I101,Transactions!$H$3:$H101,"Buy",Transactions!$F$3:$F101,"Stablecoin",Transactions!$A$3:$A101,O$65,Transactions!$D$3:$D101,$N84)
+SUMIFS(Transactions!$I$3:$I101,Transactions!$H$3:$H101,"Crypto Interest",Transactions!$F$3:$F101,"Stablecoin",Transactions!$A$3:$A101,O$65,Transactions!$D$3:$D101,$N84)
+SUMIFS(Transactions!$I$3:$I101,Transactions!$H$3:$H101,"Transfer Deposit",Transactions!$F$3:$F101,"Stablecoin",Transactions!$A$3:$A101,O$65,Transactions!$D$3:$D101,$N84)
-SUMIFS(Transactions!$I$3:$I101,Transactions!$H$3:$H101,"Transfer Send",Transactions!$F$3:$F101,"Stablecoin",Transactions!$A$3:$A101,O$65,Transactions!$D$3:$D101,$N84)
-SUMIFS(Transactions!$I$3:$I101,Transactions!$H$3:$H101,"Sell",Transactions!$F$3:$F101,"Stablecoin",Transactions!$A$3:$A101,O$65,Transactions!$D$3:$D101,$N84)
-SUMIFS(Transactions!$M$3:$M101,Transactions!$H$3:$H101,"Buy",Transactions!$A$3:$A101,O$65,Transactions!$B$3:$B101,$N84))</f>
        <v/>
      </c>
      <c r="P84" s="158" t="str">
        <f>IF(OR(ISBLANK($N84),ISBLANK(P$65)),"",
SUMIFS(Transactions!$I$3:$I101,Transactions!$H$3:$H101,"Buy",Transactions!$F$3:$F101,"Crypto",Transactions!$A$3:$A101,P$65,Transactions!$D$3:$D101,$N84)
+SUMIFS(Transactions!$I$3:$I101,Transactions!$H$3:$H101,"Crypto Interest",Transactions!$F$3:$F101,"Crypto",Transactions!$A$3:$A101,P$65,Transactions!$D$3:$D101,$N84)
+SUMIFS(Transactions!$I$3:$I101,Transactions!$H$3:$H101,"Transfer Deposit",Transactions!$F$3:$F101,"Crypto",Transactions!$A$3:$A101,P$65,Transactions!$D$3:$D101,$N84)
-SUMIFS(Transactions!$I$3:$I101,Transactions!$H$3:$H101,"Transfer Send",Transactions!$F$3:$F101,"Crypto",Transactions!$A$3:$A101,P$65,Transactions!$D$3:$D101,$N84)
-SUMIFS(Transactions!$I$3:$I101,Transactions!$H$3:$H101,"Sell",Transactions!$F$3:$F101,"Crypto",Transactions!$A$3:$A101,P$65,Transactions!$D$3:$D101,$N84)
+SUMIFS(Transactions!$I$3:$I101,Transactions!$H$3:$H101,"Buy",Transactions!$F$3:$F101,"Stablecoin",Transactions!$A$3:$A101,P$65,Transactions!$D$3:$D101,$N84)
+SUMIFS(Transactions!$I$3:$I101,Transactions!$H$3:$H101,"Crypto Interest",Transactions!$F$3:$F101,"Stablecoin",Transactions!$A$3:$A101,P$65,Transactions!$D$3:$D101,$N84)
+SUMIFS(Transactions!$I$3:$I101,Transactions!$H$3:$H101,"Transfer Deposit",Transactions!$F$3:$F101,"Stablecoin",Transactions!$A$3:$A101,P$65,Transactions!$D$3:$D101,$N84)
-SUMIFS(Transactions!$I$3:$I101,Transactions!$H$3:$H101,"Transfer Send",Transactions!$F$3:$F101,"Stablecoin",Transactions!$A$3:$A101,P$65,Transactions!$D$3:$D101,$N84)
-SUMIFS(Transactions!$I$3:$I101,Transactions!$H$3:$H101,"Sell",Transactions!$F$3:$F101,"Stablecoin",Transactions!$A$3:$A101,P$65,Transactions!$D$3:$D101,$N84)
-SUMIFS(Transactions!$M$3:$M101,Transactions!$H$3:$H101,"Buy",Transactions!$A$3:$A101,P$65,Transactions!$B$3:$B101,$N84))</f>
        <v/>
      </c>
      <c r="Q84" s="158" t="str">
        <f>IF(OR(ISBLANK($N84),ISBLANK(Q$65)),"",
SUMIFS(Transactions!$I$3:$I101,Transactions!$H$3:$H101,"Buy",Transactions!$F$3:$F101,"Crypto",Transactions!$A$3:$A101,Q$65,Transactions!$D$3:$D101,$N84)
+SUMIFS(Transactions!$I$3:$I101,Transactions!$H$3:$H101,"Crypto Interest",Transactions!$F$3:$F101,"Crypto",Transactions!$A$3:$A101,Q$65,Transactions!$D$3:$D101,$N84)
+SUMIFS(Transactions!$I$3:$I101,Transactions!$H$3:$H101,"Transfer Deposit",Transactions!$F$3:$F101,"Crypto",Transactions!$A$3:$A101,Q$65,Transactions!$D$3:$D101,$N84)
-SUMIFS(Transactions!$I$3:$I101,Transactions!$H$3:$H101,"Transfer Send",Transactions!$F$3:$F101,"Crypto",Transactions!$A$3:$A101,Q$65,Transactions!$D$3:$D101,$N84)
-SUMIFS(Transactions!$I$3:$I101,Transactions!$H$3:$H101,"Sell",Transactions!$F$3:$F101,"Crypto",Transactions!$A$3:$A101,Q$65,Transactions!$D$3:$D101,$N84)
+SUMIFS(Transactions!$I$3:$I101,Transactions!$H$3:$H101,"Buy",Transactions!$F$3:$F101,"Stablecoin",Transactions!$A$3:$A101,Q$65,Transactions!$D$3:$D101,$N84)
+SUMIFS(Transactions!$I$3:$I101,Transactions!$H$3:$H101,"Crypto Interest",Transactions!$F$3:$F101,"Stablecoin",Transactions!$A$3:$A101,Q$65,Transactions!$D$3:$D101,$N84)
+SUMIFS(Transactions!$I$3:$I101,Transactions!$H$3:$H101,"Transfer Deposit",Transactions!$F$3:$F101,"Stablecoin",Transactions!$A$3:$A101,Q$65,Transactions!$D$3:$D101,$N84)
-SUMIFS(Transactions!$I$3:$I101,Transactions!$H$3:$H101,"Transfer Send",Transactions!$F$3:$F101,"Stablecoin",Transactions!$A$3:$A101,Q$65,Transactions!$D$3:$D101,$N84)
-SUMIFS(Transactions!$I$3:$I101,Transactions!$H$3:$H101,"Sell",Transactions!$F$3:$F101,"Stablecoin",Transactions!$A$3:$A101,Q$65,Transactions!$D$3:$D101,$N84)
-SUMIFS(Transactions!$M$3:$M101,Transactions!$H$3:$H101,"Buy",Transactions!$A$3:$A101,Q$65,Transactions!$B$3:$B101,$N84))</f>
        <v/>
      </c>
      <c r="R84" s="158" t="str">
        <f>IF(OR(ISBLANK($N84),ISBLANK(R$65)),"",
SUMIFS(Transactions!$I$3:$I101,Transactions!$H$3:$H101,"Buy",Transactions!$F$3:$F101,"Crypto",Transactions!$A$3:$A101,R$65,Transactions!$D$3:$D101,$N84)
+SUMIFS(Transactions!$I$3:$I101,Transactions!$H$3:$H101,"Crypto Interest",Transactions!$F$3:$F101,"Crypto",Transactions!$A$3:$A101,R$65,Transactions!$D$3:$D101,$N84)
+SUMIFS(Transactions!$I$3:$I101,Transactions!$H$3:$H101,"Transfer Deposit",Transactions!$F$3:$F101,"Crypto",Transactions!$A$3:$A101,R$65,Transactions!$D$3:$D101,$N84)
-SUMIFS(Transactions!$I$3:$I101,Transactions!$H$3:$H101,"Transfer Send",Transactions!$F$3:$F101,"Crypto",Transactions!$A$3:$A101,R$65,Transactions!$D$3:$D101,$N84)
-SUMIFS(Transactions!$I$3:$I101,Transactions!$H$3:$H101,"Sell",Transactions!$F$3:$F101,"Crypto",Transactions!$A$3:$A101,R$65,Transactions!$D$3:$D101,$N84)
+SUMIFS(Transactions!$I$3:$I101,Transactions!$H$3:$H101,"Buy",Transactions!$F$3:$F101,"Stablecoin",Transactions!$A$3:$A101,R$65,Transactions!$D$3:$D101,$N84)
+SUMIFS(Transactions!$I$3:$I101,Transactions!$H$3:$H101,"Crypto Interest",Transactions!$F$3:$F101,"Stablecoin",Transactions!$A$3:$A101,R$65,Transactions!$D$3:$D101,$N84)
+SUMIFS(Transactions!$I$3:$I101,Transactions!$H$3:$H101,"Transfer Deposit",Transactions!$F$3:$F101,"Stablecoin",Transactions!$A$3:$A101,R$65,Transactions!$D$3:$D101,$N84)
-SUMIFS(Transactions!$I$3:$I101,Transactions!$H$3:$H101,"Transfer Send",Transactions!$F$3:$F101,"Stablecoin",Transactions!$A$3:$A101,R$65,Transactions!$D$3:$D101,$N84)
-SUMIFS(Transactions!$I$3:$I101,Transactions!$H$3:$H101,"Sell",Transactions!$F$3:$F101,"Stablecoin",Transactions!$A$3:$A101,R$65,Transactions!$D$3:$D101,$N84)
-SUMIFS(Transactions!$M$3:$M101,Transactions!$H$3:$H101,"Buy",Transactions!$A$3:$A101,R$65,Transactions!$B$3:$B101,$N84))</f>
        <v/>
      </c>
      <c r="S84" s="158" t="str">
        <f>IF(OR(ISBLANK($N84),ISBLANK(S$65)),"",
SUMIFS(Transactions!$I$3:$I101,Transactions!$H$3:$H101,"Buy",Transactions!$F$3:$F101,"Crypto",Transactions!$A$3:$A101,S$65,Transactions!$D$3:$D101,$N84)
+SUMIFS(Transactions!$I$3:$I101,Transactions!$H$3:$H101,"Crypto Interest",Transactions!$F$3:$F101,"Crypto",Transactions!$A$3:$A101,S$65,Transactions!$D$3:$D101,$N84)
+SUMIFS(Transactions!$I$3:$I101,Transactions!$H$3:$H101,"Transfer Deposit",Transactions!$F$3:$F101,"Crypto",Transactions!$A$3:$A101,S$65,Transactions!$D$3:$D101,$N84)
-SUMIFS(Transactions!$I$3:$I101,Transactions!$H$3:$H101,"Transfer Send",Transactions!$F$3:$F101,"Crypto",Transactions!$A$3:$A101,S$65,Transactions!$D$3:$D101,$N84)
-SUMIFS(Transactions!$I$3:$I101,Transactions!$H$3:$H101,"Sell",Transactions!$F$3:$F101,"Crypto",Transactions!$A$3:$A101,S$65,Transactions!$D$3:$D101,$N84)
+SUMIFS(Transactions!$I$3:$I101,Transactions!$H$3:$H101,"Buy",Transactions!$F$3:$F101,"Stablecoin",Transactions!$A$3:$A101,S$65,Transactions!$D$3:$D101,$N84)
+SUMIFS(Transactions!$I$3:$I101,Transactions!$H$3:$H101,"Crypto Interest",Transactions!$F$3:$F101,"Stablecoin",Transactions!$A$3:$A101,S$65,Transactions!$D$3:$D101,$N84)
+SUMIFS(Transactions!$I$3:$I101,Transactions!$H$3:$H101,"Transfer Deposit",Transactions!$F$3:$F101,"Stablecoin",Transactions!$A$3:$A101,S$65,Transactions!$D$3:$D101,$N84)
-SUMIFS(Transactions!$I$3:$I101,Transactions!$H$3:$H101,"Transfer Send",Transactions!$F$3:$F101,"Stablecoin",Transactions!$A$3:$A101,S$65,Transactions!$D$3:$D101,$N84)
-SUMIFS(Transactions!$I$3:$I101,Transactions!$H$3:$H101,"Sell",Transactions!$F$3:$F101,"Stablecoin",Transactions!$A$3:$A101,S$65,Transactions!$D$3:$D101,$N84)
-SUMIFS(Transactions!$M$3:$M101,Transactions!$H$3:$H101,"Buy",Transactions!$A$3:$A101,S$65,Transactions!$B$3:$B101,$N84))</f>
        <v/>
      </c>
      <c r="T84" s="158" t="str">
        <f>IF(OR(ISBLANK($N84),ISBLANK(T$65)),"",
SUMIFS(Transactions!$I$3:$I101,Transactions!$H$3:$H101,"Buy",Transactions!$F$3:$F101,"Crypto",Transactions!$A$3:$A101,T$65,Transactions!$D$3:$D101,$N84)
+SUMIFS(Transactions!$I$3:$I101,Transactions!$H$3:$H101,"Crypto Interest",Transactions!$F$3:$F101,"Crypto",Transactions!$A$3:$A101,T$65,Transactions!$D$3:$D101,$N84)
+SUMIFS(Transactions!$I$3:$I101,Transactions!$H$3:$H101,"Transfer Deposit",Transactions!$F$3:$F101,"Crypto",Transactions!$A$3:$A101,T$65,Transactions!$D$3:$D101,$N84)
-SUMIFS(Transactions!$I$3:$I101,Transactions!$H$3:$H101,"Transfer Send",Transactions!$F$3:$F101,"Crypto",Transactions!$A$3:$A101,T$65,Transactions!$D$3:$D101,$N84)
-SUMIFS(Transactions!$I$3:$I101,Transactions!$H$3:$H101,"Sell",Transactions!$F$3:$F101,"Crypto",Transactions!$A$3:$A101,T$65,Transactions!$D$3:$D101,$N84)
+SUMIFS(Transactions!$I$3:$I101,Transactions!$H$3:$H101,"Buy",Transactions!$F$3:$F101,"Stablecoin",Transactions!$A$3:$A101,T$65,Transactions!$D$3:$D101,$N84)
+SUMIFS(Transactions!$I$3:$I101,Transactions!$H$3:$H101,"Crypto Interest",Transactions!$F$3:$F101,"Stablecoin",Transactions!$A$3:$A101,T$65,Transactions!$D$3:$D101,$N84)
+SUMIFS(Transactions!$I$3:$I101,Transactions!$H$3:$H101,"Transfer Deposit",Transactions!$F$3:$F101,"Stablecoin",Transactions!$A$3:$A101,T$65,Transactions!$D$3:$D101,$N84)
-SUMIFS(Transactions!$I$3:$I101,Transactions!$H$3:$H101,"Transfer Send",Transactions!$F$3:$F101,"Stablecoin",Transactions!$A$3:$A101,T$65,Transactions!$D$3:$D101,$N84)
-SUMIFS(Transactions!$I$3:$I101,Transactions!$H$3:$H101,"Sell",Transactions!$F$3:$F101,"Stablecoin",Transactions!$A$3:$A101,T$65,Transactions!$D$3:$D101,$N84)
-SUMIFS(Transactions!$M$3:$M101,Transactions!$H$3:$H101,"Buy",Transactions!$A$3:$A101,T$65,Transactions!$B$3:$B101,$N84))</f>
        <v/>
      </c>
      <c r="U84" s="158" t="str">
        <f>IF(OR(ISBLANK($N84),ISBLANK(U$65)),"",
SUMIFS(Transactions!$I$3:$I101,Transactions!$H$3:$H101,"Buy",Transactions!$F$3:$F101,"Crypto",Transactions!$A$3:$A101,U$65,Transactions!$D$3:$D101,$N84)
+SUMIFS(Transactions!$I$3:$I101,Transactions!$H$3:$H101,"Crypto Interest",Transactions!$F$3:$F101,"Crypto",Transactions!$A$3:$A101,U$65,Transactions!$D$3:$D101,$N84)
+SUMIFS(Transactions!$I$3:$I101,Transactions!$H$3:$H101,"Transfer Deposit",Transactions!$F$3:$F101,"Crypto",Transactions!$A$3:$A101,U$65,Transactions!$D$3:$D101,$N84)
-SUMIFS(Transactions!$I$3:$I101,Transactions!$H$3:$H101,"Transfer Send",Transactions!$F$3:$F101,"Crypto",Transactions!$A$3:$A101,U$65,Transactions!$D$3:$D101,$N84)
-SUMIFS(Transactions!$I$3:$I101,Transactions!$H$3:$H101,"Sell",Transactions!$F$3:$F101,"Crypto",Transactions!$A$3:$A101,U$65,Transactions!$D$3:$D101,$N84)
+SUMIFS(Transactions!$I$3:$I101,Transactions!$H$3:$H101,"Buy",Transactions!$F$3:$F101,"Stablecoin",Transactions!$A$3:$A101,U$65,Transactions!$D$3:$D101,$N84)
+SUMIFS(Transactions!$I$3:$I101,Transactions!$H$3:$H101,"Crypto Interest",Transactions!$F$3:$F101,"Stablecoin",Transactions!$A$3:$A101,U$65,Transactions!$D$3:$D101,$N84)
+SUMIFS(Transactions!$I$3:$I101,Transactions!$H$3:$H101,"Transfer Deposit",Transactions!$F$3:$F101,"Stablecoin",Transactions!$A$3:$A101,U$65,Transactions!$D$3:$D101,$N84)
-SUMIFS(Transactions!$I$3:$I101,Transactions!$H$3:$H101,"Transfer Send",Transactions!$F$3:$F101,"Stablecoin",Transactions!$A$3:$A101,U$65,Transactions!$D$3:$D101,$N84)
-SUMIFS(Transactions!$I$3:$I101,Transactions!$H$3:$H101,"Sell",Transactions!$F$3:$F101,"Stablecoin",Transactions!$A$3:$A101,U$65,Transactions!$D$3:$D101,$N84)
-SUMIFS(Transactions!$M$3:$M101,Transactions!$H$3:$H101,"Buy",Transactions!$A$3:$A101,U$65,Transactions!$B$3:$B101,$N84))</f>
        <v/>
      </c>
      <c r="V84" s="158"/>
      <c r="W84" s="95"/>
      <c r="X84" s="96"/>
      <c r="Y84" s="96" t="str">
        <f>IFERROR(__xludf.DUMMYFUNCTION("IF(ISBLANK(W84),"""",QUERY(GOOGLEFINANCE($N$21,""Close"",W84-5,6),""select Col2 where Col1 &lt; date '""&amp;TEXT(W84+1, ""YYYY-MM-DD"")&amp;""' order by Col1 desc limit 1"",False)
)"),"")</f>
        <v/>
      </c>
      <c r="Z84" s="158"/>
    </row>
    <row r="85">
      <c r="A85" s="14"/>
      <c r="B85" s="149"/>
      <c r="C85" s="156" t="str">
        <f>IF(ISBLANK(B85),"",SUMIF(Portfolio!$A:$A,B85,Portfolio!$C:$C))</f>
        <v/>
      </c>
      <c r="D85" s="145" t="str">
        <f>IF(ISBLANK(B85),"",AVERAGEIF(Portfolio!$A:$A,B85,Portfolio!$D:$D))</f>
        <v/>
      </c>
      <c r="F85" s="145" t="str">
        <f>IF(ISBLANK(B85),"",VLOOKUP(B85,Portfolio!$A:$E,5,0))</f>
        <v/>
      </c>
      <c r="G85" s="145" t="str">
        <f>IF(ISBLANK(B85),"",IFERROR(((C85-SUMIFS(Transactions!I:I,Transactions!H:H,"Crypto Interest",Transactions!E:E,B85))*D85),""))</f>
        <v/>
      </c>
      <c r="H85" s="145" t="str">
        <f t="shared" si="11"/>
        <v/>
      </c>
      <c r="I85" s="50" t="str">
        <f t="shared" si="12"/>
        <v/>
      </c>
      <c r="J85" s="145" t="str">
        <f t="shared" si="13"/>
        <v/>
      </c>
      <c r="K85" s="145" t="str">
        <f>IF(ISBLANK(B85),"",SUMIF(Portfolio!$A:$A,B85,Portfolio!$Q:$Q))</f>
        <v/>
      </c>
      <c r="L85" s="145" t="str">
        <f t="shared" si="14"/>
        <v/>
      </c>
      <c r="M85" s="14"/>
      <c r="N85" s="157"/>
      <c r="O85" s="158" t="str">
        <f>IF(OR(ISBLANK($N85),ISBLANK(O$65)),"",
SUMIFS(Transactions!$I$3:$I101,Transactions!$H$3:$H101,"Buy",Transactions!$F$3:$F101,"Crypto",Transactions!$A$3:$A101,O$65,Transactions!$D$3:$D101,$N85)
+SUMIFS(Transactions!$I$3:$I101,Transactions!$H$3:$H101,"Crypto Interest",Transactions!$F$3:$F101,"Crypto",Transactions!$A$3:$A101,O$65,Transactions!$D$3:$D101,$N85)
+SUMIFS(Transactions!$I$3:$I101,Transactions!$H$3:$H101,"Transfer Deposit",Transactions!$F$3:$F101,"Crypto",Transactions!$A$3:$A101,O$65,Transactions!$D$3:$D101,$N85)
-SUMIFS(Transactions!$I$3:$I101,Transactions!$H$3:$H101,"Transfer Send",Transactions!$F$3:$F101,"Crypto",Transactions!$A$3:$A101,O$65,Transactions!$D$3:$D101,$N85)
-SUMIFS(Transactions!$I$3:$I101,Transactions!$H$3:$H101,"Sell",Transactions!$F$3:$F101,"Crypto",Transactions!$A$3:$A101,O$65,Transactions!$D$3:$D101,$N85)
+SUMIFS(Transactions!$I$3:$I101,Transactions!$H$3:$H101,"Buy",Transactions!$F$3:$F101,"Stablecoin",Transactions!$A$3:$A101,O$65,Transactions!$D$3:$D101,$N85)
+SUMIFS(Transactions!$I$3:$I101,Transactions!$H$3:$H101,"Crypto Interest",Transactions!$F$3:$F101,"Stablecoin",Transactions!$A$3:$A101,O$65,Transactions!$D$3:$D101,$N85)
+SUMIFS(Transactions!$I$3:$I101,Transactions!$H$3:$H101,"Transfer Deposit",Transactions!$F$3:$F101,"Stablecoin",Transactions!$A$3:$A101,O$65,Transactions!$D$3:$D101,$N85)
-SUMIFS(Transactions!$I$3:$I101,Transactions!$H$3:$H101,"Transfer Send",Transactions!$F$3:$F101,"Stablecoin",Transactions!$A$3:$A101,O$65,Transactions!$D$3:$D101,$N85)
-SUMIFS(Transactions!$I$3:$I101,Transactions!$H$3:$H101,"Sell",Transactions!$F$3:$F101,"Stablecoin",Transactions!$A$3:$A101,O$65,Transactions!$D$3:$D101,$N85)
-SUMIFS(Transactions!$M$3:$M101,Transactions!$H$3:$H101,"Buy",Transactions!$A$3:$A101,O$65,Transactions!$B$3:$B101,$N85))</f>
        <v/>
      </c>
      <c r="P85" s="158" t="str">
        <f>IF(OR(ISBLANK($N85),ISBLANK(P$65)),"",
SUMIFS(Transactions!$I$3:$I101,Transactions!$H$3:$H101,"Buy",Transactions!$F$3:$F101,"Crypto",Transactions!$A$3:$A101,P$65,Transactions!$D$3:$D101,$N85)
+SUMIFS(Transactions!$I$3:$I101,Transactions!$H$3:$H101,"Crypto Interest",Transactions!$F$3:$F101,"Crypto",Transactions!$A$3:$A101,P$65,Transactions!$D$3:$D101,$N85)
+SUMIFS(Transactions!$I$3:$I101,Transactions!$H$3:$H101,"Transfer Deposit",Transactions!$F$3:$F101,"Crypto",Transactions!$A$3:$A101,P$65,Transactions!$D$3:$D101,$N85)
-SUMIFS(Transactions!$I$3:$I101,Transactions!$H$3:$H101,"Transfer Send",Transactions!$F$3:$F101,"Crypto",Transactions!$A$3:$A101,P$65,Transactions!$D$3:$D101,$N85)
-SUMIFS(Transactions!$I$3:$I101,Transactions!$H$3:$H101,"Sell",Transactions!$F$3:$F101,"Crypto",Transactions!$A$3:$A101,P$65,Transactions!$D$3:$D101,$N85)
+SUMIFS(Transactions!$I$3:$I101,Transactions!$H$3:$H101,"Buy",Transactions!$F$3:$F101,"Stablecoin",Transactions!$A$3:$A101,P$65,Transactions!$D$3:$D101,$N85)
+SUMIFS(Transactions!$I$3:$I101,Transactions!$H$3:$H101,"Crypto Interest",Transactions!$F$3:$F101,"Stablecoin",Transactions!$A$3:$A101,P$65,Transactions!$D$3:$D101,$N85)
+SUMIFS(Transactions!$I$3:$I101,Transactions!$H$3:$H101,"Transfer Deposit",Transactions!$F$3:$F101,"Stablecoin",Transactions!$A$3:$A101,P$65,Transactions!$D$3:$D101,$N85)
-SUMIFS(Transactions!$I$3:$I101,Transactions!$H$3:$H101,"Transfer Send",Transactions!$F$3:$F101,"Stablecoin",Transactions!$A$3:$A101,P$65,Transactions!$D$3:$D101,$N85)
-SUMIFS(Transactions!$I$3:$I101,Transactions!$H$3:$H101,"Sell",Transactions!$F$3:$F101,"Stablecoin",Transactions!$A$3:$A101,P$65,Transactions!$D$3:$D101,$N85)
-SUMIFS(Transactions!$M$3:$M101,Transactions!$H$3:$H101,"Buy",Transactions!$A$3:$A101,P$65,Transactions!$B$3:$B101,$N85))</f>
        <v/>
      </c>
      <c r="Q85" s="158" t="str">
        <f>IF(OR(ISBLANK($N85),ISBLANK(Q$65)),"",
SUMIFS(Transactions!$I$3:$I101,Transactions!$H$3:$H101,"Buy",Transactions!$F$3:$F101,"Crypto",Transactions!$A$3:$A101,Q$65,Transactions!$D$3:$D101,$N85)
+SUMIFS(Transactions!$I$3:$I101,Transactions!$H$3:$H101,"Crypto Interest",Transactions!$F$3:$F101,"Crypto",Transactions!$A$3:$A101,Q$65,Transactions!$D$3:$D101,$N85)
+SUMIFS(Transactions!$I$3:$I101,Transactions!$H$3:$H101,"Transfer Deposit",Transactions!$F$3:$F101,"Crypto",Transactions!$A$3:$A101,Q$65,Transactions!$D$3:$D101,$N85)
-SUMIFS(Transactions!$I$3:$I101,Transactions!$H$3:$H101,"Transfer Send",Transactions!$F$3:$F101,"Crypto",Transactions!$A$3:$A101,Q$65,Transactions!$D$3:$D101,$N85)
-SUMIFS(Transactions!$I$3:$I101,Transactions!$H$3:$H101,"Sell",Transactions!$F$3:$F101,"Crypto",Transactions!$A$3:$A101,Q$65,Transactions!$D$3:$D101,$N85)
+SUMIFS(Transactions!$I$3:$I101,Transactions!$H$3:$H101,"Buy",Transactions!$F$3:$F101,"Stablecoin",Transactions!$A$3:$A101,Q$65,Transactions!$D$3:$D101,$N85)
+SUMIFS(Transactions!$I$3:$I101,Transactions!$H$3:$H101,"Crypto Interest",Transactions!$F$3:$F101,"Stablecoin",Transactions!$A$3:$A101,Q$65,Transactions!$D$3:$D101,$N85)
+SUMIFS(Transactions!$I$3:$I101,Transactions!$H$3:$H101,"Transfer Deposit",Transactions!$F$3:$F101,"Stablecoin",Transactions!$A$3:$A101,Q$65,Transactions!$D$3:$D101,$N85)
-SUMIFS(Transactions!$I$3:$I101,Transactions!$H$3:$H101,"Transfer Send",Transactions!$F$3:$F101,"Stablecoin",Transactions!$A$3:$A101,Q$65,Transactions!$D$3:$D101,$N85)
-SUMIFS(Transactions!$I$3:$I101,Transactions!$H$3:$H101,"Sell",Transactions!$F$3:$F101,"Stablecoin",Transactions!$A$3:$A101,Q$65,Transactions!$D$3:$D101,$N85)
-SUMIFS(Transactions!$M$3:$M101,Transactions!$H$3:$H101,"Buy",Transactions!$A$3:$A101,Q$65,Transactions!$B$3:$B101,$N85))</f>
        <v/>
      </c>
      <c r="R85" s="158" t="str">
        <f>IF(OR(ISBLANK($N85),ISBLANK(R$65)),"",
SUMIFS(Transactions!$I$3:$I101,Transactions!$H$3:$H101,"Buy",Transactions!$F$3:$F101,"Crypto",Transactions!$A$3:$A101,R$65,Transactions!$D$3:$D101,$N85)
+SUMIFS(Transactions!$I$3:$I101,Transactions!$H$3:$H101,"Crypto Interest",Transactions!$F$3:$F101,"Crypto",Transactions!$A$3:$A101,R$65,Transactions!$D$3:$D101,$N85)
+SUMIFS(Transactions!$I$3:$I101,Transactions!$H$3:$H101,"Transfer Deposit",Transactions!$F$3:$F101,"Crypto",Transactions!$A$3:$A101,R$65,Transactions!$D$3:$D101,$N85)
-SUMIFS(Transactions!$I$3:$I101,Transactions!$H$3:$H101,"Transfer Send",Transactions!$F$3:$F101,"Crypto",Transactions!$A$3:$A101,R$65,Transactions!$D$3:$D101,$N85)
-SUMIFS(Transactions!$I$3:$I101,Transactions!$H$3:$H101,"Sell",Transactions!$F$3:$F101,"Crypto",Transactions!$A$3:$A101,R$65,Transactions!$D$3:$D101,$N85)
+SUMIFS(Transactions!$I$3:$I101,Transactions!$H$3:$H101,"Buy",Transactions!$F$3:$F101,"Stablecoin",Transactions!$A$3:$A101,R$65,Transactions!$D$3:$D101,$N85)
+SUMIFS(Transactions!$I$3:$I101,Transactions!$H$3:$H101,"Crypto Interest",Transactions!$F$3:$F101,"Stablecoin",Transactions!$A$3:$A101,R$65,Transactions!$D$3:$D101,$N85)
+SUMIFS(Transactions!$I$3:$I101,Transactions!$H$3:$H101,"Transfer Deposit",Transactions!$F$3:$F101,"Stablecoin",Transactions!$A$3:$A101,R$65,Transactions!$D$3:$D101,$N85)
-SUMIFS(Transactions!$I$3:$I101,Transactions!$H$3:$H101,"Transfer Send",Transactions!$F$3:$F101,"Stablecoin",Transactions!$A$3:$A101,R$65,Transactions!$D$3:$D101,$N85)
-SUMIFS(Transactions!$I$3:$I101,Transactions!$H$3:$H101,"Sell",Transactions!$F$3:$F101,"Stablecoin",Transactions!$A$3:$A101,R$65,Transactions!$D$3:$D101,$N85)
-SUMIFS(Transactions!$M$3:$M101,Transactions!$H$3:$H101,"Buy",Transactions!$A$3:$A101,R$65,Transactions!$B$3:$B101,$N85))</f>
        <v/>
      </c>
      <c r="S85" s="158" t="str">
        <f>IF(OR(ISBLANK($N85),ISBLANK(S$65)),"",
SUMIFS(Transactions!$I$3:$I101,Transactions!$H$3:$H101,"Buy",Transactions!$F$3:$F101,"Crypto",Transactions!$A$3:$A101,S$65,Transactions!$D$3:$D101,$N85)
+SUMIFS(Transactions!$I$3:$I101,Transactions!$H$3:$H101,"Crypto Interest",Transactions!$F$3:$F101,"Crypto",Transactions!$A$3:$A101,S$65,Transactions!$D$3:$D101,$N85)
+SUMIFS(Transactions!$I$3:$I101,Transactions!$H$3:$H101,"Transfer Deposit",Transactions!$F$3:$F101,"Crypto",Transactions!$A$3:$A101,S$65,Transactions!$D$3:$D101,$N85)
-SUMIFS(Transactions!$I$3:$I101,Transactions!$H$3:$H101,"Transfer Send",Transactions!$F$3:$F101,"Crypto",Transactions!$A$3:$A101,S$65,Transactions!$D$3:$D101,$N85)
-SUMIFS(Transactions!$I$3:$I101,Transactions!$H$3:$H101,"Sell",Transactions!$F$3:$F101,"Crypto",Transactions!$A$3:$A101,S$65,Transactions!$D$3:$D101,$N85)
+SUMIFS(Transactions!$I$3:$I101,Transactions!$H$3:$H101,"Buy",Transactions!$F$3:$F101,"Stablecoin",Transactions!$A$3:$A101,S$65,Transactions!$D$3:$D101,$N85)
+SUMIFS(Transactions!$I$3:$I101,Transactions!$H$3:$H101,"Crypto Interest",Transactions!$F$3:$F101,"Stablecoin",Transactions!$A$3:$A101,S$65,Transactions!$D$3:$D101,$N85)
+SUMIFS(Transactions!$I$3:$I101,Transactions!$H$3:$H101,"Transfer Deposit",Transactions!$F$3:$F101,"Stablecoin",Transactions!$A$3:$A101,S$65,Transactions!$D$3:$D101,$N85)
-SUMIFS(Transactions!$I$3:$I101,Transactions!$H$3:$H101,"Transfer Send",Transactions!$F$3:$F101,"Stablecoin",Transactions!$A$3:$A101,S$65,Transactions!$D$3:$D101,$N85)
-SUMIFS(Transactions!$I$3:$I101,Transactions!$H$3:$H101,"Sell",Transactions!$F$3:$F101,"Stablecoin",Transactions!$A$3:$A101,S$65,Transactions!$D$3:$D101,$N85)
-SUMIFS(Transactions!$M$3:$M101,Transactions!$H$3:$H101,"Buy",Transactions!$A$3:$A101,S$65,Transactions!$B$3:$B101,$N85))</f>
        <v/>
      </c>
      <c r="T85" s="158" t="str">
        <f>IF(OR(ISBLANK($N85),ISBLANK(T$65)),"",
SUMIFS(Transactions!$I$3:$I101,Transactions!$H$3:$H101,"Buy",Transactions!$F$3:$F101,"Crypto",Transactions!$A$3:$A101,T$65,Transactions!$D$3:$D101,$N85)
+SUMIFS(Transactions!$I$3:$I101,Transactions!$H$3:$H101,"Crypto Interest",Transactions!$F$3:$F101,"Crypto",Transactions!$A$3:$A101,T$65,Transactions!$D$3:$D101,$N85)
+SUMIFS(Transactions!$I$3:$I101,Transactions!$H$3:$H101,"Transfer Deposit",Transactions!$F$3:$F101,"Crypto",Transactions!$A$3:$A101,T$65,Transactions!$D$3:$D101,$N85)
-SUMIFS(Transactions!$I$3:$I101,Transactions!$H$3:$H101,"Transfer Send",Transactions!$F$3:$F101,"Crypto",Transactions!$A$3:$A101,T$65,Transactions!$D$3:$D101,$N85)
-SUMIFS(Transactions!$I$3:$I101,Transactions!$H$3:$H101,"Sell",Transactions!$F$3:$F101,"Crypto",Transactions!$A$3:$A101,T$65,Transactions!$D$3:$D101,$N85)
+SUMIFS(Transactions!$I$3:$I101,Transactions!$H$3:$H101,"Buy",Transactions!$F$3:$F101,"Stablecoin",Transactions!$A$3:$A101,T$65,Transactions!$D$3:$D101,$N85)
+SUMIFS(Transactions!$I$3:$I101,Transactions!$H$3:$H101,"Crypto Interest",Transactions!$F$3:$F101,"Stablecoin",Transactions!$A$3:$A101,T$65,Transactions!$D$3:$D101,$N85)
+SUMIFS(Transactions!$I$3:$I101,Transactions!$H$3:$H101,"Transfer Deposit",Transactions!$F$3:$F101,"Stablecoin",Transactions!$A$3:$A101,T$65,Transactions!$D$3:$D101,$N85)
-SUMIFS(Transactions!$I$3:$I101,Transactions!$H$3:$H101,"Transfer Send",Transactions!$F$3:$F101,"Stablecoin",Transactions!$A$3:$A101,T$65,Transactions!$D$3:$D101,$N85)
-SUMIFS(Transactions!$I$3:$I101,Transactions!$H$3:$H101,"Sell",Transactions!$F$3:$F101,"Stablecoin",Transactions!$A$3:$A101,T$65,Transactions!$D$3:$D101,$N85)
-SUMIFS(Transactions!$M$3:$M101,Transactions!$H$3:$H101,"Buy",Transactions!$A$3:$A101,T$65,Transactions!$B$3:$B101,$N85))</f>
        <v/>
      </c>
      <c r="U85" s="158" t="str">
        <f>IF(OR(ISBLANK($N85),ISBLANK(U$65)),"",
SUMIFS(Transactions!$I$3:$I101,Transactions!$H$3:$H101,"Buy",Transactions!$F$3:$F101,"Crypto",Transactions!$A$3:$A101,U$65,Transactions!$D$3:$D101,$N85)
+SUMIFS(Transactions!$I$3:$I101,Transactions!$H$3:$H101,"Crypto Interest",Transactions!$F$3:$F101,"Crypto",Transactions!$A$3:$A101,U$65,Transactions!$D$3:$D101,$N85)
+SUMIFS(Transactions!$I$3:$I101,Transactions!$H$3:$H101,"Transfer Deposit",Transactions!$F$3:$F101,"Crypto",Transactions!$A$3:$A101,U$65,Transactions!$D$3:$D101,$N85)
-SUMIFS(Transactions!$I$3:$I101,Transactions!$H$3:$H101,"Transfer Send",Transactions!$F$3:$F101,"Crypto",Transactions!$A$3:$A101,U$65,Transactions!$D$3:$D101,$N85)
-SUMIFS(Transactions!$I$3:$I101,Transactions!$H$3:$H101,"Sell",Transactions!$F$3:$F101,"Crypto",Transactions!$A$3:$A101,U$65,Transactions!$D$3:$D101,$N85)
+SUMIFS(Transactions!$I$3:$I101,Transactions!$H$3:$H101,"Buy",Transactions!$F$3:$F101,"Stablecoin",Transactions!$A$3:$A101,U$65,Transactions!$D$3:$D101,$N85)
+SUMIFS(Transactions!$I$3:$I101,Transactions!$H$3:$H101,"Crypto Interest",Transactions!$F$3:$F101,"Stablecoin",Transactions!$A$3:$A101,U$65,Transactions!$D$3:$D101,$N85)
+SUMIFS(Transactions!$I$3:$I101,Transactions!$H$3:$H101,"Transfer Deposit",Transactions!$F$3:$F101,"Stablecoin",Transactions!$A$3:$A101,U$65,Transactions!$D$3:$D101,$N85)
-SUMIFS(Transactions!$I$3:$I101,Transactions!$H$3:$H101,"Transfer Send",Transactions!$F$3:$F101,"Stablecoin",Transactions!$A$3:$A101,U$65,Transactions!$D$3:$D101,$N85)
-SUMIFS(Transactions!$I$3:$I101,Transactions!$H$3:$H101,"Sell",Transactions!$F$3:$F101,"Stablecoin",Transactions!$A$3:$A101,U$65,Transactions!$D$3:$D101,$N85)
-SUMIFS(Transactions!$M$3:$M101,Transactions!$H$3:$H101,"Buy",Transactions!$A$3:$A101,U$65,Transactions!$B$3:$B101,$N85))</f>
        <v/>
      </c>
      <c r="V85" s="158"/>
      <c r="W85" s="95"/>
      <c r="X85" s="96"/>
      <c r="Y85" s="96" t="str">
        <f>IFERROR(__xludf.DUMMYFUNCTION("IF(ISBLANK(W85),"""",QUERY(GOOGLEFINANCE($N$21,""Close"",W85-5,6),""select Col2 where Col1 &lt; date '""&amp;TEXT(W85+1, ""YYYY-MM-DD"")&amp;""' order by Col1 desc limit 1"",False)
)"),"")</f>
        <v/>
      </c>
      <c r="Z85" s="158"/>
    </row>
    <row r="86">
      <c r="A86" s="14"/>
      <c r="B86" s="149"/>
      <c r="C86" s="156" t="str">
        <f>IF(ISBLANK(B86),"",SUMIF(Portfolio!$A:$A,B86,Portfolio!$C:$C))</f>
        <v/>
      </c>
      <c r="D86" s="145" t="str">
        <f>IF(ISBLANK(B86),"",AVERAGEIF(Portfolio!$A:$A,B86,Portfolio!$D:$D))</f>
        <v/>
      </c>
      <c r="F86" s="145" t="str">
        <f>IF(ISBLANK(B86),"",VLOOKUP(B86,Portfolio!$A:$E,5,0))</f>
        <v/>
      </c>
      <c r="G86" s="145" t="str">
        <f>IF(ISBLANK(B86),"",IFERROR(((C86-SUMIFS(Transactions!I:I,Transactions!H:H,"Crypto Interest",Transactions!E:E,B86))*D86),""))</f>
        <v/>
      </c>
      <c r="H86" s="145" t="str">
        <f t="shared" si="11"/>
        <v/>
      </c>
      <c r="I86" s="50" t="str">
        <f t="shared" si="12"/>
        <v/>
      </c>
      <c r="J86" s="145" t="str">
        <f t="shared" si="13"/>
        <v/>
      </c>
      <c r="K86" s="145" t="str">
        <f>IF(ISBLANK(B86),"",SUMIF(Portfolio!$A:$A,B86,Portfolio!$Q:$Q))</f>
        <v/>
      </c>
      <c r="L86" s="145" t="str">
        <f t="shared" si="14"/>
        <v/>
      </c>
      <c r="M86" s="14"/>
      <c r="N86" s="157"/>
      <c r="O86" s="158" t="str">
        <f>IF(OR(ISBLANK($N86),ISBLANK(O$65)),"",
SUMIFS(Transactions!$I$3:$I101,Transactions!$H$3:$H101,"Buy",Transactions!$F$3:$F101,"Crypto",Transactions!$A$3:$A101,O$65,Transactions!$D$3:$D101,$N86)
+SUMIFS(Transactions!$I$3:$I101,Transactions!$H$3:$H101,"Crypto Interest",Transactions!$F$3:$F101,"Crypto",Transactions!$A$3:$A101,O$65,Transactions!$D$3:$D101,$N86)
+SUMIFS(Transactions!$I$3:$I101,Transactions!$H$3:$H101,"Transfer Deposit",Transactions!$F$3:$F101,"Crypto",Transactions!$A$3:$A101,O$65,Transactions!$D$3:$D101,$N86)
-SUMIFS(Transactions!$I$3:$I101,Transactions!$H$3:$H101,"Transfer Send",Transactions!$F$3:$F101,"Crypto",Transactions!$A$3:$A101,O$65,Transactions!$D$3:$D101,$N86)
-SUMIFS(Transactions!$I$3:$I101,Transactions!$H$3:$H101,"Sell",Transactions!$F$3:$F101,"Crypto",Transactions!$A$3:$A101,O$65,Transactions!$D$3:$D101,$N86)
+SUMIFS(Transactions!$I$3:$I101,Transactions!$H$3:$H101,"Buy",Transactions!$F$3:$F101,"Stablecoin",Transactions!$A$3:$A101,O$65,Transactions!$D$3:$D101,$N86)
+SUMIFS(Transactions!$I$3:$I101,Transactions!$H$3:$H101,"Crypto Interest",Transactions!$F$3:$F101,"Stablecoin",Transactions!$A$3:$A101,O$65,Transactions!$D$3:$D101,$N86)
+SUMIFS(Transactions!$I$3:$I101,Transactions!$H$3:$H101,"Transfer Deposit",Transactions!$F$3:$F101,"Stablecoin",Transactions!$A$3:$A101,O$65,Transactions!$D$3:$D101,$N86)
-SUMIFS(Transactions!$I$3:$I101,Transactions!$H$3:$H101,"Transfer Send",Transactions!$F$3:$F101,"Stablecoin",Transactions!$A$3:$A101,O$65,Transactions!$D$3:$D101,$N86)
-SUMIFS(Transactions!$I$3:$I101,Transactions!$H$3:$H101,"Sell",Transactions!$F$3:$F101,"Stablecoin",Transactions!$A$3:$A101,O$65,Transactions!$D$3:$D101,$N86)
-SUMIFS(Transactions!$M$3:$M101,Transactions!$H$3:$H101,"Buy",Transactions!$A$3:$A101,O$65,Transactions!$B$3:$B101,$N86))</f>
        <v/>
      </c>
      <c r="P86" s="158" t="str">
        <f>IF(OR(ISBLANK($N86),ISBLANK(P$65)),"",
SUMIFS(Transactions!$I$3:$I101,Transactions!$H$3:$H101,"Buy",Transactions!$F$3:$F101,"Crypto",Transactions!$A$3:$A101,P$65,Transactions!$D$3:$D101,$N86)
+SUMIFS(Transactions!$I$3:$I101,Transactions!$H$3:$H101,"Crypto Interest",Transactions!$F$3:$F101,"Crypto",Transactions!$A$3:$A101,P$65,Transactions!$D$3:$D101,$N86)
+SUMIFS(Transactions!$I$3:$I101,Transactions!$H$3:$H101,"Transfer Deposit",Transactions!$F$3:$F101,"Crypto",Transactions!$A$3:$A101,P$65,Transactions!$D$3:$D101,$N86)
-SUMIFS(Transactions!$I$3:$I101,Transactions!$H$3:$H101,"Transfer Send",Transactions!$F$3:$F101,"Crypto",Transactions!$A$3:$A101,P$65,Transactions!$D$3:$D101,$N86)
-SUMIFS(Transactions!$I$3:$I101,Transactions!$H$3:$H101,"Sell",Transactions!$F$3:$F101,"Crypto",Transactions!$A$3:$A101,P$65,Transactions!$D$3:$D101,$N86)
+SUMIFS(Transactions!$I$3:$I101,Transactions!$H$3:$H101,"Buy",Transactions!$F$3:$F101,"Stablecoin",Transactions!$A$3:$A101,P$65,Transactions!$D$3:$D101,$N86)
+SUMIFS(Transactions!$I$3:$I101,Transactions!$H$3:$H101,"Crypto Interest",Transactions!$F$3:$F101,"Stablecoin",Transactions!$A$3:$A101,P$65,Transactions!$D$3:$D101,$N86)
+SUMIFS(Transactions!$I$3:$I101,Transactions!$H$3:$H101,"Transfer Deposit",Transactions!$F$3:$F101,"Stablecoin",Transactions!$A$3:$A101,P$65,Transactions!$D$3:$D101,$N86)
-SUMIFS(Transactions!$I$3:$I101,Transactions!$H$3:$H101,"Transfer Send",Transactions!$F$3:$F101,"Stablecoin",Transactions!$A$3:$A101,P$65,Transactions!$D$3:$D101,$N86)
-SUMIFS(Transactions!$I$3:$I101,Transactions!$H$3:$H101,"Sell",Transactions!$F$3:$F101,"Stablecoin",Transactions!$A$3:$A101,P$65,Transactions!$D$3:$D101,$N86)
-SUMIFS(Transactions!$M$3:$M101,Transactions!$H$3:$H101,"Buy",Transactions!$A$3:$A101,P$65,Transactions!$B$3:$B101,$N86))</f>
        <v/>
      </c>
      <c r="Q86" s="158" t="str">
        <f>IF(OR(ISBLANK($N86),ISBLANK(Q$65)),"",
SUMIFS(Transactions!$I$3:$I101,Transactions!$H$3:$H101,"Buy",Transactions!$F$3:$F101,"Crypto",Transactions!$A$3:$A101,Q$65,Transactions!$D$3:$D101,$N86)
+SUMIFS(Transactions!$I$3:$I101,Transactions!$H$3:$H101,"Crypto Interest",Transactions!$F$3:$F101,"Crypto",Transactions!$A$3:$A101,Q$65,Transactions!$D$3:$D101,$N86)
+SUMIFS(Transactions!$I$3:$I101,Transactions!$H$3:$H101,"Transfer Deposit",Transactions!$F$3:$F101,"Crypto",Transactions!$A$3:$A101,Q$65,Transactions!$D$3:$D101,$N86)
-SUMIFS(Transactions!$I$3:$I101,Transactions!$H$3:$H101,"Transfer Send",Transactions!$F$3:$F101,"Crypto",Transactions!$A$3:$A101,Q$65,Transactions!$D$3:$D101,$N86)
-SUMIFS(Transactions!$I$3:$I101,Transactions!$H$3:$H101,"Sell",Transactions!$F$3:$F101,"Crypto",Transactions!$A$3:$A101,Q$65,Transactions!$D$3:$D101,$N86)
+SUMIFS(Transactions!$I$3:$I101,Transactions!$H$3:$H101,"Buy",Transactions!$F$3:$F101,"Stablecoin",Transactions!$A$3:$A101,Q$65,Transactions!$D$3:$D101,$N86)
+SUMIFS(Transactions!$I$3:$I101,Transactions!$H$3:$H101,"Crypto Interest",Transactions!$F$3:$F101,"Stablecoin",Transactions!$A$3:$A101,Q$65,Transactions!$D$3:$D101,$N86)
+SUMIFS(Transactions!$I$3:$I101,Transactions!$H$3:$H101,"Transfer Deposit",Transactions!$F$3:$F101,"Stablecoin",Transactions!$A$3:$A101,Q$65,Transactions!$D$3:$D101,$N86)
-SUMIFS(Transactions!$I$3:$I101,Transactions!$H$3:$H101,"Transfer Send",Transactions!$F$3:$F101,"Stablecoin",Transactions!$A$3:$A101,Q$65,Transactions!$D$3:$D101,$N86)
-SUMIFS(Transactions!$I$3:$I101,Transactions!$H$3:$H101,"Sell",Transactions!$F$3:$F101,"Stablecoin",Transactions!$A$3:$A101,Q$65,Transactions!$D$3:$D101,$N86)
-SUMIFS(Transactions!$M$3:$M101,Transactions!$H$3:$H101,"Buy",Transactions!$A$3:$A101,Q$65,Transactions!$B$3:$B101,$N86))</f>
        <v/>
      </c>
      <c r="R86" s="158" t="str">
        <f>IF(OR(ISBLANK($N86),ISBLANK(R$65)),"",
SUMIFS(Transactions!$I$3:$I101,Transactions!$H$3:$H101,"Buy",Transactions!$F$3:$F101,"Crypto",Transactions!$A$3:$A101,R$65,Transactions!$D$3:$D101,$N86)
+SUMIFS(Transactions!$I$3:$I101,Transactions!$H$3:$H101,"Crypto Interest",Transactions!$F$3:$F101,"Crypto",Transactions!$A$3:$A101,R$65,Transactions!$D$3:$D101,$N86)
+SUMIFS(Transactions!$I$3:$I101,Transactions!$H$3:$H101,"Transfer Deposit",Transactions!$F$3:$F101,"Crypto",Transactions!$A$3:$A101,R$65,Transactions!$D$3:$D101,$N86)
-SUMIFS(Transactions!$I$3:$I101,Transactions!$H$3:$H101,"Transfer Send",Transactions!$F$3:$F101,"Crypto",Transactions!$A$3:$A101,R$65,Transactions!$D$3:$D101,$N86)
-SUMIFS(Transactions!$I$3:$I101,Transactions!$H$3:$H101,"Sell",Transactions!$F$3:$F101,"Crypto",Transactions!$A$3:$A101,R$65,Transactions!$D$3:$D101,$N86)
+SUMIFS(Transactions!$I$3:$I101,Transactions!$H$3:$H101,"Buy",Transactions!$F$3:$F101,"Stablecoin",Transactions!$A$3:$A101,R$65,Transactions!$D$3:$D101,$N86)
+SUMIFS(Transactions!$I$3:$I101,Transactions!$H$3:$H101,"Crypto Interest",Transactions!$F$3:$F101,"Stablecoin",Transactions!$A$3:$A101,R$65,Transactions!$D$3:$D101,$N86)
+SUMIFS(Transactions!$I$3:$I101,Transactions!$H$3:$H101,"Transfer Deposit",Transactions!$F$3:$F101,"Stablecoin",Transactions!$A$3:$A101,R$65,Transactions!$D$3:$D101,$N86)
-SUMIFS(Transactions!$I$3:$I101,Transactions!$H$3:$H101,"Transfer Send",Transactions!$F$3:$F101,"Stablecoin",Transactions!$A$3:$A101,R$65,Transactions!$D$3:$D101,$N86)
-SUMIFS(Transactions!$I$3:$I101,Transactions!$H$3:$H101,"Sell",Transactions!$F$3:$F101,"Stablecoin",Transactions!$A$3:$A101,R$65,Transactions!$D$3:$D101,$N86)
-SUMIFS(Transactions!$M$3:$M101,Transactions!$H$3:$H101,"Buy",Transactions!$A$3:$A101,R$65,Transactions!$B$3:$B101,$N86))</f>
        <v/>
      </c>
      <c r="S86" s="158" t="str">
        <f>IF(OR(ISBLANK($N86),ISBLANK(S$65)),"",
SUMIFS(Transactions!$I$3:$I101,Transactions!$H$3:$H101,"Buy",Transactions!$F$3:$F101,"Crypto",Transactions!$A$3:$A101,S$65,Transactions!$D$3:$D101,$N86)
+SUMIFS(Transactions!$I$3:$I101,Transactions!$H$3:$H101,"Crypto Interest",Transactions!$F$3:$F101,"Crypto",Transactions!$A$3:$A101,S$65,Transactions!$D$3:$D101,$N86)
+SUMIFS(Transactions!$I$3:$I101,Transactions!$H$3:$H101,"Transfer Deposit",Transactions!$F$3:$F101,"Crypto",Transactions!$A$3:$A101,S$65,Transactions!$D$3:$D101,$N86)
-SUMIFS(Transactions!$I$3:$I101,Transactions!$H$3:$H101,"Transfer Send",Transactions!$F$3:$F101,"Crypto",Transactions!$A$3:$A101,S$65,Transactions!$D$3:$D101,$N86)
-SUMIFS(Transactions!$I$3:$I101,Transactions!$H$3:$H101,"Sell",Transactions!$F$3:$F101,"Crypto",Transactions!$A$3:$A101,S$65,Transactions!$D$3:$D101,$N86)
+SUMIFS(Transactions!$I$3:$I101,Transactions!$H$3:$H101,"Buy",Transactions!$F$3:$F101,"Stablecoin",Transactions!$A$3:$A101,S$65,Transactions!$D$3:$D101,$N86)
+SUMIFS(Transactions!$I$3:$I101,Transactions!$H$3:$H101,"Crypto Interest",Transactions!$F$3:$F101,"Stablecoin",Transactions!$A$3:$A101,S$65,Transactions!$D$3:$D101,$N86)
+SUMIFS(Transactions!$I$3:$I101,Transactions!$H$3:$H101,"Transfer Deposit",Transactions!$F$3:$F101,"Stablecoin",Transactions!$A$3:$A101,S$65,Transactions!$D$3:$D101,$N86)
-SUMIFS(Transactions!$I$3:$I101,Transactions!$H$3:$H101,"Transfer Send",Transactions!$F$3:$F101,"Stablecoin",Transactions!$A$3:$A101,S$65,Transactions!$D$3:$D101,$N86)
-SUMIFS(Transactions!$I$3:$I101,Transactions!$H$3:$H101,"Sell",Transactions!$F$3:$F101,"Stablecoin",Transactions!$A$3:$A101,S$65,Transactions!$D$3:$D101,$N86)
-SUMIFS(Transactions!$M$3:$M101,Transactions!$H$3:$H101,"Buy",Transactions!$A$3:$A101,S$65,Transactions!$B$3:$B101,$N86))</f>
        <v/>
      </c>
      <c r="T86" s="158" t="str">
        <f>IF(OR(ISBLANK($N86),ISBLANK(T$65)),"",
SUMIFS(Transactions!$I$3:$I101,Transactions!$H$3:$H101,"Buy",Transactions!$F$3:$F101,"Crypto",Transactions!$A$3:$A101,T$65,Transactions!$D$3:$D101,$N86)
+SUMIFS(Transactions!$I$3:$I101,Transactions!$H$3:$H101,"Crypto Interest",Transactions!$F$3:$F101,"Crypto",Transactions!$A$3:$A101,T$65,Transactions!$D$3:$D101,$N86)
+SUMIFS(Transactions!$I$3:$I101,Transactions!$H$3:$H101,"Transfer Deposit",Transactions!$F$3:$F101,"Crypto",Transactions!$A$3:$A101,T$65,Transactions!$D$3:$D101,$N86)
-SUMIFS(Transactions!$I$3:$I101,Transactions!$H$3:$H101,"Transfer Send",Transactions!$F$3:$F101,"Crypto",Transactions!$A$3:$A101,T$65,Transactions!$D$3:$D101,$N86)
-SUMIFS(Transactions!$I$3:$I101,Transactions!$H$3:$H101,"Sell",Transactions!$F$3:$F101,"Crypto",Transactions!$A$3:$A101,T$65,Transactions!$D$3:$D101,$N86)
+SUMIFS(Transactions!$I$3:$I101,Transactions!$H$3:$H101,"Buy",Transactions!$F$3:$F101,"Stablecoin",Transactions!$A$3:$A101,T$65,Transactions!$D$3:$D101,$N86)
+SUMIFS(Transactions!$I$3:$I101,Transactions!$H$3:$H101,"Crypto Interest",Transactions!$F$3:$F101,"Stablecoin",Transactions!$A$3:$A101,T$65,Transactions!$D$3:$D101,$N86)
+SUMIFS(Transactions!$I$3:$I101,Transactions!$H$3:$H101,"Transfer Deposit",Transactions!$F$3:$F101,"Stablecoin",Transactions!$A$3:$A101,T$65,Transactions!$D$3:$D101,$N86)
-SUMIFS(Transactions!$I$3:$I101,Transactions!$H$3:$H101,"Transfer Send",Transactions!$F$3:$F101,"Stablecoin",Transactions!$A$3:$A101,T$65,Transactions!$D$3:$D101,$N86)
-SUMIFS(Transactions!$I$3:$I101,Transactions!$H$3:$H101,"Sell",Transactions!$F$3:$F101,"Stablecoin",Transactions!$A$3:$A101,T$65,Transactions!$D$3:$D101,$N86)
-SUMIFS(Transactions!$M$3:$M101,Transactions!$H$3:$H101,"Buy",Transactions!$A$3:$A101,T$65,Transactions!$B$3:$B101,$N86))</f>
        <v/>
      </c>
      <c r="U86" s="158" t="str">
        <f>IF(OR(ISBLANK($N86),ISBLANK(U$65)),"",
SUMIFS(Transactions!$I$3:$I101,Transactions!$H$3:$H101,"Buy",Transactions!$F$3:$F101,"Crypto",Transactions!$A$3:$A101,U$65,Transactions!$D$3:$D101,$N86)
+SUMIFS(Transactions!$I$3:$I101,Transactions!$H$3:$H101,"Crypto Interest",Transactions!$F$3:$F101,"Crypto",Transactions!$A$3:$A101,U$65,Transactions!$D$3:$D101,$N86)
+SUMIFS(Transactions!$I$3:$I101,Transactions!$H$3:$H101,"Transfer Deposit",Transactions!$F$3:$F101,"Crypto",Transactions!$A$3:$A101,U$65,Transactions!$D$3:$D101,$N86)
-SUMIFS(Transactions!$I$3:$I101,Transactions!$H$3:$H101,"Transfer Send",Transactions!$F$3:$F101,"Crypto",Transactions!$A$3:$A101,U$65,Transactions!$D$3:$D101,$N86)
-SUMIFS(Transactions!$I$3:$I101,Transactions!$H$3:$H101,"Sell",Transactions!$F$3:$F101,"Crypto",Transactions!$A$3:$A101,U$65,Transactions!$D$3:$D101,$N86)
+SUMIFS(Transactions!$I$3:$I101,Transactions!$H$3:$H101,"Buy",Transactions!$F$3:$F101,"Stablecoin",Transactions!$A$3:$A101,U$65,Transactions!$D$3:$D101,$N86)
+SUMIFS(Transactions!$I$3:$I101,Transactions!$H$3:$H101,"Crypto Interest",Transactions!$F$3:$F101,"Stablecoin",Transactions!$A$3:$A101,U$65,Transactions!$D$3:$D101,$N86)
+SUMIFS(Transactions!$I$3:$I101,Transactions!$H$3:$H101,"Transfer Deposit",Transactions!$F$3:$F101,"Stablecoin",Transactions!$A$3:$A101,U$65,Transactions!$D$3:$D101,$N86)
-SUMIFS(Transactions!$I$3:$I101,Transactions!$H$3:$H101,"Transfer Send",Transactions!$F$3:$F101,"Stablecoin",Transactions!$A$3:$A101,U$65,Transactions!$D$3:$D101,$N86)
-SUMIFS(Transactions!$I$3:$I101,Transactions!$H$3:$H101,"Sell",Transactions!$F$3:$F101,"Stablecoin",Transactions!$A$3:$A101,U$65,Transactions!$D$3:$D101,$N86)
-SUMIFS(Transactions!$M$3:$M101,Transactions!$H$3:$H101,"Buy",Transactions!$A$3:$A101,U$65,Transactions!$B$3:$B101,$N86))</f>
        <v/>
      </c>
      <c r="V86" s="158"/>
      <c r="W86" s="95"/>
      <c r="X86" s="96"/>
      <c r="Y86" s="96" t="str">
        <f>IFERROR(__xludf.DUMMYFUNCTION("IF(ISBLANK(W86),"""",QUERY(GOOGLEFINANCE($N$21,""Close"",W86-5,6),""select Col2 where Col1 &lt; date '""&amp;TEXT(W86+1, ""YYYY-MM-DD"")&amp;""' order by Col1 desc limit 1"",False)
)"),"")</f>
        <v/>
      </c>
      <c r="Z86" s="158"/>
    </row>
    <row r="87">
      <c r="A87" s="14"/>
      <c r="B87" s="149"/>
      <c r="C87" s="156" t="str">
        <f>IF(ISBLANK(B87),"",SUMIF(Portfolio!$A:$A,B87,Portfolio!$C:$C))</f>
        <v/>
      </c>
      <c r="D87" s="145" t="str">
        <f>IF(ISBLANK(B87),"",AVERAGEIF(Portfolio!$A:$A,B87,Portfolio!$D:$D))</f>
        <v/>
      </c>
      <c r="F87" s="145" t="str">
        <f>IF(ISBLANK(B87),"",VLOOKUP(B87,Portfolio!$A:$E,5,0))</f>
        <v/>
      </c>
      <c r="G87" s="145" t="str">
        <f>IF(ISBLANK(B87),"",IFERROR(((C87-SUMIFS(Transactions!I:I,Transactions!H:H,"Crypto Interest",Transactions!E:E,B87))*D87),""))</f>
        <v/>
      </c>
      <c r="H87" s="145" t="str">
        <f t="shared" si="11"/>
        <v/>
      </c>
      <c r="I87" s="50" t="str">
        <f t="shared" si="12"/>
        <v/>
      </c>
      <c r="J87" s="145" t="str">
        <f t="shared" si="13"/>
        <v/>
      </c>
      <c r="K87" s="145" t="str">
        <f>IF(ISBLANK(B87),"",SUMIF(Portfolio!$A:$A,B87,Portfolio!$Q:$Q))</f>
        <v/>
      </c>
      <c r="L87" s="145" t="str">
        <f t="shared" si="14"/>
        <v/>
      </c>
      <c r="M87" s="14"/>
      <c r="N87" s="157"/>
      <c r="O87" s="158" t="str">
        <f>IF(OR(ISBLANK($N87),ISBLANK(O$65)),"",
SUMIFS(Transactions!$I$3:$I101,Transactions!$H$3:$H101,"Buy",Transactions!$F$3:$F101,"Crypto",Transactions!$A$3:$A101,O$65,Transactions!$D$3:$D101,$N87)
+SUMIFS(Transactions!$I$3:$I101,Transactions!$H$3:$H101,"Crypto Interest",Transactions!$F$3:$F101,"Crypto",Transactions!$A$3:$A101,O$65,Transactions!$D$3:$D101,$N87)
+SUMIFS(Transactions!$I$3:$I101,Transactions!$H$3:$H101,"Transfer Deposit",Transactions!$F$3:$F101,"Crypto",Transactions!$A$3:$A101,O$65,Transactions!$D$3:$D101,$N87)
-SUMIFS(Transactions!$I$3:$I101,Transactions!$H$3:$H101,"Transfer Send",Transactions!$F$3:$F101,"Crypto",Transactions!$A$3:$A101,O$65,Transactions!$D$3:$D101,$N87)
-SUMIFS(Transactions!$I$3:$I101,Transactions!$H$3:$H101,"Sell",Transactions!$F$3:$F101,"Crypto",Transactions!$A$3:$A101,O$65,Transactions!$D$3:$D101,$N87)
+SUMIFS(Transactions!$I$3:$I101,Transactions!$H$3:$H101,"Buy",Transactions!$F$3:$F101,"Stablecoin",Transactions!$A$3:$A101,O$65,Transactions!$D$3:$D101,$N87)
+SUMIFS(Transactions!$I$3:$I101,Transactions!$H$3:$H101,"Crypto Interest",Transactions!$F$3:$F101,"Stablecoin",Transactions!$A$3:$A101,O$65,Transactions!$D$3:$D101,$N87)
+SUMIFS(Transactions!$I$3:$I101,Transactions!$H$3:$H101,"Transfer Deposit",Transactions!$F$3:$F101,"Stablecoin",Transactions!$A$3:$A101,O$65,Transactions!$D$3:$D101,$N87)
-SUMIFS(Transactions!$I$3:$I101,Transactions!$H$3:$H101,"Transfer Send",Transactions!$F$3:$F101,"Stablecoin",Transactions!$A$3:$A101,O$65,Transactions!$D$3:$D101,$N87)
-SUMIFS(Transactions!$I$3:$I101,Transactions!$H$3:$H101,"Sell",Transactions!$F$3:$F101,"Stablecoin",Transactions!$A$3:$A101,O$65,Transactions!$D$3:$D101,$N87)
-SUMIFS(Transactions!$M$3:$M101,Transactions!$H$3:$H101,"Buy",Transactions!$A$3:$A101,O$65,Transactions!$B$3:$B101,$N87))</f>
        <v/>
      </c>
      <c r="P87" s="158" t="str">
        <f>IF(OR(ISBLANK($N87),ISBLANK(P$65)),"",
SUMIFS(Transactions!$I$3:$I101,Transactions!$H$3:$H101,"Buy",Transactions!$F$3:$F101,"Crypto",Transactions!$A$3:$A101,P$65,Transactions!$D$3:$D101,$N87)
+SUMIFS(Transactions!$I$3:$I101,Transactions!$H$3:$H101,"Crypto Interest",Transactions!$F$3:$F101,"Crypto",Transactions!$A$3:$A101,P$65,Transactions!$D$3:$D101,$N87)
+SUMIFS(Transactions!$I$3:$I101,Transactions!$H$3:$H101,"Transfer Deposit",Transactions!$F$3:$F101,"Crypto",Transactions!$A$3:$A101,P$65,Transactions!$D$3:$D101,$N87)
-SUMIFS(Transactions!$I$3:$I101,Transactions!$H$3:$H101,"Transfer Send",Transactions!$F$3:$F101,"Crypto",Transactions!$A$3:$A101,P$65,Transactions!$D$3:$D101,$N87)
-SUMIFS(Transactions!$I$3:$I101,Transactions!$H$3:$H101,"Sell",Transactions!$F$3:$F101,"Crypto",Transactions!$A$3:$A101,P$65,Transactions!$D$3:$D101,$N87)
+SUMIFS(Transactions!$I$3:$I101,Transactions!$H$3:$H101,"Buy",Transactions!$F$3:$F101,"Stablecoin",Transactions!$A$3:$A101,P$65,Transactions!$D$3:$D101,$N87)
+SUMIFS(Transactions!$I$3:$I101,Transactions!$H$3:$H101,"Crypto Interest",Transactions!$F$3:$F101,"Stablecoin",Transactions!$A$3:$A101,P$65,Transactions!$D$3:$D101,$N87)
+SUMIFS(Transactions!$I$3:$I101,Transactions!$H$3:$H101,"Transfer Deposit",Transactions!$F$3:$F101,"Stablecoin",Transactions!$A$3:$A101,P$65,Transactions!$D$3:$D101,$N87)
-SUMIFS(Transactions!$I$3:$I101,Transactions!$H$3:$H101,"Transfer Send",Transactions!$F$3:$F101,"Stablecoin",Transactions!$A$3:$A101,P$65,Transactions!$D$3:$D101,$N87)
-SUMIFS(Transactions!$I$3:$I101,Transactions!$H$3:$H101,"Sell",Transactions!$F$3:$F101,"Stablecoin",Transactions!$A$3:$A101,P$65,Transactions!$D$3:$D101,$N87)
-SUMIFS(Transactions!$M$3:$M101,Transactions!$H$3:$H101,"Buy",Transactions!$A$3:$A101,P$65,Transactions!$B$3:$B101,$N87))</f>
        <v/>
      </c>
      <c r="Q87" s="158" t="str">
        <f>IF(OR(ISBLANK($N87),ISBLANK(Q$65)),"",
SUMIFS(Transactions!$I$3:$I101,Transactions!$H$3:$H101,"Buy",Transactions!$F$3:$F101,"Crypto",Transactions!$A$3:$A101,Q$65,Transactions!$D$3:$D101,$N87)
+SUMIFS(Transactions!$I$3:$I101,Transactions!$H$3:$H101,"Crypto Interest",Transactions!$F$3:$F101,"Crypto",Transactions!$A$3:$A101,Q$65,Transactions!$D$3:$D101,$N87)
+SUMIFS(Transactions!$I$3:$I101,Transactions!$H$3:$H101,"Transfer Deposit",Transactions!$F$3:$F101,"Crypto",Transactions!$A$3:$A101,Q$65,Transactions!$D$3:$D101,$N87)
-SUMIFS(Transactions!$I$3:$I101,Transactions!$H$3:$H101,"Transfer Send",Transactions!$F$3:$F101,"Crypto",Transactions!$A$3:$A101,Q$65,Transactions!$D$3:$D101,$N87)
-SUMIFS(Transactions!$I$3:$I101,Transactions!$H$3:$H101,"Sell",Transactions!$F$3:$F101,"Crypto",Transactions!$A$3:$A101,Q$65,Transactions!$D$3:$D101,$N87)
+SUMIFS(Transactions!$I$3:$I101,Transactions!$H$3:$H101,"Buy",Transactions!$F$3:$F101,"Stablecoin",Transactions!$A$3:$A101,Q$65,Transactions!$D$3:$D101,$N87)
+SUMIFS(Transactions!$I$3:$I101,Transactions!$H$3:$H101,"Crypto Interest",Transactions!$F$3:$F101,"Stablecoin",Transactions!$A$3:$A101,Q$65,Transactions!$D$3:$D101,$N87)
+SUMIFS(Transactions!$I$3:$I101,Transactions!$H$3:$H101,"Transfer Deposit",Transactions!$F$3:$F101,"Stablecoin",Transactions!$A$3:$A101,Q$65,Transactions!$D$3:$D101,$N87)
-SUMIFS(Transactions!$I$3:$I101,Transactions!$H$3:$H101,"Transfer Send",Transactions!$F$3:$F101,"Stablecoin",Transactions!$A$3:$A101,Q$65,Transactions!$D$3:$D101,$N87)
-SUMIFS(Transactions!$I$3:$I101,Transactions!$H$3:$H101,"Sell",Transactions!$F$3:$F101,"Stablecoin",Transactions!$A$3:$A101,Q$65,Transactions!$D$3:$D101,$N87)
-SUMIFS(Transactions!$M$3:$M101,Transactions!$H$3:$H101,"Buy",Transactions!$A$3:$A101,Q$65,Transactions!$B$3:$B101,$N87))</f>
        <v/>
      </c>
      <c r="R87" s="158" t="str">
        <f>IF(OR(ISBLANK($N87),ISBLANK(R$65)),"",
SUMIFS(Transactions!$I$3:$I101,Transactions!$H$3:$H101,"Buy",Transactions!$F$3:$F101,"Crypto",Transactions!$A$3:$A101,R$65,Transactions!$D$3:$D101,$N87)
+SUMIFS(Transactions!$I$3:$I101,Transactions!$H$3:$H101,"Crypto Interest",Transactions!$F$3:$F101,"Crypto",Transactions!$A$3:$A101,R$65,Transactions!$D$3:$D101,$N87)
+SUMIFS(Transactions!$I$3:$I101,Transactions!$H$3:$H101,"Transfer Deposit",Transactions!$F$3:$F101,"Crypto",Transactions!$A$3:$A101,R$65,Transactions!$D$3:$D101,$N87)
-SUMIFS(Transactions!$I$3:$I101,Transactions!$H$3:$H101,"Transfer Send",Transactions!$F$3:$F101,"Crypto",Transactions!$A$3:$A101,R$65,Transactions!$D$3:$D101,$N87)
-SUMIFS(Transactions!$I$3:$I101,Transactions!$H$3:$H101,"Sell",Transactions!$F$3:$F101,"Crypto",Transactions!$A$3:$A101,R$65,Transactions!$D$3:$D101,$N87)
+SUMIFS(Transactions!$I$3:$I101,Transactions!$H$3:$H101,"Buy",Transactions!$F$3:$F101,"Stablecoin",Transactions!$A$3:$A101,R$65,Transactions!$D$3:$D101,$N87)
+SUMIFS(Transactions!$I$3:$I101,Transactions!$H$3:$H101,"Crypto Interest",Transactions!$F$3:$F101,"Stablecoin",Transactions!$A$3:$A101,R$65,Transactions!$D$3:$D101,$N87)
+SUMIFS(Transactions!$I$3:$I101,Transactions!$H$3:$H101,"Transfer Deposit",Transactions!$F$3:$F101,"Stablecoin",Transactions!$A$3:$A101,R$65,Transactions!$D$3:$D101,$N87)
-SUMIFS(Transactions!$I$3:$I101,Transactions!$H$3:$H101,"Transfer Send",Transactions!$F$3:$F101,"Stablecoin",Transactions!$A$3:$A101,R$65,Transactions!$D$3:$D101,$N87)
-SUMIFS(Transactions!$I$3:$I101,Transactions!$H$3:$H101,"Sell",Transactions!$F$3:$F101,"Stablecoin",Transactions!$A$3:$A101,R$65,Transactions!$D$3:$D101,$N87)
-SUMIFS(Transactions!$M$3:$M101,Transactions!$H$3:$H101,"Buy",Transactions!$A$3:$A101,R$65,Transactions!$B$3:$B101,$N87))</f>
        <v/>
      </c>
      <c r="S87" s="158" t="str">
        <f>IF(OR(ISBLANK($N87),ISBLANK(S$65)),"",
SUMIFS(Transactions!$I$3:$I101,Transactions!$H$3:$H101,"Buy",Transactions!$F$3:$F101,"Crypto",Transactions!$A$3:$A101,S$65,Transactions!$D$3:$D101,$N87)
+SUMIFS(Transactions!$I$3:$I101,Transactions!$H$3:$H101,"Crypto Interest",Transactions!$F$3:$F101,"Crypto",Transactions!$A$3:$A101,S$65,Transactions!$D$3:$D101,$N87)
+SUMIFS(Transactions!$I$3:$I101,Transactions!$H$3:$H101,"Transfer Deposit",Transactions!$F$3:$F101,"Crypto",Transactions!$A$3:$A101,S$65,Transactions!$D$3:$D101,$N87)
-SUMIFS(Transactions!$I$3:$I101,Transactions!$H$3:$H101,"Transfer Send",Transactions!$F$3:$F101,"Crypto",Transactions!$A$3:$A101,S$65,Transactions!$D$3:$D101,$N87)
-SUMIFS(Transactions!$I$3:$I101,Transactions!$H$3:$H101,"Sell",Transactions!$F$3:$F101,"Crypto",Transactions!$A$3:$A101,S$65,Transactions!$D$3:$D101,$N87)
+SUMIFS(Transactions!$I$3:$I101,Transactions!$H$3:$H101,"Buy",Transactions!$F$3:$F101,"Stablecoin",Transactions!$A$3:$A101,S$65,Transactions!$D$3:$D101,$N87)
+SUMIFS(Transactions!$I$3:$I101,Transactions!$H$3:$H101,"Crypto Interest",Transactions!$F$3:$F101,"Stablecoin",Transactions!$A$3:$A101,S$65,Transactions!$D$3:$D101,$N87)
+SUMIFS(Transactions!$I$3:$I101,Transactions!$H$3:$H101,"Transfer Deposit",Transactions!$F$3:$F101,"Stablecoin",Transactions!$A$3:$A101,S$65,Transactions!$D$3:$D101,$N87)
-SUMIFS(Transactions!$I$3:$I101,Transactions!$H$3:$H101,"Transfer Send",Transactions!$F$3:$F101,"Stablecoin",Transactions!$A$3:$A101,S$65,Transactions!$D$3:$D101,$N87)
-SUMIFS(Transactions!$I$3:$I101,Transactions!$H$3:$H101,"Sell",Transactions!$F$3:$F101,"Stablecoin",Transactions!$A$3:$A101,S$65,Transactions!$D$3:$D101,$N87)
-SUMIFS(Transactions!$M$3:$M101,Transactions!$H$3:$H101,"Buy",Transactions!$A$3:$A101,S$65,Transactions!$B$3:$B101,$N87))</f>
        <v/>
      </c>
      <c r="T87" s="158" t="str">
        <f>IF(OR(ISBLANK($N87),ISBLANK(T$65)),"",
SUMIFS(Transactions!$I$3:$I101,Transactions!$H$3:$H101,"Buy",Transactions!$F$3:$F101,"Crypto",Transactions!$A$3:$A101,T$65,Transactions!$D$3:$D101,$N87)
+SUMIFS(Transactions!$I$3:$I101,Transactions!$H$3:$H101,"Crypto Interest",Transactions!$F$3:$F101,"Crypto",Transactions!$A$3:$A101,T$65,Transactions!$D$3:$D101,$N87)
+SUMIFS(Transactions!$I$3:$I101,Transactions!$H$3:$H101,"Transfer Deposit",Transactions!$F$3:$F101,"Crypto",Transactions!$A$3:$A101,T$65,Transactions!$D$3:$D101,$N87)
-SUMIFS(Transactions!$I$3:$I101,Transactions!$H$3:$H101,"Transfer Send",Transactions!$F$3:$F101,"Crypto",Transactions!$A$3:$A101,T$65,Transactions!$D$3:$D101,$N87)
-SUMIFS(Transactions!$I$3:$I101,Transactions!$H$3:$H101,"Sell",Transactions!$F$3:$F101,"Crypto",Transactions!$A$3:$A101,T$65,Transactions!$D$3:$D101,$N87)
+SUMIFS(Transactions!$I$3:$I101,Transactions!$H$3:$H101,"Buy",Transactions!$F$3:$F101,"Stablecoin",Transactions!$A$3:$A101,T$65,Transactions!$D$3:$D101,$N87)
+SUMIFS(Transactions!$I$3:$I101,Transactions!$H$3:$H101,"Crypto Interest",Transactions!$F$3:$F101,"Stablecoin",Transactions!$A$3:$A101,T$65,Transactions!$D$3:$D101,$N87)
+SUMIFS(Transactions!$I$3:$I101,Transactions!$H$3:$H101,"Transfer Deposit",Transactions!$F$3:$F101,"Stablecoin",Transactions!$A$3:$A101,T$65,Transactions!$D$3:$D101,$N87)
-SUMIFS(Transactions!$I$3:$I101,Transactions!$H$3:$H101,"Transfer Send",Transactions!$F$3:$F101,"Stablecoin",Transactions!$A$3:$A101,T$65,Transactions!$D$3:$D101,$N87)
-SUMIFS(Transactions!$I$3:$I101,Transactions!$H$3:$H101,"Sell",Transactions!$F$3:$F101,"Stablecoin",Transactions!$A$3:$A101,T$65,Transactions!$D$3:$D101,$N87)
-SUMIFS(Transactions!$M$3:$M101,Transactions!$H$3:$H101,"Buy",Transactions!$A$3:$A101,T$65,Transactions!$B$3:$B101,$N87))</f>
        <v/>
      </c>
      <c r="U87" s="158" t="str">
        <f>IF(OR(ISBLANK($N87),ISBLANK(U$65)),"",
SUMIFS(Transactions!$I$3:$I101,Transactions!$H$3:$H101,"Buy",Transactions!$F$3:$F101,"Crypto",Transactions!$A$3:$A101,U$65,Transactions!$D$3:$D101,$N87)
+SUMIFS(Transactions!$I$3:$I101,Transactions!$H$3:$H101,"Crypto Interest",Transactions!$F$3:$F101,"Crypto",Transactions!$A$3:$A101,U$65,Transactions!$D$3:$D101,$N87)
+SUMIFS(Transactions!$I$3:$I101,Transactions!$H$3:$H101,"Transfer Deposit",Transactions!$F$3:$F101,"Crypto",Transactions!$A$3:$A101,U$65,Transactions!$D$3:$D101,$N87)
-SUMIFS(Transactions!$I$3:$I101,Transactions!$H$3:$H101,"Transfer Send",Transactions!$F$3:$F101,"Crypto",Transactions!$A$3:$A101,U$65,Transactions!$D$3:$D101,$N87)
-SUMIFS(Transactions!$I$3:$I101,Transactions!$H$3:$H101,"Sell",Transactions!$F$3:$F101,"Crypto",Transactions!$A$3:$A101,U$65,Transactions!$D$3:$D101,$N87)
+SUMIFS(Transactions!$I$3:$I101,Transactions!$H$3:$H101,"Buy",Transactions!$F$3:$F101,"Stablecoin",Transactions!$A$3:$A101,U$65,Transactions!$D$3:$D101,$N87)
+SUMIFS(Transactions!$I$3:$I101,Transactions!$H$3:$H101,"Crypto Interest",Transactions!$F$3:$F101,"Stablecoin",Transactions!$A$3:$A101,U$65,Transactions!$D$3:$D101,$N87)
+SUMIFS(Transactions!$I$3:$I101,Transactions!$H$3:$H101,"Transfer Deposit",Transactions!$F$3:$F101,"Stablecoin",Transactions!$A$3:$A101,U$65,Transactions!$D$3:$D101,$N87)
-SUMIFS(Transactions!$I$3:$I101,Transactions!$H$3:$H101,"Transfer Send",Transactions!$F$3:$F101,"Stablecoin",Transactions!$A$3:$A101,U$65,Transactions!$D$3:$D101,$N87)
-SUMIFS(Transactions!$I$3:$I101,Transactions!$H$3:$H101,"Sell",Transactions!$F$3:$F101,"Stablecoin",Transactions!$A$3:$A101,U$65,Transactions!$D$3:$D101,$N87)
-SUMIFS(Transactions!$M$3:$M101,Transactions!$H$3:$H101,"Buy",Transactions!$A$3:$A101,U$65,Transactions!$B$3:$B101,$N87))</f>
        <v/>
      </c>
      <c r="V87" s="158"/>
      <c r="W87" s="95"/>
      <c r="X87" s="96"/>
      <c r="Y87" s="96" t="str">
        <f>IFERROR(__xludf.DUMMYFUNCTION("IF(ISBLANK(W87),"""",QUERY(GOOGLEFINANCE($N$21,""Close"",W87-5,6),""select Col2 where Col1 &lt; date '""&amp;TEXT(W87+1, ""YYYY-MM-DD"")&amp;""' order by Col1 desc limit 1"",False)
)"),"")</f>
        <v/>
      </c>
      <c r="Z87" s="158"/>
    </row>
    <row r="88">
      <c r="A88" s="14"/>
      <c r="B88" s="149"/>
      <c r="C88" s="156" t="str">
        <f>IF(ISBLANK(B88),"",SUMIF(Portfolio!$A:$A,B88,Portfolio!$C:$C))</f>
        <v/>
      </c>
      <c r="D88" s="145" t="str">
        <f>IF(ISBLANK(B88),"",AVERAGEIF(Portfolio!$A:$A,B88,Portfolio!$D:$D))</f>
        <v/>
      </c>
      <c r="F88" s="145" t="str">
        <f>IF(ISBLANK(B88),"",VLOOKUP(B88,Portfolio!$A:$E,5,0))</f>
        <v/>
      </c>
      <c r="G88" s="145" t="str">
        <f>IF(ISBLANK(B88),"",IFERROR(((C88-SUMIFS(Transactions!I:I,Transactions!H:H,"Crypto Interest",Transactions!E:E,B88))*D88),""))</f>
        <v/>
      </c>
      <c r="H88" s="145" t="str">
        <f t="shared" si="11"/>
        <v/>
      </c>
      <c r="I88" s="50" t="str">
        <f t="shared" si="12"/>
        <v/>
      </c>
      <c r="J88" s="145" t="str">
        <f t="shared" si="13"/>
        <v/>
      </c>
      <c r="K88" s="145" t="str">
        <f>IF(ISBLANK(B88),"",SUMIF(Portfolio!$A:$A,B88,Portfolio!$Q:$Q))</f>
        <v/>
      </c>
      <c r="L88" s="145" t="str">
        <f t="shared" si="14"/>
        <v/>
      </c>
      <c r="M88" s="14"/>
      <c r="N88" s="157"/>
      <c r="O88" s="158" t="str">
        <f>IF(OR(ISBLANK($N88),ISBLANK(O$65)),"",
SUMIFS(Transactions!$I$3:$I101,Transactions!$H$3:$H101,"Buy",Transactions!$F$3:$F101,"Crypto",Transactions!$A$3:$A101,O$65,Transactions!$D$3:$D101,$N88)
+SUMIFS(Transactions!$I$3:$I101,Transactions!$H$3:$H101,"Crypto Interest",Transactions!$F$3:$F101,"Crypto",Transactions!$A$3:$A101,O$65,Transactions!$D$3:$D101,$N88)
+SUMIFS(Transactions!$I$3:$I101,Transactions!$H$3:$H101,"Transfer Deposit",Transactions!$F$3:$F101,"Crypto",Transactions!$A$3:$A101,O$65,Transactions!$D$3:$D101,$N88)
-SUMIFS(Transactions!$I$3:$I101,Transactions!$H$3:$H101,"Transfer Send",Transactions!$F$3:$F101,"Crypto",Transactions!$A$3:$A101,O$65,Transactions!$D$3:$D101,$N88)
-SUMIFS(Transactions!$I$3:$I101,Transactions!$H$3:$H101,"Sell",Transactions!$F$3:$F101,"Crypto",Transactions!$A$3:$A101,O$65,Transactions!$D$3:$D101,$N88)
+SUMIFS(Transactions!$I$3:$I101,Transactions!$H$3:$H101,"Buy",Transactions!$F$3:$F101,"Stablecoin",Transactions!$A$3:$A101,O$65,Transactions!$D$3:$D101,$N88)
+SUMIFS(Transactions!$I$3:$I101,Transactions!$H$3:$H101,"Crypto Interest",Transactions!$F$3:$F101,"Stablecoin",Transactions!$A$3:$A101,O$65,Transactions!$D$3:$D101,$N88)
+SUMIFS(Transactions!$I$3:$I101,Transactions!$H$3:$H101,"Transfer Deposit",Transactions!$F$3:$F101,"Stablecoin",Transactions!$A$3:$A101,O$65,Transactions!$D$3:$D101,$N88)
-SUMIFS(Transactions!$I$3:$I101,Transactions!$H$3:$H101,"Transfer Send",Transactions!$F$3:$F101,"Stablecoin",Transactions!$A$3:$A101,O$65,Transactions!$D$3:$D101,$N88)
-SUMIFS(Transactions!$I$3:$I101,Transactions!$H$3:$H101,"Sell",Transactions!$F$3:$F101,"Stablecoin",Transactions!$A$3:$A101,O$65,Transactions!$D$3:$D101,$N88)
-SUMIFS(Transactions!$M$3:$M101,Transactions!$H$3:$H101,"Buy",Transactions!$A$3:$A101,O$65,Transactions!$B$3:$B101,$N88))</f>
        <v/>
      </c>
      <c r="P88" s="158" t="str">
        <f>IF(OR(ISBLANK($N88),ISBLANK(P$65)),"",
SUMIFS(Transactions!$I$3:$I101,Transactions!$H$3:$H101,"Buy",Transactions!$F$3:$F101,"Crypto",Transactions!$A$3:$A101,P$65,Transactions!$D$3:$D101,$N88)
+SUMIFS(Transactions!$I$3:$I101,Transactions!$H$3:$H101,"Crypto Interest",Transactions!$F$3:$F101,"Crypto",Transactions!$A$3:$A101,P$65,Transactions!$D$3:$D101,$N88)
+SUMIFS(Transactions!$I$3:$I101,Transactions!$H$3:$H101,"Transfer Deposit",Transactions!$F$3:$F101,"Crypto",Transactions!$A$3:$A101,P$65,Transactions!$D$3:$D101,$N88)
-SUMIFS(Transactions!$I$3:$I101,Transactions!$H$3:$H101,"Transfer Send",Transactions!$F$3:$F101,"Crypto",Transactions!$A$3:$A101,P$65,Transactions!$D$3:$D101,$N88)
-SUMIFS(Transactions!$I$3:$I101,Transactions!$H$3:$H101,"Sell",Transactions!$F$3:$F101,"Crypto",Transactions!$A$3:$A101,P$65,Transactions!$D$3:$D101,$N88)
+SUMIFS(Transactions!$I$3:$I101,Transactions!$H$3:$H101,"Buy",Transactions!$F$3:$F101,"Stablecoin",Transactions!$A$3:$A101,P$65,Transactions!$D$3:$D101,$N88)
+SUMIFS(Transactions!$I$3:$I101,Transactions!$H$3:$H101,"Crypto Interest",Transactions!$F$3:$F101,"Stablecoin",Transactions!$A$3:$A101,P$65,Transactions!$D$3:$D101,$N88)
+SUMIFS(Transactions!$I$3:$I101,Transactions!$H$3:$H101,"Transfer Deposit",Transactions!$F$3:$F101,"Stablecoin",Transactions!$A$3:$A101,P$65,Transactions!$D$3:$D101,$N88)
-SUMIFS(Transactions!$I$3:$I101,Transactions!$H$3:$H101,"Transfer Send",Transactions!$F$3:$F101,"Stablecoin",Transactions!$A$3:$A101,P$65,Transactions!$D$3:$D101,$N88)
-SUMIFS(Transactions!$I$3:$I101,Transactions!$H$3:$H101,"Sell",Transactions!$F$3:$F101,"Stablecoin",Transactions!$A$3:$A101,P$65,Transactions!$D$3:$D101,$N88)
-SUMIFS(Transactions!$M$3:$M101,Transactions!$H$3:$H101,"Buy",Transactions!$A$3:$A101,P$65,Transactions!$B$3:$B101,$N88))</f>
        <v/>
      </c>
      <c r="Q88" s="158" t="str">
        <f>IF(OR(ISBLANK($N88),ISBLANK(Q$65)),"",
SUMIFS(Transactions!$I$3:$I101,Transactions!$H$3:$H101,"Buy",Transactions!$F$3:$F101,"Crypto",Transactions!$A$3:$A101,Q$65,Transactions!$D$3:$D101,$N88)
+SUMIFS(Transactions!$I$3:$I101,Transactions!$H$3:$H101,"Crypto Interest",Transactions!$F$3:$F101,"Crypto",Transactions!$A$3:$A101,Q$65,Transactions!$D$3:$D101,$N88)
+SUMIFS(Transactions!$I$3:$I101,Transactions!$H$3:$H101,"Transfer Deposit",Transactions!$F$3:$F101,"Crypto",Transactions!$A$3:$A101,Q$65,Transactions!$D$3:$D101,$N88)
-SUMIFS(Transactions!$I$3:$I101,Transactions!$H$3:$H101,"Transfer Send",Transactions!$F$3:$F101,"Crypto",Transactions!$A$3:$A101,Q$65,Transactions!$D$3:$D101,$N88)
-SUMIFS(Transactions!$I$3:$I101,Transactions!$H$3:$H101,"Sell",Transactions!$F$3:$F101,"Crypto",Transactions!$A$3:$A101,Q$65,Transactions!$D$3:$D101,$N88)
+SUMIFS(Transactions!$I$3:$I101,Transactions!$H$3:$H101,"Buy",Transactions!$F$3:$F101,"Stablecoin",Transactions!$A$3:$A101,Q$65,Transactions!$D$3:$D101,$N88)
+SUMIFS(Transactions!$I$3:$I101,Transactions!$H$3:$H101,"Crypto Interest",Transactions!$F$3:$F101,"Stablecoin",Transactions!$A$3:$A101,Q$65,Transactions!$D$3:$D101,$N88)
+SUMIFS(Transactions!$I$3:$I101,Transactions!$H$3:$H101,"Transfer Deposit",Transactions!$F$3:$F101,"Stablecoin",Transactions!$A$3:$A101,Q$65,Transactions!$D$3:$D101,$N88)
-SUMIFS(Transactions!$I$3:$I101,Transactions!$H$3:$H101,"Transfer Send",Transactions!$F$3:$F101,"Stablecoin",Transactions!$A$3:$A101,Q$65,Transactions!$D$3:$D101,$N88)
-SUMIFS(Transactions!$I$3:$I101,Transactions!$H$3:$H101,"Sell",Transactions!$F$3:$F101,"Stablecoin",Transactions!$A$3:$A101,Q$65,Transactions!$D$3:$D101,$N88)
-SUMIFS(Transactions!$M$3:$M101,Transactions!$H$3:$H101,"Buy",Transactions!$A$3:$A101,Q$65,Transactions!$B$3:$B101,$N88))</f>
        <v/>
      </c>
      <c r="R88" s="158" t="str">
        <f>IF(OR(ISBLANK($N88),ISBLANK(R$65)),"",
SUMIFS(Transactions!$I$3:$I101,Transactions!$H$3:$H101,"Buy",Transactions!$F$3:$F101,"Crypto",Transactions!$A$3:$A101,R$65,Transactions!$D$3:$D101,$N88)
+SUMIFS(Transactions!$I$3:$I101,Transactions!$H$3:$H101,"Crypto Interest",Transactions!$F$3:$F101,"Crypto",Transactions!$A$3:$A101,R$65,Transactions!$D$3:$D101,$N88)
+SUMIFS(Transactions!$I$3:$I101,Transactions!$H$3:$H101,"Transfer Deposit",Transactions!$F$3:$F101,"Crypto",Transactions!$A$3:$A101,R$65,Transactions!$D$3:$D101,$N88)
-SUMIFS(Transactions!$I$3:$I101,Transactions!$H$3:$H101,"Transfer Send",Transactions!$F$3:$F101,"Crypto",Transactions!$A$3:$A101,R$65,Transactions!$D$3:$D101,$N88)
-SUMIFS(Transactions!$I$3:$I101,Transactions!$H$3:$H101,"Sell",Transactions!$F$3:$F101,"Crypto",Transactions!$A$3:$A101,R$65,Transactions!$D$3:$D101,$N88)
+SUMIFS(Transactions!$I$3:$I101,Transactions!$H$3:$H101,"Buy",Transactions!$F$3:$F101,"Stablecoin",Transactions!$A$3:$A101,R$65,Transactions!$D$3:$D101,$N88)
+SUMIFS(Transactions!$I$3:$I101,Transactions!$H$3:$H101,"Crypto Interest",Transactions!$F$3:$F101,"Stablecoin",Transactions!$A$3:$A101,R$65,Transactions!$D$3:$D101,$N88)
+SUMIFS(Transactions!$I$3:$I101,Transactions!$H$3:$H101,"Transfer Deposit",Transactions!$F$3:$F101,"Stablecoin",Transactions!$A$3:$A101,R$65,Transactions!$D$3:$D101,$N88)
-SUMIFS(Transactions!$I$3:$I101,Transactions!$H$3:$H101,"Transfer Send",Transactions!$F$3:$F101,"Stablecoin",Transactions!$A$3:$A101,R$65,Transactions!$D$3:$D101,$N88)
-SUMIFS(Transactions!$I$3:$I101,Transactions!$H$3:$H101,"Sell",Transactions!$F$3:$F101,"Stablecoin",Transactions!$A$3:$A101,R$65,Transactions!$D$3:$D101,$N88)
-SUMIFS(Transactions!$M$3:$M101,Transactions!$H$3:$H101,"Buy",Transactions!$A$3:$A101,R$65,Transactions!$B$3:$B101,$N88))</f>
        <v/>
      </c>
      <c r="S88" s="158" t="str">
        <f>IF(OR(ISBLANK($N88),ISBLANK(S$65)),"",
SUMIFS(Transactions!$I$3:$I101,Transactions!$H$3:$H101,"Buy",Transactions!$F$3:$F101,"Crypto",Transactions!$A$3:$A101,S$65,Transactions!$D$3:$D101,$N88)
+SUMIFS(Transactions!$I$3:$I101,Transactions!$H$3:$H101,"Crypto Interest",Transactions!$F$3:$F101,"Crypto",Transactions!$A$3:$A101,S$65,Transactions!$D$3:$D101,$N88)
+SUMIFS(Transactions!$I$3:$I101,Transactions!$H$3:$H101,"Transfer Deposit",Transactions!$F$3:$F101,"Crypto",Transactions!$A$3:$A101,S$65,Transactions!$D$3:$D101,$N88)
-SUMIFS(Transactions!$I$3:$I101,Transactions!$H$3:$H101,"Transfer Send",Transactions!$F$3:$F101,"Crypto",Transactions!$A$3:$A101,S$65,Transactions!$D$3:$D101,$N88)
-SUMIFS(Transactions!$I$3:$I101,Transactions!$H$3:$H101,"Sell",Transactions!$F$3:$F101,"Crypto",Transactions!$A$3:$A101,S$65,Transactions!$D$3:$D101,$N88)
+SUMIFS(Transactions!$I$3:$I101,Transactions!$H$3:$H101,"Buy",Transactions!$F$3:$F101,"Stablecoin",Transactions!$A$3:$A101,S$65,Transactions!$D$3:$D101,$N88)
+SUMIFS(Transactions!$I$3:$I101,Transactions!$H$3:$H101,"Crypto Interest",Transactions!$F$3:$F101,"Stablecoin",Transactions!$A$3:$A101,S$65,Transactions!$D$3:$D101,$N88)
+SUMIFS(Transactions!$I$3:$I101,Transactions!$H$3:$H101,"Transfer Deposit",Transactions!$F$3:$F101,"Stablecoin",Transactions!$A$3:$A101,S$65,Transactions!$D$3:$D101,$N88)
-SUMIFS(Transactions!$I$3:$I101,Transactions!$H$3:$H101,"Transfer Send",Transactions!$F$3:$F101,"Stablecoin",Transactions!$A$3:$A101,S$65,Transactions!$D$3:$D101,$N88)
-SUMIFS(Transactions!$I$3:$I101,Transactions!$H$3:$H101,"Sell",Transactions!$F$3:$F101,"Stablecoin",Transactions!$A$3:$A101,S$65,Transactions!$D$3:$D101,$N88)
-SUMIFS(Transactions!$M$3:$M101,Transactions!$H$3:$H101,"Buy",Transactions!$A$3:$A101,S$65,Transactions!$B$3:$B101,$N88))</f>
        <v/>
      </c>
      <c r="T88" s="158" t="str">
        <f>IF(OR(ISBLANK($N88),ISBLANK(T$65)),"",
SUMIFS(Transactions!$I$3:$I101,Transactions!$H$3:$H101,"Buy",Transactions!$F$3:$F101,"Crypto",Transactions!$A$3:$A101,T$65,Transactions!$D$3:$D101,$N88)
+SUMIFS(Transactions!$I$3:$I101,Transactions!$H$3:$H101,"Crypto Interest",Transactions!$F$3:$F101,"Crypto",Transactions!$A$3:$A101,T$65,Transactions!$D$3:$D101,$N88)
+SUMIFS(Transactions!$I$3:$I101,Transactions!$H$3:$H101,"Transfer Deposit",Transactions!$F$3:$F101,"Crypto",Transactions!$A$3:$A101,T$65,Transactions!$D$3:$D101,$N88)
-SUMIFS(Transactions!$I$3:$I101,Transactions!$H$3:$H101,"Transfer Send",Transactions!$F$3:$F101,"Crypto",Transactions!$A$3:$A101,T$65,Transactions!$D$3:$D101,$N88)
-SUMIFS(Transactions!$I$3:$I101,Transactions!$H$3:$H101,"Sell",Transactions!$F$3:$F101,"Crypto",Transactions!$A$3:$A101,T$65,Transactions!$D$3:$D101,$N88)
+SUMIFS(Transactions!$I$3:$I101,Transactions!$H$3:$H101,"Buy",Transactions!$F$3:$F101,"Stablecoin",Transactions!$A$3:$A101,T$65,Transactions!$D$3:$D101,$N88)
+SUMIFS(Transactions!$I$3:$I101,Transactions!$H$3:$H101,"Crypto Interest",Transactions!$F$3:$F101,"Stablecoin",Transactions!$A$3:$A101,T$65,Transactions!$D$3:$D101,$N88)
+SUMIFS(Transactions!$I$3:$I101,Transactions!$H$3:$H101,"Transfer Deposit",Transactions!$F$3:$F101,"Stablecoin",Transactions!$A$3:$A101,T$65,Transactions!$D$3:$D101,$N88)
-SUMIFS(Transactions!$I$3:$I101,Transactions!$H$3:$H101,"Transfer Send",Transactions!$F$3:$F101,"Stablecoin",Transactions!$A$3:$A101,T$65,Transactions!$D$3:$D101,$N88)
-SUMIFS(Transactions!$I$3:$I101,Transactions!$H$3:$H101,"Sell",Transactions!$F$3:$F101,"Stablecoin",Transactions!$A$3:$A101,T$65,Transactions!$D$3:$D101,$N88)
-SUMIFS(Transactions!$M$3:$M101,Transactions!$H$3:$H101,"Buy",Transactions!$A$3:$A101,T$65,Transactions!$B$3:$B101,$N88))</f>
        <v/>
      </c>
      <c r="U88" s="158" t="str">
        <f>IF(OR(ISBLANK($N88),ISBLANK(U$65)),"",
SUMIFS(Transactions!$I$3:$I101,Transactions!$H$3:$H101,"Buy",Transactions!$F$3:$F101,"Crypto",Transactions!$A$3:$A101,U$65,Transactions!$D$3:$D101,$N88)
+SUMIFS(Transactions!$I$3:$I101,Transactions!$H$3:$H101,"Crypto Interest",Transactions!$F$3:$F101,"Crypto",Transactions!$A$3:$A101,U$65,Transactions!$D$3:$D101,$N88)
+SUMIFS(Transactions!$I$3:$I101,Transactions!$H$3:$H101,"Transfer Deposit",Transactions!$F$3:$F101,"Crypto",Transactions!$A$3:$A101,U$65,Transactions!$D$3:$D101,$N88)
-SUMIFS(Transactions!$I$3:$I101,Transactions!$H$3:$H101,"Transfer Send",Transactions!$F$3:$F101,"Crypto",Transactions!$A$3:$A101,U$65,Transactions!$D$3:$D101,$N88)
-SUMIFS(Transactions!$I$3:$I101,Transactions!$H$3:$H101,"Sell",Transactions!$F$3:$F101,"Crypto",Transactions!$A$3:$A101,U$65,Transactions!$D$3:$D101,$N88)
+SUMIFS(Transactions!$I$3:$I101,Transactions!$H$3:$H101,"Buy",Transactions!$F$3:$F101,"Stablecoin",Transactions!$A$3:$A101,U$65,Transactions!$D$3:$D101,$N88)
+SUMIFS(Transactions!$I$3:$I101,Transactions!$H$3:$H101,"Crypto Interest",Transactions!$F$3:$F101,"Stablecoin",Transactions!$A$3:$A101,U$65,Transactions!$D$3:$D101,$N88)
+SUMIFS(Transactions!$I$3:$I101,Transactions!$H$3:$H101,"Transfer Deposit",Transactions!$F$3:$F101,"Stablecoin",Transactions!$A$3:$A101,U$65,Transactions!$D$3:$D101,$N88)
-SUMIFS(Transactions!$I$3:$I101,Transactions!$H$3:$H101,"Transfer Send",Transactions!$F$3:$F101,"Stablecoin",Transactions!$A$3:$A101,U$65,Transactions!$D$3:$D101,$N88)
-SUMIFS(Transactions!$I$3:$I101,Transactions!$H$3:$H101,"Sell",Transactions!$F$3:$F101,"Stablecoin",Transactions!$A$3:$A101,U$65,Transactions!$D$3:$D101,$N88)
-SUMIFS(Transactions!$M$3:$M101,Transactions!$H$3:$H101,"Buy",Transactions!$A$3:$A101,U$65,Transactions!$B$3:$B101,$N88))</f>
        <v/>
      </c>
      <c r="V88" s="158"/>
      <c r="W88" s="95"/>
      <c r="X88" s="96"/>
      <c r="Y88" s="96" t="str">
        <f>IFERROR(__xludf.DUMMYFUNCTION("IF(ISBLANK(W88),"""",QUERY(GOOGLEFINANCE($N$21,""Close"",W88-5,6),""select Col2 where Col1 &lt; date '""&amp;TEXT(W88+1, ""YYYY-MM-DD"")&amp;""' order by Col1 desc limit 1"",False)
)"),"")</f>
        <v/>
      </c>
      <c r="Z88" s="158"/>
    </row>
    <row r="89">
      <c r="A89" s="14"/>
      <c r="B89" s="149"/>
      <c r="C89" s="145" t="str">
        <f>IF(ISBLANK(B89),"",SUMIF(Portfolio!$A:$A,B89,Portfolio!$C:$C))</f>
        <v/>
      </c>
      <c r="D89" s="145" t="str">
        <f>IF(ISBLANK(B89),"",AVERAGEIF(Portfolio!$A:$A,B89,Portfolio!$D:$D))</f>
        <v/>
      </c>
      <c r="F89" s="145" t="str">
        <f>IF(ISBLANK(B89),"",VLOOKUP(B89,Portfolio!$A:$E,5,0))</f>
        <v/>
      </c>
      <c r="G89" s="145" t="str">
        <f>IF(ISBLANK(B89),"",IFERROR(((C89-SUMIFS(Transactions!I:I,Transactions!H:H,"Crypto Interest",Transactions!E:E,B89))*D89),""))</f>
        <v/>
      </c>
      <c r="H89" s="145" t="str">
        <f t="shared" si="11"/>
        <v/>
      </c>
      <c r="I89" s="145" t="str">
        <f t="shared" si="12"/>
        <v/>
      </c>
      <c r="J89" s="145" t="str">
        <f t="shared" si="13"/>
        <v/>
      </c>
      <c r="K89" s="145" t="str">
        <f>IF(ISBLANK(B89),"",SUMIF(Portfolio!$A:$A,B89,Portfolio!$Q:$Q))</f>
        <v/>
      </c>
      <c r="L89" s="145" t="str">
        <f t="shared" si="14"/>
        <v/>
      </c>
      <c r="M89" s="14"/>
      <c r="N89" s="157"/>
      <c r="O89" s="158" t="str">
        <f>IF(OR(ISBLANK($N89),ISBLANK(O$65)),"",
SUMIFS(Transactions!$I$3:$I101,Transactions!$H$3:$H101,"Buy",Transactions!$F$3:$F101,"Crypto",Transactions!$A$3:$A101,O$65,Transactions!$D$3:$D101,$N89)
+SUMIFS(Transactions!$I$3:$I101,Transactions!$H$3:$H101,"Crypto Interest",Transactions!$F$3:$F101,"Crypto",Transactions!$A$3:$A101,O$65,Transactions!$D$3:$D101,$N89)
+SUMIFS(Transactions!$I$3:$I101,Transactions!$H$3:$H101,"Transfer Deposit",Transactions!$F$3:$F101,"Crypto",Transactions!$A$3:$A101,O$65,Transactions!$D$3:$D101,$N89)
-SUMIFS(Transactions!$I$3:$I101,Transactions!$H$3:$H101,"Transfer Send",Transactions!$F$3:$F101,"Crypto",Transactions!$A$3:$A101,O$65,Transactions!$D$3:$D101,$N89)
-SUMIFS(Transactions!$I$3:$I101,Transactions!$H$3:$H101,"Sell",Transactions!$F$3:$F101,"Crypto",Transactions!$A$3:$A101,O$65,Transactions!$D$3:$D101,$N89)
+SUMIFS(Transactions!$I$3:$I101,Transactions!$H$3:$H101,"Buy",Transactions!$F$3:$F101,"Stablecoin",Transactions!$A$3:$A101,O$65,Transactions!$D$3:$D101,$N89)
+SUMIFS(Transactions!$I$3:$I101,Transactions!$H$3:$H101,"Crypto Interest",Transactions!$F$3:$F101,"Stablecoin",Transactions!$A$3:$A101,O$65,Transactions!$D$3:$D101,$N89)
+SUMIFS(Transactions!$I$3:$I101,Transactions!$H$3:$H101,"Transfer Deposit",Transactions!$F$3:$F101,"Stablecoin",Transactions!$A$3:$A101,O$65,Transactions!$D$3:$D101,$N89)
-SUMIFS(Transactions!$I$3:$I101,Transactions!$H$3:$H101,"Transfer Send",Transactions!$F$3:$F101,"Stablecoin",Transactions!$A$3:$A101,O$65,Transactions!$D$3:$D101,$N89)
-SUMIFS(Transactions!$I$3:$I101,Transactions!$H$3:$H101,"Sell",Transactions!$F$3:$F101,"Stablecoin",Transactions!$A$3:$A101,O$65,Transactions!$D$3:$D101,$N89)
-SUMIFS(Transactions!$M$3:$M101,Transactions!$H$3:$H101,"Buy",Transactions!$A$3:$A101,O$65,Transactions!$B$3:$B101,$N89))</f>
        <v/>
      </c>
      <c r="P89" s="158" t="str">
        <f>IF(OR(ISBLANK($N89),ISBLANK(P$65)),"",
SUMIFS(Transactions!$I$3:$I101,Transactions!$H$3:$H101,"Buy",Transactions!$F$3:$F101,"Crypto",Transactions!$A$3:$A101,P$65,Transactions!$D$3:$D101,$N89)
+SUMIFS(Transactions!$I$3:$I101,Transactions!$H$3:$H101,"Crypto Interest",Transactions!$F$3:$F101,"Crypto",Transactions!$A$3:$A101,P$65,Transactions!$D$3:$D101,$N89)
+SUMIFS(Transactions!$I$3:$I101,Transactions!$H$3:$H101,"Transfer Deposit",Transactions!$F$3:$F101,"Crypto",Transactions!$A$3:$A101,P$65,Transactions!$D$3:$D101,$N89)
-SUMIFS(Transactions!$I$3:$I101,Transactions!$H$3:$H101,"Transfer Send",Transactions!$F$3:$F101,"Crypto",Transactions!$A$3:$A101,P$65,Transactions!$D$3:$D101,$N89)
-SUMIFS(Transactions!$I$3:$I101,Transactions!$H$3:$H101,"Sell",Transactions!$F$3:$F101,"Crypto",Transactions!$A$3:$A101,P$65,Transactions!$D$3:$D101,$N89)
+SUMIFS(Transactions!$I$3:$I101,Transactions!$H$3:$H101,"Buy",Transactions!$F$3:$F101,"Stablecoin",Transactions!$A$3:$A101,P$65,Transactions!$D$3:$D101,$N89)
+SUMIFS(Transactions!$I$3:$I101,Transactions!$H$3:$H101,"Crypto Interest",Transactions!$F$3:$F101,"Stablecoin",Transactions!$A$3:$A101,P$65,Transactions!$D$3:$D101,$N89)
+SUMIFS(Transactions!$I$3:$I101,Transactions!$H$3:$H101,"Transfer Deposit",Transactions!$F$3:$F101,"Stablecoin",Transactions!$A$3:$A101,P$65,Transactions!$D$3:$D101,$N89)
-SUMIFS(Transactions!$I$3:$I101,Transactions!$H$3:$H101,"Transfer Send",Transactions!$F$3:$F101,"Stablecoin",Transactions!$A$3:$A101,P$65,Transactions!$D$3:$D101,$N89)
-SUMIFS(Transactions!$I$3:$I101,Transactions!$H$3:$H101,"Sell",Transactions!$F$3:$F101,"Stablecoin",Transactions!$A$3:$A101,P$65,Transactions!$D$3:$D101,$N89)
-SUMIFS(Transactions!$M$3:$M101,Transactions!$H$3:$H101,"Buy",Transactions!$A$3:$A101,P$65,Transactions!$B$3:$B101,$N89))</f>
        <v/>
      </c>
      <c r="Q89" s="158" t="str">
        <f>IF(OR(ISBLANK($N89),ISBLANK(Q$65)),"",
SUMIFS(Transactions!$I$3:$I101,Transactions!$H$3:$H101,"Buy",Transactions!$F$3:$F101,"Crypto",Transactions!$A$3:$A101,Q$65,Transactions!$D$3:$D101,$N89)
+SUMIFS(Transactions!$I$3:$I101,Transactions!$H$3:$H101,"Crypto Interest",Transactions!$F$3:$F101,"Crypto",Transactions!$A$3:$A101,Q$65,Transactions!$D$3:$D101,$N89)
+SUMIFS(Transactions!$I$3:$I101,Transactions!$H$3:$H101,"Transfer Deposit",Transactions!$F$3:$F101,"Crypto",Transactions!$A$3:$A101,Q$65,Transactions!$D$3:$D101,$N89)
-SUMIFS(Transactions!$I$3:$I101,Transactions!$H$3:$H101,"Transfer Send",Transactions!$F$3:$F101,"Crypto",Transactions!$A$3:$A101,Q$65,Transactions!$D$3:$D101,$N89)
-SUMIFS(Transactions!$I$3:$I101,Transactions!$H$3:$H101,"Sell",Transactions!$F$3:$F101,"Crypto",Transactions!$A$3:$A101,Q$65,Transactions!$D$3:$D101,$N89)
+SUMIFS(Transactions!$I$3:$I101,Transactions!$H$3:$H101,"Buy",Transactions!$F$3:$F101,"Stablecoin",Transactions!$A$3:$A101,Q$65,Transactions!$D$3:$D101,$N89)
+SUMIFS(Transactions!$I$3:$I101,Transactions!$H$3:$H101,"Crypto Interest",Transactions!$F$3:$F101,"Stablecoin",Transactions!$A$3:$A101,Q$65,Transactions!$D$3:$D101,$N89)
+SUMIFS(Transactions!$I$3:$I101,Transactions!$H$3:$H101,"Transfer Deposit",Transactions!$F$3:$F101,"Stablecoin",Transactions!$A$3:$A101,Q$65,Transactions!$D$3:$D101,$N89)
-SUMIFS(Transactions!$I$3:$I101,Transactions!$H$3:$H101,"Transfer Send",Transactions!$F$3:$F101,"Stablecoin",Transactions!$A$3:$A101,Q$65,Transactions!$D$3:$D101,$N89)
-SUMIFS(Transactions!$I$3:$I101,Transactions!$H$3:$H101,"Sell",Transactions!$F$3:$F101,"Stablecoin",Transactions!$A$3:$A101,Q$65,Transactions!$D$3:$D101,$N89)
-SUMIFS(Transactions!$M$3:$M101,Transactions!$H$3:$H101,"Buy",Transactions!$A$3:$A101,Q$65,Transactions!$B$3:$B101,$N89))</f>
        <v/>
      </c>
      <c r="R89" s="158" t="str">
        <f>IF(OR(ISBLANK($N89),ISBLANK(R$65)),"",
SUMIFS(Transactions!$I$3:$I101,Transactions!$H$3:$H101,"Buy",Transactions!$F$3:$F101,"Crypto",Transactions!$A$3:$A101,R$65,Transactions!$D$3:$D101,$N89)
+SUMIFS(Transactions!$I$3:$I101,Transactions!$H$3:$H101,"Crypto Interest",Transactions!$F$3:$F101,"Crypto",Transactions!$A$3:$A101,R$65,Transactions!$D$3:$D101,$N89)
+SUMIFS(Transactions!$I$3:$I101,Transactions!$H$3:$H101,"Transfer Deposit",Transactions!$F$3:$F101,"Crypto",Transactions!$A$3:$A101,R$65,Transactions!$D$3:$D101,$N89)
-SUMIFS(Transactions!$I$3:$I101,Transactions!$H$3:$H101,"Transfer Send",Transactions!$F$3:$F101,"Crypto",Transactions!$A$3:$A101,R$65,Transactions!$D$3:$D101,$N89)
-SUMIFS(Transactions!$I$3:$I101,Transactions!$H$3:$H101,"Sell",Transactions!$F$3:$F101,"Crypto",Transactions!$A$3:$A101,R$65,Transactions!$D$3:$D101,$N89)
+SUMIFS(Transactions!$I$3:$I101,Transactions!$H$3:$H101,"Buy",Transactions!$F$3:$F101,"Stablecoin",Transactions!$A$3:$A101,R$65,Transactions!$D$3:$D101,$N89)
+SUMIFS(Transactions!$I$3:$I101,Transactions!$H$3:$H101,"Crypto Interest",Transactions!$F$3:$F101,"Stablecoin",Transactions!$A$3:$A101,R$65,Transactions!$D$3:$D101,$N89)
+SUMIFS(Transactions!$I$3:$I101,Transactions!$H$3:$H101,"Transfer Deposit",Transactions!$F$3:$F101,"Stablecoin",Transactions!$A$3:$A101,R$65,Transactions!$D$3:$D101,$N89)
-SUMIFS(Transactions!$I$3:$I101,Transactions!$H$3:$H101,"Transfer Send",Transactions!$F$3:$F101,"Stablecoin",Transactions!$A$3:$A101,R$65,Transactions!$D$3:$D101,$N89)
-SUMIFS(Transactions!$I$3:$I101,Transactions!$H$3:$H101,"Sell",Transactions!$F$3:$F101,"Stablecoin",Transactions!$A$3:$A101,R$65,Transactions!$D$3:$D101,$N89)
-SUMIFS(Transactions!$M$3:$M101,Transactions!$H$3:$H101,"Buy",Transactions!$A$3:$A101,R$65,Transactions!$B$3:$B101,$N89))</f>
        <v/>
      </c>
      <c r="S89" s="158" t="str">
        <f>IF(OR(ISBLANK($N89),ISBLANK(S$65)),"",
SUMIFS(Transactions!$I$3:$I101,Transactions!$H$3:$H101,"Buy",Transactions!$F$3:$F101,"Crypto",Transactions!$A$3:$A101,S$65,Transactions!$D$3:$D101,$N89)
+SUMIFS(Transactions!$I$3:$I101,Transactions!$H$3:$H101,"Crypto Interest",Transactions!$F$3:$F101,"Crypto",Transactions!$A$3:$A101,S$65,Transactions!$D$3:$D101,$N89)
+SUMIFS(Transactions!$I$3:$I101,Transactions!$H$3:$H101,"Transfer Deposit",Transactions!$F$3:$F101,"Crypto",Transactions!$A$3:$A101,S$65,Transactions!$D$3:$D101,$N89)
-SUMIFS(Transactions!$I$3:$I101,Transactions!$H$3:$H101,"Transfer Send",Transactions!$F$3:$F101,"Crypto",Transactions!$A$3:$A101,S$65,Transactions!$D$3:$D101,$N89)
-SUMIFS(Transactions!$I$3:$I101,Transactions!$H$3:$H101,"Sell",Transactions!$F$3:$F101,"Crypto",Transactions!$A$3:$A101,S$65,Transactions!$D$3:$D101,$N89)
+SUMIFS(Transactions!$I$3:$I101,Transactions!$H$3:$H101,"Buy",Transactions!$F$3:$F101,"Stablecoin",Transactions!$A$3:$A101,S$65,Transactions!$D$3:$D101,$N89)
+SUMIFS(Transactions!$I$3:$I101,Transactions!$H$3:$H101,"Crypto Interest",Transactions!$F$3:$F101,"Stablecoin",Transactions!$A$3:$A101,S$65,Transactions!$D$3:$D101,$N89)
+SUMIFS(Transactions!$I$3:$I101,Transactions!$H$3:$H101,"Transfer Deposit",Transactions!$F$3:$F101,"Stablecoin",Transactions!$A$3:$A101,S$65,Transactions!$D$3:$D101,$N89)
-SUMIFS(Transactions!$I$3:$I101,Transactions!$H$3:$H101,"Transfer Send",Transactions!$F$3:$F101,"Stablecoin",Transactions!$A$3:$A101,S$65,Transactions!$D$3:$D101,$N89)
-SUMIFS(Transactions!$I$3:$I101,Transactions!$H$3:$H101,"Sell",Transactions!$F$3:$F101,"Stablecoin",Transactions!$A$3:$A101,S$65,Transactions!$D$3:$D101,$N89)
-SUMIFS(Transactions!$M$3:$M101,Transactions!$H$3:$H101,"Buy",Transactions!$A$3:$A101,S$65,Transactions!$B$3:$B101,$N89))</f>
        <v/>
      </c>
      <c r="T89" s="158" t="str">
        <f>IF(OR(ISBLANK($N89),ISBLANK(T$65)),"",
SUMIFS(Transactions!$I$3:$I101,Transactions!$H$3:$H101,"Buy",Transactions!$F$3:$F101,"Crypto",Transactions!$A$3:$A101,T$65,Transactions!$D$3:$D101,$N89)
+SUMIFS(Transactions!$I$3:$I101,Transactions!$H$3:$H101,"Crypto Interest",Transactions!$F$3:$F101,"Crypto",Transactions!$A$3:$A101,T$65,Transactions!$D$3:$D101,$N89)
+SUMIFS(Transactions!$I$3:$I101,Transactions!$H$3:$H101,"Transfer Deposit",Transactions!$F$3:$F101,"Crypto",Transactions!$A$3:$A101,T$65,Transactions!$D$3:$D101,$N89)
-SUMIFS(Transactions!$I$3:$I101,Transactions!$H$3:$H101,"Transfer Send",Transactions!$F$3:$F101,"Crypto",Transactions!$A$3:$A101,T$65,Transactions!$D$3:$D101,$N89)
-SUMIFS(Transactions!$I$3:$I101,Transactions!$H$3:$H101,"Sell",Transactions!$F$3:$F101,"Crypto",Transactions!$A$3:$A101,T$65,Transactions!$D$3:$D101,$N89)
+SUMIFS(Transactions!$I$3:$I101,Transactions!$H$3:$H101,"Buy",Transactions!$F$3:$F101,"Stablecoin",Transactions!$A$3:$A101,T$65,Transactions!$D$3:$D101,$N89)
+SUMIFS(Transactions!$I$3:$I101,Transactions!$H$3:$H101,"Crypto Interest",Transactions!$F$3:$F101,"Stablecoin",Transactions!$A$3:$A101,T$65,Transactions!$D$3:$D101,$N89)
+SUMIFS(Transactions!$I$3:$I101,Transactions!$H$3:$H101,"Transfer Deposit",Transactions!$F$3:$F101,"Stablecoin",Transactions!$A$3:$A101,T$65,Transactions!$D$3:$D101,$N89)
-SUMIFS(Transactions!$I$3:$I101,Transactions!$H$3:$H101,"Transfer Send",Transactions!$F$3:$F101,"Stablecoin",Transactions!$A$3:$A101,T$65,Transactions!$D$3:$D101,$N89)
-SUMIFS(Transactions!$I$3:$I101,Transactions!$H$3:$H101,"Sell",Transactions!$F$3:$F101,"Stablecoin",Transactions!$A$3:$A101,T$65,Transactions!$D$3:$D101,$N89)
-SUMIFS(Transactions!$M$3:$M101,Transactions!$H$3:$H101,"Buy",Transactions!$A$3:$A101,T$65,Transactions!$B$3:$B101,$N89))</f>
        <v/>
      </c>
      <c r="U89" s="158" t="str">
        <f>IF(OR(ISBLANK($N89),ISBLANK(U$65)),"",
SUMIFS(Transactions!$I$3:$I101,Transactions!$H$3:$H101,"Buy",Transactions!$F$3:$F101,"Crypto",Transactions!$A$3:$A101,U$65,Transactions!$D$3:$D101,$N89)
+SUMIFS(Transactions!$I$3:$I101,Transactions!$H$3:$H101,"Crypto Interest",Transactions!$F$3:$F101,"Crypto",Transactions!$A$3:$A101,U$65,Transactions!$D$3:$D101,$N89)
+SUMIFS(Transactions!$I$3:$I101,Transactions!$H$3:$H101,"Transfer Deposit",Transactions!$F$3:$F101,"Crypto",Transactions!$A$3:$A101,U$65,Transactions!$D$3:$D101,$N89)
-SUMIFS(Transactions!$I$3:$I101,Transactions!$H$3:$H101,"Transfer Send",Transactions!$F$3:$F101,"Crypto",Transactions!$A$3:$A101,U$65,Transactions!$D$3:$D101,$N89)
-SUMIFS(Transactions!$I$3:$I101,Transactions!$H$3:$H101,"Sell",Transactions!$F$3:$F101,"Crypto",Transactions!$A$3:$A101,U$65,Transactions!$D$3:$D101,$N89)
+SUMIFS(Transactions!$I$3:$I101,Transactions!$H$3:$H101,"Buy",Transactions!$F$3:$F101,"Stablecoin",Transactions!$A$3:$A101,U$65,Transactions!$D$3:$D101,$N89)
+SUMIFS(Transactions!$I$3:$I101,Transactions!$H$3:$H101,"Crypto Interest",Transactions!$F$3:$F101,"Stablecoin",Transactions!$A$3:$A101,U$65,Transactions!$D$3:$D101,$N89)
+SUMIFS(Transactions!$I$3:$I101,Transactions!$H$3:$H101,"Transfer Deposit",Transactions!$F$3:$F101,"Stablecoin",Transactions!$A$3:$A101,U$65,Transactions!$D$3:$D101,$N89)
-SUMIFS(Transactions!$I$3:$I101,Transactions!$H$3:$H101,"Transfer Send",Transactions!$F$3:$F101,"Stablecoin",Transactions!$A$3:$A101,U$65,Transactions!$D$3:$D101,$N89)
-SUMIFS(Transactions!$I$3:$I101,Transactions!$H$3:$H101,"Sell",Transactions!$F$3:$F101,"Stablecoin",Transactions!$A$3:$A101,U$65,Transactions!$D$3:$D101,$N89)
-SUMIFS(Transactions!$M$3:$M101,Transactions!$H$3:$H101,"Buy",Transactions!$A$3:$A101,U$65,Transactions!$B$3:$B101,$N89))</f>
        <v/>
      </c>
      <c r="V89" s="158"/>
      <c r="W89" s="95"/>
      <c r="X89" s="96"/>
      <c r="Y89" s="96" t="str">
        <f>IFERROR(__xludf.DUMMYFUNCTION("IF(ISBLANK(W89),"""",QUERY(GOOGLEFINANCE($N$21,""Close"",W89-5,6),""select Col2 where Col1 &lt; date '""&amp;TEXT(W89+1, ""YYYY-MM-DD"")&amp;""' order by Col1 desc limit 1"",False)
)"),"")</f>
        <v/>
      </c>
      <c r="Z89" s="158"/>
    </row>
    <row r="90">
      <c r="A90" s="14"/>
      <c r="B90" s="149"/>
      <c r="C90" s="145" t="str">
        <f>IF(ISBLANK(B90),"",SUMIF(Portfolio!$A:$A,B90,Portfolio!$C:$C))</f>
        <v/>
      </c>
      <c r="D90" s="145" t="str">
        <f>IF(ISBLANK(B90),"",AVERAGEIF(Portfolio!$A:$A,B90,Portfolio!$D:$D))</f>
        <v/>
      </c>
      <c r="F90" s="145" t="str">
        <f>IF(ISBLANK(B90),"",VLOOKUP(B90,Portfolio!$A:$E,5,0))</f>
        <v/>
      </c>
      <c r="G90" s="145" t="str">
        <f>IF(ISBLANK(B90),"",IFERROR(((C90-SUMIFS(Transactions!I:I,Transactions!H:H,"Crypto Interest",Transactions!E:E,B90))*D90),""))</f>
        <v/>
      </c>
      <c r="H90" s="145" t="str">
        <f t="shared" si="11"/>
        <v/>
      </c>
      <c r="I90" s="145" t="str">
        <f t="shared" si="12"/>
        <v/>
      </c>
      <c r="J90" s="145" t="str">
        <f t="shared" si="13"/>
        <v/>
      </c>
      <c r="K90" s="145" t="str">
        <f>IF(ISBLANK(B90),"",SUMIF(Portfolio!$A:$A,B90,Portfolio!$Q:$Q))</f>
        <v/>
      </c>
      <c r="L90" s="145" t="str">
        <f t="shared" si="14"/>
        <v/>
      </c>
      <c r="M90" s="14"/>
      <c r="N90" s="157"/>
      <c r="O90" s="158" t="str">
        <f>IF(OR(ISBLANK($N90),ISBLANK(O$65)),"",
SUMIFS(Transactions!$I$3:$I101,Transactions!$H$3:$H101,"Buy",Transactions!$F$3:$F101,"Crypto",Transactions!$A$3:$A101,O$65,Transactions!$D$3:$D101,$N90)
+SUMIFS(Transactions!$I$3:$I101,Transactions!$H$3:$H101,"Crypto Interest",Transactions!$F$3:$F101,"Crypto",Transactions!$A$3:$A101,O$65,Transactions!$D$3:$D101,$N90)
+SUMIFS(Transactions!$I$3:$I101,Transactions!$H$3:$H101,"Transfer Deposit",Transactions!$F$3:$F101,"Crypto",Transactions!$A$3:$A101,O$65,Transactions!$D$3:$D101,$N90)
-SUMIFS(Transactions!$I$3:$I101,Transactions!$H$3:$H101,"Transfer Send",Transactions!$F$3:$F101,"Crypto",Transactions!$A$3:$A101,O$65,Transactions!$D$3:$D101,$N90)
-SUMIFS(Transactions!$I$3:$I101,Transactions!$H$3:$H101,"Sell",Transactions!$F$3:$F101,"Crypto",Transactions!$A$3:$A101,O$65,Transactions!$D$3:$D101,$N90)
+SUMIFS(Transactions!$I$3:$I101,Transactions!$H$3:$H101,"Buy",Transactions!$F$3:$F101,"Stablecoin",Transactions!$A$3:$A101,O$65,Transactions!$D$3:$D101,$N90)
+SUMIFS(Transactions!$I$3:$I101,Transactions!$H$3:$H101,"Crypto Interest",Transactions!$F$3:$F101,"Stablecoin",Transactions!$A$3:$A101,O$65,Transactions!$D$3:$D101,$N90)
+SUMIFS(Transactions!$I$3:$I101,Transactions!$H$3:$H101,"Transfer Deposit",Transactions!$F$3:$F101,"Stablecoin",Transactions!$A$3:$A101,O$65,Transactions!$D$3:$D101,$N90)
-SUMIFS(Transactions!$I$3:$I101,Transactions!$H$3:$H101,"Transfer Send",Transactions!$F$3:$F101,"Stablecoin",Transactions!$A$3:$A101,O$65,Transactions!$D$3:$D101,$N90)
-SUMIFS(Transactions!$I$3:$I101,Transactions!$H$3:$H101,"Sell",Transactions!$F$3:$F101,"Stablecoin",Transactions!$A$3:$A101,O$65,Transactions!$D$3:$D101,$N90)
-SUMIFS(Transactions!$M$3:$M101,Transactions!$H$3:$H101,"Buy",Transactions!$A$3:$A101,O$65,Transactions!$B$3:$B101,$N90))</f>
        <v/>
      </c>
      <c r="P90" s="158" t="str">
        <f>IF(OR(ISBLANK($N90),ISBLANK(P$65)),"",
SUMIFS(Transactions!$I$3:$I101,Transactions!$H$3:$H101,"Buy",Transactions!$F$3:$F101,"Crypto",Transactions!$A$3:$A101,P$65,Transactions!$D$3:$D101,$N90)
+SUMIFS(Transactions!$I$3:$I101,Transactions!$H$3:$H101,"Crypto Interest",Transactions!$F$3:$F101,"Crypto",Transactions!$A$3:$A101,P$65,Transactions!$D$3:$D101,$N90)
+SUMIFS(Transactions!$I$3:$I101,Transactions!$H$3:$H101,"Transfer Deposit",Transactions!$F$3:$F101,"Crypto",Transactions!$A$3:$A101,P$65,Transactions!$D$3:$D101,$N90)
-SUMIFS(Transactions!$I$3:$I101,Transactions!$H$3:$H101,"Transfer Send",Transactions!$F$3:$F101,"Crypto",Transactions!$A$3:$A101,P$65,Transactions!$D$3:$D101,$N90)
-SUMIFS(Transactions!$I$3:$I101,Transactions!$H$3:$H101,"Sell",Transactions!$F$3:$F101,"Crypto",Transactions!$A$3:$A101,P$65,Transactions!$D$3:$D101,$N90)
+SUMIFS(Transactions!$I$3:$I101,Transactions!$H$3:$H101,"Buy",Transactions!$F$3:$F101,"Stablecoin",Transactions!$A$3:$A101,P$65,Transactions!$D$3:$D101,$N90)
+SUMIFS(Transactions!$I$3:$I101,Transactions!$H$3:$H101,"Crypto Interest",Transactions!$F$3:$F101,"Stablecoin",Transactions!$A$3:$A101,P$65,Transactions!$D$3:$D101,$N90)
+SUMIFS(Transactions!$I$3:$I101,Transactions!$H$3:$H101,"Transfer Deposit",Transactions!$F$3:$F101,"Stablecoin",Transactions!$A$3:$A101,P$65,Transactions!$D$3:$D101,$N90)
-SUMIFS(Transactions!$I$3:$I101,Transactions!$H$3:$H101,"Transfer Send",Transactions!$F$3:$F101,"Stablecoin",Transactions!$A$3:$A101,P$65,Transactions!$D$3:$D101,$N90)
-SUMIFS(Transactions!$I$3:$I101,Transactions!$H$3:$H101,"Sell",Transactions!$F$3:$F101,"Stablecoin",Transactions!$A$3:$A101,P$65,Transactions!$D$3:$D101,$N90)
-SUMIFS(Transactions!$M$3:$M101,Transactions!$H$3:$H101,"Buy",Transactions!$A$3:$A101,P$65,Transactions!$B$3:$B101,$N90))</f>
        <v/>
      </c>
      <c r="Q90" s="158" t="str">
        <f>IF(OR(ISBLANK($N90),ISBLANK(Q$65)),"",
SUMIFS(Transactions!$I$3:$I101,Transactions!$H$3:$H101,"Buy",Transactions!$F$3:$F101,"Crypto",Transactions!$A$3:$A101,Q$65,Transactions!$D$3:$D101,$N90)
+SUMIFS(Transactions!$I$3:$I101,Transactions!$H$3:$H101,"Crypto Interest",Transactions!$F$3:$F101,"Crypto",Transactions!$A$3:$A101,Q$65,Transactions!$D$3:$D101,$N90)
+SUMIFS(Transactions!$I$3:$I101,Transactions!$H$3:$H101,"Transfer Deposit",Transactions!$F$3:$F101,"Crypto",Transactions!$A$3:$A101,Q$65,Transactions!$D$3:$D101,$N90)
-SUMIFS(Transactions!$I$3:$I101,Transactions!$H$3:$H101,"Transfer Send",Transactions!$F$3:$F101,"Crypto",Transactions!$A$3:$A101,Q$65,Transactions!$D$3:$D101,$N90)
-SUMIFS(Transactions!$I$3:$I101,Transactions!$H$3:$H101,"Sell",Transactions!$F$3:$F101,"Crypto",Transactions!$A$3:$A101,Q$65,Transactions!$D$3:$D101,$N90)
+SUMIFS(Transactions!$I$3:$I101,Transactions!$H$3:$H101,"Buy",Transactions!$F$3:$F101,"Stablecoin",Transactions!$A$3:$A101,Q$65,Transactions!$D$3:$D101,$N90)
+SUMIFS(Transactions!$I$3:$I101,Transactions!$H$3:$H101,"Crypto Interest",Transactions!$F$3:$F101,"Stablecoin",Transactions!$A$3:$A101,Q$65,Transactions!$D$3:$D101,$N90)
+SUMIFS(Transactions!$I$3:$I101,Transactions!$H$3:$H101,"Transfer Deposit",Transactions!$F$3:$F101,"Stablecoin",Transactions!$A$3:$A101,Q$65,Transactions!$D$3:$D101,$N90)
-SUMIFS(Transactions!$I$3:$I101,Transactions!$H$3:$H101,"Transfer Send",Transactions!$F$3:$F101,"Stablecoin",Transactions!$A$3:$A101,Q$65,Transactions!$D$3:$D101,$N90)
-SUMIFS(Transactions!$I$3:$I101,Transactions!$H$3:$H101,"Sell",Transactions!$F$3:$F101,"Stablecoin",Transactions!$A$3:$A101,Q$65,Transactions!$D$3:$D101,$N90)
-SUMIFS(Transactions!$M$3:$M101,Transactions!$H$3:$H101,"Buy",Transactions!$A$3:$A101,Q$65,Transactions!$B$3:$B101,$N90))</f>
        <v/>
      </c>
      <c r="R90" s="158" t="str">
        <f>IF(OR(ISBLANK($N90),ISBLANK(R$65)),"",
SUMIFS(Transactions!$I$3:$I101,Transactions!$H$3:$H101,"Buy",Transactions!$F$3:$F101,"Crypto",Transactions!$A$3:$A101,R$65,Transactions!$D$3:$D101,$N90)
+SUMIFS(Transactions!$I$3:$I101,Transactions!$H$3:$H101,"Crypto Interest",Transactions!$F$3:$F101,"Crypto",Transactions!$A$3:$A101,R$65,Transactions!$D$3:$D101,$N90)
+SUMIFS(Transactions!$I$3:$I101,Transactions!$H$3:$H101,"Transfer Deposit",Transactions!$F$3:$F101,"Crypto",Transactions!$A$3:$A101,R$65,Transactions!$D$3:$D101,$N90)
-SUMIFS(Transactions!$I$3:$I101,Transactions!$H$3:$H101,"Transfer Send",Transactions!$F$3:$F101,"Crypto",Transactions!$A$3:$A101,R$65,Transactions!$D$3:$D101,$N90)
-SUMIFS(Transactions!$I$3:$I101,Transactions!$H$3:$H101,"Sell",Transactions!$F$3:$F101,"Crypto",Transactions!$A$3:$A101,R$65,Transactions!$D$3:$D101,$N90)
+SUMIFS(Transactions!$I$3:$I101,Transactions!$H$3:$H101,"Buy",Transactions!$F$3:$F101,"Stablecoin",Transactions!$A$3:$A101,R$65,Transactions!$D$3:$D101,$N90)
+SUMIFS(Transactions!$I$3:$I101,Transactions!$H$3:$H101,"Crypto Interest",Transactions!$F$3:$F101,"Stablecoin",Transactions!$A$3:$A101,R$65,Transactions!$D$3:$D101,$N90)
+SUMIFS(Transactions!$I$3:$I101,Transactions!$H$3:$H101,"Transfer Deposit",Transactions!$F$3:$F101,"Stablecoin",Transactions!$A$3:$A101,R$65,Transactions!$D$3:$D101,$N90)
-SUMIFS(Transactions!$I$3:$I101,Transactions!$H$3:$H101,"Transfer Send",Transactions!$F$3:$F101,"Stablecoin",Transactions!$A$3:$A101,R$65,Transactions!$D$3:$D101,$N90)
-SUMIFS(Transactions!$I$3:$I101,Transactions!$H$3:$H101,"Sell",Transactions!$F$3:$F101,"Stablecoin",Transactions!$A$3:$A101,R$65,Transactions!$D$3:$D101,$N90)
-SUMIFS(Transactions!$M$3:$M101,Transactions!$H$3:$H101,"Buy",Transactions!$A$3:$A101,R$65,Transactions!$B$3:$B101,$N90))</f>
        <v/>
      </c>
      <c r="S90" s="158" t="str">
        <f>IF(OR(ISBLANK($N90),ISBLANK(S$65)),"",
SUMIFS(Transactions!$I$3:$I101,Transactions!$H$3:$H101,"Buy",Transactions!$F$3:$F101,"Crypto",Transactions!$A$3:$A101,S$65,Transactions!$D$3:$D101,$N90)
+SUMIFS(Transactions!$I$3:$I101,Transactions!$H$3:$H101,"Crypto Interest",Transactions!$F$3:$F101,"Crypto",Transactions!$A$3:$A101,S$65,Transactions!$D$3:$D101,$N90)
+SUMIFS(Transactions!$I$3:$I101,Transactions!$H$3:$H101,"Transfer Deposit",Transactions!$F$3:$F101,"Crypto",Transactions!$A$3:$A101,S$65,Transactions!$D$3:$D101,$N90)
-SUMIFS(Transactions!$I$3:$I101,Transactions!$H$3:$H101,"Transfer Send",Transactions!$F$3:$F101,"Crypto",Transactions!$A$3:$A101,S$65,Transactions!$D$3:$D101,$N90)
-SUMIFS(Transactions!$I$3:$I101,Transactions!$H$3:$H101,"Sell",Transactions!$F$3:$F101,"Crypto",Transactions!$A$3:$A101,S$65,Transactions!$D$3:$D101,$N90)
+SUMIFS(Transactions!$I$3:$I101,Transactions!$H$3:$H101,"Buy",Transactions!$F$3:$F101,"Stablecoin",Transactions!$A$3:$A101,S$65,Transactions!$D$3:$D101,$N90)
+SUMIFS(Transactions!$I$3:$I101,Transactions!$H$3:$H101,"Crypto Interest",Transactions!$F$3:$F101,"Stablecoin",Transactions!$A$3:$A101,S$65,Transactions!$D$3:$D101,$N90)
+SUMIFS(Transactions!$I$3:$I101,Transactions!$H$3:$H101,"Transfer Deposit",Transactions!$F$3:$F101,"Stablecoin",Transactions!$A$3:$A101,S$65,Transactions!$D$3:$D101,$N90)
-SUMIFS(Transactions!$I$3:$I101,Transactions!$H$3:$H101,"Transfer Send",Transactions!$F$3:$F101,"Stablecoin",Transactions!$A$3:$A101,S$65,Transactions!$D$3:$D101,$N90)
-SUMIFS(Transactions!$I$3:$I101,Transactions!$H$3:$H101,"Sell",Transactions!$F$3:$F101,"Stablecoin",Transactions!$A$3:$A101,S$65,Transactions!$D$3:$D101,$N90)
-SUMIFS(Transactions!$M$3:$M101,Transactions!$H$3:$H101,"Buy",Transactions!$A$3:$A101,S$65,Transactions!$B$3:$B101,$N90))</f>
        <v/>
      </c>
      <c r="T90" s="158" t="str">
        <f>IF(OR(ISBLANK($N90),ISBLANK(T$65)),"",
SUMIFS(Transactions!$I$3:$I101,Transactions!$H$3:$H101,"Buy",Transactions!$F$3:$F101,"Crypto",Transactions!$A$3:$A101,T$65,Transactions!$D$3:$D101,$N90)
+SUMIFS(Transactions!$I$3:$I101,Transactions!$H$3:$H101,"Crypto Interest",Transactions!$F$3:$F101,"Crypto",Transactions!$A$3:$A101,T$65,Transactions!$D$3:$D101,$N90)
+SUMIFS(Transactions!$I$3:$I101,Transactions!$H$3:$H101,"Transfer Deposit",Transactions!$F$3:$F101,"Crypto",Transactions!$A$3:$A101,T$65,Transactions!$D$3:$D101,$N90)
-SUMIFS(Transactions!$I$3:$I101,Transactions!$H$3:$H101,"Transfer Send",Transactions!$F$3:$F101,"Crypto",Transactions!$A$3:$A101,T$65,Transactions!$D$3:$D101,$N90)
-SUMIFS(Transactions!$I$3:$I101,Transactions!$H$3:$H101,"Sell",Transactions!$F$3:$F101,"Crypto",Transactions!$A$3:$A101,T$65,Transactions!$D$3:$D101,$N90)
+SUMIFS(Transactions!$I$3:$I101,Transactions!$H$3:$H101,"Buy",Transactions!$F$3:$F101,"Stablecoin",Transactions!$A$3:$A101,T$65,Transactions!$D$3:$D101,$N90)
+SUMIFS(Transactions!$I$3:$I101,Transactions!$H$3:$H101,"Crypto Interest",Transactions!$F$3:$F101,"Stablecoin",Transactions!$A$3:$A101,T$65,Transactions!$D$3:$D101,$N90)
+SUMIFS(Transactions!$I$3:$I101,Transactions!$H$3:$H101,"Transfer Deposit",Transactions!$F$3:$F101,"Stablecoin",Transactions!$A$3:$A101,T$65,Transactions!$D$3:$D101,$N90)
-SUMIFS(Transactions!$I$3:$I101,Transactions!$H$3:$H101,"Transfer Send",Transactions!$F$3:$F101,"Stablecoin",Transactions!$A$3:$A101,T$65,Transactions!$D$3:$D101,$N90)
-SUMIFS(Transactions!$I$3:$I101,Transactions!$H$3:$H101,"Sell",Transactions!$F$3:$F101,"Stablecoin",Transactions!$A$3:$A101,T$65,Transactions!$D$3:$D101,$N90)
-SUMIFS(Transactions!$M$3:$M101,Transactions!$H$3:$H101,"Buy",Transactions!$A$3:$A101,T$65,Transactions!$B$3:$B101,$N90))</f>
        <v/>
      </c>
      <c r="U90" s="158" t="str">
        <f>IF(OR(ISBLANK($N90),ISBLANK(U$65)),"",
SUMIFS(Transactions!$I$3:$I101,Transactions!$H$3:$H101,"Buy",Transactions!$F$3:$F101,"Crypto",Transactions!$A$3:$A101,U$65,Transactions!$D$3:$D101,$N90)
+SUMIFS(Transactions!$I$3:$I101,Transactions!$H$3:$H101,"Crypto Interest",Transactions!$F$3:$F101,"Crypto",Transactions!$A$3:$A101,U$65,Transactions!$D$3:$D101,$N90)
+SUMIFS(Transactions!$I$3:$I101,Transactions!$H$3:$H101,"Transfer Deposit",Transactions!$F$3:$F101,"Crypto",Transactions!$A$3:$A101,U$65,Transactions!$D$3:$D101,$N90)
-SUMIFS(Transactions!$I$3:$I101,Transactions!$H$3:$H101,"Transfer Send",Transactions!$F$3:$F101,"Crypto",Transactions!$A$3:$A101,U$65,Transactions!$D$3:$D101,$N90)
-SUMIFS(Transactions!$I$3:$I101,Transactions!$H$3:$H101,"Sell",Transactions!$F$3:$F101,"Crypto",Transactions!$A$3:$A101,U$65,Transactions!$D$3:$D101,$N90)
+SUMIFS(Transactions!$I$3:$I101,Transactions!$H$3:$H101,"Buy",Transactions!$F$3:$F101,"Stablecoin",Transactions!$A$3:$A101,U$65,Transactions!$D$3:$D101,$N90)
+SUMIFS(Transactions!$I$3:$I101,Transactions!$H$3:$H101,"Crypto Interest",Transactions!$F$3:$F101,"Stablecoin",Transactions!$A$3:$A101,U$65,Transactions!$D$3:$D101,$N90)
+SUMIFS(Transactions!$I$3:$I101,Transactions!$H$3:$H101,"Transfer Deposit",Transactions!$F$3:$F101,"Stablecoin",Transactions!$A$3:$A101,U$65,Transactions!$D$3:$D101,$N90)
-SUMIFS(Transactions!$I$3:$I101,Transactions!$H$3:$H101,"Transfer Send",Transactions!$F$3:$F101,"Stablecoin",Transactions!$A$3:$A101,U$65,Transactions!$D$3:$D101,$N90)
-SUMIFS(Transactions!$I$3:$I101,Transactions!$H$3:$H101,"Sell",Transactions!$F$3:$F101,"Stablecoin",Transactions!$A$3:$A101,U$65,Transactions!$D$3:$D101,$N90)
-SUMIFS(Transactions!$M$3:$M101,Transactions!$H$3:$H101,"Buy",Transactions!$A$3:$A101,U$65,Transactions!$B$3:$B101,$N90))</f>
        <v/>
      </c>
      <c r="V90" s="158"/>
      <c r="W90" s="95"/>
      <c r="X90" s="96"/>
      <c r="Y90" s="96" t="str">
        <f>IFERROR(__xludf.DUMMYFUNCTION("IF(ISBLANK(W90),"""",QUERY(GOOGLEFINANCE($N$21,""Close"",W90-5,6),""select Col2 where Col1 &lt; date '""&amp;TEXT(W90+1, ""YYYY-MM-DD"")&amp;""' order by Col1 desc limit 1"",False)
)"),"")</f>
        <v/>
      </c>
      <c r="Z90" s="158"/>
    </row>
    <row r="91">
      <c r="A91" s="14"/>
      <c r="B91" s="149"/>
      <c r="C91" s="145" t="str">
        <f>IF(ISBLANK(B91),"",SUMIF(Portfolio!$A:$A,B91,Portfolio!$C:$C))</f>
        <v/>
      </c>
      <c r="D91" s="145" t="str">
        <f>IF(ISBLANK(B91),"",AVERAGEIF(Portfolio!$A:$A,B91,Portfolio!$D:$D))</f>
        <v/>
      </c>
      <c r="F91" s="145" t="str">
        <f>IF(ISBLANK(B91),"",VLOOKUP(B91,Portfolio!$A:$E,5,0))</f>
        <v/>
      </c>
      <c r="G91" s="145" t="str">
        <f>IF(ISBLANK(B91),"",IFERROR(((C91-SUMIFS(Transactions!I:I,Transactions!H:H,"Crypto Interest",Transactions!E:E,B91))*D91),""))</f>
        <v/>
      </c>
      <c r="H91" s="145" t="str">
        <f t="shared" si="11"/>
        <v/>
      </c>
      <c r="I91" s="145" t="str">
        <f t="shared" si="12"/>
        <v/>
      </c>
      <c r="J91" s="145" t="str">
        <f t="shared" si="13"/>
        <v/>
      </c>
      <c r="K91" s="145" t="str">
        <f>IF(ISBLANK(B91),"",SUMIF(Portfolio!$A:$A,B91,Portfolio!$Q:$Q))</f>
        <v/>
      </c>
      <c r="L91" s="145" t="str">
        <f t="shared" si="14"/>
        <v/>
      </c>
      <c r="M91" s="14"/>
      <c r="N91" s="157"/>
      <c r="O91" s="158" t="str">
        <f>IF(OR(ISBLANK($N91),ISBLANK(O$65)),"",
SUMIFS(Transactions!$I$3:$I101,Transactions!$H$3:$H101,"Buy",Transactions!$F$3:$F101,"Crypto",Transactions!$A$3:$A101,O$65,Transactions!$D$3:$D101,$N91)
+SUMIFS(Transactions!$I$3:$I101,Transactions!$H$3:$H101,"Crypto Interest",Transactions!$F$3:$F101,"Crypto",Transactions!$A$3:$A101,O$65,Transactions!$D$3:$D101,$N91)
+SUMIFS(Transactions!$I$3:$I101,Transactions!$H$3:$H101,"Transfer Deposit",Transactions!$F$3:$F101,"Crypto",Transactions!$A$3:$A101,O$65,Transactions!$D$3:$D101,$N91)
-SUMIFS(Transactions!$I$3:$I101,Transactions!$H$3:$H101,"Transfer Send",Transactions!$F$3:$F101,"Crypto",Transactions!$A$3:$A101,O$65,Transactions!$D$3:$D101,$N91)
-SUMIFS(Transactions!$I$3:$I101,Transactions!$H$3:$H101,"Sell",Transactions!$F$3:$F101,"Crypto",Transactions!$A$3:$A101,O$65,Transactions!$D$3:$D101,$N91)
+SUMIFS(Transactions!$I$3:$I101,Transactions!$H$3:$H101,"Buy",Transactions!$F$3:$F101,"Stablecoin",Transactions!$A$3:$A101,O$65,Transactions!$D$3:$D101,$N91)
+SUMIFS(Transactions!$I$3:$I101,Transactions!$H$3:$H101,"Crypto Interest",Transactions!$F$3:$F101,"Stablecoin",Transactions!$A$3:$A101,O$65,Transactions!$D$3:$D101,$N91)
+SUMIFS(Transactions!$I$3:$I101,Transactions!$H$3:$H101,"Transfer Deposit",Transactions!$F$3:$F101,"Stablecoin",Transactions!$A$3:$A101,O$65,Transactions!$D$3:$D101,$N91)
-SUMIFS(Transactions!$I$3:$I101,Transactions!$H$3:$H101,"Transfer Send",Transactions!$F$3:$F101,"Stablecoin",Transactions!$A$3:$A101,O$65,Transactions!$D$3:$D101,$N91)
-SUMIFS(Transactions!$I$3:$I101,Transactions!$H$3:$H101,"Sell",Transactions!$F$3:$F101,"Stablecoin",Transactions!$A$3:$A101,O$65,Transactions!$D$3:$D101,$N91)
-SUMIFS(Transactions!$M$3:$M101,Transactions!$H$3:$H101,"Buy",Transactions!$A$3:$A101,O$65,Transactions!$B$3:$B101,$N91))</f>
        <v/>
      </c>
      <c r="P91" s="158" t="str">
        <f>IF(OR(ISBLANK($N91),ISBLANK(P$65)),"",
SUMIFS(Transactions!$I$3:$I101,Transactions!$H$3:$H101,"Buy",Transactions!$F$3:$F101,"Crypto",Transactions!$A$3:$A101,P$65,Transactions!$D$3:$D101,$N91)
+SUMIFS(Transactions!$I$3:$I101,Transactions!$H$3:$H101,"Crypto Interest",Transactions!$F$3:$F101,"Crypto",Transactions!$A$3:$A101,P$65,Transactions!$D$3:$D101,$N91)
+SUMIFS(Transactions!$I$3:$I101,Transactions!$H$3:$H101,"Transfer Deposit",Transactions!$F$3:$F101,"Crypto",Transactions!$A$3:$A101,P$65,Transactions!$D$3:$D101,$N91)
-SUMIFS(Transactions!$I$3:$I101,Transactions!$H$3:$H101,"Transfer Send",Transactions!$F$3:$F101,"Crypto",Transactions!$A$3:$A101,P$65,Transactions!$D$3:$D101,$N91)
-SUMIFS(Transactions!$I$3:$I101,Transactions!$H$3:$H101,"Sell",Transactions!$F$3:$F101,"Crypto",Transactions!$A$3:$A101,P$65,Transactions!$D$3:$D101,$N91)
+SUMIFS(Transactions!$I$3:$I101,Transactions!$H$3:$H101,"Buy",Transactions!$F$3:$F101,"Stablecoin",Transactions!$A$3:$A101,P$65,Transactions!$D$3:$D101,$N91)
+SUMIFS(Transactions!$I$3:$I101,Transactions!$H$3:$H101,"Crypto Interest",Transactions!$F$3:$F101,"Stablecoin",Transactions!$A$3:$A101,P$65,Transactions!$D$3:$D101,$N91)
+SUMIFS(Transactions!$I$3:$I101,Transactions!$H$3:$H101,"Transfer Deposit",Transactions!$F$3:$F101,"Stablecoin",Transactions!$A$3:$A101,P$65,Transactions!$D$3:$D101,$N91)
-SUMIFS(Transactions!$I$3:$I101,Transactions!$H$3:$H101,"Transfer Send",Transactions!$F$3:$F101,"Stablecoin",Transactions!$A$3:$A101,P$65,Transactions!$D$3:$D101,$N91)
-SUMIFS(Transactions!$I$3:$I101,Transactions!$H$3:$H101,"Sell",Transactions!$F$3:$F101,"Stablecoin",Transactions!$A$3:$A101,P$65,Transactions!$D$3:$D101,$N91)
-SUMIFS(Transactions!$M$3:$M101,Transactions!$H$3:$H101,"Buy",Transactions!$A$3:$A101,P$65,Transactions!$B$3:$B101,$N91))</f>
        <v/>
      </c>
      <c r="Q91" s="158" t="str">
        <f>IF(OR(ISBLANK($N91),ISBLANK(Q$65)),"",
SUMIFS(Transactions!$I$3:$I101,Transactions!$H$3:$H101,"Buy",Transactions!$F$3:$F101,"Crypto",Transactions!$A$3:$A101,Q$65,Transactions!$D$3:$D101,$N91)
+SUMIFS(Transactions!$I$3:$I101,Transactions!$H$3:$H101,"Crypto Interest",Transactions!$F$3:$F101,"Crypto",Transactions!$A$3:$A101,Q$65,Transactions!$D$3:$D101,$N91)
+SUMIFS(Transactions!$I$3:$I101,Transactions!$H$3:$H101,"Transfer Deposit",Transactions!$F$3:$F101,"Crypto",Transactions!$A$3:$A101,Q$65,Transactions!$D$3:$D101,$N91)
-SUMIFS(Transactions!$I$3:$I101,Transactions!$H$3:$H101,"Transfer Send",Transactions!$F$3:$F101,"Crypto",Transactions!$A$3:$A101,Q$65,Transactions!$D$3:$D101,$N91)
-SUMIFS(Transactions!$I$3:$I101,Transactions!$H$3:$H101,"Sell",Transactions!$F$3:$F101,"Crypto",Transactions!$A$3:$A101,Q$65,Transactions!$D$3:$D101,$N91)
+SUMIFS(Transactions!$I$3:$I101,Transactions!$H$3:$H101,"Buy",Transactions!$F$3:$F101,"Stablecoin",Transactions!$A$3:$A101,Q$65,Transactions!$D$3:$D101,$N91)
+SUMIFS(Transactions!$I$3:$I101,Transactions!$H$3:$H101,"Crypto Interest",Transactions!$F$3:$F101,"Stablecoin",Transactions!$A$3:$A101,Q$65,Transactions!$D$3:$D101,$N91)
+SUMIFS(Transactions!$I$3:$I101,Transactions!$H$3:$H101,"Transfer Deposit",Transactions!$F$3:$F101,"Stablecoin",Transactions!$A$3:$A101,Q$65,Transactions!$D$3:$D101,$N91)
-SUMIFS(Transactions!$I$3:$I101,Transactions!$H$3:$H101,"Transfer Send",Transactions!$F$3:$F101,"Stablecoin",Transactions!$A$3:$A101,Q$65,Transactions!$D$3:$D101,$N91)
-SUMIFS(Transactions!$I$3:$I101,Transactions!$H$3:$H101,"Sell",Transactions!$F$3:$F101,"Stablecoin",Transactions!$A$3:$A101,Q$65,Transactions!$D$3:$D101,$N91)
-SUMIFS(Transactions!$M$3:$M101,Transactions!$H$3:$H101,"Buy",Transactions!$A$3:$A101,Q$65,Transactions!$B$3:$B101,$N91))</f>
        <v/>
      </c>
      <c r="R91" s="158" t="str">
        <f>IF(OR(ISBLANK($N91),ISBLANK(R$65)),"",
SUMIFS(Transactions!$I$3:$I101,Transactions!$H$3:$H101,"Buy",Transactions!$F$3:$F101,"Crypto",Transactions!$A$3:$A101,R$65,Transactions!$D$3:$D101,$N91)
+SUMIFS(Transactions!$I$3:$I101,Transactions!$H$3:$H101,"Crypto Interest",Transactions!$F$3:$F101,"Crypto",Transactions!$A$3:$A101,R$65,Transactions!$D$3:$D101,$N91)
+SUMIFS(Transactions!$I$3:$I101,Transactions!$H$3:$H101,"Transfer Deposit",Transactions!$F$3:$F101,"Crypto",Transactions!$A$3:$A101,R$65,Transactions!$D$3:$D101,$N91)
-SUMIFS(Transactions!$I$3:$I101,Transactions!$H$3:$H101,"Transfer Send",Transactions!$F$3:$F101,"Crypto",Transactions!$A$3:$A101,R$65,Transactions!$D$3:$D101,$N91)
-SUMIFS(Transactions!$I$3:$I101,Transactions!$H$3:$H101,"Sell",Transactions!$F$3:$F101,"Crypto",Transactions!$A$3:$A101,R$65,Transactions!$D$3:$D101,$N91)
+SUMIFS(Transactions!$I$3:$I101,Transactions!$H$3:$H101,"Buy",Transactions!$F$3:$F101,"Stablecoin",Transactions!$A$3:$A101,R$65,Transactions!$D$3:$D101,$N91)
+SUMIFS(Transactions!$I$3:$I101,Transactions!$H$3:$H101,"Crypto Interest",Transactions!$F$3:$F101,"Stablecoin",Transactions!$A$3:$A101,R$65,Transactions!$D$3:$D101,$N91)
+SUMIFS(Transactions!$I$3:$I101,Transactions!$H$3:$H101,"Transfer Deposit",Transactions!$F$3:$F101,"Stablecoin",Transactions!$A$3:$A101,R$65,Transactions!$D$3:$D101,$N91)
-SUMIFS(Transactions!$I$3:$I101,Transactions!$H$3:$H101,"Transfer Send",Transactions!$F$3:$F101,"Stablecoin",Transactions!$A$3:$A101,R$65,Transactions!$D$3:$D101,$N91)
-SUMIFS(Transactions!$I$3:$I101,Transactions!$H$3:$H101,"Sell",Transactions!$F$3:$F101,"Stablecoin",Transactions!$A$3:$A101,R$65,Transactions!$D$3:$D101,$N91)
-SUMIFS(Transactions!$M$3:$M101,Transactions!$H$3:$H101,"Buy",Transactions!$A$3:$A101,R$65,Transactions!$B$3:$B101,$N91))</f>
        <v/>
      </c>
      <c r="S91" s="158" t="str">
        <f>IF(OR(ISBLANK($N91),ISBLANK(S$65)),"",
SUMIFS(Transactions!$I$3:$I101,Transactions!$H$3:$H101,"Buy",Transactions!$F$3:$F101,"Crypto",Transactions!$A$3:$A101,S$65,Transactions!$D$3:$D101,$N91)
+SUMIFS(Transactions!$I$3:$I101,Transactions!$H$3:$H101,"Crypto Interest",Transactions!$F$3:$F101,"Crypto",Transactions!$A$3:$A101,S$65,Transactions!$D$3:$D101,$N91)
+SUMIFS(Transactions!$I$3:$I101,Transactions!$H$3:$H101,"Transfer Deposit",Transactions!$F$3:$F101,"Crypto",Transactions!$A$3:$A101,S$65,Transactions!$D$3:$D101,$N91)
-SUMIFS(Transactions!$I$3:$I101,Transactions!$H$3:$H101,"Transfer Send",Transactions!$F$3:$F101,"Crypto",Transactions!$A$3:$A101,S$65,Transactions!$D$3:$D101,$N91)
-SUMIFS(Transactions!$I$3:$I101,Transactions!$H$3:$H101,"Sell",Transactions!$F$3:$F101,"Crypto",Transactions!$A$3:$A101,S$65,Transactions!$D$3:$D101,$N91)
+SUMIFS(Transactions!$I$3:$I101,Transactions!$H$3:$H101,"Buy",Transactions!$F$3:$F101,"Stablecoin",Transactions!$A$3:$A101,S$65,Transactions!$D$3:$D101,$N91)
+SUMIFS(Transactions!$I$3:$I101,Transactions!$H$3:$H101,"Crypto Interest",Transactions!$F$3:$F101,"Stablecoin",Transactions!$A$3:$A101,S$65,Transactions!$D$3:$D101,$N91)
+SUMIFS(Transactions!$I$3:$I101,Transactions!$H$3:$H101,"Transfer Deposit",Transactions!$F$3:$F101,"Stablecoin",Transactions!$A$3:$A101,S$65,Transactions!$D$3:$D101,$N91)
-SUMIFS(Transactions!$I$3:$I101,Transactions!$H$3:$H101,"Transfer Send",Transactions!$F$3:$F101,"Stablecoin",Transactions!$A$3:$A101,S$65,Transactions!$D$3:$D101,$N91)
-SUMIFS(Transactions!$I$3:$I101,Transactions!$H$3:$H101,"Sell",Transactions!$F$3:$F101,"Stablecoin",Transactions!$A$3:$A101,S$65,Transactions!$D$3:$D101,$N91)
-SUMIFS(Transactions!$M$3:$M101,Transactions!$H$3:$H101,"Buy",Transactions!$A$3:$A101,S$65,Transactions!$B$3:$B101,$N91))</f>
        <v/>
      </c>
      <c r="T91" s="158" t="str">
        <f>IF(OR(ISBLANK($N91),ISBLANK(T$65)),"",
SUMIFS(Transactions!$I$3:$I101,Transactions!$H$3:$H101,"Buy",Transactions!$F$3:$F101,"Crypto",Transactions!$A$3:$A101,T$65,Transactions!$D$3:$D101,$N91)
+SUMIFS(Transactions!$I$3:$I101,Transactions!$H$3:$H101,"Crypto Interest",Transactions!$F$3:$F101,"Crypto",Transactions!$A$3:$A101,T$65,Transactions!$D$3:$D101,$N91)
+SUMIFS(Transactions!$I$3:$I101,Transactions!$H$3:$H101,"Transfer Deposit",Transactions!$F$3:$F101,"Crypto",Transactions!$A$3:$A101,T$65,Transactions!$D$3:$D101,$N91)
-SUMIFS(Transactions!$I$3:$I101,Transactions!$H$3:$H101,"Transfer Send",Transactions!$F$3:$F101,"Crypto",Transactions!$A$3:$A101,T$65,Transactions!$D$3:$D101,$N91)
-SUMIFS(Transactions!$I$3:$I101,Transactions!$H$3:$H101,"Sell",Transactions!$F$3:$F101,"Crypto",Transactions!$A$3:$A101,T$65,Transactions!$D$3:$D101,$N91)
+SUMIFS(Transactions!$I$3:$I101,Transactions!$H$3:$H101,"Buy",Transactions!$F$3:$F101,"Stablecoin",Transactions!$A$3:$A101,T$65,Transactions!$D$3:$D101,$N91)
+SUMIFS(Transactions!$I$3:$I101,Transactions!$H$3:$H101,"Crypto Interest",Transactions!$F$3:$F101,"Stablecoin",Transactions!$A$3:$A101,T$65,Transactions!$D$3:$D101,$N91)
+SUMIFS(Transactions!$I$3:$I101,Transactions!$H$3:$H101,"Transfer Deposit",Transactions!$F$3:$F101,"Stablecoin",Transactions!$A$3:$A101,T$65,Transactions!$D$3:$D101,$N91)
-SUMIFS(Transactions!$I$3:$I101,Transactions!$H$3:$H101,"Transfer Send",Transactions!$F$3:$F101,"Stablecoin",Transactions!$A$3:$A101,T$65,Transactions!$D$3:$D101,$N91)
-SUMIFS(Transactions!$I$3:$I101,Transactions!$H$3:$H101,"Sell",Transactions!$F$3:$F101,"Stablecoin",Transactions!$A$3:$A101,T$65,Transactions!$D$3:$D101,$N91)
-SUMIFS(Transactions!$M$3:$M101,Transactions!$H$3:$H101,"Buy",Transactions!$A$3:$A101,T$65,Transactions!$B$3:$B101,$N91))</f>
        <v/>
      </c>
      <c r="U91" s="158" t="str">
        <f>IF(OR(ISBLANK($N91),ISBLANK(U$65)),"",
SUMIFS(Transactions!$I$3:$I101,Transactions!$H$3:$H101,"Buy",Transactions!$F$3:$F101,"Crypto",Transactions!$A$3:$A101,U$65,Transactions!$D$3:$D101,$N91)
+SUMIFS(Transactions!$I$3:$I101,Transactions!$H$3:$H101,"Crypto Interest",Transactions!$F$3:$F101,"Crypto",Transactions!$A$3:$A101,U$65,Transactions!$D$3:$D101,$N91)
+SUMIFS(Transactions!$I$3:$I101,Transactions!$H$3:$H101,"Transfer Deposit",Transactions!$F$3:$F101,"Crypto",Transactions!$A$3:$A101,U$65,Transactions!$D$3:$D101,$N91)
-SUMIFS(Transactions!$I$3:$I101,Transactions!$H$3:$H101,"Transfer Send",Transactions!$F$3:$F101,"Crypto",Transactions!$A$3:$A101,U$65,Transactions!$D$3:$D101,$N91)
-SUMIFS(Transactions!$I$3:$I101,Transactions!$H$3:$H101,"Sell",Transactions!$F$3:$F101,"Crypto",Transactions!$A$3:$A101,U$65,Transactions!$D$3:$D101,$N91)
+SUMIFS(Transactions!$I$3:$I101,Transactions!$H$3:$H101,"Buy",Transactions!$F$3:$F101,"Stablecoin",Transactions!$A$3:$A101,U$65,Transactions!$D$3:$D101,$N91)
+SUMIFS(Transactions!$I$3:$I101,Transactions!$H$3:$H101,"Crypto Interest",Transactions!$F$3:$F101,"Stablecoin",Transactions!$A$3:$A101,U$65,Transactions!$D$3:$D101,$N91)
+SUMIFS(Transactions!$I$3:$I101,Transactions!$H$3:$H101,"Transfer Deposit",Transactions!$F$3:$F101,"Stablecoin",Transactions!$A$3:$A101,U$65,Transactions!$D$3:$D101,$N91)
-SUMIFS(Transactions!$I$3:$I101,Transactions!$H$3:$H101,"Transfer Send",Transactions!$F$3:$F101,"Stablecoin",Transactions!$A$3:$A101,U$65,Transactions!$D$3:$D101,$N91)
-SUMIFS(Transactions!$I$3:$I101,Transactions!$H$3:$H101,"Sell",Transactions!$F$3:$F101,"Stablecoin",Transactions!$A$3:$A101,U$65,Transactions!$D$3:$D101,$N91)
-SUMIFS(Transactions!$M$3:$M101,Transactions!$H$3:$H101,"Buy",Transactions!$A$3:$A101,U$65,Transactions!$B$3:$B101,$N91))</f>
        <v/>
      </c>
      <c r="V91" s="158"/>
      <c r="W91" s="95"/>
      <c r="X91" s="96"/>
      <c r="Y91" s="96" t="str">
        <f>IFERROR(__xludf.DUMMYFUNCTION("IF(ISBLANK(W91),"""",QUERY(GOOGLEFINANCE($N$21,""Close"",W91-5,6),""select Col2 where Col1 &lt; date '""&amp;TEXT(W91+1, ""YYYY-MM-DD"")&amp;""' order by Col1 desc limit 1"",False)
)"),"")</f>
        <v/>
      </c>
      <c r="Z91" s="158"/>
    </row>
    <row r="92">
      <c r="A92" s="14"/>
      <c r="B92" s="149"/>
      <c r="C92" s="145" t="str">
        <f>IF(ISBLANK(B92),"",SUMIF(Portfolio!$A:$A,B92,Portfolio!$C:$C))</f>
        <v/>
      </c>
      <c r="D92" s="145" t="str">
        <f>IF(ISBLANK(B92),"",AVERAGEIF(Portfolio!$A:$A,B92,Portfolio!$D:$D))</f>
        <v/>
      </c>
      <c r="F92" s="145" t="str">
        <f>IF(ISBLANK(B92),"",VLOOKUP(B92,Portfolio!$A:$E,5,0))</f>
        <v/>
      </c>
      <c r="G92" s="145" t="str">
        <f>IF(ISBLANK(B92),"",IFERROR(((C92-SUMIFS(Transactions!I:I,Transactions!H:H,"Crypto Interest",Transactions!E:E,B92))*D92),""))</f>
        <v/>
      </c>
      <c r="H92" s="145" t="str">
        <f t="shared" si="11"/>
        <v/>
      </c>
      <c r="I92" s="145" t="str">
        <f t="shared" si="12"/>
        <v/>
      </c>
      <c r="J92" s="145" t="str">
        <f t="shared" si="13"/>
        <v/>
      </c>
      <c r="K92" s="145" t="str">
        <f>IF(ISBLANK(B92),"",SUMIF(Portfolio!$A:$A,B92,Portfolio!$Q:$Q))</f>
        <v/>
      </c>
      <c r="L92" s="145" t="str">
        <f t="shared" si="14"/>
        <v/>
      </c>
      <c r="M92" s="14"/>
      <c r="N92" s="157"/>
      <c r="O92" s="158" t="str">
        <f>IF(OR(ISBLANK($N92),ISBLANK(O$65)),"",
SUMIFS(Transactions!$I$3:$I101,Transactions!$H$3:$H101,"Buy",Transactions!$F$3:$F101,"Crypto",Transactions!$A$3:$A101,O$65,Transactions!$D$3:$D101,$N92)
+SUMIFS(Transactions!$I$3:$I101,Transactions!$H$3:$H101,"Crypto Interest",Transactions!$F$3:$F101,"Crypto",Transactions!$A$3:$A101,O$65,Transactions!$D$3:$D101,$N92)
+SUMIFS(Transactions!$I$3:$I101,Transactions!$H$3:$H101,"Transfer Deposit",Transactions!$F$3:$F101,"Crypto",Transactions!$A$3:$A101,O$65,Transactions!$D$3:$D101,$N92)
-SUMIFS(Transactions!$I$3:$I101,Transactions!$H$3:$H101,"Transfer Send",Transactions!$F$3:$F101,"Crypto",Transactions!$A$3:$A101,O$65,Transactions!$D$3:$D101,$N92)
-SUMIFS(Transactions!$I$3:$I101,Transactions!$H$3:$H101,"Sell",Transactions!$F$3:$F101,"Crypto",Transactions!$A$3:$A101,O$65,Transactions!$D$3:$D101,$N92)
+SUMIFS(Transactions!$I$3:$I101,Transactions!$H$3:$H101,"Buy",Transactions!$F$3:$F101,"Stablecoin",Transactions!$A$3:$A101,O$65,Transactions!$D$3:$D101,$N92)
+SUMIFS(Transactions!$I$3:$I101,Transactions!$H$3:$H101,"Crypto Interest",Transactions!$F$3:$F101,"Stablecoin",Transactions!$A$3:$A101,O$65,Transactions!$D$3:$D101,$N92)
+SUMIFS(Transactions!$I$3:$I101,Transactions!$H$3:$H101,"Transfer Deposit",Transactions!$F$3:$F101,"Stablecoin",Transactions!$A$3:$A101,O$65,Transactions!$D$3:$D101,$N92)
-SUMIFS(Transactions!$I$3:$I101,Transactions!$H$3:$H101,"Transfer Send",Transactions!$F$3:$F101,"Stablecoin",Transactions!$A$3:$A101,O$65,Transactions!$D$3:$D101,$N92)
-SUMIFS(Transactions!$I$3:$I101,Transactions!$H$3:$H101,"Sell",Transactions!$F$3:$F101,"Stablecoin",Transactions!$A$3:$A101,O$65,Transactions!$D$3:$D101,$N92)
-SUMIFS(Transactions!$M$3:$M101,Transactions!$H$3:$H101,"Buy",Transactions!$A$3:$A101,O$65,Transactions!$B$3:$B101,$N92))</f>
        <v/>
      </c>
      <c r="P92" s="158" t="str">
        <f>IF(OR(ISBLANK($N92),ISBLANK(P$65)),"",
SUMIFS(Transactions!$I$3:$I101,Transactions!$H$3:$H101,"Buy",Transactions!$F$3:$F101,"Crypto",Transactions!$A$3:$A101,P$65,Transactions!$D$3:$D101,$N92)
+SUMIFS(Transactions!$I$3:$I101,Transactions!$H$3:$H101,"Crypto Interest",Transactions!$F$3:$F101,"Crypto",Transactions!$A$3:$A101,P$65,Transactions!$D$3:$D101,$N92)
+SUMIFS(Transactions!$I$3:$I101,Transactions!$H$3:$H101,"Transfer Deposit",Transactions!$F$3:$F101,"Crypto",Transactions!$A$3:$A101,P$65,Transactions!$D$3:$D101,$N92)
-SUMIFS(Transactions!$I$3:$I101,Transactions!$H$3:$H101,"Transfer Send",Transactions!$F$3:$F101,"Crypto",Transactions!$A$3:$A101,P$65,Transactions!$D$3:$D101,$N92)
-SUMIFS(Transactions!$I$3:$I101,Transactions!$H$3:$H101,"Sell",Transactions!$F$3:$F101,"Crypto",Transactions!$A$3:$A101,P$65,Transactions!$D$3:$D101,$N92)
+SUMIFS(Transactions!$I$3:$I101,Transactions!$H$3:$H101,"Buy",Transactions!$F$3:$F101,"Stablecoin",Transactions!$A$3:$A101,P$65,Transactions!$D$3:$D101,$N92)
+SUMIFS(Transactions!$I$3:$I101,Transactions!$H$3:$H101,"Crypto Interest",Transactions!$F$3:$F101,"Stablecoin",Transactions!$A$3:$A101,P$65,Transactions!$D$3:$D101,$N92)
+SUMIFS(Transactions!$I$3:$I101,Transactions!$H$3:$H101,"Transfer Deposit",Transactions!$F$3:$F101,"Stablecoin",Transactions!$A$3:$A101,P$65,Transactions!$D$3:$D101,$N92)
-SUMIFS(Transactions!$I$3:$I101,Transactions!$H$3:$H101,"Transfer Send",Transactions!$F$3:$F101,"Stablecoin",Transactions!$A$3:$A101,P$65,Transactions!$D$3:$D101,$N92)
-SUMIFS(Transactions!$I$3:$I101,Transactions!$H$3:$H101,"Sell",Transactions!$F$3:$F101,"Stablecoin",Transactions!$A$3:$A101,P$65,Transactions!$D$3:$D101,$N92)
-SUMIFS(Transactions!$M$3:$M101,Transactions!$H$3:$H101,"Buy",Transactions!$A$3:$A101,P$65,Transactions!$B$3:$B101,$N92))</f>
        <v/>
      </c>
      <c r="Q92" s="158" t="str">
        <f>IF(OR(ISBLANK($N92),ISBLANK(Q$65)),"",
SUMIFS(Transactions!$I$3:$I101,Transactions!$H$3:$H101,"Buy",Transactions!$F$3:$F101,"Crypto",Transactions!$A$3:$A101,Q$65,Transactions!$D$3:$D101,$N92)
+SUMIFS(Transactions!$I$3:$I101,Transactions!$H$3:$H101,"Crypto Interest",Transactions!$F$3:$F101,"Crypto",Transactions!$A$3:$A101,Q$65,Transactions!$D$3:$D101,$N92)
+SUMIFS(Transactions!$I$3:$I101,Transactions!$H$3:$H101,"Transfer Deposit",Transactions!$F$3:$F101,"Crypto",Transactions!$A$3:$A101,Q$65,Transactions!$D$3:$D101,$N92)
-SUMIFS(Transactions!$I$3:$I101,Transactions!$H$3:$H101,"Transfer Send",Transactions!$F$3:$F101,"Crypto",Transactions!$A$3:$A101,Q$65,Transactions!$D$3:$D101,$N92)
-SUMIFS(Transactions!$I$3:$I101,Transactions!$H$3:$H101,"Sell",Transactions!$F$3:$F101,"Crypto",Transactions!$A$3:$A101,Q$65,Transactions!$D$3:$D101,$N92)
+SUMIFS(Transactions!$I$3:$I101,Transactions!$H$3:$H101,"Buy",Transactions!$F$3:$F101,"Stablecoin",Transactions!$A$3:$A101,Q$65,Transactions!$D$3:$D101,$N92)
+SUMIFS(Transactions!$I$3:$I101,Transactions!$H$3:$H101,"Crypto Interest",Transactions!$F$3:$F101,"Stablecoin",Transactions!$A$3:$A101,Q$65,Transactions!$D$3:$D101,$N92)
+SUMIFS(Transactions!$I$3:$I101,Transactions!$H$3:$H101,"Transfer Deposit",Transactions!$F$3:$F101,"Stablecoin",Transactions!$A$3:$A101,Q$65,Transactions!$D$3:$D101,$N92)
-SUMIFS(Transactions!$I$3:$I101,Transactions!$H$3:$H101,"Transfer Send",Transactions!$F$3:$F101,"Stablecoin",Transactions!$A$3:$A101,Q$65,Transactions!$D$3:$D101,$N92)
-SUMIFS(Transactions!$I$3:$I101,Transactions!$H$3:$H101,"Sell",Transactions!$F$3:$F101,"Stablecoin",Transactions!$A$3:$A101,Q$65,Transactions!$D$3:$D101,$N92)
-SUMIFS(Transactions!$M$3:$M101,Transactions!$H$3:$H101,"Buy",Transactions!$A$3:$A101,Q$65,Transactions!$B$3:$B101,$N92))</f>
        <v/>
      </c>
      <c r="R92" s="158" t="str">
        <f>IF(OR(ISBLANK($N92),ISBLANK(R$65)),"",
SUMIFS(Transactions!$I$3:$I101,Transactions!$H$3:$H101,"Buy",Transactions!$F$3:$F101,"Crypto",Transactions!$A$3:$A101,R$65,Transactions!$D$3:$D101,$N92)
+SUMIFS(Transactions!$I$3:$I101,Transactions!$H$3:$H101,"Crypto Interest",Transactions!$F$3:$F101,"Crypto",Transactions!$A$3:$A101,R$65,Transactions!$D$3:$D101,$N92)
+SUMIFS(Transactions!$I$3:$I101,Transactions!$H$3:$H101,"Transfer Deposit",Transactions!$F$3:$F101,"Crypto",Transactions!$A$3:$A101,R$65,Transactions!$D$3:$D101,$N92)
-SUMIFS(Transactions!$I$3:$I101,Transactions!$H$3:$H101,"Transfer Send",Transactions!$F$3:$F101,"Crypto",Transactions!$A$3:$A101,R$65,Transactions!$D$3:$D101,$N92)
-SUMIFS(Transactions!$I$3:$I101,Transactions!$H$3:$H101,"Sell",Transactions!$F$3:$F101,"Crypto",Transactions!$A$3:$A101,R$65,Transactions!$D$3:$D101,$N92)
+SUMIFS(Transactions!$I$3:$I101,Transactions!$H$3:$H101,"Buy",Transactions!$F$3:$F101,"Stablecoin",Transactions!$A$3:$A101,R$65,Transactions!$D$3:$D101,$N92)
+SUMIFS(Transactions!$I$3:$I101,Transactions!$H$3:$H101,"Crypto Interest",Transactions!$F$3:$F101,"Stablecoin",Transactions!$A$3:$A101,R$65,Transactions!$D$3:$D101,$N92)
+SUMIFS(Transactions!$I$3:$I101,Transactions!$H$3:$H101,"Transfer Deposit",Transactions!$F$3:$F101,"Stablecoin",Transactions!$A$3:$A101,R$65,Transactions!$D$3:$D101,$N92)
-SUMIFS(Transactions!$I$3:$I101,Transactions!$H$3:$H101,"Transfer Send",Transactions!$F$3:$F101,"Stablecoin",Transactions!$A$3:$A101,R$65,Transactions!$D$3:$D101,$N92)
-SUMIFS(Transactions!$I$3:$I101,Transactions!$H$3:$H101,"Sell",Transactions!$F$3:$F101,"Stablecoin",Transactions!$A$3:$A101,R$65,Transactions!$D$3:$D101,$N92)
-SUMIFS(Transactions!$M$3:$M101,Transactions!$H$3:$H101,"Buy",Transactions!$A$3:$A101,R$65,Transactions!$B$3:$B101,$N92))</f>
        <v/>
      </c>
      <c r="S92" s="158" t="str">
        <f>IF(OR(ISBLANK($N92),ISBLANK(S$65)),"",
SUMIFS(Transactions!$I$3:$I101,Transactions!$H$3:$H101,"Buy",Transactions!$F$3:$F101,"Crypto",Transactions!$A$3:$A101,S$65,Transactions!$D$3:$D101,$N92)
+SUMIFS(Transactions!$I$3:$I101,Transactions!$H$3:$H101,"Crypto Interest",Transactions!$F$3:$F101,"Crypto",Transactions!$A$3:$A101,S$65,Transactions!$D$3:$D101,$N92)
+SUMIFS(Transactions!$I$3:$I101,Transactions!$H$3:$H101,"Transfer Deposit",Transactions!$F$3:$F101,"Crypto",Transactions!$A$3:$A101,S$65,Transactions!$D$3:$D101,$N92)
-SUMIFS(Transactions!$I$3:$I101,Transactions!$H$3:$H101,"Transfer Send",Transactions!$F$3:$F101,"Crypto",Transactions!$A$3:$A101,S$65,Transactions!$D$3:$D101,$N92)
-SUMIFS(Transactions!$I$3:$I101,Transactions!$H$3:$H101,"Sell",Transactions!$F$3:$F101,"Crypto",Transactions!$A$3:$A101,S$65,Transactions!$D$3:$D101,$N92)
+SUMIFS(Transactions!$I$3:$I101,Transactions!$H$3:$H101,"Buy",Transactions!$F$3:$F101,"Stablecoin",Transactions!$A$3:$A101,S$65,Transactions!$D$3:$D101,$N92)
+SUMIFS(Transactions!$I$3:$I101,Transactions!$H$3:$H101,"Crypto Interest",Transactions!$F$3:$F101,"Stablecoin",Transactions!$A$3:$A101,S$65,Transactions!$D$3:$D101,$N92)
+SUMIFS(Transactions!$I$3:$I101,Transactions!$H$3:$H101,"Transfer Deposit",Transactions!$F$3:$F101,"Stablecoin",Transactions!$A$3:$A101,S$65,Transactions!$D$3:$D101,$N92)
-SUMIFS(Transactions!$I$3:$I101,Transactions!$H$3:$H101,"Transfer Send",Transactions!$F$3:$F101,"Stablecoin",Transactions!$A$3:$A101,S$65,Transactions!$D$3:$D101,$N92)
-SUMIFS(Transactions!$I$3:$I101,Transactions!$H$3:$H101,"Sell",Transactions!$F$3:$F101,"Stablecoin",Transactions!$A$3:$A101,S$65,Transactions!$D$3:$D101,$N92)
-SUMIFS(Transactions!$M$3:$M101,Transactions!$H$3:$H101,"Buy",Transactions!$A$3:$A101,S$65,Transactions!$B$3:$B101,$N92))</f>
        <v/>
      </c>
      <c r="T92" s="158" t="str">
        <f>IF(OR(ISBLANK($N92),ISBLANK(T$65)),"",
SUMIFS(Transactions!$I$3:$I101,Transactions!$H$3:$H101,"Buy",Transactions!$F$3:$F101,"Crypto",Transactions!$A$3:$A101,T$65,Transactions!$D$3:$D101,$N92)
+SUMIFS(Transactions!$I$3:$I101,Transactions!$H$3:$H101,"Crypto Interest",Transactions!$F$3:$F101,"Crypto",Transactions!$A$3:$A101,T$65,Transactions!$D$3:$D101,$N92)
+SUMIFS(Transactions!$I$3:$I101,Transactions!$H$3:$H101,"Transfer Deposit",Transactions!$F$3:$F101,"Crypto",Transactions!$A$3:$A101,T$65,Transactions!$D$3:$D101,$N92)
-SUMIFS(Transactions!$I$3:$I101,Transactions!$H$3:$H101,"Transfer Send",Transactions!$F$3:$F101,"Crypto",Transactions!$A$3:$A101,T$65,Transactions!$D$3:$D101,$N92)
-SUMIFS(Transactions!$I$3:$I101,Transactions!$H$3:$H101,"Sell",Transactions!$F$3:$F101,"Crypto",Transactions!$A$3:$A101,T$65,Transactions!$D$3:$D101,$N92)
+SUMIFS(Transactions!$I$3:$I101,Transactions!$H$3:$H101,"Buy",Transactions!$F$3:$F101,"Stablecoin",Transactions!$A$3:$A101,T$65,Transactions!$D$3:$D101,$N92)
+SUMIFS(Transactions!$I$3:$I101,Transactions!$H$3:$H101,"Crypto Interest",Transactions!$F$3:$F101,"Stablecoin",Transactions!$A$3:$A101,T$65,Transactions!$D$3:$D101,$N92)
+SUMIFS(Transactions!$I$3:$I101,Transactions!$H$3:$H101,"Transfer Deposit",Transactions!$F$3:$F101,"Stablecoin",Transactions!$A$3:$A101,T$65,Transactions!$D$3:$D101,$N92)
-SUMIFS(Transactions!$I$3:$I101,Transactions!$H$3:$H101,"Transfer Send",Transactions!$F$3:$F101,"Stablecoin",Transactions!$A$3:$A101,T$65,Transactions!$D$3:$D101,$N92)
-SUMIFS(Transactions!$I$3:$I101,Transactions!$H$3:$H101,"Sell",Transactions!$F$3:$F101,"Stablecoin",Transactions!$A$3:$A101,T$65,Transactions!$D$3:$D101,$N92)
-SUMIFS(Transactions!$M$3:$M101,Transactions!$H$3:$H101,"Buy",Transactions!$A$3:$A101,T$65,Transactions!$B$3:$B101,$N92))</f>
        <v/>
      </c>
      <c r="U92" s="158" t="str">
        <f>IF(OR(ISBLANK($N92),ISBLANK(U$65)),"",
SUMIFS(Transactions!$I$3:$I101,Transactions!$H$3:$H101,"Buy",Transactions!$F$3:$F101,"Crypto",Transactions!$A$3:$A101,U$65,Transactions!$D$3:$D101,$N92)
+SUMIFS(Transactions!$I$3:$I101,Transactions!$H$3:$H101,"Crypto Interest",Transactions!$F$3:$F101,"Crypto",Transactions!$A$3:$A101,U$65,Transactions!$D$3:$D101,$N92)
+SUMIFS(Transactions!$I$3:$I101,Transactions!$H$3:$H101,"Transfer Deposit",Transactions!$F$3:$F101,"Crypto",Transactions!$A$3:$A101,U$65,Transactions!$D$3:$D101,$N92)
-SUMIFS(Transactions!$I$3:$I101,Transactions!$H$3:$H101,"Transfer Send",Transactions!$F$3:$F101,"Crypto",Transactions!$A$3:$A101,U$65,Transactions!$D$3:$D101,$N92)
-SUMIFS(Transactions!$I$3:$I101,Transactions!$H$3:$H101,"Sell",Transactions!$F$3:$F101,"Crypto",Transactions!$A$3:$A101,U$65,Transactions!$D$3:$D101,$N92)
+SUMIFS(Transactions!$I$3:$I101,Transactions!$H$3:$H101,"Buy",Transactions!$F$3:$F101,"Stablecoin",Transactions!$A$3:$A101,U$65,Transactions!$D$3:$D101,$N92)
+SUMIFS(Transactions!$I$3:$I101,Transactions!$H$3:$H101,"Crypto Interest",Transactions!$F$3:$F101,"Stablecoin",Transactions!$A$3:$A101,U$65,Transactions!$D$3:$D101,$N92)
+SUMIFS(Transactions!$I$3:$I101,Transactions!$H$3:$H101,"Transfer Deposit",Transactions!$F$3:$F101,"Stablecoin",Transactions!$A$3:$A101,U$65,Transactions!$D$3:$D101,$N92)
-SUMIFS(Transactions!$I$3:$I101,Transactions!$H$3:$H101,"Transfer Send",Transactions!$F$3:$F101,"Stablecoin",Transactions!$A$3:$A101,U$65,Transactions!$D$3:$D101,$N92)
-SUMIFS(Transactions!$I$3:$I101,Transactions!$H$3:$H101,"Sell",Transactions!$F$3:$F101,"Stablecoin",Transactions!$A$3:$A101,U$65,Transactions!$D$3:$D101,$N92)
-SUMIFS(Transactions!$M$3:$M101,Transactions!$H$3:$H101,"Buy",Transactions!$A$3:$A101,U$65,Transactions!$B$3:$B101,$N92))</f>
        <v/>
      </c>
      <c r="V92" s="158"/>
      <c r="W92" s="95"/>
      <c r="X92" s="96"/>
      <c r="Y92" s="96" t="str">
        <f>IFERROR(__xludf.DUMMYFUNCTION("IF(ISBLANK(W92),"""",QUERY(GOOGLEFINANCE($N$21,""Close"",W92-5,6),""select Col2 where Col1 &lt; date '""&amp;TEXT(W92+1, ""YYYY-MM-DD"")&amp;""' order by Col1 desc limit 1"",False)
)"),"")</f>
        <v/>
      </c>
      <c r="Z92" s="158"/>
    </row>
    <row r="93">
      <c r="A93" s="14"/>
      <c r="B93" s="149"/>
      <c r="C93" s="145" t="str">
        <f>IF(ISBLANK(B93),"",SUMIF(Portfolio!$A:$A,B93,Portfolio!$C:$C))</f>
        <v/>
      </c>
      <c r="D93" s="145" t="str">
        <f>IF(ISBLANK(B93),"",AVERAGEIF(Portfolio!$A:$A,B93,Portfolio!$D:$D))</f>
        <v/>
      </c>
      <c r="F93" s="145" t="str">
        <f>IF(ISBLANK(B93),"",VLOOKUP(B93,Portfolio!$A:$E,5,0))</f>
        <v/>
      </c>
      <c r="G93" s="145" t="str">
        <f>IF(ISBLANK(B93),"",IFERROR(((C93-SUMIFS(Transactions!I:I,Transactions!H:H,"Crypto Interest",Transactions!E:E,B93))*D93),""))</f>
        <v/>
      </c>
      <c r="H93" s="145" t="str">
        <f t="shared" si="11"/>
        <v/>
      </c>
      <c r="I93" s="145" t="str">
        <f t="shared" si="12"/>
        <v/>
      </c>
      <c r="J93" s="145" t="str">
        <f t="shared" si="13"/>
        <v/>
      </c>
      <c r="K93" s="145" t="str">
        <f>IF(ISBLANK(B93),"",SUMIF(Portfolio!$A:$A,B93,Portfolio!$Q:$Q))</f>
        <v/>
      </c>
      <c r="L93" s="145" t="str">
        <f t="shared" si="14"/>
        <v/>
      </c>
      <c r="M93" s="14"/>
      <c r="N93" s="157"/>
      <c r="O93" s="158" t="str">
        <f>IF(OR(ISBLANK($N93),ISBLANK(O$65)),"",
SUMIFS(Transactions!$I$3:$I101,Transactions!$H$3:$H101,"Buy",Transactions!$F$3:$F101,"Crypto",Transactions!$A$3:$A101,O$65,Transactions!$D$3:$D101,$N93)
+SUMIFS(Transactions!$I$3:$I101,Transactions!$H$3:$H101,"Crypto Interest",Transactions!$F$3:$F101,"Crypto",Transactions!$A$3:$A101,O$65,Transactions!$D$3:$D101,$N93)
+SUMIFS(Transactions!$I$3:$I101,Transactions!$H$3:$H101,"Transfer Deposit",Transactions!$F$3:$F101,"Crypto",Transactions!$A$3:$A101,O$65,Transactions!$D$3:$D101,$N93)
-SUMIFS(Transactions!$I$3:$I101,Transactions!$H$3:$H101,"Transfer Send",Transactions!$F$3:$F101,"Crypto",Transactions!$A$3:$A101,O$65,Transactions!$D$3:$D101,$N93)
-SUMIFS(Transactions!$I$3:$I101,Transactions!$H$3:$H101,"Sell",Transactions!$F$3:$F101,"Crypto",Transactions!$A$3:$A101,O$65,Transactions!$D$3:$D101,$N93)
+SUMIFS(Transactions!$I$3:$I101,Transactions!$H$3:$H101,"Buy",Transactions!$F$3:$F101,"Stablecoin",Transactions!$A$3:$A101,O$65,Transactions!$D$3:$D101,$N93)
+SUMIFS(Transactions!$I$3:$I101,Transactions!$H$3:$H101,"Crypto Interest",Transactions!$F$3:$F101,"Stablecoin",Transactions!$A$3:$A101,O$65,Transactions!$D$3:$D101,$N93)
+SUMIFS(Transactions!$I$3:$I101,Transactions!$H$3:$H101,"Transfer Deposit",Transactions!$F$3:$F101,"Stablecoin",Transactions!$A$3:$A101,O$65,Transactions!$D$3:$D101,$N93)
-SUMIFS(Transactions!$I$3:$I101,Transactions!$H$3:$H101,"Transfer Send",Transactions!$F$3:$F101,"Stablecoin",Transactions!$A$3:$A101,O$65,Transactions!$D$3:$D101,$N93)
-SUMIFS(Transactions!$I$3:$I101,Transactions!$H$3:$H101,"Sell",Transactions!$F$3:$F101,"Stablecoin",Transactions!$A$3:$A101,O$65,Transactions!$D$3:$D101,$N93)
-SUMIFS(Transactions!$M$3:$M101,Transactions!$H$3:$H101,"Buy",Transactions!$A$3:$A101,O$65,Transactions!$B$3:$B101,$N93))</f>
        <v/>
      </c>
      <c r="P93" s="158" t="str">
        <f>IF(OR(ISBLANK($N93),ISBLANK(P$65)),"",
SUMIFS(Transactions!$I$3:$I101,Transactions!$H$3:$H101,"Buy",Transactions!$F$3:$F101,"Crypto",Transactions!$A$3:$A101,P$65,Transactions!$D$3:$D101,$N93)
+SUMIFS(Transactions!$I$3:$I101,Transactions!$H$3:$H101,"Crypto Interest",Transactions!$F$3:$F101,"Crypto",Transactions!$A$3:$A101,P$65,Transactions!$D$3:$D101,$N93)
+SUMIFS(Transactions!$I$3:$I101,Transactions!$H$3:$H101,"Transfer Deposit",Transactions!$F$3:$F101,"Crypto",Transactions!$A$3:$A101,P$65,Transactions!$D$3:$D101,$N93)
-SUMIFS(Transactions!$I$3:$I101,Transactions!$H$3:$H101,"Transfer Send",Transactions!$F$3:$F101,"Crypto",Transactions!$A$3:$A101,P$65,Transactions!$D$3:$D101,$N93)
-SUMIFS(Transactions!$I$3:$I101,Transactions!$H$3:$H101,"Sell",Transactions!$F$3:$F101,"Crypto",Transactions!$A$3:$A101,P$65,Transactions!$D$3:$D101,$N93)
+SUMIFS(Transactions!$I$3:$I101,Transactions!$H$3:$H101,"Buy",Transactions!$F$3:$F101,"Stablecoin",Transactions!$A$3:$A101,P$65,Transactions!$D$3:$D101,$N93)
+SUMIFS(Transactions!$I$3:$I101,Transactions!$H$3:$H101,"Crypto Interest",Transactions!$F$3:$F101,"Stablecoin",Transactions!$A$3:$A101,P$65,Transactions!$D$3:$D101,$N93)
+SUMIFS(Transactions!$I$3:$I101,Transactions!$H$3:$H101,"Transfer Deposit",Transactions!$F$3:$F101,"Stablecoin",Transactions!$A$3:$A101,P$65,Transactions!$D$3:$D101,$N93)
-SUMIFS(Transactions!$I$3:$I101,Transactions!$H$3:$H101,"Transfer Send",Transactions!$F$3:$F101,"Stablecoin",Transactions!$A$3:$A101,P$65,Transactions!$D$3:$D101,$N93)
-SUMIFS(Transactions!$I$3:$I101,Transactions!$H$3:$H101,"Sell",Transactions!$F$3:$F101,"Stablecoin",Transactions!$A$3:$A101,P$65,Transactions!$D$3:$D101,$N93)
-SUMIFS(Transactions!$M$3:$M101,Transactions!$H$3:$H101,"Buy",Transactions!$A$3:$A101,P$65,Transactions!$B$3:$B101,$N93))</f>
        <v/>
      </c>
      <c r="Q93" s="158" t="str">
        <f>IF(OR(ISBLANK($N93),ISBLANK(Q$65)),"",
SUMIFS(Transactions!$I$3:$I101,Transactions!$H$3:$H101,"Buy",Transactions!$F$3:$F101,"Crypto",Transactions!$A$3:$A101,Q$65,Transactions!$D$3:$D101,$N93)
+SUMIFS(Transactions!$I$3:$I101,Transactions!$H$3:$H101,"Crypto Interest",Transactions!$F$3:$F101,"Crypto",Transactions!$A$3:$A101,Q$65,Transactions!$D$3:$D101,$N93)
+SUMIFS(Transactions!$I$3:$I101,Transactions!$H$3:$H101,"Transfer Deposit",Transactions!$F$3:$F101,"Crypto",Transactions!$A$3:$A101,Q$65,Transactions!$D$3:$D101,$N93)
-SUMIFS(Transactions!$I$3:$I101,Transactions!$H$3:$H101,"Transfer Send",Transactions!$F$3:$F101,"Crypto",Transactions!$A$3:$A101,Q$65,Transactions!$D$3:$D101,$N93)
-SUMIFS(Transactions!$I$3:$I101,Transactions!$H$3:$H101,"Sell",Transactions!$F$3:$F101,"Crypto",Transactions!$A$3:$A101,Q$65,Transactions!$D$3:$D101,$N93)
+SUMIFS(Transactions!$I$3:$I101,Transactions!$H$3:$H101,"Buy",Transactions!$F$3:$F101,"Stablecoin",Transactions!$A$3:$A101,Q$65,Transactions!$D$3:$D101,$N93)
+SUMIFS(Transactions!$I$3:$I101,Transactions!$H$3:$H101,"Crypto Interest",Transactions!$F$3:$F101,"Stablecoin",Transactions!$A$3:$A101,Q$65,Transactions!$D$3:$D101,$N93)
+SUMIFS(Transactions!$I$3:$I101,Transactions!$H$3:$H101,"Transfer Deposit",Transactions!$F$3:$F101,"Stablecoin",Transactions!$A$3:$A101,Q$65,Transactions!$D$3:$D101,$N93)
-SUMIFS(Transactions!$I$3:$I101,Transactions!$H$3:$H101,"Transfer Send",Transactions!$F$3:$F101,"Stablecoin",Transactions!$A$3:$A101,Q$65,Transactions!$D$3:$D101,$N93)
-SUMIFS(Transactions!$I$3:$I101,Transactions!$H$3:$H101,"Sell",Transactions!$F$3:$F101,"Stablecoin",Transactions!$A$3:$A101,Q$65,Transactions!$D$3:$D101,$N93)
-SUMIFS(Transactions!$M$3:$M101,Transactions!$H$3:$H101,"Buy",Transactions!$A$3:$A101,Q$65,Transactions!$B$3:$B101,$N93))</f>
        <v/>
      </c>
      <c r="R93" s="158" t="str">
        <f>IF(OR(ISBLANK($N93),ISBLANK(R$65)),"",
SUMIFS(Transactions!$I$3:$I101,Transactions!$H$3:$H101,"Buy",Transactions!$F$3:$F101,"Crypto",Transactions!$A$3:$A101,R$65,Transactions!$D$3:$D101,$N93)
+SUMIFS(Transactions!$I$3:$I101,Transactions!$H$3:$H101,"Crypto Interest",Transactions!$F$3:$F101,"Crypto",Transactions!$A$3:$A101,R$65,Transactions!$D$3:$D101,$N93)
+SUMIFS(Transactions!$I$3:$I101,Transactions!$H$3:$H101,"Transfer Deposit",Transactions!$F$3:$F101,"Crypto",Transactions!$A$3:$A101,R$65,Transactions!$D$3:$D101,$N93)
-SUMIFS(Transactions!$I$3:$I101,Transactions!$H$3:$H101,"Transfer Send",Transactions!$F$3:$F101,"Crypto",Transactions!$A$3:$A101,R$65,Transactions!$D$3:$D101,$N93)
-SUMIFS(Transactions!$I$3:$I101,Transactions!$H$3:$H101,"Sell",Transactions!$F$3:$F101,"Crypto",Transactions!$A$3:$A101,R$65,Transactions!$D$3:$D101,$N93)
+SUMIFS(Transactions!$I$3:$I101,Transactions!$H$3:$H101,"Buy",Transactions!$F$3:$F101,"Stablecoin",Transactions!$A$3:$A101,R$65,Transactions!$D$3:$D101,$N93)
+SUMIFS(Transactions!$I$3:$I101,Transactions!$H$3:$H101,"Crypto Interest",Transactions!$F$3:$F101,"Stablecoin",Transactions!$A$3:$A101,R$65,Transactions!$D$3:$D101,$N93)
+SUMIFS(Transactions!$I$3:$I101,Transactions!$H$3:$H101,"Transfer Deposit",Transactions!$F$3:$F101,"Stablecoin",Transactions!$A$3:$A101,R$65,Transactions!$D$3:$D101,$N93)
-SUMIFS(Transactions!$I$3:$I101,Transactions!$H$3:$H101,"Transfer Send",Transactions!$F$3:$F101,"Stablecoin",Transactions!$A$3:$A101,R$65,Transactions!$D$3:$D101,$N93)
-SUMIFS(Transactions!$I$3:$I101,Transactions!$H$3:$H101,"Sell",Transactions!$F$3:$F101,"Stablecoin",Transactions!$A$3:$A101,R$65,Transactions!$D$3:$D101,$N93)
-SUMIFS(Transactions!$M$3:$M101,Transactions!$H$3:$H101,"Buy",Transactions!$A$3:$A101,R$65,Transactions!$B$3:$B101,$N93))</f>
        <v/>
      </c>
      <c r="S93" s="158" t="str">
        <f>IF(OR(ISBLANK($N93),ISBLANK(S$65)),"",
SUMIFS(Transactions!$I$3:$I101,Transactions!$H$3:$H101,"Buy",Transactions!$F$3:$F101,"Crypto",Transactions!$A$3:$A101,S$65,Transactions!$D$3:$D101,$N93)
+SUMIFS(Transactions!$I$3:$I101,Transactions!$H$3:$H101,"Crypto Interest",Transactions!$F$3:$F101,"Crypto",Transactions!$A$3:$A101,S$65,Transactions!$D$3:$D101,$N93)
+SUMIFS(Transactions!$I$3:$I101,Transactions!$H$3:$H101,"Transfer Deposit",Transactions!$F$3:$F101,"Crypto",Transactions!$A$3:$A101,S$65,Transactions!$D$3:$D101,$N93)
-SUMIFS(Transactions!$I$3:$I101,Transactions!$H$3:$H101,"Transfer Send",Transactions!$F$3:$F101,"Crypto",Transactions!$A$3:$A101,S$65,Transactions!$D$3:$D101,$N93)
-SUMIFS(Transactions!$I$3:$I101,Transactions!$H$3:$H101,"Sell",Transactions!$F$3:$F101,"Crypto",Transactions!$A$3:$A101,S$65,Transactions!$D$3:$D101,$N93)
+SUMIFS(Transactions!$I$3:$I101,Transactions!$H$3:$H101,"Buy",Transactions!$F$3:$F101,"Stablecoin",Transactions!$A$3:$A101,S$65,Transactions!$D$3:$D101,$N93)
+SUMIFS(Transactions!$I$3:$I101,Transactions!$H$3:$H101,"Crypto Interest",Transactions!$F$3:$F101,"Stablecoin",Transactions!$A$3:$A101,S$65,Transactions!$D$3:$D101,$N93)
+SUMIFS(Transactions!$I$3:$I101,Transactions!$H$3:$H101,"Transfer Deposit",Transactions!$F$3:$F101,"Stablecoin",Transactions!$A$3:$A101,S$65,Transactions!$D$3:$D101,$N93)
-SUMIFS(Transactions!$I$3:$I101,Transactions!$H$3:$H101,"Transfer Send",Transactions!$F$3:$F101,"Stablecoin",Transactions!$A$3:$A101,S$65,Transactions!$D$3:$D101,$N93)
-SUMIFS(Transactions!$I$3:$I101,Transactions!$H$3:$H101,"Sell",Transactions!$F$3:$F101,"Stablecoin",Transactions!$A$3:$A101,S$65,Transactions!$D$3:$D101,$N93)
-SUMIFS(Transactions!$M$3:$M101,Transactions!$H$3:$H101,"Buy",Transactions!$A$3:$A101,S$65,Transactions!$B$3:$B101,$N93))</f>
        <v/>
      </c>
      <c r="T93" s="158" t="str">
        <f>IF(OR(ISBLANK($N93),ISBLANK(T$65)),"",
SUMIFS(Transactions!$I$3:$I101,Transactions!$H$3:$H101,"Buy",Transactions!$F$3:$F101,"Crypto",Transactions!$A$3:$A101,T$65,Transactions!$D$3:$D101,$N93)
+SUMIFS(Transactions!$I$3:$I101,Transactions!$H$3:$H101,"Crypto Interest",Transactions!$F$3:$F101,"Crypto",Transactions!$A$3:$A101,T$65,Transactions!$D$3:$D101,$N93)
+SUMIFS(Transactions!$I$3:$I101,Transactions!$H$3:$H101,"Transfer Deposit",Transactions!$F$3:$F101,"Crypto",Transactions!$A$3:$A101,T$65,Transactions!$D$3:$D101,$N93)
-SUMIFS(Transactions!$I$3:$I101,Transactions!$H$3:$H101,"Transfer Send",Transactions!$F$3:$F101,"Crypto",Transactions!$A$3:$A101,T$65,Transactions!$D$3:$D101,$N93)
-SUMIFS(Transactions!$I$3:$I101,Transactions!$H$3:$H101,"Sell",Transactions!$F$3:$F101,"Crypto",Transactions!$A$3:$A101,T$65,Transactions!$D$3:$D101,$N93)
+SUMIFS(Transactions!$I$3:$I101,Transactions!$H$3:$H101,"Buy",Transactions!$F$3:$F101,"Stablecoin",Transactions!$A$3:$A101,T$65,Transactions!$D$3:$D101,$N93)
+SUMIFS(Transactions!$I$3:$I101,Transactions!$H$3:$H101,"Crypto Interest",Transactions!$F$3:$F101,"Stablecoin",Transactions!$A$3:$A101,T$65,Transactions!$D$3:$D101,$N93)
+SUMIFS(Transactions!$I$3:$I101,Transactions!$H$3:$H101,"Transfer Deposit",Transactions!$F$3:$F101,"Stablecoin",Transactions!$A$3:$A101,T$65,Transactions!$D$3:$D101,$N93)
-SUMIFS(Transactions!$I$3:$I101,Transactions!$H$3:$H101,"Transfer Send",Transactions!$F$3:$F101,"Stablecoin",Transactions!$A$3:$A101,T$65,Transactions!$D$3:$D101,$N93)
-SUMIFS(Transactions!$I$3:$I101,Transactions!$H$3:$H101,"Sell",Transactions!$F$3:$F101,"Stablecoin",Transactions!$A$3:$A101,T$65,Transactions!$D$3:$D101,$N93)
-SUMIFS(Transactions!$M$3:$M101,Transactions!$H$3:$H101,"Buy",Transactions!$A$3:$A101,T$65,Transactions!$B$3:$B101,$N93))</f>
        <v/>
      </c>
      <c r="U93" s="158" t="str">
        <f>IF(OR(ISBLANK($N93),ISBLANK(U$65)),"",
SUMIFS(Transactions!$I$3:$I101,Transactions!$H$3:$H101,"Buy",Transactions!$F$3:$F101,"Crypto",Transactions!$A$3:$A101,U$65,Transactions!$D$3:$D101,$N93)
+SUMIFS(Transactions!$I$3:$I101,Transactions!$H$3:$H101,"Crypto Interest",Transactions!$F$3:$F101,"Crypto",Transactions!$A$3:$A101,U$65,Transactions!$D$3:$D101,$N93)
+SUMIFS(Transactions!$I$3:$I101,Transactions!$H$3:$H101,"Transfer Deposit",Transactions!$F$3:$F101,"Crypto",Transactions!$A$3:$A101,U$65,Transactions!$D$3:$D101,$N93)
-SUMIFS(Transactions!$I$3:$I101,Transactions!$H$3:$H101,"Transfer Send",Transactions!$F$3:$F101,"Crypto",Transactions!$A$3:$A101,U$65,Transactions!$D$3:$D101,$N93)
-SUMIFS(Transactions!$I$3:$I101,Transactions!$H$3:$H101,"Sell",Transactions!$F$3:$F101,"Crypto",Transactions!$A$3:$A101,U$65,Transactions!$D$3:$D101,$N93)
+SUMIFS(Transactions!$I$3:$I101,Transactions!$H$3:$H101,"Buy",Transactions!$F$3:$F101,"Stablecoin",Transactions!$A$3:$A101,U$65,Transactions!$D$3:$D101,$N93)
+SUMIFS(Transactions!$I$3:$I101,Transactions!$H$3:$H101,"Crypto Interest",Transactions!$F$3:$F101,"Stablecoin",Transactions!$A$3:$A101,U$65,Transactions!$D$3:$D101,$N93)
+SUMIFS(Transactions!$I$3:$I101,Transactions!$H$3:$H101,"Transfer Deposit",Transactions!$F$3:$F101,"Stablecoin",Transactions!$A$3:$A101,U$65,Transactions!$D$3:$D101,$N93)
-SUMIFS(Transactions!$I$3:$I101,Transactions!$H$3:$H101,"Transfer Send",Transactions!$F$3:$F101,"Stablecoin",Transactions!$A$3:$A101,U$65,Transactions!$D$3:$D101,$N93)
-SUMIFS(Transactions!$I$3:$I101,Transactions!$H$3:$H101,"Sell",Transactions!$F$3:$F101,"Stablecoin",Transactions!$A$3:$A101,U$65,Transactions!$D$3:$D101,$N93)
-SUMIFS(Transactions!$M$3:$M101,Transactions!$H$3:$H101,"Buy",Transactions!$A$3:$A101,U$65,Transactions!$B$3:$B101,$N93))</f>
        <v/>
      </c>
      <c r="V93" s="158"/>
      <c r="W93" s="95"/>
      <c r="X93" s="96"/>
      <c r="Y93" s="96" t="str">
        <f>IFERROR(__xludf.DUMMYFUNCTION("IF(ISBLANK(W93),"""",QUERY(GOOGLEFINANCE($N$21,""Close"",W93-5,6),""select Col2 where Col1 &lt; date '""&amp;TEXT(W93+1, ""YYYY-MM-DD"")&amp;""' order by Col1 desc limit 1"",False)
)"),"")</f>
        <v/>
      </c>
      <c r="Z93" s="158"/>
    </row>
    <row r="94">
      <c r="A94" s="14"/>
      <c r="B94" s="149"/>
      <c r="C94" s="145" t="str">
        <f>IF(ISBLANK(B94),"",SUMIF(Portfolio!$A:$A,B94,Portfolio!$C:$C))</f>
        <v/>
      </c>
      <c r="D94" s="145" t="str">
        <f>IF(ISBLANK(B94),"",AVERAGEIF(Portfolio!$A:$A,B94,Portfolio!$D:$D))</f>
        <v/>
      </c>
      <c r="F94" s="145" t="str">
        <f>IF(ISBLANK(B94),"",VLOOKUP(B94,Portfolio!$A:$E,5,0))</f>
        <v/>
      </c>
      <c r="G94" s="145" t="str">
        <f>IF(ISBLANK(B94),"",IFERROR(((C94-SUMIFS(Transactions!I:I,Transactions!H:H,"Crypto Interest",Transactions!E:E,B94))*D94),""))</f>
        <v/>
      </c>
      <c r="H94" s="145" t="str">
        <f t="shared" si="11"/>
        <v/>
      </c>
      <c r="I94" s="145" t="str">
        <f t="shared" si="12"/>
        <v/>
      </c>
      <c r="J94" s="145" t="str">
        <f t="shared" si="13"/>
        <v/>
      </c>
      <c r="K94" s="145" t="str">
        <f>IF(ISBLANK(B94),"",SUMIF(Portfolio!$A:$A,B94,Portfolio!$Q:$Q))</f>
        <v/>
      </c>
      <c r="L94" s="145" t="str">
        <f t="shared" si="14"/>
        <v/>
      </c>
      <c r="M94" s="14"/>
      <c r="N94" s="157"/>
      <c r="O94" s="158" t="str">
        <f>IF(OR(ISBLANK($N94),ISBLANK(O$65)),"",
SUMIFS(Transactions!$I$3:$I101,Transactions!$H$3:$H101,"Buy",Transactions!$F$3:$F101,"Crypto",Transactions!$A$3:$A101,O$65,Transactions!$D$3:$D101,$N94)
+SUMIFS(Transactions!$I$3:$I101,Transactions!$H$3:$H101,"Crypto Interest",Transactions!$F$3:$F101,"Crypto",Transactions!$A$3:$A101,O$65,Transactions!$D$3:$D101,$N94)
+SUMIFS(Transactions!$I$3:$I101,Transactions!$H$3:$H101,"Transfer Deposit",Transactions!$F$3:$F101,"Crypto",Transactions!$A$3:$A101,O$65,Transactions!$D$3:$D101,$N94)
-SUMIFS(Transactions!$I$3:$I101,Transactions!$H$3:$H101,"Transfer Send",Transactions!$F$3:$F101,"Crypto",Transactions!$A$3:$A101,O$65,Transactions!$D$3:$D101,$N94)
-SUMIFS(Transactions!$I$3:$I101,Transactions!$H$3:$H101,"Sell",Transactions!$F$3:$F101,"Crypto",Transactions!$A$3:$A101,O$65,Transactions!$D$3:$D101,$N94)
+SUMIFS(Transactions!$I$3:$I101,Transactions!$H$3:$H101,"Buy",Transactions!$F$3:$F101,"Stablecoin",Transactions!$A$3:$A101,O$65,Transactions!$D$3:$D101,$N94)
+SUMIFS(Transactions!$I$3:$I101,Transactions!$H$3:$H101,"Crypto Interest",Transactions!$F$3:$F101,"Stablecoin",Transactions!$A$3:$A101,O$65,Transactions!$D$3:$D101,$N94)
+SUMIFS(Transactions!$I$3:$I101,Transactions!$H$3:$H101,"Transfer Deposit",Transactions!$F$3:$F101,"Stablecoin",Transactions!$A$3:$A101,O$65,Transactions!$D$3:$D101,$N94)
-SUMIFS(Transactions!$I$3:$I101,Transactions!$H$3:$H101,"Transfer Send",Transactions!$F$3:$F101,"Stablecoin",Transactions!$A$3:$A101,O$65,Transactions!$D$3:$D101,$N94)
-SUMIFS(Transactions!$I$3:$I101,Transactions!$H$3:$H101,"Sell",Transactions!$F$3:$F101,"Stablecoin",Transactions!$A$3:$A101,O$65,Transactions!$D$3:$D101,$N94)
-SUMIFS(Transactions!$M$3:$M101,Transactions!$H$3:$H101,"Buy",Transactions!$A$3:$A101,O$65,Transactions!$B$3:$B101,$N94))</f>
        <v/>
      </c>
      <c r="P94" s="158" t="str">
        <f>IF(OR(ISBLANK($N94),ISBLANK(P$65)),"",
SUMIFS(Transactions!$I$3:$I101,Transactions!$H$3:$H101,"Buy",Transactions!$F$3:$F101,"Crypto",Transactions!$A$3:$A101,P$65,Transactions!$D$3:$D101,$N94)
+SUMIFS(Transactions!$I$3:$I101,Transactions!$H$3:$H101,"Crypto Interest",Transactions!$F$3:$F101,"Crypto",Transactions!$A$3:$A101,P$65,Transactions!$D$3:$D101,$N94)
+SUMIFS(Transactions!$I$3:$I101,Transactions!$H$3:$H101,"Transfer Deposit",Transactions!$F$3:$F101,"Crypto",Transactions!$A$3:$A101,P$65,Transactions!$D$3:$D101,$N94)
-SUMIFS(Transactions!$I$3:$I101,Transactions!$H$3:$H101,"Transfer Send",Transactions!$F$3:$F101,"Crypto",Transactions!$A$3:$A101,P$65,Transactions!$D$3:$D101,$N94)
-SUMIFS(Transactions!$I$3:$I101,Transactions!$H$3:$H101,"Sell",Transactions!$F$3:$F101,"Crypto",Transactions!$A$3:$A101,P$65,Transactions!$D$3:$D101,$N94)
+SUMIFS(Transactions!$I$3:$I101,Transactions!$H$3:$H101,"Buy",Transactions!$F$3:$F101,"Stablecoin",Transactions!$A$3:$A101,P$65,Transactions!$D$3:$D101,$N94)
+SUMIFS(Transactions!$I$3:$I101,Transactions!$H$3:$H101,"Crypto Interest",Transactions!$F$3:$F101,"Stablecoin",Transactions!$A$3:$A101,P$65,Transactions!$D$3:$D101,$N94)
+SUMIFS(Transactions!$I$3:$I101,Transactions!$H$3:$H101,"Transfer Deposit",Transactions!$F$3:$F101,"Stablecoin",Transactions!$A$3:$A101,P$65,Transactions!$D$3:$D101,$N94)
-SUMIFS(Transactions!$I$3:$I101,Transactions!$H$3:$H101,"Transfer Send",Transactions!$F$3:$F101,"Stablecoin",Transactions!$A$3:$A101,P$65,Transactions!$D$3:$D101,$N94)
-SUMIFS(Transactions!$I$3:$I101,Transactions!$H$3:$H101,"Sell",Transactions!$F$3:$F101,"Stablecoin",Transactions!$A$3:$A101,P$65,Transactions!$D$3:$D101,$N94)
-SUMIFS(Transactions!$M$3:$M101,Transactions!$H$3:$H101,"Buy",Transactions!$A$3:$A101,P$65,Transactions!$B$3:$B101,$N94))</f>
        <v/>
      </c>
      <c r="Q94" s="158" t="str">
        <f>IF(OR(ISBLANK($N94),ISBLANK(Q$65)),"",
SUMIFS(Transactions!$I$3:$I101,Transactions!$H$3:$H101,"Buy",Transactions!$F$3:$F101,"Crypto",Transactions!$A$3:$A101,Q$65,Transactions!$D$3:$D101,$N94)
+SUMIFS(Transactions!$I$3:$I101,Transactions!$H$3:$H101,"Crypto Interest",Transactions!$F$3:$F101,"Crypto",Transactions!$A$3:$A101,Q$65,Transactions!$D$3:$D101,$N94)
+SUMIFS(Transactions!$I$3:$I101,Transactions!$H$3:$H101,"Transfer Deposit",Transactions!$F$3:$F101,"Crypto",Transactions!$A$3:$A101,Q$65,Transactions!$D$3:$D101,$N94)
-SUMIFS(Transactions!$I$3:$I101,Transactions!$H$3:$H101,"Transfer Send",Transactions!$F$3:$F101,"Crypto",Transactions!$A$3:$A101,Q$65,Transactions!$D$3:$D101,$N94)
-SUMIFS(Transactions!$I$3:$I101,Transactions!$H$3:$H101,"Sell",Transactions!$F$3:$F101,"Crypto",Transactions!$A$3:$A101,Q$65,Transactions!$D$3:$D101,$N94)
+SUMIFS(Transactions!$I$3:$I101,Transactions!$H$3:$H101,"Buy",Transactions!$F$3:$F101,"Stablecoin",Transactions!$A$3:$A101,Q$65,Transactions!$D$3:$D101,$N94)
+SUMIFS(Transactions!$I$3:$I101,Transactions!$H$3:$H101,"Crypto Interest",Transactions!$F$3:$F101,"Stablecoin",Transactions!$A$3:$A101,Q$65,Transactions!$D$3:$D101,$N94)
+SUMIFS(Transactions!$I$3:$I101,Transactions!$H$3:$H101,"Transfer Deposit",Transactions!$F$3:$F101,"Stablecoin",Transactions!$A$3:$A101,Q$65,Transactions!$D$3:$D101,$N94)
-SUMIFS(Transactions!$I$3:$I101,Transactions!$H$3:$H101,"Transfer Send",Transactions!$F$3:$F101,"Stablecoin",Transactions!$A$3:$A101,Q$65,Transactions!$D$3:$D101,$N94)
-SUMIFS(Transactions!$I$3:$I101,Transactions!$H$3:$H101,"Sell",Transactions!$F$3:$F101,"Stablecoin",Transactions!$A$3:$A101,Q$65,Transactions!$D$3:$D101,$N94)
-SUMIFS(Transactions!$M$3:$M101,Transactions!$H$3:$H101,"Buy",Transactions!$A$3:$A101,Q$65,Transactions!$B$3:$B101,$N94))</f>
        <v/>
      </c>
      <c r="R94" s="158" t="str">
        <f>IF(OR(ISBLANK($N94),ISBLANK(R$65)),"",
SUMIFS(Transactions!$I$3:$I101,Transactions!$H$3:$H101,"Buy",Transactions!$F$3:$F101,"Crypto",Transactions!$A$3:$A101,R$65,Transactions!$D$3:$D101,$N94)
+SUMIFS(Transactions!$I$3:$I101,Transactions!$H$3:$H101,"Crypto Interest",Transactions!$F$3:$F101,"Crypto",Transactions!$A$3:$A101,R$65,Transactions!$D$3:$D101,$N94)
+SUMIFS(Transactions!$I$3:$I101,Transactions!$H$3:$H101,"Transfer Deposit",Transactions!$F$3:$F101,"Crypto",Transactions!$A$3:$A101,R$65,Transactions!$D$3:$D101,$N94)
-SUMIFS(Transactions!$I$3:$I101,Transactions!$H$3:$H101,"Transfer Send",Transactions!$F$3:$F101,"Crypto",Transactions!$A$3:$A101,R$65,Transactions!$D$3:$D101,$N94)
-SUMIFS(Transactions!$I$3:$I101,Transactions!$H$3:$H101,"Sell",Transactions!$F$3:$F101,"Crypto",Transactions!$A$3:$A101,R$65,Transactions!$D$3:$D101,$N94)
+SUMIFS(Transactions!$I$3:$I101,Transactions!$H$3:$H101,"Buy",Transactions!$F$3:$F101,"Stablecoin",Transactions!$A$3:$A101,R$65,Transactions!$D$3:$D101,$N94)
+SUMIFS(Transactions!$I$3:$I101,Transactions!$H$3:$H101,"Crypto Interest",Transactions!$F$3:$F101,"Stablecoin",Transactions!$A$3:$A101,R$65,Transactions!$D$3:$D101,$N94)
+SUMIFS(Transactions!$I$3:$I101,Transactions!$H$3:$H101,"Transfer Deposit",Transactions!$F$3:$F101,"Stablecoin",Transactions!$A$3:$A101,R$65,Transactions!$D$3:$D101,$N94)
-SUMIFS(Transactions!$I$3:$I101,Transactions!$H$3:$H101,"Transfer Send",Transactions!$F$3:$F101,"Stablecoin",Transactions!$A$3:$A101,R$65,Transactions!$D$3:$D101,$N94)
-SUMIFS(Transactions!$I$3:$I101,Transactions!$H$3:$H101,"Sell",Transactions!$F$3:$F101,"Stablecoin",Transactions!$A$3:$A101,R$65,Transactions!$D$3:$D101,$N94)
-SUMIFS(Transactions!$M$3:$M101,Transactions!$H$3:$H101,"Buy",Transactions!$A$3:$A101,R$65,Transactions!$B$3:$B101,$N94))</f>
        <v/>
      </c>
      <c r="S94" s="158" t="str">
        <f>IF(OR(ISBLANK($N94),ISBLANK(S$65)),"",
SUMIFS(Transactions!$I$3:$I101,Transactions!$H$3:$H101,"Buy",Transactions!$F$3:$F101,"Crypto",Transactions!$A$3:$A101,S$65,Transactions!$D$3:$D101,$N94)
+SUMIFS(Transactions!$I$3:$I101,Transactions!$H$3:$H101,"Crypto Interest",Transactions!$F$3:$F101,"Crypto",Transactions!$A$3:$A101,S$65,Transactions!$D$3:$D101,$N94)
+SUMIFS(Transactions!$I$3:$I101,Transactions!$H$3:$H101,"Transfer Deposit",Transactions!$F$3:$F101,"Crypto",Transactions!$A$3:$A101,S$65,Transactions!$D$3:$D101,$N94)
-SUMIFS(Transactions!$I$3:$I101,Transactions!$H$3:$H101,"Transfer Send",Transactions!$F$3:$F101,"Crypto",Transactions!$A$3:$A101,S$65,Transactions!$D$3:$D101,$N94)
-SUMIFS(Transactions!$I$3:$I101,Transactions!$H$3:$H101,"Sell",Transactions!$F$3:$F101,"Crypto",Transactions!$A$3:$A101,S$65,Transactions!$D$3:$D101,$N94)
+SUMIFS(Transactions!$I$3:$I101,Transactions!$H$3:$H101,"Buy",Transactions!$F$3:$F101,"Stablecoin",Transactions!$A$3:$A101,S$65,Transactions!$D$3:$D101,$N94)
+SUMIFS(Transactions!$I$3:$I101,Transactions!$H$3:$H101,"Crypto Interest",Transactions!$F$3:$F101,"Stablecoin",Transactions!$A$3:$A101,S$65,Transactions!$D$3:$D101,$N94)
+SUMIFS(Transactions!$I$3:$I101,Transactions!$H$3:$H101,"Transfer Deposit",Transactions!$F$3:$F101,"Stablecoin",Transactions!$A$3:$A101,S$65,Transactions!$D$3:$D101,$N94)
-SUMIFS(Transactions!$I$3:$I101,Transactions!$H$3:$H101,"Transfer Send",Transactions!$F$3:$F101,"Stablecoin",Transactions!$A$3:$A101,S$65,Transactions!$D$3:$D101,$N94)
-SUMIFS(Transactions!$I$3:$I101,Transactions!$H$3:$H101,"Sell",Transactions!$F$3:$F101,"Stablecoin",Transactions!$A$3:$A101,S$65,Transactions!$D$3:$D101,$N94)
-SUMIFS(Transactions!$M$3:$M101,Transactions!$H$3:$H101,"Buy",Transactions!$A$3:$A101,S$65,Transactions!$B$3:$B101,$N94))</f>
        <v/>
      </c>
      <c r="T94" s="158" t="str">
        <f>IF(OR(ISBLANK($N94),ISBLANK(T$65)),"",
SUMIFS(Transactions!$I$3:$I101,Transactions!$H$3:$H101,"Buy",Transactions!$F$3:$F101,"Crypto",Transactions!$A$3:$A101,T$65,Transactions!$D$3:$D101,$N94)
+SUMIFS(Transactions!$I$3:$I101,Transactions!$H$3:$H101,"Crypto Interest",Transactions!$F$3:$F101,"Crypto",Transactions!$A$3:$A101,T$65,Transactions!$D$3:$D101,$N94)
+SUMIFS(Transactions!$I$3:$I101,Transactions!$H$3:$H101,"Transfer Deposit",Transactions!$F$3:$F101,"Crypto",Transactions!$A$3:$A101,T$65,Transactions!$D$3:$D101,$N94)
-SUMIFS(Transactions!$I$3:$I101,Transactions!$H$3:$H101,"Transfer Send",Transactions!$F$3:$F101,"Crypto",Transactions!$A$3:$A101,T$65,Transactions!$D$3:$D101,$N94)
-SUMIFS(Transactions!$I$3:$I101,Transactions!$H$3:$H101,"Sell",Transactions!$F$3:$F101,"Crypto",Transactions!$A$3:$A101,T$65,Transactions!$D$3:$D101,$N94)
+SUMIFS(Transactions!$I$3:$I101,Transactions!$H$3:$H101,"Buy",Transactions!$F$3:$F101,"Stablecoin",Transactions!$A$3:$A101,T$65,Transactions!$D$3:$D101,$N94)
+SUMIFS(Transactions!$I$3:$I101,Transactions!$H$3:$H101,"Crypto Interest",Transactions!$F$3:$F101,"Stablecoin",Transactions!$A$3:$A101,T$65,Transactions!$D$3:$D101,$N94)
+SUMIFS(Transactions!$I$3:$I101,Transactions!$H$3:$H101,"Transfer Deposit",Transactions!$F$3:$F101,"Stablecoin",Transactions!$A$3:$A101,T$65,Transactions!$D$3:$D101,$N94)
-SUMIFS(Transactions!$I$3:$I101,Transactions!$H$3:$H101,"Transfer Send",Transactions!$F$3:$F101,"Stablecoin",Transactions!$A$3:$A101,T$65,Transactions!$D$3:$D101,$N94)
-SUMIFS(Transactions!$I$3:$I101,Transactions!$H$3:$H101,"Sell",Transactions!$F$3:$F101,"Stablecoin",Transactions!$A$3:$A101,T$65,Transactions!$D$3:$D101,$N94)
-SUMIFS(Transactions!$M$3:$M101,Transactions!$H$3:$H101,"Buy",Transactions!$A$3:$A101,T$65,Transactions!$B$3:$B101,$N94))</f>
        <v/>
      </c>
      <c r="U94" s="158" t="str">
        <f>IF(OR(ISBLANK($N94),ISBLANK(U$65)),"",
SUMIFS(Transactions!$I$3:$I101,Transactions!$H$3:$H101,"Buy",Transactions!$F$3:$F101,"Crypto",Transactions!$A$3:$A101,U$65,Transactions!$D$3:$D101,$N94)
+SUMIFS(Transactions!$I$3:$I101,Transactions!$H$3:$H101,"Crypto Interest",Transactions!$F$3:$F101,"Crypto",Transactions!$A$3:$A101,U$65,Transactions!$D$3:$D101,$N94)
+SUMIFS(Transactions!$I$3:$I101,Transactions!$H$3:$H101,"Transfer Deposit",Transactions!$F$3:$F101,"Crypto",Transactions!$A$3:$A101,U$65,Transactions!$D$3:$D101,$N94)
-SUMIFS(Transactions!$I$3:$I101,Transactions!$H$3:$H101,"Transfer Send",Transactions!$F$3:$F101,"Crypto",Transactions!$A$3:$A101,U$65,Transactions!$D$3:$D101,$N94)
-SUMIFS(Transactions!$I$3:$I101,Transactions!$H$3:$H101,"Sell",Transactions!$F$3:$F101,"Crypto",Transactions!$A$3:$A101,U$65,Transactions!$D$3:$D101,$N94)
+SUMIFS(Transactions!$I$3:$I101,Transactions!$H$3:$H101,"Buy",Transactions!$F$3:$F101,"Stablecoin",Transactions!$A$3:$A101,U$65,Transactions!$D$3:$D101,$N94)
+SUMIFS(Transactions!$I$3:$I101,Transactions!$H$3:$H101,"Crypto Interest",Transactions!$F$3:$F101,"Stablecoin",Transactions!$A$3:$A101,U$65,Transactions!$D$3:$D101,$N94)
+SUMIFS(Transactions!$I$3:$I101,Transactions!$H$3:$H101,"Transfer Deposit",Transactions!$F$3:$F101,"Stablecoin",Transactions!$A$3:$A101,U$65,Transactions!$D$3:$D101,$N94)
-SUMIFS(Transactions!$I$3:$I101,Transactions!$H$3:$H101,"Transfer Send",Transactions!$F$3:$F101,"Stablecoin",Transactions!$A$3:$A101,U$65,Transactions!$D$3:$D101,$N94)
-SUMIFS(Transactions!$I$3:$I101,Transactions!$H$3:$H101,"Sell",Transactions!$F$3:$F101,"Stablecoin",Transactions!$A$3:$A101,U$65,Transactions!$D$3:$D101,$N94)
-SUMIFS(Transactions!$M$3:$M101,Transactions!$H$3:$H101,"Buy",Transactions!$A$3:$A101,U$65,Transactions!$B$3:$B101,$N94))</f>
        <v/>
      </c>
      <c r="V94" s="158"/>
      <c r="W94" s="95"/>
      <c r="X94" s="96"/>
      <c r="Y94" s="96" t="str">
        <f>IFERROR(__xludf.DUMMYFUNCTION("IF(ISBLANK(W94),"""",QUERY(GOOGLEFINANCE($N$21,""Close"",W94-5,6),""select Col2 where Col1 &lt; date '""&amp;TEXT(W94+1, ""YYYY-MM-DD"")&amp;""' order by Col1 desc limit 1"",False)
)"),"")</f>
        <v/>
      </c>
      <c r="Z94" s="158"/>
    </row>
    <row r="95">
      <c r="A95" s="14"/>
      <c r="B95" s="149"/>
      <c r="C95" s="145" t="str">
        <f>IF(ISBLANK(B95),"",SUMIF(Portfolio!$A:$A,B95,Portfolio!$C:$C))</f>
        <v/>
      </c>
      <c r="D95" s="145" t="str">
        <f>IF(ISBLANK(B95),"",AVERAGEIF(Portfolio!$A:$A,B95,Portfolio!$D:$D))</f>
        <v/>
      </c>
      <c r="F95" s="145" t="str">
        <f>IF(ISBLANK(B95),"",VLOOKUP(B95,Portfolio!$A:$E,5,0))</f>
        <v/>
      </c>
      <c r="G95" s="145" t="str">
        <f>IF(ISBLANK(B95),"",IFERROR(((C95-SUMIFS(Transactions!I:I,Transactions!H:H,"Crypto Interest",Transactions!E:E,B95))*D95),""))</f>
        <v/>
      </c>
      <c r="H95" s="145" t="str">
        <f t="shared" si="11"/>
        <v/>
      </c>
      <c r="I95" s="145" t="str">
        <f t="shared" si="12"/>
        <v/>
      </c>
      <c r="J95" s="145" t="str">
        <f t="shared" si="13"/>
        <v/>
      </c>
      <c r="K95" s="145" t="str">
        <f>IF(ISBLANK(B95),"",SUMIF(Portfolio!$A:$A,B95,Portfolio!$Q:$Q))</f>
        <v/>
      </c>
      <c r="L95" s="145" t="str">
        <f t="shared" si="14"/>
        <v/>
      </c>
      <c r="M95" s="14"/>
      <c r="N95" s="157"/>
      <c r="O95" s="158" t="str">
        <f>IF(OR(ISBLANK($N95),ISBLANK(O$65)),"",
SUMIFS(Transactions!$I$3:$I101,Transactions!$H$3:$H101,"Buy",Transactions!$F$3:$F101,"Crypto",Transactions!$A$3:$A101,O$65,Transactions!$D$3:$D101,$N95)
+SUMIFS(Transactions!$I$3:$I101,Transactions!$H$3:$H101,"Crypto Interest",Transactions!$F$3:$F101,"Crypto",Transactions!$A$3:$A101,O$65,Transactions!$D$3:$D101,$N95)
+SUMIFS(Transactions!$I$3:$I101,Transactions!$H$3:$H101,"Transfer Deposit",Transactions!$F$3:$F101,"Crypto",Transactions!$A$3:$A101,O$65,Transactions!$D$3:$D101,$N95)
-SUMIFS(Transactions!$I$3:$I101,Transactions!$H$3:$H101,"Transfer Send",Transactions!$F$3:$F101,"Crypto",Transactions!$A$3:$A101,O$65,Transactions!$D$3:$D101,$N95)
-SUMIFS(Transactions!$I$3:$I101,Transactions!$H$3:$H101,"Sell",Transactions!$F$3:$F101,"Crypto",Transactions!$A$3:$A101,O$65,Transactions!$D$3:$D101,$N95)
+SUMIFS(Transactions!$I$3:$I101,Transactions!$H$3:$H101,"Buy",Transactions!$F$3:$F101,"Stablecoin",Transactions!$A$3:$A101,O$65,Transactions!$D$3:$D101,$N95)
+SUMIFS(Transactions!$I$3:$I101,Transactions!$H$3:$H101,"Crypto Interest",Transactions!$F$3:$F101,"Stablecoin",Transactions!$A$3:$A101,O$65,Transactions!$D$3:$D101,$N95)
+SUMIFS(Transactions!$I$3:$I101,Transactions!$H$3:$H101,"Transfer Deposit",Transactions!$F$3:$F101,"Stablecoin",Transactions!$A$3:$A101,O$65,Transactions!$D$3:$D101,$N95)
-SUMIFS(Transactions!$I$3:$I101,Transactions!$H$3:$H101,"Transfer Send",Transactions!$F$3:$F101,"Stablecoin",Transactions!$A$3:$A101,O$65,Transactions!$D$3:$D101,$N95)
-SUMIFS(Transactions!$I$3:$I101,Transactions!$H$3:$H101,"Sell",Transactions!$F$3:$F101,"Stablecoin",Transactions!$A$3:$A101,O$65,Transactions!$D$3:$D101,$N95)
-SUMIFS(Transactions!$M$3:$M101,Transactions!$H$3:$H101,"Buy",Transactions!$A$3:$A101,O$65,Transactions!$B$3:$B101,$N95))</f>
        <v/>
      </c>
      <c r="P95" s="158" t="str">
        <f>IF(OR(ISBLANK($N95),ISBLANK(P$65)),"",
SUMIFS(Transactions!$I$3:$I101,Transactions!$H$3:$H101,"Buy",Transactions!$F$3:$F101,"Crypto",Transactions!$A$3:$A101,P$65,Transactions!$D$3:$D101,$N95)
+SUMIFS(Transactions!$I$3:$I101,Transactions!$H$3:$H101,"Crypto Interest",Transactions!$F$3:$F101,"Crypto",Transactions!$A$3:$A101,P$65,Transactions!$D$3:$D101,$N95)
+SUMIFS(Transactions!$I$3:$I101,Transactions!$H$3:$H101,"Transfer Deposit",Transactions!$F$3:$F101,"Crypto",Transactions!$A$3:$A101,P$65,Transactions!$D$3:$D101,$N95)
-SUMIFS(Transactions!$I$3:$I101,Transactions!$H$3:$H101,"Transfer Send",Transactions!$F$3:$F101,"Crypto",Transactions!$A$3:$A101,P$65,Transactions!$D$3:$D101,$N95)
-SUMIFS(Transactions!$I$3:$I101,Transactions!$H$3:$H101,"Sell",Transactions!$F$3:$F101,"Crypto",Transactions!$A$3:$A101,P$65,Transactions!$D$3:$D101,$N95)
+SUMIFS(Transactions!$I$3:$I101,Transactions!$H$3:$H101,"Buy",Transactions!$F$3:$F101,"Stablecoin",Transactions!$A$3:$A101,P$65,Transactions!$D$3:$D101,$N95)
+SUMIFS(Transactions!$I$3:$I101,Transactions!$H$3:$H101,"Crypto Interest",Transactions!$F$3:$F101,"Stablecoin",Transactions!$A$3:$A101,P$65,Transactions!$D$3:$D101,$N95)
+SUMIFS(Transactions!$I$3:$I101,Transactions!$H$3:$H101,"Transfer Deposit",Transactions!$F$3:$F101,"Stablecoin",Transactions!$A$3:$A101,P$65,Transactions!$D$3:$D101,$N95)
-SUMIFS(Transactions!$I$3:$I101,Transactions!$H$3:$H101,"Transfer Send",Transactions!$F$3:$F101,"Stablecoin",Transactions!$A$3:$A101,P$65,Transactions!$D$3:$D101,$N95)
-SUMIFS(Transactions!$I$3:$I101,Transactions!$H$3:$H101,"Sell",Transactions!$F$3:$F101,"Stablecoin",Transactions!$A$3:$A101,P$65,Transactions!$D$3:$D101,$N95)
-SUMIFS(Transactions!$M$3:$M101,Transactions!$H$3:$H101,"Buy",Transactions!$A$3:$A101,P$65,Transactions!$B$3:$B101,$N95))</f>
        <v/>
      </c>
      <c r="Q95" s="158" t="str">
        <f>IF(OR(ISBLANK($N95),ISBLANK(Q$65)),"",
SUMIFS(Transactions!$I$3:$I101,Transactions!$H$3:$H101,"Buy",Transactions!$F$3:$F101,"Crypto",Transactions!$A$3:$A101,Q$65,Transactions!$D$3:$D101,$N95)
+SUMIFS(Transactions!$I$3:$I101,Transactions!$H$3:$H101,"Crypto Interest",Transactions!$F$3:$F101,"Crypto",Transactions!$A$3:$A101,Q$65,Transactions!$D$3:$D101,$N95)
+SUMIFS(Transactions!$I$3:$I101,Transactions!$H$3:$H101,"Transfer Deposit",Transactions!$F$3:$F101,"Crypto",Transactions!$A$3:$A101,Q$65,Transactions!$D$3:$D101,$N95)
-SUMIFS(Transactions!$I$3:$I101,Transactions!$H$3:$H101,"Transfer Send",Transactions!$F$3:$F101,"Crypto",Transactions!$A$3:$A101,Q$65,Transactions!$D$3:$D101,$N95)
-SUMIFS(Transactions!$I$3:$I101,Transactions!$H$3:$H101,"Sell",Transactions!$F$3:$F101,"Crypto",Transactions!$A$3:$A101,Q$65,Transactions!$D$3:$D101,$N95)
+SUMIFS(Transactions!$I$3:$I101,Transactions!$H$3:$H101,"Buy",Transactions!$F$3:$F101,"Stablecoin",Transactions!$A$3:$A101,Q$65,Transactions!$D$3:$D101,$N95)
+SUMIFS(Transactions!$I$3:$I101,Transactions!$H$3:$H101,"Crypto Interest",Transactions!$F$3:$F101,"Stablecoin",Transactions!$A$3:$A101,Q$65,Transactions!$D$3:$D101,$N95)
+SUMIFS(Transactions!$I$3:$I101,Transactions!$H$3:$H101,"Transfer Deposit",Transactions!$F$3:$F101,"Stablecoin",Transactions!$A$3:$A101,Q$65,Transactions!$D$3:$D101,$N95)
-SUMIFS(Transactions!$I$3:$I101,Transactions!$H$3:$H101,"Transfer Send",Transactions!$F$3:$F101,"Stablecoin",Transactions!$A$3:$A101,Q$65,Transactions!$D$3:$D101,$N95)
-SUMIFS(Transactions!$I$3:$I101,Transactions!$H$3:$H101,"Sell",Transactions!$F$3:$F101,"Stablecoin",Transactions!$A$3:$A101,Q$65,Transactions!$D$3:$D101,$N95)
-SUMIFS(Transactions!$M$3:$M101,Transactions!$H$3:$H101,"Buy",Transactions!$A$3:$A101,Q$65,Transactions!$B$3:$B101,$N95))</f>
        <v/>
      </c>
      <c r="R95" s="158" t="str">
        <f>IF(OR(ISBLANK($N95),ISBLANK(R$65)),"",
SUMIFS(Transactions!$I$3:$I101,Transactions!$H$3:$H101,"Buy",Transactions!$F$3:$F101,"Crypto",Transactions!$A$3:$A101,R$65,Transactions!$D$3:$D101,$N95)
+SUMIFS(Transactions!$I$3:$I101,Transactions!$H$3:$H101,"Crypto Interest",Transactions!$F$3:$F101,"Crypto",Transactions!$A$3:$A101,R$65,Transactions!$D$3:$D101,$N95)
+SUMIFS(Transactions!$I$3:$I101,Transactions!$H$3:$H101,"Transfer Deposit",Transactions!$F$3:$F101,"Crypto",Transactions!$A$3:$A101,R$65,Transactions!$D$3:$D101,$N95)
-SUMIFS(Transactions!$I$3:$I101,Transactions!$H$3:$H101,"Transfer Send",Transactions!$F$3:$F101,"Crypto",Transactions!$A$3:$A101,R$65,Transactions!$D$3:$D101,$N95)
-SUMIFS(Transactions!$I$3:$I101,Transactions!$H$3:$H101,"Sell",Transactions!$F$3:$F101,"Crypto",Transactions!$A$3:$A101,R$65,Transactions!$D$3:$D101,$N95)
+SUMIFS(Transactions!$I$3:$I101,Transactions!$H$3:$H101,"Buy",Transactions!$F$3:$F101,"Stablecoin",Transactions!$A$3:$A101,R$65,Transactions!$D$3:$D101,$N95)
+SUMIFS(Transactions!$I$3:$I101,Transactions!$H$3:$H101,"Crypto Interest",Transactions!$F$3:$F101,"Stablecoin",Transactions!$A$3:$A101,R$65,Transactions!$D$3:$D101,$N95)
+SUMIFS(Transactions!$I$3:$I101,Transactions!$H$3:$H101,"Transfer Deposit",Transactions!$F$3:$F101,"Stablecoin",Transactions!$A$3:$A101,R$65,Transactions!$D$3:$D101,$N95)
-SUMIFS(Transactions!$I$3:$I101,Transactions!$H$3:$H101,"Transfer Send",Transactions!$F$3:$F101,"Stablecoin",Transactions!$A$3:$A101,R$65,Transactions!$D$3:$D101,$N95)
-SUMIFS(Transactions!$I$3:$I101,Transactions!$H$3:$H101,"Sell",Transactions!$F$3:$F101,"Stablecoin",Transactions!$A$3:$A101,R$65,Transactions!$D$3:$D101,$N95)
-SUMIFS(Transactions!$M$3:$M101,Transactions!$H$3:$H101,"Buy",Transactions!$A$3:$A101,R$65,Transactions!$B$3:$B101,$N95))</f>
        <v/>
      </c>
      <c r="S95" s="158" t="str">
        <f>IF(OR(ISBLANK($N95),ISBLANK(S$65)),"",
SUMIFS(Transactions!$I$3:$I101,Transactions!$H$3:$H101,"Buy",Transactions!$F$3:$F101,"Crypto",Transactions!$A$3:$A101,S$65,Transactions!$D$3:$D101,$N95)
+SUMIFS(Transactions!$I$3:$I101,Transactions!$H$3:$H101,"Crypto Interest",Transactions!$F$3:$F101,"Crypto",Transactions!$A$3:$A101,S$65,Transactions!$D$3:$D101,$N95)
+SUMIFS(Transactions!$I$3:$I101,Transactions!$H$3:$H101,"Transfer Deposit",Transactions!$F$3:$F101,"Crypto",Transactions!$A$3:$A101,S$65,Transactions!$D$3:$D101,$N95)
-SUMIFS(Transactions!$I$3:$I101,Transactions!$H$3:$H101,"Transfer Send",Transactions!$F$3:$F101,"Crypto",Transactions!$A$3:$A101,S$65,Transactions!$D$3:$D101,$N95)
-SUMIFS(Transactions!$I$3:$I101,Transactions!$H$3:$H101,"Sell",Transactions!$F$3:$F101,"Crypto",Transactions!$A$3:$A101,S$65,Transactions!$D$3:$D101,$N95)
+SUMIFS(Transactions!$I$3:$I101,Transactions!$H$3:$H101,"Buy",Transactions!$F$3:$F101,"Stablecoin",Transactions!$A$3:$A101,S$65,Transactions!$D$3:$D101,$N95)
+SUMIFS(Transactions!$I$3:$I101,Transactions!$H$3:$H101,"Crypto Interest",Transactions!$F$3:$F101,"Stablecoin",Transactions!$A$3:$A101,S$65,Transactions!$D$3:$D101,$N95)
+SUMIFS(Transactions!$I$3:$I101,Transactions!$H$3:$H101,"Transfer Deposit",Transactions!$F$3:$F101,"Stablecoin",Transactions!$A$3:$A101,S$65,Transactions!$D$3:$D101,$N95)
-SUMIFS(Transactions!$I$3:$I101,Transactions!$H$3:$H101,"Transfer Send",Transactions!$F$3:$F101,"Stablecoin",Transactions!$A$3:$A101,S$65,Transactions!$D$3:$D101,$N95)
-SUMIFS(Transactions!$I$3:$I101,Transactions!$H$3:$H101,"Sell",Transactions!$F$3:$F101,"Stablecoin",Transactions!$A$3:$A101,S$65,Transactions!$D$3:$D101,$N95)
-SUMIFS(Transactions!$M$3:$M101,Transactions!$H$3:$H101,"Buy",Transactions!$A$3:$A101,S$65,Transactions!$B$3:$B101,$N95))</f>
        <v/>
      </c>
      <c r="T95" s="158" t="str">
        <f>IF(OR(ISBLANK($N95),ISBLANK(T$65)),"",
SUMIFS(Transactions!$I$3:$I101,Transactions!$H$3:$H101,"Buy",Transactions!$F$3:$F101,"Crypto",Transactions!$A$3:$A101,T$65,Transactions!$D$3:$D101,$N95)
+SUMIFS(Transactions!$I$3:$I101,Transactions!$H$3:$H101,"Crypto Interest",Transactions!$F$3:$F101,"Crypto",Transactions!$A$3:$A101,T$65,Transactions!$D$3:$D101,$N95)
+SUMIFS(Transactions!$I$3:$I101,Transactions!$H$3:$H101,"Transfer Deposit",Transactions!$F$3:$F101,"Crypto",Transactions!$A$3:$A101,T$65,Transactions!$D$3:$D101,$N95)
-SUMIFS(Transactions!$I$3:$I101,Transactions!$H$3:$H101,"Transfer Send",Transactions!$F$3:$F101,"Crypto",Transactions!$A$3:$A101,T$65,Transactions!$D$3:$D101,$N95)
-SUMIFS(Transactions!$I$3:$I101,Transactions!$H$3:$H101,"Sell",Transactions!$F$3:$F101,"Crypto",Transactions!$A$3:$A101,T$65,Transactions!$D$3:$D101,$N95)
+SUMIFS(Transactions!$I$3:$I101,Transactions!$H$3:$H101,"Buy",Transactions!$F$3:$F101,"Stablecoin",Transactions!$A$3:$A101,T$65,Transactions!$D$3:$D101,$N95)
+SUMIFS(Transactions!$I$3:$I101,Transactions!$H$3:$H101,"Crypto Interest",Transactions!$F$3:$F101,"Stablecoin",Transactions!$A$3:$A101,T$65,Transactions!$D$3:$D101,$N95)
+SUMIFS(Transactions!$I$3:$I101,Transactions!$H$3:$H101,"Transfer Deposit",Transactions!$F$3:$F101,"Stablecoin",Transactions!$A$3:$A101,T$65,Transactions!$D$3:$D101,$N95)
-SUMIFS(Transactions!$I$3:$I101,Transactions!$H$3:$H101,"Transfer Send",Transactions!$F$3:$F101,"Stablecoin",Transactions!$A$3:$A101,T$65,Transactions!$D$3:$D101,$N95)
-SUMIFS(Transactions!$I$3:$I101,Transactions!$H$3:$H101,"Sell",Transactions!$F$3:$F101,"Stablecoin",Transactions!$A$3:$A101,T$65,Transactions!$D$3:$D101,$N95)
-SUMIFS(Transactions!$M$3:$M101,Transactions!$H$3:$H101,"Buy",Transactions!$A$3:$A101,T$65,Transactions!$B$3:$B101,$N95))</f>
        <v/>
      </c>
      <c r="U95" s="158" t="str">
        <f>IF(OR(ISBLANK($N95),ISBLANK(U$65)),"",
SUMIFS(Transactions!$I$3:$I101,Transactions!$H$3:$H101,"Buy",Transactions!$F$3:$F101,"Crypto",Transactions!$A$3:$A101,U$65,Transactions!$D$3:$D101,$N95)
+SUMIFS(Transactions!$I$3:$I101,Transactions!$H$3:$H101,"Crypto Interest",Transactions!$F$3:$F101,"Crypto",Transactions!$A$3:$A101,U$65,Transactions!$D$3:$D101,$N95)
+SUMIFS(Transactions!$I$3:$I101,Transactions!$H$3:$H101,"Transfer Deposit",Transactions!$F$3:$F101,"Crypto",Transactions!$A$3:$A101,U$65,Transactions!$D$3:$D101,$N95)
-SUMIFS(Transactions!$I$3:$I101,Transactions!$H$3:$H101,"Transfer Send",Transactions!$F$3:$F101,"Crypto",Transactions!$A$3:$A101,U$65,Transactions!$D$3:$D101,$N95)
-SUMIFS(Transactions!$I$3:$I101,Transactions!$H$3:$H101,"Sell",Transactions!$F$3:$F101,"Crypto",Transactions!$A$3:$A101,U$65,Transactions!$D$3:$D101,$N95)
+SUMIFS(Transactions!$I$3:$I101,Transactions!$H$3:$H101,"Buy",Transactions!$F$3:$F101,"Stablecoin",Transactions!$A$3:$A101,U$65,Transactions!$D$3:$D101,$N95)
+SUMIFS(Transactions!$I$3:$I101,Transactions!$H$3:$H101,"Crypto Interest",Transactions!$F$3:$F101,"Stablecoin",Transactions!$A$3:$A101,U$65,Transactions!$D$3:$D101,$N95)
+SUMIFS(Transactions!$I$3:$I101,Transactions!$H$3:$H101,"Transfer Deposit",Transactions!$F$3:$F101,"Stablecoin",Transactions!$A$3:$A101,U$65,Transactions!$D$3:$D101,$N95)
-SUMIFS(Transactions!$I$3:$I101,Transactions!$H$3:$H101,"Transfer Send",Transactions!$F$3:$F101,"Stablecoin",Transactions!$A$3:$A101,U$65,Transactions!$D$3:$D101,$N95)
-SUMIFS(Transactions!$I$3:$I101,Transactions!$H$3:$H101,"Sell",Transactions!$F$3:$F101,"Stablecoin",Transactions!$A$3:$A101,U$65,Transactions!$D$3:$D101,$N95)
-SUMIFS(Transactions!$M$3:$M101,Transactions!$H$3:$H101,"Buy",Transactions!$A$3:$A101,U$65,Transactions!$B$3:$B101,$N95))</f>
        <v/>
      </c>
      <c r="V95" s="158"/>
      <c r="W95" s="95"/>
      <c r="X95" s="96"/>
      <c r="Y95" s="96" t="str">
        <f>IFERROR(__xludf.DUMMYFUNCTION("IF(ISBLANK(W95),"""",QUERY(GOOGLEFINANCE($N$21,""Close"",W95-5,6),""select Col2 where Col1 &lt; date '""&amp;TEXT(W95+1, ""YYYY-MM-DD"")&amp;""' order by Col1 desc limit 1"",False)
)"),"")</f>
        <v/>
      </c>
      <c r="Z95" s="158"/>
    </row>
    <row r="96">
      <c r="A96" s="14"/>
      <c r="B96" s="149"/>
      <c r="C96" s="145" t="str">
        <f>IF(ISBLANK(B96),"",SUMIF(Portfolio!$A:$A,B96,Portfolio!$C:$C))</f>
        <v/>
      </c>
      <c r="D96" s="145" t="str">
        <f>IF(ISBLANK(B96),"",AVERAGEIF(Portfolio!$A:$A,B96,Portfolio!$D:$D))</f>
        <v/>
      </c>
      <c r="F96" s="145" t="str">
        <f>IF(ISBLANK(B96),"",VLOOKUP(B96,Portfolio!$A:$E,5,0))</f>
        <v/>
      </c>
      <c r="G96" s="145" t="str">
        <f>IF(ISBLANK(B96),"",IFERROR(((C96-SUMIFS(Transactions!I:I,Transactions!H:H,"Crypto Interest",Transactions!E:E,B96))*D96),""))</f>
        <v/>
      </c>
      <c r="H96" s="145" t="str">
        <f t="shared" si="11"/>
        <v/>
      </c>
      <c r="I96" s="145" t="str">
        <f t="shared" si="12"/>
        <v/>
      </c>
      <c r="J96" s="145" t="str">
        <f t="shared" si="13"/>
        <v/>
      </c>
      <c r="K96" s="145" t="str">
        <f>IF(ISBLANK(B96),"",SUMIF(Portfolio!$A:$A,B96,Portfolio!$Q:$Q))</f>
        <v/>
      </c>
      <c r="L96" s="145" t="str">
        <f t="shared" si="14"/>
        <v/>
      </c>
      <c r="M96" s="14"/>
      <c r="N96" s="157"/>
      <c r="O96" s="158" t="str">
        <f>IF(OR(ISBLANK($N96),ISBLANK(O$65)),"",
SUMIFS(Transactions!$I$3:$I101,Transactions!$H$3:$H101,"Buy",Transactions!$F$3:$F101,"Crypto",Transactions!$A$3:$A101,O$65,Transactions!$D$3:$D101,$N96)
+SUMIFS(Transactions!$I$3:$I101,Transactions!$H$3:$H101,"Crypto Interest",Transactions!$F$3:$F101,"Crypto",Transactions!$A$3:$A101,O$65,Transactions!$D$3:$D101,$N96)
+SUMIFS(Transactions!$I$3:$I101,Transactions!$H$3:$H101,"Transfer Deposit",Transactions!$F$3:$F101,"Crypto",Transactions!$A$3:$A101,O$65,Transactions!$D$3:$D101,$N96)
-SUMIFS(Transactions!$I$3:$I101,Transactions!$H$3:$H101,"Transfer Send",Transactions!$F$3:$F101,"Crypto",Transactions!$A$3:$A101,O$65,Transactions!$D$3:$D101,$N96)
-SUMIFS(Transactions!$I$3:$I101,Transactions!$H$3:$H101,"Sell",Transactions!$F$3:$F101,"Crypto",Transactions!$A$3:$A101,O$65,Transactions!$D$3:$D101,$N96)
+SUMIFS(Transactions!$I$3:$I101,Transactions!$H$3:$H101,"Buy",Transactions!$F$3:$F101,"Stablecoin",Transactions!$A$3:$A101,O$65,Transactions!$D$3:$D101,$N96)
+SUMIFS(Transactions!$I$3:$I101,Transactions!$H$3:$H101,"Crypto Interest",Transactions!$F$3:$F101,"Stablecoin",Transactions!$A$3:$A101,O$65,Transactions!$D$3:$D101,$N96)
+SUMIFS(Transactions!$I$3:$I101,Transactions!$H$3:$H101,"Transfer Deposit",Transactions!$F$3:$F101,"Stablecoin",Transactions!$A$3:$A101,O$65,Transactions!$D$3:$D101,$N96)
-SUMIFS(Transactions!$I$3:$I101,Transactions!$H$3:$H101,"Transfer Send",Transactions!$F$3:$F101,"Stablecoin",Transactions!$A$3:$A101,O$65,Transactions!$D$3:$D101,$N96)
-SUMIFS(Transactions!$I$3:$I101,Transactions!$H$3:$H101,"Sell",Transactions!$F$3:$F101,"Stablecoin",Transactions!$A$3:$A101,O$65,Transactions!$D$3:$D101,$N96)
-SUMIFS(Transactions!$M$3:$M101,Transactions!$H$3:$H101,"Buy",Transactions!$A$3:$A101,O$65,Transactions!$B$3:$B101,$N96))</f>
        <v/>
      </c>
      <c r="P96" s="158" t="str">
        <f>IF(OR(ISBLANK($N96),ISBLANK(P$65)),"",
SUMIFS(Transactions!$I$3:$I101,Transactions!$H$3:$H101,"Buy",Transactions!$F$3:$F101,"Crypto",Transactions!$A$3:$A101,P$65,Transactions!$D$3:$D101,$N96)
+SUMIFS(Transactions!$I$3:$I101,Transactions!$H$3:$H101,"Crypto Interest",Transactions!$F$3:$F101,"Crypto",Transactions!$A$3:$A101,P$65,Transactions!$D$3:$D101,$N96)
+SUMIFS(Transactions!$I$3:$I101,Transactions!$H$3:$H101,"Transfer Deposit",Transactions!$F$3:$F101,"Crypto",Transactions!$A$3:$A101,P$65,Transactions!$D$3:$D101,$N96)
-SUMIFS(Transactions!$I$3:$I101,Transactions!$H$3:$H101,"Transfer Send",Transactions!$F$3:$F101,"Crypto",Transactions!$A$3:$A101,P$65,Transactions!$D$3:$D101,$N96)
-SUMIFS(Transactions!$I$3:$I101,Transactions!$H$3:$H101,"Sell",Transactions!$F$3:$F101,"Crypto",Transactions!$A$3:$A101,P$65,Transactions!$D$3:$D101,$N96)
+SUMIFS(Transactions!$I$3:$I101,Transactions!$H$3:$H101,"Buy",Transactions!$F$3:$F101,"Stablecoin",Transactions!$A$3:$A101,P$65,Transactions!$D$3:$D101,$N96)
+SUMIFS(Transactions!$I$3:$I101,Transactions!$H$3:$H101,"Crypto Interest",Transactions!$F$3:$F101,"Stablecoin",Transactions!$A$3:$A101,P$65,Transactions!$D$3:$D101,$N96)
+SUMIFS(Transactions!$I$3:$I101,Transactions!$H$3:$H101,"Transfer Deposit",Transactions!$F$3:$F101,"Stablecoin",Transactions!$A$3:$A101,P$65,Transactions!$D$3:$D101,$N96)
-SUMIFS(Transactions!$I$3:$I101,Transactions!$H$3:$H101,"Transfer Send",Transactions!$F$3:$F101,"Stablecoin",Transactions!$A$3:$A101,P$65,Transactions!$D$3:$D101,$N96)
-SUMIFS(Transactions!$I$3:$I101,Transactions!$H$3:$H101,"Sell",Transactions!$F$3:$F101,"Stablecoin",Transactions!$A$3:$A101,P$65,Transactions!$D$3:$D101,$N96)
-SUMIFS(Transactions!$M$3:$M101,Transactions!$H$3:$H101,"Buy",Transactions!$A$3:$A101,P$65,Transactions!$B$3:$B101,$N96))</f>
        <v/>
      </c>
      <c r="Q96" s="158" t="str">
        <f>IF(OR(ISBLANK($N96),ISBLANK(Q$65)),"",
SUMIFS(Transactions!$I$3:$I101,Transactions!$H$3:$H101,"Buy",Transactions!$F$3:$F101,"Crypto",Transactions!$A$3:$A101,Q$65,Transactions!$D$3:$D101,$N96)
+SUMIFS(Transactions!$I$3:$I101,Transactions!$H$3:$H101,"Crypto Interest",Transactions!$F$3:$F101,"Crypto",Transactions!$A$3:$A101,Q$65,Transactions!$D$3:$D101,$N96)
+SUMIFS(Transactions!$I$3:$I101,Transactions!$H$3:$H101,"Transfer Deposit",Transactions!$F$3:$F101,"Crypto",Transactions!$A$3:$A101,Q$65,Transactions!$D$3:$D101,$N96)
-SUMIFS(Transactions!$I$3:$I101,Transactions!$H$3:$H101,"Transfer Send",Transactions!$F$3:$F101,"Crypto",Transactions!$A$3:$A101,Q$65,Transactions!$D$3:$D101,$N96)
-SUMIFS(Transactions!$I$3:$I101,Transactions!$H$3:$H101,"Sell",Transactions!$F$3:$F101,"Crypto",Transactions!$A$3:$A101,Q$65,Transactions!$D$3:$D101,$N96)
+SUMIFS(Transactions!$I$3:$I101,Transactions!$H$3:$H101,"Buy",Transactions!$F$3:$F101,"Stablecoin",Transactions!$A$3:$A101,Q$65,Transactions!$D$3:$D101,$N96)
+SUMIFS(Transactions!$I$3:$I101,Transactions!$H$3:$H101,"Crypto Interest",Transactions!$F$3:$F101,"Stablecoin",Transactions!$A$3:$A101,Q$65,Transactions!$D$3:$D101,$N96)
+SUMIFS(Transactions!$I$3:$I101,Transactions!$H$3:$H101,"Transfer Deposit",Transactions!$F$3:$F101,"Stablecoin",Transactions!$A$3:$A101,Q$65,Transactions!$D$3:$D101,$N96)
-SUMIFS(Transactions!$I$3:$I101,Transactions!$H$3:$H101,"Transfer Send",Transactions!$F$3:$F101,"Stablecoin",Transactions!$A$3:$A101,Q$65,Transactions!$D$3:$D101,$N96)
-SUMIFS(Transactions!$I$3:$I101,Transactions!$H$3:$H101,"Sell",Transactions!$F$3:$F101,"Stablecoin",Transactions!$A$3:$A101,Q$65,Transactions!$D$3:$D101,$N96)
-SUMIFS(Transactions!$M$3:$M101,Transactions!$H$3:$H101,"Buy",Transactions!$A$3:$A101,Q$65,Transactions!$B$3:$B101,$N96))</f>
        <v/>
      </c>
      <c r="R96" s="158" t="str">
        <f>IF(OR(ISBLANK($N96),ISBLANK(R$65)),"",
SUMIFS(Transactions!$I$3:$I101,Transactions!$H$3:$H101,"Buy",Transactions!$F$3:$F101,"Crypto",Transactions!$A$3:$A101,R$65,Transactions!$D$3:$D101,$N96)
+SUMIFS(Transactions!$I$3:$I101,Transactions!$H$3:$H101,"Crypto Interest",Transactions!$F$3:$F101,"Crypto",Transactions!$A$3:$A101,R$65,Transactions!$D$3:$D101,$N96)
+SUMIFS(Transactions!$I$3:$I101,Transactions!$H$3:$H101,"Transfer Deposit",Transactions!$F$3:$F101,"Crypto",Transactions!$A$3:$A101,R$65,Transactions!$D$3:$D101,$N96)
-SUMIFS(Transactions!$I$3:$I101,Transactions!$H$3:$H101,"Transfer Send",Transactions!$F$3:$F101,"Crypto",Transactions!$A$3:$A101,R$65,Transactions!$D$3:$D101,$N96)
-SUMIFS(Transactions!$I$3:$I101,Transactions!$H$3:$H101,"Sell",Transactions!$F$3:$F101,"Crypto",Transactions!$A$3:$A101,R$65,Transactions!$D$3:$D101,$N96)
+SUMIFS(Transactions!$I$3:$I101,Transactions!$H$3:$H101,"Buy",Transactions!$F$3:$F101,"Stablecoin",Transactions!$A$3:$A101,R$65,Transactions!$D$3:$D101,$N96)
+SUMIFS(Transactions!$I$3:$I101,Transactions!$H$3:$H101,"Crypto Interest",Transactions!$F$3:$F101,"Stablecoin",Transactions!$A$3:$A101,R$65,Transactions!$D$3:$D101,$N96)
+SUMIFS(Transactions!$I$3:$I101,Transactions!$H$3:$H101,"Transfer Deposit",Transactions!$F$3:$F101,"Stablecoin",Transactions!$A$3:$A101,R$65,Transactions!$D$3:$D101,$N96)
-SUMIFS(Transactions!$I$3:$I101,Transactions!$H$3:$H101,"Transfer Send",Transactions!$F$3:$F101,"Stablecoin",Transactions!$A$3:$A101,R$65,Transactions!$D$3:$D101,$N96)
-SUMIFS(Transactions!$I$3:$I101,Transactions!$H$3:$H101,"Sell",Transactions!$F$3:$F101,"Stablecoin",Transactions!$A$3:$A101,R$65,Transactions!$D$3:$D101,$N96)
-SUMIFS(Transactions!$M$3:$M101,Transactions!$H$3:$H101,"Buy",Transactions!$A$3:$A101,R$65,Transactions!$B$3:$B101,$N96))</f>
        <v/>
      </c>
      <c r="S96" s="158" t="str">
        <f>IF(OR(ISBLANK($N96),ISBLANK(S$65)),"",
SUMIFS(Transactions!$I$3:$I101,Transactions!$H$3:$H101,"Buy",Transactions!$F$3:$F101,"Crypto",Transactions!$A$3:$A101,S$65,Transactions!$D$3:$D101,$N96)
+SUMIFS(Transactions!$I$3:$I101,Transactions!$H$3:$H101,"Crypto Interest",Transactions!$F$3:$F101,"Crypto",Transactions!$A$3:$A101,S$65,Transactions!$D$3:$D101,$N96)
+SUMIFS(Transactions!$I$3:$I101,Transactions!$H$3:$H101,"Transfer Deposit",Transactions!$F$3:$F101,"Crypto",Transactions!$A$3:$A101,S$65,Transactions!$D$3:$D101,$N96)
-SUMIFS(Transactions!$I$3:$I101,Transactions!$H$3:$H101,"Transfer Send",Transactions!$F$3:$F101,"Crypto",Transactions!$A$3:$A101,S$65,Transactions!$D$3:$D101,$N96)
-SUMIFS(Transactions!$I$3:$I101,Transactions!$H$3:$H101,"Sell",Transactions!$F$3:$F101,"Crypto",Transactions!$A$3:$A101,S$65,Transactions!$D$3:$D101,$N96)
+SUMIFS(Transactions!$I$3:$I101,Transactions!$H$3:$H101,"Buy",Transactions!$F$3:$F101,"Stablecoin",Transactions!$A$3:$A101,S$65,Transactions!$D$3:$D101,$N96)
+SUMIFS(Transactions!$I$3:$I101,Transactions!$H$3:$H101,"Crypto Interest",Transactions!$F$3:$F101,"Stablecoin",Transactions!$A$3:$A101,S$65,Transactions!$D$3:$D101,$N96)
+SUMIFS(Transactions!$I$3:$I101,Transactions!$H$3:$H101,"Transfer Deposit",Transactions!$F$3:$F101,"Stablecoin",Transactions!$A$3:$A101,S$65,Transactions!$D$3:$D101,$N96)
-SUMIFS(Transactions!$I$3:$I101,Transactions!$H$3:$H101,"Transfer Send",Transactions!$F$3:$F101,"Stablecoin",Transactions!$A$3:$A101,S$65,Transactions!$D$3:$D101,$N96)
-SUMIFS(Transactions!$I$3:$I101,Transactions!$H$3:$H101,"Sell",Transactions!$F$3:$F101,"Stablecoin",Transactions!$A$3:$A101,S$65,Transactions!$D$3:$D101,$N96)
-SUMIFS(Transactions!$M$3:$M101,Transactions!$H$3:$H101,"Buy",Transactions!$A$3:$A101,S$65,Transactions!$B$3:$B101,$N96))</f>
        <v/>
      </c>
      <c r="T96" s="158" t="str">
        <f>IF(OR(ISBLANK($N96),ISBLANK(T$65)),"",
SUMIFS(Transactions!$I$3:$I101,Transactions!$H$3:$H101,"Buy",Transactions!$F$3:$F101,"Crypto",Transactions!$A$3:$A101,T$65,Transactions!$D$3:$D101,$N96)
+SUMIFS(Transactions!$I$3:$I101,Transactions!$H$3:$H101,"Crypto Interest",Transactions!$F$3:$F101,"Crypto",Transactions!$A$3:$A101,T$65,Transactions!$D$3:$D101,$N96)
+SUMIFS(Transactions!$I$3:$I101,Transactions!$H$3:$H101,"Transfer Deposit",Transactions!$F$3:$F101,"Crypto",Transactions!$A$3:$A101,T$65,Transactions!$D$3:$D101,$N96)
-SUMIFS(Transactions!$I$3:$I101,Transactions!$H$3:$H101,"Transfer Send",Transactions!$F$3:$F101,"Crypto",Transactions!$A$3:$A101,T$65,Transactions!$D$3:$D101,$N96)
-SUMIFS(Transactions!$I$3:$I101,Transactions!$H$3:$H101,"Sell",Transactions!$F$3:$F101,"Crypto",Transactions!$A$3:$A101,T$65,Transactions!$D$3:$D101,$N96)
+SUMIFS(Transactions!$I$3:$I101,Transactions!$H$3:$H101,"Buy",Transactions!$F$3:$F101,"Stablecoin",Transactions!$A$3:$A101,T$65,Transactions!$D$3:$D101,$N96)
+SUMIFS(Transactions!$I$3:$I101,Transactions!$H$3:$H101,"Crypto Interest",Transactions!$F$3:$F101,"Stablecoin",Transactions!$A$3:$A101,T$65,Transactions!$D$3:$D101,$N96)
+SUMIFS(Transactions!$I$3:$I101,Transactions!$H$3:$H101,"Transfer Deposit",Transactions!$F$3:$F101,"Stablecoin",Transactions!$A$3:$A101,T$65,Transactions!$D$3:$D101,$N96)
-SUMIFS(Transactions!$I$3:$I101,Transactions!$H$3:$H101,"Transfer Send",Transactions!$F$3:$F101,"Stablecoin",Transactions!$A$3:$A101,T$65,Transactions!$D$3:$D101,$N96)
-SUMIFS(Transactions!$I$3:$I101,Transactions!$H$3:$H101,"Sell",Transactions!$F$3:$F101,"Stablecoin",Transactions!$A$3:$A101,T$65,Transactions!$D$3:$D101,$N96)
-SUMIFS(Transactions!$M$3:$M101,Transactions!$H$3:$H101,"Buy",Transactions!$A$3:$A101,T$65,Transactions!$B$3:$B101,$N96))</f>
        <v/>
      </c>
      <c r="U96" s="158" t="str">
        <f>IF(OR(ISBLANK($N96),ISBLANK(U$65)),"",
SUMIFS(Transactions!$I$3:$I101,Transactions!$H$3:$H101,"Buy",Transactions!$F$3:$F101,"Crypto",Transactions!$A$3:$A101,U$65,Transactions!$D$3:$D101,$N96)
+SUMIFS(Transactions!$I$3:$I101,Transactions!$H$3:$H101,"Crypto Interest",Transactions!$F$3:$F101,"Crypto",Transactions!$A$3:$A101,U$65,Transactions!$D$3:$D101,$N96)
+SUMIFS(Transactions!$I$3:$I101,Transactions!$H$3:$H101,"Transfer Deposit",Transactions!$F$3:$F101,"Crypto",Transactions!$A$3:$A101,U$65,Transactions!$D$3:$D101,$N96)
-SUMIFS(Transactions!$I$3:$I101,Transactions!$H$3:$H101,"Transfer Send",Transactions!$F$3:$F101,"Crypto",Transactions!$A$3:$A101,U$65,Transactions!$D$3:$D101,$N96)
-SUMIFS(Transactions!$I$3:$I101,Transactions!$H$3:$H101,"Sell",Transactions!$F$3:$F101,"Crypto",Transactions!$A$3:$A101,U$65,Transactions!$D$3:$D101,$N96)
+SUMIFS(Transactions!$I$3:$I101,Transactions!$H$3:$H101,"Buy",Transactions!$F$3:$F101,"Stablecoin",Transactions!$A$3:$A101,U$65,Transactions!$D$3:$D101,$N96)
+SUMIFS(Transactions!$I$3:$I101,Transactions!$H$3:$H101,"Crypto Interest",Transactions!$F$3:$F101,"Stablecoin",Transactions!$A$3:$A101,U$65,Transactions!$D$3:$D101,$N96)
+SUMIFS(Transactions!$I$3:$I101,Transactions!$H$3:$H101,"Transfer Deposit",Transactions!$F$3:$F101,"Stablecoin",Transactions!$A$3:$A101,U$65,Transactions!$D$3:$D101,$N96)
-SUMIFS(Transactions!$I$3:$I101,Transactions!$H$3:$H101,"Transfer Send",Transactions!$F$3:$F101,"Stablecoin",Transactions!$A$3:$A101,U$65,Transactions!$D$3:$D101,$N96)
-SUMIFS(Transactions!$I$3:$I101,Transactions!$H$3:$H101,"Sell",Transactions!$F$3:$F101,"Stablecoin",Transactions!$A$3:$A101,U$65,Transactions!$D$3:$D101,$N96)
-SUMIFS(Transactions!$M$3:$M101,Transactions!$H$3:$H101,"Buy",Transactions!$A$3:$A101,U$65,Transactions!$B$3:$B101,$N96))</f>
        <v/>
      </c>
      <c r="V96" s="158"/>
      <c r="W96" s="95"/>
      <c r="X96" s="96"/>
      <c r="Y96" s="96" t="str">
        <f>IFERROR(__xludf.DUMMYFUNCTION("IF(ISBLANK(W96),"""",QUERY(GOOGLEFINANCE($N$21,""Close"",W96-5,6),""select Col2 where Col1 &lt; date '""&amp;TEXT(W96+1, ""YYYY-MM-DD"")&amp;""' order by Col1 desc limit 1"",False)
)"),"")</f>
        <v/>
      </c>
      <c r="Z96" s="158"/>
    </row>
    <row r="97">
      <c r="A97" s="14"/>
      <c r="B97" s="149"/>
      <c r="C97" s="145" t="str">
        <f>IF(ISBLANK(B97),"",SUMIF(Portfolio!$A:$A,B97,Portfolio!$C:$C))</f>
        <v/>
      </c>
      <c r="D97" s="145" t="str">
        <f>IF(ISBLANK(B97),"",AVERAGEIF(Portfolio!$A:$A,B97,Portfolio!$D:$D))</f>
        <v/>
      </c>
      <c r="F97" s="145" t="str">
        <f>IF(ISBLANK(B97),"",VLOOKUP(B97,Portfolio!$A:$E,5,0))</f>
        <v/>
      </c>
      <c r="G97" s="145" t="str">
        <f>IF(ISBLANK(B97),"",IFERROR(((C97-SUMIFS(Transactions!I:I,Transactions!H:H,"Crypto Interest",Transactions!E:E,B97))*D97),""))</f>
        <v/>
      </c>
      <c r="H97" s="145" t="str">
        <f t="shared" si="11"/>
        <v/>
      </c>
      <c r="I97" s="145" t="str">
        <f t="shared" si="12"/>
        <v/>
      </c>
      <c r="J97" s="145" t="str">
        <f t="shared" si="13"/>
        <v/>
      </c>
      <c r="K97" s="145" t="str">
        <f>IF(ISBLANK(B97),"",SUMIF(Portfolio!$A:$A,B97,Portfolio!$Q:$Q))</f>
        <v/>
      </c>
      <c r="L97" s="145" t="str">
        <f t="shared" si="14"/>
        <v/>
      </c>
      <c r="M97" s="14"/>
      <c r="N97" s="157"/>
      <c r="O97" s="158" t="str">
        <f>IF(OR(ISBLANK($N97),ISBLANK(O$65)),"",
SUMIFS(Transactions!$I$3:$I101,Transactions!$H$3:$H101,"Buy",Transactions!$F$3:$F101,"Crypto",Transactions!$A$3:$A101,O$65,Transactions!$D$3:$D101,$N97)
+SUMIFS(Transactions!$I$3:$I101,Transactions!$H$3:$H101,"Crypto Interest",Transactions!$F$3:$F101,"Crypto",Transactions!$A$3:$A101,O$65,Transactions!$D$3:$D101,$N97)
+SUMIFS(Transactions!$I$3:$I101,Transactions!$H$3:$H101,"Transfer Deposit",Transactions!$F$3:$F101,"Crypto",Transactions!$A$3:$A101,O$65,Transactions!$D$3:$D101,$N97)
-SUMIFS(Transactions!$I$3:$I101,Transactions!$H$3:$H101,"Transfer Send",Transactions!$F$3:$F101,"Crypto",Transactions!$A$3:$A101,O$65,Transactions!$D$3:$D101,$N97)
-SUMIFS(Transactions!$I$3:$I101,Transactions!$H$3:$H101,"Sell",Transactions!$F$3:$F101,"Crypto",Transactions!$A$3:$A101,O$65,Transactions!$D$3:$D101,$N97)
+SUMIFS(Transactions!$I$3:$I101,Transactions!$H$3:$H101,"Buy",Transactions!$F$3:$F101,"Stablecoin",Transactions!$A$3:$A101,O$65,Transactions!$D$3:$D101,$N97)
+SUMIFS(Transactions!$I$3:$I101,Transactions!$H$3:$H101,"Crypto Interest",Transactions!$F$3:$F101,"Stablecoin",Transactions!$A$3:$A101,O$65,Transactions!$D$3:$D101,$N97)
+SUMIFS(Transactions!$I$3:$I101,Transactions!$H$3:$H101,"Transfer Deposit",Transactions!$F$3:$F101,"Stablecoin",Transactions!$A$3:$A101,O$65,Transactions!$D$3:$D101,$N97)
-SUMIFS(Transactions!$I$3:$I101,Transactions!$H$3:$H101,"Transfer Send",Transactions!$F$3:$F101,"Stablecoin",Transactions!$A$3:$A101,O$65,Transactions!$D$3:$D101,$N97)
-SUMIFS(Transactions!$I$3:$I101,Transactions!$H$3:$H101,"Sell",Transactions!$F$3:$F101,"Stablecoin",Transactions!$A$3:$A101,O$65,Transactions!$D$3:$D101,$N97)
-SUMIFS(Transactions!$M$3:$M101,Transactions!$H$3:$H101,"Buy",Transactions!$A$3:$A101,O$65,Transactions!$B$3:$B101,$N97))</f>
        <v/>
      </c>
      <c r="P97" s="158" t="str">
        <f>IF(OR(ISBLANK($N97),ISBLANK(P$65)),"",
SUMIFS(Transactions!$I$3:$I101,Transactions!$H$3:$H101,"Buy",Transactions!$F$3:$F101,"Crypto",Transactions!$A$3:$A101,P$65,Transactions!$D$3:$D101,$N97)
+SUMIFS(Transactions!$I$3:$I101,Transactions!$H$3:$H101,"Crypto Interest",Transactions!$F$3:$F101,"Crypto",Transactions!$A$3:$A101,P$65,Transactions!$D$3:$D101,$N97)
+SUMIFS(Transactions!$I$3:$I101,Transactions!$H$3:$H101,"Transfer Deposit",Transactions!$F$3:$F101,"Crypto",Transactions!$A$3:$A101,P$65,Transactions!$D$3:$D101,$N97)
-SUMIFS(Transactions!$I$3:$I101,Transactions!$H$3:$H101,"Transfer Send",Transactions!$F$3:$F101,"Crypto",Transactions!$A$3:$A101,P$65,Transactions!$D$3:$D101,$N97)
-SUMIFS(Transactions!$I$3:$I101,Transactions!$H$3:$H101,"Sell",Transactions!$F$3:$F101,"Crypto",Transactions!$A$3:$A101,P$65,Transactions!$D$3:$D101,$N97)
+SUMIFS(Transactions!$I$3:$I101,Transactions!$H$3:$H101,"Buy",Transactions!$F$3:$F101,"Stablecoin",Transactions!$A$3:$A101,P$65,Transactions!$D$3:$D101,$N97)
+SUMIFS(Transactions!$I$3:$I101,Transactions!$H$3:$H101,"Crypto Interest",Transactions!$F$3:$F101,"Stablecoin",Transactions!$A$3:$A101,P$65,Transactions!$D$3:$D101,$N97)
+SUMIFS(Transactions!$I$3:$I101,Transactions!$H$3:$H101,"Transfer Deposit",Transactions!$F$3:$F101,"Stablecoin",Transactions!$A$3:$A101,P$65,Transactions!$D$3:$D101,$N97)
-SUMIFS(Transactions!$I$3:$I101,Transactions!$H$3:$H101,"Transfer Send",Transactions!$F$3:$F101,"Stablecoin",Transactions!$A$3:$A101,P$65,Transactions!$D$3:$D101,$N97)
-SUMIFS(Transactions!$I$3:$I101,Transactions!$H$3:$H101,"Sell",Transactions!$F$3:$F101,"Stablecoin",Transactions!$A$3:$A101,P$65,Transactions!$D$3:$D101,$N97)
-SUMIFS(Transactions!$M$3:$M101,Transactions!$H$3:$H101,"Buy",Transactions!$A$3:$A101,P$65,Transactions!$B$3:$B101,$N97))</f>
        <v/>
      </c>
      <c r="Q97" s="158" t="str">
        <f>IF(OR(ISBLANK($N97),ISBLANK(Q$65)),"",
SUMIFS(Transactions!$I$3:$I101,Transactions!$H$3:$H101,"Buy",Transactions!$F$3:$F101,"Crypto",Transactions!$A$3:$A101,Q$65,Transactions!$D$3:$D101,$N97)
+SUMIFS(Transactions!$I$3:$I101,Transactions!$H$3:$H101,"Crypto Interest",Transactions!$F$3:$F101,"Crypto",Transactions!$A$3:$A101,Q$65,Transactions!$D$3:$D101,$N97)
+SUMIFS(Transactions!$I$3:$I101,Transactions!$H$3:$H101,"Transfer Deposit",Transactions!$F$3:$F101,"Crypto",Transactions!$A$3:$A101,Q$65,Transactions!$D$3:$D101,$N97)
-SUMIFS(Transactions!$I$3:$I101,Transactions!$H$3:$H101,"Transfer Send",Transactions!$F$3:$F101,"Crypto",Transactions!$A$3:$A101,Q$65,Transactions!$D$3:$D101,$N97)
-SUMIFS(Transactions!$I$3:$I101,Transactions!$H$3:$H101,"Sell",Transactions!$F$3:$F101,"Crypto",Transactions!$A$3:$A101,Q$65,Transactions!$D$3:$D101,$N97)
+SUMIFS(Transactions!$I$3:$I101,Transactions!$H$3:$H101,"Buy",Transactions!$F$3:$F101,"Stablecoin",Transactions!$A$3:$A101,Q$65,Transactions!$D$3:$D101,$N97)
+SUMIFS(Transactions!$I$3:$I101,Transactions!$H$3:$H101,"Crypto Interest",Transactions!$F$3:$F101,"Stablecoin",Transactions!$A$3:$A101,Q$65,Transactions!$D$3:$D101,$N97)
+SUMIFS(Transactions!$I$3:$I101,Transactions!$H$3:$H101,"Transfer Deposit",Transactions!$F$3:$F101,"Stablecoin",Transactions!$A$3:$A101,Q$65,Transactions!$D$3:$D101,$N97)
-SUMIFS(Transactions!$I$3:$I101,Transactions!$H$3:$H101,"Transfer Send",Transactions!$F$3:$F101,"Stablecoin",Transactions!$A$3:$A101,Q$65,Transactions!$D$3:$D101,$N97)
-SUMIFS(Transactions!$I$3:$I101,Transactions!$H$3:$H101,"Sell",Transactions!$F$3:$F101,"Stablecoin",Transactions!$A$3:$A101,Q$65,Transactions!$D$3:$D101,$N97)
-SUMIFS(Transactions!$M$3:$M101,Transactions!$H$3:$H101,"Buy",Transactions!$A$3:$A101,Q$65,Transactions!$B$3:$B101,$N97))</f>
        <v/>
      </c>
      <c r="R97" s="158" t="str">
        <f>IF(OR(ISBLANK($N97),ISBLANK(R$65)),"",
SUMIFS(Transactions!$I$3:$I101,Transactions!$H$3:$H101,"Buy",Transactions!$F$3:$F101,"Crypto",Transactions!$A$3:$A101,R$65,Transactions!$D$3:$D101,$N97)
+SUMIFS(Transactions!$I$3:$I101,Transactions!$H$3:$H101,"Crypto Interest",Transactions!$F$3:$F101,"Crypto",Transactions!$A$3:$A101,R$65,Transactions!$D$3:$D101,$N97)
+SUMIFS(Transactions!$I$3:$I101,Transactions!$H$3:$H101,"Transfer Deposit",Transactions!$F$3:$F101,"Crypto",Transactions!$A$3:$A101,R$65,Transactions!$D$3:$D101,$N97)
-SUMIFS(Transactions!$I$3:$I101,Transactions!$H$3:$H101,"Transfer Send",Transactions!$F$3:$F101,"Crypto",Transactions!$A$3:$A101,R$65,Transactions!$D$3:$D101,$N97)
-SUMIFS(Transactions!$I$3:$I101,Transactions!$H$3:$H101,"Sell",Transactions!$F$3:$F101,"Crypto",Transactions!$A$3:$A101,R$65,Transactions!$D$3:$D101,$N97)
+SUMIFS(Transactions!$I$3:$I101,Transactions!$H$3:$H101,"Buy",Transactions!$F$3:$F101,"Stablecoin",Transactions!$A$3:$A101,R$65,Transactions!$D$3:$D101,$N97)
+SUMIFS(Transactions!$I$3:$I101,Transactions!$H$3:$H101,"Crypto Interest",Transactions!$F$3:$F101,"Stablecoin",Transactions!$A$3:$A101,R$65,Transactions!$D$3:$D101,$N97)
+SUMIFS(Transactions!$I$3:$I101,Transactions!$H$3:$H101,"Transfer Deposit",Transactions!$F$3:$F101,"Stablecoin",Transactions!$A$3:$A101,R$65,Transactions!$D$3:$D101,$N97)
-SUMIFS(Transactions!$I$3:$I101,Transactions!$H$3:$H101,"Transfer Send",Transactions!$F$3:$F101,"Stablecoin",Transactions!$A$3:$A101,R$65,Transactions!$D$3:$D101,$N97)
-SUMIFS(Transactions!$I$3:$I101,Transactions!$H$3:$H101,"Sell",Transactions!$F$3:$F101,"Stablecoin",Transactions!$A$3:$A101,R$65,Transactions!$D$3:$D101,$N97)
-SUMIFS(Transactions!$M$3:$M101,Transactions!$H$3:$H101,"Buy",Transactions!$A$3:$A101,R$65,Transactions!$B$3:$B101,$N97))</f>
        <v/>
      </c>
      <c r="S97" s="158" t="str">
        <f>IF(OR(ISBLANK($N97),ISBLANK(S$65)),"",
SUMIFS(Transactions!$I$3:$I101,Transactions!$H$3:$H101,"Buy",Transactions!$F$3:$F101,"Crypto",Transactions!$A$3:$A101,S$65,Transactions!$D$3:$D101,$N97)
+SUMIFS(Transactions!$I$3:$I101,Transactions!$H$3:$H101,"Crypto Interest",Transactions!$F$3:$F101,"Crypto",Transactions!$A$3:$A101,S$65,Transactions!$D$3:$D101,$N97)
+SUMIFS(Transactions!$I$3:$I101,Transactions!$H$3:$H101,"Transfer Deposit",Transactions!$F$3:$F101,"Crypto",Transactions!$A$3:$A101,S$65,Transactions!$D$3:$D101,$N97)
-SUMIFS(Transactions!$I$3:$I101,Transactions!$H$3:$H101,"Transfer Send",Transactions!$F$3:$F101,"Crypto",Transactions!$A$3:$A101,S$65,Transactions!$D$3:$D101,$N97)
-SUMIFS(Transactions!$I$3:$I101,Transactions!$H$3:$H101,"Sell",Transactions!$F$3:$F101,"Crypto",Transactions!$A$3:$A101,S$65,Transactions!$D$3:$D101,$N97)
+SUMIFS(Transactions!$I$3:$I101,Transactions!$H$3:$H101,"Buy",Transactions!$F$3:$F101,"Stablecoin",Transactions!$A$3:$A101,S$65,Transactions!$D$3:$D101,$N97)
+SUMIFS(Transactions!$I$3:$I101,Transactions!$H$3:$H101,"Crypto Interest",Transactions!$F$3:$F101,"Stablecoin",Transactions!$A$3:$A101,S$65,Transactions!$D$3:$D101,$N97)
+SUMIFS(Transactions!$I$3:$I101,Transactions!$H$3:$H101,"Transfer Deposit",Transactions!$F$3:$F101,"Stablecoin",Transactions!$A$3:$A101,S$65,Transactions!$D$3:$D101,$N97)
-SUMIFS(Transactions!$I$3:$I101,Transactions!$H$3:$H101,"Transfer Send",Transactions!$F$3:$F101,"Stablecoin",Transactions!$A$3:$A101,S$65,Transactions!$D$3:$D101,$N97)
-SUMIFS(Transactions!$I$3:$I101,Transactions!$H$3:$H101,"Sell",Transactions!$F$3:$F101,"Stablecoin",Transactions!$A$3:$A101,S$65,Transactions!$D$3:$D101,$N97)
-SUMIFS(Transactions!$M$3:$M101,Transactions!$H$3:$H101,"Buy",Transactions!$A$3:$A101,S$65,Transactions!$B$3:$B101,$N97))</f>
        <v/>
      </c>
      <c r="T97" s="158" t="str">
        <f>IF(OR(ISBLANK($N97),ISBLANK(T$65)),"",
SUMIFS(Transactions!$I$3:$I101,Transactions!$H$3:$H101,"Buy",Transactions!$F$3:$F101,"Crypto",Transactions!$A$3:$A101,T$65,Transactions!$D$3:$D101,$N97)
+SUMIFS(Transactions!$I$3:$I101,Transactions!$H$3:$H101,"Crypto Interest",Transactions!$F$3:$F101,"Crypto",Transactions!$A$3:$A101,T$65,Transactions!$D$3:$D101,$N97)
+SUMIFS(Transactions!$I$3:$I101,Transactions!$H$3:$H101,"Transfer Deposit",Transactions!$F$3:$F101,"Crypto",Transactions!$A$3:$A101,T$65,Transactions!$D$3:$D101,$N97)
-SUMIFS(Transactions!$I$3:$I101,Transactions!$H$3:$H101,"Transfer Send",Transactions!$F$3:$F101,"Crypto",Transactions!$A$3:$A101,T$65,Transactions!$D$3:$D101,$N97)
-SUMIFS(Transactions!$I$3:$I101,Transactions!$H$3:$H101,"Sell",Transactions!$F$3:$F101,"Crypto",Transactions!$A$3:$A101,T$65,Transactions!$D$3:$D101,$N97)
+SUMIFS(Transactions!$I$3:$I101,Transactions!$H$3:$H101,"Buy",Transactions!$F$3:$F101,"Stablecoin",Transactions!$A$3:$A101,T$65,Transactions!$D$3:$D101,$N97)
+SUMIFS(Transactions!$I$3:$I101,Transactions!$H$3:$H101,"Crypto Interest",Transactions!$F$3:$F101,"Stablecoin",Transactions!$A$3:$A101,T$65,Transactions!$D$3:$D101,$N97)
+SUMIFS(Transactions!$I$3:$I101,Transactions!$H$3:$H101,"Transfer Deposit",Transactions!$F$3:$F101,"Stablecoin",Transactions!$A$3:$A101,T$65,Transactions!$D$3:$D101,$N97)
-SUMIFS(Transactions!$I$3:$I101,Transactions!$H$3:$H101,"Transfer Send",Transactions!$F$3:$F101,"Stablecoin",Transactions!$A$3:$A101,T$65,Transactions!$D$3:$D101,$N97)
-SUMIFS(Transactions!$I$3:$I101,Transactions!$H$3:$H101,"Sell",Transactions!$F$3:$F101,"Stablecoin",Transactions!$A$3:$A101,T$65,Transactions!$D$3:$D101,$N97)
-SUMIFS(Transactions!$M$3:$M101,Transactions!$H$3:$H101,"Buy",Transactions!$A$3:$A101,T$65,Transactions!$B$3:$B101,$N97))</f>
        <v/>
      </c>
      <c r="U97" s="158" t="str">
        <f>IF(OR(ISBLANK($N97),ISBLANK(U$65)),"",
SUMIFS(Transactions!$I$3:$I101,Transactions!$H$3:$H101,"Buy",Transactions!$F$3:$F101,"Crypto",Transactions!$A$3:$A101,U$65,Transactions!$D$3:$D101,$N97)
+SUMIFS(Transactions!$I$3:$I101,Transactions!$H$3:$H101,"Crypto Interest",Transactions!$F$3:$F101,"Crypto",Transactions!$A$3:$A101,U$65,Transactions!$D$3:$D101,$N97)
+SUMIFS(Transactions!$I$3:$I101,Transactions!$H$3:$H101,"Transfer Deposit",Transactions!$F$3:$F101,"Crypto",Transactions!$A$3:$A101,U$65,Transactions!$D$3:$D101,$N97)
-SUMIFS(Transactions!$I$3:$I101,Transactions!$H$3:$H101,"Transfer Send",Transactions!$F$3:$F101,"Crypto",Transactions!$A$3:$A101,U$65,Transactions!$D$3:$D101,$N97)
-SUMIFS(Transactions!$I$3:$I101,Transactions!$H$3:$H101,"Sell",Transactions!$F$3:$F101,"Crypto",Transactions!$A$3:$A101,U$65,Transactions!$D$3:$D101,$N97)
+SUMIFS(Transactions!$I$3:$I101,Transactions!$H$3:$H101,"Buy",Transactions!$F$3:$F101,"Stablecoin",Transactions!$A$3:$A101,U$65,Transactions!$D$3:$D101,$N97)
+SUMIFS(Transactions!$I$3:$I101,Transactions!$H$3:$H101,"Crypto Interest",Transactions!$F$3:$F101,"Stablecoin",Transactions!$A$3:$A101,U$65,Transactions!$D$3:$D101,$N97)
+SUMIFS(Transactions!$I$3:$I101,Transactions!$H$3:$H101,"Transfer Deposit",Transactions!$F$3:$F101,"Stablecoin",Transactions!$A$3:$A101,U$65,Transactions!$D$3:$D101,$N97)
-SUMIFS(Transactions!$I$3:$I101,Transactions!$H$3:$H101,"Transfer Send",Transactions!$F$3:$F101,"Stablecoin",Transactions!$A$3:$A101,U$65,Transactions!$D$3:$D101,$N97)
-SUMIFS(Transactions!$I$3:$I101,Transactions!$H$3:$H101,"Sell",Transactions!$F$3:$F101,"Stablecoin",Transactions!$A$3:$A101,U$65,Transactions!$D$3:$D101,$N97)
-SUMIFS(Transactions!$M$3:$M101,Transactions!$H$3:$H101,"Buy",Transactions!$A$3:$A101,U$65,Transactions!$B$3:$B101,$N97))</f>
        <v/>
      </c>
      <c r="V97" s="158"/>
      <c r="W97" s="95"/>
      <c r="X97" s="96"/>
      <c r="Y97" s="96" t="str">
        <f>IFERROR(__xludf.DUMMYFUNCTION("IF(ISBLANK(W97),"""",QUERY(GOOGLEFINANCE($N$21,""Close"",W97-5,6),""select Col2 where Col1 &lt; date '""&amp;TEXT(W97+1, ""YYYY-MM-DD"")&amp;""' order by Col1 desc limit 1"",False)
)"),"")</f>
        <v/>
      </c>
      <c r="Z97" s="158"/>
    </row>
    <row r="98">
      <c r="A98" s="14"/>
      <c r="B98" s="149"/>
      <c r="C98" s="145" t="str">
        <f>IF(ISBLANK(B98),"",SUMIF(Portfolio!$A:$A,B98,Portfolio!$C:$C))</f>
        <v/>
      </c>
      <c r="D98" s="145" t="str">
        <f>IF(ISBLANK(B98),"",AVERAGEIF(Portfolio!$A:$A,B98,Portfolio!$D:$D))</f>
        <v/>
      </c>
      <c r="F98" s="145" t="str">
        <f>IF(ISBLANK(B98),"",VLOOKUP(B98,Portfolio!$A:$E,5,0))</f>
        <v/>
      </c>
      <c r="G98" s="145" t="str">
        <f>IF(ISBLANK(B98),"",IFERROR(((C98-SUMIFS(Transactions!I:I,Transactions!H:H,"Crypto Interest",Transactions!E:E,B98))*D98),""))</f>
        <v/>
      </c>
      <c r="H98" s="145" t="str">
        <f t="shared" si="11"/>
        <v/>
      </c>
      <c r="I98" s="145" t="str">
        <f t="shared" si="12"/>
        <v/>
      </c>
      <c r="J98" s="145" t="str">
        <f t="shared" si="13"/>
        <v/>
      </c>
      <c r="K98" s="145" t="str">
        <f>IF(ISBLANK(B98),"",SUMIF(Portfolio!$A:$A,B98,Portfolio!$Q:$Q))</f>
        <v/>
      </c>
      <c r="L98" s="145" t="str">
        <f t="shared" si="14"/>
        <v/>
      </c>
      <c r="M98" s="14"/>
      <c r="N98" s="157"/>
      <c r="O98" s="158" t="str">
        <f>IF(OR(ISBLANK($N98),ISBLANK(O$65)),"",
SUMIFS(Transactions!$I$3:$I101,Transactions!$H$3:$H101,"Buy",Transactions!$F$3:$F101,"Crypto",Transactions!$A$3:$A101,O$65,Transactions!$D$3:$D101,$N98)
+SUMIFS(Transactions!$I$3:$I101,Transactions!$H$3:$H101,"Crypto Interest",Transactions!$F$3:$F101,"Crypto",Transactions!$A$3:$A101,O$65,Transactions!$D$3:$D101,$N98)
+SUMIFS(Transactions!$I$3:$I101,Transactions!$H$3:$H101,"Transfer Deposit",Transactions!$F$3:$F101,"Crypto",Transactions!$A$3:$A101,O$65,Transactions!$D$3:$D101,$N98)
-SUMIFS(Transactions!$I$3:$I101,Transactions!$H$3:$H101,"Transfer Send",Transactions!$F$3:$F101,"Crypto",Transactions!$A$3:$A101,O$65,Transactions!$D$3:$D101,$N98)
-SUMIFS(Transactions!$I$3:$I101,Transactions!$H$3:$H101,"Sell",Transactions!$F$3:$F101,"Crypto",Transactions!$A$3:$A101,O$65,Transactions!$D$3:$D101,$N98)
+SUMIFS(Transactions!$I$3:$I101,Transactions!$H$3:$H101,"Buy",Transactions!$F$3:$F101,"Stablecoin",Transactions!$A$3:$A101,O$65,Transactions!$D$3:$D101,$N98)
+SUMIFS(Transactions!$I$3:$I101,Transactions!$H$3:$H101,"Crypto Interest",Transactions!$F$3:$F101,"Stablecoin",Transactions!$A$3:$A101,O$65,Transactions!$D$3:$D101,$N98)
+SUMIFS(Transactions!$I$3:$I101,Transactions!$H$3:$H101,"Transfer Deposit",Transactions!$F$3:$F101,"Stablecoin",Transactions!$A$3:$A101,O$65,Transactions!$D$3:$D101,$N98)
-SUMIFS(Transactions!$I$3:$I101,Transactions!$H$3:$H101,"Transfer Send",Transactions!$F$3:$F101,"Stablecoin",Transactions!$A$3:$A101,O$65,Transactions!$D$3:$D101,$N98)
-SUMIFS(Transactions!$I$3:$I101,Transactions!$H$3:$H101,"Sell",Transactions!$F$3:$F101,"Stablecoin",Transactions!$A$3:$A101,O$65,Transactions!$D$3:$D101,$N98)
-SUMIFS(Transactions!$M$3:$M101,Transactions!$H$3:$H101,"Buy",Transactions!$A$3:$A101,O$65,Transactions!$B$3:$B101,$N98))</f>
        <v/>
      </c>
      <c r="P98" s="158" t="str">
        <f>IF(OR(ISBLANK($N98),ISBLANK(P$65)),"",
SUMIFS(Transactions!$I$3:$I101,Transactions!$H$3:$H101,"Buy",Transactions!$F$3:$F101,"Crypto",Transactions!$A$3:$A101,P$65,Transactions!$D$3:$D101,$N98)
+SUMIFS(Transactions!$I$3:$I101,Transactions!$H$3:$H101,"Crypto Interest",Transactions!$F$3:$F101,"Crypto",Transactions!$A$3:$A101,P$65,Transactions!$D$3:$D101,$N98)
+SUMIFS(Transactions!$I$3:$I101,Transactions!$H$3:$H101,"Transfer Deposit",Transactions!$F$3:$F101,"Crypto",Transactions!$A$3:$A101,P$65,Transactions!$D$3:$D101,$N98)
-SUMIFS(Transactions!$I$3:$I101,Transactions!$H$3:$H101,"Transfer Send",Transactions!$F$3:$F101,"Crypto",Transactions!$A$3:$A101,P$65,Transactions!$D$3:$D101,$N98)
-SUMIFS(Transactions!$I$3:$I101,Transactions!$H$3:$H101,"Sell",Transactions!$F$3:$F101,"Crypto",Transactions!$A$3:$A101,P$65,Transactions!$D$3:$D101,$N98)
+SUMIFS(Transactions!$I$3:$I101,Transactions!$H$3:$H101,"Buy",Transactions!$F$3:$F101,"Stablecoin",Transactions!$A$3:$A101,P$65,Transactions!$D$3:$D101,$N98)
+SUMIFS(Transactions!$I$3:$I101,Transactions!$H$3:$H101,"Crypto Interest",Transactions!$F$3:$F101,"Stablecoin",Transactions!$A$3:$A101,P$65,Transactions!$D$3:$D101,$N98)
+SUMIFS(Transactions!$I$3:$I101,Transactions!$H$3:$H101,"Transfer Deposit",Transactions!$F$3:$F101,"Stablecoin",Transactions!$A$3:$A101,P$65,Transactions!$D$3:$D101,$N98)
-SUMIFS(Transactions!$I$3:$I101,Transactions!$H$3:$H101,"Transfer Send",Transactions!$F$3:$F101,"Stablecoin",Transactions!$A$3:$A101,P$65,Transactions!$D$3:$D101,$N98)
-SUMIFS(Transactions!$I$3:$I101,Transactions!$H$3:$H101,"Sell",Transactions!$F$3:$F101,"Stablecoin",Transactions!$A$3:$A101,P$65,Transactions!$D$3:$D101,$N98)
-SUMIFS(Transactions!$M$3:$M101,Transactions!$H$3:$H101,"Buy",Transactions!$A$3:$A101,P$65,Transactions!$B$3:$B101,$N98))</f>
        <v/>
      </c>
      <c r="Q98" s="158" t="str">
        <f>IF(OR(ISBLANK($N98),ISBLANK(Q$65)),"",
SUMIFS(Transactions!$I$3:$I101,Transactions!$H$3:$H101,"Buy",Transactions!$F$3:$F101,"Crypto",Transactions!$A$3:$A101,Q$65,Transactions!$D$3:$D101,$N98)
+SUMIFS(Transactions!$I$3:$I101,Transactions!$H$3:$H101,"Crypto Interest",Transactions!$F$3:$F101,"Crypto",Transactions!$A$3:$A101,Q$65,Transactions!$D$3:$D101,$N98)
+SUMIFS(Transactions!$I$3:$I101,Transactions!$H$3:$H101,"Transfer Deposit",Transactions!$F$3:$F101,"Crypto",Transactions!$A$3:$A101,Q$65,Transactions!$D$3:$D101,$N98)
-SUMIFS(Transactions!$I$3:$I101,Transactions!$H$3:$H101,"Transfer Send",Transactions!$F$3:$F101,"Crypto",Transactions!$A$3:$A101,Q$65,Transactions!$D$3:$D101,$N98)
-SUMIFS(Transactions!$I$3:$I101,Transactions!$H$3:$H101,"Sell",Transactions!$F$3:$F101,"Crypto",Transactions!$A$3:$A101,Q$65,Transactions!$D$3:$D101,$N98)
+SUMIFS(Transactions!$I$3:$I101,Transactions!$H$3:$H101,"Buy",Transactions!$F$3:$F101,"Stablecoin",Transactions!$A$3:$A101,Q$65,Transactions!$D$3:$D101,$N98)
+SUMIFS(Transactions!$I$3:$I101,Transactions!$H$3:$H101,"Crypto Interest",Transactions!$F$3:$F101,"Stablecoin",Transactions!$A$3:$A101,Q$65,Transactions!$D$3:$D101,$N98)
+SUMIFS(Transactions!$I$3:$I101,Transactions!$H$3:$H101,"Transfer Deposit",Transactions!$F$3:$F101,"Stablecoin",Transactions!$A$3:$A101,Q$65,Transactions!$D$3:$D101,$N98)
-SUMIFS(Transactions!$I$3:$I101,Transactions!$H$3:$H101,"Transfer Send",Transactions!$F$3:$F101,"Stablecoin",Transactions!$A$3:$A101,Q$65,Transactions!$D$3:$D101,$N98)
-SUMIFS(Transactions!$I$3:$I101,Transactions!$H$3:$H101,"Sell",Transactions!$F$3:$F101,"Stablecoin",Transactions!$A$3:$A101,Q$65,Transactions!$D$3:$D101,$N98)
-SUMIFS(Transactions!$M$3:$M101,Transactions!$H$3:$H101,"Buy",Transactions!$A$3:$A101,Q$65,Transactions!$B$3:$B101,$N98))</f>
        <v/>
      </c>
      <c r="R98" s="158" t="str">
        <f>IF(OR(ISBLANK($N98),ISBLANK(R$65)),"",
SUMIFS(Transactions!$I$3:$I101,Transactions!$H$3:$H101,"Buy",Transactions!$F$3:$F101,"Crypto",Transactions!$A$3:$A101,R$65,Transactions!$D$3:$D101,$N98)
+SUMIFS(Transactions!$I$3:$I101,Transactions!$H$3:$H101,"Crypto Interest",Transactions!$F$3:$F101,"Crypto",Transactions!$A$3:$A101,R$65,Transactions!$D$3:$D101,$N98)
+SUMIFS(Transactions!$I$3:$I101,Transactions!$H$3:$H101,"Transfer Deposit",Transactions!$F$3:$F101,"Crypto",Transactions!$A$3:$A101,R$65,Transactions!$D$3:$D101,$N98)
-SUMIFS(Transactions!$I$3:$I101,Transactions!$H$3:$H101,"Transfer Send",Transactions!$F$3:$F101,"Crypto",Transactions!$A$3:$A101,R$65,Transactions!$D$3:$D101,$N98)
-SUMIFS(Transactions!$I$3:$I101,Transactions!$H$3:$H101,"Sell",Transactions!$F$3:$F101,"Crypto",Transactions!$A$3:$A101,R$65,Transactions!$D$3:$D101,$N98)
+SUMIFS(Transactions!$I$3:$I101,Transactions!$H$3:$H101,"Buy",Transactions!$F$3:$F101,"Stablecoin",Transactions!$A$3:$A101,R$65,Transactions!$D$3:$D101,$N98)
+SUMIFS(Transactions!$I$3:$I101,Transactions!$H$3:$H101,"Crypto Interest",Transactions!$F$3:$F101,"Stablecoin",Transactions!$A$3:$A101,R$65,Transactions!$D$3:$D101,$N98)
+SUMIFS(Transactions!$I$3:$I101,Transactions!$H$3:$H101,"Transfer Deposit",Transactions!$F$3:$F101,"Stablecoin",Transactions!$A$3:$A101,R$65,Transactions!$D$3:$D101,$N98)
-SUMIFS(Transactions!$I$3:$I101,Transactions!$H$3:$H101,"Transfer Send",Transactions!$F$3:$F101,"Stablecoin",Transactions!$A$3:$A101,R$65,Transactions!$D$3:$D101,$N98)
-SUMIFS(Transactions!$I$3:$I101,Transactions!$H$3:$H101,"Sell",Transactions!$F$3:$F101,"Stablecoin",Transactions!$A$3:$A101,R$65,Transactions!$D$3:$D101,$N98)
-SUMIFS(Transactions!$M$3:$M101,Transactions!$H$3:$H101,"Buy",Transactions!$A$3:$A101,R$65,Transactions!$B$3:$B101,$N98))</f>
        <v/>
      </c>
      <c r="S98" s="158" t="str">
        <f>IF(OR(ISBLANK($N98),ISBLANK(S$65)),"",
SUMIFS(Transactions!$I$3:$I101,Transactions!$H$3:$H101,"Buy",Transactions!$F$3:$F101,"Crypto",Transactions!$A$3:$A101,S$65,Transactions!$D$3:$D101,$N98)
+SUMIFS(Transactions!$I$3:$I101,Transactions!$H$3:$H101,"Crypto Interest",Transactions!$F$3:$F101,"Crypto",Transactions!$A$3:$A101,S$65,Transactions!$D$3:$D101,$N98)
+SUMIFS(Transactions!$I$3:$I101,Transactions!$H$3:$H101,"Transfer Deposit",Transactions!$F$3:$F101,"Crypto",Transactions!$A$3:$A101,S$65,Transactions!$D$3:$D101,$N98)
-SUMIFS(Transactions!$I$3:$I101,Transactions!$H$3:$H101,"Transfer Send",Transactions!$F$3:$F101,"Crypto",Transactions!$A$3:$A101,S$65,Transactions!$D$3:$D101,$N98)
-SUMIFS(Transactions!$I$3:$I101,Transactions!$H$3:$H101,"Sell",Transactions!$F$3:$F101,"Crypto",Transactions!$A$3:$A101,S$65,Transactions!$D$3:$D101,$N98)
+SUMIFS(Transactions!$I$3:$I101,Transactions!$H$3:$H101,"Buy",Transactions!$F$3:$F101,"Stablecoin",Transactions!$A$3:$A101,S$65,Transactions!$D$3:$D101,$N98)
+SUMIFS(Transactions!$I$3:$I101,Transactions!$H$3:$H101,"Crypto Interest",Transactions!$F$3:$F101,"Stablecoin",Transactions!$A$3:$A101,S$65,Transactions!$D$3:$D101,$N98)
+SUMIFS(Transactions!$I$3:$I101,Transactions!$H$3:$H101,"Transfer Deposit",Transactions!$F$3:$F101,"Stablecoin",Transactions!$A$3:$A101,S$65,Transactions!$D$3:$D101,$N98)
-SUMIFS(Transactions!$I$3:$I101,Transactions!$H$3:$H101,"Transfer Send",Transactions!$F$3:$F101,"Stablecoin",Transactions!$A$3:$A101,S$65,Transactions!$D$3:$D101,$N98)
-SUMIFS(Transactions!$I$3:$I101,Transactions!$H$3:$H101,"Sell",Transactions!$F$3:$F101,"Stablecoin",Transactions!$A$3:$A101,S$65,Transactions!$D$3:$D101,$N98)
-SUMIFS(Transactions!$M$3:$M101,Transactions!$H$3:$H101,"Buy",Transactions!$A$3:$A101,S$65,Transactions!$B$3:$B101,$N98))</f>
        <v/>
      </c>
      <c r="T98" s="158" t="str">
        <f>IF(OR(ISBLANK($N98),ISBLANK(T$65)),"",
SUMIFS(Transactions!$I$3:$I101,Transactions!$H$3:$H101,"Buy",Transactions!$F$3:$F101,"Crypto",Transactions!$A$3:$A101,T$65,Transactions!$D$3:$D101,$N98)
+SUMIFS(Transactions!$I$3:$I101,Transactions!$H$3:$H101,"Crypto Interest",Transactions!$F$3:$F101,"Crypto",Transactions!$A$3:$A101,T$65,Transactions!$D$3:$D101,$N98)
+SUMIFS(Transactions!$I$3:$I101,Transactions!$H$3:$H101,"Transfer Deposit",Transactions!$F$3:$F101,"Crypto",Transactions!$A$3:$A101,T$65,Transactions!$D$3:$D101,$N98)
-SUMIFS(Transactions!$I$3:$I101,Transactions!$H$3:$H101,"Transfer Send",Transactions!$F$3:$F101,"Crypto",Transactions!$A$3:$A101,T$65,Transactions!$D$3:$D101,$N98)
-SUMIFS(Transactions!$I$3:$I101,Transactions!$H$3:$H101,"Sell",Transactions!$F$3:$F101,"Crypto",Transactions!$A$3:$A101,T$65,Transactions!$D$3:$D101,$N98)
+SUMIFS(Transactions!$I$3:$I101,Transactions!$H$3:$H101,"Buy",Transactions!$F$3:$F101,"Stablecoin",Transactions!$A$3:$A101,T$65,Transactions!$D$3:$D101,$N98)
+SUMIFS(Transactions!$I$3:$I101,Transactions!$H$3:$H101,"Crypto Interest",Transactions!$F$3:$F101,"Stablecoin",Transactions!$A$3:$A101,T$65,Transactions!$D$3:$D101,$N98)
+SUMIFS(Transactions!$I$3:$I101,Transactions!$H$3:$H101,"Transfer Deposit",Transactions!$F$3:$F101,"Stablecoin",Transactions!$A$3:$A101,T$65,Transactions!$D$3:$D101,$N98)
-SUMIFS(Transactions!$I$3:$I101,Transactions!$H$3:$H101,"Transfer Send",Transactions!$F$3:$F101,"Stablecoin",Transactions!$A$3:$A101,T$65,Transactions!$D$3:$D101,$N98)
-SUMIFS(Transactions!$I$3:$I101,Transactions!$H$3:$H101,"Sell",Transactions!$F$3:$F101,"Stablecoin",Transactions!$A$3:$A101,T$65,Transactions!$D$3:$D101,$N98)
-SUMIFS(Transactions!$M$3:$M101,Transactions!$H$3:$H101,"Buy",Transactions!$A$3:$A101,T$65,Transactions!$B$3:$B101,$N98))</f>
        <v/>
      </c>
      <c r="U98" s="158" t="str">
        <f>IF(OR(ISBLANK($N98),ISBLANK(U$65)),"",
SUMIFS(Transactions!$I$3:$I101,Transactions!$H$3:$H101,"Buy",Transactions!$F$3:$F101,"Crypto",Transactions!$A$3:$A101,U$65,Transactions!$D$3:$D101,$N98)
+SUMIFS(Transactions!$I$3:$I101,Transactions!$H$3:$H101,"Crypto Interest",Transactions!$F$3:$F101,"Crypto",Transactions!$A$3:$A101,U$65,Transactions!$D$3:$D101,$N98)
+SUMIFS(Transactions!$I$3:$I101,Transactions!$H$3:$H101,"Transfer Deposit",Transactions!$F$3:$F101,"Crypto",Transactions!$A$3:$A101,U$65,Transactions!$D$3:$D101,$N98)
-SUMIFS(Transactions!$I$3:$I101,Transactions!$H$3:$H101,"Transfer Send",Transactions!$F$3:$F101,"Crypto",Transactions!$A$3:$A101,U$65,Transactions!$D$3:$D101,$N98)
-SUMIFS(Transactions!$I$3:$I101,Transactions!$H$3:$H101,"Sell",Transactions!$F$3:$F101,"Crypto",Transactions!$A$3:$A101,U$65,Transactions!$D$3:$D101,$N98)
+SUMIFS(Transactions!$I$3:$I101,Transactions!$H$3:$H101,"Buy",Transactions!$F$3:$F101,"Stablecoin",Transactions!$A$3:$A101,U$65,Transactions!$D$3:$D101,$N98)
+SUMIFS(Transactions!$I$3:$I101,Transactions!$H$3:$H101,"Crypto Interest",Transactions!$F$3:$F101,"Stablecoin",Transactions!$A$3:$A101,U$65,Transactions!$D$3:$D101,$N98)
+SUMIFS(Transactions!$I$3:$I101,Transactions!$H$3:$H101,"Transfer Deposit",Transactions!$F$3:$F101,"Stablecoin",Transactions!$A$3:$A101,U$65,Transactions!$D$3:$D101,$N98)
-SUMIFS(Transactions!$I$3:$I101,Transactions!$H$3:$H101,"Transfer Send",Transactions!$F$3:$F101,"Stablecoin",Transactions!$A$3:$A101,U$65,Transactions!$D$3:$D101,$N98)
-SUMIFS(Transactions!$I$3:$I101,Transactions!$H$3:$H101,"Sell",Transactions!$F$3:$F101,"Stablecoin",Transactions!$A$3:$A101,U$65,Transactions!$D$3:$D101,$N98)
-SUMIFS(Transactions!$M$3:$M101,Transactions!$H$3:$H101,"Buy",Transactions!$A$3:$A101,U$65,Transactions!$B$3:$B101,$N98))</f>
        <v/>
      </c>
      <c r="V98" s="158"/>
      <c r="W98" s="95"/>
      <c r="X98" s="96"/>
      <c r="Y98" s="96" t="str">
        <f>IFERROR(__xludf.DUMMYFUNCTION("IF(ISBLANK(W98),"""",QUERY(GOOGLEFINANCE($N$21,""Close"",W98-5,6),""select Col2 where Col1 &lt; date '""&amp;TEXT(W98+1, ""YYYY-MM-DD"")&amp;""' order by Col1 desc limit 1"",False)
)"),"")</f>
        <v/>
      </c>
      <c r="Z98" s="158"/>
    </row>
    <row r="99">
      <c r="A99" s="14"/>
      <c r="B99" s="149"/>
      <c r="C99" s="145" t="str">
        <f>IF(ISBLANK(B99),"",SUMIF(Portfolio!$A:$A,B99,Portfolio!$C:$C))</f>
        <v/>
      </c>
      <c r="D99" s="145" t="str">
        <f>IF(ISBLANK(B99),"",AVERAGEIF(Portfolio!$A:$A,B99,Portfolio!$D:$D))</f>
        <v/>
      </c>
      <c r="F99" s="145" t="str">
        <f>IF(ISBLANK(B99),"",VLOOKUP(B99,Portfolio!$A:$E,5,0))</f>
        <v/>
      </c>
      <c r="G99" s="145" t="str">
        <f>IF(ISBLANK(B99),"",IFERROR(((C99-SUMIFS(Transactions!I:I,Transactions!H:H,"Crypto Interest",Transactions!E:E,B99))*D99),""))</f>
        <v/>
      </c>
      <c r="H99" s="145" t="str">
        <f t="shared" si="11"/>
        <v/>
      </c>
      <c r="I99" s="145" t="str">
        <f t="shared" si="12"/>
        <v/>
      </c>
      <c r="J99" s="145" t="str">
        <f t="shared" si="13"/>
        <v/>
      </c>
      <c r="K99" s="145" t="str">
        <f>IF(ISBLANK(B99),"",SUMIF(Portfolio!$A:$A,B99,Portfolio!$Q:$Q))</f>
        <v/>
      </c>
      <c r="L99" s="145" t="str">
        <f t="shared" si="14"/>
        <v/>
      </c>
      <c r="M99" s="14"/>
      <c r="N99" s="157"/>
      <c r="O99" s="158" t="str">
        <f>IF(OR(ISBLANK($N99),ISBLANK(O$65)),"",
SUMIFS(Transactions!$I$3:$I101,Transactions!$H$3:$H101,"Buy",Transactions!$F$3:$F101,"Crypto",Transactions!$A$3:$A101,O$65,Transactions!$D$3:$D101,$N99)
+SUMIFS(Transactions!$I$3:$I101,Transactions!$H$3:$H101,"Crypto Interest",Transactions!$F$3:$F101,"Crypto",Transactions!$A$3:$A101,O$65,Transactions!$D$3:$D101,$N99)
+SUMIFS(Transactions!$I$3:$I101,Transactions!$H$3:$H101,"Transfer Deposit",Transactions!$F$3:$F101,"Crypto",Transactions!$A$3:$A101,O$65,Transactions!$D$3:$D101,$N99)
-SUMIFS(Transactions!$I$3:$I101,Transactions!$H$3:$H101,"Transfer Send",Transactions!$F$3:$F101,"Crypto",Transactions!$A$3:$A101,O$65,Transactions!$D$3:$D101,$N99)
-SUMIFS(Transactions!$I$3:$I101,Transactions!$H$3:$H101,"Sell",Transactions!$F$3:$F101,"Crypto",Transactions!$A$3:$A101,O$65,Transactions!$D$3:$D101,$N99)
+SUMIFS(Transactions!$I$3:$I101,Transactions!$H$3:$H101,"Buy",Transactions!$F$3:$F101,"Stablecoin",Transactions!$A$3:$A101,O$65,Transactions!$D$3:$D101,$N99)
+SUMIFS(Transactions!$I$3:$I101,Transactions!$H$3:$H101,"Crypto Interest",Transactions!$F$3:$F101,"Stablecoin",Transactions!$A$3:$A101,O$65,Transactions!$D$3:$D101,$N99)
+SUMIFS(Transactions!$I$3:$I101,Transactions!$H$3:$H101,"Transfer Deposit",Transactions!$F$3:$F101,"Stablecoin",Transactions!$A$3:$A101,O$65,Transactions!$D$3:$D101,$N99)
-SUMIFS(Transactions!$I$3:$I101,Transactions!$H$3:$H101,"Transfer Send",Transactions!$F$3:$F101,"Stablecoin",Transactions!$A$3:$A101,O$65,Transactions!$D$3:$D101,$N99)
-SUMIFS(Transactions!$I$3:$I101,Transactions!$H$3:$H101,"Sell",Transactions!$F$3:$F101,"Stablecoin",Transactions!$A$3:$A101,O$65,Transactions!$D$3:$D101,$N99)
-SUMIFS(Transactions!$M$3:$M101,Transactions!$H$3:$H101,"Buy",Transactions!$A$3:$A101,O$65,Transactions!$B$3:$B101,$N99))</f>
        <v/>
      </c>
      <c r="P99" s="158" t="str">
        <f>IF(OR(ISBLANK($N99),ISBLANK(P$65)),"",
SUMIFS(Transactions!$I$3:$I101,Transactions!$H$3:$H101,"Buy",Transactions!$F$3:$F101,"Crypto",Transactions!$A$3:$A101,P$65,Transactions!$D$3:$D101,$N99)
+SUMIFS(Transactions!$I$3:$I101,Transactions!$H$3:$H101,"Crypto Interest",Transactions!$F$3:$F101,"Crypto",Transactions!$A$3:$A101,P$65,Transactions!$D$3:$D101,$N99)
+SUMIFS(Transactions!$I$3:$I101,Transactions!$H$3:$H101,"Transfer Deposit",Transactions!$F$3:$F101,"Crypto",Transactions!$A$3:$A101,P$65,Transactions!$D$3:$D101,$N99)
-SUMIFS(Transactions!$I$3:$I101,Transactions!$H$3:$H101,"Transfer Send",Transactions!$F$3:$F101,"Crypto",Transactions!$A$3:$A101,P$65,Transactions!$D$3:$D101,$N99)
-SUMIFS(Transactions!$I$3:$I101,Transactions!$H$3:$H101,"Sell",Transactions!$F$3:$F101,"Crypto",Transactions!$A$3:$A101,P$65,Transactions!$D$3:$D101,$N99)
+SUMIFS(Transactions!$I$3:$I101,Transactions!$H$3:$H101,"Buy",Transactions!$F$3:$F101,"Stablecoin",Transactions!$A$3:$A101,P$65,Transactions!$D$3:$D101,$N99)
+SUMIFS(Transactions!$I$3:$I101,Transactions!$H$3:$H101,"Crypto Interest",Transactions!$F$3:$F101,"Stablecoin",Transactions!$A$3:$A101,P$65,Transactions!$D$3:$D101,$N99)
+SUMIFS(Transactions!$I$3:$I101,Transactions!$H$3:$H101,"Transfer Deposit",Transactions!$F$3:$F101,"Stablecoin",Transactions!$A$3:$A101,P$65,Transactions!$D$3:$D101,$N99)
-SUMIFS(Transactions!$I$3:$I101,Transactions!$H$3:$H101,"Transfer Send",Transactions!$F$3:$F101,"Stablecoin",Transactions!$A$3:$A101,P$65,Transactions!$D$3:$D101,$N99)
-SUMIFS(Transactions!$I$3:$I101,Transactions!$H$3:$H101,"Sell",Transactions!$F$3:$F101,"Stablecoin",Transactions!$A$3:$A101,P$65,Transactions!$D$3:$D101,$N99)
-SUMIFS(Transactions!$M$3:$M101,Transactions!$H$3:$H101,"Buy",Transactions!$A$3:$A101,P$65,Transactions!$B$3:$B101,$N99))</f>
        <v/>
      </c>
      <c r="Q99" s="158" t="str">
        <f>IF(OR(ISBLANK($N99),ISBLANK(Q$65)),"",
SUMIFS(Transactions!$I$3:$I101,Transactions!$H$3:$H101,"Buy",Transactions!$F$3:$F101,"Crypto",Transactions!$A$3:$A101,Q$65,Transactions!$D$3:$D101,$N99)
+SUMIFS(Transactions!$I$3:$I101,Transactions!$H$3:$H101,"Crypto Interest",Transactions!$F$3:$F101,"Crypto",Transactions!$A$3:$A101,Q$65,Transactions!$D$3:$D101,$N99)
+SUMIFS(Transactions!$I$3:$I101,Transactions!$H$3:$H101,"Transfer Deposit",Transactions!$F$3:$F101,"Crypto",Transactions!$A$3:$A101,Q$65,Transactions!$D$3:$D101,$N99)
-SUMIFS(Transactions!$I$3:$I101,Transactions!$H$3:$H101,"Transfer Send",Transactions!$F$3:$F101,"Crypto",Transactions!$A$3:$A101,Q$65,Transactions!$D$3:$D101,$N99)
-SUMIFS(Transactions!$I$3:$I101,Transactions!$H$3:$H101,"Sell",Transactions!$F$3:$F101,"Crypto",Transactions!$A$3:$A101,Q$65,Transactions!$D$3:$D101,$N99)
+SUMIFS(Transactions!$I$3:$I101,Transactions!$H$3:$H101,"Buy",Transactions!$F$3:$F101,"Stablecoin",Transactions!$A$3:$A101,Q$65,Transactions!$D$3:$D101,$N99)
+SUMIFS(Transactions!$I$3:$I101,Transactions!$H$3:$H101,"Crypto Interest",Transactions!$F$3:$F101,"Stablecoin",Transactions!$A$3:$A101,Q$65,Transactions!$D$3:$D101,$N99)
+SUMIFS(Transactions!$I$3:$I101,Transactions!$H$3:$H101,"Transfer Deposit",Transactions!$F$3:$F101,"Stablecoin",Transactions!$A$3:$A101,Q$65,Transactions!$D$3:$D101,$N99)
-SUMIFS(Transactions!$I$3:$I101,Transactions!$H$3:$H101,"Transfer Send",Transactions!$F$3:$F101,"Stablecoin",Transactions!$A$3:$A101,Q$65,Transactions!$D$3:$D101,$N99)
-SUMIFS(Transactions!$I$3:$I101,Transactions!$H$3:$H101,"Sell",Transactions!$F$3:$F101,"Stablecoin",Transactions!$A$3:$A101,Q$65,Transactions!$D$3:$D101,$N99)
-SUMIFS(Transactions!$M$3:$M101,Transactions!$H$3:$H101,"Buy",Transactions!$A$3:$A101,Q$65,Transactions!$B$3:$B101,$N99))</f>
        <v/>
      </c>
      <c r="R99" s="158" t="str">
        <f>IF(OR(ISBLANK($N99),ISBLANK(R$65)),"",
SUMIFS(Transactions!$I$3:$I101,Transactions!$H$3:$H101,"Buy",Transactions!$F$3:$F101,"Crypto",Transactions!$A$3:$A101,R$65,Transactions!$D$3:$D101,$N99)
+SUMIFS(Transactions!$I$3:$I101,Transactions!$H$3:$H101,"Crypto Interest",Transactions!$F$3:$F101,"Crypto",Transactions!$A$3:$A101,R$65,Transactions!$D$3:$D101,$N99)
+SUMIFS(Transactions!$I$3:$I101,Transactions!$H$3:$H101,"Transfer Deposit",Transactions!$F$3:$F101,"Crypto",Transactions!$A$3:$A101,R$65,Transactions!$D$3:$D101,$N99)
-SUMIFS(Transactions!$I$3:$I101,Transactions!$H$3:$H101,"Transfer Send",Transactions!$F$3:$F101,"Crypto",Transactions!$A$3:$A101,R$65,Transactions!$D$3:$D101,$N99)
-SUMIFS(Transactions!$I$3:$I101,Transactions!$H$3:$H101,"Sell",Transactions!$F$3:$F101,"Crypto",Transactions!$A$3:$A101,R$65,Transactions!$D$3:$D101,$N99)
+SUMIFS(Transactions!$I$3:$I101,Transactions!$H$3:$H101,"Buy",Transactions!$F$3:$F101,"Stablecoin",Transactions!$A$3:$A101,R$65,Transactions!$D$3:$D101,$N99)
+SUMIFS(Transactions!$I$3:$I101,Transactions!$H$3:$H101,"Crypto Interest",Transactions!$F$3:$F101,"Stablecoin",Transactions!$A$3:$A101,R$65,Transactions!$D$3:$D101,$N99)
+SUMIFS(Transactions!$I$3:$I101,Transactions!$H$3:$H101,"Transfer Deposit",Transactions!$F$3:$F101,"Stablecoin",Transactions!$A$3:$A101,R$65,Transactions!$D$3:$D101,$N99)
-SUMIFS(Transactions!$I$3:$I101,Transactions!$H$3:$H101,"Transfer Send",Transactions!$F$3:$F101,"Stablecoin",Transactions!$A$3:$A101,R$65,Transactions!$D$3:$D101,$N99)
-SUMIFS(Transactions!$I$3:$I101,Transactions!$H$3:$H101,"Sell",Transactions!$F$3:$F101,"Stablecoin",Transactions!$A$3:$A101,R$65,Transactions!$D$3:$D101,$N99)
-SUMIFS(Transactions!$M$3:$M101,Transactions!$H$3:$H101,"Buy",Transactions!$A$3:$A101,R$65,Transactions!$B$3:$B101,$N99))</f>
        <v/>
      </c>
      <c r="S99" s="158" t="str">
        <f>IF(OR(ISBLANK($N99),ISBLANK(S$65)),"",
SUMIFS(Transactions!$I$3:$I101,Transactions!$H$3:$H101,"Buy",Transactions!$F$3:$F101,"Crypto",Transactions!$A$3:$A101,S$65,Transactions!$D$3:$D101,$N99)
+SUMIFS(Transactions!$I$3:$I101,Transactions!$H$3:$H101,"Crypto Interest",Transactions!$F$3:$F101,"Crypto",Transactions!$A$3:$A101,S$65,Transactions!$D$3:$D101,$N99)
+SUMIFS(Transactions!$I$3:$I101,Transactions!$H$3:$H101,"Transfer Deposit",Transactions!$F$3:$F101,"Crypto",Transactions!$A$3:$A101,S$65,Transactions!$D$3:$D101,$N99)
-SUMIFS(Transactions!$I$3:$I101,Transactions!$H$3:$H101,"Transfer Send",Transactions!$F$3:$F101,"Crypto",Transactions!$A$3:$A101,S$65,Transactions!$D$3:$D101,$N99)
-SUMIFS(Transactions!$I$3:$I101,Transactions!$H$3:$H101,"Sell",Transactions!$F$3:$F101,"Crypto",Transactions!$A$3:$A101,S$65,Transactions!$D$3:$D101,$N99)
+SUMIFS(Transactions!$I$3:$I101,Transactions!$H$3:$H101,"Buy",Transactions!$F$3:$F101,"Stablecoin",Transactions!$A$3:$A101,S$65,Transactions!$D$3:$D101,$N99)
+SUMIFS(Transactions!$I$3:$I101,Transactions!$H$3:$H101,"Crypto Interest",Transactions!$F$3:$F101,"Stablecoin",Transactions!$A$3:$A101,S$65,Transactions!$D$3:$D101,$N99)
+SUMIFS(Transactions!$I$3:$I101,Transactions!$H$3:$H101,"Transfer Deposit",Transactions!$F$3:$F101,"Stablecoin",Transactions!$A$3:$A101,S$65,Transactions!$D$3:$D101,$N99)
-SUMIFS(Transactions!$I$3:$I101,Transactions!$H$3:$H101,"Transfer Send",Transactions!$F$3:$F101,"Stablecoin",Transactions!$A$3:$A101,S$65,Transactions!$D$3:$D101,$N99)
-SUMIFS(Transactions!$I$3:$I101,Transactions!$H$3:$H101,"Sell",Transactions!$F$3:$F101,"Stablecoin",Transactions!$A$3:$A101,S$65,Transactions!$D$3:$D101,$N99)
-SUMIFS(Transactions!$M$3:$M101,Transactions!$H$3:$H101,"Buy",Transactions!$A$3:$A101,S$65,Transactions!$B$3:$B101,$N99))</f>
        <v/>
      </c>
      <c r="T99" s="158" t="str">
        <f>IF(OR(ISBLANK($N99),ISBLANK(T$65)),"",
SUMIFS(Transactions!$I$3:$I101,Transactions!$H$3:$H101,"Buy",Transactions!$F$3:$F101,"Crypto",Transactions!$A$3:$A101,T$65,Transactions!$D$3:$D101,$N99)
+SUMIFS(Transactions!$I$3:$I101,Transactions!$H$3:$H101,"Crypto Interest",Transactions!$F$3:$F101,"Crypto",Transactions!$A$3:$A101,T$65,Transactions!$D$3:$D101,$N99)
+SUMIFS(Transactions!$I$3:$I101,Transactions!$H$3:$H101,"Transfer Deposit",Transactions!$F$3:$F101,"Crypto",Transactions!$A$3:$A101,T$65,Transactions!$D$3:$D101,$N99)
-SUMIFS(Transactions!$I$3:$I101,Transactions!$H$3:$H101,"Transfer Send",Transactions!$F$3:$F101,"Crypto",Transactions!$A$3:$A101,T$65,Transactions!$D$3:$D101,$N99)
-SUMIFS(Transactions!$I$3:$I101,Transactions!$H$3:$H101,"Sell",Transactions!$F$3:$F101,"Crypto",Transactions!$A$3:$A101,T$65,Transactions!$D$3:$D101,$N99)
+SUMIFS(Transactions!$I$3:$I101,Transactions!$H$3:$H101,"Buy",Transactions!$F$3:$F101,"Stablecoin",Transactions!$A$3:$A101,T$65,Transactions!$D$3:$D101,$N99)
+SUMIFS(Transactions!$I$3:$I101,Transactions!$H$3:$H101,"Crypto Interest",Transactions!$F$3:$F101,"Stablecoin",Transactions!$A$3:$A101,T$65,Transactions!$D$3:$D101,$N99)
+SUMIFS(Transactions!$I$3:$I101,Transactions!$H$3:$H101,"Transfer Deposit",Transactions!$F$3:$F101,"Stablecoin",Transactions!$A$3:$A101,T$65,Transactions!$D$3:$D101,$N99)
-SUMIFS(Transactions!$I$3:$I101,Transactions!$H$3:$H101,"Transfer Send",Transactions!$F$3:$F101,"Stablecoin",Transactions!$A$3:$A101,T$65,Transactions!$D$3:$D101,$N99)
-SUMIFS(Transactions!$I$3:$I101,Transactions!$H$3:$H101,"Sell",Transactions!$F$3:$F101,"Stablecoin",Transactions!$A$3:$A101,T$65,Transactions!$D$3:$D101,$N99)
-SUMIFS(Transactions!$M$3:$M101,Transactions!$H$3:$H101,"Buy",Transactions!$A$3:$A101,T$65,Transactions!$B$3:$B101,$N99))</f>
        <v/>
      </c>
      <c r="U99" s="158" t="str">
        <f>IF(OR(ISBLANK($N99),ISBLANK(U$65)),"",
SUMIFS(Transactions!$I$3:$I101,Transactions!$H$3:$H101,"Buy",Transactions!$F$3:$F101,"Crypto",Transactions!$A$3:$A101,U$65,Transactions!$D$3:$D101,$N99)
+SUMIFS(Transactions!$I$3:$I101,Transactions!$H$3:$H101,"Crypto Interest",Transactions!$F$3:$F101,"Crypto",Transactions!$A$3:$A101,U$65,Transactions!$D$3:$D101,$N99)
+SUMIFS(Transactions!$I$3:$I101,Transactions!$H$3:$H101,"Transfer Deposit",Transactions!$F$3:$F101,"Crypto",Transactions!$A$3:$A101,U$65,Transactions!$D$3:$D101,$N99)
-SUMIFS(Transactions!$I$3:$I101,Transactions!$H$3:$H101,"Transfer Send",Transactions!$F$3:$F101,"Crypto",Transactions!$A$3:$A101,U$65,Transactions!$D$3:$D101,$N99)
-SUMIFS(Transactions!$I$3:$I101,Transactions!$H$3:$H101,"Sell",Transactions!$F$3:$F101,"Crypto",Transactions!$A$3:$A101,U$65,Transactions!$D$3:$D101,$N99)
+SUMIFS(Transactions!$I$3:$I101,Transactions!$H$3:$H101,"Buy",Transactions!$F$3:$F101,"Stablecoin",Transactions!$A$3:$A101,U$65,Transactions!$D$3:$D101,$N99)
+SUMIFS(Transactions!$I$3:$I101,Transactions!$H$3:$H101,"Crypto Interest",Transactions!$F$3:$F101,"Stablecoin",Transactions!$A$3:$A101,U$65,Transactions!$D$3:$D101,$N99)
+SUMIFS(Transactions!$I$3:$I101,Transactions!$H$3:$H101,"Transfer Deposit",Transactions!$F$3:$F101,"Stablecoin",Transactions!$A$3:$A101,U$65,Transactions!$D$3:$D101,$N99)
-SUMIFS(Transactions!$I$3:$I101,Transactions!$H$3:$H101,"Transfer Send",Transactions!$F$3:$F101,"Stablecoin",Transactions!$A$3:$A101,U$65,Transactions!$D$3:$D101,$N99)
-SUMIFS(Transactions!$I$3:$I101,Transactions!$H$3:$H101,"Sell",Transactions!$F$3:$F101,"Stablecoin",Transactions!$A$3:$A101,U$65,Transactions!$D$3:$D101,$N99)
-SUMIFS(Transactions!$M$3:$M101,Transactions!$H$3:$H101,"Buy",Transactions!$A$3:$A101,U$65,Transactions!$B$3:$B101,$N99))</f>
        <v/>
      </c>
      <c r="V99" s="158"/>
      <c r="W99" s="95"/>
      <c r="X99" s="96"/>
      <c r="Y99" s="96" t="str">
        <f>IFERROR(__xludf.DUMMYFUNCTION("IF(ISBLANK(W99),"""",QUERY(GOOGLEFINANCE($N$21,""Close"",W99-5,6),""select Col2 where Col1 &lt; date '""&amp;TEXT(W99+1, ""YYYY-MM-DD"")&amp;""' order by Col1 desc limit 1"",False)
)"),"")</f>
        <v/>
      </c>
      <c r="Z99" s="158"/>
    </row>
    <row r="100">
      <c r="A100" s="14"/>
      <c r="B100" s="149"/>
      <c r="C100" s="145" t="str">
        <f>IF(ISBLANK(B100),"",SUMIF(Portfolio!$A:$A,B100,Portfolio!$C:$C))</f>
        <v/>
      </c>
      <c r="D100" s="145" t="str">
        <f>IF(ISBLANK(B100),"",AVERAGEIF(Portfolio!$A:$A,B100,Portfolio!$D:$D))</f>
        <v/>
      </c>
      <c r="F100" s="145" t="str">
        <f>IF(ISBLANK(B100),"",VLOOKUP(B100,Portfolio!$A:$E,5,0))</f>
        <v/>
      </c>
      <c r="G100" s="145" t="str">
        <f>IF(ISBLANK(B100),"",IFERROR(((C100-SUMIFS(Transactions!I:I,Transactions!H:H,"Crypto Interest",Transactions!E:E,B100))*D100),""))</f>
        <v/>
      </c>
      <c r="H100" s="145" t="str">
        <f t="shared" si="11"/>
        <v/>
      </c>
      <c r="I100" s="145" t="str">
        <f t="shared" si="12"/>
        <v/>
      </c>
      <c r="J100" s="145" t="str">
        <f t="shared" si="13"/>
        <v/>
      </c>
      <c r="K100" s="145" t="str">
        <f>IF(ISBLANK(B100),"",SUMIF(Portfolio!$A:$A,B100,Portfolio!$Q:$Q))</f>
        <v/>
      </c>
      <c r="L100" s="145" t="str">
        <f t="shared" si="14"/>
        <v/>
      </c>
      <c r="M100" s="14"/>
      <c r="N100" s="157"/>
      <c r="O100" s="158" t="str">
        <f>IF(OR(ISBLANK($N100),ISBLANK(O$65)),"",
SUMIFS(Transactions!$I$3:$I101,Transactions!$H$3:$H101,"Buy",Transactions!$F$3:$F101,"Crypto",Transactions!$A$3:$A101,O$65,Transactions!$D$3:$D101,$N100)
+SUMIFS(Transactions!$I$3:$I101,Transactions!$H$3:$H101,"Crypto Interest",Transactions!$F$3:$F101,"Crypto",Transactions!$A$3:$A101,O$65,Transactions!$D$3:$D101,$N100)
+SUMIFS(Transactions!$I$3:$I101,Transactions!$H$3:$H101,"Transfer Deposit",Transactions!$F$3:$F101,"Crypto",Transactions!$A$3:$A101,O$65,Transactions!$D$3:$D101,$N100)
-SUMIFS(Transactions!$I$3:$I101,Transactions!$H$3:$H101,"Transfer Send",Transactions!$F$3:$F101,"Crypto",Transactions!$A$3:$A101,O$65,Transactions!$D$3:$D101,$N100)
-SUMIFS(Transactions!$I$3:$I101,Transactions!$H$3:$H101,"Sell",Transactions!$F$3:$F101,"Crypto",Transactions!$A$3:$A101,O$65,Transactions!$D$3:$D101,$N100)
+SUMIFS(Transactions!$I$3:$I101,Transactions!$H$3:$H101,"Buy",Transactions!$F$3:$F101,"Stablecoin",Transactions!$A$3:$A101,O$65,Transactions!$D$3:$D101,$N100)
+SUMIFS(Transactions!$I$3:$I101,Transactions!$H$3:$H101,"Crypto Interest",Transactions!$F$3:$F101,"Stablecoin",Transactions!$A$3:$A101,O$65,Transactions!$D$3:$D101,$N100)
+SUMIFS(Transactions!$I$3:$I101,Transactions!$H$3:$H101,"Transfer Deposit",Transactions!$F$3:$F101,"Stablecoin",Transactions!$A$3:$A101,O$65,Transactions!$D$3:$D101,$N100)
-SUMIFS(Transactions!$I$3:$I101,Transactions!$H$3:$H101,"Transfer Send",Transactions!$F$3:$F101,"Stablecoin",Transactions!$A$3:$A101,O$65,Transactions!$D$3:$D101,$N100)
-SUMIFS(Transactions!$I$3:$I101,Transactions!$H$3:$H101,"Sell",Transactions!$F$3:$F101,"Stablecoin",Transactions!$A$3:$A101,O$65,Transactions!$D$3:$D101,$N100)
-SUMIFS(Transactions!$M$3:$M101,Transactions!$H$3:$H101,"Buy",Transactions!$A$3:$A101,O$65,Transactions!$B$3:$B101,$N100))</f>
        <v/>
      </c>
      <c r="P100" s="158" t="str">
        <f>IF(OR(ISBLANK($N100),ISBLANK(P$65)),"",
SUMIFS(Transactions!$I$3:$I101,Transactions!$H$3:$H101,"Buy",Transactions!$F$3:$F101,"Crypto",Transactions!$A$3:$A101,P$65,Transactions!$D$3:$D101,$N100)
+SUMIFS(Transactions!$I$3:$I101,Transactions!$H$3:$H101,"Crypto Interest",Transactions!$F$3:$F101,"Crypto",Transactions!$A$3:$A101,P$65,Transactions!$D$3:$D101,$N100)
+SUMIFS(Transactions!$I$3:$I101,Transactions!$H$3:$H101,"Transfer Deposit",Transactions!$F$3:$F101,"Crypto",Transactions!$A$3:$A101,P$65,Transactions!$D$3:$D101,$N100)
-SUMIFS(Transactions!$I$3:$I101,Transactions!$H$3:$H101,"Transfer Send",Transactions!$F$3:$F101,"Crypto",Transactions!$A$3:$A101,P$65,Transactions!$D$3:$D101,$N100)
-SUMIFS(Transactions!$I$3:$I101,Transactions!$H$3:$H101,"Sell",Transactions!$F$3:$F101,"Crypto",Transactions!$A$3:$A101,P$65,Transactions!$D$3:$D101,$N100)
+SUMIFS(Transactions!$I$3:$I101,Transactions!$H$3:$H101,"Buy",Transactions!$F$3:$F101,"Stablecoin",Transactions!$A$3:$A101,P$65,Transactions!$D$3:$D101,$N100)
+SUMIFS(Transactions!$I$3:$I101,Transactions!$H$3:$H101,"Crypto Interest",Transactions!$F$3:$F101,"Stablecoin",Transactions!$A$3:$A101,P$65,Transactions!$D$3:$D101,$N100)
+SUMIFS(Transactions!$I$3:$I101,Transactions!$H$3:$H101,"Transfer Deposit",Transactions!$F$3:$F101,"Stablecoin",Transactions!$A$3:$A101,P$65,Transactions!$D$3:$D101,$N100)
-SUMIFS(Transactions!$I$3:$I101,Transactions!$H$3:$H101,"Transfer Send",Transactions!$F$3:$F101,"Stablecoin",Transactions!$A$3:$A101,P$65,Transactions!$D$3:$D101,$N100)
-SUMIFS(Transactions!$I$3:$I101,Transactions!$H$3:$H101,"Sell",Transactions!$F$3:$F101,"Stablecoin",Transactions!$A$3:$A101,P$65,Transactions!$D$3:$D101,$N100)
-SUMIFS(Transactions!$M$3:$M101,Transactions!$H$3:$H101,"Buy",Transactions!$A$3:$A101,P$65,Transactions!$B$3:$B101,$N100))</f>
        <v/>
      </c>
      <c r="Q100" s="158" t="str">
        <f>IF(OR(ISBLANK($N100),ISBLANK(Q$65)),"",
SUMIFS(Transactions!$I$3:$I101,Transactions!$H$3:$H101,"Buy",Transactions!$F$3:$F101,"Crypto",Transactions!$A$3:$A101,Q$65,Transactions!$D$3:$D101,$N100)
+SUMIFS(Transactions!$I$3:$I101,Transactions!$H$3:$H101,"Crypto Interest",Transactions!$F$3:$F101,"Crypto",Transactions!$A$3:$A101,Q$65,Transactions!$D$3:$D101,$N100)
+SUMIFS(Transactions!$I$3:$I101,Transactions!$H$3:$H101,"Transfer Deposit",Transactions!$F$3:$F101,"Crypto",Transactions!$A$3:$A101,Q$65,Transactions!$D$3:$D101,$N100)
-SUMIFS(Transactions!$I$3:$I101,Transactions!$H$3:$H101,"Transfer Send",Transactions!$F$3:$F101,"Crypto",Transactions!$A$3:$A101,Q$65,Transactions!$D$3:$D101,$N100)
-SUMIFS(Transactions!$I$3:$I101,Transactions!$H$3:$H101,"Sell",Transactions!$F$3:$F101,"Crypto",Transactions!$A$3:$A101,Q$65,Transactions!$D$3:$D101,$N100)
+SUMIFS(Transactions!$I$3:$I101,Transactions!$H$3:$H101,"Buy",Transactions!$F$3:$F101,"Stablecoin",Transactions!$A$3:$A101,Q$65,Transactions!$D$3:$D101,$N100)
+SUMIFS(Transactions!$I$3:$I101,Transactions!$H$3:$H101,"Crypto Interest",Transactions!$F$3:$F101,"Stablecoin",Transactions!$A$3:$A101,Q$65,Transactions!$D$3:$D101,$N100)
+SUMIFS(Transactions!$I$3:$I101,Transactions!$H$3:$H101,"Transfer Deposit",Transactions!$F$3:$F101,"Stablecoin",Transactions!$A$3:$A101,Q$65,Transactions!$D$3:$D101,$N100)
-SUMIFS(Transactions!$I$3:$I101,Transactions!$H$3:$H101,"Transfer Send",Transactions!$F$3:$F101,"Stablecoin",Transactions!$A$3:$A101,Q$65,Transactions!$D$3:$D101,$N100)
-SUMIFS(Transactions!$I$3:$I101,Transactions!$H$3:$H101,"Sell",Transactions!$F$3:$F101,"Stablecoin",Transactions!$A$3:$A101,Q$65,Transactions!$D$3:$D101,$N100)
-SUMIFS(Transactions!$M$3:$M101,Transactions!$H$3:$H101,"Buy",Transactions!$A$3:$A101,Q$65,Transactions!$B$3:$B101,$N100))</f>
        <v/>
      </c>
      <c r="R100" s="158" t="str">
        <f>IF(OR(ISBLANK($N100),ISBLANK(R$65)),"",
SUMIFS(Transactions!$I$3:$I101,Transactions!$H$3:$H101,"Buy",Transactions!$F$3:$F101,"Crypto",Transactions!$A$3:$A101,R$65,Transactions!$D$3:$D101,$N100)
+SUMIFS(Transactions!$I$3:$I101,Transactions!$H$3:$H101,"Crypto Interest",Transactions!$F$3:$F101,"Crypto",Transactions!$A$3:$A101,R$65,Transactions!$D$3:$D101,$N100)
+SUMIFS(Transactions!$I$3:$I101,Transactions!$H$3:$H101,"Transfer Deposit",Transactions!$F$3:$F101,"Crypto",Transactions!$A$3:$A101,R$65,Transactions!$D$3:$D101,$N100)
-SUMIFS(Transactions!$I$3:$I101,Transactions!$H$3:$H101,"Transfer Send",Transactions!$F$3:$F101,"Crypto",Transactions!$A$3:$A101,R$65,Transactions!$D$3:$D101,$N100)
-SUMIFS(Transactions!$I$3:$I101,Transactions!$H$3:$H101,"Sell",Transactions!$F$3:$F101,"Crypto",Transactions!$A$3:$A101,R$65,Transactions!$D$3:$D101,$N100)
+SUMIFS(Transactions!$I$3:$I101,Transactions!$H$3:$H101,"Buy",Transactions!$F$3:$F101,"Stablecoin",Transactions!$A$3:$A101,R$65,Transactions!$D$3:$D101,$N100)
+SUMIFS(Transactions!$I$3:$I101,Transactions!$H$3:$H101,"Crypto Interest",Transactions!$F$3:$F101,"Stablecoin",Transactions!$A$3:$A101,R$65,Transactions!$D$3:$D101,$N100)
+SUMIFS(Transactions!$I$3:$I101,Transactions!$H$3:$H101,"Transfer Deposit",Transactions!$F$3:$F101,"Stablecoin",Transactions!$A$3:$A101,R$65,Transactions!$D$3:$D101,$N100)
-SUMIFS(Transactions!$I$3:$I101,Transactions!$H$3:$H101,"Transfer Send",Transactions!$F$3:$F101,"Stablecoin",Transactions!$A$3:$A101,R$65,Transactions!$D$3:$D101,$N100)
-SUMIFS(Transactions!$I$3:$I101,Transactions!$H$3:$H101,"Sell",Transactions!$F$3:$F101,"Stablecoin",Transactions!$A$3:$A101,R$65,Transactions!$D$3:$D101,$N100)
-SUMIFS(Transactions!$M$3:$M101,Transactions!$H$3:$H101,"Buy",Transactions!$A$3:$A101,R$65,Transactions!$B$3:$B101,$N100))</f>
        <v/>
      </c>
      <c r="S100" s="158" t="str">
        <f>IF(OR(ISBLANK($N100),ISBLANK(S$65)),"",
SUMIFS(Transactions!$I$3:$I101,Transactions!$H$3:$H101,"Buy",Transactions!$F$3:$F101,"Crypto",Transactions!$A$3:$A101,S$65,Transactions!$D$3:$D101,$N100)
+SUMIFS(Transactions!$I$3:$I101,Transactions!$H$3:$H101,"Crypto Interest",Transactions!$F$3:$F101,"Crypto",Transactions!$A$3:$A101,S$65,Transactions!$D$3:$D101,$N100)
+SUMIFS(Transactions!$I$3:$I101,Transactions!$H$3:$H101,"Transfer Deposit",Transactions!$F$3:$F101,"Crypto",Transactions!$A$3:$A101,S$65,Transactions!$D$3:$D101,$N100)
-SUMIFS(Transactions!$I$3:$I101,Transactions!$H$3:$H101,"Transfer Send",Transactions!$F$3:$F101,"Crypto",Transactions!$A$3:$A101,S$65,Transactions!$D$3:$D101,$N100)
-SUMIFS(Transactions!$I$3:$I101,Transactions!$H$3:$H101,"Sell",Transactions!$F$3:$F101,"Crypto",Transactions!$A$3:$A101,S$65,Transactions!$D$3:$D101,$N100)
+SUMIFS(Transactions!$I$3:$I101,Transactions!$H$3:$H101,"Buy",Transactions!$F$3:$F101,"Stablecoin",Transactions!$A$3:$A101,S$65,Transactions!$D$3:$D101,$N100)
+SUMIFS(Transactions!$I$3:$I101,Transactions!$H$3:$H101,"Crypto Interest",Transactions!$F$3:$F101,"Stablecoin",Transactions!$A$3:$A101,S$65,Transactions!$D$3:$D101,$N100)
+SUMIFS(Transactions!$I$3:$I101,Transactions!$H$3:$H101,"Transfer Deposit",Transactions!$F$3:$F101,"Stablecoin",Transactions!$A$3:$A101,S$65,Transactions!$D$3:$D101,$N100)
-SUMIFS(Transactions!$I$3:$I101,Transactions!$H$3:$H101,"Transfer Send",Transactions!$F$3:$F101,"Stablecoin",Transactions!$A$3:$A101,S$65,Transactions!$D$3:$D101,$N100)
-SUMIFS(Transactions!$I$3:$I101,Transactions!$H$3:$H101,"Sell",Transactions!$F$3:$F101,"Stablecoin",Transactions!$A$3:$A101,S$65,Transactions!$D$3:$D101,$N100)
-SUMIFS(Transactions!$M$3:$M101,Transactions!$H$3:$H101,"Buy",Transactions!$A$3:$A101,S$65,Transactions!$B$3:$B101,$N100))</f>
        <v/>
      </c>
      <c r="T100" s="158" t="str">
        <f>IF(OR(ISBLANK($N100),ISBLANK(T$65)),"",
SUMIFS(Transactions!$I$3:$I101,Transactions!$H$3:$H101,"Buy",Transactions!$F$3:$F101,"Crypto",Transactions!$A$3:$A101,T$65,Transactions!$D$3:$D101,$N100)
+SUMIFS(Transactions!$I$3:$I101,Transactions!$H$3:$H101,"Crypto Interest",Transactions!$F$3:$F101,"Crypto",Transactions!$A$3:$A101,T$65,Transactions!$D$3:$D101,$N100)
+SUMIFS(Transactions!$I$3:$I101,Transactions!$H$3:$H101,"Transfer Deposit",Transactions!$F$3:$F101,"Crypto",Transactions!$A$3:$A101,T$65,Transactions!$D$3:$D101,$N100)
-SUMIFS(Transactions!$I$3:$I101,Transactions!$H$3:$H101,"Transfer Send",Transactions!$F$3:$F101,"Crypto",Transactions!$A$3:$A101,T$65,Transactions!$D$3:$D101,$N100)
-SUMIFS(Transactions!$I$3:$I101,Transactions!$H$3:$H101,"Sell",Transactions!$F$3:$F101,"Crypto",Transactions!$A$3:$A101,T$65,Transactions!$D$3:$D101,$N100)
+SUMIFS(Transactions!$I$3:$I101,Transactions!$H$3:$H101,"Buy",Transactions!$F$3:$F101,"Stablecoin",Transactions!$A$3:$A101,T$65,Transactions!$D$3:$D101,$N100)
+SUMIFS(Transactions!$I$3:$I101,Transactions!$H$3:$H101,"Crypto Interest",Transactions!$F$3:$F101,"Stablecoin",Transactions!$A$3:$A101,T$65,Transactions!$D$3:$D101,$N100)
+SUMIFS(Transactions!$I$3:$I101,Transactions!$H$3:$H101,"Transfer Deposit",Transactions!$F$3:$F101,"Stablecoin",Transactions!$A$3:$A101,T$65,Transactions!$D$3:$D101,$N100)
-SUMIFS(Transactions!$I$3:$I101,Transactions!$H$3:$H101,"Transfer Send",Transactions!$F$3:$F101,"Stablecoin",Transactions!$A$3:$A101,T$65,Transactions!$D$3:$D101,$N100)
-SUMIFS(Transactions!$I$3:$I101,Transactions!$H$3:$H101,"Sell",Transactions!$F$3:$F101,"Stablecoin",Transactions!$A$3:$A101,T$65,Transactions!$D$3:$D101,$N100)
-SUMIFS(Transactions!$M$3:$M101,Transactions!$H$3:$H101,"Buy",Transactions!$A$3:$A101,T$65,Transactions!$B$3:$B101,$N100))</f>
        <v/>
      </c>
      <c r="U100" s="158" t="str">
        <f>IF(OR(ISBLANK($N100),ISBLANK(U$65)),"",
SUMIFS(Transactions!$I$3:$I101,Transactions!$H$3:$H101,"Buy",Transactions!$F$3:$F101,"Crypto",Transactions!$A$3:$A101,U$65,Transactions!$D$3:$D101,$N100)
+SUMIFS(Transactions!$I$3:$I101,Transactions!$H$3:$H101,"Crypto Interest",Transactions!$F$3:$F101,"Crypto",Transactions!$A$3:$A101,U$65,Transactions!$D$3:$D101,$N100)
+SUMIFS(Transactions!$I$3:$I101,Transactions!$H$3:$H101,"Transfer Deposit",Transactions!$F$3:$F101,"Crypto",Transactions!$A$3:$A101,U$65,Transactions!$D$3:$D101,$N100)
-SUMIFS(Transactions!$I$3:$I101,Transactions!$H$3:$H101,"Transfer Send",Transactions!$F$3:$F101,"Crypto",Transactions!$A$3:$A101,U$65,Transactions!$D$3:$D101,$N100)
-SUMIFS(Transactions!$I$3:$I101,Transactions!$H$3:$H101,"Sell",Transactions!$F$3:$F101,"Crypto",Transactions!$A$3:$A101,U$65,Transactions!$D$3:$D101,$N100)
+SUMIFS(Transactions!$I$3:$I101,Transactions!$H$3:$H101,"Buy",Transactions!$F$3:$F101,"Stablecoin",Transactions!$A$3:$A101,U$65,Transactions!$D$3:$D101,$N100)
+SUMIFS(Transactions!$I$3:$I101,Transactions!$H$3:$H101,"Crypto Interest",Transactions!$F$3:$F101,"Stablecoin",Transactions!$A$3:$A101,U$65,Transactions!$D$3:$D101,$N100)
+SUMIFS(Transactions!$I$3:$I101,Transactions!$H$3:$H101,"Transfer Deposit",Transactions!$F$3:$F101,"Stablecoin",Transactions!$A$3:$A101,U$65,Transactions!$D$3:$D101,$N100)
-SUMIFS(Transactions!$I$3:$I101,Transactions!$H$3:$H101,"Transfer Send",Transactions!$F$3:$F101,"Stablecoin",Transactions!$A$3:$A101,U$65,Transactions!$D$3:$D101,$N100)
-SUMIFS(Transactions!$I$3:$I101,Transactions!$H$3:$H101,"Sell",Transactions!$F$3:$F101,"Stablecoin",Transactions!$A$3:$A101,U$65,Transactions!$D$3:$D101,$N100)
-SUMIFS(Transactions!$M$3:$M101,Transactions!$H$3:$H101,"Buy",Transactions!$A$3:$A101,U$65,Transactions!$B$3:$B101,$N100))</f>
        <v/>
      </c>
      <c r="V100" s="158"/>
      <c r="W100" s="95"/>
      <c r="X100" s="96"/>
      <c r="Y100" s="96" t="str">
        <f>IFERROR(__xludf.DUMMYFUNCTION("IF(ISBLANK(W100),"""",QUERY(GOOGLEFINANCE($N$21,""Close"",W100-5,6),""select Col2 where Col1 &lt; date '""&amp;TEXT(W100+1, ""YYYY-MM-DD"")&amp;""' order by Col1 desc limit 1"",False)
)"),"")</f>
        <v/>
      </c>
      <c r="Z100" s="158"/>
    </row>
    <row r="101">
      <c r="A101" s="14"/>
      <c r="B101" s="157"/>
      <c r="C101" s="159" t="str">
        <f>IF(ISBLANK(B101),"",SUMIF(Portfolio!$A:$A,B101,Portfolio!$C:$C))</f>
        <v/>
      </c>
      <c r="D101" s="96" t="str">
        <f>IF(ISBLANK(B101),"",AVERAGEIF(Portfolio!$A:$A,B101,Portfolio!$D:$D))</f>
        <v/>
      </c>
      <c r="F101" s="14" t="str">
        <f>IF(ISBLANK(B101),"",VLOOKUP(B101,Portfolio!$A:$E,5,0))</f>
        <v/>
      </c>
      <c r="G101" s="96" t="str">
        <f>IF(ISBLANK(B101),"",IFERROR(((C101-SUMIFS(Transactions!I:I,Transactions!H:H,"Crypto Interest",Transactions!E:E,B101))*D101),""))</f>
        <v/>
      </c>
      <c r="H101" s="96" t="str">
        <f t="shared" si="11"/>
        <v/>
      </c>
      <c r="I101" s="50" t="str">
        <f t="shared" si="12"/>
        <v/>
      </c>
      <c r="J101" s="96" t="str">
        <f t="shared" si="13"/>
        <v/>
      </c>
      <c r="K101" s="96" t="str">
        <f>IF(ISBLANK(B101),"",SUMIF(Portfolio!$A:$A,B101,Portfolio!$Q:$Q))</f>
        <v/>
      </c>
      <c r="L101" s="14" t="str">
        <f t="shared" si="14"/>
        <v/>
      </c>
      <c r="M101" s="14"/>
      <c r="N101" s="157"/>
      <c r="O101" s="158" t="str">
        <f>IF(OR(ISBLANK($N101),ISBLANK(O$65)),"",
SUMIFS(Transactions!$I$3:$I101,Transactions!$H$3:$H101,"Buy",Transactions!$F$3:$F101,"Crypto",Transactions!$A$3:$A101,O$65,Transactions!$D$3:$D101,$N101)
+SUMIFS(Transactions!$I$3:$I101,Transactions!$H$3:$H101,"Crypto Interest",Transactions!$F$3:$F101,"Crypto",Transactions!$A$3:$A101,O$65,Transactions!$D$3:$D101,$N101)
+SUMIFS(Transactions!$I$3:$I101,Transactions!$H$3:$H101,"Transfer Deposit",Transactions!$F$3:$F101,"Crypto",Transactions!$A$3:$A101,O$65,Transactions!$D$3:$D101,$N101)
-SUMIFS(Transactions!$I$3:$I101,Transactions!$H$3:$H101,"Transfer Send",Transactions!$F$3:$F101,"Crypto",Transactions!$A$3:$A101,O$65,Transactions!$D$3:$D101,$N101)
-SUMIFS(Transactions!$I$3:$I101,Transactions!$H$3:$H101,"Sell",Transactions!$F$3:$F101,"Crypto",Transactions!$A$3:$A101,O$65,Transactions!$D$3:$D101,$N101)
+SUMIFS(Transactions!$I$3:$I101,Transactions!$H$3:$H101,"Buy",Transactions!$F$3:$F101,"Stablecoin",Transactions!$A$3:$A101,O$65,Transactions!$D$3:$D101,$N101)
+SUMIFS(Transactions!$I$3:$I101,Transactions!$H$3:$H101,"Crypto Interest",Transactions!$F$3:$F101,"Stablecoin",Transactions!$A$3:$A101,O$65,Transactions!$D$3:$D101,$N101)
+SUMIFS(Transactions!$I$3:$I101,Transactions!$H$3:$H101,"Transfer Deposit",Transactions!$F$3:$F101,"Stablecoin",Transactions!$A$3:$A101,O$65,Transactions!$D$3:$D101,$N101)
-SUMIFS(Transactions!$I$3:$I101,Transactions!$H$3:$H101,"Transfer Send",Transactions!$F$3:$F101,"Stablecoin",Transactions!$A$3:$A101,O$65,Transactions!$D$3:$D101,$N101)
-SUMIFS(Transactions!$I$3:$I101,Transactions!$H$3:$H101,"Sell",Transactions!$F$3:$F101,"Stablecoin",Transactions!$A$3:$A101,O$65,Transactions!$D$3:$D101,$N101)
-SUMIFS(Transactions!$M$3:$M101,Transactions!$H$3:$H101,"Buy",Transactions!$A$3:$A101,O$65,Transactions!$B$3:$B101,$N101))</f>
        <v/>
      </c>
      <c r="P101" s="158" t="str">
        <f>IF(OR(ISBLANK($N101),ISBLANK(P$65)),"",
SUMIFS(Transactions!$I$3:$I101,Transactions!$H$3:$H101,"Buy",Transactions!$F$3:$F101,"Crypto",Transactions!$A$3:$A101,P$65,Transactions!$D$3:$D101,$N101)
+SUMIFS(Transactions!$I$3:$I101,Transactions!$H$3:$H101,"Crypto Interest",Transactions!$F$3:$F101,"Crypto",Transactions!$A$3:$A101,P$65,Transactions!$D$3:$D101,$N101)
+SUMIFS(Transactions!$I$3:$I101,Transactions!$H$3:$H101,"Transfer Deposit",Transactions!$F$3:$F101,"Crypto",Transactions!$A$3:$A101,P$65,Transactions!$D$3:$D101,$N101)
-SUMIFS(Transactions!$I$3:$I101,Transactions!$H$3:$H101,"Transfer Send",Transactions!$F$3:$F101,"Crypto",Transactions!$A$3:$A101,P$65,Transactions!$D$3:$D101,$N101)
-SUMIFS(Transactions!$I$3:$I101,Transactions!$H$3:$H101,"Sell",Transactions!$F$3:$F101,"Crypto",Transactions!$A$3:$A101,P$65,Transactions!$D$3:$D101,$N101)
+SUMIFS(Transactions!$I$3:$I101,Transactions!$H$3:$H101,"Buy",Transactions!$F$3:$F101,"Stablecoin",Transactions!$A$3:$A101,P$65,Transactions!$D$3:$D101,$N101)
+SUMIFS(Transactions!$I$3:$I101,Transactions!$H$3:$H101,"Crypto Interest",Transactions!$F$3:$F101,"Stablecoin",Transactions!$A$3:$A101,P$65,Transactions!$D$3:$D101,$N101)
+SUMIFS(Transactions!$I$3:$I101,Transactions!$H$3:$H101,"Transfer Deposit",Transactions!$F$3:$F101,"Stablecoin",Transactions!$A$3:$A101,P$65,Transactions!$D$3:$D101,$N101)
-SUMIFS(Transactions!$I$3:$I101,Transactions!$H$3:$H101,"Transfer Send",Transactions!$F$3:$F101,"Stablecoin",Transactions!$A$3:$A101,P$65,Transactions!$D$3:$D101,$N101)
-SUMIFS(Transactions!$I$3:$I101,Transactions!$H$3:$H101,"Sell",Transactions!$F$3:$F101,"Stablecoin",Transactions!$A$3:$A101,P$65,Transactions!$D$3:$D101,$N101)
-SUMIFS(Transactions!$M$3:$M101,Transactions!$H$3:$H101,"Buy",Transactions!$A$3:$A101,P$65,Transactions!$B$3:$B101,$N101))</f>
        <v/>
      </c>
      <c r="Q101" s="158" t="str">
        <f>IF(OR(ISBLANK($N101),ISBLANK(Q$65)),"",
SUMIFS(Transactions!$I$3:$I101,Transactions!$H$3:$H101,"Buy",Transactions!$F$3:$F101,"Crypto",Transactions!$A$3:$A101,Q$65,Transactions!$D$3:$D101,$N101)
+SUMIFS(Transactions!$I$3:$I101,Transactions!$H$3:$H101,"Crypto Interest",Transactions!$F$3:$F101,"Crypto",Transactions!$A$3:$A101,Q$65,Transactions!$D$3:$D101,$N101)
+SUMIFS(Transactions!$I$3:$I101,Transactions!$H$3:$H101,"Transfer Deposit",Transactions!$F$3:$F101,"Crypto",Transactions!$A$3:$A101,Q$65,Transactions!$D$3:$D101,$N101)
-SUMIFS(Transactions!$I$3:$I101,Transactions!$H$3:$H101,"Transfer Send",Transactions!$F$3:$F101,"Crypto",Transactions!$A$3:$A101,Q$65,Transactions!$D$3:$D101,$N101)
-SUMIFS(Transactions!$I$3:$I101,Transactions!$H$3:$H101,"Sell",Transactions!$F$3:$F101,"Crypto",Transactions!$A$3:$A101,Q$65,Transactions!$D$3:$D101,$N101)
+SUMIFS(Transactions!$I$3:$I101,Transactions!$H$3:$H101,"Buy",Transactions!$F$3:$F101,"Stablecoin",Transactions!$A$3:$A101,Q$65,Transactions!$D$3:$D101,$N101)
+SUMIFS(Transactions!$I$3:$I101,Transactions!$H$3:$H101,"Crypto Interest",Transactions!$F$3:$F101,"Stablecoin",Transactions!$A$3:$A101,Q$65,Transactions!$D$3:$D101,$N101)
+SUMIFS(Transactions!$I$3:$I101,Transactions!$H$3:$H101,"Transfer Deposit",Transactions!$F$3:$F101,"Stablecoin",Transactions!$A$3:$A101,Q$65,Transactions!$D$3:$D101,$N101)
-SUMIFS(Transactions!$I$3:$I101,Transactions!$H$3:$H101,"Transfer Send",Transactions!$F$3:$F101,"Stablecoin",Transactions!$A$3:$A101,Q$65,Transactions!$D$3:$D101,$N101)
-SUMIFS(Transactions!$I$3:$I101,Transactions!$H$3:$H101,"Sell",Transactions!$F$3:$F101,"Stablecoin",Transactions!$A$3:$A101,Q$65,Transactions!$D$3:$D101,$N101)
-SUMIFS(Transactions!$M$3:$M101,Transactions!$H$3:$H101,"Buy",Transactions!$A$3:$A101,Q$65,Transactions!$B$3:$B101,$N101))</f>
        <v/>
      </c>
      <c r="R101" s="158" t="str">
        <f>IF(OR(ISBLANK($N101),ISBLANK(R$65)),"",
SUMIFS(Transactions!$I$3:$I101,Transactions!$H$3:$H101,"Buy",Transactions!$F$3:$F101,"Crypto",Transactions!$A$3:$A101,R$65,Transactions!$D$3:$D101,$N101)
+SUMIFS(Transactions!$I$3:$I101,Transactions!$H$3:$H101,"Crypto Interest",Transactions!$F$3:$F101,"Crypto",Transactions!$A$3:$A101,R$65,Transactions!$D$3:$D101,$N101)
+SUMIFS(Transactions!$I$3:$I101,Transactions!$H$3:$H101,"Transfer Deposit",Transactions!$F$3:$F101,"Crypto",Transactions!$A$3:$A101,R$65,Transactions!$D$3:$D101,$N101)
-SUMIFS(Transactions!$I$3:$I101,Transactions!$H$3:$H101,"Transfer Send",Transactions!$F$3:$F101,"Crypto",Transactions!$A$3:$A101,R$65,Transactions!$D$3:$D101,$N101)
-SUMIFS(Transactions!$I$3:$I101,Transactions!$H$3:$H101,"Sell",Transactions!$F$3:$F101,"Crypto",Transactions!$A$3:$A101,R$65,Transactions!$D$3:$D101,$N101)
+SUMIFS(Transactions!$I$3:$I101,Transactions!$H$3:$H101,"Buy",Transactions!$F$3:$F101,"Stablecoin",Transactions!$A$3:$A101,R$65,Transactions!$D$3:$D101,$N101)
+SUMIFS(Transactions!$I$3:$I101,Transactions!$H$3:$H101,"Crypto Interest",Transactions!$F$3:$F101,"Stablecoin",Transactions!$A$3:$A101,R$65,Transactions!$D$3:$D101,$N101)
+SUMIFS(Transactions!$I$3:$I101,Transactions!$H$3:$H101,"Transfer Deposit",Transactions!$F$3:$F101,"Stablecoin",Transactions!$A$3:$A101,R$65,Transactions!$D$3:$D101,$N101)
-SUMIFS(Transactions!$I$3:$I101,Transactions!$H$3:$H101,"Transfer Send",Transactions!$F$3:$F101,"Stablecoin",Transactions!$A$3:$A101,R$65,Transactions!$D$3:$D101,$N101)
-SUMIFS(Transactions!$I$3:$I101,Transactions!$H$3:$H101,"Sell",Transactions!$F$3:$F101,"Stablecoin",Transactions!$A$3:$A101,R$65,Transactions!$D$3:$D101,$N101)
-SUMIFS(Transactions!$M$3:$M101,Transactions!$H$3:$H101,"Buy",Transactions!$A$3:$A101,R$65,Transactions!$B$3:$B101,$N101))</f>
        <v/>
      </c>
      <c r="S101" s="158" t="str">
        <f>IF(OR(ISBLANK($N101),ISBLANK(S$65)),"",
SUMIFS(Transactions!$I$3:$I101,Transactions!$H$3:$H101,"Buy",Transactions!$F$3:$F101,"Crypto",Transactions!$A$3:$A101,S$65,Transactions!$D$3:$D101,$N101)
+SUMIFS(Transactions!$I$3:$I101,Transactions!$H$3:$H101,"Crypto Interest",Transactions!$F$3:$F101,"Crypto",Transactions!$A$3:$A101,S$65,Transactions!$D$3:$D101,$N101)
+SUMIFS(Transactions!$I$3:$I101,Transactions!$H$3:$H101,"Transfer Deposit",Transactions!$F$3:$F101,"Crypto",Transactions!$A$3:$A101,S$65,Transactions!$D$3:$D101,$N101)
-SUMIFS(Transactions!$I$3:$I101,Transactions!$H$3:$H101,"Transfer Send",Transactions!$F$3:$F101,"Crypto",Transactions!$A$3:$A101,S$65,Transactions!$D$3:$D101,$N101)
-SUMIFS(Transactions!$I$3:$I101,Transactions!$H$3:$H101,"Sell",Transactions!$F$3:$F101,"Crypto",Transactions!$A$3:$A101,S$65,Transactions!$D$3:$D101,$N101)
+SUMIFS(Transactions!$I$3:$I101,Transactions!$H$3:$H101,"Buy",Transactions!$F$3:$F101,"Stablecoin",Transactions!$A$3:$A101,S$65,Transactions!$D$3:$D101,$N101)
+SUMIFS(Transactions!$I$3:$I101,Transactions!$H$3:$H101,"Crypto Interest",Transactions!$F$3:$F101,"Stablecoin",Transactions!$A$3:$A101,S$65,Transactions!$D$3:$D101,$N101)
+SUMIFS(Transactions!$I$3:$I101,Transactions!$H$3:$H101,"Transfer Deposit",Transactions!$F$3:$F101,"Stablecoin",Transactions!$A$3:$A101,S$65,Transactions!$D$3:$D101,$N101)
-SUMIFS(Transactions!$I$3:$I101,Transactions!$H$3:$H101,"Transfer Send",Transactions!$F$3:$F101,"Stablecoin",Transactions!$A$3:$A101,S$65,Transactions!$D$3:$D101,$N101)
-SUMIFS(Transactions!$I$3:$I101,Transactions!$H$3:$H101,"Sell",Transactions!$F$3:$F101,"Stablecoin",Transactions!$A$3:$A101,S$65,Transactions!$D$3:$D101,$N101)
-SUMIFS(Transactions!$M$3:$M101,Transactions!$H$3:$H101,"Buy",Transactions!$A$3:$A101,S$65,Transactions!$B$3:$B101,$N101))</f>
        <v/>
      </c>
      <c r="T101" s="158" t="str">
        <f>IF(OR(ISBLANK($N101),ISBLANK(T$65)),"",
SUMIFS(Transactions!$I$3:$I101,Transactions!$H$3:$H101,"Buy",Transactions!$F$3:$F101,"Crypto",Transactions!$A$3:$A101,T$65,Transactions!$D$3:$D101,$N101)
+SUMIFS(Transactions!$I$3:$I101,Transactions!$H$3:$H101,"Crypto Interest",Transactions!$F$3:$F101,"Crypto",Transactions!$A$3:$A101,T$65,Transactions!$D$3:$D101,$N101)
+SUMIFS(Transactions!$I$3:$I101,Transactions!$H$3:$H101,"Transfer Deposit",Transactions!$F$3:$F101,"Crypto",Transactions!$A$3:$A101,T$65,Transactions!$D$3:$D101,$N101)
-SUMIFS(Transactions!$I$3:$I101,Transactions!$H$3:$H101,"Transfer Send",Transactions!$F$3:$F101,"Crypto",Transactions!$A$3:$A101,T$65,Transactions!$D$3:$D101,$N101)
-SUMIFS(Transactions!$I$3:$I101,Transactions!$H$3:$H101,"Sell",Transactions!$F$3:$F101,"Crypto",Transactions!$A$3:$A101,T$65,Transactions!$D$3:$D101,$N101)
+SUMIFS(Transactions!$I$3:$I101,Transactions!$H$3:$H101,"Buy",Transactions!$F$3:$F101,"Stablecoin",Transactions!$A$3:$A101,T$65,Transactions!$D$3:$D101,$N101)
+SUMIFS(Transactions!$I$3:$I101,Transactions!$H$3:$H101,"Crypto Interest",Transactions!$F$3:$F101,"Stablecoin",Transactions!$A$3:$A101,T$65,Transactions!$D$3:$D101,$N101)
+SUMIFS(Transactions!$I$3:$I101,Transactions!$H$3:$H101,"Transfer Deposit",Transactions!$F$3:$F101,"Stablecoin",Transactions!$A$3:$A101,T$65,Transactions!$D$3:$D101,$N101)
-SUMIFS(Transactions!$I$3:$I101,Transactions!$H$3:$H101,"Transfer Send",Transactions!$F$3:$F101,"Stablecoin",Transactions!$A$3:$A101,T$65,Transactions!$D$3:$D101,$N101)
-SUMIFS(Transactions!$I$3:$I101,Transactions!$H$3:$H101,"Sell",Transactions!$F$3:$F101,"Stablecoin",Transactions!$A$3:$A101,T$65,Transactions!$D$3:$D101,$N101)
-SUMIFS(Transactions!$M$3:$M101,Transactions!$H$3:$H101,"Buy",Transactions!$A$3:$A101,T$65,Transactions!$B$3:$B101,$N101))</f>
        <v/>
      </c>
      <c r="U101" s="158" t="str">
        <f>IF(OR(ISBLANK($N101),ISBLANK(U$65)),"",
SUMIFS(Transactions!$I$3:$I101,Transactions!$H$3:$H101,"Buy",Transactions!$F$3:$F101,"Crypto",Transactions!$A$3:$A101,U$65,Transactions!$D$3:$D101,$N101)
+SUMIFS(Transactions!$I$3:$I101,Transactions!$H$3:$H101,"Crypto Interest",Transactions!$F$3:$F101,"Crypto",Transactions!$A$3:$A101,U$65,Transactions!$D$3:$D101,$N101)
+SUMIFS(Transactions!$I$3:$I101,Transactions!$H$3:$H101,"Transfer Deposit",Transactions!$F$3:$F101,"Crypto",Transactions!$A$3:$A101,U$65,Transactions!$D$3:$D101,$N101)
-SUMIFS(Transactions!$I$3:$I101,Transactions!$H$3:$H101,"Transfer Send",Transactions!$F$3:$F101,"Crypto",Transactions!$A$3:$A101,U$65,Transactions!$D$3:$D101,$N101)
-SUMIFS(Transactions!$I$3:$I101,Transactions!$H$3:$H101,"Sell",Transactions!$F$3:$F101,"Crypto",Transactions!$A$3:$A101,U$65,Transactions!$D$3:$D101,$N101)
+SUMIFS(Transactions!$I$3:$I101,Transactions!$H$3:$H101,"Buy",Transactions!$F$3:$F101,"Stablecoin",Transactions!$A$3:$A101,U$65,Transactions!$D$3:$D101,$N101)
+SUMIFS(Transactions!$I$3:$I101,Transactions!$H$3:$H101,"Crypto Interest",Transactions!$F$3:$F101,"Stablecoin",Transactions!$A$3:$A101,U$65,Transactions!$D$3:$D101,$N101)
+SUMIFS(Transactions!$I$3:$I101,Transactions!$H$3:$H101,"Transfer Deposit",Transactions!$F$3:$F101,"Stablecoin",Transactions!$A$3:$A101,U$65,Transactions!$D$3:$D101,$N101)
-SUMIFS(Transactions!$I$3:$I101,Transactions!$H$3:$H101,"Transfer Send",Transactions!$F$3:$F101,"Stablecoin",Transactions!$A$3:$A101,U$65,Transactions!$D$3:$D101,$N101)
-SUMIFS(Transactions!$I$3:$I101,Transactions!$H$3:$H101,"Sell",Transactions!$F$3:$F101,"Stablecoin",Transactions!$A$3:$A101,U$65,Transactions!$D$3:$D101,$N101)
-SUMIFS(Transactions!$M$3:$M101,Transactions!$H$3:$H101,"Buy",Transactions!$A$3:$A101,U$65,Transactions!$B$3:$B101,$N101))</f>
        <v/>
      </c>
      <c r="V101" s="158"/>
      <c r="W101" s="95"/>
      <c r="X101" s="96"/>
      <c r="Y101" s="96" t="str">
        <f>IFERROR(__xludf.DUMMYFUNCTION("IF(ISBLANK(W101),"""",QUERY(GOOGLEFINANCE($N$21,""Close"",W101-5,6),""select Col2 where Col1 &lt; date '""&amp;TEXT(W101+1, ""YYYY-MM-DD"")&amp;""' order by Col1 desc limit 1"",False)
)"),"")</f>
        <v/>
      </c>
      <c r="Z101" s="158"/>
    </row>
  </sheetData>
  <mergeCells count="111">
    <mergeCell ref="B17:C17"/>
    <mergeCell ref="B18:C18"/>
    <mergeCell ref="B19:C19"/>
    <mergeCell ref="B21:D21"/>
    <mergeCell ref="B22:C22"/>
    <mergeCell ref="B23:C23"/>
    <mergeCell ref="B24:C24"/>
    <mergeCell ref="B25:C25"/>
    <mergeCell ref="B26:C26"/>
    <mergeCell ref="B27:C27"/>
    <mergeCell ref="B28:C28"/>
    <mergeCell ref="B29:C29"/>
    <mergeCell ref="B30:C30"/>
    <mergeCell ref="B31:C31"/>
    <mergeCell ref="D61:E61"/>
    <mergeCell ref="D62:E62"/>
    <mergeCell ref="D63:E63"/>
    <mergeCell ref="B64:E64"/>
    <mergeCell ref="N64:T64"/>
    <mergeCell ref="D54:E54"/>
    <mergeCell ref="D55:E55"/>
    <mergeCell ref="D56:E56"/>
    <mergeCell ref="D57:E57"/>
    <mergeCell ref="D58:E58"/>
    <mergeCell ref="D59:E59"/>
    <mergeCell ref="D60:E60"/>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D83:E83"/>
    <mergeCell ref="D84:E84"/>
    <mergeCell ref="D85:E85"/>
    <mergeCell ref="D86:E86"/>
    <mergeCell ref="D87:E87"/>
    <mergeCell ref="D88:E88"/>
    <mergeCell ref="D89:E89"/>
    <mergeCell ref="D90:E90"/>
    <mergeCell ref="D91:E91"/>
    <mergeCell ref="D92:E92"/>
    <mergeCell ref="D100:E100"/>
    <mergeCell ref="D101:E101"/>
    <mergeCell ref="D93:E93"/>
    <mergeCell ref="D94:E94"/>
    <mergeCell ref="D95:E95"/>
    <mergeCell ref="D96:E96"/>
    <mergeCell ref="D97:E97"/>
    <mergeCell ref="D98:E98"/>
    <mergeCell ref="D99:E99"/>
    <mergeCell ref="C1:J1"/>
    <mergeCell ref="N2:O3"/>
    <mergeCell ref="P2:P3"/>
    <mergeCell ref="Q2:Q3"/>
    <mergeCell ref="R2:R3"/>
    <mergeCell ref="S2:S3"/>
    <mergeCell ref="T2:T3"/>
    <mergeCell ref="B3:C3"/>
    <mergeCell ref="D3:E3"/>
    <mergeCell ref="B4:C4"/>
    <mergeCell ref="D4:E4"/>
    <mergeCell ref="B5:C5"/>
    <mergeCell ref="B6:C6"/>
    <mergeCell ref="D8:E8"/>
    <mergeCell ref="N11:O11"/>
    <mergeCell ref="N12:O12"/>
    <mergeCell ref="N13:O13"/>
    <mergeCell ref="N14:O14"/>
    <mergeCell ref="N15:O15"/>
    <mergeCell ref="N16:O16"/>
    <mergeCell ref="N17:O17"/>
    <mergeCell ref="N19:T19"/>
    <mergeCell ref="N4:O4"/>
    <mergeCell ref="N5:O5"/>
    <mergeCell ref="N6:O6"/>
    <mergeCell ref="N7:O7"/>
    <mergeCell ref="N8:O8"/>
    <mergeCell ref="N9:O9"/>
    <mergeCell ref="N10:O10"/>
    <mergeCell ref="N39:O39"/>
    <mergeCell ref="B8:C8"/>
    <mergeCell ref="B10:C10"/>
    <mergeCell ref="D10:E10"/>
    <mergeCell ref="B13:C13"/>
    <mergeCell ref="B14:C14"/>
    <mergeCell ref="B15:C15"/>
    <mergeCell ref="B16:C16"/>
    <mergeCell ref="B32:C32"/>
    <mergeCell ref="B33:C33"/>
    <mergeCell ref="B34:C34"/>
    <mergeCell ref="N34:T34"/>
    <mergeCell ref="B35:C35"/>
    <mergeCell ref="B48:L48"/>
    <mergeCell ref="D49:E49"/>
    <mergeCell ref="D50:E50"/>
    <mergeCell ref="D51:E51"/>
    <mergeCell ref="D52:E52"/>
    <mergeCell ref="D53:E53"/>
  </mergeCells>
  <conditionalFormatting sqref="D4:E6 C9 E9 C11 E11 D16:D19">
    <cfRule type="cellIs" dxfId="0" priority="1" operator="greaterThan">
      <formula>0</formula>
    </cfRule>
  </conditionalFormatting>
  <conditionalFormatting sqref="D4:E6 C9 E9 C11 E11 D16:D19">
    <cfRule type="cellIs" dxfId="1" priority="2" operator="lessThan">
      <formula>0</formula>
    </cfRule>
  </conditionalFormatting>
  <conditionalFormatting sqref="P7:T8 P16:T16">
    <cfRule type="cellIs" dxfId="0" priority="3" operator="greaterThan">
      <formula>0</formula>
    </cfRule>
  </conditionalFormatting>
  <conditionalFormatting sqref="P7:T8 P16:T16">
    <cfRule type="cellIs" dxfId="1" priority="4" operator="lessThan">
      <formula>0</formula>
    </cfRule>
  </conditionalFormatting>
  <conditionalFormatting sqref="B51:B62">
    <cfRule type="notContainsBlanks" dxfId="2" priority="5">
      <formula>LEN(TRIM(B51))&gt;0</formula>
    </cfRule>
  </conditionalFormatting>
  <conditionalFormatting sqref="B66:B101">
    <cfRule type="notContainsBlanks" dxfId="2" priority="6">
      <formula>LEN(TRIM(B66))&gt;0</formula>
    </cfRule>
  </conditionalFormatting>
  <conditionalFormatting sqref="O65:X65 Z65 N66:N101">
    <cfRule type="notContainsBlanks" dxfId="2" priority="7">
      <formula>LEN(TRIM(O65))&gt;0</formula>
    </cfRule>
  </conditionalFormatting>
  <conditionalFormatting sqref="N65">
    <cfRule type="expression" dxfId="2" priority="8">
      <formula>$O65&lt;&gt;""</formula>
    </cfRule>
  </conditionalFormatting>
  <conditionalFormatting sqref="O66:X101 Z66:Z101">
    <cfRule type="cellIs" dxfId="3" priority="9" operator="greaterThan">
      <formula>0</formula>
    </cfRule>
  </conditionalFormatting>
  <conditionalFormatting sqref="O66:X101 Z66:Z101">
    <cfRule type="notContainsBlanks" dxfId="4" priority="10">
      <formula>LEN(TRIM(O66))&gt;0</formula>
    </cfRule>
  </conditionalFormatting>
  <conditionalFormatting sqref="P17:T17">
    <cfRule type="cellIs" dxfId="5" priority="11" operator="equal">
      <formula>"Buy"</formula>
    </cfRule>
  </conditionalFormatting>
  <conditionalFormatting sqref="P17:T17">
    <cfRule type="cellIs" dxfId="6" priority="12" operator="equal">
      <formula>"Sell"</formula>
    </cfRule>
  </conditionalFormatting>
  <conditionalFormatting sqref="P17:T17">
    <cfRule type="cellIs" dxfId="7" priority="13" operator="equal">
      <formula>"Hodl"</formula>
    </cfRule>
  </conditionalFormatting>
  <conditionalFormatting sqref="I66:I101 I64:L64 J66:L101">
    <cfRule type="cellIs" dxfId="0" priority="14" operator="greaterThan">
      <formula>0</formula>
    </cfRule>
  </conditionalFormatting>
  <conditionalFormatting sqref="I66:I101 I64:L64 J66:L101">
    <cfRule type="cellIs" dxfId="1" priority="15" operator="lessThan">
      <formula>0</formula>
    </cfRule>
  </conditionalFormatting>
  <conditionalFormatting sqref="D29">
    <cfRule type="cellIs" dxfId="8" priority="16" operator="greaterThan">
      <formula>0</formula>
    </cfRule>
  </conditionalFormatting>
  <conditionalFormatting sqref="H49 H51:H62">
    <cfRule type="cellIs" dxfId="8" priority="17" operator="greaterThan">
      <formula>0</formula>
    </cfRule>
  </conditionalFormatting>
  <conditionalFormatting sqref="Q21:T21">
    <cfRule type="cellIs" dxfId="0" priority="18" operator="greaterThan">
      <formula>0</formula>
    </cfRule>
  </conditionalFormatting>
  <conditionalFormatting sqref="Q21:T21">
    <cfRule type="cellIs" dxfId="1" priority="19" operator="lessThan">
      <formula>0</formula>
    </cfRule>
  </conditionalFormatting>
  <conditionalFormatting sqref="R37:T48">
    <cfRule type="colorScale" priority="20">
      <colorScale>
        <cfvo type="min"/>
        <cfvo type="percent" val="50"/>
        <cfvo type="max"/>
        <color rgb="FFE8F0FE"/>
        <color rgb="FFA4C2F4"/>
        <color rgb="FF6D9EEB"/>
      </colorScale>
    </cfRule>
  </conditionalFormatting>
  <dataValidations>
    <dataValidation type="list" allowBlank="1" sqref="L1">
      <formula1>"USD,EUR,GBP,CAD,AUD,SGD,JPY,INR,HKD,ZAR"</formula1>
    </dataValidation>
    <dataValidation type="list" allowBlank="1" sqref="P2:T2 N21">
      <formula1>Portfolio!$B$3:$B101</formula1>
    </dataValidation>
    <dataValidation type="list" allowBlank="1" sqref="O36">
      <formula1>Transactions!$V$3:$V101</formula1>
    </dataValidation>
    <dataValidation type="custom" allowBlank="1" showDropDown="1" sqref="D22:D23">
      <formula1>OR(NOT(ISERROR(DATEVALUE(D22))), AND(ISNUMBER(D22), LEFT(CELL("format", D22))="D"))</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outlineLevelCol="1"/>
  <cols>
    <col customWidth="1" min="1" max="1" width="24.5"/>
    <col customWidth="1" min="2" max="2" width="10.25"/>
    <col customWidth="1" min="3" max="4" width="11.25"/>
    <col customWidth="1" min="5" max="6" width="10.63"/>
    <col customWidth="1" min="7" max="7" width="14.38"/>
    <col customWidth="1" min="8" max="9" width="8.38"/>
    <col customWidth="1" min="10" max="11" width="10.13"/>
    <col customWidth="1" min="12" max="16" width="11.25"/>
    <col customWidth="1" min="17" max="17" width="9.25"/>
    <col customWidth="1" min="18" max="18" width="11.5"/>
    <col customWidth="1" min="19" max="19" width="4.38"/>
    <col customWidth="1" min="20" max="20" width="7.63"/>
    <col customWidth="1" min="21" max="21" width="4.88"/>
    <col customWidth="1" min="22" max="22" width="11.88"/>
    <col customWidth="1" min="23" max="23" width="8.25"/>
    <col customWidth="1" min="24" max="24" width="9.5"/>
    <col customWidth="1" min="25" max="25" width="10.25"/>
    <col customWidth="1" min="26" max="26" width="6.75"/>
    <col customWidth="1" min="27" max="27" width="9.5"/>
    <col customWidth="1" min="28" max="29" width="12.38"/>
    <col customWidth="1" min="30" max="30" width="6.75"/>
    <col customWidth="1" min="31" max="31" width="21.25"/>
    <col customWidth="1" min="32" max="32" width="9.88" outlineLevel="1"/>
    <col customWidth="1" min="33" max="33" width="9.0" outlineLevel="1"/>
    <col customWidth="1" min="34" max="34" width="10.25" outlineLevel="1"/>
    <col customWidth="1" min="35" max="35" width="11.25" outlineLevel="1"/>
    <col customWidth="1" min="36" max="36" width="14.88" outlineLevel="1"/>
    <col customWidth="1" min="37" max="37" width="13.63" outlineLevel="1"/>
    <col customWidth="1" min="38" max="38" width="14.63" outlineLevel="1"/>
    <col customWidth="1" min="39" max="40" width="8.38" outlineLevel="1"/>
    <col customWidth="1" min="41" max="41" width="9.13" outlineLevel="1"/>
    <col customWidth="1" min="42" max="42" width="14.0" outlineLevel="1"/>
    <col customWidth="1" min="43" max="44" width="11.25" outlineLevel="1"/>
    <col customWidth="1" min="45" max="45" width="9.25" outlineLevel="1"/>
    <col customWidth="1" min="46" max="46" width="11.5" outlineLevel="1"/>
    <col customWidth="1" min="47" max="47" width="4.38" outlineLevel="1"/>
    <col customWidth="1" min="48" max="48" width="7.5" outlineLevel="1"/>
    <col customWidth="1" min="49" max="49" width="5.25" outlineLevel="1"/>
    <col customWidth="1" min="50" max="50" width="11.88" outlineLevel="1"/>
    <col customWidth="1" min="51" max="51" width="8.13" outlineLevel="1"/>
    <col customWidth="1" min="52" max="53" width="7.63" outlineLevel="1"/>
    <col customWidth="1" min="54" max="54" width="6.75" outlineLevel="1"/>
    <col customWidth="1" min="55" max="55" width="9.5" outlineLevel="1"/>
    <col customWidth="1" min="56" max="57" width="12.38" outlineLevel="1"/>
    <col customWidth="1" min="58" max="58" width="6.75" outlineLevel="1"/>
    <col customWidth="1" min="59" max="59" width="20.88" outlineLevel="1"/>
  </cols>
  <sheetData>
    <row r="1">
      <c r="A1" s="160" t="str">
        <f>"Investment Portfolio in "&amp;Dashboard!$L$1</f>
        <v>Investment Portfolio in EUR</v>
      </c>
      <c r="B1" s="4"/>
      <c r="C1" s="4"/>
      <c r="D1" s="4"/>
      <c r="E1" s="4"/>
      <c r="F1" s="4"/>
      <c r="G1" s="4"/>
      <c r="H1" s="4"/>
      <c r="I1" s="4"/>
      <c r="J1" s="4"/>
      <c r="K1" s="4"/>
      <c r="L1" s="4"/>
      <c r="M1" s="4"/>
      <c r="N1" s="4"/>
      <c r="O1" s="4"/>
      <c r="P1" s="4"/>
      <c r="Q1" s="4"/>
      <c r="R1" s="4"/>
      <c r="S1" s="4"/>
      <c r="T1" s="4"/>
      <c r="U1" s="4"/>
      <c r="V1" s="4"/>
      <c r="W1" s="4"/>
      <c r="X1" s="4"/>
      <c r="Y1" s="4"/>
      <c r="Z1" s="4"/>
      <c r="AA1" s="4"/>
      <c r="AB1" s="4"/>
      <c r="AC1" s="4"/>
      <c r="AD1" s="4"/>
      <c r="AE1" s="23"/>
      <c r="AF1" s="161" t="s">
        <v>86</v>
      </c>
      <c r="AG1" s="4"/>
      <c r="AH1" s="4"/>
      <c r="AI1" s="4"/>
      <c r="AJ1" s="4"/>
      <c r="AK1" s="4"/>
      <c r="AL1" s="4"/>
      <c r="AM1" s="4"/>
      <c r="AN1" s="4"/>
      <c r="AO1" s="4"/>
      <c r="AP1" s="4"/>
      <c r="AQ1" s="4"/>
      <c r="AR1" s="4"/>
      <c r="AS1" s="4"/>
      <c r="AT1" s="4"/>
      <c r="AU1" s="4"/>
      <c r="AV1" s="4"/>
      <c r="AW1" s="4"/>
      <c r="AX1" s="4"/>
      <c r="AY1" s="4"/>
      <c r="AZ1" s="4"/>
      <c r="BA1" s="4"/>
      <c r="BB1" s="4"/>
      <c r="BC1" s="4"/>
      <c r="BD1" s="4"/>
      <c r="BE1" s="4"/>
      <c r="BF1" s="4"/>
      <c r="BG1" s="23"/>
    </row>
    <row r="2">
      <c r="A2" s="162" t="s">
        <v>87</v>
      </c>
      <c r="B2" s="163" t="s">
        <v>88</v>
      </c>
      <c r="C2" s="164" t="s">
        <v>83</v>
      </c>
      <c r="D2" s="165" t="s">
        <v>84</v>
      </c>
      <c r="E2" s="166" t="s">
        <v>89</v>
      </c>
      <c r="F2" s="167" t="s">
        <v>90</v>
      </c>
      <c r="G2" s="168">
        <v>365.0</v>
      </c>
      <c r="H2" s="163" t="s">
        <v>17</v>
      </c>
      <c r="I2" s="163" t="s">
        <v>20</v>
      </c>
      <c r="J2" s="169" t="s">
        <v>41</v>
      </c>
      <c r="K2" s="169" t="s">
        <v>42</v>
      </c>
      <c r="L2" s="167" t="s">
        <v>91</v>
      </c>
      <c r="M2" s="167" t="s">
        <v>92</v>
      </c>
      <c r="N2" s="167" t="s">
        <v>93</v>
      </c>
      <c r="O2" s="163" t="s">
        <v>43</v>
      </c>
      <c r="P2" s="169" t="s">
        <v>33</v>
      </c>
      <c r="Q2" s="169" t="s">
        <v>35</v>
      </c>
      <c r="R2" s="169" t="s">
        <v>85</v>
      </c>
      <c r="S2" s="170">
        <v>365.0</v>
      </c>
      <c r="T2" s="163" t="s">
        <v>94</v>
      </c>
      <c r="U2" s="170" t="s">
        <v>95</v>
      </c>
      <c r="V2" s="163" t="s">
        <v>96</v>
      </c>
      <c r="W2" s="163" t="s">
        <v>97</v>
      </c>
      <c r="X2" s="163" t="s">
        <v>98</v>
      </c>
      <c r="Y2" s="171" t="str">
        <f>"Target Weight ("&amp;TEXT(SUM(Y3:Y149),"0.00%"&amp;")")</f>
        <v>Target Weight (17.45%)</v>
      </c>
      <c r="Z2" s="171" t="s">
        <v>97</v>
      </c>
      <c r="AA2" s="163" t="s">
        <v>99</v>
      </c>
      <c r="AB2" s="171" t="s">
        <v>100</v>
      </c>
      <c r="AC2" s="171" t="s">
        <v>101</v>
      </c>
      <c r="AD2" s="171" t="s">
        <v>97</v>
      </c>
      <c r="AE2" s="172" t="s">
        <v>102</v>
      </c>
      <c r="AF2" s="173" t="s">
        <v>1</v>
      </c>
      <c r="AG2" s="173" t="s">
        <v>87</v>
      </c>
      <c r="AH2" s="173" t="s">
        <v>88</v>
      </c>
      <c r="AI2" s="173" t="s">
        <v>83</v>
      </c>
      <c r="AJ2" s="173" t="s">
        <v>84</v>
      </c>
      <c r="AK2" s="173" t="s">
        <v>16</v>
      </c>
      <c r="AL2" s="168">
        <v>365.0</v>
      </c>
      <c r="AM2" s="173" t="s">
        <v>17</v>
      </c>
      <c r="AN2" s="173" t="s">
        <v>20</v>
      </c>
      <c r="AO2" s="173" t="s">
        <v>41</v>
      </c>
      <c r="AP2" s="173" t="s">
        <v>42</v>
      </c>
      <c r="AQ2" s="173" t="s">
        <v>43</v>
      </c>
      <c r="AR2" s="173" t="s">
        <v>33</v>
      </c>
      <c r="AS2" s="173" t="s">
        <v>35</v>
      </c>
      <c r="AT2" s="173" t="s">
        <v>85</v>
      </c>
      <c r="AU2" s="170">
        <v>365.0</v>
      </c>
      <c r="AV2" s="173" t="s">
        <v>94</v>
      </c>
      <c r="AW2" s="170" t="s">
        <v>95</v>
      </c>
      <c r="AX2" s="173" t="s">
        <v>96</v>
      </c>
      <c r="AY2" s="173" t="s">
        <v>97</v>
      </c>
      <c r="AZ2" s="173" t="s">
        <v>98</v>
      </c>
      <c r="BA2" s="173" t="s">
        <v>103</v>
      </c>
      <c r="BB2" s="173" t="s">
        <v>97</v>
      </c>
      <c r="BC2" s="173" t="s">
        <v>99</v>
      </c>
      <c r="BD2" s="173" t="s">
        <v>100</v>
      </c>
      <c r="BE2" s="173" t="s">
        <v>101</v>
      </c>
      <c r="BF2" s="173" t="s">
        <v>97</v>
      </c>
      <c r="BG2" s="174" t="s">
        <v>102</v>
      </c>
    </row>
    <row r="3">
      <c r="A3" s="14" t="str">
        <f t="shared" ref="A3:C3" si="1">AG3</f>
        <v>Bitcoin</v>
      </c>
      <c r="B3" s="14" t="str">
        <f t="shared" si="1"/>
        <v>BTCEUR</v>
      </c>
      <c r="C3" s="175">
        <f t="shared" si="1"/>
        <v>4</v>
      </c>
      <c r="D3" s="176">
        <f>IFERROR(__xludf.DUMMYFUNCTION("IF(ISBLANK(B3),"""",IFERROR(IF(OR(AF3=""GPB"",AF3=""ZAR""),IF(AF3=Dashboard!$L$1,AJ3,(AJ3*GOOGLEFINANCE(""CURRENCY:""&amp;AF3&amp;""""&amp;Dashboard!$L$1&amp;""""))/100),IF(AF3=Dashboard!$L$1,AJ3,AJ3*GOOGLEFINANCE(""CURRENCY:""&amp;AF3&amp;""""&amp;Dashboard!$L$1&amp;""""))),AJ3))"),24000.0)</f>
        <v>24000</v>
      </c>
      <c r="E3" s="177">
        <f>IFERROR(__xludf.DUMMYFUNCTION("IFERROR(IF(OR(AF3=""GBP"",AF3=""ZAR""),IF(B3="""","""",IF(AF3=Dashboard!$L$1,AK3,AK3*GOOGLEFINANCE(""CURRENCY:""&amp;AF3&amp;""""&amp;Dashboard!$L$1&amp;"""")))/100,If(B3="""","""",IF(AF3=Dashboard!$L$1,AK3,AK3*GOOGLEFINANCE(""CURRENCY:""&amp;AF3&amp;""""&amp;Dashboard!$L$1&amp;""""))))"&amp;",AK3)"),62328.11718000001)</f>
        <v>62328.11718</v>
      </c>
      <c r="F3" s="145">
        <f>IFERROR(__xludf.DUMMYFUNCTION(" E3 * GOOGLEFINANCE(""CURRENCY:USDEUR"") "),57320.052964587005)</f>
        <v>57320.05296</v>
      </c>
      <c r="G3" s="96" t="str">
        <f>IFERROR(__xludf.DUMMYFUNCTION("IF(ISBLANK(B3),"""",IFERROR(SPARKLINE(INDEX(GOOGLEFINANCE(B3,""price"",TODAY()-$G$2,TODAY()),,2),{""charttype"",""column"";""color"",""17a7e0""}),""""))"),"")</f>
        <v/>
      </c>
      <c r="H3" s="50">
        <f t="shared" ref="H3:H149" si="3">AM3</f>
        <v>-0.001350562033</v>
      </c>
      <c r="I3" s="96">
        <f>IFERROR(__xludf.DUMMYFUNCTION("IF(ISBLANK(B3),"""",IFERROR(IF(OR(AF3=""GPB"",AF3=""ZAR""),IF(AF3=Dashboard!$L$1,AN3,(AN3*GOOGLEFINANCE(""CURRENCY:""&amp;AF3&amp;""""&amp;Dashboard!$L$1&amp;""""))/100),IF(AF3=Dashboard!$L$1,AN3,AN3*GOOGLEFINANCE(""CURRENCY:""&amp;AF3&amp;""""&amp;Dashboard!$L$1&amp;""""))),AN3))"),-337.16731999997864)</f>
        <v>-337.16732</v>
      </c>
      <c r="J3" s="178">
        <f>IF(ISBLANK(B3),"",IFERROR(((C3-SUMIFS(Transactions!I:I,Transactions!H:H,"Crypto Interest",Transactions!D:D,B3))*D3),""))</f>
        <v>96000</v>
      </c>
      <c r="K3" s="178">
        <f t="shared" ref="K3:K149" si="4">IF(ISBLANK(B3),"",IFERROR((C3*E3),""))</f>
        <v>249312.4687</v>
      </c>
      <c r="L3" s="145">
        <f>-SUMIFS(Transactions!$M$3:$M149,Transactions!$H$3:$H149,"Buy",Transactions!$D$3:$D149,B3)</f>
        <v>-120000</v>
      </c>
      <c r="M3" s="145">
        <f>IF(ISBLANK(AG3),"",SUMIFS(Transactions!$M$3:$M149,Transactions!$H$3:$H149,"Dividend",Transactions!$D$3:$D149,B3))</f>
        <v>0</v>
      </c>
      <c r="N3" s="145">
        <f>IF(ISBLANK(AH3),"",SUMIFS(Transactions!$M$3:$M149,Transactions!$H$3:$H149,"Sell",Transactions!$D$3:$D149,B3))</f>
        <v>70000</v>
      </c>
      <c r="O3" s="50">
        <f t="shared" ref="O3:O149" si="5">IF(ISBLANK(B3),"",IFERROR(((K3-J3)/J3),""))</f>
        <v>1.597004883</v>
      </c>
      <c r="P3" s="178">
        <f t="shared" ref="P3:P149" si="6">IF(ISBLANK(B3),"",IFERROR((K3-J3),""))</f>
        <v>153312.4687</v>
      </c>
      <c r="Q3" s="178">
        <f>IFERROR(__xludf.DUMMYFUNCTION("IF(ISBLANK(B3),"""",IFERROR(IF(OR(AF3=""GPB"",AF3=""ZAR""),IF(AF3=Dashboard!$L$1,AS3,(AS3*GOOGLEFINANCE(""CURRENCY:""&amp;AF3&amp;""""&amp;Dashboard!$L$1&amp;""""))/100),IF(AF3=Dashboard!$L$1,AS3,AS3*GOOGLEFINANCE(""CURRENCY:""&amp;AF3&amp;""""&amp;Dashboard!$L$1&amp;""""))),AS3))"),46000.0)</f>
        <v>46000</v>
      </c>
      <c r="R3" s="178">
        <f t="shared" ref="R3:R149" si="7">IF(ISBLANK(B3),"",P3+Q3)</f>
        <v>199312.4687</v>
      </c>
      <c r="S3" s="50" t="str">
        <f>IFERROR(__xludf.DUMMYFUNCTION("IF(ISBLANK(B3),"""",IFERROR((GOOGLEFINANCE(B3,""price"")/INDEX(GOOGLEFINANCE(B3,""price"",DATEVALUE(TODAY()-$S$2) ),2,2)-1),""""))"),"")</f>
        <v/>
      </c>
      <c r="U3" s="50">
        <f>IFERROR(__xludf.DUMMYFUNCTION("IF(ISBLANK(B3),"""",IFERROR((GOOGLEFINANCE($U$2,""price"")/INDEX(GOOGLEFINANCE($U$2,""price"",DATEVALUE(TODAY()-$S$2) ),2,2)-1),""""))"),0.21881341406744403)</f>
        <v>0.2188134141</v>
      </c>
      <c r="W3" s="50">
        <f t="shared" ref="W3:W149" si="8">IF(ISBLANK(B3),"",IFERROR((S3-U3),""))</f>
        <v>-0.2188134141</v>
      </c>
      <c r="X3" s="50">
        <f t="shared" ref="X3:X149" si="9">IF(ISBLANK(B3),"",K3/SUM($K$3:$K149))</f>
        <v>0.2268694599</v>
      </c>
      <c r="Y3" s="179">
        <v>0.05</v>
      </c>
      <c r="Z3" s="50">
        <f t="shared" ref="Z3:Z149" si="10">IF(ISBLANK(B3),"",X3-Y3)</f>
        <v>0.1768694599</v>
      </c>
      <c r="AA3" s="14" t="str">
        <f t="shared" ref="AA3:AA149" si="11">BC3</f>
        <v>Crypto</v>
      </c>
      <c r="AB3" s="50">
        <f t="shared" ref="AB3:AB149" si="12">IF(ISBLANK(B3),"",SUMIF($AA:$AA,AA3,$X:$X))</f>
        <v>0.2268694599</v>
      </c>
      <c r="AC3" s="179">
        <f t="shared" ref="AC3:AC149" si="13">IF(ISBLANK(B3),"",SUMIF($AA:$AA,AA3,$Y:$Y))</f>
        <v>0.05</v>
      </c>
      <c r="AD3" s="50">
        <f t="shared" ref="AD3:AD149" si="14">IF(ISBLANK(B3),"",AB3-AC3)</f>
        <v>0.1768694599</v>
      </c>
      <c r="AE3" s="180" t="str">
        <f t="shared" ref="AE3:AE149" si="15">BG3</f>
        <v>Crypto</v>
      </c>
      <c r="AF3" s="14" t="str">
        <f t="array" ref="AF3">IFERROR(IF(ISBLANK(AH3),"",IF(VLOOKUP(AH3,Transactions!D:F,3,0)="Stablecoin",AH3,INDEX(Transactions!$B$3:$B149,MATCH(AH3,Transactions!$D$3:$D149,0),0))))</f>
        <v>EUR</v>
      </c>
      <c r="AG3" s="14" t="str">
        <f>IF(ISBLANK(AH3),"",VLOOKUP(AH3,Transactions!D:E,2,0))</f>
        <v>Bitcoin</v>
      </c>
      <c r="AH3" s="14" t="str">
        <f>IFERROR(__xludf.DUMMYFUNCTION("UNIQUE(FILTER(Transactions!D3:D149,(Transactions!F3:F149&lt;&gt;""Cash"")))"),"BTCEUR")</f>
        <v>BTCEUR</v>
      </c>
      <c r="AI3" s="146">
        <f>IF(ISBLANK(AH3),"",IF(
SUMIFS(Transactions!$I$3:$I149,Transactions!$H$3:$H149,"Buy",Transactions!$F$3:$F149,"Stock",Transactions!$D$3:$D149,AH3)
+SUMIFS(Transactions!$I$3:$I149,Transactions!$H$3:$H149,"DRIP",Transactions!$F$3:$F149,"Stock",Transactions!$D$3:$D149,AH3)
+SUMIFS(Transactions!$I$3:$I149,Transactions!$H$3:$H149,"Transfer Deposit",Transactions!$F$3:$F149,"Stock",Transactions!$D$3:$D149,AH3)
+SUMIFS(Transactions!$I$3:$I149,Transactions!$H$3:$H149,"Buy",Transactions!$F$3:$F149,"ETF",Transactions!$D$3:$D149,AH3)
+SUMIFS(Transactions!$I$3:$I149,Transactions!$H$3:$H149,"DRIP",Transactions!$F$3:$F149,"ETF",Transactions!$D$3:$D149,AH3)
+SUMIFS(Transactions!$I$3:$I149,Transactions!$H$3:$H149,"Transfer Deposit",Transactions!$F$3:$F149,"ETF",Transactions!$D$3:$D149,AH3)
+SUMIFS(Transactions!$I$3:$I149,Transactions!$H$3:$H149,"Buy",Transactions!$F$3:$F149,"Commodity",Transactions!$D$3:$D149,AH3)
+SUMIFS(Transactions!$I$3:$I149,Transactions!$H$3:$H149,"DRIP",Transactions!$F$3:$F149,"Commodity",Transactions!$D$3:$D149,AH3)
+SUMIFS(Transactions!$I$3:$I149,Transactions!$H$3:$H149,"Transfer Deposit",Transactions!$F$3:$F149,"Commodity",Transactions!$D$3:$D149,AH3)
+SUMIFS(Transactions!$I$3:$I149,Transactions!$H$3:$H149,"Buy",Transactions!$F$3:$F149,"Managed Fund",Transactions!$D$3:$D149,AH3)
+SUMIFS(Transactions!$I$3:$I149,Transactions!$H$3:$H149,"DRIP",Transactions!$F$3:$F149,"Managed Fund",Transactions!$D$3:$D149,AH3)
+SUMIFS(Transactions!$I$3:$I149,Transactions!$H$3:$H149,"Transfer Deposit",Transactions!$F$3:$F149,"Managed Fund",Transactions!$D$3:$D149,AH3)
+SUMIFS(Transactions!$I$3:$I149,Transactions!$H$3:$H149,"Buy",Transactions!$F$3:$F149,"REIT",Transactions!$D$3:$D149,AH3)
+SUMIFS(Transactions!$I$3:$I149,Transactions!$H$3:$H149,"DRIP",Transactions!$F$3:$F149,"REIT",Transactions!$D$3:$D149,AH3)
+SUMIFS(Transactions!$I$3:$I149,Transactions!$H$3:$H149,"Transfer Deposit",Transactions!$F$3:$F149,"REIT",Transactions!$D$3:$D149,AH3)
-SUMIFS(Transactions!$I$3:$I149,Transactions!$H$3:$H149,"Sell",Transactions!$F$3:$F149,"Stock",Transactions!$D$3:$D149,AH3)
-SUMIFS(Transactions!$I$3:$I149,Transactions!$H$3:$H149,"Transfer Send",Transactions!$F$3:$F149,"Stock",Transactions!$D$3:$D149,AH3)
-SUMIFS(Transactions!$I$3:$I149,Transactions!$H$3:$H149,"Sell",Transactions!$F$3:$F149,"ETF",Transactions!$D$3:$D149,AH3)
-SUMIFS(Transactions!$I$3:$I149,Transactions!$H$3:$H149,"Transfer Send",Transactions!$F$3:$F149,"ETF",Transactions!$D$3:$D149,AH3)
-SUMIFS(Transactions!$I$3:$I149,Transactions!$H$3:$H149,"Sell",Transactions!$F$3:$F149,"Commodity",Transactions!$D$3:$D149,AH3)
-SUMIFS(Transactions!$I$3:$I149,Transactions!$H$3:$H149,"Transfer Send",Transactions!$F$3:$F149,"Commodity",Transactions!$D$3:$D149,AH3)
-SUMIFS(Transactions!$I$3:$I149,Transactions!$H$3:$H149,"Sell",Transactions!$F$3:$F149,"Managed Fund",Transactions!$D$3:$D149,AH3)
-SUMIFS(Transactions!$I$3:$I149,Transactions!$H$3:$H149,"Transfer Send",Transactions!$F$3:$F149,"Managed Fund",Transactions!$D$3:$D149,AH3)
-SUMIFS(Transactions!$I$3:$I149,Transactions!$H$3:$H149,"Sell",Transactions!$F$3:$F149,"REIT",Transactions!$D$3:$D149,AH3)
-SUMIFS(Transactions!$I$3:$I149,Transactions!$H$3:$H149,"Transfer Send",Transactions!$F$3:$F149,"REIT",Transactions!$D$3:$D149,AH3)
+SUMIFS(Transactions!$I$3:$I149,Transactions!$H$3:$H149,"Buy",Transactions!$F$3:$F149,"Crypto",Transactions!$D$3:$D149,AH3)
+SUMIFS(Transactions!$I$3:$I149,Transactions!$H$3:$H149,"Crypto Interest",Transactions!$F$3:$F149,"Crypto",Transactions!$D$3:$D149,AH3)
+SUMIFS(Transactions!$I$3:$I149,Transactions!$H$3:$H149,"Transfer Deposit",Transactions!$F$3:$F149,"Crypto",Transactions!$D$3:$D149,AH3)
-SUMIFS(Transactions!$I$3:$I149,Transactions!$H$3:$H149,"Transfer Send",Transactions!$F$3:$F149,"Crypto",Transactions!$D$3:$D149,AH3)
-SUMIFS(Transactions!$I$3:$I149,Transactions!$H$3:$H149,"Sell",Transactions!$F$3:$F149,"Crypto",Transactions!$D$3:$D149,AH3)
+SUMIFS(Transactions!$I$3:$I149,Transactions!$H$3:$H149,"Buy",Transactions!$F$3:$F149,"Stablecoin",Transactions!$D$3:$D149,AH3)
+SUMIFS(Transactions!$I$3:$I149,Transactions!$H$3:$H149,"Crypto Interest",Transactions!$F$3:$F149,"Stablecoin",Transactions!$D$3:$D149,AH3)
+SUMIFS(Transactions!$I$3:$I149,Transactions!$H$3:$H149,"Transfer Deposit",Transactions!$F$3:$F149,"Stablecoin",Transactions!$D$3:$D149,AH3)
-SUMIFS(Transactions!$I$3:$I149,Transactions!$H$3:$H149,"Transfer Send",Transactions!$F$3:$F149,"Stablecoin",Transactions!$D$3:$D149,AH3)
-SUMIFS(Transactions!$I$3:$I149,Transactions!$H$3:$H149,"Sell",Transactions!$F$3:$F149,"Stablecoin",Transactions!$D$3:$D149,AH3)
-SUMIFS(Transactions!$M$3:$M149,Transactions!$H$3:$H149,"Buy",Transactions!$B$3:$B149,AH3)=0,"Sold All",
SUMIFS(Transactions!$I$3:$I149,Transactions!$H$3:$H149,"Buy",Transactions!$F$3:$F149,"Stock",Transactions!$D$3:$D149,AH3)
+SUMIFS(Transactions!$I$3:$I149,Transactions!$H$3:$H149,"DRIP",Transactions!$F$3:$F149,"Stock",Transactions!$D$3:$D149,AH3)
+SUMIFS(Transactions!$I$3:$I149,Transactions!$H$3:$H149,"Transfer Deposit",Transactions!$F$3:$F149,"Stock",Transactions!$D$3:$D149,AH3)
+SUMIFS(Transactions!$I$3:$I149,Transactions!$H$3:$H149,"Buy",Transactions!$F$3:$F149,"ETF",Transactions!$D$3:$D149,AH3)
+SUMIFS(Transactions!$I$3:$I149,Transactions!$H$3:$H149,"DRIP",Transactions!$F$3:$F149,"ETF",Transactions!$D$3:$D149,AH3)
+SUMIFS(Transactions!$I$3:$I149,Transactions!$H$3:$H149,"Transfer Deposit",Transactions!$F$3:$F149,"ETF",Transactions!$D$3:$D149,AH3)
+SUMIFS(Transactions!$I$3:$I149,Transactions!$H$3:$H149,"Buy",Transactions!$F$3:$F149,"Commodity",Transactions!$D$3:$D149,AH3)
+SUMIFS(Transactions!$I$3:$I149,Transactions!$H$3:$H149,"DRIP",Transactions!$F$3:$F149,"Commodity",Transactions!$D$3:$D149,AH3)
+SUMIFS(Transactions!$I$3:$I149,Transactions!$H$3:$H149,"Transfer Deposit",Transactions!$F$3:$F149,"Commodity",Transactions!$D$3:$D149,AH3)
+SUMIFS(Transactions!$I$3:$I149,Transactions!$H$3:$H149,"Buy",Transactions!$F$3:$F149,"Managed Fund",Transactions!$D$3:$D149,AH3)
+SUMIFS(Transactions!$I$3:$I149,Transactions!$H$3:$H149,"DRIP",Transactions!$F$3:$F149,"Managed Fund",Transactions!$D$3:$D149,AH3)
+SUMIFS(Transactions!$I$3:$I149,Transactions!$H$3:$H149,"Transfer Deposit",Transactions!$F$3:$F149,"Managed Fund",Transactions!$D$3:$D149,AH3)
+SUMIFS(Transactions!$I$3:$I149,Transactions!$H$3:$H149,"Buy",Transactions!$F$3:$F149,"REIT",Transactions!$D$3:$D149,AH3)
+SUMIFS(Transactions!$I$3:$I149,Transactions!$H$3:$H149,"DRIP",Transactions!$F$3:$F149,"REIT",Transactions!$D$3:$D149,AH3)
+SUMIFS(Transactions!$I$3:$I149,Transactions!$H$3:$H149,"Transfer Deposit",Transactions!$F$3:$F149,"REIT",Transactions!$D$3:$D149,AH3)
-SUMIFS(Transactions!$I$3:$I149,Transactions!$H$3:$H149,"Sell",Transactions!$F$3:$F149,"Stock",Transactions!$D$3:$D149,AH3)
-SUMIFS(Transactions!$I$3:$I149,Transactions!$H$3:$H149,"Transfer Send",Transactions!$F$3:$F149,"Stock",Transactions!$D$3:$D149,AH3)
-SUMIFS(Transactions!$I$3:$I149,Transactions!$H$3:$H149,"Sell",Transactions!$F$3:$F149,"ETF",Transactions!$D$3:$D149,AH3)
-SUMIFS(Transactions!$I$3:$I149,Transactions!$H$3:$H149,"Transfer Send",Transactions!$F$3:$F149,"ETF",Transactions!$D$3:$D149,AH3)
-SUMIFS(Transactions!$I$3:$I149,Transactions!$H$3:$H149,"Sell",Transactions!$F$3:$F149,"Commodity",Transactions!$D$3:$D149,AH3)
-SUMIFS(Transactions!$I$3:$I149,Transactions!$H$3:$H149,"Transfer Send",Transactions!$F$3:$F149,"Commodity",Transactions!$D$3:$D149,AH3)
-SUMIFS(Transactions!$I$3:$I149,Transactions!$H$3:$H149,"Sell",Transactions!$F$3:$F149,"Managed Fund",Transactions!$D$3:$D149,AH3)
-SUMIFS(Transactions!$I$3:$I149,Transactions!$H$3:$H149,"Transfer Send",Transactions!$F$3:$F149,"Managed Fund",Transactions!$D$3:$D149,AH3)
-SUMIFS(Transactions!$I$3:$I149,Transactions!$H$3:$H149,"Sell",Transactions!$F$3:$F149,"REIT",Transactions!$D$3:$D149,AH3)
-SUMIFS(Transactions!$I$3:$I149,Transactions!$H$3:$H149,"Transfer Send",Transactions!$F$3:$F149,"REIT",Transactions!$D$3:$D149,AH3)
+SUMIFS(Transactions!$I$3:$I149,Transactions!$H$3:$H149,"Buy",Transactions!$F$3:$F149,"Crypto",Transactions!$D$3:$D149,AH3)
+SUMIFS(Transactions!$I$3:$I149,Transactions!$H$3:$H149,"Crypto Interest",Transactions!$F$3:$F149,"Crypto",Transactions!$D$3:$D149,AH3)
+SUMIFS(Transactions!$I$3:$I149,Transactions!$H$3:$H149,"Transfer Deposit",Transactions!$F$3:$F149,"Crypto",Transactions!$D$3:$D149,AH3)
-SUMIFS(Transactions!$I$3:$I149,Transactions!$H$3:$H149,"Transfer Send",Transactions!$F$3:$F149,"Crypto",Transactions!$D$3:$D149,AH3)
-SUMIFS(Transactions!$I$3:$I149,Transactions!$H$3:$H149,"Sell",Transactions!$F$3:$F149,"Crypto",Transactions!$D$3:$D149,AH3)
+SUMIFS(Transactions!$I$3:$I149,Transactions!$H$3:$H149,"Buy",Transactions!$F$3:$F149,"Stablecoin",Transactions!$D$3:$D149,AH3)
+SUMIFS(Transactions!$I$3:$I149,Transactions!$H$3:$H149,"Crypto Interest",Transactions!$F$3:$F149,"Stablecoin",Transactions!$D$3:$D149,AH3)
+SUMIFS(Transactions!$I$3:$I149,Transactions!$H$3:$H149,"Transfer Deposit",Transactions!$F$3:$F149,"Stablecoin",Transactions!$D$3:$D149,AH3)
-SUMIFS(Transactions!$I$3:$I149,Transactions!$H$3:$H149,"Transfer Send",Transactions!$F$3:$F149,"Stablecoin",Transactions!$D$3:$D149,AH3)
-SUMIFS(Transactions!$I$3:$I149,Transactions!$H$3:$H149,"Sell",Transactions!$F$3:$F149,"Stablecoin",Transactions!$D$3:$D149,AH3)
-SUMIFS(Transactions!$M$3:$M149,Transactions!$H$3:$H149,"Buy",Transactions!$B$3:$B149,AH3)))</f>
        <v>4</v>
      </c>
      <c r="AJ3" s="181">
        <f>IFERROR(__xludf.DUMMYFUNCTION("IF(ISBLANK(AH3),"""",VLOOKUP(9^99,FILTER({ROW(Transactions!P:P),Transactions!P:P},Transactions!D:D=AH3),2))"),24000.0)</f>
        <v>24000</v>
      </c>
      <c r="AK3" s="181">
        <f>IFERROR(__xludf.DUMMYFUNCTION("IF(ISBLANK(AH3),"""",IFERROR(GOOGLEFINANCE(AH3,""price""),IFERROR(GOOGLEFINANCE(""CURRENCY:""&amp;AH3&amp;""""),IFERROR(INDEX(YAHOO_STOCK(TRIM(AH3), $G$2),0,1),INDEX(IMPORTHTML(CONCAT(""https://coinmarketcap.com/currencies/"",AG3),""table"",1),1,2)))))"),62328.11718000001)</f>
        <v>62328.11718</v>
      </c>
      <c r="AL3" s="14" t="str">
        <f>IFERROR(__xludf.DUMMYFUNCTION("IF(ISBLANK(AH3),"""",IFERROR(SPARKLINE(INDEX(GOOGLEFINANCE(AH3,""price"",TODAY()-$AL$2,TODAY()),,2),{""charttype"",""column"";""color"",""17a7e0""}),""""))"),"")</f>
        <v/>
      </c>
      <c r="AM3" s="50">
        <f>IFERROR(__xludf.DUMMYFUNCTION("IFNA(IFERROR(IF(AH3="""","""",GOOGLEFINANCE(AH3,""changepct"")/100),(GOOGLEFINANCE(AH3)-(INDEX(GOOGLEFINANCE(""CURRENCY:""&amp;AH3&amp;"""",""price"",TODAY()-1),2,2)))/(INDEX(GOOGLEFINANCE(""CURRENCY:""&amp;AH3&amp;"""",""price"",TODAY()-1),2,2))),)"),-0.0013505620330484126)</f>
        <v>-0.001350562033</v>
      </c>
      <c r="AN3" s="96">
        <f>IFERROR(__xludf.DUMMYFUNCTION("IFNA(IFERROR(IF(AH3="""","""",GOOGLEFINANCE(AH3,""change"")*AI3),(GOOGLEFINANCE(AH3)-(INDEX(GOOGLEFINANCE(""CURRENCY:""&amp;AH3&amp;"""",""price"",TODAY()-1),2,2)))*AI3),"""")"),-337.16731999997864)</f>
        <v>-337.16732</v>
      </c>
      <c r="AO3" s="96">
        <f>IF(ISBLANK(AH3),"",IFERROR(((AI3-SUMIFS(Transactions!I:I,Transactions!H:H,"Crypto Interest",Transactions!D:D,AH3))*AJ3),""))</f>
        <v>96000</v>
      </c>
      <c r="AP3" s="96">
        <f t="shared" ref="AP3:AP149" si="16">IF(ISBLANK(AH3),"",IFERROR((AI3*AK3),""))</f>
        <v>249312.4687</v>
      </c>
      <c r="AQ3" s="50">
        <f t="shared" ref="AQ3:AQ149" si="17">IF(ISBLANK(AH3),"",IFERROR(((AP3-AO3)/AO3),""))</f>
        <v>1.597004883</v>
      </c>
      <c r="AR3" s="96">
        <f t="shared" ref="AR3:AR149" si="18">IF(ISBLANK(AH3),"",IFERROR((AP3-AO3),""))</f>
        <v>153312.4687</v>
      </c>
      <c r="AS3" s="96">
        <f>IF(ISBLANK(AH3),"",SUMIFS(Transactions!$X$3:$X149,Transactions!$H$3:$H149,"Sell",Transactions!$D$3:$D149,AH3))</f>
        <v>46000</v>
      </c>
      <c r="AT3" s="96">
        <f t="shared" ref="AT3:AT149" si="19">IF(ISBLANK(AH3),"",AR3+AS3)</f>
        <v>199312.4687</v>
      </c>
      <c r="AU3" s="50" t="str">
        <f>IFERROR(__xludf.DUMMYFUNCTION("IF(ISBLANK(AH3),"""",IFERROR((GOOGLEFINANCE(AH3,""price"")/INDEX(GOOGLEFINANCE(AH3,""price"",DATEVALUE(TODAY()-$AU$2) ),2,2)-1),""""))"),"")</f>
        <v/>
      </c>
      <c r="AW3" s="50">
        <f>IFERROR(__xludf.DUMMYFUNCTION("IF(ISBLANK(AH3),"""",IFERROR((GOOGLEFINANCE($AW$2,""price"")/INDEX(GOOGLEFINANCE($AW$2,""price"",DATEVALUE(TODAY()-$AU$2) ),2,2)-1),""""))"),0.21881341406744403)</f>
        <v>0.2188134141</v>
      </c>
      <c r="AY3" s="50">
        <f t="shared" ref="AY3:AY149" si="20">IF(ISBLANK(AH3),"",IFERROR((AU3-AW3),""))</f>
        <v>-0.2188134141</v>
      </c>
      <c r="AZ3" s="50">
        <f t="shared" ref="AZ3:AZ149" si="21">IF(ISBLANK(AH3),"",AP3/SUM($AP$3:$AP149))</f>
        <v>0.2268694599</v>
      </c>
      <c r="BA3" s="50">
        <f t="shared" ref="BA3:BA149" si="22">Y3</f>
        <v>0.05</v>
      </c>
      <c r="BB3" s="50">
        <f t="shared" ref="BB3:BB149" si="23">IF(ISBLANK(AH3),"",AZ3-BA3)</f>
        <v>0.1768694599</v>
      </c>
      <c r="BC3" s="14" t="str">
        <f>IF(ISBLANK(AH3),"",IFERROR(VLOOKUP(AH3,Transactions!D:F,3,0)))</f>
        <v>Crypto</v>
      </c>
      <c r="BD3" s="50">
        <f t="shared" ref="BD3:BD149" si="24">IF(ISBLANK(AH3),"",SUMIF($BC:$BC,BC3,$AZ:$AZ))</f>
        <v>0.2268694599</v>
      </c>
      <c r="BE3" s="50">
        <f t="shared" ref="BE3:BE149" si="25">IF(ISBLANK(AH3),"",SUMIF($BC:$BC,BC3,$BA:$BA))</f>
        <v>0.05</v>
      </c>
      <c r="BF3" s="50">
        <f t="shared" ref="BF3:BF149" si="26">IF(ISBLANK(AH3),"",BD3-BE3)</f>
        <v>0.1768694599</v>
      </c>
      <c r="BG3" s="180" t="str">
        <f>IF(ISBLANK(AH3),"",IFERROR(VLOOKUP(AH3,Transactions!D:G,4,0)))</f>
        <v>Crypto</v>
      </c>
    </row>
    <row r="4">
      <c r="A4" s="14" t="str">
        <f t="shared" ref="A4:C4" si="2">AG4</f>
        <v>Tesla Inc</v>
      </c>
      <c r="B4" s="14" t="str">
        <f t="shared" si="2"/>
        <v>TSLA</v>
      </c>
      <c r="C4" s="175">
        <f t="shared" si="2"/>
        <v>1000</v>
      </c>
      <c r="D4" s="176">
        <f>IFERROR(__xludf.DUMMYFUNCTION("IF(ISBLANK(B4),"""",IFERROR(IF(OR(AF4=""GPB"",AF4=""ZAR""),IF(AF4=Dashboard!$L$1,AJ4,(AJ4*GOOGLEFINANCE(""CURRENCY:""&amp;AF4&amp;""""&amp;Dashboard!$L$1&amp;""""))/100),IF(AF4=Dashboard!$L$1,AJ4,AJ4*GOOGLEFINANCE(""CURRENCY:""&amp;AF4&amp;""""&amp;Dashboard!$L$1&amp;""""))),AJ4))"),100.0)</f>
        <v>100</v>
      </c>
      <c r="E4" s="177">
        <f>IFERROR(__xludf.DUMMYFUNCTION("IFERROR(IF(OR(AF4=""GBP"",AF4=""ZAR""),IF(B4="""","""",IF(AF4=Dashboard!$L$1,AK4,AK4*GOOGLEFINANCE(""CURRENCY:""&amp;AF4&amp;""""&amp;Dashboard!$L$1&amp;"""")))/100,If(B4="""","""",IF(AF4=Dashboard!$L$1,AK4,AK4*GOOGLEFINANCE(""CURRENCY:""&amp;AF4&amp;""""&amp;Dashboard!$L$1&amp;""""))))"&amp;",AK4)"),254.86)</f>
        <v>254.86</v>
      </c>
      <c r="F4" s="145">
        <f>IFERROR(__xludf.DUMMYFUNCTION(" E4 * GOOGLEFINANCE(""CURRENCY:USDEUR"") "),234.381999)</f>
        <v>234.381999</v>
      </c>
      <c r="G4" s="96" t="str">
        <f>IFERROR(__xludf.DUMMYFUNCTION("IF(ISBLANK(B4),"""",IFERROR(SPARKLINE(INDEX(GOOGLEFINANCE(B4,""price"",TODAY()-$G$2,TODAY()),,2),{""charttype"",""column"";""color"",""17a7e0""}),""""))"),"")</f>
        <v/>
      </c>
      <c r="H4" s="50">
        <f t="shared" si="3"/>
        <v>-0.0069</v>
      </c>
      <c r="I4" s="96">
        <f>IFERROR(__xludf.DUMMYFUNCTION("IF(ISBLANK(B4),"""",IFERROR(IF(OR(AF4=""GPB"",AF4=""ZAR""),IF(AF4=Dashboard!$L$1,AN4,(AN4*GOOGLEFINANCE(""CURRENCY:""&amp;AF4&amp;""""&amp;Dashboard!$L$1&amp;""""))/100),IF(AF4=Dashboard!$L$1,AN4,AN4*GOOGLEFINANCE(""CURRENCY:""&amp;AF4&amp;""""&amp;Dashboard!$L$1&amp;""""))),AN4))"),-1220.0)</f>
        <v>-1220</v>
      </c>
      <c r="J4" s="178">
        <f>IF(ISBLANK(B4),"",IFERROR(((C4-SUMIFS(Transactions!I:I,Transactions!H:H,"Crypto Interest",Transactions!D:D,B4))*D4),""))</f>
        <v>100000</v>
      </c>
      <c r="K4" s="178">
        <f t="shared" si="4"/>
        <v>254860</v>
      </c>
      <c r="L4" s="145">
        <f>-SUMIFS(Transactions!$M$3:$M149,Transactions!$H$3:$H149,"Buy",Transactions!$D$3:$D149,B4)</f>
        <v>-100000</v>
      </c>
      <c r="M4" s="145">
        <f>IF(ISBLANK(AG4),"",SUMIFS(Transactions!$M$3:$M149,Transactions!$H$3:$H149,"Dividend",Transactions!$D$3:$D149,B4))</f>
        <v>0</v>
      </c>
      <c r="N4" s="145">
        <f>IF(ISBLANK(AH4),"",SUMIFS(Transactions!$M$3:$M149,Transactions!$H$3:$H149,"Sell",Transactions!$D$3:$D149,B4))</f>
        <v>0</v>
      </c>
      <c r="O4" s="50">
        <f t="shared" si="5"/>
        <v>1.5486</v>
      </c>
      <c r="P4" s="178">
        <f t="shared" si="6"/>
        <v>154860</v>
      </c>
      <c r="Q4" s="178">
        <f>IFERROR(__xludf.DUMMYFUNCTION("IF(ISBLANK(B4),"""",IFERROR(IF(OR(AF4=""GPB"",AF4=""ZAR""),IF(AF4=Dashboard!$L$1,AS4,(AS4*GOOGLEFINANCE(""CURRENCY:""&amp;AF4&amp;""""&amp;Dashboard!$L$1&amp;""""))/100),IF(AF4=Dashboard!$L$1,AS4,AS4*GOOGLEFINANCE(""CURRENCY:""&amp;AF4&amp;""""&amp;Dashboard!$L$1&amp;""""))),AS4))"),0.0)</f>
        <v>0</v>
      </c>
      <c r="R4" s="178">
        <f t="shared" si="7"/>
        <v>154860</v>
      </c>
      <c r="S4" s="50">
        <f>IFERROR(__xludf.DUMMYFUNCTION("IF(ISBLANK(B4),"""",IFERROR((GOOGLEFINANCE(B4,""price"")/INDEX(GOOGLEFINANCE(B4,""price"",DATEVALUE(TODAY()-$S$2) ),2,2)-1),""""))"),-0.17011730616441556)</f>
        <v>-0.1701173062</v>
      </c>
      <c r="U4" s="50">
        <f>IFERROR(__xludf.DUMMYFUNCTION("IF(ISBLANK(B4),"""",IFERROR((GOOGLEFINANCE($U$2,""price"")/INDEX(GOOGLEFINANCE($U$2,""price"",DATEVALUE(TODAY()-$S$2) ),2,2)-1),""""))"),0.21881341406744403)</f>
        <v>0.2188134141</v>
      </c>
      <c r="W4" s="50">
        <f t="shared" si="8"/>
        <v>-0.3889307202</v>
      </c>
      <c r="X4" s="50">
        <f t="shared" si="9"/>
        <v>0.2319176046</v>
      </c>
      <c r="Y4" s="179">
        <v>0.0</v>
      </c>
      <c r="Z4" s="50">
        <f t="shared" si="10"/>
        <v>0.2319176046</v>
      </c>
      <c r="AA4" s="14" t="str">
        <f t="shared" si="11"/>
        <v>Stock</v>
      </c>
      <c r="AB4" s="50">
        <f t="shared" si="12"/>
        <v>0.7731305401</v>
      </c>
      <c r="AC4" s="179">
        <f t="shared" si="13"/>
        <v>0.0175</v>
      </c>
      <c r="AD4" s="50">
        <f t="shared" si="14"/>
        <v>0.7556305401</v>
      </c>
      <c r="AE4" s="180" t="str">
        <f t="shared" si="15"/>
        <v>Information Technology</v>
      </c>
      <c r="AF4" s="14" t="str">
        <f t="array" ref="AF4">IFERROR(IF(ISBLANK(AH4),"",IF(VLOOKUP(AH4,Transactions!D:F,3,0)="Stablecoin",AH4,INDEX(Transactions!$B$3:$B149,MATCH(AH4,Transactions!$D$3:$D149,0),0))))</f>
        <v>EUR</v>
      </c>
      <c r="AG4" s="14" t="str">
        <f>IF(ISBLANK(AH4),"",VLOOKUP(AH4,Transactions!D:E,2,0))</f>
        <v>Tesla Inc</v>
      </c>
      <c r="AH4" s="14" t="str">
        <f>IFERROR(__xludf.DUMMYFUNCTION("""COMPUTED_VALUE"""),"TSLA")</f>
        <v>TSLA</v>
      </c>
      <c r="AI4" s="146">
        <f>IF(ISBLANK(AH4),"",IF(
SUMIFS(Transactions!$I$3:$I149,Transactions!$H$3:$H149,"Buy",Transactions!$F$3:$F149,"Stock",Transactions!$D$3:$D149,AH4)
+SUMIFS(Transactions!$I$3:$I149,Transactions!$H$3:$H149,"DRIP",Transactions!$F$3:$F149,"Stock",Transactions!$D$3:$D149,AH4)
+SUMIFS(Transactions!$I$3:$I149,Transactions!$H$3:$H149,"Transfer Deposit",Transactions!$F$3:$F149,"Stock",Transactions!$D$3:$D149,AH4)
+SUMIFS(Transactions!$I$3:$I149,Transactions!$H$3:$H149,"Buy",Transactions!$F$3:$F149,"ETF",Transactions!$D$3:$D149,AH4)
+SUMIFS(Transactions!$I$3:$I149,Transactions!$H$3:$H149,"DRIP",Transactions!$F$3:$F149,"ETF",Transactions!$D$3:$D149,AH4)
+SUMIFS(Transactions!$I$3:$I149,Transactions!$H$3:$H149,"Transfer Deposit",Transactions!$F$3:$F149,"ETF",Transactions!$D$3:$D149,AH4)
+SUMIFS(Transactions!$I$3:$I149,Transactions!$H$3:$H149,"Buy",Transactions!$F$3:$F149,"Commodity",Transactions!$D$3:$D149,AH4)
+SUMIFS(Transactions!$I$3:$I149,Transactions!$H$3:$H149,"DRIP",Transactions!$F$3:$F149,"Commodity",Transactions!$D$3:$D149,AH4)
+SUMIFS(Transactions!$I$3:$I149,Transactions!$H$3:$H149,"Transfer Deposit",Transactions!$F$3:$F149,"Commodity",Transactions!$D$3:$D149,AH4)
+SUMIFS(Transactions!$I$3:$I149,Transactions!$H$3:$H149,"Buy",Transactions!$F$3:$F149,"Managed Fund",Transactions!$D$3:$D149,AH4)
+SUMIFS(Transactions!$I$3:$I149,Transactions!$H$3:$H149,"DRIP",Transactions!$F$3:$F149,"Managed Fund",Transactions!$D$3:$D149,AH4)
+SUMIFS(Transactions!$I$3:$I149,Transactions!$H$3:$H149,"Transfer Deposit",Transactions!$F$3:$F149,"Managed Fund",Transactions!$D$3:$D149,AH4)
+SUMIFS(Transactions!$I$3:$I149,Transactions!$H$3:$H149,"Buy",Transactions!$F$3:$F149,"REIT",Transactions!$D$3:$D149,AH4)
+SUMIFS(Transactions!$I$3:$I149,Transactions!$H$3:$H149,"DRIP",Transactions!$F$3:$F149,"REIT",Transactions!$D$3:$D149,AH4)
+SUMIFS(Transactions!$I$3:$I149,Transactions!$H$3:$H149,"Transfer Deposit",Transactions!$F$3:$F149,"REIT",Transactions!$D$3:$D149,AH4)
-SUMIFS(Transactions!$I$3:$I149,Transactions!$H$3:$H149,"Sell",Transactions!$F$3:$F149,"Stock",Transactions!$D$3:$D149,AH4)
-SUMIFS(Transactions!$I$3:$I149,Transactions!$H$3:$H149,"Transfer Send",Transactions!$F$3:$F149,"Stock",Transactions!$D$3:$D149,AH4)
-SUMIFS(Transactions!$I$3:$I149,Transactions!$H$3:$H149,"Sell",Transactions!$F$3:$F149,"ETF",Transactions!$D$3:$D149,AH4)
-SUMIFS(Transactions!$I$3:$I149,Transactions!$H$3:$H149,"Transfer Send",Transactions!$F$3:$F149,"ETF",Transactions!$D$3:$D149,AH4)
-SUMIFS(Transactions!$I$3:$I149,Transactions!$H$3:$H149,"Sell",Transactions!$F$3:$F149,"Commodity",Transactions!$D$3:$D149,AH4)
-SUMIFS(Transactions!$I$3:$I149,Transactions!$H$3:$H149,"Transfer Send",Transactions!$F$3:$F149,"Commodity",Transactions!$D$3:$D149,AH4)
-SUMIFS(Transactions!$I$3:$I149,Transactions!$H$3:$H149,"Sell",Transactions!$F$3:$F149,"Managed Fund",Transactions!$D$3:$D149,AH4)
-SUMIFS(Transactions!$I$3:$I149,Transactions!$H$3:$H149,"Transfer Send",Transactions!$F$3:$F149,"Managed Fund",Transactions!$D$3:$D149,AH4)
-SUMIFS(Transactions!$I$3:$I149,Transactions!$H$3:$H149,"Sell",Transactions!$F$3:$F149,"REIT",Transactions!$D$3:$D149,AH4)
-SUMIFS(Transactions!$I$3:$I149,Transactions!$H$3:$H149,"Transfer Send",Transactions!$F$3:$F149,"REIT",Transactions!$D$3:$D149,AH4)
+SUMIFS(Transactions!$I$3:$I149,Transactions!$H$3:$H149,"Buy",Transactions!$F$3:$F149,"Crypto",Transactions!$D$3:$D149,AH4)
+SUMIFS(Transactions!$I$3:$I149,Transactions!$H$3:$H149,"Crypto Interest",Transactions!$F$3:$F149,"Crypto",Transactions!$D$3:$D149,AH4)
+SUMIFS(Transactions!$I$3:$I149,Transactions!$H$3:$H149,"Transfer Deposit",Transactions!$F$3:$F149,"Crypto",Transactions!$D$3:$D149,AH4)
-SUMIFS(Transactions!$I$3:$I149,Transactions!$H$3:$H149,"Transfer Send",Transactions!$F$3:$F149,"Crypto",Transactions!$D$3:$D149,AH4)
-SUMIFS(Transactions!$I$3:$I149,Transactions!$H$3:$H149,"Sell",Transactions!$F$3:$F149,"Crypto",Transactions!$D$3:$D149,AH4)
+SUMIFS(Transactions!$I$3:$I149,Transactions!$H$3:$H149,"Buy",Transactions!$F$3:$F149,"Stablecoin",Transactions!$D$3:$D149,AH4)
+SUMIFS(Transactions!$I$3:$I149,Transactions!$H$3:$H149,"Crypto Interest",Transactions!$F$3:$F149,"Stablecoin",Transactions!$D$3:$D149,AH4)
+SUMIFS(Transactions!$I$3:$I149,Transactions!$H$3:$H149,"Transfer Deposit",Transactions!$F$3:$F149,"Stablecoin",Transactions!$D$3:$D149,AH4)
-SUMIFS(Transactions!$I$3:$I149,Transactions!$H$3:$H149,"Transfer Send",Transactions!$F$3:$F149,"Stablecoin",Transactions!$D$3:$D149,AH4)
-SUMIFS(Transactions!$I$3:$I149,Transactions!$H$3:$H149,"Sell",Transactions!$F$3:$F149,"Stablecoin",Transactions!$D$3:$D149,AH4)
-SUMIFS(Transactions!$M$3:$M149,Transactions!$H$3:$H149,"Buy",Transactions!$B$3:$B149,AH4)=0,"Sold All",
SUMIFS(Transactions!$I$3:$I149,Transactions!$H$3:$H149,"Buy",Transactions!$F$3:$F149,"Stock",Transactions!$D$3:$D149,AH4)
+SUMIFS(Transactions!$I$3:$I149,Transactions!$H$3:$H149,"DRIP",Transactions!$F$3:$F149,"Stock",Transactions!$D$3:$D149,AH4)
+SUMIFS(Transactions!$I$3:$I149,Transactions!$H$3:$H149,"Transfer Deposit",Transactions!$F$3:$F149,"Stock",Transactions!$D$3:$D149,AH4)
+SUMIFS(Transactions!$I$3:$I149,Transactions!$H$3:$H149,"Buy",Transactions!$F$3:$F149,"ETF",Transactions!$D$3:$D149,AH4)
+SUMIFS(Transactions!$I$3:$I149,Transactions!$H$3:$H149,"DRIP",Transactions!$F$3:$F149,"ETF",Transactions!$D$3:$D149,AH4)
+SUMIFS(Transactions!$I$3:$I149,Transactions!$H$3:$H149,"Transfer Deposit",Transactions!$F$3:$F149,"ETF",Transactions!$D$3:$D149,AH4)
+SUMIFS(Transactions!$I$3:$I149,Transactions!$H$3:$H149,"Buy",Transactions!$F$3:$F149,"Commodity",Transactions!$D$3:$D149,AH4)
+SUMIFS(Transactions!$I$3:$I149,Transactions!$H$3:$H149,"DRIP",Transactions!$F$3:$F149,"Commodity",Transactions!$D$3:$D149,AH4)
+SUMIFS(Transactions!$I$3:$I149,Transactions!$H$3:$H149,"Transfer Deposit",Transactions!$F$3:$F149,"Commodity",Transactions!$D$3:$D149,AH4)
+SUMIFS(Transactions!$I$3:$I149,Transactions!$H$3:$H149,"Buy",Transactions!$F$3:$F149,"Managed Fund",Transactions!$D$3:$D149,AH4)
+SUMIFS(Transactions!$I$3:$I149,Transactions!$H$3:$H149,"DRIP",Transactions!$F$3:$F149,"Managed Fund",Transactions!$D$3:$D149,AH4)
+SUMIFS(Transactions!$I$3:$I149,Transactions!$H$3:$H149,"Transfer Deposit",Transactions!$F$3:$F149,"Managed Fund",Transactions!$D$3:$D149,AH4)
+SUMIFS(Transactions!$I$3:$I149,Transactions!$H$3:$H149,"Buy",Transactions!$F$3:$F149,"REIT",Transactions!$D$3:$D149,AH4)
+SUMIFS(Transactions!$I$3:$I149,Transactions!$H$3:$H149,"DRIP",Transactions!$F$3:$F149,"REIT",Transactions!$D$3:$D149,AH4)
+SUMIFS(Transactions!$I$3:$I149,Transactions!$H$3:$H149,"Transfer Deposit",Transactions!$F$3:$F149,"REIT",Transactions!$D$3:$D149,AH4)
-SUMIFS(Transactions!$I$3:$I149,Transactions!$H$3:$H149,"Sell",Transactions!$F$3:$F149,"Stock",Transactions!$D$3:$D149,AH4)
-SUMIFS(Transactions!$I$3:$I149,Transactions!$H$3:$H149,"Transfer Send",Transactions!$F$3:$F149,"Stock",Transactions!$D$3:$D149,AH4)
-SUMIFS(Transactions!$I$3:$I149,Transactions!$H$3:$H149,"Sell",Transactions!$F$3:$F149,"ETF",Transactions!$D$3:$D149,AH4)
-SUMIFS(Transactions!$I$3:$I149,Transactions!$H$3:$H149,"Transfer Send",Transactions!$F$3:$F149,"ETF",Transactions!$D$3:$D149,AH4)
-SUMIFS(Transactions!$I$3:$I149,Transactions!$H$3:$H149,"Sell",Transactions!$F$3:$F149,"Commodity",Transactions!$D$3:$D149,AH4)
-SUMIFS(Transactions!$I$3:$I149,Transactions!$H$3:$H149,"Transfer Send",Transactions!$F$3:$F149,"Commodity",Transactions!$D$3:$D149,AH4)
-SUMIFS(Transactions!$I$3:$I149,Transactions!$H$3:$H149,"Sell",Transactions!$F$3:$F149,"Managed Fund",Transactions!$D$3:$D149,AH4)
-SUMIFS(Transactions!$I$3:$I149,Transactions!$H$3:$H149,"Transfer Send",Transactions!$F$3:$F149,"Managed Fund",Transactions!$D$3:$D149,AH4)
-SUMIFS(Transactions!$I$3:$I149,Transactions!$H$3:$H149,"Sell",Transactions!$F$3:$F149,"REIT",Transactions!$D$3:$D149,AH4)
-SUMIFS(Transactions!$I$3:$I149,Transactions!$H$3:$H149,"Transfer Send",Transactions!$F$3:$F149,"REIT",Transactions!$D$3:$D149,AH4)
+SUMIFS(Transactions!$I$3:$I149,Transactions!$H$3:$H149,"Buy",Transactions!$F$3:$F149,"Crypto",Transactions!$D$3:$D149,AH4)
+SUMIFS(Transactions!$I$3:$I149,Transactions!$H$3:$H149,"Crypto Interest",Transactions!$F$3:$F149,"Crypto",Transactions!$D$3:$D149,AH4)
+SUMIFS(Transactions!$I$3:$I149,Transactions!$H$3:$H149,"Transfer Deposit",Transactions!$F$3:$F149,"Crypto",Transactions!$D$3:$D149,AH4)
-SUMIFS(Transactions!$I$3:$I149,Transactions!$H$3:$H149,"Transfer Send",Transactions!$F$3:$F149,"Crypto",Transactions!$D$3:$D149,AH4)
-SUMIFS(Transactions!$I$3:$I149,Transactions!$H$3:$H149,"Sell",Transactions!$F$3:$F149,"Crypto",Transactions!$D$3:$D149,AH4)
+SUMIFS(Transactions!$I$3:$I149,Transactions!$H$3:$H149,"Buy",Transactions!$F$3:$F149,"Stablecoin",Transactions!$D$3:$D149,AH4)
+SUMIFS(Transactions!$I$3:$I149,Transactions!$H$3:$H149,"Crypto Interest",Transactions!$F$3:$F149,"Stablecoin",Transactions!$D$3:$D149,AH4)
+SUMIFS(Transactions!$I$3:$I149,Transactions!$H$3:$H149,"Transfer Deposit",Transactions!$F$3:$F149,"Stablecoin",Transactions!$D$3:$D149,AH4)
-SUMIFS(Transactions!$I$3:$I149,Transactions!$H$3:$H149,"Transfer Send",Transactions!$F$3:$F149,"Stablecoin",Transactions!$D$3:$D149,AH4)
-SUMIFS(Transactions!$I$3:$I149,Transactions!$H$3:$H149,"Sell",Transactions!$F$3:$F149,"Stablecoin",Transactions!$D$3:$D149,AH4)
-SUMIFS(Transactions!$M$3:$M149,Transactions!$H$3:$H149,"Buy",Transactions!$B$3:$B149,AH4)))</f>
        <v>1000</v>
      </c>
      <c r="AJ4" s="181">
        <f>IFERROR(__xludf.DUMMYFUNCTION("IF(ISBLANK(AH4),"""",VLOOKUP(9^99,FILTER({ROW(Transactions!P:P),Transactions!P:P},Transactions!D:D=AH4),2))"),100.0)</f>
        <v>100</v>
      </c>
      <c r="AK4" s="181">
        <f>IFERROR(__xludf.DUMMYFUNCTION("IF(ISBLANK(AH6),"""",IFERROR(GOOGLEFINANCE(AH6,""price""),IFERROR(GOOGLEFINANCE(""CURRENCY:""&amp;AH6&amp;""""),IFERROR(INDEX(YAHOO_STOCK(TRIM(AH6), $G$2),0,1),INDEX(IMPORTHTML(CONCAT(""https://coinmarketcap.com/currencies/"",AG6),""table"",1),1,2)))))"),254.86)</f>
        <v>254.86</v>
      </c>
      <c r="AL4" s="14" t="str">
        <f>IFERROR(__xludf.DUMMYFUNCTION("IF(ISBLANK(AH4),"""",IFERROR(SPARKLINE(INDEX(GOOGLEFINANCE(AH4,""price"",TODAY()-$AL$2,TODAY()),,2),{""charttype"",""column"";""color"",""17a7e0""}),""""))"),"")</f>
        <v/>
      </c>
      <c r="AM4" s="50">
        <f>IFERROR(__xludf.DUMMYFUNCTION("IFNA(IFERROR(IF(AH4="""","""",GOOGLEFINANCE(AH4,""changepct"")/100),(GOOGLEFINANCE(AH4)-(INDEX(GOOGLEFINANCE(""CURRENCY:""&amp;AH4&amp;"""",""price"",TODAY()-1),2,2)))/(INDEX(GOOGLEFINANCE(""CURRENCY:""&amp;AH4&amp;"""",""price"",TODAY()-1),2,2))),)"),-0.0069)</f>
        <v>-0.0069</v>
      </c>
      <c r="AN4" s="96">
        <f>IFERROR(__xludf.DUMMYFUNCTION("IFNA(IFERROR(IF(AH4="""","""",GOOGLEFINANCE(AH4,""change"")*AI4),(GOOGLEFINANCE(AH4)-(INDEX(GOOGLEFINANCE(""CURRENCY:""&amp;AH4&amp;"""",""price"",TODAY()-1),2,2)))*AI4),"""")"),-1220.0)</f>
        <v>-1220</v>
      </c>
      <c r="AO4" s="96">
        <f>IF(ISBLANK(AH4),"",IFERROR(((AI4-SUMIFS(Transactions!I:I,Transactions!H:H,"Crypto Interest",Transactions!D:D,AH4))*AJ4),""))</f>
        <v>100000</v>
      </c>
      <c r="AP4" s="96">
        <f t="shared" si="16"/>
        <v>254860</v>
      </c>
      <c r="AQ4" s="50">
        <f t="shared" si="17"/>
        <v>1.5486</v>
      </c>
      <c r="AR4" s="96">
        <f t="shared" si="18"/>
        <v>154860</v>
      </c>
      <c r="AS4" s="96">
        <f>IF(ISBLANK(AH4),"",SUMIFS(Transactions!$X$3:$X149,Transactions!$H$3:$H149,"Sell",Transactions!$D$3:$D149,AH4))</f>
        <v>0</v>
      </c>
      <c r="AT4" s="96">
        <f t="shared" si="19"/>
        <v>154860</v>
      </c>
      <c r="AU4" s="50">
        <f>IFERROR(__xludf.DUMMYFUNCTION("IF(ISBLANK(AH4),"""",IFERROR((GOOGLEFINANCE(AH4,""price"")/INDEX(GOOGLEFINANCE(AH4,""price"",DATEVALUE(TODAY()-$AU$2) ),2,2)-1),""""))"),-0.17011730616441556)</f>
        <v>-0.1701173062</v>
      </c>
      <c r="AW4" s="50">
        <f>IFERROR(__xludf.DUMMYFUNCTION("IF(ISBLANK(AH4),"""",IFERROR((GOOGLEFINANCE($AW$2,""price"")/INDEX(GOOGLEFINANCE($AW$2,""price"",DATEVALUE(TODAY()-$AU$2) ),2,2)-1),""""))"),0.21881341406744403)</f>
        <v>0.2188134141</v>
      </c>
      <c r="AY4" s="50">
        <f t="shared" si="20"/>
        <v>-0.3889307202</v>
      </c>
      <c r="AZ4" s="50">
        <f t="shared" si="21"/>
        <v>0.2319176046</v>
      </c>
      <c r="BA4" s="50">
        <f t="shared" si="22"/>
        <v>0</v>
      </c>
      <c r="BB4" s="50">
        <f t="shared" si="23"/>
        <v>0.2319176046</v>
      </c>
      <c r="BC4" s="14" t="str">
        <f>IF(ISBLANK(AH4),"",IFERROR(VLOOKUP(AH4,Transactions!D:F,3,0)))</f>
        <v>Stock</v>
      </c>
      <c r="BD4" s="50">
        <f t="shared" si="24"/>
        <v>0.7731305401</v>
      </c>
      <c r="BE4" s="50">
        <f t="shared" si="25"/>
        <v>0.0175</v>
      </c>
      <c r="BF4" s="50">
        <f t="shared" si="26"/>
        <v>0.7556305401</v>
      </c>
      <c r="BG4" s="180" t="str">
        <f>IF(ISBLANK(AH4),"",IFERROR(VLOOKUP(AH4,Transactions!D:G,4,0)))</f>
        <v>Information Technology</v>
      </c>
    </row>
    <row r="5">
      <c r="A5" s="14" t="str">
        <f t="shared" ref="A5:C5" si="27">AG5</f>
        <v>Apple</v>
      </c>
      <c r="B5" s="14" t="str">
        <f t="shared" si="27"/>
        <v>AAPL</v>
      </c>
      <c r="C5" s="175">
        <f t="shared" si="27"/>
        <v>1650</v>
      </c>
      <c r="D5" s="176">
        <f>IFERROR(__xludf.DUMMYFUNCTION("IF(ISBLANK(B5),"""",IFERROR(IF(OR(AF5=""GPB"",AF5=""ZAR""),IF(AF5=Dashboard!$L$1,AJ5,(AJ5*GOOGLEFINANCE(""CURRENCY:""&amp;AF5&amp;""""&amp;Dashboard!$L$1&amp;""""))/100),IF(AF5=Dashboard!$L$1,AJ5,AJ5*GOOGLEFINANCE(""CURRENCY:""&amp;AF5&amp;""""&amp;Dashboard!$L$1&amp;""""))),AJ5))"),177.27272727272728)</f>
        <v>177.2727273</v>
      </c>
      <c r="E5" s="177">
        <f>IFERROR(__xludf.DUMMYFUNCTION("IFERROR(IF(OR(AF5=""GBP"",AF5=""ZAR""),IF(B5="""","""",IF(AF5=Dashboard!$L$1,AK5,AK5*GOOGLEFINANCE(""CURRENCY:""&amp;AF5&amp;""""&amp;Dashboard!$L$1&amp;"""")))/100,If(B5="""","""",IF(AF5=Dashboard!$L$1,AK5,AK5*GOOGLEFINANCE(""CURRENCY:""&amp;AF5&amp;""""&amp;Dashboard!$L$1&amp;""""))))"&amp;",AK5)"),191.53)</f>
        <v>191.53</v>
      </c>
      <c r="F5" s="145">
        <f>IFERROR(__xludf.DUMMYFUNCTION(" E5 * GOOGLEFINANCE(""CURRENCY:USDEUR"") "),176.14056449999998)</f>
        <v>176.1405645</v>
      </c>
      <c r="G5" s="96" t="str">
        <f>IFERROR(__xludf.DUMMYFUNCTION("IF(ISBLANK(B5),"""",IFERROR(SPARKLINE(INDEX(GOOGLEFINANCE(B5,""price"",TODAY()-$G$2,TODAY()),,2),{""charttype"",""column"";""color"",""17a7e0""}),""""))"),"")</f>
        <v/>
      </c>
      <c r="H5" s="50">
        <f t="shared" si="3"/>
        <v>0.0013</v>
      </c>
      <c r="I5" s="96">
        <f>IFERROR(__xludf.DUMMYFUNCTION("IF(ISBLANK(B5),"""",IFERROR(IF(OR(AF5=""GPB"",AF5=""ZAR""),IF(AF5=Dashboard!$L$1,AN5,(AN5*GOOGLEFINANCE(""CURRENCY:""&amp;AF5&amp;""""&amp;Dashboard!$L$1&amp;""""))/100),IF(AF5=Dashboard!$L$1,AN5,AN5*GOOGLEFINANCE(""CURRENCY:""&amp;AF5&amp;""""&amp;Dashboard!$L$1&amp;""""))),AN5))"),396.0)</f>
        <v>396</v>
      </c>
      <c r="J5" s="178">
        <f>IF(ISBLANK(B5),"",IFERROR(((C5-SUMIFS(Transactions!I:I,Transactions!H:H,"Crypto Interest",Transactions!D:D,B5))*D5),""))</f>
        <v>292500</v>
      </c>
      <c r="K5" s="178">
        <f t="shared" si="4"/>
        <v>316024.5</v>
      </c>
      <c r="L5" s="145">
        <f>-SUMIFS(Transactions!$M$3:$M149,Transactions!$H$3:$H149,"Buy",Transactions!$D$3:$D149,B5)</f>
        <v>-292500</v>
      </c>
      <c r="M5" s="145">
        <f>IF(ISBLANK(AG5),"",SUMIFS(Transactions!$M$3:$M149,Transactions!$H$3:$H149,"Dividend",Transactions!$D$3:$D149,B5))</f>
        <v>0</v>
      </c>
      <c r="N5" s="145">
        <f>IF(ISBLANK(AH5),"",SUMIFS(Transactions!$M$3:$M149,Transactions!$H$3:$H149,"Sell",Transactions!$D$3:$D149,B5))</f>
        <v>0</v>
      </c>
      <c r="O5" s="50">
        <f t="shared" si="5"/>
        <v>0.08042564103</v>
      </c>
      <c r="P5" s="178">
        <f t="shared" si="6"/>
        <v>23524.5</v>
      </c>
      <c r="Q5" s="178">
        <f>IFERROR(__xludf.DUMMYFUNCTION("IF(ISBLANK(B5),"""",IFERROR(IF(OR(AF5=""GPB"",AF5=""ZAR""),IF(AF5=Dashboard!$L$1,AS5,(AS5*GOOGLEFINANCE(""CURRENCY:""&amp;AF5&amp;""""&amp;Dashboard!$L$1&amp;""""))/100),IF(AF5=Dashboard!$L$1,AS5,AS5*GOOGLEFINANCE(""CURRENCY:""&amp;AF5&amp;""""&amp;Dashboard!$L$1&amp;""""))),AS5))"),0.0)</f>
        <v>0</v>
      </c>
      <c r="R5" s="178">
        <f t="shared" si="7"/>
        <v>23524.5</v>
      </c>
      <c r="S5" s="50">
        <f>IFERROR(__xludf.DUMMYFUNCTION("IF(ISBLANK(B5),"""",IFERROR((GOOGLEFINANCE(B5,""price"")/INDEX(GOOGLEFINANCE(B5,""price"",DATEVALUE(TODAY()-$S$2) ),2,2)-1),""""))"),0.05846919038408416)</f>
        <v>0.05846919038</v>
      </c>
      <c r="U5" s="50">
        <f>IFERROR(__xludf.DUMMYFUNCTION("IF(ISBLANK(B5),"""",IFERROR((GOOGLEFINANCE($U$2,""price"")/INDEX(GOOGLEFINANCE($U$2,""price"",DATEVALUE(TODAY()-$S$2) ),2,2)-1),""""))"),0.21881341406744403)</f>
        <v>0.2188134141</v>
      </c>
      <c r="W5" s="50">
        <f t="shared" si="8"/>
        <v>-0.1603442237</v>
      </c>
      <c r="X5" s="50">
        <f t="shared" si="9"/>
        <v>0.2875761007</v>
      </c>
      <c r="Y5" s="179">
        <v>0.005</v>
      </c>
      <c r="Z5" s="50">
        <f t="shared" si="10"/>
        <v>0.2825761007</v>
      </c>
      <c r="AA5" s="14" t="str">
        <f t="shared" si="11"/>
        <v>Stock</v>
      </c>
      <c r="AB5" s="50">
        <f t="shared" si="12"/>
        <v>0.7731305401</v>
      </c>
      <c r="AC5" s="179">
        <f t="shared" si="13"/>
        <v>0.0175</v>
      </c>
      <c r="AD5" s="50">
        <f t="shared" si="14"/>
        <v>0.7556305401</v>
      </c>
      <c r="AE5" s="180" t="str">
        <f t="shared" si="15"/>
        <v>Information Technology</v>
      </c>
      <c r="AF5" s="14" t="str">
        <f t="array" ref="AF5">IFERROR(IF(ISBLANK(AH5),"",IF(VLOOKUP(AH5,Transactions!D:F,3,0)="Stablecoin",AH5,INDEX(Transactions!$B$3:$B149,MATCH(AH5,Transactions!$D$3:$D149,0),0))))</f>
        <v>EUR</v>
      </c>
      <c r="AG5" s="14" t="str">
        <f>IF(ISBLANK(AH5),"",VLOOKUP(AH5,Transactions!D:E,2,0))</f>
        <v>Apple</v>
      </c>
      <c r="AH5" s="14" t="str">
        <f>IFERROR(__xludf.DUMMYFUNCTION("""COMPUTED_VALUE"""),"AAPL")</f>
        <v>AAPL</v>
      </c>
      <c r="AI5" s="146">
        <f>IF(ISBLANK(AH5),"",IF(
SUMIFS(Transactions!$I$3:$I149,Transactions!$H$3:$H149,"Buy",Transactions!$F$3:$F149,"Stock",Transactions!$D$3:$D149,AH5)
+SUMIFS(Transactions!$I$3:$I149,Transactions!$H$3:$H149,"DRIP",Transactions!$F$3:$F149,"Stock",Transactions!$D$3:$D149,AH5)
+SUMIFS(Transactions!$I$3:$I149,Transactions!$H$3:$H149,"Transfer Deposit",Transactions!$F$3:$F149,"Stock",Transactions!$D$3:$D149,AH5)
+SUMIFS(Transactions!$I$3:$I149,Transactions!$H$3:$H149,"Buy",Transactions!$F$3:$F149,"ETF",Transactions!$D$3:$D149,AH5)
+SUMIFS(Transactions!$I$3:$I149,Transactions!$H$3:$H149,"DRIP",Transactions!$F$3:$F149,"ETF",Transactions!$D$3:$D149,AH5)
+SUMIFS(Transactions!$I$3:$I149,Transactions!$H$3:$H149,"Transfer Deposit",Transactions!$F$3:$F149,"ETF",Transactions!$D$3:$D149,AH5)
+SUMIFS(Transactions!$I$3:$I149,Transactions!$H$3:$H149,"Buy",Transactions!$F$3:$F149,"Commodity",Transactions!$D$3:$D149,AH5)
+SUMIFS(Transactions!$I$3:$I149,Transactions!$H$3:$H149,"DRIP",Transactions!$F$3:$F149,"Commodity",Transactions!$D$3:$D149,AH5)
+SUMIFS(Transactions!$I$3:$I149,Transactions!$H$3:$H149,"Transfer Deposit",Transactions!$F$3:$F149,"Commodity",Transactions!$D$3:$D149,AH5)
+SUMIFS(Transactions!$I$3:$I149,Transactions!$H$3:$H149,"Buy",Transactions!$F$3:$F149,"Managed Fund",Transactions!$D$3:$D149,AH5)
+SUMIFS(Transactions!$I$3:$I149,Transactions!$H$3:$H149,"DRIP",Transactions!$F$3:$F149,"Managed Fund",Transactions!$D$3:$D149,AH5)
+SUMIFS(Transactions!$I$3:$I149,Transactions!$H$3:$H149,"Transfer Deposit",Transactions!$F$3:$F149,"Managed Fund",Transactions!$D$3:$D149,AH5)
+SUMIFS(Transactions!$I$3:$I149,Transactions!$H$3:$H149,"Buy",Transactions!$F$3:$F149,"REIT",Transactions!$D$3:$D149,AH5)
+SUMIFS(Transactions!$I$3:$I149,Transactions!$H$3:$H149,"DRIP",Transactions!$F$3:$F149,"REIT",Transactions!$D$3:$D149,AH5)
+SUMIFS(Transactions!$I$3:$I149,Transactions!$H$3:$H149,"Transfer Deposit",Transactions!$F$3:$F149,"REIT",Transactions!$D$3:$D149,AH5)
-SUMIFS(Transactions!$I$3:$I149,Transactions!$H$3:$H149,"Sell",Transactions!$F$3:$F149,"Stock",Transactions!$D$3:$D149,AH5)
-SUMIFS(Transactions!$I$3:$I149,Transactions!$H$3:$H149,"Transfer Send",Transactions!$F$3:$F149,"Stock",Transactions!$D$3:$D149,AH5)
-SUMIFS(Transactions!$I$3:$I149,Transactions!$H$3:$H149,"Sell",Transactions!$F$3:$F149,"ETF",Transactions!$D$3:$D149,AH5)
-SUMIFS(Transactions!$I$3:$I149,Transactions!$H$3:$H149,"Transfer Send",Transactions!$F$3:$F149,"ETF",Transactions!$D$3:$D149,AH5)
-SUMIFS(Transactions!$I$3:$I149,Transactions!$H$3:$H149,"Sell",Transactions!$F$3:$F149,"Commodity",Transactions!$D$3:$D149,AH5)
-SUMIFS(Transactions!$I$3:$I149,Transactions!$H$3:$H149,"Transfer Send",Transactions!$F$3:$F149,"Commodity",Transactions!$D$3:$D149,AH5)
-SUMIFS(Transactions!$I$3:$I149,Transactions!$H$3:$H149,"Sell",Transactions!$F$3:$F149,"Managed Fund",Transactions!$D$3:$D149,AH5)
-SUMIFS(Transactions!$I$3:$I149,Transactions!$H$3:$H149,"Transfer Send",Transactions!$F$3:$F149,"Managed Fund",Transactions!$D$3:$D149,AH5)
-SUMIFS(Transactions!$I$3:$I149,Transactions!$H$3:$H149,"Sell",Transactions!$F$3:$F149,"REIT",Transactions!$D$3:$D149,AH5)
-SUMIFS(Transactions!$I$3:$I149,Transactions!$H$3:$H149,"Transfer Send",Transactions!$F$3:$F149,"REIT",Transactions!$D$3:$D149,AH5)
+SUMIFS(Transactions!$I$3:$I149,Transactions!$H$3:$H149,"Buy",Transactions!$F$3:$F149,"Crypto",Transactions!$D$3:$D149,AH5)
+SUMIFS(Transactions!$I$3:$I149,Transactions!$H$3:$H149,"Crypto Interest",Transactions!$F$3:$F149,"Crypto",Transactions!$D$3:$D149,AH5)
+SUMIFS(Transactions!$I$3:$I149,Transactions!$H$3:$H149,"Transfer Deposit",Transactions!$F$3:$F149,"Crypto",Transactions!$D$3:$D149,AH5)
-SUMIFS(Transactions!$I$3:$I149,Transactions!$H$3:$H149,"Transfer Send",Transactions!$F$3:$F149,"Crypto",Transactions!$D$3:$D149,AH5)
-SUMIFS(Transactions!$I$3:$I149,Transactions!$H$3:$H149,"Sell",Transactions!$F$3:$F149,"Crypto",Transactions!$D$3:$D149,AH5)
+SUMIFS(Transactions!$I$3:$I149,Transactions!$H$3:$H149,"Buy",Transactions!$F$3:$F149,"Stablecoin",Transactions!$D$3:$D149,AH5)
+SUMIFS(Transactions!$I$3:$I149,Transactions!$H$3:$H149,"Crypto Interest",Transactions!$F$3:$F149,"Stablecoin",Transactions!$D$3:$D149,AH5)
+SUMIFS(Transactions!$I$3:$I149,Transactions!$H$3:$H149,"Transfer Deposit",Transactions!$F$3:$F149,"Stablecoin",Transactions!$D$3:$D149,AH5)
-SUMIFS(Transactions!$I$3:$I149,Transactions!$H$3:$H149,"Transfer Send",Transactions!$F$3:$F149,"Stablecoin",Transactions!$D$3:$D149,AH5)
-SUMIFS(Transactions!$I$3:$I149,Transactions!$H$3:$H149,"Sell",Transactions!$F$3:$F149,"Stablecoin",Transactions!$D$3:$D149,AH5)
-SUMIFS(Transactions!$M$3:$M149,Transactions!$H$3:$H149,"Buy",Transactions!$B$3:$B149,AH5)=0,"Sold All",
SUMIFS(Transactions!$I$3:$I149,Transactions!$H$3:$H149,"Buy",Transactions!$F$3:$F149,"Stock",Transactions!$D$3:$D149,AH5)
+SUMIFS(Transactions!$I$3:$I149,Transactions!$H$3:$H149,"DRIP",Transactions!$F$3:$F149,"Stock",Transactions!$D$3:$D149,AH5)
+SUMIFS(Transactions!$I$3:$I149,Transactions!$H$3:$H149,"Transfer Deposit",Transactions!$F$3:$F149,"Stock",Transactions!$D$3:$D149,AH5)
+SUMIFS(Transactions!$I$3:$I149,Transactions!$H$3:$H149,"Buy",Transactions!$F$3:$F149,"ETF",Transactions!$D$3:$D149,AH5)
+SUMIFS(Transactions!$I$3:$I149,Transactions!$H$3:$H149,"DRIP",Transactions!$F$3:$F149,"ETF",Transactions!$D$3:$D149,AH5)
+SUMIFS(Transactions!$I$3:$I149,Transactions!$H$3:$H149,"Transfer Deposit",Transactions!$F$3:$F149,"ETF",Transactions!$D$3:$D149,AH5)
+SUMIFS(Transactions!$I$3:$I149,Transactions!$H$3:$H149,"Buy",Transactions!$F$3:$F149,"Commodity",Transactions!$D$3:$D149,AH5)
+SUMIFS(Transactions!$I$3:$I149,Transactions!$H$3:$H149,"DRIP",Transactions!$F$3:$F149,"Commodity",Transactions!$D$3:$D149,AH5)
+SUMIFS(Transactions!$I$3:$I149,Transactions!$H$3:$H149,"Transfer Deposit",Transactions!$F$3:$F149,"Commodity",Transactions!$D$3:$D149,AH5)
+SUMIFS(Transactions!$I$3:$I149,Transactions!$H$3:$H149,"Buy",Transactions!$F$3:$F149,"Managed Fund",Transactions!$D$3:$D149,AH5)
+SUMIFS(Transactions!$I$3:$I149,Transactions!$H$3:$H149,"DRIP",Transactions!$F$3:$F149,"Managed Fund",Transactions!$D$3:$D149,AH5)
+SUMIFS(Transactions!$I$3:$I149,Transactions!$H$3:$H149,"Transfer Deposit",Transactions!$F$3:$F149,"Managed Fund",Transactions!$D$3:$D149,AH5)
+SUMIFS(Transactions!$I$3:$I149,Transactions!$H$3:$H149,"Buy",Transactions!$F$3:$F149,"REIT",Transactions!$D$3:$D149,AH5)
+SUMIFS(Transactions!$I$3:$I149,Transactions!$H$3:$H149,"DRIP",Transactions!$F$3:$F149,"REIT",Transactions!$D$3:$D149,AH5)
+SUMIFS(Transactions!$I$3:$I149,Transactions!$H$3:$H149,"Transfer Deposit",Transactions!$F$3:$F149,"REIT",Transactions!$D$3:$D149,AH5)
-SUMIFS(Transactions!$I$3:$I149,Transactions!$H$3:$H149,"Sell",Transactions!$F$3:$F149,"Stock",Transactions!$D$3:$D149,AH5)
-SUMIFS(Transactions!$I$3:$I149,Transactions!$H$3:$H149,"Transfer Send",Transactions!$F$3:$F149,"Stock",Transactions!$D$3:$D149,AH5)
-SUMIFS(Transactions!$I$3:$I149,Transactions!$H$3:$H149,"Sell",Transactions!$F$3:$F149,"ETF",Transactions!$D$3:$D149,AH5)
-SUMIFS(Transactions!$I$3:$I149,Transactions!$H$3:$H149,"Transfer Send",Transactions!$F$3:$F149,"ETF",Transactions!$D$3:$D149,AH5)
-SUMIFS(Transactions!$I$3:$I149,Transactions!$H$3:$H149,"Sell",Transactions!$F$3:$F149,"Commodity",Transactions!$D$3:$D149,AH5)
-SUMIFS(Transactions!$I$3:$I149,Transactions!$H$3:$H149,"Transfer Send",Transactions!$F$3:$F149,"Commodity",Transactions!$D$3:$D149,AH5)
-SUMIFS(Transactions!$I$3:$I149,Transactions!$H$3:$H149,"Sell",Transactions!$F$3:$F149,"Managed Fund",Transactions!$D$3:$D149,AH5)
-SUMIFS(Transactions!$I$3:$I149,Transactions!$H$3:$H149,"Transfer Send",Transactions!$F$3:$F149,"Managed Fund",Transactions!$D$3:$D149,AH5)
-SUMIFS(Transactions!$I$3:$I149,Transactions!$H$3:$H149,"Sell",Transactions!$F$3:$F149,"REIT",Transactions!$D$3:$D149,AH5)
-SUMIFS(Transactions!$I$3:$I149,Transactions!$H$3:$H149,"Transfer Send",Transactions!$F$3:$F149,"REIT",Transactions!$D$3:$D149,AH5)
+SUMIFS(Transactions!$I$3:$I149,Transactions!$H$3:$H149,"Buy",Transactions!$F$3:$F149,"Crypto",Transactions!$D$3:$D149,AH5)
+SUMIFS(Transactions!$I$3:$I149,Transactions!$H$3:$H149,"Crypto Interest",Transactions!$F$3:$F149,"Crypto",Transactions!$D$3:$D149,AH5)
+SUMIFS(Transactions!$I$3:$I149,Transactions!$H$3:$H149,"Transfer Deposit",Transactions!$F$3:$F149,"Crypto",Transactions!$D$3:$D149,AH5)
-SUMIFS(Transactions!$I$3:$I149,Transactions!$H$3:$H149,"Transfer Send",Transactions!$F$3:$F149,"Crypto",Transactions!$D$3:$D149,AH5)
-SUMIFS(Transactions!$I$3:$I149,Transactions!$H$3:$H149,"Sell",Transactions!$F$3:$F149,"Crypto",Transactions!$D$3:$D149,AH5)
+SUMIFS(Transactions!$I$3:$I149,Transactions!$H$3:$H149,"Buy",Transactions!$F$3:$F149,"Stablecoin",Transactions!$D$3:$D149,AH5)
+SUMIFS(Transactions!$I$3:$I149,Transactions!$H$3:$H149,"Crypto Interest",Transactions!$F$3:$F149,"Stablecoin",Transactions!$D$3:$D149,AH5)
+SUMIFS(Transactions!$I$3:$I149,Transactions!$H$3:$H149,"Transfer Deposit",Transactions!$F$3:$F149,"Stablecoin",Transactions!$D$3:$D149,AH5)
-SUMIFS(Transactions!$I$3:$I149,Transactions!$H$3:$H149,"Transfer Send",Transactions!$F$3:$F149,"Stablecoin",Transactions!$D$3:$D149,AH5)
-SUMIFS(Transactions!$I$3:$I149,Transactions!$H$3:$H149,"Sell",Transactions!$F$3:$F149,"Stablecoin",Transactions!$D$3:$D149,AH5)
-SUMIFS(Transactions!$M$3:$M149,Transactions!$H$3:$H149,"Buy",Transactions!$B$3:$B149,AH5)))</f>
        <v>1650</v>
      </c>
      <c r="AJ5" s="181">
        <f>IFERROR(__xludf.DUMMYFUNCTION("IF(ISBLANK(AH5),"""",VLOOKUP(9^99,FILTER({ROW(Transactions!P:P),Transactions!P:P},Transactions!D:D=AH5),2))"),177.27272727272728)</f>
        <v>177.2727273</v>
      </c>
      <c r="AK5" s="181">
        <f>IFERROR(__xludf.DUMMYFUNCTION("IF(ISBLANK(AH5), """", 
   IFERROR(
      GOOGLEFINANCE(AH5, ""price""),
      IFERROR(
         GOOGLEFINANCE(""CURRENCY:"" &amp; AH5),
         IFERROR(
            INDEX(YAHOO_STOCK(TRIM(AH5), $G$2), 0, 1),
            INDEX(IMPORTHTML(""https://coinmarket"&amp;"cap.com/currencies/"" &amp; LOWER(TRIM(AG5)), ""table"", 1), 1, 2)
         )
      )
   )
)
"),191.53)</f>
        <v>191.53</v>
      </c>
      <c r="AL5" s="14" t="str">
        <f>IFERROR(__xludf.DUMMYFUNCTION("IF(ISBLANK(AH5),"""",IFERROR(SPARKLINE(INDEX(GOOGLEFINANCE(AH5,""price"",TODAY()-$AL$2,TODAY()),,2),{""charttype"",""column"";""color"",""17a7e0""}),""""))"),"")</f>
        <v/>
      </c>
      <c r="AM5" s="50">
        <f>IFERROR(__xludf.DUMMYFUNCTION("IFNA(IFERROR(IF(AH5="""","""",GOOGLEFINANCE(AH5,""changepct"")/100),(GOOGLEFINANCE(AH5)-(INDEX(GOOGLEFINANCE(""CURRENCY:""&amp;AH5&amp;"""",""price"",TODAY()-1),2,2)))/(INDEX(GOOGLEFINANCE(""CURRENCY:""&amp;AH5&amp;"""",""price"",TODAY()-1),2,2))),)"),0.0013)</f>
        <v>0.0013</v>
      </c>
      <c r="AN5" s="96">
        <f>IFERROR(__xludf.DUMMYFUNCTION("IFNA(IFERROR(IF(AH5="""","""",GOOGLEFINANCE(AH5,""change"")*AI5),(GOOGLEFINANCE(AH5)-(INDEX(GOOGLEFINANCE(""CURRENCY:""&amp;AH5&amp;"""",""price"",TODAY()-1),2,2)))*AI5),"""")"),396.0)</f>
        <v>396</v>
      </c>
      <c r="AO5" s="96">
        <f>IF(ISBLANK(AH5),"",IFERROR(((AI5-SUMIFS(Transactions!I:I,Transactions!H:H,"Crypto Interest",Transactions!D:D,AH5))*AJ5),""))</f>
        <v>292500</v>
      </c>
      <c r="AP5" s="96">
        <f t="shared" si="16"/>
        <v>316024.5</v>
      </c>
      <c r="AQ5" s="50">
        <f t="shared" si="17"/>
        <v>0.08042564103</v>
      </c>
      <c r="AR5" s="96">
        <f t="shared" si="18"/>
        <v>23524.5</v>
      </c>
      <c r="AS5" s="96">
        <f>IF(ISBLANK(AH5),"",SUMIFS(Transactions!$X$3:$X149,Transactions!$H$3:$H149,"Sell",Transactions!$D$3:$D149,AH5))</f>
        <v>0</v>
      </c>
      <c r="AT5" s="96">
        <f t="shared" si="19"/>
        <v>23524.5</v>
      </c>
      <c r="AU5" s="50">
        <f>IFERROR(__xludf.DUMMYFUNCTION("IF(ISBLANK(AH5),"""",IFERROR((GOOGLEFINANCE(AH5,""price"")/INDEX(GOOGLEFINANCE(AH5,""price"",DATEVALUE(TODAY()-$AU$2) ),2,2)-1),""""))"),0.05846919038408416)</f>
        <v>0.05846919038</v>
      </c>
      <c r="AW5" s="50">
        <f>IFERROR(__xludf.DUMMYFUNCTION("IF(ISBLANK(AH5),"""",IFERROR((GOOGLEFINANCE($AW$2,""price"")/INDEX(GOOGLEFINANCE($AW$2,""price"",DATEVALUE(TODAY()-$AU$2) ),2,2)-1),""""))"),0.21881341406744403)</f>
        <v>0.2188134141</v>
      </c>
      <c r="AY5" s="50">
        <f t="shared" si="20"/>
        <v>-0.1603442237</v>
      </c>
      <c r="AZ5" s="50">
        <f t="shared" si="21"/>
        <v>0.2875761007</v>
      </c>
      <c r="BA5" s="50">
        <f t="shared" si="22"/>
        <v>0.005</v>
      </c>
      <c r="BB5" s="50">
        <f t="shared" si="23"/>
        <v>0.2825761007</v>
      </c>
      <c r="BC5" s="14" t="str">
        <f>IF(ISBLANK(AH5),"",IFERROR(VLOOKUP(AH5,Transactions!D:F,3,0)))</f>
        <v>Stock</v>
      </c>
      <c r="BD5" s="50">
        <f t="shared" si="24"/>
        <v>0.7731305401</v>
      </c>
      <c r="BE5" s="50">
        <f t="shared" si="25"/>
        <v>0.0175</v>
      </c>
      <c r="BF5" s="50">
        <f t="shared" si="26"/>
        <v>0.7556305401</v>
      </c>
      <c r="BG5" s="180" t="str">
        <f>IF(ISBLANK(AH5),"",IFERROR(VLOOKUP(AH5,Transactions!D:G,4,0)))</f>
        <v>Information Technology</v>
      </c>
    </row>
    <row r="6">
      <c r="A6" s="14" t="str">
        <f t="shared" ref="A6:C6" si="28">AG6</f>
        <v>MCDonalds</v>
      </c>
      <c r="B6" s="14" t="str">
        <f t="shared" si="28"/>
        <v>MCD</v>
      </c>
      <c r="C6" s="175">
        <f t="shared" si="28"/>
        <v>150</v>
      </c>
      <c r="D6" s="176">
        <f>IFERROR(__xludf.DUMMYFUNCTION("IF(ISBLANK(B6),"""",IFERROR(IF(OR(AF6=""GPB"",AF6=""ZAR""),IF(AF6=Dashboard!$L$1,AJ6,(AJ6*GOOGLEFINANCE(""CURRENCY:""&amp;AF6&amp;""""&amp;Dashboard!$L$1&amp;""""))/100),IF(AF6=Dashboard!$L$1,AJ6,AJ6*GOOGLEFINANCE(""CURRENCY:""&amp;AF6&amp;""""&amp;Dashboard!$L$1&amp;""""))),AJ6))"),100.0)</f>
        <v>100</v>
      </c>
      <c r="E6" s="177">
        <f>IFERROR(__xludf.DUMMYFUNCTION("IFERROR(IF(OR(AF6=""GBP"",AF6=""ZAR""),IF(B6="""","""",IF(AF6=Dashboard!$L$1,AK6,AK6*GOOGLEFINANCE(""CURRENCY:""&amp;AF6&amp;""""&amp;Dashboard!$L$1&amp;"""")))/100,If(B6="""","""",IF(AF6=Dashboard!$L$1,AK6,AK6*GOOGLEFINANCE(""CURRENCY:""&amp;AF6&amp;""""&amp;Dashboard!$L$1&amp;""""))))"&amp;",AK6)"),254.86)</f>
        <v>254.86</v>
      </c>
      <c r="F6" s="145">
        <f>IFERROR(__xludf.DUMMYFUNCTION(" E6 * GOOGLEFINANCE(""CURRENCY:USDEUR"") "),234.381999)</f>
        <v>234.381999</v>
      </c>
      <c r="G6" s="96" t="str">
        <f>IFERROR(__xludf.DUMMYFUNCTION("IF(ISBLANK(B6),"""",IFERROR(SPARKLINE(INDEX(GOOGLEFINANCE(B6,""price"",TODAY()-$G$2,TODAY()),,2),{""charttype"",""column"";""color"",""17a7e0""}),""""))"),"")</f>
        <v/>
      </c>
      <c r="H6" s="50">
        <f t="shared" si="3"/>
        <v>0.0111</v>
      </c>
      <c r="I6" s="96">
        <f>IFERROR(__xludf.DUMMYFUNCTION("IF(ISBLANK(B6),"""",IFERROR(IF(OR(AF6=""GPB"",AF6=""ZAR""),IF(AF6=Dashboard!$L$1,AN6,(AN6*GOOGLEFINANCE(""CURRENCY:""&amp;AF6&amp;""""&amp;Dashboard!$L$1&amp;""""))/100),IF(AF6=Dashboard!$L$1,AN6,AN6*GOOGLEFINANCE(""CURRENCY:""&amp;AF6&amp;""""&amp;Dashboard!$L$1&amp;""""))),AN6))"),418.5)</f>
        <v>418.5</v>
      </c>
      <c r="J6" s="178">
        <f>IF(ISBLANK(B6),"",IFERROR(((C6-SUMIFS(Transactions!I:I,Transactions!H:H,"Crypto Interest",Transactions!D:D,B6))*D6),""))</f>
        <v>15000</v>
      </c>
      <c r="K6" s="178">
        <f t="shared" si="4"/>
        <v>38229</v>
      </c>
      <c r="L6" s="145">
        <f>-SUMIFS(Transactions!$M$3:$M149,Transactions!$H$3:$H149,"Buy",Transactions!$D$3:$D149,B6)</f>
        <v>-15000</v>
      </c>
      <c r="M6" s="145">
        <f>IF(ISBLANK(AG6),"",SUMIFS(Transactions!$M$3:$M149,Transactions!$H$3:$H149,"Dividend",Transactions!$D$3:$D149,B6))</f>
        <v>0</v>
      </c>
      <c r="N6" s="145">
        <f>IF(ISBLANK(AH6),"",SUMIFS(Transactions!$M$3:$M149,Transactions!$H$3:$H149,"Sell",Transactions!$D$3:$D149,B6))</f>
        <v>0</v>
      </c>
      <c r="O6" s="50">
        <f t="shared" si="5"/>
        <v>1.5486</v>
      </c>
      <c r="P6" s="178">
        <f t="shared" si="6"/>
        <v>23229</v>
      </c>
      <c r="Q6" s="178">
        <f>IFERROR(__xludf.DUMMYFUNCTION("IF(ISBLANK(B6),"""",IFERROR(IF(OR(AF6=""GPB"",AF6=""ZAR""),IF(AF6=Dashboard!$L$1,AS6,(AS6*GOOGLEFINANCE(""CURRENCY:""&amp;AF6&amp;""""&amp;Dashboard!$L$1&amp;""""))/100),IF(AF6=Dashboard!$L$1,AS6,AS6*GOOGLEFINANCE(""CURRENCY:""&amp;AF6&amp;""""&amp;Dashboard!$L$1&amp;""""))),AS6))"),0.0)</f>
        <v>0</v>
      </c>
      <c r="R6" s="178">
        <f t="shared" si="7"/>
        <v>23229</v>
      </c>
      <c r="S6" s="50">
        <f>IFERROR(__xludf.DUMMYFUNCTION("IF(ISBLANK(B6),"""",IFERROR((GOOGLEFINANCE(B6,""price"")/INDEX(GOOGLEFINANCE(B6,""price"",DATEVALUE(TODAY()-$S$2) ),2,2)-1),""""))"),-0.12089958952778457)</f>
        <v>-0.1208995895</v>
      </c>
      <c r="U6" s="50">
        <f>IFERROR(__xludf.DUMMYFUNCTION("IF(ISBLANK(B6),"""",IFERROR((GOOGLEFINANCE($U$2,""price"")/INDEX(GOOGLEFINANCE($U$2,""price"",DATEVALUE(TODAY()-$S$2) ),2,2)-1),""""))"),0.21881341406744403)</f>
        <v>0.2188134141</v>
      </c>
      <c r="W6" s="50">
        <f t="shared" si="8"/>
        <v>-0.3397130036</v>
      </c>
      <c r="X6" s="50">
        <f t="shared" si="9"/>
        <v>0.03478764069</v>
      </c>
      <c r="Y6" s="179">
        <v>0.0025</v>
      </c>
      <c r="Z6" s="50">
        <f t="shared" si="10"/>
        <v>0.03228764069</v>
      </c>
      <c r="AA6" s="14" t="str">
        <f t="shared" si="11"/>
        <v>Stock</v>
      </c>
      <c r="AB6" s="50">
        <f t="shared" si="12"/>
        <v>0.7731305401</v>
      </c>
      <c r="AC6" s="179">
        <f t="shared" si="13"/>
        <v>0.0175</v>
      </c>
      <c r="AD6" s="50">
        <f t="shared" si="14"/>
        <v>0.7556305401</v>
      </c>
      <c r="AE6" s="180" t="str">
        <f t="shared" si="15"/>
        <v>Information Technology</v>
      </c>
      <c r="AF6" s="14" t="str">
        <f t="array" ref="AF6">IFERROR(IF(ISBLANK(AH6),"",IF(VLOOKUP(AH6,Transactions!D:F,3,0)="Stablecoin",AH6,INDEX(Transactions!$B$3:$B149,MATCH(AH6,Transactions!$D$3:$D149,0),0))))</f>
        <v>EUR</v>
      </c>
      <c r="AG6" s="14" t="str">
        <f>IF(ISBLANK(AH6),"",VLOOKUP(AH6,Transactions!D:E,2,0))</f>
        <v>MCDonalds</v>
      </c>
      <c r="AH6" s="14" t="str">
        <f>IFERROR(__xludf.DUMMYFUNCTION("""COMPUTED_VALUE"""),"MCD")</f>
        <v>MCD</v>
      </c>
      <c r="AI6" s="146">
        <f>IF(ISBLANK(AH6),"",IF(
SUMIFS(Transactions!$I$3:$I149,Transactions!$H$3:$H149,"Buy",Transactions!$F$3:$F149,"Stock",Transactions!$D$3:$D149,AH6)
+SUMIFS(Transactions!$I$3:$I149,Transactions!$H$3:$H149,"DRIP",Transactions!$F$3:$F149,"Stock",Transactions!$D$3:$D149,AH6)
+SUMIFS(Transactions!$I$3:$I149,Transactions!$H$3:$H149,"Transfer Deposit",Transactions!$F$3:$F149,"Stock",Transactions!$D$3:$D149,AH6)
+SUMIFS(Transactions!$I$3:$I149,Transactions!$H$3:$H149,"Buy",Transactions!$F$3:$F149,"ETF",Transactions!$D$3:$D149,AH6)
+SUMIFS(Transactions!$I$3:$I149,Transactions!$H$3:$H149,"DRIP",Transactions!$F$3:$F149,"ETF",Transactions!$D$3:$D149,AH6)
+SUMIFS(Transactions!$I$3:$I149,Transactions!$H$3:$H149,"Transfer Deposit",Transactions!$F$3:$F149,"ETF",Transactions!$D$3:$D149,AH6)
+SUMIFS(Transactions!$I$3:$I149,Transactions!$H$3:$H149,"Buy",Transactions!$F$3:$F149,"Commodity",Transactions!$D$3:$D149,AH6)
+SUMIFS(Transactions!$I$3:$I149,Transactions!$H$3:$H149,"DRIP",Transactions!$F$3:$F149,"Commodity",Transactions!$D$3:$D149,AH6)
+SUMIFS(Transactions!$I$3:$I149,Transactions!$H$3:$H149,"Transfer Deposit",Transactions!$F$3:$F149,"Commodity",Transactions!$D$3:$D149,AH6)
+SUMIFS(Transactions!$I$3:$I149,Transactions!$H$3:$H149,"Buy",Transactions!$F$3:$F149,"Managed Fund",Transactions!$D$3:$D149,AH6)
+SUMIFS(Transactions!$I$3:$I149,Transactions!$H$3:$H149,"DRIP",Transactions!$F$3:$F149,"Managed Fund",Transactions!$D$3:$D149,AH6)
+SUMIFS(Transactions!$I$3:$I149,Transactions!$H$3:$H149,"Transfer Deposit",Transactions!$F$3:$F149,"Managed Fund",Transactions!$D$3:$D149,AH6)
+SUMIFS(Transactions!$I$3:$I149,Transactions!$H$3:$H149,"Buy",Transactions!$F$3:$F149,"REIT",Transactions!$D$3:$D149,AH6)
+SUMIFS(Transactions!$I$3:$I149,Transactions!$H$3:$H149,"DRIP",Transactions!$F$3:$F149,"REIT",Transactions!$D$3:$D149,AH6)
+SUMIFS(Transactions!$I$3:$I149,Transactions!$H$3:$H149,"Transfer Deposit",Transactions!$F$3:$F149,"REIT",Transactions!$D$3:$D149,AH6)
-SUMIFS(Transactions!$I$3:$I149,Transactions!$H$3:$H149,"Sell",Transactions!$F$3:$F149,"Stock",Transactions!$D$3:$D149,AH6)
-SUMIFS(Transactions!$I$3:$I149,Transactions!$H$3:$H149,"Transfer Send",Transactions!$F$3:$F149,"Stock",Transactions!$D$3:$D149,AH6)
-SUMIFS(Transactions!$I$3:$I149,Transactions!$H$3:$H149,"Sell",Transactions!$F$3:$F149,"ETF",Transactions!$D$3:$D149,AH6)
-SUMIFS(Transactions!$I$3:$I149,Transactions!$H$3:$H149,"Transfer Send",Transactions!$F$3:$F149,"ETF",Transactions!$D$3:$D149,AH6)
-SUMIFS(Transactions!$I$3:$I149,Transactions!$H$3:$H149,"Sell",Transactions!$F$3:$F149,"Commodity",Transactions!$D$3:$D149,AH6)
-SUMIFS(Transactions!$I$3:$I149,Transactions!$H$3:$H149,"Transfer Send",Transactions!$F$3:$F149,"Commodity",Transactions!$D$3:$D149,AH6)
-SUMIFS(Transactions!$I$3:$I149,Transactions!$H$3:$H149,"Sell",Transactions!$F$3:$F149,"Managed Fund",Transactions!$D$3:$D149,AH6)
-SUMIFS(Transactions!$I$3:$I149,Transactions!$H$3:$H149,"Transfer Send",Transactions!$F$3:$F149,"Managed Fund",Transactions!$D$3:$D149,AH6)
-SUMIFS(Transactions!$I$3:$I149,Transactions!$H$3:$H149,"Sell",Transactions!$F$3:$F149,"REIT",Transactions!$D$3:$D149,AH6)
-SUMIFS(Transactions!$I$3:$I149,Transactions!$H$3:$H149,"Transfer Send",Transactions!$F$3:$F149,"REIT",Transactions!$D$3:$D149,AH6)
+SUMIFS(Transactions!$I$3:$I149,Transactions!$H$3:$H149,"Buy",Transactions!$F$3:$F149,"Crypto",Transactions!$D$3:$D149,AH6)
+SUMIFS(Transactions!$I$3:$I149,Transactions!$H$3:$H149,"Crypto Interest",Transactions!$F$3:$F149,"Crypto",Transactions!$D$3:$D149,AH6)
+SUMIFS(Transactions!$I$3:$I149,Transactions!$H$3:$H149,"Transfer Deposit",Transactions!$F$3:$F149,"Crypto",Transactions!$D$3:$D149,AH6)
-SUMIFS(Transactions!$I$3:$I149,Transactions!$H$3:$H149,"Transfer Send",Transactions!$F$3:$F149,"Crypto",Transactions!$D$3:$D149,AH6)
-SUMIFS(Transactions!$I$3:$I149,Transactions!$H$3:$H149,"Sell",Transactions!$F$3:$F149,"Crypto",Transactions!$D$3:$D149,AH6)
+SUMIFS(Transactions!$I$3:$I149,Transactions!$H$3:$H149,"Buy",Transactions!$F$3:$F149,"Stablecoin",Transactions!$D$3:$D149,AH6)
+SUMIFS(Transactions!$I$3:$I149,Transactions!$H$3:$H149,"Crypto Interest",Transactions!$F$3:$F149,"Stablecoin",Transactions!$D$3:$D149,AH6)
+SUMIFS(Transactions!$I$3:$I149,Transactions!$H$3:$H149,"Transfer Deposit",Transactions!$F$3:$F149,"Stablecoin",Transactions!$D$3:$D149,AH6)
-SUMIFS(Transactions!$I$3:$I149,Transactions!$H$3:$H149,"Transfer Send",Transactions!$F$3:$F149,"Stablecoin",Transactions!$D$3:$D149,AH6)
-SUMIFS(Transactions!$I$3:$I149,Transactions!$H$3:$H149,"Sell",Transactions!$F$3:$F149,"Stablecoin",Transactions!$D$3:$D149,AH6)
-SUMIFS(Transactions!$M$3:$M149,Transactions!$H$3:$H149,"Buy",Transactions!$B$3:$B149,AH6)=0,"Sold All",
SUMIFS(Transactions!$I$3:$I149,Transactions!$H$3:$H149,"Buy",Transactions!$F$3:$F149,"Stock",Transactions!$D$3:$D149,AH6)
+SUMIFS(Transactions!$I$3:$I149,Transactions!$H$3:$H149,"DRIP",Transactions!$F$3:$F149,"Stock",Transactions!$D$3:$D149,AH6)
+SUMIFS(Transactions!$I$3:$I149,Transactions!$H$3:$H149,"Transfer Deposit",Transactions!$F$3:$F149,"Stock",Transactions!$D$3:$D149,AH6)
+SUMIFS(Transactions!$I$3:$I149,Transactions!$H$3:$H149,"Buy",Transactions!$F$3:$F149,"ETF",Transactions!$D$3:$D149,AH6)
+SUMIFS(Transactions!$I$3:$I149,Transactions!$H$3:$H149,"DRIP",Transactions!$F$3:$F149,"ETF",Transactions!$D$3:$D149,AH6)
+SUMIFS(Transactions!$I$3:$I149,Transactions!$H$3:$H149,"Transfer Deposit",Transactions!$F$3:$F149,"ETF",Transactions!$D$3:$D149,AH6)
+SUMIFS(Transactions!$I$3:$I149,Transactions!$H$3:$H149,"Buy",Transactions!$F$3:$F149,"Commodity",Transactions!$D$3:$D149,AH6)
+SUMIFS(Transactions!$I$3:$I149,Transactions!$H$3:$H149,"DRIP",Transactions!$F$3:$F149,"Commodity",Transactions!$D$3:$D149,AH6)
+SUMIFS(Transactions!$I$3:$I149,Transactions!$H$3:$H149,"Transfer Deposit",Transactions!$F$3:$F149,"Commodity",Transactions!$D$3:$D149,AH6)
+SUMIFS(Transactions!$I$3:$I149,Transactions!$H$3:$H149,"Buy",Transactions!$F$3:$F149,"Managed Fund",Transactions!$D$3:$D149,AH6)
+SUMIFS(Transactions!$I$3:$I149,Transactions!$H$3:$H149,"DRIP",Transactions!$F$3:$F149,"Managed Fund",Transactions!$D$3:$D149,AH6)
+SUMIFS(Transactions!$I$3:$I149,Transactions!$H$3:$H149,"Transfer Deposit",Transactions!$F$3:$F149,"Managed Fund",Transactions!$D$3:$D149,AH6)
+SUMIFS(Transactions!$I$3:$I149,Transactions!$H$3:$H149,"Buy",Transactions!$F$3:$F149,"REIT",Transactions!$D$3:$D149,AH6)
+SUMIFS(Transactions!$I$3:$I149,Transactions!$H$3:$H149,"DRIP",Transactions!$F$3:$F149,"REIT",Transactions!$D$3:$D149,AH6)
+SUMIFS(Transactions!$I$3:$I149,Transactions!$H$3:$H149,"Transfer Deposit",Transactions!$F$3:$F149,"REIT",Transactions!$D$3:$D149,AH6)
-SUMIFS(Transactions!$I$3:$I149,Transactions!$H$3:$H149,"Sell",Transactions!$F$3:$F149,"Stock",Transactions!$D$3:$D149,AH6)
-SUMIFS(Transactions!$I$3:$I149,Transactions!$H$3:$H149,"Transfer Send",Transactions!$F$3:$F149,"Stock",Transactions!$D$3:$D149,AH6)
-SUMIFS(Transactions!$I$3:$I149,Transactions!$H$3:$H149,"Sell",Transactions!$F$3:$F149,"ETF",Transactions!$D$3:$D149,AH6)
-SUMIFS(Transactions!$I$3:$I149,Transactions!$H$3:$H149,"Transfer Send",Transactions!$F$3:$F149,"ETF",Transactions!$D$3:$D149,AH6)
-SUMIFS(Transactions!$I$3:$I149,Transactions!$H$3:$H149,"Sell",Transactions!$F$3:$F149,"Commodity",Transactions!$D$3:$D149,AH6)
-SUMIFS(Transactions!$I$3:$I149,Transactions!$H$3:$H149,"Transfer Send",Transactions!$F$3:$F149,"Commodity",Transactions!$D$3:$D149,AH6)
-SUMIFS(Transactions!$I$3:$I149,Transactions!$H$3:$H149,"Sell",Transactions!$F$3:$F149,"Managed Fund",Transactions!$D$3:$D149,AH6)
-SUMIFS(Transactions!$I$3:$I149,Transactions!$H$3:$H149,"Transfer Send",Transactions!$F$3:$F149,"Managed Fund",Transactions!$D$3:$D149,AH6)
-SUMIFS(Transactions!$I$3:$I149,Transactions!$H$3:$H149,"Sell",Transactions!$F$3:$F149,"REIT",Transactions!$D$3:$D149,AH6)
-SUMIFS(Transactions!$I$3:$I149,Transactions!$H$3:$H149,"Transfer Send",Transactions!$F$3:$F149,"REIT",Transactions!$D$3:$D149,AH6)
+SUMIFS(Transactions!$I$3:$I149,Transactions!$H$3:$H149,"Buy",Transactions!$F$3:$F149,"Crypto",Transactions!$D$3:$D149,AH6)
+SUMIFS(Transactions!$I$3:$I149,Transactions!$H$3:$H149,"Crypto Interest",Transactions!$F$3:$F149,"Crypto",Transactions!$D$3:$D149,AH6)
+SUMIFS(Transactions!$I$3:$I149,Transactions!$H$3:$H149,"Transfer Deposit",Transactions!$F$3:$F149,"Crypto",Transactions!$D$3:$D149,AH6)
-SUMIFS(Transactions!$I$3:$I149,Transactions!$H$3:$H149,"Transfer Send",Transactions!$F$3:$F149,"Crypto",Transactions!$D$3:$D149,AH6)
-SUMIFS(Transactions!$I$3:$I149,Transactions!$H$3:$H149,"Sell",Transactions!$F$3:$F149,"Crypto",Transactions!$D$3:$D149,AH6)
+SUMIFS(Transactions!$I$3:$I149,Transactions!$H$3:$H149,"Buy",Transactions!$F$3:$F149,"Stablecoin",Transactions!$D$3:$D149,AH6)
+SUMIFS(Transactions!$I$3:$I149,Transactions!$H$3:$H149,"Crypto Interest",Transactions!$F$3:$F149,"Stablecoin",Transactions!$D$3:$D149,AH6)
+SUMIFS(Transactions!$I$3:$I149,Transactions!$H$3:$H149,"Transfer Deposit",Transactions!$F$3:$F149,"Stablecoin",Transactions!$D$3:$D149,AH6)
-SUMIFS(Transactions!$I$3:$I149,Transactions!$H$3:$H149,"Transfer Send",Transactions!$F$3:$F149,"Stablecoin",Transactions!$D$3:$D149,AH6)
-SUMIFS(Transactions!$I$3:$I149,Transactions!$H$3:$H149,"Sell",Transactions!$F$3:$F149,"Stablecoin",Transactions!$D$3:$D149,AH6)
-SUMIFS(Transactions!$M$3:$M149,Transactions!$H$3:$H149,"Buy",Transactions!$B$3:$B149,AH6)))</f>
        <v>150</v>
      </c>
      <c r="AJ6" s="181">
        <f>IFERROR(__xludf.DUMMYFUNCTION("IF(ISBLANK(AH6),"""",VLOOKUP(9^99,FILTER({ROW(Transactions!P:P),Transactions!P:P},Transactions!D:D=AH6),2))"),100.0)</f>
        <v>100</v>
      </c>
      <c r="AK6" s="181">
        <f>IFERROR(__xludf.DUMMYFUNCTION("IF(ISBLANK(AH6), """", 
   IFERROR(
      GOOGLEFINANCE(AH6, ""price""),
      IFERROR(
         GOOGLEFINANCE(""CURRENCY:"" &amp; AH6),
         IFERROR(
            INDEX(YAHOO_STOCK(TRIM(AH6), $G$2), 0, 1),
            INDEX(IMPORTHTML(""https://coinmarket"&amp;"cap.com/currencies/"" &amp; LOWER(TRIM(AG6)), ""table"", 1), 1, 2)
         )
      )
   )
)
"),254.86)</f>
        <v>254.86</v>
      </c>
      <c r="AL6" s="14" t="str">
        <f>IFERROR(__xludf.DUMMYFUNCTION("IF(ISBLANK(AH6),"""",IFERROR(SPARKLINE(INDEX(GOOGLEFINANCE(AH6,""price"",TODAY()-$AL$2,TODAY()),,2),{""charttype"",""column"";""color"",""17a7e0""}),""""))"),"")</f>
        <v/>
      </c>
      <c r="AM6" s="50">
        <f>IFERROR(__xludf.DUMMYFUNCTION("IFNA(IFERROR(IF(AH6="""","""",GOOGLEFINANCE(AH6,""changepct"")/100),(GOOGLEFINANCE(AH6)-(INDEX(GOOGLEFINANCE(""CURRENCY:""&amp;AH6&amp;"""",""price"",TODAY()-1),2,2)))/(INDEX(GOOGLEFINANCE(""CURRENCY:""&amp;AH6&amp;"""",""price"",TODAY()-1),2,2))),)"),0.0111)</f>
        <v>0.0111</v>
      </c>
      <c r="AN6" s="96">
        <f>IFERROR(__xludf.DUMMYFUNCTION("IFNA(IFERROR(IF(AH6="""","""",GOOGLEFINANCE(AH6,""change"")*AI6),(GOOGLEFINANCE(AH6)-(INDEX(GOOGLEFINANCE(""CURRENCY:""&amp;AH6&amp;"""",""price"",TODAY()-1),2,2)))*AI6),"""")"),418.5)</f>
        <v>418.5</v>
      </c>
      <c r="AO6" s="96">
        <f>IF(ISBLANK(AH6),"",IFERROR(((AI6-SUMIFS(Transactions!I:I,Transactions!H:H,"Crypto Interest",Transactions!D:D,AH6))*AJ6),""))</f>
        <v>15000</v>
      </c>
      <c r="AP6" s="96">
        <f t="shared" si="16"/>
        <v>38229</v>
      </c>
      <c r="AQ6" s="50">
        <f t="shared" si="17"/>
        <v>1.5486</v>
      </c>
      <c r="AR6" s="96">
        <f t="shared" si="18"/>
        <v>23229</v>
      </c>
      <c r="AS6" s="96">
        <f>IF(ISBLANK(AH6),"",SUMIFS(Transactions!$X$3:$X149,Transactions!$H$3:$H149,"Sell",Transactions!$D$3:$D149,AH6))</f>
        <v>0</v>
      </c>
      <c r="AT6" s="96">
        <f t="shared" si="19"/>
        <v>23229</v>
      </c>
      <c r="AU6" s="50">
        <f>IFERROR(__xludf.DUMMYFUNCTION("IF(ISBLANK(AH6),"""",IFERROR((GOOGLEFINANCE(AH6,""price"")/INDEX(GOOGLEFINANCE(AH6,""price"",DATEVALUE(TODAY()-$AU$2) ),2,2)-1),""""))"),-0.12089958952778457)</f>
        <v>-0.1208995895</v>
      </c>
      <c r="AW6" s="50">
        <f>IFERROR(__xludf.DUMMYFUNCTION("IF(ISBLANK(AH6),"""",IFERROR((GOOGLEFINANCE($AW$2,""price"")/INDEX(GOOGLEFINANCE($AW$2,""price"",DATEVALUE(TODAY()-$AU$2) ),2,2)-1),""""))"),0.21881341406744403)</f>
        <v>0.2188134141</v>
      </c>
      <c r="AY6" s="50">
        <f t="shared" si="20"/>
        <v>-0.3397130036</v>
      </c>
      <c r="AZ6" s="50">
        <f t="shared" si="21"/>
        <v>0.03478764069</v>
      </c>
      <c r="BA6" s="50">
        <f t="shared" si="22"/>
        <v>0.0025</v>
      </c>
      <c r="BB6" s="50">
        <f t="shared" si="23"/>
        <v>0.03228764069</v>
      </c>
      <c r="BC6" s="14" t="str">
        <f>IF(ISBLANK(AH6),"",IFERROR(VLOOKUP(AH6,Transactions!D:F,3,0)))</f>
        <v>Stock</v>
      </c>
      <c r="BD6" s="50">
        <f t="shared" si="24"/>
        <v>0.7731305401</v>
      </c>
      <c r="BE6" s="50">
        <f t="shared" si="25"/>
        <v>0.0175</v>
      </c>
      <c r="BF6" s="50">
        <f t="shared" si="26"/>
        <v>0.7556305401</v>
      </c>
      <c r="BG6" s="180" t="str">
        <f>IF(ISBLANK(AH6),"",IFERROR(VLOOKUP(AH6,Transactions!D:G,4,0)))</f>
        <v>Information Technology</v>
      </c>
    </row>
    <row r="7">
      <c r="A7" s="14" t="str">
        <f t="shared" ref="A7:C7" si="29">AG7</f>
        <v>IBM</v>
      </c>
      <c r="B7" s="14" t="str">
        <f t="shared" si="29"/>
        <v>IBM</v>
      </c>
      <c r="C7" s="175">
        <f t="shared" si="29"/>
        <v>500</v>
      </c>
      <c r="D7" s="176">
        <f>IFERROR(__xludf.DUMMYFUNCTION("IF(ISBLANK(B7),"""",IFERROR(IF(OR(AF7=""GPB"",AF7=""ZAR""),IF(AF7=Dashboard!$L$1,AJ7,(AJ7*GOOGLEFINANCE(""CURRENCY:""&amp;AF7&amp;""""&amp;Dashboard!$L$1&amp;""""))/100),IF(AF7=Dashboard!$L$1,AJ7,AJ7*GOOGLEFINANCE(""CURRENCY:""&amp;AF7&amp;""""&amp;Dashboard!$L$1&amp;""""))),AJ7))"),80.0)</f>
        <v>80</v>
      </c>
      <c r="E7" s="177">
        <f>IFERROR(__xludf.DUMMYFUNCTION("IFERROR(IF(OR(AF7=""GBP"",AF7=""ZAR""),IF(B7="""","""",IF(AF7=Dashboard!$L$1,AK7,AK7*GOOGLEFINANCE(""CURRENCY:""&amp;AF7&amp;""""&amp;Dashboard!$L$1&amp;"""")))/100,If(B7="""","""",IF(AF7=Dashboard!$L$1,AK7,AK7*GOOGLEFINANCE(""CURRENCY:""&amp;AF7&amp;""""&amp;Dashboard!$L$1&amp;""""))))"&amp;",AK7)"),164.36)</f>
        <v>164.36</v>
      </c>
      <c r="F7" s="145">
        <f>IFERROR(__xludf.DUMMYFUNCTION(" E7 * GOOGLEFINANCE(""CURRENCY:USDEUR"") "),151.153674)</f>
        <v>151.153674</v>
      </c>
      <c r="G7" s="96" t="str">
        <f>IFERROR(__xludf.DUMMYFUNCTION("IF(ISBLANK(B7),"""",IFERROR(SPARKLINE(INDEX(GOOGLEFINANCE(B7,""price"",TODAY()-$G$2,TODAY()),,2),{""charttype"",""column"";""color"",""17a7e0""}),""""))"),"")</f>
        <v/>
      </c>
      <c r="H7" s="50">
        <f t="shared" si="3"/>
        <v>-0.0077</v>
      </c>
      <c r="I7" s="96">
        <f>IFERROR(__xludf.DUMMYFUNCTION("IF(ISBLANK(B7),"""",IFERROR(IF(OR(AF7=""GPB"",AF7=""ZAR""),IF(AF7=Dashboard!$L$1,AN7,(AN7*GOOGLEFINANCE(""CURRENCY:""&amp;AF7&amp;""""&amp;Dashboard!$L$1&amp;""""))/100),IF(AF7=Dashboard!$L$1,AN7,AN7*GOOGLEFINANCE(""CURRENCY:""&amp;AF7&amp;""""&amp;Dashboard!$L$1&amp;""""))),AN7))"),-635.0)</f>
        <v>-635</v>
      </c>
      <c r="J7" s="178">
        <f>IF(ISBLANK(B7),"",IFERROR(((C7-SUMIFS(Transactions!I:I,Transactions!H:H,"Crypto Interest",Transactions!D:D,B7))*D7),""))</f>
        <v>40000</v>
      </c>
      <c r="K7" s="178">
        <f t="shared" si="4"/>
        <v>82180</v>
      </c>
      <c r="L7" s="145">
        <f>-SUMIFS(Transactions!$M$3:$M149,Transactions!$H$3:$H149,"Buy",Transactions!$D$3:$D149,B7)</f>
        <v>-40000</v>
      </c>
      <c r="M7" s="145">
        <f>IF(ISBLANK(AG7),"",SUMIFS(Transactions!$M$3:$M149,Transactions!$H$3:$H149,"Dividend",Transactions!$D$3:$D149,B7))</f>
        <v>0</v>
      </c>
      <c r="N7" s="145">
        <f>IF(ISBLANK(AH7),"",SUMIFS(Transactions!$M$3:$M149,Transactions!$H$3:$H149,"Sell",Transactions!$D$3:$D149,B7))</f>
        <v>0</v>
      </c>
      <c r="O7" s="50">
        <f t="shared" si="5"/>
        <v>1.0545</v>
      </c>
      <c r="P7" s="178">
        <f t="shared" si="6"/>
        <v>42180</v>
      </c>
      <c r="Q7" s="178">
        <f>IFERROR(__xludf.DUMMYFUNCTION("IF(ISBLANK(B7),"""",IFERROR(IF(OR(AF7=""GPB"",AF7=""ZAR""),IF(AF7=Dashboard!$L$1,AS7,(AS7*GOOGLEFINANCE(""CURRENCY:""&amp;AF7&amp;""""&amp;Dashboard!$L$1&amp;""""))/100),IF(AF7=Dashboard!$L$1,AS7,AS7*GOOGLEFINANCE(""CURRENCY:""&amp;AF7&amp;""""&amp;Dashboard!$L$1&amp;""""))),AS7))"),0.0)</f>
        <v>0</v>
      </c>
      <c r="R7" s="178">
        <f t="shared" si="7"/>
        <v>42180</v>
      </c>
      <c r="S7" s="50">
        <f>IFERROR(__xludf.DUMMYFUNCTION("IF(ISBLANK(B7),"""",IFERROR((GOOGLEFINANCE(B7,""price"")/INDEX(GOOGLEFINANCE(B7,""price"",DATEVALUE(TODAY()-$S$2) ),2,2)-1),""""))"),0.24120223531188656)</f>
        <v>0.2412022353</v>
      </c>
      <c r="U7" s="50">
        <f>IFERROR(__xludf.DUMMYFUNCTION("IF(ISBLANK(B7),"""",IFERROR((GOOGLEFINANCE($U$2,""price"")/INDEX(GOOGLEFINANCE($U$2,""price"",DATEVALUE(TODAY()-$S$2) ),2,2)-1),""""))"),0.21881341406744403)</f>
        <v>0.2188134141</v>
      </c>
      <c r="W7" s="50">
        <f t="shared" si="8"/>
        <v>0.02238882124</v>
      </c>
      <c r="X7" s="50">
        <f t="shared" si="9"/>
        <v>0.07478218923</v>
      </c>
      <c r="Y7" s="179">
        <v>0.005</v>
      </c>
      <c r="Z7" s="50">
        <f t="shared" si="10"/>
        <v>0.06978218923</v>
      </c>
      <c r="AA7" s="14" t="str">
        <f t="shared" si="11"/>
        <v>Stock</v>
      </c>
      <c r="AB7" s="50">
        <f t="shared" si="12"/>
        <v>0.7731305401</v>
      </c>
      <c r="AC7" s="179">
        <f t="shared" si="13"/>
        <v>0.0175</v>
      </c>
      <c r="AD7" s="50">
        <f t="shared" si="14"/>
        <v>0.7556305401</v>
      </c>
      <c r="AE7" s="180" t="str">
        <f t="shared" si="15"/>
        <v>Information Technology</v>
      </c>
      <c r="AF7" s="14" t="str">
        <f t="array" ref="AF7">IFERROR(IF(ISBLANK(AH7),"",IF(VLOOKUP(AH7,Transactions!D:F,3,0)="Stablecoin",AH7,INDEX(Transactions!$B$3:$B149,MATCH(AH7,Transactions!$D$3:$D149,0),0))))</f>
        <v>EUR</v>
      </c>
      <c r="AG7" s="14" t="str">
        <f>IF(ISBLANK(AH7),"",VLOOKUP(AH7,Transactions!D:E,2,0))</f>
        <v>IBM</v>
      </c>
      <c r="AH7" s="14" t="str">
        <f>IFERROR(__xludf.DUMMYFUNCTION("""COMPUTED_VALUE"""),"IBM")</f>
        <v>IBM</v>
      </c>
      <c r="AI7" s="146">
        <f>IF(ISBLANK(AH7),"",IF(
SUMIFS(Transactions!$I$3:$I149,Transactions!$H$3:$H149,"Buy",Transactions!$F$3:$F149,"Stock",Transactions!$D$3:$D149,AH7)
+SUMIFS(Transactions!$I$3:$I149,Transactions!$H$3:$H149,"DRIP",Transactions!$F$3:$F149,"Stock",Transactions!$D$3:$D149,AH7)
+SUMIFS(Transactions!$I$3:$I149,Transactions!$H$3:$H149,"Transfer Deposit",Transactions!$F$3:$F149,"Stock",Transactions!$D$3:$D149,AH7)
+SUMIFS(Transactions!$I$3:$I149,Transactions!$H$3:$H149,"Buy",Transactions!$F$3:$F149,"ETF",Transactions!$D$3:$D149,AH7)
+SUMIFS(Transactions!$I$3:$I149,Transactions!$H$3:$H149,"DRIP",Transactions!$F$3:$F149,"ETF",Transactions!$D$3:$D149,AH7)
+SUMIFS(Transactions!$I$3:$I149,Transactions!$H$3:$H149,"Transfer Deposit",Transactions!$F$3:$F149,"ETF",Transactions!$D$3:$D149,AH7)
+SUMIFS(Transactions!$I$3:$I149,Transactions!$H$3:$H149,"Buy",Transactions!$F$3:$F149,"Commodity",Transactions!$D$3:$D149,AH7)
+SUMIFS(Transactions!$I$3:$I149,Transactions!$H$3:$H149,"DRIP",Transactions!$F$3:$F149,"Commodity",Transactions!$D$3:$D149,AH7)
+SUMIFS(Transactions!$I$3:$I149,Transactions!$H$3:$H149,"Transfer Deposit",Transactions!$F$3:$F149,"Commodity",Transactions!$D$3:$D149,AH7)
+SUMIFS(Transactions!$I$3:$I149,Transactions!$H$3:$H149,"Buy",Transactions!$F$3:$F149,"Managed Fund",Transactions!$D$3:$D149,AH7)
+SUMIFS(Transactions!$I$3:$I149,Transactions!$H$3:$H149,"DRIP",Transactions!$F$3:$F149,"Managed Fund",Transactions!$D$3:$D149,AH7)
+SUMIFS(Transactions!$I$3:$I149,Transactions!$H$3:$H149,"Transfer Deposit",Transactions!$F$3:$F149,"Managed Fund",Transactions!$D$3:$D149,AH7)
+SUMIFS(Transactions!$I$3:$I149,Transactions!$H$3:$H149,"Buy",Transactions!$F$3:$F149,"REIT",Transactions!$D$3:$D149,AH7)
+SUMIFS(Transactions!$I$3:$I149,Transactions!$H$3:$H149,"DRIP",Transactions!$F$3:$F149,"REIT",Transactions!$D$3:$D149,AH7)
+SUMIFS(Transactions!$I$3:$I149,Transactions!$H$3:$H149,"Transfer Deposit",Transactions!$F$3:$F149,"REIT",Transactions!$D$3:$D149,AH7)
-SUMIFS(Transactions!$I$3:$I149,Transactions!$H$3:$H149,"Sell",Transactions!$F$3:$F149,"Stock",Transactions!$D$3:$D149,AH7)
-SUMIFS(Transactions!$I$3:$I149,Transactions!$H$3:$H149,"Transfer Send",Transactions!$F$3:$F149,"Stock",Transactions!$D$3:$D149,AH7)
-SUMIFS(Transactions!$I$3:$I149,Transactions!$H$3:$H149,"Sell",Transactions!$F$3:$F149,"ETF",Transactions!$D$3:$D149,AH7)
-SUMIFS(Transactions!$I$3:$I149,Transactions!$H$3:$H149,"Transfer Send",Transactions!$F$3:$F149,"ETF",Transactions!$D$3:$D149,AH7)
-SUMIFS(Transactions!$I$3:$I149,Transactions!$H$3:$H149,"Sell",Transactions!$F$3:$F149,"Commodity",Transactions!$D$3:$D149,AH7)
-SUMIFS(Transactions!$I$3:$I149,Transactions!$H$3:$H149,"Transfer Send",Transactions!$F$3:$F149,"Commodity",Transactions!$D$3:$D149,AH7)
-SUMIFS(Transactions!$I$3:$I149,Transactions!$H$3:$H149,"Sell",Transactions!$F$3:$F149,"Managed Fund",Transactions!$D$3:$D149,AH7)
-SUMIFS(Transactions!$I$3:$I149,Transactions!$H$3:$H149,"Transfer Send",Transactions!$F$3:$F149,"Managed Fund",Transactions!$D$3:$D149,AH7)
-SUMIFS(Transactions!$I$3:$I149,Transactions!$H$3:$H149,"Sell",Transactions!$F$3:$F149,"REIT",Transactions!$D$3:$D149,AH7)
-SUMIFS(Transactions!$I$3:$I149,Transactions!$H$3:$H149,"Transfer Send",Transactions!$F$3:$F149,"REIT",Transactions!$D$3:$D149,AH7)
+SUMIFS(Transactions!$I$3:$I149,Transactions!$H$3:$H149,"Buy",Transactions!$F$3:$F149,"Crypto",Transactions!$D$3:$D149,AH7)
+SUMIFS(Transactions!$I$3:$I149,Transactions!$H$3:$H149,"Crypto Interest",Transactions!$F$3:$F149,"Crypto",Transactions!$D$3:$D149,AH7)
+SUMIFS(Transactions!$I$3:$I149,Transactions!$H$3:$H149,"Transfer Deposit",Transactions!$F$3:$F149,"Crypto",Transactions!$D$3:$D149,AH7)
-SUMIFS(Transactions!$I$3:$I149,Transactions!$H$3:$H149,"Transfer Send",Transactions!$F$3:$F149,"Crypto",Transactions!$D$3:$D149,AH7)
-SUMIFS(Transactions!$I$3:$I149,Transactions!$H$3:$H149,"Sell",Transactions!$F$3:$F149,"Crypto",Transactions!$D$3:$D149,AH7)
+SUMIFS(Transactions!$I$3:$I149,Transactions!$H$3:$H149,"Buy",Transactions!$F$3:$F149,"Stablecoin",Transactions!$D$3:$D149,AH7)
+SUMIFS(Transactions!$I$3:$I149,Transactions!$H$3:$H149,"Crypto Interest",Transactions!$F$3:$F149,"Stablecoin",Transactions!$D$3:$D149,AH7)
+SUMIFS(Transactions!$I$3:$I149,Transactions!$H$3:$H149,"Transfer Deposit",Transactions!$F$3:$F149,"Stablecoin",Transactions!$D$3:$D149,AH7)
-SUMIFS(Transactions!$I$3:$I149,Transactions!$H$3:$H149,"Transfer Send",Transactions!$F$3:$F149,"Stablecoin",Transactions!$D$3:$D149,AH7)
-SUMIFS(Transactions!$I$3:$I149,Transactions!$H$3:$H149,"Sell",Transactions!$F$3:$F149,"Stablecoin",Transactions!$D$3:$D149,AH7)
-SUMIFS(Transactions!$M$3:$M149,Transactions!$H$3:$H149,"Buy",Transactions!$B$3:$B149,AH7)=0,"Sold All",
SUMIFS(Transactions!$I$3:$I149,Transactions!$H$3:$H149,"Buy",Transactions!$F$3:$F149,"Stock",Transactions!$D$3:$D149,AH7)
+SUMIFS(Transactions!$I$3:$I149,Transactions!$H$3:$H149,"DRIP",Transactions!$F$3:$F149,"Stock",Transactions!$D$3:$D149,AH7)
+SUMIFS(Transactions!$I$3:$I149,Transactions!$H$3:$H149,"Transfer Deposit",Transactions!$F$3:$F149,"Stock",Transactions!$D$3:$D149,AH7)
+SUMIFS(Transactions!$I$3:$I149,Transactions!$H$3:$H149,"Buy",Transactions!$F$3:$F149,"ETF",Transactions!$D$3:$D149,AH7)
+SUMIFS(Transactions!$I$3:$I149,Transactions!$H$3:$H149,"DRIP",Transactions!$F$3:$F149,"ETF",Transactions!$D$3:$D149,AH7)
+SUMIFS(Transactions!$I$3:$I149,Transactions!$H$3:$H149,"Transfer Deposit",Transactions!$F$3:$F149,"ETF",Transactions!$D$3:$D149,AH7)
+SUMIFS(Transactions!$I$3:$I149,Transactions!$H$3:$H149,"Buy",Transactions!$F$3:$F149,"Commodity",Transactions!$D$3:$D149,AH7)
+SUMIFS(Transactions!$I$3:$I149,Transactions!$H$3:$H149,"DRIP",Transactions!$F$3:$F149,"Commodity",Transactions!$D$3:$D149,AH7)
+SUMIFS(Transactions!$I$3:$I149,Transactions!$H$3:$H149,"Transfer Deposit",Transactions!$F$3:$F149,"Commodity",Transactions!$D$3:$D149,AH7)
+SUMIFS(Transactions!$I$3:$I149,Transactions!$H$3:$H149,"Buy",Transactions!$F$3:$F149,"Managed Fund",Transactions!$D$3:$D149,AH7)
+SUMIFS(Transactions!$I$3:$I149,Transactions!$H$3:$H149,"DRIP",Transactions!$F$3:$F149,"Managed Fund",Transactions!$D$3:$D149,AH7)
+SUMIFS(Transactions!$I$3:$I149,Transactions!$H$3:$H149,"Transfer Deposit",Transactions!$F$3:$F149,"Managed Fund",Transactions!$D$3:$D149,AH7)
+SUMIFS(Transactions!$I$3:$I149,Transactions!$H$3:$H149,"Buy",Transactions!$F$3:$F149,"REIT",Transactions!$D$3:$D149,AH7)
+SUMIFS(Transactions!$I$3:$I149,Transactions!$H$3:$H149,"DRIP",Transactions!$F$3:$F149,"REIT",Transactions!$D$3:$D149,AH7)
+SUMIFS(Transactions!$I$3:$I149,Transactions!$H$3:$H149,"Transfer Deposit",Transactions!$F$3:$F149,"REIT",Transactions!$D$3:$D149,AH7)
-SUMIFS(Transactions!$I$3:$I149,Transactions!$H$3:$H149,"Sell",Transactions!$F$3:$F149,"Stock",Transactions!$D$3:$D149,AH7)
-SUMIFS(Transactions!$I$3:$I149,Transactions!$H$3:$H149,"Transfer Send",Transactions!$F$3:$F149,"Stock",Transactions!$D$3:$D149,AH7)
-SUMIFS(Transactions!$I$3:$I149,Transactions!$H$3:$H149,"Sell",Transactions!$F$3:$F149,"ETF",Transactions!$D$3:$D149,AH7)
-SUMIFS(Transactions!$I$3:$I149,Transactions!$H$3:$H149,"Transfer Send",Transactions!$F$3:$F149,"ETF",Transactions!$D$3:$D149,AH7)
-SUMIFS(Transactions!$I$3:$I149,Transactions!$H$3:$H149,"Sell",Transactions!$F$3:$F149,"Commodity",Transactions!$D$3:$D149,AH7)
-SUMIFS(Transactions!$I$3:$I149,Transactions!$H$3:$H149,"Transfer Send",Transactions!$F$3:$F149,"Commodity",Transactions!$D$3:$D149,AH7)
-SUMIFS(Transactions!$I$3:$I149,Transactions!$H$3:$H149,"Sell",Transactions!$F$3:$F149,"Managed Fund",Transactions!$D$3:$D149,AH7)
-SUMIFS(Transactions!$I$3:$I149,Transactions!$H$3:$H149,"Transfer Send",Transactions!$F$3:$F149,"Managed Fund",Transactions!$D$3:$D149,AH7)
-SUMIFS(Transactions!$I$3:$I149,Transactions!$H$3:$H149,"Sell",Transactions!$F$3:$F149,"REIT",Transactions!$D$3:$D149,AH7)
-SUMIFS(Transactions!$I$3:$I149,Transactions!$H$3:$H149,"Transfer Send",Transactions!$F$3:$F149,"REIT",Transactions!$D$3:$D149,AH7)
+SUMIFS(Transactions!$I$3:$I149,Transactions!$H$3:$H149,"Buy",Transactions!$F$3:$F149,"Crypto",Transactions!$D$3:$D149,AH7)
+SUMIFS(Transactions!$I$3:$I149,Transactions!$H$3:$H149,"Crypto Interest",Transactions!$F$3:$F149,"Crypto",Transactions!$D$3:$D149,AH7)
+SUMIFS(Transactions!$I$3:$I149,Transactions!$H$3:$H149,"Transfer Deposit",Transactions!$F$3:$F149,"Crypto",Transactions!$D$3:$D149,AH7)
-SUMIFS(Transactions!$I$3:$I149,Transactions!$H$3:$H149,"Transfer Send",Transactions!$F$3:$F149,"Crypto",Transactions!$D$3:$D149,AH7)
-SUMIFS(Transactions!$I$3:$I149,Transactions!$H$3:$H149,"Sell",Transactions!$F$3:$F149,"Crypto",Transactions!$D$3:$D149,AH7)
+SUMIFS(Transactions!$I$3:$I149,Transactions!$H$3:$H149,"Buy",Transactions!$F$3:$F149,"Stablecoin",Transactions!$D$3:$D149,AH7)
+SUMIFS(Transactions!$I$3:$I149,Transactions!$H$3:$H149,"Crypto Interest",Transactions!$F$3:$F149,"Stablecoin",Transactions!$D$3:$D149,AH7)
+SUMIFS(Transactions!$I$3:$I149,Transactions!$H$3:$H149,"Transfer Deposit",Transactions!$F$3:$F149,"Stablecoin",Transactions!$D$3:$D149,AH7)
-SUMIFS(Transactions!$I$3:$I149,Transactions!$H$3:$H149,"Transfer Send",Transactions!$F$3:$F149,"Stablecoin",Transactions!$D$3:$D149,AH7)
-SUMIFS(Transactions!$I$3:$I149,Transactions!$H$3:$H149,"Sell",Transactions!$F$3:$F149,"Stablecoin",Transactions!$D$3:$D149,AH7)
-SUMIFS(Transactions!$M$3:$M149,Transactions!$H$3:$H149,"Buy",Transactions!$B$3:$B149,AH7)))</f>
        <v>500</v>
      </c>
      <c r="AJ7" s="181">
        <f>IFERROR(__xludf.DUMMYFUNCTION("IF(ISBLANK(AH7),"""",VLOOKUP(9^99,FILTER({ROW(Transactions!P:P),Transactions!P:P},Transactions!D:D=AH7),2))"),80.0)</f>
        <v>80</v>
      </c>
      <c r="AK7" s="181">
        <f>IFERROR(__xludf.DUMMYFUNCTION("IF(ISBLANK(AH7), """", 
   IFERROR(
      GOOGLEFINANCE(AH7, ""price""),
      IFERROR(
         GOOGLEFINANCE(""CURRENCY:"" &amp; AH7),
         IFERROR(
            INDEX(YAHOO_STOCK(TRIM(AH7), $G$2), 0, 1),
            INDEX(IMPORTHTML(""https://coinmarket"&amp;"cap.com/currencies/"" &amp; LOWER(TRIM(AG7)), ""table"", 1), 1, 2)
         )
      )
   )
)
"),164.36)</f>
        <v>164.36</v>
      </c>
      <c r="AL7" s="14" t="str">
        <f>IFERROR(__xludf.DUMMYFUNCTION("IF(ISBLANK(AH7),"""",IFERROR(SPARKLINE(INDEX(GOOGLEFINANCE(AH7,""price"",TODAY()-$AL$2,TODAY()),,2),{""charttype"",""column"";""color"",""17a7e0""}),""""))"),"")</f>
        <v/>
      </c>
      <c r="AM7" s="50">
        <f>IFERROR(__xludf.DUMMYFUNCTION("IFNA(IFERROR(IF(AH7="""","""",GOOGLEFINANCE(AH7,""changepct"")/100),(GOOGLEFINANCE(AH7)-(INDEX(GOOGLEFINANCE(""CURRENCY:""&amp;AH7&amp;"""",""price"",TODAY()-1),2,2)))/(INDEX(GOOGLEFINANCE(""CURRENCY:""&amp;AH7&amp;"""",""price"",TODAY()-1),2,2))),)"),-0.0077)</f>
        <v>-0.0077</v>
      </c>
      <c r="AN7" s="96">
        <f>IFERROR(__xludf.DUMMYFUNCTION("IFNA(IFERROR(IF(AH7="""","""",GOOGLEFINANCE(AH7,""change"")*AI7),(GOOGLEFINANCE(AH7)-(INDEX(GOOGLEFINANCE(""CURRENCY:""&amp;AH7&amp;"""",""price"",TODAY()-1),2,2)))*AI7),"""")"),-635.0)</f>
        <v>-635</v>
      </c>
      <c r="AO7" s="96">
        <f>IF(ISBLANK(AH7),"",IFERROR(((AI7-SUMIFS(Transactions!I:I,Transactions!H:H,"Crypto Interest",Transactions!D:D,AH7))*AJ7),""))</f>
        <v>40000</v>
      </c>
      <c r="AP7" s="96">
        <f t="shared" si="16"/>
        <v>82180</v>
      </c>
      <c r="AQ7" s="50">
        <f t="shared" si="17"/>
        <v>1.0545</v>
      </c>
      <c r="AR7" s="96">
        <f t="shared" si="18"/>
        <v>42180</v>
      </c>
      <c r="AS7" s="96">
        <f>IF(ISBLANK(AH7),"",SUMIFS(Transactions!$X$3:$X149,Transactions!$H$3:$H149,"Sell",Transactions!$D$3:$D149,AH7))</f>
        <v>0</v>
      </c>
      <c r="AT7" s="96">
        <f t="shared" si="19"/>
        <v>42180</v>
      </c>
      <c r="AU7" s="50">
        <f>IFERROR(__xludf.DUMMYFUNCTION("IF(ISBLANK(AH7),"""",IFERROR((GOOGLEFINANCE(AH7,""price"")/INDEX(GOOGLEFINANCE(AH7,""price"",DATEVALUE(TODAY()-$AU$2) ),2,2)-1),""""))"),0.24120223531188656)</f>
        <v>0.2412022353</v>
      </c>
      <c r="AW7" s="50">
        <f>IFERROR(__xludf.DUMMYFUNCTION("IF(ISBLANK(AH7),"""",IFERROR((GOOGLEFINANCE($AW$2,""price"")/INDEX(GOOGLEFINANCE($AW$2,""price"",DATEVALUE(TODAY()-$AU$2) ),2,2)-1),""""))"),0.21881341406744403)</f>
        <v>0.2188134141</v>
      </c>
      <c r="AY7" s="50">
        <f t="shared" si="20"/>
        <v>0.02238882124</v>
      </c>
      <c r="AZ7" s="50">
        <f t="shared" si="21"/>
        <v>0.07478218923</v>
      </c>
      <c r="BA7" s="50">
        <f t="shared" si="22"/>
        <v>0.005</v>
      </c>
      <c r="BB7" s="50">
        <f t="shared" si="23"/>
        <v>0.06978218923</v>
      </c>
      <c r="BC7" s="14" t="str">
        <f>IF(ISBLANK(AH7),"",IFERROR(VLOOKUP(AH7,Transactions!D:F,3,0)))</f>
        <v>Stock</v>
      </c>
      <c r="BD7" s="50">
        <f t="shared" si="24"/>
        <v>0.7731305401</v>
      </c>
      <c r="BE7" s="50">
        <f t="shared" si="25"/>
        <v>0.0175</v>
      </c>
      <c r="BF7" s="50">
        <f t="shared" si="26"/>
        <v>0.7556305401</v>
      </c>
      <c r="BG7" s="180" t="str">
        <f>IF(ISBLANK(AH7),"",IFERROR(VLOOKUP(AH7,Transactions!D:G,4,0)))</f>
        <v>Information Technology</v>
      </c>
    </row>
    <row r="8">
      <c r="A8" s="14" t="str">
        <f t="shared" ref="A8:C8" si="30">AG8</f>
        <v>Netflix</v>
      </c>
      <c r="B8" s="14" t="str">
        <f t="shared" si="30"/>
        <v>NFLX</v>
      </c>
      <c r="C8" s="175">
        <f t="shared" si="30"/>
        <v>120</v>
      </c>
      <c r="D8" s="176">
        <f>IFERROR(__xludf.DUMMYFUNCTION("IF(ISBLANK(B8),"""",IFERROR(IF(OR(AF8=""GPB"",AF8=""ZAR""),IF(AF8=Dashboard!$L$1,AJ8,(AJ8*GOOGLEFINANCE(""CURRENCY:""&amp;AF8&amp;""""&amp;Dashboard!$L$1&amp;""""))/100),IF(AF8=Dashboard!$L$1,AJ8,AJ8*GOOGLEFINANCE(""CURRENCY:""&amp;AF8&amp;""""&amp;Dashboard!$L$1&amp;""""))),AJ8))"),150.0)</f>
        <v>150</v>
      </c>
      <c r="E8" s="177">
        <f>IFERROR(__xludf.DUMMYFUNCTION("IFERROR(IF(OR(AF8=""GBP"",AF8=""ZAR""),IF(B8="""","""",IF(AF8=Dashboard!$L$1,AK8,AK8*GOOGLEFINANCE(""CURRENCY:""&amp;AF8&amp;""""&amp;Dashboard!$L$1&amp;"""")))/100,If(B8="""","""",IF(AF8=Dashboard!$L$1,AK8,AK8*GOOGLEFINANCE(""CURRENCY:""&amp;AF8&amp;""""&amp;Dashboard!$L$1&amp;""""))))"&amp;",AK8)"),635.49)</f>
        <v>635.49</v>
      </c>
      <c r="F8" s="145">
        <f>IFERROR(__xludf.DUMMYFUNCTION(" E8 * GOOGLEFINANCE(""CURRENCY:USDEUR"") "),584.4283785)</f>
        <v>584.4283785</v>
      </c>
      <c r="G8" s="96" t="str">
        <f>IFERROR(__xludf.DUMMYFUNCTION("IF(ISBLANK(B8),"""",IFERROR(SPARKLINE(INDEX(GOOGLEFINANCE(B8,""price"",TODAY()-$G$2,TODAY()),,2),{""charttype"",""column"";""color"",""17a7e0""}),""""))"),"")</f>
        <v/>
      </c>
      <c r="H8" s="50">
        <f t="shared" si="3"/>
        <v>-0.0188</v>
      </c>
      <c r="I8" s="96">
        <f>IFERROR(__xludf.DUMMYFUNCTION("IF(ISBLANK(B8),"""",IFERROR(IF(OR(AF8=""GPB"",AF8=""ZAR""),IF(AF8=Dashboard!$L$1,AN8,(AN8*GOOGLEFINANCE(""CURRENCY:""&amp;AF8&amp;""""&amp;Dashboard!$L$1&amp;""""))/100),IF(AF8=Dashboard!$L$1,AN8,AN8*GOOGLEFINANCE(""CURRENCY:""&amp;AF8&amp;""""&amp;Dashboard!$L$1&amp;""""))),AN8))"),-1460.4)</f>
        <v>-1460.4</v>
      </c>
      <c r="J8" s="178">
        <f>IF(ISBLANK(B8),"",IFERROR(((C8-SUMIFS(Transactions!I:I,Transactions!H:H,"Crypto Interest",Transactions!D:D,B8))*D8),""))</f>
        <v>18000</v>
      </c>
      <c r="K8" s="178">
        <f t="shared" si="4"/>
        <v>76258.8</v>
      </c>
      <c r="L8" s="145">
        <f>-SUMIFS(Transactions!$M$3:$M149,Transactions!$H$3:$H149,"Buy",Transactions!$D$3:$D149,B8)</f>
        <v>-18000</v>
      </c>
      <c r="M8" s="145">
        <f>IF(ISBLANK(AG8),"",SUMIFS(Transactions!$M$3:$M149,Transactions!$H$3:$H149,"Dividend",Transactions!$D$3:$D149,B8))</f>
        <v>0</v>
      </c>
      <c r="N8" s="145">
        <f>IF(ISBLANK(AH8),"",SUMIFS(Transactions!$M$3:$M149,Transactions!$H$3:$H149,"Sell",Transactions!$D$3:$D149,B8))</f>
        <v>0</v>
      </c>
      <c r="O8" s="50">
        <f t="shared" si="5"/>
        <v>3.2366</v>
      </c>
      <c r="P8" s="178">
        <f t="shared" si="6"/>
        <v>58258.8</v>
      </c>
      <c r="Q8" s="178">
        <f>IFERROR(__xludf.DUMMYFUNCTION("IF(ISBLANK(B8),"""",IFERROR(IF(OR(AF8=""GPB"",AF8=""ZAR""),IF(AF8=Dashboard!$L$1,AS8,(AS8*GOOGLEFINANCE(""CURRENCY:""&amp;AF8&amp;""""&amp;Dashboard!$L$1&amp;""""))/100),IF(AF8=Dashboard!$L$1,AS8,AS8*GOOGLEFINANCE(""CURRENCY:""&amp;AF8&amp;""""&amp;Dashboard!$L$1&amp;""""))),AS8))"),0.0)</f>
        <v>0</v>
      </c>
      <c r="R8" s="178">
        <f t="shared" si="7"/>
        <v>58258.8</v>
      </c>
      <c r="S8" s="50">
        <f>IFERROR(__xludf.DUMMYFUNCTION("IF(ISBLANK(B8),"""",IFERROR((GOOGLEFINANCE(B8,""price"")/INDEX(GOOGLEFINANCE(B8,""price"",DATEVALUE(TODAY()-$S$2) ),2,2)-1),""""))"),0.5868604389841934)</f>
        <v>0.586860439</v>
      </c>
      <c r="U8" s="50">
        <f>IFERROR(__xludf.DUMMYFUNCTION("IF(ISBLANK(B8),"""",IFERROR((GOOGLEFINANCE($U$2,""price"")/INDEX(GOOGLEFINANCE($U$2,""price"",DATEVALUE(TODAY()-$S$2) ),2,2)-1),""""))"),0.21881341406744403)</f>
        <v>0.2188134141</v>
      </c>
      <c r="W8" s="50">
        <f t="shared" si="8"/>
        <v>0.3680470249</v>
      </c>
      <c r="X8" s="50">
        <f t="shared" si="9"/>
        <v>0.06939401329</v>
      </c>
      <c r="Y8" s="179">
        <v>0.005</v>
      </c>
      <c r="Z8" s="50">
        <f t="shared" si="10"/>
        <v>0.06439401329</v>
      </c>
      <c r="AA8" s="14" t="str">
        <f t="shared" si="11"/>
        <v>Stock</v>
      </c>
      <c r="AB8" s="50">
        <f t="shared" si="12"/>
        <v>0.7731305401</v>
      </c>
      <c r="AC8" s="179">
        <f t="shared" si="13"/>
        <v>0.0175</v>
      </c>
      <c r="AD8" s="50">
        <f t="shared" si="14"/>
        <v>0.7556305401</v>
      </c>
      <c r="AE8" s="180" t="str">
        <f t="shared" si="15"/>
        <v>Information Technology</v>
      </c>
      <c r="AF8" s="14" t="str">
        <f t="array" ref="AF8">IFERROR(IF(ISBLANK(AH8),"",IF(VLOOKUP(AH8,Transactions!D:F,3,0)="Stablecoin",AH8,INDEX(Transactions!$B$3:$B149,MATCH(AH8,Transactions!$D$3:$D149,0),0))))</f>
        <v>EUR</v>
      </c>
      <c r="AG8" s="14" t="str">
        <f>IF(ISBLANK(AH8),"",VLOOKUP(AH8,Transactions!D:E,2,0))</f>
        <v>Netflix</v>
      </c>
      <c r="AH8" s="14" t="str">
        <f>IFERROR(__xludf.DUMMYFUNCTION("""COMPUTED_VALUE"""),"NFLX")</f>
        <v>NFLX</v>
      </c>
      <c r="AI8" s="146">
        <f>IF(ISBLANK(AH8),"",IF(
SUMIFS(Transactions!$I$3:$I149,Transactions!$H$3:$H149,"Buy",Transactions!$F$3:$F149,"Stock",Transactions!$D$3:$D149,AH8)
+SUMIFS(Transactions!$I$3:$I149,Transactions!$H$3:$H149,"DRIP",Transactions!$F$3:$F149,"Stock",Transactions!$D$3:$D149,AH8)
+SUMIFS(Transactions!$I$3:$I149,Transactions!$H$3:$H149,"Transfer Deposit",Transactions!$F$3:$F149,"Stock",Transactions!$D$3:$D149,AH8)
+SUMIFS(Transactions!$I$3:$I149,Transactions!$H$3:$H149,"Buy",Transactions!$F$3:$F149,"ETF",Transactions!$D$3:$D149,AH8)
+SUMIFS(Transactions!$I$3:$I149,Transactions!$H$3:$H149,"DRIP",Transactions!$F$3:$F149,"ETF",Transactions!$D$3:$D149,AH8)
+SUMIFS(Transactions!$I$3:$I149,Transactions!$H$3:$H149,"Transfer Deposit",Transactions!$F$3:$F149,"ETF",Transactions!$D$3:$D149,AH8)
+SUMIFS(Transactions!$I$3:$I149,Transactions!$H$3:$H149,"Buy",Transactions!$F$3:$F149,"Commodity",Transactions!$D$3:$D149,AH8)
+SUMIFS(Transactions!$I$3:$I149,Transactions!$H$3:$H149,"DRIP",Transactions!$F$3:$F149,"Commodity",Transactions!$D$3:$D149,AH8)
+SUMIFS(Transactions!$I$3:$I149,Transactions!$H$3:$H149,"Transfer Deposit",Transactions!$F$3:$F149,"Commodity",Transactions!$D$3:$D149,AH8)
+SUMIFS(Transactions!$I$3:$I149,Transactions!$H$3:$H149,"Buy",Transactions!$F$3:$F149,"Managed Fund",Transactions!$D$3:$D149,AH8)
+SUMIFS(Transactions!$I$3:$I149,Transactions!$H$3:$H149,"DRIP",Transactions!$F$3:$F149,"Managed Fund",Transactions!$D$3:$D149,AH8)
+SUMIFS(Transactions!$I$3:$I149,Transactions!$H$3:$H149,"Transfer Deposit",Transactions!$F$3:$F149,"Managed Fund",Transactions!$D$3:$D149,AH8)
+SUMIFS(Transactions!$I$3:$I149,Transactions!$H$3:$H149,"Buy",Transactions!$F$3:$F149,"REIT",Transactions!$D$3:$D149,AH8)
+SUMIFS(Transactions!$I$3:$I149,Transactions!$H$3:$H149,"DRIP",Transactions!$F$3:$F149,"REIT",Transactions!$D$3:$D149,AH8)
+SUMIFS(Transactions!$I$3:$I149,Transactions!$H$3:$H149,"Transfer Deposit",Transactions!$F$3:$F149,"REIT",Transactions!$D$3:$D149,AH8)
-SUMIFS(Transactions!$I$3:$I149,Transactions!$H$3:$H149,"Sell",Transactions!$F$3:$F149,"Stock",Transactions!$D$3:$D149,AH8)
-SUMIFS(Transactions!$I$3:$I149,Transactions!$H$3:$H149,"Transfer Send",Transactions!$F$3:$F149,"Stock",Transactions!$D$3:$D149,AH8)
-SUMIFS(Transactions!$I$3:$I149,Transactions!$H$3:$H149,"Sell",Transactions!$F$3:$F149,"ETF",Transactions!$D$3:$D149,AH8)
-SUMIFS(Transactions!$I$3:$I149,Transactions!$H$3:$H149,"Transfer Send",Transactions!$F$3:$F149,"ETF",Transactions!$D$3:$D149,AH8)
-SUMIFS(Transactions!$I$3:$I149,Transactions!$H$3:$H149,"Sell",Transactions!$F$3:$F149,"Commodity",Transactions!$D$3:$D149,AH8)
-SUMIFS(Transactions!$I$3:$I149,Transactions!$H$3:$H149,"Transfer Send",Transactions!$F$3:$F149,"Commodity",Transactions!$D$3:$D149,AH8)
-SUMIFS(Transactions!$I$3:$I149,Transactions!$H$3:$H149,"Sell",Transactions!$F$3:$F149,"Managed Fund",Transactions!$D$3:$D149,AH8)
-SUMIFS(Transactions!$I$3:$I149,Transactions!$H$3:$H149,"Transfer Send",Transactions!$F$3:$F149,"Managed Fund",Transactions!$D$3:$D149,AH8)
-SUMIFS(Transactions!$I$3:$I149,Transactions!$H$3:$H149,"Sell",Transactions!$F$3:$F149,"REIT",Transactions!$D$3:$D149,AH8)
-SUMIFS(Transactions!$I$3:$I149,Transactions!$H$3:$H149,"Transfer Send",Transactions!$F$3:$F149,"REIT",Transactions!$D$3:$D149,AH8)
+SUMIFS(Transactions!$I$3:$I149,Transactions!$H$3:$H149,"Buy",Transactions!$F$3:$F149,"Crypto",Transactions!$D$3:$D149,AH8)
+SUMIFS(Transactions!$I$3:$I149,Transactions!$H$3:$H149,"Crypto Interest",Transactions!$F$3:$F149,"Crypto",Transactions!$D$3:$D149,AH8)
+SUMIFS(Transactions!$I$3:$I149,Transactions!$H$3:$H149,"Transfer Deposit",Transactions!$F$3:$F149,"Crypto",Transactions!$D$3:$D149,AH8)
-SUMIFS(Transactions!$I$3:$I149,Transactions!$H$3:$H149,"Transfer Send",Transactions!$F$3:$F149,"Crypto",Transactions!$D$3:$D149,AH8)
-SUMIFS(Transactions!$I$3:$I149,Transactions!$H$3:$H149,"Sell",Transactions!$F$3:$F149,"Crypto",Transactions!$D$3:$D149,AH8)
+SUMIFS(Transactions!$I$3:$I149,Transactions!$H$3:$H149,"Buy",Transactions!$F$3:$F149,"Stablecoin",Transactions!$D$3:$D149,AH8)
+SUMIFS(Transactions!$I$3:$I149,Transactions!$H$3:$H149,"Crypto Interest",Transactions!$F$3:$F149,"Stablecoin",Transactions!$D$3:$D149,AH8)
+SUMIFS(Transactions!$I$3:$I149,Transactions!$H$3:$H149,"Transfer Deposit",Transactions!$F$3:$F149,"Stablecoin",Transactions!$D$3:$D149,AH8)
-SUMIFS(Transactions!$I$3:$I149,Transactions!$H$3:$H149,"Transfer Send",Transactions!$F$3:$F149,"Stablecoin",Transactions!$D$3:$D149,AH8)
-SUMIFS(Transactions!$I$3:$I149,Transactions!$H$3:$H149,"Sell",Transactions!$F$3:$F149,"Stablecoin",Transactions!$D$3:$D149,AH8)
-SUMIFS(Transactions!$M$3:$M149,Transactions!$H$3:$H149,"Buy",Transactions!$B$3:$B149,AH8)=0,"Sold All",
SUMIFS(Transactions!$I$3:$I149,Transactions!$H$3:$H149,"Buy",Transactions!$F$3:$F149,"Stock",Transactions!$D$3:$D149,AH8)
+SUMIFS(Transactions!$I$3:$I149,Transactions!$H$3:$H149,"DRIP",Transactions!$F$3:$F149,"Stock",Transactions!$D$3:$D149,AH8)
+SUMIFS(Transactions!$I$3:$I149,Transactions!$H$3:$H149,"Transfer Deposit",Transactions!$F$3:$F149,"Stock",Transactions!$D$3:$D149,AH8)
+SUMIFS(Transactions!$I$3:$I149,Transactions!$H$3:$H149,"Buy",Transactions!$F$3:$F149,"ETF",Transactions!$D$3:$D149,AH8)
+SUMIFS(Transactions!$I$3:$I149,Transactions!$H$3:$H149,"DRIP",Transactions!$F$3:$F149,"ETF",Transactions!$D$3:$D149,AH8)
+SUMIFS(Transactions!$I$3:$I149,Transactions!$H$3:$H149,"Transfer Deposit",Transactions!$F$3:$F149,"ETF",Transactions!$D$3:$D149,AH8)
+SUMIFS(Transactions!$I$3:$I149,Transactions!$H$3:$H149,"Buy",Transactions!$F$3:$F149,"Commodity",Transactions!$D$3:$D149,AH8)
+SUMIFS(Transactions!$I$3:$I149,Transactions!$H$3:$H149,"DRIP",Transactions!$F$3:$F149,"Commodity",Transactions!$D$3:$D149,AH8)
+SUMIFS(Transactions!$I$3:$I149,Transactions!$H$3:$H149,"Transfer Deposit",Transactions!$F$3:$F149,"Commodity",Transactions!$D$3:$D149,AH8)
+SUMIFS(Transactions!$I$3:$I149,Transactions!$H$3:$H149,"Buy",Transactions!$F$3:$F149,"Managed Fund",Transactions!$D$3:$D149,AH8)
+SUMIFS(Transactions!$I$3:$I149,Transactions!$H$3:$H149,"DRIP",Transactions!$F$3:$F149,"Managed Fund",Transactions!$D$3:$D149,AH8)
+SUMIFS(Transactions!$I$3:$I149,Transactions!$H$3:$H149,"Transfer Deposit",Transactions!$F$3:$F149,"Managed Fund",Transactions!$D$3:$D149,AH8)
+SUMIFS(Transactions!$I$3:$I149,Transactions!$H$3:$H149,"Buy",Transactions!$F$3:$F149,"REIT",Transactions!$D$3:$D149,AH8)
+SUMIFS(Transactions!$I$3:$I149,Transactions!$H$3:$H149,"DRIP",Transactions!$F$3:$F149,"REIT",Transactions!$D$3:$D149,AH8)
+SUMIFS(Transactions!$I$3:$I149,Transactions!$H$3:$H149,"Transfer Deposit",Transactions!$F$3:$F149,"REIT",Transactions!$D$3:$D149,AH8)
-SUMIFS(Transactions!$I$3:$I149,Transactions!$H$3:$H149,"Sell",Transactions!$F$3:$F149,"Stock",Transactions!$D$3:$D149,AH8)
-SUMIFS(Transactions!$I$3:$I149,Transactions!$H$3:$H149,"Transfer Send",Transactions!$F$3:$F149,"Stock",Transactions!$D$3:$D149,AH8)
-SUMIFS(Transactions!$I$3:$I149,Transactions!$H$3:$H149,"Sell",Transactions!$F$3:$F149,"ETF",Transactions!$D$3:$D149,AH8)
-SUMIFS(Transactions!$I$3:$I149,Transactions!$H$3:$H149,"Transfer Send",Transactions!$F$3:$F149,"ETF",Transactions!$D$3:$D149,AH8)
-SUMIFS(Transactions!$I$3:$I149,Transactions!$H$3:$H149,"Sell",Transactions!$F$3:$F149,"Commodity",Transactions!$D$3:$D149,AH8)
-SUMIFS(Transactions!$I$3:$I149,Transactions!$H$3:$H149,"Transfer Send",Transactions!$F$3:$F149,"Commodity",Transactions!$D$3:$D149,AH8)
-SUMIFS(Transactions!$I$3:$I149,Transactions!$H$3:$H149,"Sell",Transactions!$F$3:$F149,"Managed Fund",Transactions!$D$3:$D149,AH8)
-SUMIFS(Transactions!$I$3:$I149,Transactions!$H$3:$H149,"Transfer Send",Transactions!$F$3:$F149,"Managed Fund",Transactions!$D$3:$D149,AH8)
-SUMIFS(Transactions!$I$3:$I149,Transactions!$H$3:$H149,"Sell",Transactions!$F$3:$F149,"REIT",Transactions!$D$3:$D149,AH8)
-SUMIFS(Transactions!$I$3:$I149,Transactions!$H$3:$H149,"Transfer Send",Transactions!$F$3:$F149,"REIT",Transactions!$D$3:$D149,AH8)
+SUMIFS(Transactions!$I$3:$I149,Transactions!$H$3:$H149,"Buy",Transactions!$F$3:$F149,"Crypto",Transactions!$D$3:$D149,AH8)
+SUMIFS(Transactions!$I$3:$I149,Transactions!$H$3:$H149,"Crypto Interest",Transactions!$F$3:$F149,"Crypto",Transactions!$D$3:$D149,AH8)
+SUMIFS(Transactions!$I$3:$I149,Transactions!$H$3:$H149,"Transfer Deposit",Transactions!$F$3:$F149,"Crypto",Transactions!$D$3:$D149,AH8)
-SUMIFS(Transactions!$I$3:$I149,Transactions!$H$3:$H149,"Transfer Send",Transactions!$F$3:$F149,"Crypto",Transactions!$D$3:$D149,AH8)
-SUMIFS(Transactions!$I$3:$I149,Transactions!$H$3:$H149,"Sell",Transactions!$F$3:$F149,"Crypto",Transactions!$D$3:$D149,AH8)
+SUMIFS(Transactions!$I$3:$I149,Transactions!$H$3:$H149,"Buy",Transactions!$F$3:$F149,"Stablecoin",Transactions!$D$3:$D149,AH8)
+SUMIFS(Transactions!$I$3:$I149,Transactions!$H$3:$H149,"Crypto Interest",Transactions!$F$3:$F149,"Stablecoin",Transactions!$D$3:$D149,AH8)
+SUMIFS(Transactions!$I$3:$I149,Transactions!$H$3:$H149,"Transfer Deposit",Transactions!$F$3:$F149,"Stablecoin",Transactions!$D$3:$D149,AH8)
-SUMIFS(Transactions!$I$3:$I149,Transactions!$H$3:$H149,"Transfer Send",Transactions!$F$3:$F149,"Stablecoin",Transactions!$D$3:$D149,AH8)
-SUMIFS(Transactions!$I$3:$I149,Transactions!$H$3:$H149,"Sell",Transactions!$F$3:$F149,"Stablecoin",Transactions!$D$3:$D149,AH8)
-SUMIFS(Transactions!$M$3:$M149,Transactions!$H$3:$H149,"Buy",Transactions!$B$3:$B149,AH8)))</f>
        <v>120</v>
      </c>
      <c r="AJ8" s="181">
        <f>IFERROR(__xludf.DUMMYFUNCTION("IF(ISBLANK(AH8),"""",VLOOKUP(9^99,FILTER({ROW(Transactions!P:P),Transactions!P:P},Transactions!D:D=AH8),2))"),150.0)</f>
        <v>150</v>
      </c>
      <c r="AK8" s="181">
        <f>IFERROR(__xludf.DUMMYFUNCTION("IF(ISBLANK(AH8), """", 
   IFERROR(
      GOOGLEFINANCE(AH8, ""price""),
      IFERROR(
         GOOGLEFINANCE(""CURRENCY:"" &amp; AH8),
         IFERROR(
            INDEX(YAHOO_STOCK(TRIM(AH8), $G$2), 0, 1),
            INDEX(IMPORTHTML(""https://coinmarket"&amp;"cap.com/currencies/"" &amp; LOWER(TRIM(AG8)), ""table"", 1), 1, 2)
         )
      )
   )
)
"),635.49)</f>
        <v>635.49</v>
      </c>
      <c r="AL8" s="14" t="str">
        <f>IFERROR(__xludf.DUMMYFUNCTION("IF(ISBLANK(AH8),"""",IFERROR(SPARKLINE(INDEX(GOOGLEFINANCE(AH8,""price"",TODAY()-$AL$2,TODAY()),,2),{""charttype"",""column"";""color"",""17a7e0""}),""""))"),"")</f>
        <v/>
      </c>
      <c r="AM8" s="50">
        <f>IFERROR(__xludf.DUMMYFUNCTION("IFNA(IFERROR(IF(AH8="""","""",GOOGLEFINANCE(AH8,""changepct"")/100),(GOOGLEFINANCE(AH8)-(INDEX(GOOGLEFINANCE(""CURRENCY:""&amp;AH8&amp;"""",""price"",TODAY()-1),2,2)))/(INDEX(GOOGLEFINANCE(""CURRENCY:""&amp;AH8&amp;"""",""price"",TODAY()-1),2,2))),)"),-0.018799999999999997)</f>
        <v>-0.0188</v>
      </c>
      <c r="AN8" s="96">
        <f>IFERROR(__xludf.DUMMYFUNCTION("IFNA(IFERROR(IF(AH8="""","""",GOOGLEFINANCE(AH8,""change"")*AI8),(GOOGLEFINANCE(AH8)-(INDEX(GOOGLEFINANCE(""CURRENCY:""&amp;AH8&amp;"""",""price"",TODAY()-1),2,2)))*AI8),"""")"),-1460.4)</f>
        <v>-1460.4</v>
      </c>
      <c r="AO8" s="96">
        <f>IF(ISBLANK(AH8),"",IFERROR(((AI8-SUMIFS(Transactions!I:I,Transactions!H:H,"Crypto Interest",Transactions!D:D,AH8))*AJ8),""))</f>
        <v>18000</v>
      </c>
      <c r="AP8" s="96">
        <f t="shared" si="16"/>
        <v>76258.8</v>
      </c>
      <c r="AQ8" s="50">
        <f t="shared" si="17"/>
        <v>3.2366</v>
      </c>
      <c r="AR8" s="96">
        <f t="shared" si="18"/>
        <v>58258.8</v>
      </c>
      <c r="AS8" s="96">
        <f>IF(ISBLANK(AH8),"",SUMIFS(Transactions!$X$3:$X149,Transactions!$H$3:$H149,"Sell",Transactions!$D$3:$D149,AH8))</f>
        <v>0</v>
      </c>
      <c r="AT8" s="96">
        <f t="shared" si="19"/>
        <v>58258.8</v>
      </c>
      <c r="AU8" s="50">
        <f>IFERROR(__xludf.DUMMYFUNCTION("IF(ISBLANK(AH8),"""",IFERROR((GOOGLEFINANCE(AH8,""price"")/INDEX(GOOGLEFINANCE(AH8,""price"",DATEVALUE(TODAY()-$AU$2) ),2,2)-1),""""))"),0.5868604389841934)</f>
        <v>0.586860439</v>
      </c>
      <c r="AW8" s="50">
        <f>IFERROR(__xludf.DUMMYFUNCTION("IF(ISBLANK(AH8),"""",IFERROR((GOOGLEFINANCE($AW$2,""price"")/INDEX(GOOGLEFINANCE($AW$2,""price"",DATEVALUE(TODAY()-$AU$2) ),2,2)-1),""""))"),0.21881341406744403)</f>
        <v>0.2188134141</v>
      </c>
      <c r="AY8" s="50">
        <f t="shared" si="20"/>
        <v>0.3680470249</v>
      </c>
      <c r="AZ8" s="50">
        <f t="shared" si="21"/>
        <v>0.06939401329</v>
      </c>
      <c r="BA8" s="50">
        <f t="shared" si="22"/>
        <v>0.005</v>
      </c>
      <c r="BB8" s="50">
        <f t="shared" si="23"/>
        <v>0.06439401329</v>
      </c>
      <c r="BC8" s="14" t="str">
        <f>IF(ISBLANK(AH8),"",IFERROR(VLOOKUP(AH8,Transactions!D:F,3,0)))</f>
        <v>Stock</v>
      </c>
      <c r="BD8" s="50">
        <f t="shared" si="24"/>
        <v>0.7731305401</v>
      </c>
      <c r="BE8" s="50">
        <f t="shared" si="25"/>
        <v>0.0175</v>
      </c>
      <c r="BF8" s="50">
        <f t="shared" si="26"/>
        <v>0.7556305401</v>
      </c>
      <c r="BG8" s="180" t="str">
        <f>IF(ISBLANK(AH8),"",IFERROR(VLOOKUP(AH8,Transactions!D:G,4,0)))</f>
        <v>Information Technology</v>
      </c>
    </row>
    <row r="9">
      <c r="A9" s="14" t="str">
        <f t="shared" ref="A9:C9" si="31">AG9</f>
        <v>Microsoft</v>
      </c>
      <c r="B9" s="14" t="str">
        <f t="shared" si="31"/>
        <v>MSFT</v>
      </c>
      <c r="C9" s="175">
        <f t="shared" si="31"/>
        <v>200</v>
      </c>
      <c r="D9" s="176">
        <f>IFERROR(__xludf.DUMMYFUNCTION("IF(ISBLANK(B9),"""",IFERROR(IF(OR(AF9=""GPB"",AF9=""ZAR""),IF(AF9=Dashboard!$L$1,AJ9,(AJ9*GOOGLEFINANCE(""CURRENCY:""&amp;AF9&amp;""""&amp;Dashboard!$L$1&amp;""""))/100),IF(AF9=Dashboard!$L$1,AJ9,AJ9*GOOGLEFINANCE(""CURRENCY:""&amp;AF9&amp;""""&amp;Dashboard!$L$1&amp;""""))),AJ9))"),50.0)</f>
        <v>50</v>
      </c>
      <c r="E9" s="177">
        <f>IFERROR(__xludf.DUMMYFUNCTION("IFERROR(IF(OR(AF9=""GBP"",AF9=""ZAR""),IF(B9="""","""",IF(AF9=Dashboard!$L$1,AK9,AK9*GOOGLEFINANCE(""CURRENCY:""&amp;AF9&amp;""""&amp;Dashboard!$L$1&amp;"""")))/100,If(B9="""","""",IF(AF9=Dashboard!$L$1,AK9,AK9*GOOGLEFINANCE(""CURRENCY:""&amp;AF9&amp;""""&amp;Dashboard!$L$1&amp;""""))))"&amp;",AK9)"),410.3)</f>
        <v>410.3</v>
      </c>
      <c r="F9" s="145">
        <f>IFERROR(__xludf.DUMMYFUNCTION(" E9 * GOOGLEFINANCE(""CURRENCY:USDEUR"") "),377.332395)</f>
        <v>377.332395</v>
      </c>
      <c r="G9" s="96" t="str">
        <f>IFERROR(__xludf.DUMMYFUNCTION("IF(ISBLANK(B9),"""",IFERROR(SPARKLINE(INDEX(GOOGLEFINANCE(B9,""price"",TODAY()-$G$2,TODAY()),,2),{""charttype"",""column"";""color"",""17a7e0""}),""""))"),"")</f>
        <v/>
      </c>
      <c r="H9" s="50">
        <f t="shared" si="3"/>
        <v>-0.0105</v>
      </c>
      <c r="I9" s="96">
        <f>IFERROR(__xludf.DUMMYFUNCTION("IF(ISBLANK(B9),"""",IFERROR(IF(OR(AF9=""GPB"",AF9=""ZAR""),IF(AF9=Dashboard!$L$1,AN9,(AN9*GOOGLEFINANCE(""CURRENCY:""&amp;AF9&amp;""""&amp;Dashboard!$L$1&amp;""""))/100),IF(AF9=Dashboard!$L$1,AN9,AN9*GOOGLEFINANCE(""CURRENCY:""&amp;AF9&amp;""""&amp;Dashboard!$L$1&amp;""""))),AN9))"),-874.0)</f>
        <v>-874</v>
      </c>
      <c r="J9" s="178">
        <f>IF(ISBLANK(B9),"",IFERROR(((C9-SUMIFS(Transactions!I:I,Transactions!H:H,"Crypto Interest",Transactions!D:D,B9))*D9),""))</f>
        <v>10000</v>
      </c>
      <c r="K9" s="178">
        <f t="shared" si="4"/>
        <v>82060</v>
      </c>
      <c r="L9" s="145">
        <f>-SUMIFS(Transactions!$M$3:$M149,Transactions!$H$3:$H149,"Buy",Transactions!$D$3:$D149,B9)</f>
        <v>-10000</v>
      </c>
      <c r="M9" s="145">
        <f>IF(ISBLANK(AG9),"",SUMIFS(Transactions!$M$3:$M149,Transactions!$H$3:$H149,"Dividend",Transactions!$D$3:$D149,B9))</f>
        <v>0</v>
      </c>
      <c r="N9" s="145">
        <f>IF(ISBLANK(AH9),"",SUMIFS(Transactions!$M$3:$M149,Transactions!$H$3:$H149,"Sell",Transactions!$D$3:$D149,B9))</f>
        <v>0</v>
      </c>
      <c r="O9" s="50">
        <f t="shared" si="5"/>
        <v>7.206</v>
      </c>
      <c r="P9" s="178">
        <f t="shared" si="6"/>
        <v>72060</v>
      </c>
      <c r="Q9" s="178">
        <f>IFERROR(__xludf.DUMMYFUNCTION("IF(ISBLANK(B9),"""",IFERROR(IF(OR(AF9=""GPB"",AF9=""ZAR""),IF(AF9=Dashboard!$L$1,AS9,(AS9*GOOGLEFINANCE(""CURRENCY:""&amp;AF9&amp;""""&amp;Dashboard!$L$1&amp;""""))/100),IF(AF9=Dashboard!$L$1,AS9,AS9*GOOGLEFINANCE(""CURRENCY:""&amp;AF9&amp;""""&amp;Dashboard!$L$1&amp;""""))),AS9))"),0.0)</f>
        <v>0</v>
      </c>
      <c r="R9" s="178">
        <f t="shared" si="7"/>
        <v>72060</v>
      </c>
      <c r="S9" s="50">
        <f>IFERROR(__xludf.DUMMYFUNCTION("IF(ISBLANK(B9),"""",IFERROR((GOOGLEFINANCE(B9,""price"")/INDEX(GOOGLEFINANCE(B9,""price"",DATEVALUE(TODAY()-$S$2) ),2,2)-1),""""))"),0.22331544424567684)</f>
        <v>0.2233154442</v>
      </c>
      <c r="U9" s="50">
        <f>IFERROR(__xludf.DUMMYFUNCTION("IF(ISBLANK(B9),"""",IFERROR((GOOGLEFINANCE($U$2,""price"")/INDEX(GOOGLEFINANCE($U$2,""price"",DATEVALUE(TODAY()-$S$2) ),2,2)-1),""""))"),0.21881341406744403)</f>
        <v>0.2188134141</v>
      </c>
      <c r="W9" s="50">
        <f t="shared" si="8"/>
        <v>0.004502030178</v>
      </c>
      <c r="X9" s="50">
        <f t="shared" si="9"/>
        <v>0.07467299158</v>
      </c>
      <c r="Y9" s="179">
        <v>0.0</v>
      </c>
      <c r="Z9" s="50">
        <f t="shared" si="10"/>
        <v>0.07467299158</v>
      </c>
      <c r="AA9" s="14" t="str">
        <f t="shared" si="11"/>
        <v>Stock</v>
      </c>
      <c r="AB9" s="50">
        <f t="shared" si="12"/>
        <v>0.7731305401</v>
      </c>
      <c r="AC9" s="179">
        <f t="shared" si="13"/>
        <v>0.0175</v>
      </c>
      <c r="AD9" s="50">
        <f t="shared" si="14"/>
        <v>0.7556305401</v>
      </c>
      <c r="AE9" s="180" t="str">
        <f t="shared" si="15"/>
        <v>Information Technology</v>
      </c>
      <c r="AF9" s="14" t="str">
        <f t="array" ref="AF9">IFERROR(IF(ISBLANK(AH9),"",IF(VLOOKUP(AH9,Transactions!D:F,3,0)="Stablecoin",AH9,INDEX(Transactions!$B$3:$B149,MATCH(AH9,Transactions!$D$3:$D149,0),0))))</f>
        <v>EUR</v>
      </c>
      <c r="AG9" s="14" t="str">
        <f>IF(ISBLANK(AH9),"",VLOOKUP(AH9,Transactions!D:E,2,0))</f>
        <v>Microsoft</v>
      </c>
      <c r="AH9" s="14" t="str">
        <f>IFERROR(__xludf.DUMMYFUNCTION("""COMPUTED_VALUE"""),"MSFT")</f>
        <v>MSFT</v>
      </c>
      <c r="AI9" s="158">
        <f>IF(ISBLANK(AH9),"",IF(
SUMIFS(Transactions!$I$3:$I149,Transactions!$H$3:$H149,"Buy",Transactions!$F$3:$F149,"Stock",Transactions!$D$3:$D149,AH9)
+SUMIFS(Transactions!$I$3:$I149,Transactions!$H$3:$H149,"DRIP",Transactions!$F$3:$F149,"Stock",Transactions!$D$3:$D149,AH9)
+SUMIFS(Transactions!$I$3:$I149,Transactions!$H$3:$H149,"Transfer Deposit",Transactions!$F$3:$F149,"Stock",Transactions!$D$3:$D149,AH9)
+SUMIFS(Transactions!$I$3:$I149,Transactions!$H$3:$H149,"Buy",Transactions!$F$3:$F149,"ETF",Transactions!$D$3:$D149,AH9)
+SUMIFS(Transactions!$I$3:$I149,Transactions!$H$3:$H149,"DRIP",Transactions!$F$3:$F149,"ETF",Transactions!$D$3:$D149,AH9)
+SUMIFS(Transactions!$I$3:$I149,Transactions!$H$3:$H149,"Transfer Deposit",Transactions!$F$3:$F149,"ETF",Transactions!$D$3:$D149,AH9)
+SUMIFS(Transactions!$I$3:$I149,Transactions!$H$3:$H149,"Buy",Transactions!$F$3:$F149,"Commodity",Transactions!$D$3:$D149,AH9)
+SUMIFS(Transactions!$I$3:$I149,Transactions!$H$3:$H149,"DRIP",Transactions!$F$3:$F149,"Commodity",Transactions!$D$3:$D149,AH9)
+SUMIFS(Transactions!$I$3:$I149,Transactions!$H$3:$H149,"Transfer Deposit",Transactions!$F$3:$F149,"Commodity",Transactions!$D$3:$D149,AH9)
+SUMIFS(Transactions!$I$3:$I149,Transactions!$H$3:$H149,"Buy",Transactions!$F$3:$F149,"Managed Fund",Transactions!$D$3:$D149,AH9)
+SUMIFS(Transactions!$I$3:$I149,Transactions!$H$3:$H149,"DRIP",Transactions!$F$3:$F149,"Managed Fund",Transactions!$D$3:$D149,AH9)
+SUMIFS(Transactions!$I$3:$I149,Transactions!$H$3:$H149,"Transfer Deposit",Transactions!$F$3:$F149,"Managed Fund",Transactions!$D$3:$D149,AH9)
+SUMIFS(Transactions!$I$3:$I149,Transactions!$H$3:$H149,"Buy",Transactions!$F$3:$F149,"REIT",Transactions!$D$3:$D149,AH9)
+SUMIFS(Transactions!$I$3:$I149,Transactions!$H$3:$H149,"DRIP",Transactions!$F$3:$F149,"REIT",Transactions!$D$3:$D149,AH9)
+SUMIFS(Transactions!$I$3:$I149,Transactions!$H$3:$H149,"Transfer Deposit",Transactions!$F$3:$F149,"REIT",Transactions!$D$3:$D149,AH9)
-SUMIFS(Transactions!$I$3:$I149,Transactions!$H$3:$H149,"Sell",Transactions!$F$3:$F149,"Stock",Transactions!$D$3:$D149,AH9)
-SUMIFS(Transactions!$I$3:$I149,Transactions!$H$3:$H149,"Transfer Send",Transactions!$F$3:$F149,"Stock",Transactions!$D$3:$D149,AH9)
-SUMIFS(Transactions!$I$3:$I149,Transactions!$H$3:$H149,"Sell",Transactions!$F$3:$F149,"ETF",Transactions!$D$3:$D149,AH9)
-SUMIFS(Transactions!$I$3:$I149,Transactions!$H$3:$H149,"Transfer Send",Transactions!$F$3:$F149,"ETF",Transactions!$D$3:$D149,AH9)
-SUMIFS(Transactions!$I$3:$I149,Transactions!$H$3:$H149,"Sell",Transactions!$F$3:$F149,"Commodity",Transactions!$D$3:$D149,AH9)
-SUMIFS(Transactions!$I$3:$I149,Transactions!$H$3:$H149,"Transfer Send",Transactions!$F$3:$F149,"Commodity",Transactions!$D$3:$D149,AH9)
-SUMIFS(Transactions!$I$3:$I149,Transactions!$H$3:$H149,"Sell",Transactions!$F$3:$F149,"Managed Fund",Transactions!$D$3:$D149,AH9)
-SUMIFS(Transactions!$I$3:$I149,Transactions!$H$3:$H149,"Transfer Send",Transactions!$F$3:$F149,"Managed Fund",Transactions!$D$3:$D149,AH9)
-SUMIFS(Transactions!$I$3:$I149,Transactions!$H$3:$H149,"Sell",Transactions!$F$3:$F149,"REIT",Transactions!$D$3:$D149,AH9)
-SUMIFS(Transactions!$I$3:$I149,Transactions!$H$3:$H149,"Transfer Send",Transactions!$F$3:$F149,"REIT",Transactions!$D$3:$D149,AH9)
+SUMIFS(Transactions!$I$3:$I149,Transactions!$H$3:$H149,"Buy",Transactions!$F$3:$F149,"Crypto",Transactions!$D$3:$D149,AH9)
+SUMIFS(Transactions!$I$3:$I149,Transactions!$H$3:$H149,"Crypto Interest",Transactions!$F$3:$F149,"Crypto",Transactions!$D$3:$D149,AH9)
+SUMIFS(Transactions!$I$3:$I149,Transactions!$H$3:$H149,"Transfer Deposit",Transactions!$F$3:$F149,"Crypto",Transactions!$D$3:$D149,AH9)
-SUMIFS(Transactions!$I$3:$I149,Transactions!$H$3:$H149,"Transfer Send",Transactions!$F$3:$F149,"Crypto",Transactions!$D$3:$D149,AH9)
-SUMIFS(Transactions!$I$3:$I149,Transactions!$H$3:$H149,"Sell",Transactions!$F$3:$F149,"Crypto",Transactions!$D$3:$D149,AH9)
+SUMIFS(Transactions!$I$3:$I149,Transactions!$H$3:$H149,"Buy",Transactions!$F$3:$F149,"Stablecoin",Transactions!$D$3:$D149,AH9)
+SUMIFS(Transactions!$I$3:$I149,Transactions!$H$3:$H149,"Crypto Interest",Transactions!$F$3:$F149,"Stablecoin",Transactions!$D$3:$D149,AH9)
+SUMIFS(Transactions!$I$3:$I149,Transactions!$H$3:$H149,"Transfer Deposit",Transactions!$F$3:$F149,"Stablecoin",Transactions!$D$3:$D149,AH9)
-SUMIFS(Transactions!$I$3:$I149,Transactions!$H$3:$H149,"Transfer Send",Transactions!$F$3:$F149,"Stablecoin",Transactions!$D$3:$D149,AH9)
-SUMIFS(Transactions!$I$3:$I149,Transactions!$H$3:$H149,"Sell",Transactions!$F$3:$F149,"Stablecoin",Transactions!$D$3:$D149,AH9)
-SUMIFS(Transactions!$M$3:$M149,Transactions!$H$3:$H149,"Buy",Transactions!$B$3:$B149,AH9)=0,"Sold All",
SUMIFS(Transactions!$I$3:$I149,Transactions!$H$3:$H149,"Buy",Transactions!$F$3:$F149,"Stock",Transactions!$D$3:$D149,AH9)
+SUMIFS(Transactions!$I$3:$I149,Transactions!$H$3:$H149,"DRIP",Transactions!$F$3:$F149,"Stock",Transactions!$D$3:$D149,AH9)
+SUMIFS(Transactions!$I$3:$I149,Transactions!$H$3:$H149,"Transfer Deposit",Transactions!$F$3:$F149,"Stock",Transactions!$D$3:$D149,AH9)
+SUMIFS(Transactions!$I$3:$I149,Transactions!$H$3:$H149,"Buy",Transactions!$F$3:$F149,"ETF",Transactions!$D$3:$D149,AH9)
+SUMIFS(Transactions!$I$3:$I149,Transactions!$H$3:$H149,"DRIP",Transactions!$F$3:$F149,"ETF",Transactions!$D$3:$D149,AH9)
+SUMIFS(Transactions!$I$3:$I149,Transactions!$H$3:$H149,"Transfer Deposit",Transactions!$F$3:$F149,"ETF",Transactions!$D$3:$D149,AH9)
+SUMIFS(Transactions!$I$3:$I149,Transactions!$H$3:$H149,"Buy",Transactions!$F$3:$F149,"Commodity",Transactions!$D$3:$D149,AH9)
+SUMIFS(Transactions!$I$3:$I149,Transactions!$H$3:$H149,"DRIP",Transactions!$F$3:$F149,"Commodity",Transactions!$D$3:$D149,AH9)
+SUMIFS(Transactions!$I$3:$I149,Transactions!$H$3:$H149,"Transfer Deposit",Transactions!$F$3:$F149,"Commodity",Transactions!$D$3:$D149,AH9)
+SUMIFS(Transactions!$I$3:$I149,Transactions!$H$3:$H149,"Buy",Transactions!$F$3:$F149,"Managed Fund",Transactions!$D$3:$D149,AH9)
+SUMIFS(Transactions!$I$3:$I149,Transactions!$H$3:$H149,"DRIP",Transactions!$F$3:$F149,"Managed Fund",Transactions!$D$3:$D149,AH9)
+SUMIFS(Transactions!$I$3:$I149,Transactions!$H$3:$H149,"Transfer Deposit",Transactions!$F$3:$F149,"Managed Fund",Transactions!$D$3:$D149,AH9)
+SUMIFS(Transactions!$I$3:$I149,Transactions!$H$3:$H149,"Buy",Transactions!$F$3:$F149,"REIT",Transactions!$D$3:$D149,AH9)
+SUMIFS(Transactions!$I$3:$I149,Transactions!$H$3:$H149,"DRIP",Transactions!$F$3:$F149,"REIT",Transactions!$D$3:$D149,AH9)
+SUMIFS(Transactions!$I$3:$I149,Transactions!$H$3:$H149,"Transfer Deposit",Transactions!$F$3:$F149,"REIT",Transactions!$D$3:$D149,AH9)
-SUMIFS(Transactions!$I$3:$I149,Transactions!$H$3:$H149,"Sell",Transactions!$F$3:$F149,"Stock",Transactions!$D$3:$D149,AH9)
-SUMIFS(Transactions!$I$3:$I149,Transactions!$H$3:$H149,"Transfer Send",Transactions!$F$3:$F149,"Stock",Transactions!$D$3:$D149,AH9)
-SUMIFS(Transactions!$I$3:$I149,Transactions!$H$3:$H149,"Sell",Transactions!$F$3:$F149,"ETF",Transactions!$D$3:$D149,AH9)
-SUMIFS(Transactions!$I$3:$I149,Transactions!$H$3:$H149,"Transfer Send",Transactions!$F$3:$F149,"ETF",Transactions!$D$3:$D149,AH9)
-SUMIFS(Transactions!$I$3:$I149,Transactions!$H$3:$H149,"Sell",Transactions!$F$3:$F149,"Commodity",Transactions!$D$3:$D149,AH9)
-SUMIFS(Transactions!$I$3:$I149,Transactions!$H$3:$H149,"Transfer Send",Transactions!$F$3:$F149,"Commodity",Transactions!$D$3:$D149,AH9)
-SUMIFS(Transactions!$I$3:$I149,Transactions!$H$3:$H149,"Sell",Transactions!$F$3:$F149,"Managed Fund",Transactions!$D$3:$D149,AH9)
-SUMIFS(Transactions!$I$3:$I149,Transactions!$H$3:$H149,"Transfer Send",Transactions!$F$3:$F149,"Managed Fund",Transactions!$D$3:$D149,AH9)
-SUMIFS(Transactions!$I$3:$I149,Transactions!$H$3:$H149,"Sell",Transactions!$F$3:$F149,"REIT",Transactions!$D$3:$D149,AH9)
-SUMIFS(Transactions!$I$3:$I149,Transactions!$H$3:$H149,"Transfer Send",Transactions!$F$3:$F149,"REIT",Transactions!$D$3:$D149,AH9)
+SUMIFS(Transactions!$I$3:$I149,Transactions!$H$3:$H149,"Buy",Transactions!$F$3:$F149,"Crypto",Transactions!$D$3:$D149,AH9)
+SUMIFS(Transactions!$I$3:$I149,Transactions!$H$3:$H149,"Crypto Interest",Transactions!$F$3:$F149,"Crypto",Transactions!$D$3:$D149,AH9)
+SUMIFS(Transactions!$I$3:$I149,Transactions!$H$3:$H149,"Transfer Deposit",Transactions!$F$3:$F149,"Crypto",Transactions!$D$3:$D149,AH9)
-SUMIFS(Transactions!$I$3:$I149,Transactions!$H$3:$H149,"Transfer Send",Transactions!$F$3:$F149,"Crypto",Transactions!$D$3:$D149,AH9)
-SUMIFS(Transactions!$I$3:$I149,Transactions!$H$3:$H149,"Sell",Transactions!$F$3:$F149,"Crypto",Transactions!$D$3:$D149,AH9)
+SUMIFS(Transactions!$I$3:$I149,Transactions!$H$3:$H149,"Buy",Transactions!$F$3:$F149,"Stablecoin",Transactions!$D$3:$D149,AH9)
+SUMIFS(Transactions!$I$3:$I149,Transactions!$H$3:$H149,"Crypto Interest",Transactions!$F$3:$F149,"Stablecoin",Transactions!$D$3:$D149,AH9)
+SUMIFS(Transactions!$I$3:$I149,Transactions!$H$3:$H149,"Transfer Deposit",Transactions!$F$3:$F149,"Stablecoin",Transactions!$D$3:$D149,AH9)
-SUMIFS(Transactions!$I$3:$I149,Transactions!$H$3:$H149,"Transfer Send",Transactions!$F$3:$F149,"Stablecoin",Transactions!$D$3:$D149,AH9)
-SUMIFS(Transactions!$I$3:$I149,Transactions!$H$3:$H149,"Sell",Transactions!$F$3:$F149,"Stablecoin",Transactions!$D$3:$D149,AH9)
-SUMIFS(Transactions!$M$3:$M149,Transactions!$H$3:$H149,"Buy",Transactions!$B$3:$B149,AH9)))</f>
        <v>200</v>
      </c>
      <c r="AJ9" s="181">
        <f>IFERROR(__xludf.DUMMYFUNCTION("IF(ISBLANK(AH9),"""",VLOOKUP(9^99,FILTER({ROW(Transactions!P:P),Transactions!P:P},Transactions!D:D=AH9),2))"),50.0)</f>
        <v>50</v>
      </c>
      <c r="AK9" s="181">
        <f>IFERROR(__xludf.DUMMYFUNCTION("IF(ISBLANK(AH9),"""",IFERROR(GOOGLEFINANCE(AH9,""price""),IFERROR(GOOGLEFINANCE(""CURRENCY:""&amp;AH9&amp;""""),IFERROR(INDEX(YAHOO_STOCK(TRIM(AH9), $G$2),0,1),INDEX(IMPORTHTML(CONCAT(""https://coinmarketcap.com/currencies/"",AG9),""table"",1),1,2)))))"),410.3)</f>
        <v>410.3</v>
      </c>
      <c r="AL9" s="14" t="str">
        <f>IFERROR(__xludf.DUMMYFUNCTION("IF(ISBLANK(AH9),"""",IFERROR(SPARKLINE(INDEX(GOOGLEFINANCE(AH9,""price"",TODAY()-$AL$2,TODAY()),,2),{""charttype"",""column"";""color"",""17a7e0""}),""""))"),"")</f>
        <v/>
      </c>
      <c r="AM9" s="50">
        <f>IFERROR(__xludf.DUMMYFUNCTION("IFNA(IFERROR(IF(AH9="""","""",GOOGLEFINANCE(AH9,""changepct"")/100),(GOOGLEFINANCE(AH9)-(INDEX(GOOGLEFINANCE(""CURRENCY:""&amp;AH9&amp;"""",""price"",TODAY()-1),2,2)))/(INDEX(GOOGLEFINANCE(""CURRENCY:""&amp;AH9&amp;"""",""price"",TODAY()-1),2,2))),)"),-0.0105)</f>
        <v>-0.0105</v>
      </c>
      <c r="AN9" s="96">
        <f>IFERROR(__xludf.DUMMYFUNCTION("IFNA(IFERROR(IF(AH9="""","""",GOOGLEFINANCE(AH9,""change"")*AI9),(GOOGLEFINANCE(AH9)-(INDEX(GOOGLEFINANCE(""CURRENCY:""&amp;AH9&amp;"""",""price"",TODAY()-1),2,2)))*AI9),"""")"),-874.0)</f>
        <v>-874</v>
      </c>
      <c r="AO9" s="96">
        <f>IF(ISBLANK(AH9),"",IFERROR(((AI9-SUMIFS(Transactions!I:I,Transactions!H:H,"Crypto Interest",Transactions!D:D,AH9))*AJ9),""))</f>
        <v>10000</v>
      </c>
      <c r="AP9" s="96">
        <f t="shared" si="16"/>
        <v>82060</v>
      </c>
      <c r="AQ9" s="50">
        <f t="shared" si="17"/>
        <v>7.206</v>
      </c>
      <c r="AR9" s="96">
        <f t="shared" si="18"/>
        <v>72060</v>
      </c>
      <c r="AS9" s="96">
        <f>IF(ISBLANK(AH9),"",SUMIFS(Transactions!$X$3:$X149,Transactions!$H$3:$H149,"Sell",Transactions!$D$3:$D149,AH9))</f>
        <v>0</v>
      </c>
      <c r="AT9" s="96">
        <f t="shared" si="19"/>
        <v>72060</v>
      </c>
      <c r="AU9" s="50">
        <f>IFERROR(__xludf.DUMMYFUNCTION("IF(ISBLANK(AH9),"""",IFERROR((GOOGLEFINANCE(AH9,""price"")/INDEX(GOOGLEFINANCE(AH9,""price"",DATEVALUE(TODAY()-$AU$2) ),2,2)-1),""""))"),0.22331544424567684)</f>
        <v>0.2233154442</v>
      </c>
      <c r="AW9" s="50">
        <f>IFERROR(__xludf.DUMMYFUNCTION("IF(ISBLANK(AH9),"""",IFERROR((GOOGLEFINANCE($AW$2,""price"")/INDEX(GOOGLEFINANCE($AW$2,""price"",DATEVALUE(TODAY()-$AU$2) ),2,2)-1),""""))"),0.21881341406744403)</f>
        <v>0.2188134141</v>
      </c>
      <c r="AY9" s="50">
        <f t="shared" si="20"/>
        <v>0.004502030178</v>
      </c>
      <c r="AZ9" s="50">
        <f t="shared" si="21"/>
        <v>0.07467299158</v>
      </c>
      <c r="BA9" s="50">
        <f t="shared" si="22"/>
        <v>0</v>
      </c>
      <c r="BB9" s="50">
        <f t="shared" si="23"/>
        <v>0.07467299158</v>
      </c>
      <c r="BC9" s="14" t="str">
        <f>IF(ISBLANK(AH9),"",IFERROR(VLOOKUP(AH9,Transactions!D:F,3,0)))</f>
        <v>Stock</v>
      </c>
      <c r="BD9" s="50">
        <f t="shared" si="24"/>
        <v>0.7731305401</v>
      </c>
      <c r="BE9" s="50">
        <f t="shared" si="25"/>
        <v>0.0175</v>
      </c>
      <c r="BF9" s="50">
        <f t="shared" si="26"/>
        <v>0.7556305401</v>
      </c>
      <c r="BG9" s="180" t="str">
        <f>IF(ISBLANK(AH9),"",IFERROR(VLOOKUP(AH9,Transactions!D:G,4,0)))</f>
        <v>Information Technology</v>
      </c>
    </row>
    <row r="10">
      <c r="A10" s="14" t="str">
        <f t="shared" ref="A10:C10" si="32">AG10</f>
        <v/>
      </c>
      <c r="B10" s="14" t="str">
        <f t="shared" si="32"/>
        <v/>
      </c>
      <c r="C10" s="175" t="str">
        <f t="shared" si="32"/>
        <v/>
      </c>
      <c r="D10" s="176" t="str">
        <f>IFERROR(__xludf.DUMMYFUNCTION("IF(ISBLANK(B10),"""",IFERROR(IF(OR(AF10=""GPB"",AF10=""ZAR""),IF(AF10=Dashboard!$L$1,AJ10,(AJ10*GOOGLEFINANCE(""CURRENCY:""&amp;AF10&amp;""""&amp;Dashboard!$L$1&amp;""""))/100),IF(AF10=Dashboard!$L$1,AJ10,AJ10*GOOGLEFINANCE(""CURRENCY:""&amp;AF10&amp;""""&amp;Dashboard!$L$1&amp;""""))),"&amp;"AJ10))"),"")</f>
        <v/>
      </c>
      <c r="E10" s="177" t="str">
        <f>IFERROR(__xludf.DUMMYFUNCTION("IFERROR(IF(OR(AF10=""GBP"",AF10=""ZAR""),IF(B10="""","""",IF(AF10=Dashboard!$L$1,AK10,AK10*GOOGLEFINANCE(""CURRENCY:""&amp;AF10&amp;""""&amp;Dashboard!$L$1&amp;"""")))/100,If(B10="""","""",IF(AF10=Dashboard!$L$1,AK10,AK10*GOOGLEFINANCE(""CURRENCY:""&amp;AF10&amp;""""&amp;Dashboard!$"&amp;"L$1&amp;"""")))),AK10)"),"")</f>
        <v/>
      </c>
      <c r="F10" s="145">
        <f>IFERROR(__xludf.DUMMYFUNCTION(" E10 * GOOGLEFINANCE(""CURRENCY:USDEUR"") "),0.0)</f>
        <v>0</v>
      </c>
      <c r="G10" s="96" t="str">
        <f>IFERROR(__xludf.DUMMYFUNCTION("IF(ISBLANK(B10),"""",IFERROR(SPARKLINE(INDEX(GOOGLEFINANCE(B10,""price"",TODAY()-$G$2,TODAY()),,2),{""charttype"",""column"";""color"",""17a7e0""}),""""))"),"")</f>
        <v/>
      </c>
      <c r="H10" s="50" t="str">
        <f t="shared" si="3"/>
        <v/>
      </c>
      <c r="I10" s="96" t="str">
        <f>IFERROR(__xludf.DUMMYFUNCTION("IF(ISBLANK(B10),"""",IFERROR(IF(OR(AF10=""GPB"",AF10=""ZAR""),IF(AF10=Dashboard!$L$1,AN10,(AN10*GOOGLEFINANCE(""CURRENCY:""&amp;AF10&amp;""""&amp;Dashboard!$L$1&amp;""""))/100),IF(AF10=Dashboard!$L$1,AN10,AN10*GOOGLEFINANCE(""CURRENCY:""&amp;AF10&amp;""""&amp;Dashboard!$L$1&amp;""""))),"&amp;"AN10))"),"")</f>
        <v/>
      </c>
      <c r="J10" s="178" t="str">
        <f>IF(ISBLANK(B10),"",IFERROR(((C10-SUMIFS(Transactions!I:I,Transactions!H:H,"Crypto Interest",Transactions!D:D,B10))*D10),""))</f>
        <v/>
      </c>
      <c r="K10" s="178" t="str">
        <f t="shared" si="4"/>
        <v/>
      </c>
      <c r="L10" s="145">
        <f>-SUMIFS(Transactions!$M$3:$M149,Transactions!$H$3:$H149,"Buy",Transactions!$D$3:$D149,B10)</f>
        <v>0</v>
      </c>
      <c r="M10" s="145">
        <f>IF(ISBLANK(AG10),"",SUMIFS(Transactions!$M$3:$M149,Transactions!$H$3:$H149,"Dividend",Transactions!$D$3:$D149,B10))</f>
        <v>0</v>
      </c>
      <c r="N10" s="145" t="str">
        <f>IF(ISBLANK(AH10),"",SUMIFS(Transactions!$M$3:$M149,Transactions!$H$3:$H149,"Sell",Transactions!$D$3:$D149,B10))</f>
        <v/>
      </c>
      <c r="O10" s="50" t="str">
        <f t="shared" si="5"/>
        <v/>
      </c>
      <c r="P10" s="178" t="str">
        <f t="shared" si="6"/>
        <v/>
      </c>
      <c r="Q10" s="178" t="str">
        <f>IFERROR(__xludf.DUMMYFUNCTION("IF(ISBLANK(B10),"""",IFERROR(IF(OR(AF10=""GPB"",AF10=""ZAR""),IF(AF10=Dashboard!$L$1,AS10,(AS10*GOOGLEFINANCE(""CURRENCY:""&amp;AF10&amp;""""&amp;Dashboard!$L$1&amp;""""))/100),IF(AF10=Dashboard!$L$1,AS10,AS10*GOOGLEFINANCE(""CURRENCY:""&amp;AF10&amp;""""&amp;Dashboard!$L$1&amp;""""))),"&amp;"AS10))"),"")</f>
        <v/>
      </c>
      <c r="R10" s="178" t="str">
        <f t="shared" si="7"/>
        <v/>
      </c>
      <c r="S10" s="50" t="str">
        <f>IFERROR(__xludf.DUMMYFUNCTION("IF(ISBLANK(B10),"""",IFERROR((GOOGLEFINANCE(B10,""price"")/INDEX(GOOGLEFINANCE(B10,""price"",DATEVALUE(TODAY()-$S$2) ),2,2)-1),""""))"),"")</f>
        <v/>
      </c>
      <c r="U10" s="50" t="str">
        <f>IFERROR(__xludf.DUMMYFUNCTION("IF(ISBLANK(B10),"""",IFERROR((GOOGLEFINANCE($U$2,""price"")/INDEX(GOOGLEFINANCE($U$2,""price"",DATEVALUE(TODAY()-$S$2) ),2,2)-1),""""))"),"")</f>
        <v/>
      </c>
      <c r="W10" s="50" t="str">
        <f t="shared" si="8"/>
        <v/>
      </c>
      <c r="X10" s="50" t="str">
        <f t="shared" si="9"/>
        <v/>
      </c>
      <c r="Y10" s="179">
        <v>0.0</v>
      </c>
      <c r="Z10" s="50" t="str">
        <f t="shared" si="10"/>
        <v/>
      </c>
      <c r="AA10" s="14" t="str">
        <f t="shared" si="11"/>
        <v/>
      </c>
      <c r="AB10" s="50" t="str">
        <f t="shared" si="12"/>
        <v/>
      </c>
      <c r="AC10" s="179" t="str">
        <f t="shared" si="13"/>
        <v/>
      </c>
      <c r="AD10" s="50" t="str">
        <f t="shared" si="14"/>
        <v/>
      </c>
      <c r="AE10" s="180" t="str">
        <f t="shared" si="15"/>
        <v/>
      </c>
      <c r="AF10" s="14" t="str">
        <f t="array" ref="AF10">IFERROR(IF(ISBLANK(AH10),"",IF(VLOOKUP(AH10,Transactions!D:F,3,0)="Stablecoin",AH10,INDEX(Transactions!$B$3:$B149,MATCH(AH10,Transactions!$D$3:$D149,0),0))))</f>
        <v/>
      </c>
      <c r="AG10" s="14" t="str">
        <f>IF(ISBLANK(AH10),"",VLOOKUP(AH10,Transactions!D:E,2,0))</f>
        <v/>
      </c>
      <c r="AH10" s="14"/>
      <c r="AI10" s="158" t="str">
        <f>IF(ISBLANK(AH10),"",IF(
SUMIFS(Transactions!$I$3:$I149,Transactions!$H$3:$H149,"Buy",Transactions!$F$3:$F149,"Stock",Transactions!$D$3:$D149,AH10)
+SUMIFS(Transactions!$I$3:$I149,Transactions!$H$3:$H149,"DRIP",Transactions!$F$3:$F149,"Stock",Transactions!$D$3:$D149,AH10)
+SUMIFS(Transactions!$I$3:$I149,Transactions!$H$3:$H149,"Transfer Deposit",Transactions!$F$3:$F149,"Stock",Transactions!$D$3:$D149,AH10)
+SUMIFS(Transactions!$I$3:$I149,Transactions!$H$3:$H149,"Buy",Transactions!$F$3:$F149,"ETF",Transactions!$D$3:$D149,AH10)
+SUMIFS(Transactions!$I$3:$I149,Transactions!$H$3:$H149,"DRIP",Transactions!$F$3:$F149,"ETF",Transactions!$D$3:$D149,AH10)
+SUMIFS(Transactions!$I$3:$I149,Transactions!$H$3:$H149,"Transfer Deposit",Transactions!$F$3:$F149,"ETF",Transactions!$D$3:$D149,AH10)
+SUMIFS(Transactions!$I$3:$I149,Transactions!$H$3:$H149,"Buy",Transactions!$F$3:$F149,"Commodity",Transactions!$D$3:$D149,AH10)
+SUMIFS(Transactions!$I$3:$I149,Transactions!$H$3:$H149,"DRIP",Transactions!$F$3:$F149,"Commodity",Transactions!$D$3:$D149,AH10)
+SUMIFS(Transactions!$I$3:$I149,Transactions!$H$3:$H149,"Transfer Deposit",Transactions!$F$3:$F149,"Commodity",Transactions!$D$3:$D149,AH10)
+SUMIFS(Transactions!$I$3:$I149,Transactions!$H$3:$H149,"Buy",Transactions!$F$3:$F149,"Managed Fund",Transactions!$D$3:$D149,AH10)
+SUMIFS(Transactions!$I$3:$I149,Transactions!$H$3:$H149,"DRIP",Transactions!$F$3:$F149,"Managed Fund",Transactions!$D$3:$D149,AH10)
+SUMIFS(Transactions!$I$3:$I149,Transactions!$H$3:$H149,"Transfer Deposit",Transactions!$F$3:$F149,"Managed Fund",Transactions!$D$3:$D149,AH10)
+SUMIFS(Transactions!$I$3:$I149,Transactions!$H$3:$H149,"Buy",Transactions!$F$3:$F149,"REIT",Transactions!$D$3:$D149,AH10)
+SUMIFS(Transactions!$I$3:$I149,Transactions!$H$3:$H149,"DRIP",Transactions!$F$3:$F149,"REIT",Transactions!$D$3:$D149,AH10)
+SUMIFS(Transactions!$I$3:$I149,Transactions!$H$3:$H149,"Transfer Deposit",Transactions!$F$3:$F149,"REIT",Transactions!$D$3:$D149,AH10)
-SUMIFS(Transactions!$I$3:$I149,Transactions!$H$3:$H149,"Sell",Transactions!$F$3:$F149,"Stock",Transactions!$D$3:$D149,AH10)
-SUMIFS(Transactions!$I$3:$I149,Transactions!$H$3:$H149,"Transfer Send",Transactions!$F$3:$F149,"Stock",Transactions!$D$3:$D149,AH10)
-SUMIFS(Transactions!$I$3:$I149,Transactions!$H$3:$H149,"Sell",Transactions!$F$3:$F149,"ETF",Transactions!$D$3:$D149,AH10)
-SUMIFS(Transactions!$I$3:$I149,Transactions!$H$3:$H149,"Transfer Send",Transactions!$F$3:$F149,"ETF",Transactions!$D$3:$D149,AH10)
-SUMIFS(Transactions!$I$3:$I149,Transactions!$H$3:$H149,"Sell",Transactions!$F$3:$F149,"Commodity",Transactions!$D$3:$D149,AH10)
-SUMIFS(Transactions!$I$3:$I149,Transactions!$H$3:$H149,"Transfer Send",Transactions!$F$3:$F149,"Commodity",Transactions!$D$3:$D149,AH10)
-SUMIFS(Transactions!$I$3:$I149,Transactions!$H$3:$H149,"Sell",Transactions!$F$3:$F149,"Managed Fund",Transactions!$D$3:$D149,AH10)
-SUMIFS(Transactions!$I$3:$I149,Transactions!$H$3:$H149,"Transfer Send",Transactions!$F$3:$F149,"Managed Fund",Transactions!$D$3:$D149,AH10)
-SUMIFS(Transactions!$I$3:$I149,Transactions!$H$3:$H149,"Sell",Transactions!$F$3:$F149,"REIT",Transactions!$D$3:$D149,AH10)
-SUMIFS(Transactions!$I$3:$I149,Transactions!$H$3:$H149,"Transfer Send",Transactions!$F$3:$F149,"REIT",Transactions!$D$3:$D149,AH10)
+SUMIFS(Transactions!$I$3:$I149,Transactions!$H$3:$H149,"Buy",Transactions!$F$3:$F149,"Crypto",Transactions!$D$3:$D149,AH10)
+SUMIFS(Transactions!$I$3:$I149,Transactions!$H$3:$H149,"Crypto Interest",Transactions!$F$3:$F149,"Crypto",Transactions!$D$3:$D149,AH10)
+SUMIFS(Transactions!$I$3:$I149,Transactions!$H$3:$H149,"Transfer Deposit",Transactions!$F$3:$F149,"Crypto",Transactions!$D$3:$D149,AH10)
-SUMIFS(Transactions!$I$3:$I149,Transactions!$H$3:$H149,"Transfer Send",Transactions!$F$3:$F149,"Crypto",Transactions!$D$3:$D149,AH10)
-SUMIFS(Transactions!$I$3:$I149,Transactions!$H$3:$H149,"Sell",Transactions!$F$3:$F149,"Crypto",Transactions!$D$3:$D149,AH10)
+SUMIFS(Transactions!$I$3:$I149,Transactions!$H$3:$H149,"Buy",Transactions!$F$3:$F149,"Stablecoin",Transactions!$D$3:$D149,AH10)
+SUMIFS(Transactions!$I$3:$I149,Transactions!$H$3:$H149,"Crypto Interest",Transactions!$F$3:$F149,"Stablecoin",Transactions!$D$3:$D149,AH10)
+SUMIFS(Transactions!$I$3:$I149,Transactions!$H$3:$H149,"Transfer Deposit",Transactions!$F$3:$F149,"Stablecoin",Transactions!$D$3:$D149,AH10)
-SUMIFS(Transactions!$I$3:$I149,Transactions!$H$3:$H149,"Transfer Send",Transactions!$F$3:$F149,"Stablecoin",Transactions!$D$3:$D149,AH10)
-SUMIFS(Transactions!$I$3:$I149,Transactions!$H$3:$H149,"Sell",Transactions!$F$3:$F149,"Stablecoin",Transactions!$D$3:$D149,AH10)
-SUMIFS(Transactions!$M$3:$M149,Transactions!$H$3:$H149,"Buy",Transactions!$B$3:$B149,AH10)=0,"Sold All",
SUMIFS(Transactions!$I$3:$I149,Transactions!$H$3:$H149,"Buy",Transactions!$F$3:$F149,"Stock",Transactions!$D$3:$D149,AH10)
+SUMIFS(Transactions!$I$3:$I149,Transactions!$H$3:$H149,"DRIP",Transactions!$F$3:$F149,"Stock",Transactions!$D$3:$D149,AH10)
+SUMIFS(Transactions!$I$3:$I149,Transactions!$H$3:$H149,"Transfer Deposit",Transactions!$F$3:$F149,"Stock",Transactions!$D$3:$D149,AH10)
+SUMIFS(Transactions!$I$3:$I149,Transactions!$H$3:$H149,"Buy",Transactions!$F$3:$F149,"ETF",Transactions!$D$3:$D149,AH10)
+SUMIFS(Transactions!$I$3:$I149,Transactions!$H$3:$H149,"DRIP",Transactions!$F$3:$F149,"ETF",Transactions!$D$3:$D149,AH10)
+SUMIFS(Transactions!$I$3:$I149,Transactions!$H$3:$H149,"Transfer Deposit",Transactions!$F$3:$F149,"ETF",Transactions!$D$3:$D149,AH10)
+SUMIFS(Transactions!$I$3:$I149,Transactions!$H$3:$H149,"Buy",Transactions!$F$3:$F149,"Commodity",Transactions!$D$3:$D149,AH10)
+SUMIFS(Transactions!$I$3:$I149,Transactions!$H$3:$H149,"DRIP",Transactions!$F$3:$F149,"Commodity",Transactions!$D$3:$D149,AH10)
+SUMIFS(Transactions!$I$3:$I149,Transactions!$H$3:$H149,"Transfer Deposit",Transactions!$F$3:$F149,"Commodity",Transactions!$D$3:$D149,AH10)
+SUMIFS(Transactions!$I$3:$I149,Transactions!$H$3:$H149,"Buy",Transactions!$F$3:$F149,"Managed Fund",Transactions!$D$3:$D149,AH10)
+SUMIFS(Transactions!$I$3:$I149,Transactions!$H$3:$H149,"DRIP",Transactions!$F$3:$F149,"Managed Fund",Transactions!$D$3:$D149,AH10)
+SUMIFS(Transactions!$I$3:$I149,Transactions!$H$3:$H149,"Transfer Deposit",Transactions!$F$3:$F149,"Managed Fund",Transactions!$D$3:$D149,AH10)
+SUMIFS(Transactions!$I$3:$I149,Transactions!$H$3:$H149,"Buy",Transactions!$F$3:$F149,"REIT",Transactions!$D$3:$D149,AH10)
+SUMIFS(Transactions!$I$3:$I149,Transactions!$H$3:$H149,"DRIP",Transactions!$F$3:$F149,"REIT",Transactions!$D$3:$D149,AH10)
+SUMIFS(Transactions!$I$3:$I149,Transactions!$H$3:$H149,"Transfer Deposit",Transactions!$F$3:$F149,"REIT",Transactions!$D$3:$D149,AH10)
-SUMIFS(Transactions!$I$3:$I149,Transactions!$H$3:$H149,"Sell",Transactions!$F$3:$F149,"Stock",Transactions!$D$3:$D149,AH10)
-SUMIFS(Transactions!$I$3:$I149,Transactions!$H$3:$H149,"Transfer Send",Transactions!$F$3:$F149,"Stock",Transactions!$D$3:$D149,AH10)
-SUMIFS(Transactions!$I$3:$I149,Transactions!$H$3:$H149,"Sell",Transactions!$F$3:$F149,"ETF",Transactions!$D$3:$D149,AH10)
-SUMIFS(Transactions!$I$3:$I149,Transactions!$H$3:$H149,"Transfer Send",Transactions!$F$3:$F149,"ETF",Transactions!$D$3:$D149,AH10)
-SUMIFS(Transactions!$I$3:$I149,Transactions!$H$3:$H149,"Sell",Transactions!$F$3:$F149,"Commodity",Transactions!$D$3:$D149,AH10)
-SUMIFS(Transactions!$I$3:$I149,Transactions!$H$3:$H149,"Transfer Send",Transactions!$F$3:$F149,"Commodity",Transactions!$D$3:$D149,AH10)
-SUMIFS(Transactions!$I$3:$I149,Transactions!$H$3:$H149,"Sell",Transactions!$F$3:$F149,"Managed Fund",Transactions!$D$3:$D149,AH10)
-SUMIFS(Transactions!$I$3:$I149,Transactions!$H$3:$H149,"Transfer Send",Transactions!$F$3:$F149,"Managed Fund",Transactions!$D$3:$D149,AH10)
-SUMIFS(Transactions!$I$3:$I149,Transactions!$H$3:$H149,"Sell",Transactions!$F$3:$F149,"REIT",Transactions!$D$3:$D149,AH10)
-SUMIFS(Transactions!$I$3:$I149,Transactions!$H$3:$H149,"Transfer Send",Transactions!$F$3:$F149,"REIT",Transactions!$D$3:$D149,AH10)
+SUMIFS(Transactions!$I$3:$I149,Transactions!$H$3:$H149,"Buy",Transactions!$F$3:$F149,"Crypto",Transactions!$D$3:$D149,AH10)
+SUMIFS(Transactions!$I$3:$I149,Transactions!$H$3:$H149,"Crypto Interest",Transactions!$F$3:$F149,"Crypto",Transactions!$D$3:$D149,AH10)
+SUMIFS(Transactions!$I$3:$I149,Transactions!$H$3:$H149,"Transfer Deposit",Transactions!$F$3:$F149,"Crypto",Transactions!$D$3:$D149,AH10)
-SUMIFS(Transactions!$I$3:$I149,Transactions!$H$3:$H149,"Transfer Send",Transactions!$F$3:$F149,"Crypto",Transactions!$D$3:$D149,AH10)
-SUMIFS(Transactions!$I$3:$I149,Transactions!$H$3:$H149,"Sell",Transactions!$F$3:$F149,"Crypto",Transactions!$D$3:$D149,AH10)
+SUMIFS(Transactions!$I$3:$I149,Transactions!$H$3:$H149,"Buy",Transactions!$F$3:$F149,"Stablecoin",Transactions!$D$3:$D149,AH10)
+SUMIFS(Transactions!$I$3:$I149,Transactions!$H$3:$H149,"Crypto Interest",Transactions!$F$3:$F149,"Stablecoin",Transactions!$D$3:$D149,AH10)
+SUMIFS(Transactions!$I$3:$I149,Transactions!$H$3:$H149,"Transfer Deposit",Transactions!$F$3:$F149,"Stablecoin",Transactions!$D$3:$D149,AH10)
-SUMIFS(Transactions!$I$3:$I149,Transactions!$H$3:$H149,"Transfer Send",Transactions!$F$3:$F149,"Stablecoin",Transactions!$D$3:$D149,AH10)
-SUMIFS(Transactions!$I$3:$I149,Transactions!$H$3:$H149,"Sell",Transactions!$F$3:$F149,"Stablecoin",Transactions!$D$3:$D149,AH10)
-SUMIFS(Transactions!$M$3:$M149,Transactions!$H$3:$H149,"Buy",Transactions!$B$3:$B149,AH10)))</f>
        <v/>
      </c>
      <c r="AJ10" s="181" t="str">
        <f>IFERROR(__xludf.DUMMYFUNCTION("IF(ISBLANK(AH10),"""",VLOOKUP(9^99,FILTER({ROW(Transactions!P:P),Transactions!P:P},Transactions!D:D=AH10),2))"),"")</f>
        <v/>
      </c>
      <c r="AK10" s="181" t="str">
        <f>IFERROR(__xludf.DUMMYFUNCTION("IF(ISBLANK(AH10),"""",IFERROR(GOOGLEFINANCE(AH10,""price""),IFERROR(GOOGLEFINANCE(""CURRENCY:""&amp;AH10&amp;""""),IFERROR(INDEX(YAHOO_STOCK(TRIM(AH10), $G$2),0,1),INDEX(IMPORTHTML(CONCAT(""https://coinmarketcap.com/currencies/"",AG10),""table"",1),1,2)))))"),"")</f>
        <v/>
      </c>
      <c r="AL10" s="14" t="str">
        <f>IFERROR(__xludf.DUMMYFUNCTION("IF(ISBLANK(AH10),"""",IFERROR(SPARKLINE(INDEX(GOOGLEFINANCE(AH10,""price"",TODAY()-$AL$2,TODAY()),,2),{""charttype"",""column"";""color"",""17a7e0""}),""""))"),"")</f>
        <v/>
      </c>
      <c r="AM10" s="50" t="str">
        <f>IFERROR(__xludf.DUMMYFUNCTION("IFNA(IFERROR(IF(AH10="""","""",GOOGLEFINANCE(AH10,""changepct"")/100),(GOOGLEFINANCE(AH10)-(INDEX(GOOGLEFINANCE(""CURRENCY:""&amp;AH10&amp;"""",""price"",TODAY()-1),2,2)))/(INDEX(GOOGLEFINANCE(""CURRENCY:""&amp;AH10&amp;"""",""price"",TODAY()-1),2,2))),)"),"")</f>
        <v/>
      </c>
      <c r="AN10" s="96" t="str">
        <f>IFERROR(__xludf.DUMMYFUNCTION("IFNA(IFERROR(IF(AH10="""","""",GOOGLEFINANCE(AH10,""change"")*AI10),(GOOGLEFINANCE(AH10)-(INDEX(GOOGLEFINANCE(""CURRENCY:""&amp;AH10&amp;"""",""price"",TODAY()-1),2,2)))*AI10),"""")"),"")</f>
        <v/>
      </c>
      <c r="AO10" s="96" t="str">
        <f>IF(ISBLANK(AH10),"",IFERROR(((AI10-SUMIFS(Transactions!I:I,Transactions!H:H,"Crypto Interest",Transactions!D:D,AH10))*AJ10),""))</f>
        <v/>
      </c>
      <c r="AP10" s="96" t="str">
        <f t="shared" si="16"/>
        <v/>
      </c>
      <c r="AQ10" s="50" t="str">
        <f t="shared" si="17"/>
        <v/>
      </c>
      <c r="AR10" s="96" t="str">
        <f t="shared" si="18"/>
        <v/>
      </c>
      <c r="AS10" s="96" t="str">
        <f>IF(ISBLANK(AH10),"",SUMIFS(Transactions!$X$3:$X149,Transactions!$H$3:$H149,"Sell",Transactions!$D$3:$D149,AH10))</f>
        <v/>
      </c>
      <c r="AT10" s="96" t="str">
        <f t="shared" si="19"/>
        <v/>
      </c>
      <c r="AU10" s="50" t="str">
        <f>IFERROR(__xludf.DUMMYFUNCTION("IF(ISBLANK(AH10),"""",IFERROR((GOOGLEFINANCE(AH10,""price"")/INDEX(GOOGLEFINANCE(AH10,""price"",DATEVALUE(TODAY()-$AU$2) ),2,2)-1),""""))"),"")</f>
        <v/>
      </c>
      <c r="AW10" s="50" t="str">
        <f>IFERROR(__xludf.DUMMYFUNCTION("IF(ISBLANK(AH10),"""",IFERROR((GOOGLEFINANCE($AW$2,""price"")/INDEX(GOOGLEFINANCE($AW$2,""price"",DATEVALUE(TODAY()-$AU$2) ),2,2)-1),""""))"),"")</f>
        <v/>
      </c>
      <c r="AY10" s="50" t="str">
        <f t="shared" si="20"/>
        <v/>
      </c>
      <c r="AZ10" s="50" t="str">
        <f t="shared" si="21"/>
        <v/>
      </c>
      <c r="BA10" s="50">
        <f t="shared" si="22"/>
        <v>0</v>
      </c>
      <c r="BB10" s="14" t="str">
        <f t="shared" si="23"/>
        <v/>
      </c>
      <c r="BC10" s="14" t="str">
        <f>IF(ISBLANK(AH10),"",IFERROR(VLOOKUP(AH10,Transactions!D:F,3,0)))</f>
        <v/>
      </c>
      <c r="BD10" s="50" t="str">
        <f t="shared" si="24"/>
        <v/>
      </c>
      <c r="BE10" s="50" t="str">
        <f t="shared" si="25"/>
        <v/>
      </c>
      <c r="BF10" s="14" t="str">
        <f t="shared" si="26"/>
        <v/>
      </c>
      <c r="BG10" s="180" t="str">
        <f>IF(ISBLANK(AH10),"",IFERROR(VLOOKUP(AH10,Transactions!D:G,4,0)))</f>
        <v/>
      </c>
    </row>
    <row r="11">
      <c r="A11" s="14" t="str">
        <f t="shared" ref="A11:C11" si="33">AG11</f>
        <v/>
      </c>
      <c r="B11" s="14" t="str">
        <f t="shared" si="33"/>
        <v/>
      </c>
      <c r="C11" s="175" t="str">
        <f t="shared" si="33"/>
        <v/>
      </c>
      <c r="D11" s="176" t="str">
        <f>IFERROR(__xludf.DUMMYFUNCTION("IF(ISBLANK(B11),"""",IFERROR(IF(OR(AF11=""GPB"",AF11=""ZAR""),IF(AF11=Dashboard!$L$1,AJ11,(AJ11*GOOGLEFINANCE(""CURRENCY:""&amp;AF11&amp;""""&amp;Dashboard!$L$1&amp;""""))/100),IF(AF11=Dashboard!$L$1,AJ11,AJ11*GOOGLEFINANCE(""CURRENCY:""&amp;AF11&amp;""""&amp;Dashboard!$L$1&amp;""""))),"&amp;"AJ11))"),"")</f>
        <v/>
      </c>
      <c r="E11" s="177" t="str">
        <f>IFERROR(__xludf.DUMMYFUNCTION("IFERROR(IF(OR(AF11=""GBP"",AF11=""ZAR""),IF(B11="""","""",IF(AF11=Dashboard!$L$1,AK11,AK11*GOOGLEFINANCE(""CURRENCY:""&amp;AF11&amp;""""&amp;Dashboard!$L$1&amp;"""")))/100,If(B11="""","""",IF(AF11=Dashboard!$L$1,AK11,AK11*GOOGLEFINANCE(""CURRENCY:""&amp;AF11&amp;""""&amp;Dashboard!$"&amp;"L$1&amp;"""")))),AK11)"),"")</f>
        <v/>
      </c>
      <c r="F11" s="145">
        <f>IFERROR(__xludf.DUMMYFUNCTION(" E11 * GOOGLEFINANCE(""CURRENCY:USDEUR"") "),0.0)</f>
        <v>0</v>
      </c>
      <c r="G11" s="96" t="str">
        <f>IFERROR(__xludf.DUMMYFUNCTION("IF(ISBLANK(B11),"""",IFERROR(SPARKLINE(INDEX(GOOGLEFINANCE(B11,""price"",TODAY()-$G$2,TODAY()),,2),{""charttype"",""column"";""color"",""17a7e0""}),""""))"),"")</f>
        <v/>
      </c>
      <c r="H11" s="50" t="str">
        <f t="shared" si="3"/>
        <v/>
      </c>
      <c r="I11" s="96" t="str">
        <f>IFERROR(__xludf.DUMMYFUNCTION("IF(ISBLANK(B11),"""",IFERROR(IF(OR(AF11=""GPB"",AF11=""ZAR""),IF(AF11=Dashboard!$L$1,AN11,(AN11*GOOGLEFINANCE(""CURRENCY:""&amp;AF11&amp;""""&amp;Dashboard!$L$1&amp;""""))/100),IF(AF11=Dashboard!$L$1,AN11,AN11*GOOGLEFINANCE(""CURRENCY:""&amp;AF11&amp;""""&amp;Dashboard!$L$1&amp;""""))),"&amp;"AN11))"),"")</f>
        <v/>
      </c>
      <c r="J11" s="178" t="str">
        <f>IF(ISBLANK(B11),"",IFERROR(((C11-SUMIFS(Transactions!I:I,Transactions!H:H,"Crypto Interest",Transactions!D:D,B11))*D11),""))</f>
        <v/>
      </c>
      <c r="K11" s="178" t="str">
        <f t="shared" si="4"/>
        <v/>
      </c>
      <c r="L11" s="145">
        <f>-SUMIFS(Transactions!$M$3:$M149,Transactions!$H$3:$H149,"Buy",Transactions!$D$3:$D149,B11)</f>
        <v>0</v>
      </c>
      <c r="M11" s="145">
        <f>IF(ISBLANK(AG11),"",SUMIFS(Transactions!$M$3:$M149,Transactions!$H$3:$H149,"Dividend",Transactions!$D$3:$D149,B11))</f>
        <v>0</v>
      </c>
      <c r="N11" s="145" t="str">
        <f>IF(ISBLANK(AH11),"",SUMIFS(Transactions!$M$3:$M149,Transactions!$H$3:$H149,"Sell",Transactions!$D$3:$D149,B11))</f>
        <v/>
      </c>
      <c r="O11" s="50" t="str">
        <f t="shared" si="5"/>
        <v/>
      </c>
      <c r="P11" s="178" t="str">
        <f t="shared" si="6"/>
        <v/>
      </c>
      <c r="Q11" s="178" t="str">
        <f>IFERROR(__xludf.DUMMYFUNCTION("IF(ISBLANK(B11),"""",IFERROR(IF(OR(AF11=""GPB"",AF11=""ZAR""),IF(AF11=Dashboard!$L$1,AS11,(AS11*GOOGLEFINANCE(""CURRENCY:""&amp;AF11&amp;""""&amp;Dashboard!$L$1&amp;""""))/100),IF(AF11=Dashboard!$L$1,AS11,AS11*GOOGLEFINANCE(""CURRENCY:""&amp;AF11&amp;""""&amp;Dashboard!$L$1&amp;""""))),"&amp;"AS11))"),"")</f>
        <v/>
      </c>
      <c r="R11" s="178" t="str">
        <f t="shared" si="7"/>
        <v/>
      </c>
      <c r="S11" s="50" t="str">
        <f>IFERROR(__xludf.DUMMYFUNCTION("IF(ISBLANK(B11),"""",IFERROR((GOOGLEFINANCE(B11,""price"")/INDEX(GOOGLEFINANCE(B11,""price"",DATEVALUE(TODAY()-$S$2) ),2,2)-1),""""))"),"")</f>
        <v/>
      </c>
      <c r="U11" s="50" t="str">
        <f>IFERROR(__xludf.DUMMYFUNCTION("IF(ISBLANK(B11),"""",IFERROR((GOOGLEFINANCE($U$2,""price"")/INDEX(GOOGLEFINANCE($U$2,""price"",DATEVALUE(TODAY()-$S$2) ),2,2)-1),""""))"),"")</f>
        <v/>
      </c>
      <c r="W11" s="50" t="str">
        <f t="shared" si="8"/>
        <v/>
      </c>
      <c r="X11" s="50" t="str">
        <f t="shared" si="9"/>
        <v/>
      </c>
      <c r="Y11" s="179">
        <v>0.07</v>
      </c>
      <c r="Z11" s="50" t="str">
        <f t="shared" si="10"/>
        <v/>
      </c>
      <c r="AA11" s="14" t="str">
        <f t="shared" si="11"/>
        <v/>
      </c>
      <c r="AB11" s="50" t="str">
        <f t="shared" si="12"/>
        <v/>
      </c>
      <c r="AC11" s="179" t="str">
        <f t="shared" si="13"/>
        <v/>
      </c>
      <c r="AD11" s="50" t="str">
        <f t="shared" si="14"/>
        <v/>
      </c>
      <c r="AE11" s="180" t="str">
        <f t="shared" si="15"/>
        <v/>
      </c>
      <c r="AF11" s="14" t="str">
        <f t="array" ref="AF11">IFERROR(IF(ISBLANK(AH11),"",IF(VLOOKUP(AH11,Transactions!D:F,3,0)="Stablecoin",AH11,INDEX(Transactions!$B$3:$B149,MATCH(AH11,Transactions!$D$3:$D149,0),0))))</f>
        <v/>
      </c>
      <c r="AG11" s="14" t="str">
        <f>IF(ISBLANK(AH11),"",VLOOKUP(AH11,Transactions!D:E,2,0))</f>
        <v/>
      </c>
      <c r="AH11" s="14"/>
      <c r="AI11" s="158" t="str">
        <f>IF(ISBLANK(AH11),"",IF(
SUMIFS(Transactions!$I$3:$I149,Transactions!$H$3:$H149,"Buy",Transactions!$F$3:$F149,"Stock",Transactions!$D$3:$D149,AH11)
+SUMIFS(Transactions!$I$3:$I149,Transactions!$H$3:$H149,"DRIP",Transactions!$F$3:$F149,"Stock",Transactions!$D$3:$D149,AH11)
+SUMIFS(Transactions!$I$3:$I149,Transactions!$H$3:$H149,"Transfer Deposit",Transactions!$F$3:$F149,"Stock",Transactions!$D$3:$D149,AH11)
+SUMIFS(Transactions!$I$3:$I149,Transactions!$H$3:$H149,"Buy",Transactions!$F$3:$F149,"ETF",Transactions!$D$3:$D149,AH11)
+SUMIFS(Transactions!$I$3:$I149,Transactions!$H$3:$H149,"DRIP",Transactions!$F$3:$F149,"ETF",Transactions!$D$3:$D149,AH11)
+SUMIFS(Transactions!$I$3:$I149,Transactions!$H$3:$H149,"Transfer Deposit",Transactions!$F$3:$F149,"ETF",Transactions!$D$3:$D149,AH11)
+SUMIFS(Transactions!$I$3:$I149,Transactions!$H$3:$H149,"Buy",Transactions!$F$3:$F149,"Commodity",Transactions!$D$3:$D149,AH11)
+SUMIFS(Transactions!$I$3:$I149,Transactions!$H$3:$H149,"DRIP",Transactions!$F$3:$F149,"Commodity",Transactions!$D$3:$D149,AH11)
+SUMIFS(Transactions!$I$3:$I149,Transactions!$H$3:$H149,"Transfer Deposit",Transactions!$F$3:$F149,"Commodity",Transactions!$D$3:$D149,AH11)
+SUMIFS(Transactions!$I$3:$I149,Transactions!$H$3:$H149,"Buy",Transactions!$F$3:$F149,"Managed Fund",Transactions!$D$3:$D149,AH11)
+SUMIFS(Transactions!$I$3:$I149,Transactions!$H$3:$H149,"DRIP",Transactions!$F$3:$F149,"Managed Fund",Transactions!$D$3:$D149,AH11)
+SUMIFS(Transactions!$I$3:$I149,Transactions!$H$3:$H149,"Transfer Deposit",Transactions!$F$3:$F149,"Managed Fund",Transactions!$D$3:$D149,AH11)
+SUMIFS(Transactions!$I$3:$I149,Transactions!$H$3:$H149,"Buy",Transactions!$F$3:$F149,"REIT",Transactions!$D$3:$D149,AH11)
+SUMIFS(Transactions!$I$3:$I149,Transactions!$H$3:$H149,"DRIP",Transactions!$F$3:$F149,"REIT",Transactions!$D$3:$D149,AH11)
+SUMIFS(Transactions!$I$3:$I149,Transactions!$H$3:$H149,"Transfer Deposit",Transactions!$F$3:$F149,"REIT",Transactions!$D$3:$D149,AH11)
-SUMIFS(Transactions!$I$3:$I149,Transactions!$H$3:$H149,"Sell",Transactions!$F$3:$F149,"Stock",Transactions!$D$3:$D149,AH11)
-SUMIFS(Transactions!$I$3:$I149,Transactions!$H$3:$H149,"Transfer Send",Transactions!$F$3:$F149,"Stock",Transactions!$D$3:$D149,AH11)
-SUMIFS(Transactions!$I$3:$I149,Transactions!$H$3:$H149,"Sell",Transactions!$F$3:$F149,"ETF",Transactions!$D$3:$D149,AH11)
-SUMIFS(Transactions!$I$3:$I149,Transactions!$H$3:$H149,"Transfer Send",Transactions!$F$3:$F149,"ETF",Transactions!$D$3:$D149,AH11)
-SUMIFS(Transactions!$I$3:$I149,Transactions!$H$3:$H149,"Sell",Transactions!$F$3:$F149,"Commodity",Transactions!$D$3:$D149,AH11)
-SUMIFS(Transactions!$I$3:$I149,Transactions!$H$3:$H149,"Transfer Send",Transactions!$F$3:$F149,"Commodity",Transactions!$D$3:$D149,AH11)
-SUMIFS(Transactions!$I$3:$I149,Transactions!$H$3:$H149,"Sell",Transactions!$F$3:$F149,"Managed Fund",Transactions!$D$3:$D149,AH11)
-SUMIFS(Transactions!$I$3:$I149,Transactions!$H$3:$H149,"Transfer Send",Transactions!$F$3:$F149,"Managed Fund",Transactions!$D$3:$D149,AH11)
-SUMIFS(Transactions!$I$3:$I149,Transactions!$H$3:$H149,"Sell",Transactions!$F$3:$F149,"REIT",Transactions!$D$3:$D149,AH11)
-SUMIFS(Transactions!$I$3:$I149,Transactions!$H$3:$H149,"Transfer Send",Transactions!$F$3:$F149,"REIT",Transactions!$D$3:$D149,AH11)
+SUMIFS(Transactions!$I$3:$I149,Transactions!$H$3:$H149,"Buy",Transactions!$F$3:$F149,"Crypto",Transactions!$D$3:$D149,AH11)
+SUMIFS(Transactions!$I$3:$I149,Transactions!$H$3:$H149,"Crypto Interest",Transactions!$F$3:$F149,"Crypto",Transactions!$D$3:$D149,AH11)
+SUMIFS(Transactions!$I$3:$I149,Transactions!$H$3:$H149,"Transfer Deposit",Transactions!$F$3:$F149,"Crypto",Transactions!$D$3:$D149,AH11)
-SUMIFS(Transactions!$I$3:$I149,Transactions!$H$3:$H149,"Transfer Send",Transactions!$F$3:$F149,"Crypto",Transactions!$D$3:$D149,AH11)
-SUMIFS(Transactions!$I$3:$I149,Transactions!$H$3:$H149,"Sell",Transactions!$F$3:$F149,"Crypto",Transactions!$D$3:$D149,AH11)
+SUMIFS(Transactions!$I$3:$I149,Transactions!$H$3:$H149,"Buy",Transactions!$F$3:$F149,"Stablecoin",Transactions!$D$3:$D149,AH11)
+SUMIFS(Transactions!$I$3:$I149,Transactions!$H$3:$H149,"Crypto Interest",Transactions!$F$3:$F149,"Stablecoin",Transactions!$D$3:$D149,AH11)
+SUMIFS(Transactions!$I$3:$I149,Transactions!$H$3:$H149,"Transfer Deposit",Transactions!$F$3:$F149,"Stablecoin",Transactions!$D$3:$D149,AH11)
-SUMIFS(Transactions!$I$3:$I149,Transactions!$H$3:$H149,"Transfer Send",Transactions!$F$3:$F149,"Stablecoin",Transactions!$D$3:$D149,AH11)
-SUMIFS(Transactions!$I$3:$I149,Transactions!$H$3:$H149,"Sell",Transactions!$F$3:$F149,"Stablecoin",Transactions!$D$3:$D149,AH11)
-SUMIFS(Transactions!$M$3:$M149,Transactions!$H$3:$H149,"Buy",Transactions!$B$3:$B149,AH11)=0,"Sold All",
SUMIFS(Transactions!$I$3:$I149,Transactions!$H$3:$H149,"Buy",Transactions!$F$3:$F149,"Stock",Transactions!$D$3:$D149,AH11)
+SUMIFS(Transactions!$I$3:$I149,Transactions!$H$3:$H149,"DRIP",Transactions!$F$3:$F149,"Stock",Transactions!$D$3:$D149,AH11)
+SUMIFS(Transactions!$I$3:$I149,Transactions!$H$3:$H149,"Transfer Deposit",Transactions!$F$3:$F149,"Stock",Transactions!$D$3:$D149,AH11)
+SUMIFS(Transactions!$I$3:$I149,Transactions!$H$3:$H149,"Buy",Transactions!$F$3:$F149,"ETF",Transactions!$D$3:$D149,AH11)
+SUMIFS(Transactions!$I$3:$I149,Transactions!$H$3:$H149,"DRIP",Transactions!$F$3:$F149,"ETF",Transactions!$D$3:$D149,AH11)
+SUMIFS(Transactions!$I$3:$I149,Transactions!$H$3:$H149,"Transfer Deposit",Transactions!$F$3:$F149,"ETF",Transactions!$D$3:$D149,AH11)
+SUMIFS(Transactions!$I$3:$I149,Transactions!$H$3:$H149,"Buy",Transactions!$F$3:$F149,"Commodity",Transactions!$D$3:$D149,AH11)
+SUMIFS(Transactions!$I$3:$I149,Transactions!$H$3:$H149,"DRIP",Transactions!$F$3:$F149,"Commodity",Transactions!$D$3:$D149,AH11)
+SUMIFS(Transactions!$I$3:$I149,Transactions!$H$3:$H149,"Transfer Deposit",Transactions!$F$3:$F149,"Commodity",Transactions!$D$3:$D149,AH11)
+SUMIFS(Transactions!$I$3:$I149,Transactions!$H$3:$H149,"Buy",Transactions!$F$3:$F149,"Managed Fund",Transactions!$D$3:$D149,AH11)
+SUMIFS(Transactions!$I$3:$I149,Transactions!$H$3:$H149,"DRIP",Transactions!$F$3:$F149,"Managed Fund",Transactions!$D$3:$D149,AH11)
+SUMIFS(Transactions!$I$3:$I149,Transactions!$H$3:$H149,"Transfer Deposit",Transactions!$F$3:$F149,"Managed Fund",Transactions!$D$3:$D149,AH11)
+SUMIFS(Transactions!$I$3:$I149,Transactions!$H$3:$H149,"Buy",Transactions!$F$3:$F149,"REIT",Transactions!$D$3:$D149,AH11)
+SUMIFS(Transactions!$I$3:$I149,Transactions!$H$3:$H149,"DRIP",Transactions!$F$3:$F149,"REIT",Transactions!$D$3:$D149,AH11)
+SUMIFS(Transactions!$I$3:$I149,Transactions!$H$3:$H149,"Transfer Deposit",Transactions!$F$3:$F149,"REIT",Transactions!$D$3:$D149,AH11)
-SUMIFS(Transactions!$I$3:$I149,Transactions!$H$3:$H149,"Sell",Transactions!$F$3:$F149,"Stock",Transactions!$D$3:$D149,AH11)
-SUMIFS(Transactions!$I$3:$I149,Transactions!$H$3:$H149,"Transfer Send",Transactions!$F$3:$F149,"Stock",Transactions!$D$3:$D149,AH11)
-SUMIFS(Transactions!$I$3:$I149,Transactions!$H$3:$H149,"Sell",Transactions!$F$3:$F149,"ETF",Transactions!$D$3:$D149,AH11)
-SUMIFS(Transactions!$I$3:$I149,Transactions!$H$3:$H149,"Transfer Send",Transactions!$F$3:$F149,"ETF",Transactions!$D$3:$D149,AH11)
-SUMIFS(Transactions!$I$3:$I149,Transactions!$H$3:$H149,"Sell",Transactions!$F$3:$F149,"Commodity",Transactions!$D$3:$D149,AH11)
-SUMIFS(Transactions!$I$3:$I149,Transactions!$H$3:$H149,"Transfer Send",Transactions!$F$3:$F149,"Commodity",Transactions!$D$3:$D149,AH11)
-SUMIFS(Transactions!$I$3:$I149,Transactions!$H$3:$H149,"Sell",Transactions!$F$3:$F149,"Managed Fund",Transactions!$D$3:$D149,AH11)
-SUMIFS(Transactions!$I$3:$I149,Transactions!$H$3:$H149,"Transfer Send",Transactions!$F$3:$F149,"Managed Fund",Transactions!$D$3:$D149,AH11)
-SUMIFS(Transactions!$I$3:$I149,Transactions!$H$3:$H149,"Sell",Transactions!$F$3:$F149,"REIT",Transactions!$D$3:$D149,AH11)
-SUMIFS(Transactions!$I$3:$I149,Transactions!$H$3:$H149,"Transfer Send",Transactions!$F$3:$F149,"REIT",Transactions!$D$3:$D149,AH11)
+SUMIFS(Transactions!$I$3:$I149,Transactions!$H$3:$H149,"Buy",Transactions!$F$3:$F149,"Crypto",Transactions!$D$3:$D149,AH11)
+SUMIFS(Transactions!$I$3:$I149,Transactions!$H$3:$H149,"Crypto Interest",Transactions!$F$3:$F149,"Crypto",Transactions!$D$3:$D149,AH11)
+SUMIFS(Transactions!$I$3:$I149,Transactions!$H$3:$H149,"Transfer Deposit",Transactions!$F$3:$F149,"Crypto",Transactions!$D$3:$D149,AH11)
-SUMIFS(Transactions!$I$3:$I149,Transactions!$H$3:$H149,"Transfer Send",Transactions!$F$3:$F149,"Crypto",Transactions!$D$3:$D149,AH11)
-SUMIFS(Transactions!$I$3:$I149,Transactions!$H$3:$H149,"Sell",Transactions!$F$3:$F149,"Crypto",Transactions!$D$3:$D149,AH11)
+SUMIFS(Transactions!$I$3:$I149,Transactions!$H$3:$H149,"Buy",Transactions!$F$3:$F149,"Stablecoin",Transactions!$D$3:$D149,AH11)
+SUMIFS(Transactions!$I$3:$I149,Transactions!$H$3:$H149,"Crypto Interest",Transactions!$F$3:$F149,"Stablecoin",Transactions!$D$3:$D149,AH11)
+SUMIFS(Transactions!$I$3:$I149,Transactions!$H$3:$H149,"Transfer Deposit",Transactions!$F$3:$F149,"Stablecoin",Transactions!$D$3:$D149,AH11)
-SUMIFS(Transactions!$I$3:$I149,Transactions!$H$3:$H149,"Transfer Send",Transactions!$F$3:$F149,"Stablecoin",Transactions!$D$3:$D149,AH11)
-SUMIFS(Transactions!$I$3:$I149,Transactions!$H$3:$H149,"Sell",Transactions!$F$3:$F149,"Stablecoin",Transactions!$D$3:$D149,AH11)
-SUMIFS(Transactions!$M$3:$M149,Transactions!$H$3:$H149,"Buy",Transactions!$B$3:$B149,AH11)))</f>
        <v/>
      </c>
      <c r="AJ11" s="181" t="str">
        <f>IFERROR(__xludf.DUMMYFUNCTION("IF(ISBLANK(AH11),"""",VLOOKUP(9^99,FILTER({ROW(Transactions!P:P),Transactions!P:P},Transactions!D:D=AH11),2))"),"")</f>
        <v/>
      </c>
      <c r="AK11" s="181" t="str">
        <f>IFERROR(__xludf.DUMMYFUNCTION("IF(ISBLANK(AH11),"""",IFERROR(GOOGLEFINANCE(AH11,""price""),IFERROR(GOOGLEFINANCE(""CURRENCY:""&amp;AH11&amp;""""),IFERROR(INDEX(YAHOO_STOCK(TRIM(AH11), $G$2),0,1),INDEX(IMPORTHTML(CONCAT(""https://coinmarketcap.com/currencies/"",AG11),""table"",1),1,2)))))"),"")</f>
        <v/>
      </c>
      <c r="AL11" s="14" t="str">
        <f>IFERROR(__xludf.DUMMYFUNCTION("IF(ISBLANK(AH11),"""",IFERROR(SPARKLINE(INDEX(GOOGLEFINANCE(AH11,""price"",TODAY()-$AL$2,TODAY()),,2),{""charttype"",""column"";""color"",""17a7e0""}),""""))"),"")</f>
        <v/>
      </c>
      <c r="AM11" s="50" t="str">
        <f>IFERROR(__xludf.DUMMYFUNCTION("IFNA(IFERROR(IF(AH11="""","""",GOOGLEFINANCE(AH11,""changepct"")/100),(GOOGLEFINANCE(AH11)-(INDEX(GOOGLEFINANCE(""CURRENCY:""&amp;AH11&amp;"""",""price"",TODAY()-1),2,2)))/(INDEX(GOOGLEFINANCE(""CURRENCY:""&amp;AH11&amp;"""",""price"",TODAY()-1),2,2))),)"),"")</f>
        <v/>
      </c>
      <c r="AN11" s="96" t="str">
        <f>IFERROR(__xludf.DUMMYFUNCTION("IFNA(IFERROR(IF(AH11="""","""",GOOGLEFINANCE(AH11,""change"")*AI11),(GOOGLEFINANCE(AH11)-(INDEX(GOOGLEFINANCE(""CURRENCY:""&amp;AH11&amp;"""",""price"",TODAY()-1),2,2)))*AI11),"""")"),"")</f>
        <v/>
      </c>
      <c r="AO11" s="96" t="str">
        <f>IF(ISBLANK(AH11),"",IFERROR(((AI11-SUMIFS(Transactions!I:I,Transactions!H:H,"Crypto Interest",Transactions!D:D,AH11))*AJ11),""))</f>
        <v/>
      </c>
      <c r="AP11" s="96" t="str">
        <f t="shared" si="16"/>
        <v/>
      </c>
      <c r="AQ11" s="50" t="str">
        <f t="shared" si="17"/>
        <v/>
      </c>
      <c r="AR11" s="96" t="str">
        <f t="shared" si="18"/>
        <v/>
      </c>
      <c r="AS11" s="96" t="str">
        <f>IF(ISBLANK(AH11),"",SUMIFS(Transactions!$X$3:$X149,Transactions!$H$3:$H149,"Sell",Transactions!$D$3:$D149,AH11))</f>
        <v/>
      </c>
      <c r="AT11" s="96" t="str">
        <f t="shared" si="19"/>
        <v/>
      </c>
      <c r="AU11" s="50" t="str">
        <f>IFERROR(__xludf.DUMMYFUNCTION("IF(ISBLANK(AH11),"""",IFERROR((GOOGLEFINANCE(AH11,""price"")/INDEX(GOOGLEFINANCE(AH11,""price"",DATEVALUE(TODAY()-$AU$2) ),2,2)-1),""""))"),"")</f>
        <v/>
      </c>
      <c r="AW11" s="50" t="str">
        <f>IFERROR(__xludf.DUMMYFUNCTION("IF(ISBLANK(AH11),"""",IFERROR((GOOGLEFINANCE($AW$2,""price"")/INDEX(GOOGLEFINANCE($AW$2,""price"",DATEVALUE(TODAY()-$AU$2) ),2,2)-1),""""))"),"")</f>
        <v/>
      </c>
      <c r="AY11" s="50" t="str">
        <f t="shared" si="20"/>
        <v/>
      </c>
      <c r="AZ11" s="50" t="str">
        <f t="shared" si="21"/>
        <v/>
      </c>
      <c r="BA11" s="50">
        <f t="shared" si="22"/>
        <v>0.07</v>
      </c>
      <c r="BB11" s="14" t="str">
        <f t="shared" si="23"/>
        <v/>
      </c>
      <c r="BC11" s="14" t="str">
        <f>IF(ISBLANK(AH11),"",IFERROR(VLOOKUP(AH11,Transactions!D:F,3,0)))</f>
        <v/>
      </c>
      <c r="BD11" s="50" t="str">
        <f t="shared" si="24"/>
        <v/>
      </c>
      <c r="BE11" s="50" t="str">
        <f t="shared" si="25"/>
        <v/>
      </c>
      <c r="BF11" s="14" t="str">
        <f t="shared" si="26"/>
        <v/>
      </c>
      <c r="BG11" s="180" t="str">
        <f>IF(ISBLANK(AH11),"",IFERROR(VLOOKUP(AH11,Transactions!D:G,4,0)))</f>
        <v/>
      </c>
    </row>
    <row r="12">
      <c r="A12" s="14" t="str">
        <f t="shared" ref="A12:C12" si="34">AG12</f>
        <v/>
      </c>
      <c r="B12" s="14" t="str">
        <f t="shared" si="34"/>
        <v/>
      </c>
      <c r="C12" s="175" t="str">
        <f t="shared" si="34"/>
        <v/>
      </c>
      <c r="D12" s="176" t="str">
        <f>IFERROR(__xludf.DUMMYFUNCTION("IF(ISBLANK(B12),"""",IFERROR(IF(OR(AF12=""GPB"",AF12=""ZAR""),IF(AF12=Dashboard!$L$1,AJ12,(AJ12*GOOGLEFINANCE(""CURRENCY:""&amp;AF12&amp;""""&amp;Dashboard!$L$1&amp;""""))/100),IF(AF12=Dashboard!$L$1,AJ12,AJ12*GOOGLEFINANCE(""CURRENCY:""&amp;AF12&amp;""""&amp;Dashboard!$L$1&amp;""""))),"&amp;"AJ12))"),"")</f>
        <v/>
      </c>
      <c r="E12" s="177" t="str">
        <f>IFERROR(__xludf.DUMMYFUNCTION("IFERROR(IF(OR(AF12=""GBP"",AF12=""ZAR""),IF(B12="""","""",IF(AF12=Dashboard!$L$1,AK12,AK12*GOOGLEFINANCE(""CURRENCY:""&amp;AF12&amp;""""&amp;Dashboard!$L$1&amp;"""")))/100,If(B12="""","""",IF(AF12=Dashboard!$L$1,AK12,AK12*GOOGLEFINANCE(""CURRENCY:""&amp;AF12&amp;""""&amp;Dashboard!$"&amp;"L$1&amp;"""")))),AK12)"),"")</f>
        <v/>
      </c>
      <c r="F12" s="145">
        <f>IFERROR(__xludf.DUMMYFUNCTION(" E12 * GOOGLEFINANCE(""CURRENCY:USDEUR"") "),0.0)</f>
        <v>0</v>
      </c>
      <c r="G12" s="96" t="str">
        <f>IFERROR(__xludf.DUMMYFUNCTION("IF(ISBLANK(B12),"""",IFERROR(SPARKLINE(INDEX(GOOGLEFINANCE(B12,""price"",TODAY()-$G$2,TODAY()),,2),{""charttype"",""column"";""color"",""17a7e0""}),""""))"),"")</f>
        <v/>
      </c>
      <c r="H12" s="50" t="str">
        <f t="shared" si="3"/>
        <v/>
      </c>
      <c r="I12" s="96" t="str">
        <f>IFERROR(__xludf.DUMMYFUNCTION("IF(ISBLANK(B12),"""",IFERROR(IF(OR(AF12=""GPB"",AF12=""ZAR""),IF(AF12=Dashboard!$L$1,AN12,(AN12*GOOGLEFINANCE(""CURRENCY:""&amp;AF12&amp;""""&amp;Dashboard!$L$1&amp;""""))/100),IF(AF12=Dashboard!$L$1,AN12,AN12*GOOGLEFINANCE(""CURRENCY:""&amp;AF12&amp;""""&amp;Dashboard!$L$1&amp;""""))),"&amp;"AN12))"),"")</f>
        <v/>
      </c>
      <c r="J12" s="178" t="str">
        <f>IF(ISBLANK(B12),"",IFERROR(((C12-SUMIFS(Transactions!I:I,Transactions!H:H,"Crypto Interest",Transactions!D:D,B12))*D12),""))</f>
        <v/>
      </c>
      <c r="K12" s="178" t="str">
        <f t="shared" si="4"/>
        <v/>
      </c>
      <c r="L12" s="145">
        <f>-SUMIFS(Transactions!$M$3:$M149,Transactions!$H$3:$H149,"Buy",Transactions!$D$3:$D149,B12)</f>
        <v>0</v>
      </c>
      <c r="M12" s="145">
        <f>IF(ISBLANK(AG12),"",SUMIFS(Transactions!$M$3:$M149,Transactions!$H$3:$H149,"Dividend",Transactions!$D$3:$D149,B12))</f>
        <v>0</v>
      </c>
      <c r="N12" s="145" t="str">
        <f>IF(ISBLANK(AH12),"",SUMIFS(Transactions!$M$3:$M149,Transactions!$H$3:$H149,"Sell",Transactions!$D$3:$D149,B12))</f>
        <v/>
      </c>
      <c r="O12" s="50" t="str">
        <f t="shared" si="5"/>
        <v/>
      </c>
      <c r="P12" s="178" t="str">
        <f t="shared" si="6"/>
        <v/>
      </c>
      <c r="Q12" s="178" t="str">
        <f>IFERROR(__xludf.DUMMYFUNCTION("IF(ISBLANK(B12),"""",IFERROR(IF(OR(AF12=""GPB"",AF12=""ZAR""),IF(AF12=Dashboard!$L$1,AS12,(AS12*GOOGLEFINANCE(""CURRENCY:""&amp;AF12&amp;""""&amp;Dashboard!$L$1&amp;""""))/100),IF(AF12=Dashboard!$L$1,AS12,AS12*GOOGLEFINANCE(""CURRENCY:""&amp;AF12&amp;""""&amp;Dashboard!$L$1&amp;""""))),"&amp;"AS12))"),"")</f>
        <v/>
      </c>
      <c r="R12" s="178" t="str">
        <f t="shared" si="7"/>
        <v/>
      </c>
      <c r="S12" s="50" t="str">
        <f>IFERROR(__xludf.DUMMYFUNCTION("IF(ISBLANK(B12),"""",IFERROR((GOOGLEFINANCE(B12,""price"")/INDEX(GOOGLEFINANCE(B12,""price"",DATEVALUE(TODAY()-$S$2) ),2,2)-1),""""))"),"")</f>
        <v/>
      </c>
      <c r="U12" s="50" t="str">
        <f>IFERROR(__xludf.DUMMYFUNCTION("IF(ISBLANK(B12),"""",IFERROR((GOOGLEFINANCE($U$2,""price"")/INDEX(GOOGLEFINANCE($U$2,""price"",DATEVALUE(TODAY()-$S$2) ),2,2)-1),""""))"),"")</f>
        <v/>
      </c>
      <c r="W12" s="50" t="str">
        <f t="shared" si="8"/>
        <v/>
      </c>
      <c r="X12" s="50" t="str">
        <f t="shared" si="9"/>
        <v/>
      </c>
      <c r="Y12" s="179">
        <v>0.005</v>
      </c>
      <c r="Z12" s="50" t="str">
        <f t="shared" si="10"/>
        <v/>
      </c>
      <c r="AA12" s="14" t="str">
        <f t="shared" si="11"/>
        <v/>
      </c>
      <c r="AB12" s="50" t="str">
        <f t="shared" si="12"/>
        <v/>
      </c>
      <c r="AC12" s="179" t="str">
        <f t="shared" si="13"/>
        <v/>
      </c>
      <c r="AD12" s="50" t="str">
        <f t="shared" si="14"/>
        <v/>
      </c>
      <c r="AE12" s="180" t="str">
        <f t="shared" si="15"/>
        <v/>
      </c>
      <c r="AF12" s="14" t="str">
        <f t="array" ref="AF12">IFERROR(IF(ISBLANK(AH12),"",IF(VLOOKUP(AH12,Transactions!D:F,3,0)="Stablecoin",AH12,INDEX(Transactions!$B$3:$B149,MATCH(AH12,Transactions!$D$3:$D149,0),0))))</f>
        <v/>
      </c>
      <c r="AG12" s="14" t="str">
        <f>IF(ISBLANK(AH12),"",VLOOKUP(AH12,Transactions!D:E,2,0))</f>
        <v/>
      </c>
      <c r="AH12" s="14"/>
      <c r="AI12" s="158" t="str">
        <f>IF(ISBLANK(AH12),"",IF(
SUMIFS(Transactions!$I$3:$I149,Transactions!$H$3:$H149,"Buy",Transactions!$F$3:$F149,"Stock",Transactions!$D$3:$D149,AH12)
+SUMIFS(Transactions!$I$3:$I149,Transactions!$H$3:$H149,"DRIP",Transactions!$F$3:$F149,"Stock",Transactions!$D$3:$D149,AH12)
+SUMIFS(Transactions!$I$3:$I149,Transactions!$H$3:$H149,"Transfer Deposit",Transactions!$F$3:$F149,"Stock",Transactions!$D$3:$D149,AH12)
+SUMIFS(Transactions!$I$3:$I149,Transactions!$H$3:$H149,"Buy",Transactions!$F$3:$F149,"ETF",Transactions!$D$3:$D149,AH12)
+SUMIFS(Transactions!$I$3:$I149,Transactions!$H$3:$H149,"DRIP",Transactions!$F$3:$F149,"ETF",Transactions!$D$3:$D149,AH12)
+SUMIFS(Transactions!$I$3:$I149,Transactions!$H$3:$H149,"Transfer Deposit",Transactions!$F$3:$F149,"ETF",Transactions!$D$3:$D149,AH12)
+SUMIFS(Transactions!$I$3:$I149,Transactions!$H$3:$H149,"Buy",Transactions!$F$3:$F149,"Commodity",Transactions!$D$3:$D149,AH12)
+SUMIFS(Transactions!$I$3:$I149,Transactions!$H$3:$H149,"DRIP",Transactions!$F$3:$F149,"Commodity",Transactions!$D$3:$D149,AH12)
+SUMIFS(Transactions!$I$3:$I149,Transactions!$H$3:$H149,"Transfer Deposit",Transactions!$F$3:$F149,"Commodity",Transactions!$D$3:$D149,AH12)
+SUMIFS(Transactions!$I$3:$I149,Transactions!$H$3:$H149,"Buy",Transactions!$F$3:$F149,"Managed Fund",Transactions!$D$3:$D149,AH12)
+SUMIFS(Transactions!$I$3:$I149,Transactions!$H$3:$H149,"DRIP",Transactions!$F$3:$F149,"Managed Fund",Transactions!$D$3:$D149,AH12)
+SUMIFS(Transactions!$I$3:$I149,Transactions!$H$3:$H149,"Transfer Deposit",Transactions!$F$3:$F149,"Managed Fund",Transactions!$D$3:$D149,AH12)
+SUMIFS(Transactions!$I$3:$I149,Transactions!$H$3:$H149,"Buy",Transactions!$F$3:$F149,"REIT",Transactions!$D$3:$D149,AH12)
+SUMIFS(Transactions!$I$3:$I149,Transactions!$H$3:$H149,"DRIP",Transactions!$F$3:$F149,"REIT",Transactions!$D$3:$D149,AH12)
+SUMIFS(Transactions!$I$3:$I149,Transactions!$H$3:$H149,"Transfer Deposit",Transactions!$F$3:$F149,"REIT",Transactions!$D$3:$D149,AH12)
-SUMIFS(Transactions!$I$3:$I149,Transactions!$H$3:$H149,"Sell",Transactions!$F$3:$F149,"Stock",Transactions!$D$3:$D149,AH12)
-SUMIFS(Transactions!$I$3:$I149,Transactions!$H$3:$H149,"Transfer Send",Transactions!$F$3:$F149,"Stock",Transactions!$D$3:$D149,AH12)
-SUMIFS(Transactions!$I$3:$I149,Transactions!$H$3:$H149,"Sell",Transactions!$F$3:$F149,"ETF",Transactions!$D$3:$D149,AH12)
-SUMIFS(Transactions!$I$3:$I149,Transactions!$H$3:$H149,"Transfer Send",Transactions!$F$3:$F149,"ETF",Transactions!$D$3:$D149,AH12)
-SUMIFS(Transactions!$I$3:$I149,Transactions!$H$3:$H149,"Sell",Transactions!$F$3:$F149,"Commodity",Transactions!$D$3:$D149,AH12)
-SUMIFS(Transactions!$I$3:$I149,Transactions!$H$3:$H149,"Transfer Send",Transactions!$F$3:$F149,"Commodity",Transactions!$D$3:$D149,AH12)
-SUMIFS(Transactions!$I$3:$I149,Transactions!$H$3:$H149,"Sell",Transactions!$F$3:$F149,"Managed Fund",Transactions!$D$3:$D149,AH12)
-SUMIFS(Transactions!$I$3:$I149,Transactions!$H$3:$H149,"Transfer Send",Transactions!$F$3:$F149,"Managed Fund",Transactions!$D$3:$D149,AH12)
-SUMIFS(Transactions!$I$3:$I149,Transactions!$H$3:$H149,"Sell",Transactions!$F$3:$F149,"REIT",Transactions!$D$3:$D149,AH12)
-SUMIFS(Transactions!$I$3:$I149,Transactions!$H$3:$H149,"Transfer Send",Transactions!$F$3:$F149,"REIT",Transactions!$D$3:$D149,AH12)
+SUMIFS(Transactions!$I$3:$I149,Transactions!$H$3:$H149,"Buy",Transactions!$F$3:$F149,"Crypto",Transactions!$D$3:$D149,AH12)
+SUMIFS(Transactions!$I$3:$I149,Transactions!$H$3:$H149,"Crypto Interest",Transactions!$F$3:$F149,"Crypto",Transactions!$D$3:$D149,AH12)
+SUMIFS(Transactions!$I$3:$I149,Transactions!$H$3:$H149,"Transfer Deposit",Transactions!$F$3:$F149,"Crypto",Transactions!$D$3:$D149,AH12)
-SUMIFS(Transactions!$I$3:$I149,Transactions!$H$3:$H149,"Transfer Send",Transactions!$F$3:$F149,"Crypto",Transactions!$D$3:$D149,AH12)
-SUMIFS(Transactions!$I$3:$I149,Transactions!$H$3:$H149,"Sell",Transactions!$F$3:$F149,"Crypto",Transactions!$D$3:$D149,AH12)
+SUMIFS(Transactions!$I$3:$I149,Transactions!$H$3:$H149,"Buy",Transactions!$F$3:$F149,"Stablecoin",Transactions!$D$3:$D149,AH12)
+SUMIFS(Transactions!$I$3:$I149,Transactions!$H$3:$H149,"Crypto Interest",Transactions!$F$3:$F149,"Stablecoin",Transactions!$D$3:$D149,AH12)
+SUMIFS(Transactions!$I$3:$I149,Transactions!$H$3:$H149,"Transfer Deposit",Transactions!$F$3:$F149,"Stablecoin",Transactions!$D$3:$D149,AH12)
-SUMIFS(Transactions!$I$3:$I149,Transactions!$H$3:$H149,"Transfer Send",Transactions!$F$3:$F149,"Stablecoin",Transactions!$D$3:$D149,AH12)
-SUMIFS(Transactions!$I$3:$I149,Transactions!$H$3:$H149,"Sell",Transactions!$F$3:$F149,"Stablecoin",Transactions!$D$3:$D149,AH12)
-SUMIFS(Transactions!$M$3:$M149,Transactions!$H$3:$H149,"Buy",Transactions!$B$3:$B149,AH12)=0,"Sold All",
SUMIFS(Transactions!$I$3:$I149,Transactions!$H$3:$H149,"Buy",Transactions!$F$3:$F149,"Stock",Transactions!$D$3:$D149,AH12)
+SUMIFS(Transactions!$I$3:$I149,Transactions!$H$3:$H149,"DRIP",Transactions!$F$3:$F149,"Stock",Transactions!$D$3:$D149,AH12)
+SUMIFS(Transactions!$I$3:$I149,Transactions!$H$3:$H149,"Transfer Deposit",Transactions!$F$3:$F149,"Stock",Transactions!$D$3:$D149,AH12)
+SUMIFS(Transactions!$I$3:$I149,Transactions!$H$3:$H149,"Buy",Transactions!$F$3:$F149,"ETF",Transactions!$D$3:$D149,AH12)
+SUMIFS(Transactions!$I$3:$I149,Transactions!$H$3:$H149,"DRIP",Transactions!$F$3:$F149,"ETF",Transactions!$D$3:$D149,AH12)
+SUMIFS(Transactions!$I$3:$I149,Transactions!$H$3:$H149,"Transfer Deposit",Transactions!$F$3:$F149,"ETF",Transactions!$D$3:$D149,AH12)
+SUMIFS(Transactions!$I$3:$I149,Transactions!$H$3:$H149,"Buy",Transactions!$F$3:$F149,"Commodity",Transactions!$D$3:$D149,AH12)
+SUMIFS(Transactions!$I$3:$I149,Transactions!$H$3:$H149,"DRIP",Transactions!$F$3:$F149,"Commodity",Transactions!$D$3:$D149,AH12)
+SUMIFS(Transactions!$I$3:$I149,Transactions!$H$3:$H149,"Transfer Deposit",Transactions!$F$3:$F149,"Commodity",Transactions!$D$3:$D149,AH12)
+SUMIFS(Transactions!$I$3:$I149,Transactions!$H$3:$H149,"Buy",Transactions!$F$3:$F149,"Managed Fund",Transactions!$D$3:$D149,AH12)
+SUMIFS(Transactions!$I$3:$I149,Transactions!$H$3:$H149,"DRIP",Transactions!$F$3:$F149,"Managed Fund",Transactions!$D$3:$D149,AH12)
+SUMIFS(Transactions!$I$3:$I149,Transactions!$H$3:$H149,"Transfer Deposit",Transactions!$F$3:$F149,"Managed Fund",Transactions!$D$3:$D149,AH12)
+SUMIFS(Transactions!$I$3:$I149,Transactions!$H$3:$H149,"Buy",Transactions!$F$3:$F149,"REIT",Transactions!$D$3:$D149,AH12)
+SUMIFS(Transactions!$I$3:$I149,Transactions!$H$3:$H149,"DRIP",Transactions!$F$3:$F149,"REIT",Transactions!$D$3:$D149,AH12)
+SUMIFS(Transactions!$I$3:$I149,Transactions!$H$3:$H149,"Transfer Deposit",Transactions!$F$3:$F149,"REIT",Transactions!$D$3:$D149,AH12)
-SUMIFS(Transactions!$I$3:$I149,Transactions!$H$3:$H149,"Sell",Transactions!$F$3:$F149,"Stock",Transactions!$D$3:$D149,AH12)
-SUMIFS(Transactions!$I$3:$I149,Transactions!$H$3:$H149,"Transfer Send",Transactions!$F$3:$F149,"Stock",Transactions!$D$3:$D149,AH12)
-SUMIFS(Transactions!$I$3:$I149,Transactions!$H$3:$H149,"Sell",Transactions!$F$3:$F149,"ETF",Transactions!$D$3:$D149,AH12)
-SUMIFS(Transactions!$I$3:$I149,Transactions!$H$3:$H149,"Transfer Send",Transactions!$F$3:$F149,"ETF",Transactions!$D$3:$D149,AH12)
-SUMIFS(Transactions!$I$3:$I149,Transactions!$H$3:$H149,"Sell",Transactions!$F$3:$F149,"Commodity",Transactions!$D$3:$D149,AH12)
-SUMIFS(Transactions!$I$3:$I149,Transactions!$H$3:$H149,"Transfer Send",Transactions!$F$3:$F149,"Commodity",Transactions!$D$3:$D149,AH12)
-SUMIFS(Transactions!$I$3:$I149,Transactions!$H$3:$H149,"Sell",Transactions!$F$3:$F149,"Managed Fund",Transactions!$D$3:$D149,AH12)
-SUMIFS(Transactions!$I$3:$I149,Transactions!$H$3:$H149,"Transfer Send",Transactions!$F$3:$F149,"Managed Fund",Transactions!$D$3:$D149,AH12)
-SUMIFS(Transactions!$I$3:$I149,Transactions!$H$3:$H149,"Sell",Transactions!$F$3:$F149,"REIT",Transactions!$D$3:$D149,AH12)
-SUMIFS(Transactions!$I$3:$I149,Transactions!$H$3:$H149,"Transfer Send",Transactions!$F$3:$F149,"REIT",Transactions!$D$3:$D149,AH12)
+SUMIFS(Transactions!$I$3:$I149,Transactions!$H$3:$H149,"Buy",Transactions!$F$3:$F149,"Crypto",Transactions!$D$3:$D149,AH12)
+SUMIFS(Transactions!$I$3:$I149,Transactions!$H$3:$H149,"Crypto Interest",Transactions!$F$3:$F149,"Crypto",Transactions!$D$3:$D149,AH12)
+SUMIFS(Transactions!$I$3:$I149,Transactions!$H$3:$H149,"Transfer Deposit",Transactions!$F$3:$F149,"Crypto",Transactions!$D$3:$D149,AH12)
-SUMIFS(Transactions!$I$3:$I149,Transactions!$H$3:$H149,"Transfer Send",Transactions!$F$3:$F149,"Crypto",Transactions!$D$3:$D149,AH12)
-SUMIFS(Transactions!$I$3:$I149,Transactions!$H$3:$H149,"Sell",Transactions!$F$3:$F149,"Crypto",Transactions!$D$3:$D149,AH12)
+SUMIFS(Transactions!$I$3:$I149,Transactions!$H$3:$H149,"Buy",Transactions!$F$3:$F149,"Stablecoin",Transactions!$D$3:$D149,AH12)
+SUMIFS(Transactions!$I$3:$I149,Transactions!$H$3:$H149,"Crypto Interest",Transactions!$F$3:$F149,"Stablecoin",Transactions!$D$3:$D149,AH12)
+SUMIFS(Transactions!$I$3:$I149,Transactions!$H$3:$H149,"Transfer Deposit",Transactions!$F$3:$F149,"Stablecoin",Transactions!$D$3:$D149,AH12)
-SUMIFS(Transactions!$I$3:$I149,Transactions!$H$3:$H149,"Transfer Send",Transactions!$F$3:$F149,"Stablecoin",Transactions!$D$3:$D149,AH12)
-SUMIFS(Transactions!$I$3:$I149,Transactions!$H$3:$H149,"Sell",Transactions!$F$3:$F149,"Stablecoin",Transactions!$D$3:$D149,AH12)
-SUMIFS(Transactions!$M$3:$M149,Transactions!$H$3:$H149,"Buy",Transactions!$B$3:$B149,AH12)))</f>
        <v/>
      </c>
      <c r="AJ12" s="181" t="str">
        <f>IFERROR(__xludf.DUMMYFUNCTION("IF(ISBLANK(AH12),"""",VLOOKUP(9^99,FILTER({ROW(Transactions!P:P),Transactions!P:P},Transactions!D:D=AH12),2))"),"")</f>
        <v/>
      </c>
      <c r="AK12" s="181" t="str">
        <f>IFERROR(__xludf.DUMMYFUNCTION("IF(ISBLANK(AH12),"""",IFERROR(GOOGLEFINANCE(AH12,""price""),IFERROR(GOOGLEFINANCE(""CURRENCY:""&amp;AH12&amp;""""),IFERROR(INDEX(YAHOO_STOCK(TRIM(AH12), $G$2),0,1),INDEX(IMPORTHTML(CONCAT(""https://coinmarketcap.com/currencies/"",AG12),""table"",1),1,2)))))"),"")</f>
        <v/>
      </c>
      <c r="AL12" s="14" t="str">
        <f>IFERROR(__xludf.DUMMYFUNCTION("IF(ISBLANK(AH12),"""",IFERROR(SPARKLINE(INDEX(GOOGLEFINANCE(AH12,""price"",TODAY()-$AL$2,TODAY()),,2),{""charttype"",""column"";""color"",""17a7e0""}),""""))"),"")</f>
        <v/>
      </c>
      <c r="AM12" s="50" t="str">
        <f>IFERROR(__xludf.DUMMYFUNCTION("IFNA(IFERROR(IF(AH12="""","""",GOOGLEFINANCE(AH12,""changepct"")/100),(GOOGLEFINANCE(AH12)-(INDEX(GOOGLEFINANCE(""CURRENCY:""&amp;AH12&amp;"""",""price"",TODAY()-1),2,2)))/(INDEX(GOOGLEFINANCE(""CURRENCY:""&amp;AH12&amp;"""",""price"",TODAY()-1),2,2))),)"),"")</f>
        <v/>
      </c>
      <c r="AN12" s="96" t="str">
        <f>IFERROR(__xludf.DUMMYFUNCTION("IFNA(IFERROR(IF(AH12="""","""",GOOGLEFINANCE(AH12,""change"")*AI12),(GOOGLEFINANCE(AH12)-(INDEX(GOOGLEFINANCE(""CURRENCY:""&amp;AH12&amp;"""",""price"",TODAY()-1),2,2)))*AI12),"""")"),"")</f>
        <v/>
      </c>
      <c r="AO12" s="96" t="str">
        <f>IF(ISBLANK(AH12),"",IFERROR(((AI12-SUMIFS(Transactions!I:I,Transactions!H:H,"Crypto Interest",Transactions!D:D,AH12))*AJ12),""))</f>
        <v/>
      </c>
      <c r="AP12" s="96" t="str">
        <f t="shared" si="16"/>
        <v/>
      </c>
      <c r="AQ12" s="50" t="str">
        <f t="shared" si="17"/>
        <v/>
      </c>
      <c r="AR12" s="96" t="str">
        <f t="shared" si="18"/>
        <v/>
      </c>
      <c r="AS12" s="96" t="str">
        <f>IF(ISBLANK(AH12),"",SUMIFS(Transactions!$X$3:$X149,Transactions!$H$3:$H149,"Sell",Transactions!$D$3:$D149,AH12))</f>
        <v/>
      </c>
      <c r="AT12" s="96" t="str">
        <f t="shared" si="19"/>
        <v/>
      </c>
      <c r="AU12" s="50" t="str">
        <f>IFERROR(__xludf.DUMMYFUNCTION("IF(ISBLANK(AH12),"""",IFERROR((GOOGLEFINANCE(AH12,""price"")/INDEX(GOOGLEFINANCE(AH12,""price"",DATEVALUE(TODAY()-$AU$2) ),2,2)-1),""""))"),"")</f>
        <v/>
      </c>
      <c r="AW12" s="50" t="str">
        <f>IFERROR(__xludf.DUMMYFUNCTION("IF(ISBLANK(AH12),"""",IFERROR((GOOGLEFINANCE($AW$2,""price"")/INDEX(GOOGLEFINANCE($AW$2,""price"",DATEVALUE(TODAY()-$AU$2) ),2,2)-1),""""))"),"")</f>
        <v/>
      </c>
      <c r="AY12" s="50" t="str">
        <f t="shared" si="20"/>
        <v/>
      </c>
      <c r="AZ12" s="50" t="str">
        <f t="shared" si="21"/>
        <v/>
      </c>
      <c r="BA12" s="50">
        <f t="shared" si="22"/>
        <v>0.005</v>
      </c>
      <c r="BB12" s="14" t="str">
        <f t="shared" si="23"/>
        <v/>
      </c>
      <c r="BC12" s="14" t="str">
        <f>IF(ISBLANK(AH12),"",IFERROR(VLOOKUP(AH12,Transactions!D:F,3,0)))</f>
        <v/>
      </c>
      <c r="BD12" s="50" t="str">
        <f t="shared" si="24"/>
        <v/>
      </c>
      <c r="BE12" s="50" t="str">
        <f t="shared" si="25"/>
        <v/>
      </c>
      <c r="BF12" s="14" t="str">
        <f t="shared" si="26"/>
        <v/>
      </c>
      <c r="BG12" s="180" t="str">
        <f>IF(ISBLANK(AH12),"",IFERROR(VLOOKUP(AH12,Transactions!D:G,4,0)))</f>
        <v/>
      </c>
    </row>
    <row r="13">
      <c r="A13" s="14" t="str">
        <f t="shared" ref="A13:C13" si="35">AG13</f>
        <v/>
      </c>
      <c r="B13" s="14" t="str">
        <f t="shared" si="35"/>
        <v/>
      </c>
      <c r="C13" s="175" t="str">
        <f t="shared" si="35"/>
        <v/>
      </c>
      <c r="D13" s="176" t="str">
        <f>IFERROR(__xludf.DUMMYFUNCTION("IF(ISBLANK(B13),"""",IFERROR(IF(OR(AF13=""GPB"",AF13=""ZAR""),IF(AF13=Dashboard!$L$1,AJ13,(AJ13*GOOGLEFINANCE(""CURRENCY:""&amp;AF13&amp;""""&amp;Dashboard!$L$1&amp;""""))/100),IF(AF13=Dashboard!$L$1,AJ13,AJ13*GOOGLEFINANCE(""CURRENCY:""&amp;AF13&amp;""""&amp;Dashboard!$L$1&amp;""""))),"&amp;"AJ13))"),"")</f>
        <v/>
      </c>
      <c r="E13" s="177" t="str">
        <f>IFERROR(__xludf.DUMMYFUNCTION("IFERROR(IF(OR(AF13=""GBP"",AF13=""ZAR""),IF(B13="""","""",IF(AF13=Dashboard!$L$1,AK13,AK13*GOOGLEFINANCE(""CURRENCY:""&amp;AF13&amp;""""&amp;Dashboard!$L$1&amp;"""")))/100,If(B13="""","""",IF(AF13=Dashboard!$L$1,AK13,AK13*GOOGLEFINANCE(""CURRENCY:""&amp;AF13&amp;""""&amp;Dashboard!$"&amp;"L$1&amp;"""")))),AK13)"),"")</f>
        <v/>
      </c>
      <c r="F13" s="145">
        <f>IFERROR(__xludf.DUMMYFUNCTION(" E13 * GOOGLEFINANCE(""CURRENCY:USDEUR"") "),0.0)</f>
        <v>0</v>
      </c>
      <c r="G13" s="96" t="str">
        <f>IFERROR(__xludf.DUMMYFUNCTION("IF(ISBLANK(B13),"""",IFERROR(SPARKLINE(INDEX(GOOGLEFINANCE(B13,""price"",TODAY()-$G$2,TODAY()),,2),{""charttype"",""column"";""color"",""17a7e0""}),""""))"),"")</f>
        <v/>
      </c>
      <c r="H13" s="50" t="str">
        <f t="shared" si="3"/>
        <v/>
      </c>
      <c r="I13" s="96" t="str">
        <f>IFERROR(__xludf.DUMMYFUNCTION("IF(ISBLANK(B13),"""",IFERROR(IF(OR(AF13=""GPB"",AF13=""ZAR""),IF(AF13=Dashboard!$L$1,AN13,(AN13*GOOGLEFINANCE(""CURRENCY:""&amp;AF13&amp;""""&amp;Dashboard!$L$1&amp;""""))/100),IF(AF13=Dashboard!$L$1,AN13,AN13*GOOGLEFINANCE(""CURRENCY:""&amp;AF13&amp;""""&amp;Dashboard!$L$1&amp;""""))),"&amp;"AN13))"),"")</f>
        <v/>
      </c>
      <c r="J13" s="178" t="str">
        <f>IF(ISBLANK(B13),"",IFERROR(((C13-SUMIFS(Transactions!I:I,Transactions!H:H,"Crypto Interest",Transactions!D:D,B13))*D13),""))</f>
        <v/>
      </c>
      <c r="K13" s="178" t="str">
        <f t="shared" si="4"/>
        <v/>
      </c>
      <c r="L13" s="145">
        <f>-SUMIFS(Transactions!$M$3:$M149,Transactions!$H$3:$H149,"Buy",Transactions!$D$3:$D149,B13)</f>
        <v>0</v>
      </c>
      <c r="M13" s="145">
        <f>IF(ISBLANK(AG13),"",SUMIFS(Transactions!$M$3:$M149,Transactions!$H$3:$H149,"Dividend",Transactions!$D$3:$D149,B13))</f>
        <v>0</v>
      </c>
      <c r="N13" s="145" t="str">
        <f>IF(ISBLANK(AH13),"",SUMIFS(Transactions!$M$3:$M149,Transactions!$H$3:$H149,"Sell",Transactions!$D$3:$D149,B13))</f>
        <v/>
      </c>
      <c r="O13" s="50" t="str">
        <f t="shared" si="5"/>
        <v/>
      </c>
      <c r="P13" s="178" t="str">
        <f t="shared" si="6"/>
        <v/>
      </c>
      <c r="Q13" s="178" t="str">
        <f>IFERROR(__xludf.DUMMYFUNCTION("IF(ISBLANK(B13),"""",IFERROR(IF(OR(AF13=""GPB"",AF13=""ZAR""),IF(AF13=Dashboard!$L$1,AS13,(AS13*GOOGLEFINANCE(""CURRENCY:""&amp;AF13&amp;""""&amp;Dashboard!$L$1&amp;""""))/100),IF(AF13=Dashboard!$L$1,AS13,AS13*GOOGLEFINANCE(""CURRENCY:""&amp;AF13&amp;""""&amp;Dashboard!$L$1&amp;""""))),"&amp;"AS13))"),"")</f>
        <v/>
      </c>
      <c r="R13" s="178" t="str">
        <f t="shared" si="7"/>
        <v/>
      </c>
      <c r="S13" s="50" t="str">
        <f>IFERROR(__xludf.DUMMYFUNCTION("IF(ISBLANK(B13),"""",IFERROR((GOOGLEFINANCE(B13,""price"")/INDEX(GOOGLEFINANCE(B13,""price"",DATEVALUE(TODAY()-$S$2) ),2,2)-1),""""))"),"")</f>
        <v/>
      </c>
      <c r="U13" s="50" t="str">
        <f>IFERROR(__xludf.DUMMYFUNCTION("IF(ISBLANK(B13),"""",IFERROR((GOOGLEFINANCE($U$2,""price"")/INDEX(GOOGLEFINANCE($U$2,""price"",DATEVALUE(TODAY()-$S$2) ),2,2)-1),""""))"),"")</f>
        <v/>
      </c>
      <c r="W13" s="50" t="str">
        <f t="shared" si="8"/>
        <v/>
      </c>
      <c r="X13" s="50" t="str">
        <f t="shared" si="9"/>
        <v/>
      </c>
      <c r="Y13" s="179">
        <v>0.001</v>
      </c>
      <c r="Z13" s="50" t="str">
        <f t="shared" si="10"/>
        <v/>
      </c>
      <c r="AA13" s="14" t="str">
        <f t="shared" si="11"/>
        <v/>
      </c>
      <c r="AB13" s="50" t="str">
        <f t="shared" si="12"/>
        <v/>
      </c>
      <c r="AC13" s="179" t="str">
        <f t="shared" si="13"/>
        <v/>
      </c>
      <c r="AD13" s="50" t="str">
        <f t="shared" si="14"/>
        <v/>
      </c>
      <c r="AE13" s="180" t="str">
        <f t="shared" si="15"/>
        <v/>
      </c>
      <c r="AF13" s="14" t="str">
        <f t="array" ref="AF13">IFERROR(IF(ISBLANK(AH13),"",IF(VLOOKUP(AH13,Transactions!D:F,3,0)="Stablecoin",AH13,INDEX(Transactions!$B$3:$B149,MATCH(AH13,Transactions!$D$3:$D149,0),0))))</f>
        <v/>
      </c>
      <c r="AG13" s="14" t="str">
        <f>IF(ISBLANK(AH13),"",VLOOKUP(AH13,Transactions!D:E,2,0))</f>
        <v/>
      </c>
      <c r="AH13" s="14"/>
      <c r="AI13" s="158" t="str">
        <f>IF(ISBLANK(AH13),"",IF(
SUMIFS(Transactions!$I$3:$I149,Transactions!$H$3:$H149,"Buy",Transactions!$F$3:$F149,"Stock",Transactions!$D$3:$D149,AH13)
+SUMIFS(Transactions!$I$3:$I149,Transactions!$H$3:$H149,"DRIP",Transactions!$F$3:$F149,"Stock",Transactions!$D$3:$D149,AH13)
+SUMIFS(Transactions!$I$3:$I149,Transactions!$H$3:$H149,"Transfer Deposit",Transactions!$F$3:$F149,"Stock",Transactions!$D$3:$D149,AH13)
+SUMIFS(Transactions!$I$3:$I149,Transactions!$H$3:$H149,"Buy",Transactions!$F$3:$F149,"ETF",Transactions!$D$3:$D149,AH13)
+SUMIFS(Transactions!$I$3:$I149,Transactions!$H$3:$H149,"DRIP",Transactions!$F$3:$F149,"ETF",Transactions!$D$3:$D149,AH13)
+SUMIFS(Transactions!$I$3:$I149,Transactions!$H$3:$H149,"Transfer Deposit",Transactions!$F$3:$F149,"ETF",Transactions!$D$3:$D149,AH13)
+SUMIFS(Transactions!$I$3:$I149,Transactions!$H$3:$H149,"Buy",Transactions!$F$3:$F149,"Commodity",Transactions!$D$3:$D149,AH13)
+SUMIFS(Transactions!$I$3:$I149,Transactions!$H$3:$H149,"DRIP",Transactions!$F$3:$F149,"Commodity",Transactions!$D$3:$D149,AH13)
+SUMIFS(Transactions!$I$3:$I149,Transactions!$H$3:$H149,"Transfer Deposit",Transactions!$F$3:$F149,"Commodity",Transactions!$D$3:$D149,AH13)
+SUMIFS(Transactions!$I$3:$I149,Transactions!$H$3:$H149,"Buy",Transactions!$F$3:$F149,"Managed Fund",Transactions!$D$3:$D149,AH13)
+SUMIFS(Transactions!$I$3:$I149,Transactions!$H$3:$H149,"DRIP",Transactions!$F$3:$F149,"Managed Fund",Transactions!$D$3:$D149,AH13)
+SUMIFS(Transactions!$I$3:$I149,Transactions!$H$3:$H149,"Transfer Deposit",Transactions!$F$3:$F149,"Managed Fund",Transactions!$D$3:$D149,AH13)
+SUMIFS(Transactions!$I$3:$I149,Transactions!$H$3:$H149,"Buy",Transactions!$F$3:$F149,"REIT",Transactions!$D$3:$D149,AH13)
+SUMIFS(Transactions!$I$3:$I149,Transactions!$H$3:$H149,"DRIP",Transactions!$F$3:$F149,"REIT",Transactions!$D$3:$D149,AH13)
+SUMIFS(Transactions!$I$3:$I149,Transactions!$H$3:$H149,"Transfer Deposit",Transactions!$F$3:$F149,"REIT",Transactions!$D$3:$D149,AH13)
-SUMIFS(Transactions!$I$3:$I149,Transactions!$H$3:$H149,"Sell",Transactions!$F$3:$F149,"Stock",Transactions!$D$3:$D149,AH13)
-SUMIFS(Transactions!$I$3:$I149,Transactions!$H$3:$H149,"Transfer Send",Transactions!$F$3:$F149,"Stock",Transactions!$D$3:$D149,AH13)
-SUMIFS(Transactions!$I$3:$I149,Transactions!$H$3:$H149,"Sell",Transactions!$F$3:$F149,"ETF",Transactions!$D$3:$D149,AH13)
-SUMIFS(Transactions!$I$3:$I149,Transactions!$H$3:$H149,"Transfer Send",Transactions!$F$3:$F149,"ETF",Transactions!$D$3:$D149,AH13)
-SUMIFS(Transactions!$I$3:$I149,Transactions!$H$3:$H149,"Sell",Transactions!$F$3:$F149,"Commodity",Transactions!$D$3:$D149,AH13)
-SUMIFS(Transactions!$I$3:$I149,Transactions!$H$3:$H149,"Transfer Send",Transactions!$F$3:$F149,"Commodity",Transactions!$D$3:$D149,AH13)
-SUMIFS(Transactions!$I$3:$I149,Transactions!$H$3:$H149,"Sell",Transactions!$F$3:$F149,"Managed Fund",Transactions!$D$3:$D149,AH13)
-SUMIFS(Transactions!$I$3:$I149,Transactions!$H$3:$H149,"Transfer Send",Transactions!$F$3:$F149,"Managed Fund",Transactions!$D$3:$D149,AH13)
-SUMIFS(Transactions!$I$3:$I149,Transactions!$H$3:$H149,"Sell",Transactions!$F$3:$F149,"REIT",Transactions!$D$3:$D149,AH13)
-SUMIFS(Transactions!$I$3:$I149,Transactions!$H$3:$H149,"Transfer Send",Transactions!$F$3:$F149,"REIT",Transactions!$D$3:$D149,AH13)
+SUMIFS(Transactions!$I$3:$I149,Transactions!$H$3:$H149,"Buy",Transactions!$F$3:$F149,"Crypto",Transactions!$D$3:$D149,AH13)
+SUMIFS(Transactions!$I$3:$I149,Transactions!$H$3:$H149,"Crypto Interest",Transactions!$F$3:$F149,"Crypto",Transactions!$D$3:$D149,AH13)
+SUMIFS(Transactions!$I$3:$I149,Transactions!$H$3:$H149,"Transfer Deposit",Transactions!$F$3:$F149,"Crypto",Transactions!$D$3:$D149,AH13)
-SUMIFS(Transactions!$I$3:$I149,Transactions!$H$3:$H149,"Transfer Send",Transactions!$F$3:$F149,"Crypto",Transactions!$D$3:$D149,AH13)
-SUMIFS(Transactions!$I$3:$I149,Transactions!$H$3:$H149,"Sell",Transactions!$F$3:$F149,"Crypto",Transactions!$D$3:$D149,AH13)
+SUMIFS(Transactions!$I$3:$I149,Transactions!$H$3:$H149,"Buy",Transactions!$F$3:$F149,"Stablecoin",Transactions!$D$3:$D149,AH13)
+SUMIFS(Transactions!$I$3:$I149,Transactions!$H$3:$H149,"Crypto Interest",Transactions!$F$3:$F149,"Stablecoin",Transactions!$D$3:$D149,AH13)
+SUMIFS(Transactions!$I$3:$I149,Transactions!$H$3:$H149,"Transfer Deposit",Transactions!$F$3:$F149,"Stablecoin",Transactions!$D$3:$D149,AH13)
-SUMIFS(Transactions!$I$3:$I149,Transactions!$H$3:$H149,"Transfer Send",Transactions!$F$3:$F149,"Stablecoin",Transactions!$D$3:$D149,AH13)
-SUMIFS(Transactions!$I$3:$I149,Transactions!$H$3:$H149,"Sell",Transactions!$F$3:$F149,"Stablecoin",Transactions!$D$3:$D149,AH13)
-SUMIFS(Transactions!$M$3:$M149,Transactions!$H$3:$H149,"Buy",Transactions!$B$3:$B149,AH13)=0,"Sold All",
SUMIFS(Transactions!$I$3:$I149,Transactions!$H$3:$H149,"Buy",Transactions!$F$3:$F149,"Stock",Transactions!$D$3:$D149,AH13)
+SUMIFS(Transactions!$I$3:$I149,Transactions!$H$3:$H149,"DRIP",Transactions!$F$3:$F149,"Stock",Transactions!$D$3:$D149,AH13)
+SUMIFS(Transactions!$I$3:$I149,Transactions!$H$3:$H149,"Transfer Deposit",Transactions!$F$3:$F149,"Stock",Transactions!$D$3:$D149,AH13)
+SUMIFS(Transactions!$I$3:$I149,Transactions!$H$3:$H149,"Buy",Transactions!$F$3:$F149,"ETF",Transactions!$D$3:$D149,AH13)
+SUMIFS(Transactions!$I$3:$I149,Transactions!$H$3:$H149,"DRIP",Transactions!$F$3:$F149,"ETF",Transactions!$D$3:$D149,AH13)
+SUMIFS(Transactions!$I$3:$I149,Transactions!$H$3:$H149,"Transfer Deposit",Transactions!$F$3:$F149,"ETF",Transactions!$D$3:$D149,AH13)
+SUMIFS(Transactions!$I$3:$I149,Transactions!$H$3:$H149,"Buy",Transactions!$F$3:$F149,"Commodity",Transactions!$D$3:$D149,AH13)
+SUMIFS(Transactions!$I$3:$I149,Transactions!$H$3:$H149,"DRIP",Transactions!$F$3:$F149,"Commodity",Transactions!$D$3:$D149,AH13)
+SUMIFS(Transactions!$I$3:$I149,Transactions!$H$3:$H149,"Transfer Deposit",Transactions!$F$3:$F149,"Commodity",Transactions!$D$3:$D149,AH13)
+SUMIFS(Transactions!$I$3:$I149,Transactions!$H$3:$H149,"Buy",Transactions!$F$3:$F149,"Managed Fund",Transactions!$D$3:$D149,AH13)
+SUMIFS(Transactions!$I$3:$I149,Transactions!$H$3:$H149,"DRIP",Transactions!$F$3:$F149,"Managed Fund",Transactions!$D$3:$D149,AH13)
+SUMIFS(Transactions!$I$3:$I149,Transactions!$H$3:$H149,"Transfer Deposit",Transactions!$F$3:$F149,"Managed Fund",Transactions!$D$3:$D149,AH13)
+SUMIFS(Transactions!$I$3:$I149,Transactions!$H$3:$H149,"Buy",Transactions!$F$3:$F149,"REIT",Transactions!$D$3:$D149,AH13)
+SUMIFS(Transactions!$I$3:$I149,Transactions!$H$3:$H149,"DRIP",Transactions!$F$3:$F149,"REIT",Transactions!$D$3:$D149,AH13)
+SUMIFS(Transactions!$I$3:$I149,Transactions!$H$3:$H149,"Transfer Deposit",Transactions!$F$3:$F149,"REIT",Transactions!$D$3:$D149,AH13)
-SUMIFS(Transactions!$I$3:$I149,Transactions!$H$3:$H149,"Sell",Transactions!$F$3:$F149,"Stock",Transactions!$D$3:$D149,AH13)
-SUMIFS(Transactions!$I$3:$I149,Transactions!$H$3:$H149,"Transfer Send",Transactions!$F$3:$F149,"Stock",Transactions!$D$3:$D149,AH13)
-SUMIFS(Transactions!$I$3:$I149,Transactions!$H$3:$H149,"Sell",Transactions!$F$3:$F149,"ETF",Transactions!$D$3:$D149,AH13)
-SUMIFS(Transactions!$I$3:$I149,Transactions!$H$3:$H149,"Transfer Send",Transactions!$F$3:$F149,"ETF",Transactions!$D$3:$D149,AH13)
-SUMIFS(Transactions!$I$3:$I149,Transactions!$H$3:$H149,"Sell",Transactions!$F$3:$F149,"Commodity",Transactions!$D$3:$D149,AH13)
-SUMIFS(Transactions!$I$3:$I149,Transactions!$H$3:$H149,"Transfer Send",Transactions!$F$3:$F149,"Commodity",Transactions!$D$3:$D149,AH13)
-SUMIFS(Transactions!$I$3:$I149,Transactions!$H$3:$H149,"Sell",Transactions!$F$3:$F149,"Managed Fund",Transactions!$D$3:$D149,AH13)
-SUMIFS(Transactions!$I$3:$I149,Transactions!$H$3:$H149,"Transfer Send",Transactions!$F$3:$F149,"Managed Fund",Transactions!$D$3:$D149,AH13)
-SUMIFS(Transactions!$I$3:$I149,Transactions!$H$3:$H149,"Sell",Transactions!$F$3:$F149,"REIT",Transactions!$D$3:$D149,AH13)
-SUMIFS(Transactions!$I$3:$I149,Transactions!$H$3:$H149,"Transfer Send",Transactions!$F$3:$F149,"REIT",Transactions!$D$3:$D149,AH13)
+SUMIFS(Transactions!$I$3:$I149,Transactions!$H$3:$H149,"Buy",Transactions!$F$3:$F149,"Crypto",Transactions!$D$3:$D149,AH13)
+SUMIFS(Transactions!$I$3:$I149,Transactions!$H$3:$H149,"Crypto Interest",Transactions!$F$3:$F149,"Crypto",Transactions!$D$3:$D149,AH13)
+SUMIFS(Transactions!$I$3:$I149,Transactions!$H$3:$H149,"Transfer Deposit",Transactions!$F$3:$F149,"Crypto",Transactions!$D$3:$D149,AH13)
-SUMIFS(Transactions!$I$3:$I149,Transactions!$H$3:$H149,"Transfer Send",Transactions!$F$3:$F149,"Crypto",Transactions!$D$3:$D149,AH13)
-SUMIFS(Transactions!$I$3:$I149,Transactions!$H$3:$H149,"Sell",Transactions!$F$3:$F149,"Crypto",Transactions!$D$3:$D149,AH13)
+SUMIFS(Transactions!$I$3:$I149,Transactions!$H$3:$H149,"Buy",Transactions!$F$3:$F149,"Stablecoin",Transactions!$D$3:$D149,AH13)
+SUMIFS(Transactions!$I$3:$I149,Transactions!$H$3:$H149,"Crypto Interest",Transactions!$F$3:$F149,"Stablecoin",Transactions!$D$3:$D149,AH13)
+SUMIFS(Transactions!$I$3:$I149,Transactions!$H$3:$H149,"Transfer Deposit",Transactions!$F$3:$F149,"Stablecoin",Transactions!$D$3:$D149,AH13)
-SUMIFS(Transactions!$I$3:$I149,Transactions!$H$3:$H149,"Transfer Send",Transactions!$F$3:$F149,"Stablecoin",Transactions!$D$3:$D149,AH13)
-SUMIFS(Transactions!$I$3:$I149,Transactions!$H$3:$H149,"Sell",Transactions!$F$3:$F149,"Stablecoin",Transactions!$D$3:$D149,AH13)
-SUMIFS(Transactions!$M$3:$M149,Transactions!$H$3:$H149,"Buy",Transactions!$B$3:$B149,AH13)))</f>
        <v/>
      </c>
      <c r="AJ13" s="181" t="str">
        <f>IFERROR(__xludf.DUMMYFUNCTION("IF(ISBLANK(AH13),"""",VLOOKUP(9^99,FILTER({ROW(Transactions!P:P),Transactions!P:P},Transactions!D:D=AH13),2))"),"")</f>
        <v/>
      </c>
      <c r="AK13" s="181" t="str">
        <f>IFERROR(__xludf.DUMMYFUNCTION("IF(ISBLANK(AH13),"""",IFERROR(GOOGLEFINANCE(AH13,""price""),IFERROR(GOOGLEFINANCE(""CURRENCY:""&amp;AH13&amp;""""),IFERROR(INDEX(YAHOO_STOCK(TRIM(AH13), $G$2),0,1),INDEX(IMPORTHTML(CONCAT(""https://coinmarketcap.com/currencies/"",AG13),""table"",1),1,2)))))"),"")</f>
        <v/>
      </c>
      <c r="AL13" s="14" t="str">
        <f>IFERROR(__xludf.DUMMYFUNCTION("IF(ISBLANK(AH13),"""",IFERROR(SPARKLINE(INDEX(GOOGLEFINANCE(AH13,""price"",TODAY()-$AL$2,TODAY()),,2),{""charttype"",""column"";""color"",""17a7e0""}),""""))"),"")</f>
        <v/>
      </c>
      <c r="AM13" s="50" t="str">
        <f>IFERROR(__xludf.DUMMYFUNCTION("IFNA(IFERROR(IF(AH13="""","""",GOOGLEFINANCE(AH13,""changepct"")/100),(GOOGLEFINANCE(AH13)-(INDEX(GOOGLEFINANCE(""CURRENCY:""&amp;AH13&amp;"""",""price"",TODAY()-1),2,2)))/(INDEX(GOOGLEFINANCE(""CURRENCY:""&amp;AH13&amp;"""",""price"",TODAY()-1),2,2))),)"),"")</f>
        <v/>
      </c>
      <c r="AN13" s="96" t="str">
        <f>IFERROR(__xludf.DUMMYFUNCTION("IFNA(IFERROR(IF(AH13="""","""",GOOGLEFINANCE(AH13,""change"")*AI13),(GOOGLEFINANCE(AH13)-(INDEX(GOOGLEFINANCE(""CURRENCY:""&amp;AH13&amp;"""",""price"",TODAY()-1),2,2)))*AI13),"""")"),"")</f>
        <v/>
      </c>
      <c r="AO13" s="96" t="str">
        <f>IF(ISBLANK(AH13),"",IFERROR(((AI13-SUMIFS(Transactions!I:I,Transactions!H:H,"Crypto Interest",Transactions!D:D,AH13))*AJ13),""))</f>
        <v/>
      </c>
      <c r="AP13" s="96" t="str">
        <f t="shared" si="16"/>
        <v/>
      </c>
      <c r="AQ13" s="50" t="str">
        <f t="shared" si="17"/>
        <v/>
      </c>
      <c r="AR13" s="96" t="str">
        <f t="shared" si="18"/>
        <v/>
      </c>
      <c r="AS13" s="96" t="str">
        <f>IF(ISBLANK(AH13),"",SUMIFS(Transactions!$X$3:$X149,Transactions!$H$3:$H149,"Sell",Transactions!$D$3:$D149,AH13))</f>
        <v/>
      </c>
      <c r="AT13" s="96" t="str">
        <f t="shared" si="19"/>
        <v/>
      </c>
      <c r="AU13" s="50" t="str">
        <f>IFERROR(__xludf.DUMMYFUNCTION("IF(ISBLANK(AH13),"""",IFERROR((GOOGLEFINANCE(AH13,""price"")/INDEX(GOOGLEFINANCE(AH13,""price"",DATEVALUE(TODAY()-$AU$2) ),2,2)-1),""""))"),"")</f>
        <v/>
      </c>
      <c r="AW13" s="50" t="str">
        <f>IFERROR(__xludf.DUMMYFUNCTION("IF(ISBLANK(AH13),"""",IFERROR((GOOGLEFINANCE($AW$2,""price"")/INDEX(GOOGLEFINANCE($AW$2,""price"",DATEVALUE(TODAY()-$AU$2) ),2,2)-1),""""))"),"")</f>
        <v/>
      </c>
      <c r="AY13" s="50" t="str">
        <f t="shared" si="20"/>
        <v/>
      </c>
      <c r="AZ13" s="50" t="str">
        <f t="shared" si="21"/>
        <v/>
      </c>
      <c r="BA13" s="50">
        <f t="shared" si="22"/>
        <v>0.001</v>
      </c>
      <c r="BB13" s="14" t="str">
        <f t="shared" si="23"/>
        <v/>
      </c>
      <c r="BC13" s="14" t="str">
        <f>IF(ISBLANK(AH13),"",IFERROR(VLOOKUP(AH13,Transactions!D:F,3,0)))</f>
        <v/>
      </c>
      <c r="BD13" s="50" t="str">
        <f t="shared" si="24"/>
        <v/>
      </c>
      <c r="BE13" s="50" t="str">
        <f t="shared" si="25"/>
        <v/>
      </c>
      <c r="BF13" s="14" t="str">
        <f t="shared" si="26"/>
        <v/>
      </c>
      <c r="BG13" s="180" t="str">
        <f>IF(ISBLANK(AH13),"",IFERROR(VLOOKUP(AH13,Transactions!D:G,4,0)))</f>
        <v/>
      </c>
    </row>
    <row r="14">
      <c r="A14" s="14" t="str">
        <f t="shared" ref="A14:C14" si="36">AG14</f>
        <v/>
      </c>
      <c r="B14" s="14" t="str">
        <f t="shared" si="36"/>
        <v/>
      </c>
      <c r="C14" s="175" t="str">
        <f t="shared" si="36"/>
        <v/>
      </c>
      <c r="D14" s="176" t="str">
        <f>IFERROR(__xludf.DUMMYFUNCTION("IF(ISBLANK(B14),"""",IFERROR(IF(OR(AF14=""GPB"",AF14=""ZAR""),IF(AF14=Dashboard!$L$1,AJ14,(AJ14*GOOGLEFINANCE(""CURRENCY:""&amp;AF14&amp;""""&amp;Dashboard!$L$1&amp;""""))/100),IF(AF14=Dashboard!$L$1,AJ14,AJ14*GOOGLEFINANCE(""CURRENCY:""&amp;AF14&amp;""""&amp;Dashboard!$L$1&amp;""""))),"&amp;"AJ14))"),"")</f>
        <v/>
      </c>
      <c r="E14" s="177" t="str">
        <f>IFERROR(__xludf.DUMMYFUNCTION("IFERROR(IF(OR(AF14=""GBP"",AF14=""ZAR""),IF(B14="""","""",IF(AF14=Dashboard!$L$1,AK14,AK14*GOOGLEFINANCE(""CURRENCY:""&amp;AF14&amp;""""&amp;Dashboard!$L$1&amp;"""")))/100,If(B14="""","""",IF(AF14=Dashboard!$L$1,AK14,AK14*GOOGLEFINANCE(""CURRENCY:""&amp;AF14&amp;""""&amp;Dashboard!$"&amp;"L$1&amp;"""")))),AK14)"),"")</f>
        <v/>
      </c>
      <c r="F14" s="145">
        <f>IFERROR(__xludf.DUMMYFUNCTION(" E14 * GOOGLEFINANCE(""CURRENCY:USDEUR"") "),0.0)</f>
        <v>0</v>
      </c>
      <c r="G14" s="96" t="str">
        <f>IFERROR(__xludf.DUMMYFUNCTION("IF(ISBLANK(B14),"""",IFERROR(SPARKLINE(INDEX(GOOGLEFINANCE(B14,""price"",TODAY()-$G$2,TODAY()),,2),{""charttype"",""column"";""color"",""17a7e0""}),""""))"),"")</f>
        <v/>
      </c>
      <c r="H14" s="50" t="str">
        <f t="shared" si="3"/>
        <v/>
      </c>
      <c r="I14" s="96" t="str">
        <f>IFERROR(__xludf.DUMMYFUNCTION("IF(ISBLANK(B14),"""",IFERROR(IF(OR(AF14=""GPB"",AF14=""ZAR""),IF(AF14=Dashboard!$L$1,AN14,(AN14*GOOGLEFINANCE(""CURRENCY:""&amp;AF14&amp;""""&amp;Dashboard!$L$1&amp;""""))/100),IF(AF14=Dashboard!$L$1,AN14,AN14*GOOGLEFINANCE(""CURRENCY:""&amp;AF14&amp;""""&amp;Dashboard!$L$1&amp;""""))),"&amp;"AN14))"),"")</f>
        <v/>
      </c>
      <c r="J14" s="178" t="str">
        <f>IF(ISBLANK(B14),"",IFERROR(((C14-SUMIFS(Transactions!I:I,Transactions!H:H,"Crypto Interest",Transactions!D:D,B14))*D14),""))</f>
        <v/>
      </c>
      <c r="K14" s="178" t="str">
        <f t="shared" si="4"/>
        <v/>
      </c>
      <c r="L14" s="145">
        <f>-SUMIFS(Transactions!$M$3:$M149,Transactions!$H$3:$H149,"Buy",Transactions!$D$3:$D149,B14)</f>
        <v>0</v>
      </c>
      <c r="M14" s="145">
        <f>IF(ISBLANK(AG14),"",SUMIFS(Transactions!$M$3:$M149,Transactions!$H$3:$H149,"Dividend",Transactions!$D$3:$D149,B14))</f>
        <v>0</v>
      </c>
      <c r="N14" s="145" t="str">
        <f>IF(ISBLANK(AH14),"",SUMIFS(Transactions!$M$3:$M149,Transactions!$H$3:$H149,"Sell",Transactions!$D$3:$D149,B14))</f>
        <v/>
      </c>
      <c r="O14" s="50" t="str">
        <f t="shared" si="5"/>
        <v/>
      </c>
      <c r="P14" s="178" t="str">
        <f t="shared" si="6"/>
        <v/>
      </c>
      <c r="Q14" s="178" t="str">
        <f>IFERROR(__xludf.DUMMYFUNCTION("IF(ISBLANK(B14),"""",IFERROR(IF(OR(AF14=""GPB"",AF14=""ZAR""),IF(AF14=Dashboard!$L$1,AS14,(AS14*GOOGLEFINANCE(""CURRENCY:""&amp;AF14&amp;""""&amp;Dashboard!$L$1&amp;""""))/100),IF(AF14=Dashboard!$L$1,AS14,AS14*GOOGLEFINANCE(""CURRENCY:""&amp;AF14&amp;""""&amp;Dashboard!$L$1&amp;""""))),"&amp;"AS14))"),"")</f>
        <v/>
      </c>
      <c r="R14" s="178" t="str">
        <f t="shared" si="7"/>
        <v/>
      </c>
      <c r="S14" s="50" t="str">
        <f>IFERROR(__xludf.DUMMYFUNCTION("IF(ISBLANK(B14),"""",IFERROR((GOOGLEFINANCE(B14,""price"")/INDEX(GOOGLEFINANCE(B14,""price"",DATEVALUE(TODAY()-$S$2) ),2,2)-1),""""))"),"")</f>
        <v/>
      </c>
      <c r="U14" s="50" t="str">
        <f>IFERROR(__xludf.DUMMYFUNCTION("IF(ISBLANK(B14),"""",IFERROR((GOOGLEFINANCE($U$2,""price"")/INDEX(GOOGLEFINANCE($U$2,""price"",DATEVALUE(TODAY()-$S$2) ),2,2)-1),""""))"),"")</f>
        <v/>
      </c>
      <c r="W14" s="50" t="str">
        <f t="shared" si="8"/>
        <v/>
      </c>
      <c r="X14" s="50" t="str">
        <f t="shared" si="9"/>
        <v/>
      </c>
      <c r="Y14" s="179">
        <v>0.002</v>
      </c>
      <c r="Z14" s="50" t="str">
        <f t="shared" si="10"/>
        <v/>
      </c>
      <c r="AA14" s="14" t="str">
        <f t="shared" si="11"/>
        <v/>
      </c>
      <c r="AB14" s="50" t="str">
        <f t="shared" si="12"/>
        <v/>
      </c>
      <c r="AC14" s="179" t="str">
        <f t="shared" si="13"/>
        <v/>
      </c>
      <c r="AD14" s="50" t="str">
        <f t="shared" si="14"/>
        <v/>
      </c>
      <c r="AE14" s="180" t="str">
        <f t="shared" si="15"/>
        <v/>
      </c>
      <c r="AF14" s="14" t="str">
        <f t="array" ref="AF14">IFERROR(IF(ISBLANK(AH14),"",IF(VLOOKUP(AH14,Transactions!D:F,3,0)="Stablecoin",AH14,INDEX(Transactions!$B$3:$B149,MATCH(AH14,Transactions!$D$3:$D149,0),0))))</f>
        <v/>
      </c>
      <c r="AG14" s="14" t="str">
        <f>IF(ISBLANK(AH14),"",VLOOKUP(AH14,Transactions!D:E,2,0))</f>
        <v/>
      </c>
      <c r="AH14" s="14"/>
      <c r="AI14" s="146" t="str">
        <f>IF(ISBLANK(AH14),"",IF(
SUMIFS(Transactions!$I$3:$I149,Transactions!$H$3:$H149,"Buy",Transactions!$F$3:$F149,"Stock",Transactions!$D$3:$D149,AH14)
+SUMIFS(Transactions!$I$3:$I149,Transactions!$H$3:$H149,"DRIP",Transactions!$F$3:$F149,"Stock",Transactions!$D$3:$D149,AH14)
+SUMIFS(Transactions!$I$3:$I149,Transactions!$H$3:$H149,"Transfer Deposit",Transactions!$F$3:$F149,"Stock",Transactions!$D$3:$D149,AH14)
+SUMIFS(Transactions!$I$3:$I149,Transactions!$H$3:$H149,"Buy",Transactions!$F$3:$F149,"ETF",Transactions!$D$3:$D149,AH14)
+SUMIFS(Transactions!$I$3:$I149,Transactions!$H$3:$H149,"DRIP",Transactions!$F$3:$F149,"ETF",Transactions!$D$3:$D149,AH14)
+SUMIFS(Transactions!$I$3:$I149,Transactions!$H$3:$H149,"Transfer Deposit",Transactions!$F$3:$F149,"ETF",Transactions!$D$3:$D149,AH14)
+SUMIFS(Transactions!$I$3:$I149,Transactions!$H$3:$H149,"Buy",Transactions!$F$3:$F149,"Commodity",Transactions!$D$3:$D149,AH14)
+SUMIFS(Transactions!$I$3:$I149,Transactions!$H$3:$H149,"DRIP",Transactions!$F$3:$F149,"Commodity",Transactions!$D$3:$D149,AH14)
+SUMIFS(Transactions!$I$3:$I149,Transactions!$H$3:$H149,"Transfer Deposit",Transactions!$F$3:$F149,"Commodity",Transactions!$D$3:$D149,AH14)
+SUMIFS(Transactions!$I$3:$I149,Transactions!$H$3:$H149,"Buy",Transactions!$F$3:$F149,"Managed Fund",Transactions!$D$3:$D149,AH14)
+SUMIFS(Transactions!$I$3:$I149,Transactions!$H$3:$H149,"DRIP",Transactions!$F$3:$F149,"Managed Fund",Transactions!$D$3:$D149,AH14)
+SUMIFS(Transactions!$I$3:$I149,Transactions!$H$3:$H149,"Transfer Deposit",Transactions!$F$3:$F149,"Managed Fund",Transactions!$D$3:$D149,AH14)
+SUMIFS(Transactions!$I$3:$I149,Transactions!$H$3:$H149,"Buy",Transactions!$F$3:$F149,"REIT",Transactions!$D$3:$D149,AH14)
+SUMIFS(Transactions!$I$3:$I149,Transactions!$H$3:$H149,"DRIP",Transactions!$F$3:$F149,"REIT",Transactions!$D$3:$D149,AH14)
+SUMIFS(Transactions!$I$3:$I149,Transactions!$H$3:$H149,"Transfer Deposit",Transactions!$F$3:$F149,"REIT",Transactions!$D$3:$D149,AH14)
-SUMIFS(Transactions!$I$3:$I149,Transactions!$H$3:$H149,"Sell",Transactions!$F$3:$F149,"Stock",Transactions!$D$3:$D149,AH14)
-SUMIFS(Transactions!$I$3:$I149,Transactions!$H$3:$H149,"Transfer Send",Transactions!$F$3:$F149,"Stock",Transactions!$D$3:$D149,AH14)
-SUMIFS(Transactions!$I$3:$I149,Transactions!$H$3:$H149,"Sell",Transactions!$F$3:$F149,"ETF",Transactions!$D$3:$D149,AH14)
-SUMIFS(Transactions!$I$3:$I149,Transactions!$H$3:$H149,"Transfer Send",Transactions!$F$3:$F149,"ETF",Transactions!$D$3:$D149,AH14)
-SUMIFS(Transactions!$I$3:$I149,Transactions!$H$3:$H149,"Sell",Transactions!$F$3:$F149,"Commodity",Transactions!$D$3:$D149,AH14)
-SUMIFS(Transactions!$I$3:$I149,Transactions!$H$3:$H149,"Transfer Send",Transactions!$F$3:$F149,"Commodity",Transactions!$D$3:$D149,AH14)
-SUMIFS(Transactions!$I$3:$I149,Transactions!$H$3:$H149,"Sell",Transactions!$F$3:$F149,"Managed Fund",Transactions!$D$3:$D149,AH14)
-SUMIFS(Transactions!$I$3:$I149,Transactions!$H$3:$H149,"Transfer Send",Transactions!$F$3:$F149,"Managed Fund",Transactions!$D$3:$D149,AH14)
-SUMIFS(Transactions!$I$3:$I149,Transactions!$H$3:$H149,"Sell",Transactions!$F$3:$F149,"REIT",Transactions!$D$3:$D149,AH14)
-SUMIFS(Transactions!$I$3:$I149,Transactions!$H$3:$H149,"Transfer Send",Transactions!$F$3:$F149,"REIT",Transactions!$D$3:$D149,AH14)
+SUMIFS(Transactions!$I$3:$I149,Transactions!$H$3:$H149,"Buy",Transactions!$F$3:$F149,"Crypto",Transactions!$D$3:$D149,AH14)
+SUMIFS(Transactions!$I$3:$I149,Transactions!$H$3:$H149,"Crypto Interest",Transactions!$F$3:$F149,"Crypto",Transactions!$D$3:$D149,AH14)
+SUMIFS(Transactions!$I$3:$I149,Transactions!$H$3:$H149,"Transfer Deposit",Transactions!$F$3:$F149,"Crypto",Transactions!$D$3:$D149,AH14)
-SUMIFS(Transactions!$I$3:$I149,Transactions!$H$3:$H149,"Transfer Send",Transactions!$F$3:$F149,"Crypto",Transactions!$D$3:$D149,AH14)
-SUMIFS(Transactions!$I$3:$I149,Transactions!$H$3:$H149,"Sell",Transactions!$F$3:$F149,"Crypto",Transactions!$D$3:$D149,AH14)
+SUMIFS(Transactions!$I$3:$I149,Transactions!$H$3:$H149,"Buy",Transactions!$F$3:$F149,"Stablecoin",Transactions!$D$3:$D149,AH14)
+SUMIFS(Transactions!$I$3:$I149,Transactions!$H$3:$H149,"Crypto Interest",Transactions!$F$3:$F149,"Stablecoin",Transactions!$D$3:$D149,AH14)
+SUMIFS(Transactions!$I$3:$I149,Transactions!$H$3:$H149,"Transfer Deposit",Transactions!$F$3:$F149,"Stablecoin",Transactions!$D$3:$D149,AH14)
-SUMIFS(Transactions!$I$3:$I149,Transactions!$H$3:$H149,"Transfer Send",Transactions!$F$3:$F149,"Stablecoin",Transactions!$D$3:$D149,AH14)
-SUMIFS(Transactions!$I$3:$I149,Transactions!$H$3:$H149,"Sell",Transactions!$F$3:$F149,"Stablecoin",Transactions!$D$3:$D149,AH14)
-SUMIFS(Transactions!$M$3:$M149,Transactions!$H$3:$H149,"Buy",Transactions!$B$3:$B149,AH14)=0,"Sold All",
SUMIFS(Transactions!$I$3:$I149,Transactions!$H$3:$H149,"Buy",Transactions!$F$3:$F149,"Stock",Transactions!$D$3:$D149,AH14)
+SUMIFS(Transactions!$I$3:$I149,Transactions!$H$3:$H149,"DRIP",Transactions!$F$3:$F149,"Stock",Transactions!$D$3:$D149,AH14)
+SUMIFS(Transactions!$I$3:$I149,Transactions!$H$3:$H149,"Transfer Deposit",Transactions!$F$3:$F149,"Stock",Transactions!$D$3:$D149,AH14)
+SUMIFS(Transactions!$I$3:$I149,Transactions!$H$3:$H149,"Buy",Transactions!$F$3:$F149,"ETF",Transactions!$D$3:$D149,AH14)
+SUMIFS(Transactions!$I$3:$I149,Transactions!$H$3:$H149,"DRIP",Transactions!$F$3:$F149,"ETF",Transactions!$D$3:$D149,AH14)
+SUMIFS(Transactions!$I$3:$I149,Transactions!$H$3:$H149,"Transfer Deposit",Transactions!$F$3:$F149,"ETF",Transactions!$D$3:$D149,AH14)
+SUMIFS(Transactions!$I$3:$I149,Transactions!$H$3:$H149,"Buy",Transactions!$F$3:$F149,"Commodity",Transactions!$D$3:$D149,AH14)
+SUMIFS(Transactions!$I$3:$I149,Transactions!$H$3:$H149,"DRIP",Transactions!$F$3:$F149,"Commodity",Transactions!$D$3:$D149,AH14)
+SUMIFS(Transactions!$I$3:$I149,Transactions!$H$3:$H149,"Transfer Deposit",Transactions!$F$3:$F149,"Commodity",Transactions!$D$3:$D149,AH14)
+SUMIFS(Transactions!$I$3:$I149,Transactions!$H$3:$H149,"Buy",Transactions!$F$3:$F149,"Managed Fund",Transactions!$D$3:$D149,AH14)
+SUMIFS(Transactions!$I$3:$I149,Transactions!$H$3:$H149,"DRIP",Transactions!$F$3:$F149,"Managed Fund",Transactions!$D$3:$D149,AH14)
+SUMIFS(Transactions!$I$3:$I149,Transactions!$H$3:$H149,"Transfer Deposit",Transactions!$F$3:$F149,"Managed Fund",Transactions!$D$3:$D149,AH14)
+SUMIFS(Transactions!$I$3:$I149,Transactions!$H$3:$H149,"Buy",Transactions!$F$3:$F149,"REIT",Transactions!$D$3:$D149,AH14)
+SUMIFS(Transactions!$I$3:$I149,Transactions!$H$3:$H149,"DRIP",Transactions!$F$3:$F149,"REIT",Transactions!$D$3:$D149,AH14)
+SUMIFS(Transactions!$I$3:$I149,Transactions!$H$3:$H149,"Transfer Deposit",Transactions!$F$3:$F149,"REIT",Transactions!$D$3:$D149,AH14)
-SUMIFS(Transactions!$I$3:$I149,Transactions!$H$3:$H149,"Sell",Transactions!$F$3:$F149,"Stock",Transactions!$D$3:$D149,AH14)
-SUMIFS(Transactions!$I$3:$I149,Transactions!$H$3:$H149,"Transfer Send",Transactions!$F$3:$F149,"Stock",Transactions!$D$3:$D149,AH14)
-SUMIFS(Transactions!$I$3:$I149,Transactions!$H$3:$H149,"Sell",Transactions!$F$3:$F149,"ETF",Transactions!$D$3:$D149,AH14)
-SUMIFS(Transactions!$I$3:$I149,Transactions!$H$3:$H149,"Transfer Send",Transactions!$F$3:$F149,"ETF",Transactions!$D$3:$D149,AH14)
-SUMIFS(Transactions!$I$3:$I149,Transactions!$H$3:$H149,"Sell",Transactions!$F$3:$F149,"Commodity",Transactions!$D$3:$D149,AH14)
-SUMIFS(Transactions!$I$3:$I149,Transactions!$H$3:$H149,"Transfer Send",Transactions!$F$3:$F149,"Commodity",Transactions!$D$3:$D149,AH14)
-SUMIFS(Transactions!$I$3:$I149,Transactions!$H$3:$H149,"Sell",Transactions!$F$3:$F149,"Managed Fund",Transactions!$D$3:$D149,AH14)
-SUMIFS(Transactions!$I$3:$I149,Transactions!$H$3:$H149,"Transfer Send",Transactions!$F$3:$F149,"Managed Fund",Transactions!$D$3:$D149,AH14)
-SUMIFS(Transactions!$I$3:$I149,Transactions!$H$3:$H149,"Sell",Transactions!$F$3:$F149,"REIT",Transactions!$D$3:$D149,AH14)
-SUMIFS(Transactions!$I$3:$I149,Transactions!$H$3:$H149,"Transfer Send",Transactions!$F$3:$F149,"REIT",Transactions!$D$3:$D149,AH14)
+SUMIFS(Transactions!$I$3:$I149,Transactions!$H$3:$H149,"Buy",Transactions!$F$3:$F149,"Crypto",Transactions!$D$3:$D149,AH14)
+SUMIFS(Transactions!$I$3:$I149,Transactions!$H$3:$H149,"Crypto Interest",Transactions!$F$3:$F149,"Crypto",Transactions!$D$3:$D149,AH14)
+SUMIFS(Transactions!$I$3:$I149,Transactions!$H$3:$H149,"Transfer Deposit",Transactions!$F$3:$F149,"Crypto",Transactions!$D$3:$D149,AH14)
-SUMIFS(Transactions!$I$3:$I149,Transactions!$H$3:$H149,"Transfer Send",Transactions!$F$3:$F149,"Crypto",Transactions!$D$3:$D149,AH14)
-SUMIFS(Transactions!$I$3:$I149,Transactions!$H$3:$H149,"Sell",Transactions!$F$3:$F149,"Crypto",Transactions!$D$3:$D149,AH14)
+SUMIFS(Transactions!$I$3:$I149,Transactions!$H$3:$H149,"Buy",Transactions!$F$3:$F149,"Stablecoin",Transactions!$D$3:$D149,AH14)
+SUMIFS(Transactions!$I$3:$I149,Transactions!$H$3:$H149,"Crypto Interest",Transactions!$F$3:$F149,"Stablecoin",Transactions!$D$3:$D149,AH14)
+SUMIFS(Transactions!$I$3:$I149,Transactions!$H$3:$H149,"Transfer Deposit",Transactions!$F$3:$F149,"Stablecoin",Transactions!$D$3:$D149,AH14)
-SUMIFS(Transactions!$I$3:$I149,Transactions!$H$3:$H149,"Transfer Send",Transactions!$F$3:$F149,"Stablecoin",Transactions!$D$3:$D149,AH14)
-SUMIFS(Transactions!$I$3:$I149,Transactions!$H$3:$H149,"Sell",Transactions!$F$3:$F149,"Stablecoin",Transactions!$D$3:$D149,AH14)
-SUMIFS(Transactions!$M$3:$M149,Transactions!$H$3:$H149,"Buy",Transactions!$B$3:$B149,AH14)))</f>
        <v/>
      </c>
      <c r="AJ14" s="181" t="str">
        <f>IFERROR(__xludf.DUMMYFUNCTION("IF(ISBLANK(AH14),"""",VLOOKUP(9^99,FILTER({ROW(Transactions!P:P),Transactions!P:P},Transactions!D:D=AH14),2))"),"")</f>
        <v/>
      </c>
      <c r="AK14" s="181" t="str">
        <f>IFERROR(__xludf.DUMMYFUNCTION("IF(ISBLANK(AH14),"""",IFERROR(GOOGLEFINANCE(AH14,""price""),IFERROR(GOOGLEFINANCE(""CURRENCY:""&amp;AH14&amp;""""),IFERROR(INDEX(YAHOO_STOCK(TRIM(AH14), $G$2),0,1),INDEX(IMPORTHTML(CONCAT(""https://coinmarketcap.com/currencies/"",AG14),""table"",1),1,2)))))"),"")</f>
        <v/>
      </c>
      <c r="AL14" s="14" t="str">
        <f>IFERROR(__xludf.DUMMYFUNCTION("IF(ISBLANK(AH14),"""",IFERROR(SPARKLINE(INDEX(GOOGLEFINANCE(AH14,""price"",TODAY()-$AL$2,TODAY()),,2),{""charttype"",""column"";""color"",""17a7e0""}),""""))"),"")</f>
        <v/>
      </c>
      <c r="AM14" s="50" t="str">
        <f>IFERROR(__xludf.DUMMYFUNCTION("IFNA(IFERROR(IF(AH14="""","""",GOOGLEFINANCE(AH14,""changepct"")/100),(GOOGLEFINANCE(AH14)-(INDEX(GOOGLEFINANCE(""CURRENCY:""&amp;AH14&amp;"""",""price"",TODAY()-1),2,2)))/(INDEX(GOOGLEFINANCE(""CURRENCY:""&amp;AH14&amp;"""",""price"",TODAY()-1),2,2))),)"),"")</f>
        <v/>
      </c>
      <c r="AN14" s="96" t="str">
        <f>IFERROR(__xludf.DUMMYFUNCTION("IFNA(IFERROR(IF(AH14="""","""",GOOGLEFINANCE(AH14,""change"")*AI14),(GOOGLEFINANCE(AH14)-(INDEX(GOOGLEFINANCE(""CURRENCY:""&amp;AH14&amp;"""",""price"",TODAY()-1),2,2)))*AI14),"""")"),"")</f>
        <v/>
      </c>
      <c r="AO14" s="96" t="str">
        <f>IF(ISBLANK(AH14),"",IFERROR(((AI14-SUMIFS(Transactions!I:I,Transactions!H:H,"Crypto Interest",Transactions!D:D,AH14))*AJ14),""))</f>
        <v/>
      </c>
      <c r="AP14" s="96" t="str">
        <f t="shared" si="16"/>
        <v/>
      </c>
      <c r="AQ14" s="50" t="str">
        <f t="shared" si="17"/>
        <v/>
      </c>
      <c r="AR14" s="96" t="str">
        <f t="shared" si="18"/>
        <v/>
      </c>
      <c r="AS14" s="96" t="str">
        <f>IF(ISBLANK(AH14),"",SUMIFS(Transactions!$X$3:$X149,Transactions!$H$3:$H149,"Sell",Transactions!$D$3:$D149,AH14))</f>
        <v/>
      </c>
      <c r="AT14" s="96" t="str">
        <f t="shared" si="19"/>
        <v/>
      </c>
      <c r="AU14" s="50" t="str">
        <f>IFERROR(__xludf.DUMMYFUNCTION("IF(ISBLANK(AH14),"""",IFERROR((GOOGLEFINANCE(AH14,""price"")/INDEX(GOOGLEFINANCE(AH14,""price"",DATEVALUE(TODAY()-$AU$2) ),2,2)-1),""""))"),"")</f>
        <v/>
      </c>
      <c r="AW14" s="50" t="str">
        <f>IFERROR(__xludf.DUMMYFUNCTION("IF(ISBLANK(AH14),"""",IFERROR((GOOGLEFINANCE($AW$2,""price"")/INDEX(GOOGLEFINANCE($AW$2,""price"",DATEVALUE(TODAY()-$AU$2) ),2,2)-1),""""))"),"")</f>
        <v/>
      </c>
      <c r="AY14" s="50" t="str">
        <f t="shared" si="20"/>
        <v/>
      </c>
      <c r="AZ14" s="50" t="str">
        <f t="shared" si="21"/>
        <v/>
      </c>
      <c r="BA14" s="50">
        <f t="shared" si="22"/>
        <v>0.002</v>
      </c>
      <c r="BB14" s="14" t="str">
        <f t="shared" si="23"/>
        <v/>
      </c>
      <c r="BC14" s="14" t="str">
        <f>IF(ISBLANK(AH14),"",IFERROR(VLOOKUP(AH14,Transactions!D:F,3,0)))</f>
        <v/>
      </c>
      <c r="BD14" s="50" t="str">
        <f t="shared" si="24"/>
        <v/>
      </c>
      <c r="BE14" s="50" t="str">
        <f t="shared" si="25"/>
        <v/>
      </c>
      <c r="BF14" s="14" t="str">
        <f t="shared" si="26"/>
        <v/>
      </c>
      <c r="BG14" s="180" t="str">
        <f>IF(ISBLANK(AH14),"",IFERROR(VLOOKUP(AH14,Transactions!D:G,4,0)))</f>
        <v/>
      </c>
    </row>
    <row r="15">
      <c r="A15" s="14" t="str">
        <f t="shared" ref="A15:C15" si="37">AG15</f>
        <v/>
      </c>
      <c r="B15" s="14" t="str">
        <f t="shared" si="37"/>
        <v/>
      </c>
      <c r="C15" s="175" t="str">
        <f t="shared" si="37"/>
        <v/>
      </c>
      <c r="D15" s="176" t="str">
        <f>IFERROR(__xludf.DUMMYFUNCTION("IF(ISBLANK(B15),"""",IFERROR(IF(OR(AF15=""GPB"",AF15=""ZAR""),IF(AF15=Dashboard!$L$1,AJ15,(AJ15*GOOGLEFINANCE(""CURRENCY:""&amp;AF15&amp;""""&amp;Dashboard!$L$1&amp;""""))/100),IF(AF15=Dashboard!$L$1,AJ15,AJ15*GOOGLEFINANCE(""CURRENCY:""&amp;AF15&amp;""""&amp;Dashboard!$L$1&amp;""""))),"&amp;"AJ15))"),"")</f>
        <v/>
      </c>
      <c r="E15" s="177" t="str">
        <f>IFERROR(__xludf.DUMMYFUNCTION("IFERROR(IF(OR(AF15=""GBP"",AF15=""ZAR""),IF(B15="""","""",IF(AF15=Dashboard!$L$1,AK15,AK15*GOOGLEFINANCE(""CURRENCY:""&amp;AF15&amp;""""&amp;Dashboard!$L$1&amp;"""")))/100,If(B15="""","""",IF(AF15=Dashboard!$L$1,AK15,AK15*GOOGLEFINANCE(""CURRENCY:""&amp;AF15&amp;""""&amp;Dashboard!$"&amp;"L$1&amp;"""")))),AK15)"),"")</f>
        <v/>
      </c>
      <c r="F15" s="145">
        <f>IFERROR(__xludf.DUMMYFUNCTION(" E15 * GOOGLEFINANCE(""CURRENCY:USDEUR"") "),0.0)</f>
        <v>0</v>
      </c>
      <c r="G15" s="96" t="str">
        <f>IFERROR(__xludf.DUMMYFUNCTION("IF(ISBLANK(B15),"""",IFERROR(SPARKLINE(INDEX(GOOGLEFINANCE(B15,""price"",TODAY()-$G$2,TODAY()),,2),{""charttype"",""column"";""color"",""17a7e0""}),""""))"),"")</f>
        <v/>
      </c>
      <c r="H15" s="50" t="str">
        <f t="shared" si="3"/>
        <v/>
      </c>
      <c r="I15" s="96" t="str">
        <f>IFERROR(__xludf.DUMMYFUNCTION("IF(ISBLANK(B15),"""",IFERROR(IF(OR(AF15=""GPB"",AF15=""ZAR""),IF(AF15=Dashboard!$L$1,AN15,(AN15*GOOGLEFINANCE(""CURRENCY:""&amp;AF15&amp;""""&amp;Dashboard!$L$1&amp;""""))/100),IF(AF15=Dashboard!$L$1,AN15,AN15*GOOGLEFINANCE(""CURRENCY:""&amp;AF15&amp;""""&amp;Dashboard!$L$1&amp;""""))),"&amp;"AN15))"),"")</f>
        <v/>
      </c>
      <c r="J15" s="178" t="str">
        <f>IF(ISBLANK(B15),"",IFERROR(((C15-SUMIFS(Transactions!I:I,Transactions!H:H,"Crypto Interest",Transactions!D:D,B15))*D15),""))</f>
        <v/>
      </c>
      <c r="K15" s="178" t="str">
        <f t="shared" si="4"/>
        <v/>
      </c>
      <c r="L15" s="145">
        <f>-SUMIFS(Transactions!$M$3:$M149,Transactions!$H$3:$H149,"Buy",Transactions!$D$3:$D149,B15)</f>
        <v>0</v>
      </c>
      <c r="M15" s="145">
        <f>IF(ISBLANK(AG15),"",SUMIFS(Transactions!$M$3:$M149,Transactions!$H$3:$H149,"Dividend",Transactions!$D$3:$D149,B15))</f>
        <v>0</v>
      </c>
      <c r="N15" s="145" t="str">
        <f>IF(ISBLANK(AH15),"",SUMIFS(Transactions!$M$3:$M149,Transactions!$H$3:$H149,"Sell",Transactions!$D$3:$D149,B15))</f>
        <v/>
      </c>
      <c r="O15" s="50" t="str">
        <f t="shared" si="5"/>
        <v/>
      </c>
      <c r="P15" s="178" t="str">
        <f t="shared" si="6"/>
        <v/>
      </c>
      <c r="Q15" s="178" t="str">
        <f>IFERROR(__xludf.DUMMYFUNCTION("IF(ISBLANK(B15),"""",IFERROR(IF(OR(AF15=""GPB"",AF15=""ZAR""),IF(AF15=Dashboard!$L$1,AS15,(AS15*GOOGLEFINANCE(""CURRENCY:""&amp;AF15&amp;""""&amp;Dashboard!$L$1&amp;""""))/100),IF(AF15=Dashboard!$L$1,AS15,AS15*GOOGLEFINANCE(""CURRENCY:""&amp;AF15&amp;""""&amp;Dashboard!$L$1&amp;""""))),"&amp;"AS15))"),"")</f>
        <v/>
      </c>
      <c r="R15" s="178" t="str">
        <f t="shared" si="7"/>
        <v/>
      </c>
      <c r="S15" s="50" t="str">
        <f>IFERROR(__xludf.DUMMYFUNCTION("IF(ISBLANK(B15),"""",IFERROR((GOOGLEFINANCE(B15,""price"")/INDEX(GOOGLEFINANCE(B15,""price"",DATEVALUE(TODAY()-$S$2) ),2,2)-1),""""))"),"")</f>
        <v/>
      </c>
      <c r="U15" s="50" t="str">
        <f>IFERROR(__xludf.DUMMYFUNCTION("IF(ISBLANK(B15),"""",IFERROR((GOOGLEFINANCE($U$2,""price"")/INDEX(GOOGLEFINANCE($U$2,""price"",DATEVALUE(TODAY()-$S$2) ),2,2)-1),""""))"),"")</f>
        <v/>
      </c>
      <c r="W15" s="50" t="str">
        <f t="shared" si="8"/>
        <v/>
      </c>
      <c r="X15" s="50" t="str">
        <f t="shared" si="9"/>
        <v/>
      </c>
      <c r="Y15" s="179">
        <v>0.0025</v>
      </c>
      <c r="Z15" s="50" t="str">
        <f t="shared" si="10"/>
        <v/>
      </c>
      <c r="AA15" s="14" t="str">
        <f t="shared" si="11"/>
        <v/>
      </c>
      <c r="AB15" s="50" t="str">
        <f t="shared" si="12"/>
        <v/>
      </c>
      <c r="AC15" s="179" t="str">
        <f t="shared" si="13"/>
        <v/>
      </c>
      <c r="AD15" s="50" t="str">
        <f t="shared" si="14"/>
        <v/>
      </c>
      <c r="AE15" s="180" t="str">
        <f t="shared" si="15"/>
        <v/>
      </c>
      <c r="AF15" s="14" t="str">
        <f t="array" ref="AF15">IFERROR(IF(ISBLANK(AH15),"",IF(VLOOKUP(AH15,Transactions!D:F,3,0)="Stablecoin",AH15,INDEX(Transactions!$B$3:$B149,MATCH(AH15,Transactions!$D$3:$D149,0),0))))</f>
        <v/>
      </c>
      <c r="AG15" s="14" t="str">
        <f>IF(ISBLANK(AH15),"",VLOOKUP(AH15,Transactions!D:E,2,0))</f>
        <v/>
      </c>
      <c r="AH15" s="14"/>
      <c r="AI15" s="146" t="str">
        <f>IF(ISBLANK(AH15),"",IF(
SUMIFS(Transactions!$I$3:$I149,Transactions!$H$3:$H149,"Buy",Transactions!$F$3:$F149,"Stock",Transactions!$D$3:$D149,AH15)
+SUMIFS(Transactions!$I$3:$I149,Transactions!$H$3:$H149,"DRIP",Transactions!$F$3:$F149,"Stock",Transactions!$D$3:$D149,AH15)
+SUMIFS(Transactions!$I$3:$I149,Transactions!$H$3:$H149,"Transfer Deposit",Transactions!$F$3:$F149,"Stock",Transactions!$D$3:$D149,AH15)
+SUMIFS(Transactions!$I$3:$I149,Transactions!$H$3:$H149,"Buy",Transactions!$F$3:$F149,"ETF",Transactions!$D$3:$D149,AH15)
+SUMIFS(Transactions!$I$3:$I149,Transactions!$H$3:$H149,"DRIP",Transactions!$F$3:$F149,"ETF",Transactions!$D$3:$D149,AH15)
+SUMIFS(Transactions!$I$3:$I149,Transactions!$H$3:$H149,"Transfer Deposit",Transactions!$F$3:$F149,"ETF",Transactions!$D$3:$D149,AH15)
+SUMIFS(Transactions!$I$3:$I149,Transactions!$H$3:$H149,"Buy",Transactions!$F$3:$F149,"Commodity",Transactions!$D$3:$D149,AH15)
+SUMIFS(Transactions!$I$3:$I149,Transactions!$H$3:$H149,"DRIP",Transactions!$F$3:$F149,"Commodity",Transactions!$D$3:$D149,AH15)
+SUMIFS(Transactions!$I$3:$I149,Transactions!$H$3:$H149,"Transfer Deposit",Transactions!$F$3:$F149,"Commodity",Transactions!$D$3:$D149,AH15)
+SUMIFS(Transactions!$I$3:$I149,Transactions!$H$3:$H149,"Buy",Transactions!$F$3:$F149,"Managed Fund",Transactions!$D$3:$D149,AH15)
+SUMIFS(Transactions!$I$3:$I149,Transactions!$H$3:$H149,"DRIP",Transactions!$F$3:$F149,"Managed Fund",Transactions!$D$3:$D149,AH15)
+SUMIFS(Transactions!$I$3:$I149,Transactions!$H$3:$H149,"Transfer Deposit",Transactions!$F$3:$F149,"Managed Fund",Transactions!$D$3:$D149,AH15)
+SUMIFS(Transactions!$I$3:$I149,Transactions!$H$3:$H149,"Buy",Transactions!$F$3:$F149,"REIT",Transactions!$D$3:$D149,AH15)
+SUMIFS(Transactions!$I$3:$I149,Transactions!$H$3:$H149,"DRIP",Transactions!$F$3:$F149,"REIT",Transactions!$D$3:$D149,AH15)
+SUMIFS(Transactions!$I$3:$I149,Transactions!$H$3:$H149,"Transfer Deposit",Transactions!$F$3:$F149,"REIT",Transactions!$D$3:$D149,AH15)
-SUMIFS(Transactions!$I$3:$I149,Transactions!$H$3:$H149,"Sell",Transactions!$F$3:$F149,"Stock",Transactions!$D$3:$D149,AH15)
-SUMIFS(Transactions!$I$3:$I149,Transactions!$H$3:$H149,"Transfer Send",Transactions!$F$3:$F149,"Stock",Transactions!$D$3:$D149,AH15)
-SUMIFS(Transactions!$I$3:$I149,Transactions!$H$3:$H149,"Sell",Transactions!$F$3:$F149,"ETF",Transactions!$D$3:$D149,AH15)
-SUMIFS(Transactions!$I$3:$I149,Transactions!$H$3:$H149,"Transfer Send",Transactions!$F$3:$F149,"ETF",Transactions!$D$3:$D149,AH15)
-SUMIFS(Transactions!$I$3:$I149,Transactions!$H$3:$H149,"Sell",Transactions!$F$3:$F149,"Commodity",Transactions!$D$3:$D149,AH15)
-SUMIFS(Transactions!$I$3:$I149,Transactions!$H$3:$H149,"Transfer Send",Transactions!$F$3:$F149,"Commodity",Transactions!$D$3:$D149,AH15)
-SUMIFS(Transactions!$I$3:$I149,Transactions!$H$3:$H149,"Sell",Transactions!$F$3:$F149,"Managed Fund",Transactions!$D$3:$D149,AH15)
-SUMIFS(Transactions!$I$3:$I149,Transactions!$H$3:$H149,"Transfer Send",Transactions!$F$3:$F149,"Managed Fund",Transactions!$D$3:$D149,AH15)
-SUMIFS(Transactions!$I$3:$I149,Transactions!$H$3:$H149,"Sell",Transactions!$F$3:$F149,"REIT",Transactions!$D$3:$D149,AH15)
-SUMIFS(Transactions!$I$3:$I149,Transactions!$H$3:$H149,"Transfer Send",Transactions!$F$3:$F149,"REIT",Transactions!$D$3:$D149,AH15)
+SUMIFS(Transactions!$I$3:$I149,Transactions!$H$3:$H149,"Buy",Transactions!$F$3:$F149,"Crypto",Transactions!$D$3:$D149,AH15)
+SUMIFS(Transactions!$I$3:$I149,Transactions!$H$3:$H149,"Crypto Interest",Transactions!$F$3:$F149,"Crypto",Transactions!$D$3:$D149,AH15)
+SUMIFS(Transactions!$I$3:$I149,Transactions!$H$3:$H149,"Transfer Deposit",Transactions!$F$3:$F149,"Crypto",Transactions!$D$3:$D149,AH15)
-SUMIFS(Transactions!$I$3:$I149,Transactions!$H$3:$H149,"Transfer Send",Transactions!$F$3:$F149,"Crypto",Transactions!$D$3:$D149,AH15)
-SUMIFS(Transactions!$I$3:$I149,Transactions!$H$3:$H149,"Sell",Transactions!$F$3:$F149,"Crypto",Transactions!$D$3:$D149,AH15)
+SUMIFS(Transactions!$I$3:$I149,Transactions!$H$3:$H149,"Buy",Transactions!$F$3:$F149,"Stablecoin",Transactions!$D$3:$D149,AH15)
+SUMIFS(Transactions!$I$3:$I149,Transactions!$H$3:$H149,"Crypto Interest",Transactions!$F$3:$F149,"Stablecoin",Transactions!$D$3:$D149,AH15)
+SUMIFS(Transactions!$I$3:$I149,Transactions!$H$3:$H149,"Transfer Deposit",Transactions!$F$3:$F149,"Stablecoin",Transactions!$D$3:$D149,AH15)
-SUMIFS(Transactions!$I$3:$I149,Transactions!$H$3:$H149,"Transfer Send",Transactions!$F$3:$F149,"Stablecoin",Transactions!$D$3:$D149,AH15)
-SUMIFS(Transactions!$I$3:$I149,Transactions!$H$3:$H149,"Sell",Transactions!$F$3:$F149,"Stablecoin",Transactions!$D$3:$D149,AH15)
-SUMIFS(Transactions!$M$3:$M149,Transactions!$H$3:$H149,"Buy",Transactions!$B$3:$B149,AH15)=0,"Sold All",
SUMIFS(Transactions!$I$3:$I149,Transactions!$H$3:$H149,"Buy",Transactions!$F$3:$F149,"Stock",Transactions!$D$3:$D149,AH15)
+SUMIFS(Transactions!$I$3:$I149,Transactions!$H$3:$H149,"DRIP",Transactions!$F$3:$F149,"Stock",Transactions!$D$3:$D149,AH15)
+SUMIFS(Transactions!$I$3:$I149,Transactions!$H$3:$H149,"Transfer Deposit",Transactions!$F$3:$F149,"Stock",Transactions!$D$3:$D149,AH15)
+SUMIFS(Transactions!$I$3:$I149,Transactions!$H$3:$H149,"Buy",Transactions!$F$3:$F149,"ETF",Transactions!$D$3:$D149,AH15)
+SUMIFS(Transactions!$I$3:$I149,Transactions!$H$3:$H149,"DRIP",Transactions!$F$3:$F149,"ETF",Transactions!$D$3:$D149,AH15)
+SUMIFS(Transactions!$I$3:$I149,Transactions!$H$3:$H149,"Transfer Deposit",Transactions!$F$3:$F149,"ETF",Transactions!$D$3:$D149,AH15)
+SUMIFS(Transactions!$I$3:$I149,Transactions!$H$3:$H149,"Buy",Transactions!$F$3:$F149,"Commodity",Transactions!$D$3:$D149,AH15)
+SUMIFS(Transactions!$I$3:$I149,Transactions!$H$3:$H149,"DRIP",Transactions!$F$3:$F149,"Commodity",Transactions!$D$3:$D149,AH15)
+SUMIFS(Transactions!$I$3:$I149,Transactions!$H$3:$H149,"Transfer Deposit",Transactions!$F$3:$F149,"Commodity",Transactions!$D$3:$D149,AH15)
+SUMIFS(Transactions!$I$3:$I149,Transactions!$H$3:$H149,"Buy",Transactions!$F$3:$F149,"Managed Fund",Transactions!$D$3:$D149,AH15)
+SUMIFS(Transactions!$I$3:$I149,Transactions!$H$3:$H149,"DRIP",Transactions!$F$3:$F149,"Managed Fund",Transactions!$D$3:$D149,AH15)
+SUMIFS(Transactions!$I$3:$I149,Transactions!$H$3:$H149,"Transfer Deposit",Transactions!$F$3:$F149,"Managed Fund",Transactions!$D$3:$D149,AH15)
+SUMIFS(Transactions!$I$3:$I149,Transactions!$H$3:$H149,"Buy",Transactions!$F$3:$F149,"REIT",Transactions!$D$3:$D149,AH15)
+SUMIFS(Transactions!$I$3:$I149,Transactions!$H$3:$H149,"DRIP",Transactions!$F$3:$F149,"REIT",Transactions!$D$3:$D149,AH15)
+SUMIFS(Transactions!$I$3:$I149,Transactions!$H$3:$H149,"Transfer Deposit",Transactions!$F$3:$F149,"REIT",Transactions!$D$3:$D149,AH15)
-SUMIFS(Transactions!$I$3:$I149,Transactions!$H$3:$H149,"Sell",Transactions!$F$3:$F149,"Stock",Transactions!$D$3:$D149,AH15)
-SUMIFS(Transactions!$I$3:$I149,Transactions!$H$3:$H149,"Transfer Send",Transactions!$F$3:$F149,"Stock",Transactions!$D$3:$D149,AH15)
-SUMIFS(Transactions!$I$3:$I149,Transactions!$H$3:$H149,"Sell",Transactions!$F$3:$F149,"ETF",Transactions!$D$3:$D149,AH15)
-SUMIFS(Transactions!$I$3:$I149,Transactions!$H$3:$H149,"Transfer Send",Transactions!$F$3:$F149,"ETF",Transactions!$D$3:$D149,AH15)
-SUMIFS(Transactions!$I$3:$I149,Transactions!$H$3:$H149,"Sell",Transactions!$F$3:$F149,"Commodity",Transactions!$D$3:$D149,AH15)
-SUMIFS(Transactions!$I$3:$I149,Transactions!$H$3:$H149,"Transfer Send",Transactions!$F$3:$F149,"Commodity",Transactions!$D$3:$D149,AH15)
-SUMIFS(Transactions!$I$3:$I149,Transactions!$H$3:$H149,"Sell",Transactions!$F$3:$F149,"Managed Fund",Transactions!$D$3:$D149,AH15)
-SUMIFS(Transactions!$I$3:$I149,Transactions!$H$3:$H149,"Transfer Send",Transactions!$F$3:$F149,"Managed Fund",Transactions!$D$3:$D149,AH15)
-SUMIFS(Transactions!$I$3:$I149,Transactions!$H$3:$H149,"Sell",Transactions!$F$3:$F149,"REIT",Transactions!$D$3:$D149,AH15)
-SUMIFS(Transactions!$I$3:$I149,Transactions!$H$3:$H149,"Transfer Send",Transactions!$F$3:$F149,"REIT",Transactions!$D$3:$D149,AH15)
+SUMIFS(Transactions!$I$3:$I149,Transactions!$H$3:$H149,"Buy",Transactions!$F$3:$F149,"Crypto",Transactions!$D$3:$D149,AH15)
+SUMIFS(Transactions!$I$3:$I149,Transactions!$H$3:$H149,"Crypto Interest",Transactions!$F$3:$F149,"Crypto",Transactions!$D$3:$D149,AH15)
+SUMIFS(Transactions!$I$3:$I149,Transactions!$H$3:$H149,"Transfer Deposit",Transactions!$F$3:$F149,"Crypto",Transactions!$D$3:$D149,AH15)
-SUMIFS(Transactions!$I$3:$I149,Transactions!$H$3:$H149,"Transfer Send",Transactions!$F$3:$F149,"Crypto",Transactions!$D$3:$D149,AH15)
-SUMIFS(Transactions!$I$3:$I149,Transactions!$H$3:$H149,"Sell",Transactions!$F$3:$F149,"Crypto",Transactions!$D$3:$D149,AH15)
+SUMIFS(Transactions!$I$3:$I149,Transactions!$H$3:$H149,"Buy",Transactions!$F$3:$F149,"Stablecoin",Transactions!$D$3:$D149,AH15)
+SUMIFS(Transactions!$I$3:$I149,Transactions!$H$3:$H149,"Crypto Interest",Transactions!$F$3:$F149,"Stablecoin",Transactions!$D$3:$D149,AH15)
+SUMIFS(Transactions!$I$3:$I149,Transactions!$H$3:$H149,"Transfer Deposit",Transactions!$F$3:$F149,"Stablecoin",Transactions!$D$3:$D149,AH15)
-SUMIFS(Transactions!$I$3:$I149,Transactions!$H$3:$H149,"Transfer Send",Transactions!$F$3:$F149,"Stablecoin",Transactions!$D$3:$D149,AH15)
-SUMIFS(Transactions!$I$3:$I149,Transactions!$H$3:$H149,"Sell",Transactions!$F$3:$F149,"Stablecoin",Transactions!$D$3:$D149,AH15)
-SUMIFS(Transactions!$M$3:$M149,Transactions!$H$3:$H149,"Buy",Transactions!$B$3:$B149,AH15)))</f>
        <v/>
      </c>
      <c r="AJ15" s="181" t="str">
        <f>IFERROR(__xludf.DUMMYFUNCTION("IF(ISBLANK(AH15),"""",VLOOKUP(9^99,FILTER({ROW(Transactions!P:P),Transactions!P:P},Transactions!D:D=AH15),2))"),"")</f>
        <v/>
      </c>
      <c r="AK15" s="181" t="str">
        <f>IFERROR(__xludf.DUMMYFUNCTION("IF(ISBLANK(AH15),"""",IFERROR(GOOGLEFINANCE(AH15,""price""),IFERROR(GOOGLEFINANCE(""CURRENCY:""&amp;AH15&amp;""""),IFERROR(INDEX(YAHOO_STOCK(TRIM(AH15), $G$2),0,1),INDEX(IMPORTHTML(CONCAT(""https://coinmarketcap.com/currencies/"",AG15),""table"",1),1,2)))))"),"")</f>
        <v/>
      </c>
      <c r="AL15" s="14" t="str">
        <f>IFERROR(__xludf.DUMMYFUNCTION("IF(ISBLANK(AH15),"""",IFERROR(SPARKLINE(INDEX(GOOGLEFINANCE(AH15,""price"",TODAY()-$AL$2,TODAY()),,2),{""charttype"",""column"";""color"",""17a7e0""}),""""))"),"")</f>
        <v/>
      </c>
      <c r="AM15" s="50" t="str">
        <f>IFERROR(__xludf.DUMMYFUNCTION("IFNA(IFERROR(IF(AH15="""","""",GOOGLEFINANCE(AH15,""changepct"")/100),(GOOGLEFINANCE(AH15)-(INDEX(GOOGLEFINANCE(""CURRENCY:""&amp;AH15&amp;"""",""price"",TODAY()-1),2,2)))/(INDEX(GOOGLEFINANCE(""CURRENCY:""&amp;AH15&amp;"""",""price"",TODAY()-1),2,2))),)"),"")</f>
        <v/>
      </c>
      <c r="AN15" s="96" t="str">
        <f>IFERROR(__xludf.DUMMYFUNCTION("IFNA(IFERROR(IF(AH15="""","""",GOOGLEFINANCE(AH15,""change"")*AI15),(GOOGLEFINANCE(AH15)-(INDEX(GOOGLEFINANCE(""CURRENCY:""&amp;AH15&amp;"""",""price"",TODAY()-1),2,2)))*AI15),"""")"),"")</f>
        <v/>
      </c>
      <c r="AO15" s="96" t="str">
        <f>IF(ISBLANK(AH15),"",IFERROR(((AI15-SUMIFS(Transactions!I:I,Transactions!H:H,"Crypto Interest",Transactions!D:D,AH15))*AJ15),""))</f>
        <v/>
      </c>
      <c r="AP15" s="96" t="str">
        <f t="shared" si="16"/>
        <v/>
      </c>
      <c r="AQ15" s="50" t="str">
        <f t="shared" si="17"/>
        <v/>
      </c>
      <c r="AR15" s="96" t="str">
        <f t="shared" si="18"/>
        <v/>
      </c>
      <c r="AS15" s="96" t="str">
        <f>IF(ISBLANK(AH15),"",SUMIFS(Transactions!$X$3:$X149,Transactions!$H$3:$H149,"Sell",Transactions!$D$3:$D149,AH15))</f>
        <v/>
      </c>
      <c r="AT15" s="96" t="str">
        <f t="shared" si="19"/>
        <v/>
      </c>
      <c r="AU15" s="50" t="str">
        <f>IFERROR(__xludf.DUMMYFUNCTION("IF(ISBLANK(AH15),"""",IFERROR((GOOGLEFINANCE(AH15,""price"")/INDEX(GOOGLEFINANCE(AH15,""price"",DATEVALUE(TODAY()-$AU$2) ),2,2)-1),""""))"),"")</f>
        <v/>
      </c>
      <c r="AW15" s="50" t="str">
        <f>IFERROR(__xludf.DUMMYFUNCTION("IF(ISBLANK(AH15),"""",IFERROR((GOOGLEFINANCE($AW$2,""price"")/INDEX(GOOGLEFINANCE($AW$2,""price"",DATEVALUE(TODAY()-$AU$2) ),2,2)-1),""""))"),"")</f>
        <v/>
      </c>
      <c r="AY15" s="50" t="str">
        <f t="shared" si="20"/>
        <v/>
      </c>
      <c r="AZ15" s="50" t="str">
        <f t="shared" si="21"/>
        <v/>
      </c>
      <c r="BA15" s="50">
        <f t="shared" si="22"/>
        <v>0.0025</v>
      </c>
      <c r="BB15" s="14" t="str">
        <f t="shared" si="23"/>
        <v/>
      </c>
      <c r="BC15" s="14" t="str">
        <f>IF(ISBLANK(AH15),"",IFERROR(VLOOKUP(AH15,Transactions!D:F,3,0)))</f>
        <v/>
      </c>
      <c r="BD15" s="50" t="str">
        <f t="shared" si="24"/>
        <v/>
      </c>
      <c r="BE15" s="50" t="str">
        <f t="shared" si="25"/>
        <v/>
      </c>
      <c r="BF15" s="14" t="str">
        <f t="shared" si="26"/>
        <v/>
      </c>
      <c r="BG15" s="180" t="str">
        <f>IF(ISBLANK(AH15),"",IFERROR(VLOOKUP(AH15,Transactions!D:G,4,0)))</f>
        <v/>
      </c>
    </row>
    <row r="16">
      <c r="A16" s="14" t="str">
        <f t="shared" ref="A16:C16" si="38">AG16</f>
        <v/>
      </c>
      <c r="B16" s="14" t="str">
        <f t="shared" si="38"/>
        <v/>
      </c>
      <c r="C16" s="175" t="str">
        <f t="shared" si="38"/>
        <v/>
      </c>
      <c r="D16" s="176" t="str">
        <f>IFERROR(__xludf.DUMMYFUNCTION("IF(ISBLANK(B16),"""",IFERROR(IF(OR(AF16=""GPB"",AF16=""ZAR""),IF(AF16=Dashboard!$L$1,AJ16,(AJ16*GOOGLEFINANCE(""CURRENCY:""&amp;AF16&amp;""""&amp;Dashboard!$L$1&amp;""""))/100),IF(AF16=Dashboard!$L$1,AJ16,AJ16*GOOGLEFINANCE(""CURRENCY:""&amp;AF16&amp;""""&amp;Dashboard!$L$1&amp;""""))),"&amp;"AJ16))"),"")</f>
        <v/>
      </c>
      <c r="E16" s="177" t="str">
        <f>IFERROR(__xludf.DUMMYFUNCTION("IFERROR(IF(OR(AF16=""GBP"",AF16=""ZAR""),IF(B16="""","""",IF(AF16=Dashboard!$L$1,AK16,AK16*GOOGLEFINANCE(""CURRENCY:""&amp;AF16&amp;""""&amp;Dashboard!$L$1&amp;"""")))/100,If(B16="""","""",IF(AF16=Dashboard!$L$1,AK16,AK16*GOOGLEFINANCE(""CURRENCY:""&amp;AF16&amp;""""&amp;Dashboard!$"&amp;"L$1&amp;"""")))),AK16)"),"")</f>
        <v/>
      </c>
      <c r="F16" s="145">
        <f>IFERROR(__xludf.DUMMYFUNCTION(" E16 * GOOGLEFINANCE(""CURRENCY:USDEUR"") "),0.0)</f>
        <v>0</v>
      </c>
      <c r="G16" s="96" t="str">
        <f>IFERROR(__xludf.DUMMYFUNCTION("IF(ISBLANK(B16),"""",IFERROR(SPARKLINE(INDEX(GOOGLEFINANCE(B16,""price"",TODAY()-$G$2,TODAY()),,2),{""charttype"",""column"";""color"",""17a7e0""}),""""))"),"")</f>
        <v/>
      </c>
      <c r="H16" s="50" t="str">
        <f t="shared" si="3"/>
        <v/>
      </c>
      <c r="I16" s="96" t="str">
        <f>IFERROR(__xludf.DUMMYFUNCTION("IF(ISBLANK(B16),"""",IFERROR(IF(OR(AF16=""GPB"",AF16=""ZAR""),IF(AF16=Dashboard!$L$1,AN16,(AN16*GOOGLEFINANCE(""CURRENCY:""&amp;AF16&amp;""""&amp;Dashboard!$L$1&amp;""""))/100),IF(AF16=Dashboard!$L$1,AN16,AN16*GOOGLEFINANCE(""CURRENCY:""&amp;AF16&amp;""""&amp;Dashboard!$L$1&amp;""""))),"&amp;"AN16))"),"")</f>
        <v/>
      </c>
      <c r="J16" s="178" t="str">
        <f>IF(ISBLANK(B16),"",IFERROR(((C16-SUMIFS(Transactions!I:I,Transactions!H:H,"Crypto Interest",Transactions!D:D,B16))*D16),""))</f>
        <v/>
      </c>
      <c r="K16" s="178" t="str">
        <f t="shared" si="4"/>
        <v/>
      </c>
      <c r="L16" s="145">
        <f>-SUMIFS(Transactions!$M$3:$M149,Transactions!$H$3:$H149,"Buy",Transactions!$D$3:$D149,B16)</f>
        <v>0</v>
      </c>
      <c r="M16" s="145">
        <f>IF(ISBLANK(AG16),"",SUMIFS(Transactions!$M$3:$M149,Transactions!$H$3:$H149,"Dividend",Transactions!$D$3:$D149,B16))</f>
        <v>0</v>
      </c>
      <c r="N16" s="145" t="str">
        <f>IF(ISBLANK(AH16),"",SUMIFS(Transactions!$M$3:$M149,Transactions!$H$3:$H149,"Sell",Transactions!$D$3:$D149,B16))</f>
        <v/>
      </c>
      <c r="O16" s="50" t="str">
        <f t="shared" si="5"/>
        <v/>
      </c>
      <c r="P16" s="178" t="str">
        <f t="shared" si="6"/>
        <v/>
      </c>
      <c r="Q16" s="178" t="str">
        <f>IFERROR(__xludf.DUMMYFUNCTION("IF(ISBLANK(B16),"""",IFERROR(IF(OR(AF16=""GPB"",AF16=""ZAR""),IF(AF16=Dashboard!$L$1,AS16,(AS16*GOOGLEFINANCE(""CURRENCY:""&amp;AF16&amp;""""&amp;Dashboard!$L$1&amp;""""))/100),IF(AF16=Dashboard!$L$1,AS16,AS16*GOOGLEFINANCE(""CURRENCY:""&amp;AF16&amp;""""&amp;Dashboard!$L$1&amp;""""))),"&amp;"AS16))"),"")</f>
        <v/>
      </c>
      <c r="R16" s="178" t="str">
        <f t="shared" si="7"/>
        <v/>
      </c>
      <c r="S16" s="50" t="str">
        <f>IFERROR(__xludf.DUMMYFUNCTION("IF(ISBLANK(B16),"""",IFERROR((GOOGLEFINANCE(B16,""price"")/INDEX(GOOGLEFINANCE(B16,""price"",DATEVALUE(TODAY()-$S$2) ),2,2)-1),""""))"),"")</f>
        <v/>
      </c>
      <c r="U16" s="50" t="str">
        <f>IFERROR(__xludf.DUMMYFUNCTION("IF(ISBLANK(B16),"""",IFERROR((GOOGLEFINANCE($U$2,""price"")/INDEX(GOOGLEFINANCE($U$2,""price"",DATEVALUE(TODAY()-$S$2) ),2,2)-1),""""))"),"")</f>
        <v/>
      </c>
      <c r="W16" s="50" t="str">
        <f t="shared" si="8"/>
        <v/>
      </c>
      <c r="X16" s="50" t="str">
        <f t="shared" si="9"/>
        <v/>
      </c>
      <c r="Y16" s="179">
        <v>0.0025</v>
      </c>
      <c r="Z16" s="50" t="str">
        <f t="shared" si="10"/>
        <v/>
      </c>
      <c r="AA16" s="14" t="str">
        <f t="shared" si="11"/>
        <v/>
      </c>
      <c r="AB16" s="50" t="str">
        <f t="shared" si="12"/>
        <v/>
      </c>
      <c r="AC16" s="179" t="str">
        <f t="shared" si="13"/>
        <v/>
      </c>
      <c r="AD16" s="50" t="str">
        <f t="shared" si="14"/>
        <v/>
      </c>
      <c r="AE16" s="180" t="str">
        <f t="shared" si="15"/>
        <v/>
      </c>
      <c r="AF16" s="14" t="str">
        <f t="array" ref="AF16">IFERROR(IF(ISBLANK(AH16),"",IF(VLOOKUP(AH16,Transactions!D:F,3,0)="Stablecoin",AH16,INDEX(Transactions!$B$3:$B149,MATCH(AH16,Transactions!$D$3:$D149,0),0))))</f>
        <v/>
      </c>
      <c r="AG16" s="14" t="str">
        <f>IF(ISBLANK(AH16),"",VLOOKUP(AH16,Transactions!D:E,2,0))</f>
        <v/>
      </c>
      <c r="AH16" s="14"/>
      <c r="AI16" s="146" t="str">
        <f>IF(ISBLANK(AH16),"",IF(
SUMIFS(Transactions!$I$3:$I149,Transactions!$H$3:$H149,"Buy",Transactions!$F$3:$F149,"Stock",Transactions!$D$3:$D149,AH16)
+SUMIFS(Transactions!$I$3:$I149,Transactions!$H$3:$H149,"DRIP",Transactions!$F$3:$F149,"Stock",Transactions!$D$3:$D149,AH16)
+SUMIFS(Transactions!$I$3:$I149,Transactions!$H$3:$H149,"Transfer Deposit",Transactions!$F$3:$F149,"Stock",Transactions!$D$3:$D149,AH16)
+SUMIFS(Transactions!$I$3:$I149,Transactions!$H$3:$H149,"Buy",Transactions!$F$3:$F149,"ETF",Transactions!$D$3:$D149,AH16)
+SUMIFS(Transactions!$I$3:$I149,Transactions!$H$3:$H149,"DRIP",Transactions!$F$3:$F149,"ETF",Transactions!$D$3:$D149,AH16)
+SUMIFS(Transactions!$I$3:$I149,Transactions!$H$3:$H149,"Transfer Deposit",Transactions!$F$3:$F149,"ETF",Transactions!$D$3:$D149,AH16)
+SUMIFS(Transactions!$I$3:$I149,Transactions!$H$3:$H149,"Buy",Transactions!$F$3:$F149,"Commodity",Transactions!$D$3:$D149,AH16)
+SUMIFS(Transactions!$I$3:$I149,Transactions!$H$3:$H149,"DRIP",Transactions!$F$3:$F149,"Commodity",Transactions!$D$3:$D149,AH16)
+SUMIFS(Transactions!$I$3:$I149,Transactions!$H$3:$H149,"Transfer Deposit",Transactions!$F$3:$F149,"Commodity",Transactions!$D$3:$D149,AH16)
+SUMIFS(Transactions!$I$3:$I149,Transactions!$H$3:$H149,"Buy",Transactions!$F$3:$F149,"Managed Fund",Transactions!$D$3:$D149,AH16)
+SUMIFS(Transactions!$I$3:$I149,Transactions!$H$3:$H149,"DRIP",Transactions!$F$3:$F149,"Managed Fund",Transactions!$D$3:$D149,AH16)
+SUMIFS(Transactions!$I$3:$I149,Transactions!$H$3:$H149,"Transfer Deposit",Transactions!$F$3:$F149,"Managed Fund",Transactions!$D$3:$D149,AH16)
+SUMIFS(Transactions!$I$3:$I149,Transactions!$H$3:$H149,"Buy",Transactions!$F$3:$F149,"REIT",Transactions!$D$3:$D149,AH16)
+SUMIFS(Transactions!$I$3:$I149,Transactions!$H$3:$H149,"DRIP",Transactions!$F$3:$F149,"REIT",Transactions!$D$3:$D149,AH16)
+SUMIFS(Transactions!$I$3:$I149,Transactions!$H$3:$H149,"Transfer Deposit",Transactions!$F$3:$F149,"REIT",Transactions!$D$3:$D149,AH16)
-SUMIFS(Transactions!$I$3:$I149,Transactions!$H$3:$H149,"Sell",Transactions!$F$3:$F149,"Stock",Transactions!$D$3:$D149,AH16)
-SUMIFS(Transactions!$I$3:$I149,Transactions!$H$3:$H149,"Transfer Send",Transactions!$F$3:$F149,"Stock",Transactions!$D$3:$D149,AH16)
-SUMIFS(Transactions!$I$3:$I149,Transactions!$H$3:$H149,"Sell",Transactions!$F$3:$F149,"ETF",Transactions!$D$3:$D149,AH16)
-SUMIFS(Transactions!$I$3:$I149,Transactions!$H$3:$H149,"Transfer Send",Transactions!$F$3:$F149,"ETF",Transactions!$D$3:$D149,AH16)
-SUMIFS(Transactions!$I$3:$I149,Transactions!$H$3:$H149,"Sell",Transactions!$F$3:$F149,"Commodity",Transactions!$D$3:$D149,AH16)
-SUMIFS(Transactions!$I$3:$I149,Transactions!$H$3:$H149,"Transfer Send",Transactions!$F$3:$F149,"Commodity",Transactions!$D$3:$D149,AH16)
-SUMIFS(Transactions!$I$3:$I149,Transactions!$H$3:$H149,"Sell",Transactions!$F$3:$F149,"Managed Fund",Transactions!$D$3:$D149,AH16)
-SUMIFS(Transactions!$I$3:$I149,Transactions!$H$3:$H149,"Transfer Send",Transactions!$F$3:$F149,"Managed Fund",Transactions!$D$3:$D149,AH16)
-SUMIFS(Transactions!$I$3:$I149,Transactions!$H$3:$H149,"Sell",Transactions!$F$3:$F149,"REIT",Transactions!$D$3:$D149,AH16)
-SUMIFS(Transactions!$I$3:$I149,Transactions!$H$3:$H149,"Transfer Send",Transactions!$F$3:$F149,"REIT",Transactions!$D$3:$D149,AH16)
+SUMIFS(Transactions!$I$3:$I149,Transactions!$H$3:$H149,"Buy",Transactions!$F$3:$F149,"Crypto",Transactions!$D$3:$D149,AH16)
+SUMIFS(Transactions!$I$3:$I149,Transactions!$H$3:$H149,"Crypto Interest",Transactions!$F$3:$F149,"Crypto",Transactions!$D$3:$D149,AH16)
+SUMIFS(Transactions!$I$3:$I149,Transactions!$H$3:$H149,"Transfer Deposit",Transactions!$F$3:$F149,"Crypto",Transactions!$D$3:$D149,AH16)
-SUMIFS(Transactions!$I$3:$I149,Transactions!$H$3:$H149,"Transfer Send",Transactions!$F$3:$F149,"Crypto",Transactions!$D$3:$D149,AH16)
-SUMIFS(Transactions!$I$3:$I149,Transactions!$H$3:$H149,"Sell",Transactions!$F$3:$F149,"Crypto",Transactions!$D$3:$D149,AH16)
+SUMIFS(Transactions!$I$3:$I149,Transactions!$H$3:$H149,"Buy",Transactions!$F$3:$F149,"Stablecoin",Transactions!$D$3:$D149,AH16)
+SUMIFS(Transactions!$I$3:$I149,Transactions!$H$3:$H149,"Crypto Interest",Transactions!$F$3:$F149,"Stablecoin",Transactions!$D$3:$D149,AH16)
+SUMIFS(Transactions!$I$3:$I149,Transactions!$H$3:$H149,"Transfer Deposit",Transactions!$F$3:$F149,"Stablecoin",Transactions!$D$3:$D149,AH16)
-SUMIFS(Transactions!$I$3:$I149,Transactions!$H$3:$H149,"Transfer Send",Transactions!$F$3:$F149,"Stablecoin",Transactions!$D$3:$D149,AH16)
-SUMIFS(Transactions!$I$3:$I149,Transactions!$H$3:$H149,"Sell",Transactions!$F$3:$F149,"Stablecoin",Transactions!$D$3:$D149,AH16)
-SUMIFS(Transactions!$M$3:$M149,Transactions!$H$3:$H149,"Buy",Transactions!$B$3:$B149,AH16)=0,"Sold All",
SUMIFS(Transactions!$I$3:$I149,Transactions!$H$3:$H149,"Buy",Transactions!$F$3:$F149,"Stock",Transactions!$D$3:$D149,AH16)
+SUMIFS(Transactions!$I$3:$I149,Transactions!$H$3:$H149,"DRIP",Transactions!$F$3:$F149,"Stock",Transactions!$D$3:$D149,AH16)
+SUMIFS(Transactions!$I$3:$I149,Transactions!$H$3:$H149,"Transfer Deposit",Transactions!$F$3:$F149,"Stock",Transactions!$D$3:$D149,AH16)
+SUMIFS(Transactions!$I$3:$I149,Transactions!$H$3:$H149,"Buy",Transactions!$F$3:$F149,"ETF",Transactions!$D$3:$D149,AH16)
+SUMIFS(Transactions!$I$3:$I149,Transactions!$H$3:$H149,"DRIP",Transactions!$F$3:$F149,"ETF",Transactions!$D$3:$D149,AH16)
+SUMIFS(Transactions!$I$3:$I149,Transactions!$H$3:$H149,"Transfer Deposit",Transactions!$F$3:$F149,"ETF",Transactions!$D$3:$D149,AH16)
+SUMIFS(Transactions!$I$3:$I149,Transactions!$H$3:$H149,"Buy",Transactions!$F$3:$F149,"Commodity",Transactions!$D$3:$D149,AH16)
+SUMIFS(Transactions!$I$3:$I149,Transactions!$H$3:$H149,"DRIP",Transactions!$F$3:$F149,"Commodity",Transactions!$D$3:$D149,AH16)
+SUMIFS(Transactions!$I$3:$I149,Transactions!$H$3:$H149,"Transfer Deposit",Transactions!$F$3:$F149,"Commodity",Transactions!$D$3:$D149,AH16)
+SUMIFS(Transactions!$I$3:$I149,Transactions!$H$3:$H149,"Buy",Transactions!$F$3:$F149,"Managed Fund",Transactions!$D$3:$D149,AH16)
+SUMIFS(Transactions!$I$3:$I149,Transactions!$H$3:$H149,"DRIP",Transactions!$F$3:$F149,"Managed Fund",Transactions!$D$3:$D149,AH16)
+SUMIFS(Transactions!$I$3:$I149,Transactions!$H$3:$H149,"Transfer Deposit",Transactions!$F$3:$F149,"Managed Fund",Transactions!$D$3:$D149,AH16)
+SUMIFS(Transactions!$I$3:$I149,Transactions!$H$3:$H149,"Buy",Transactions!$F$3:$F149,"REIT",Transactions!$D$3:$D149,AH16)
+SUMIFS(Transactions!$I$3:$I149,Transactions!$H$3:$H149,"DRIP",Transactions!$F$3:$F149,"REIT",Transactions!$D$3:$D149,AH16)
+SUMIFS(Transactions!$I$3:$I149,Transactions!$H$3:$H149,"Transfer Deposit",Transactions!$F$3:$F149,"REIT",Transactions!$D$3:$D149,AH16)
-SUMIFS(Transactions!$I$3:$I149,Transactions!$H$3:$H149,"Sell",Transactions!$F$3:$F149,"Stock",Transactions!$D$3:$D149,AH16)
-SUMIFS(Transactions!$I$3:$I149,Transactions!$H$3:$H149,"Transfer Send",Transactions!$F$3:$F149,"Stock",Transactions!$D$3:$D149,AH16)
-SUMIFS(Transactions!$I$3:$I149,Transactions!$H$3:$H149,"Sell",Transactions!$F$3:$F149,"ETF",Transactions!$D$3:$D149,AH16)
-SUMIFS(Transactions!$I$3:$I149,Transactions!$H$3:$H149,"Transfer Send",Transactions!$F$3:$F149,"ETF",Transactions!$D$3:$D149,AH16)
-SUMIFS(Transactions!$I$3:$I149,Transactions!$H$3:$H149,"Sell",Transactions!$F$3:$F149,"Commodity",Transactions!$D$3:$D149,AH16)
-SUMIFS(Transactions!$I$3:$I149,Transactions!$H$3:$H149,"Transfer Send",Transactions!$F$3:$F149,"Commodity",Transactions!$D$3:$D149,AH16)
-SUMIFS(Transactions!$I$3:$I149,Transactions!$H$3:$H149,"Sell",Transactions!$F$3:$F149,"Managed Fund",Transactions!$D$3:$D149,AH16)
-SUMIFS(Transactions!$I$3:$I149,Transactions!$H$3:$H149,"Transfer Send",Transactions!$F$3:$F149,"Managed Fund",Transactions!$D$3:$D149,AH16)
-SUMIFS(Transactions!$I$3:$I149,Transactions!$H$3:$H149,"Sell",Transactions!$F$3:$F149,"REIT",Transactions!$D$3:$D149,AH16)
-SUMIFS(Transactions!$I$3:$I149,Transactions!$H$3:$H149,"Transfer Send",Transactions!$F$3:$F149,"REIT",Transactions!$D$3:$D149,AH16)
+SUMIFS(Transactions!$I$3:$I149,Transactions!$H$3:$H149,"Buy",Transactions!$F$3:$F149,"Crypto",Transactions!$D$3:$D149,AH16)
+SUMIFS(Transactions!$I$3:$I149,Transactions!$H$3:$H149,"Crypto Interest",Transactions!$F$3:$F149,"Crypto",Transactions!$D$3:$D149,AH16)
+SUMIFS(Transactions!$I$3:$I149,Transactions!$H$3:$H149,"Transfer Deposit",Transactions!$F$3:$F149,"Crypto",Transactions!$D$3:$D149,AH16)
-SUMIFS(Transactions!$I$3:$I149,Transactions!$H$3:$H149,"Transfer Send",Transactions!$F$3:$F149,"Crypto",Transactions!$D$3:$D149,AH16)
-SUMIFS(Transactions!$I$3:$I149,Transactions!$H$3:$H149,"Sell",Transactions!$F$3:$F149,"Crypto",Transactions!$D$3:$D149,AH16)
+SUMIFS(Transactions!$I$3:$I149,Transactions!$H$3:$H149,"Buy",Transactions!$F$3:$F149,"Stablecoin",Transactions!$D$3:$D149,AH16)
+SUMIFS(Transactions!$I$3:$I149,Transactions!$H$3:$H149,"Crypto Interest",Transactions!$F$3:$F149,"Stablecoin",Transactions!$D$3:$D149,AH16)
+SUMIFS(Transactions!$I$3:$I149,Transactions!$H$3:$H149,"Transfer Deposit",Transactions!$F$3:$F149,"Stablecoin",Transactions!$D$3:$D149,AH16)
-SUMIFS(Transactions!$I$3:$I149,Transactions!$H$3:$H149,"Transfer Send",Transactions!$F$3:$F149,"Stablecoin",Transactions!$D$3:$D149,AH16)
-SUMIFS(Transactions!$I$3:$I149,Transactions!$H$3:$H149,"Sell",Transactions!$F$3:$F149,"Stablecoin",Transactions!$D$3:$D149,AH16)
-SUMIFS(Transactions!$M$3:$M149,Transactions!$H$3:$H149,"Buy",Transactions!$B$3:$B149,AH16)))</f>
        <v/>
      </c>
      <c r="AJ16" s="181" t="str">
        <f>IFERROR(__xludf.DUMMYFUNCTION("IF(ISBLANK(AH16),"""",VLOOKUP(9^99,FILTER({ROW(Transactions!P:P),Transactions!P:P},Transactions!D:D=AH16),2))"),"")</f>
        <v/>
      </c>
      <c r="AK16" s="181" t="str">
        <f>IFERROR(__xludf.DUMMYFUNCTION("IF(ISBLANK(AH16),"""",IFERROR(GOOGLEFINANCE(AH16,""price""),IFERROR(GOOGLEFINANCE(""CURRENCY:""&amp;AH16&amp;""""),IFERROR(INDEX(YAHOO_STOCK(TRIM(AH16), $G$2),0,1),INDEX(IMPORTHTML(CONCAT(""https://coinmarketcap.com/currencies/"",AG16),""table"",1),1,2)))))"),"")</f>
        <v/>
      </c>
      <c r="AL16" s="14" t="str">
        <f>IFERROR(__xludf.DUMMYFUNCTION("IF(ISBLANK(AH16),"""",IFERROR(SPARKLINE(INDEX(GOOGLEFINANCE(AH16,""price"",TODAY()-$AL$2,TODAY()),,2),{""charttype"",""column"";""color"",""17a7e0""}),""""))"),"")</f>
        <v/>
      </c>
      <c r="AM16" s="50" t="str">
        <f>IFERROR(__xludf.DUMMYFUNCTION("IFNA(IFERROR(IF(AH16="""","""",GOOGLEFINANCE(AH16,""changepct"")/100),(GOOGLEFINANCE(AH16)-(INDEX(GOOGLEFINANCE(""CURRENCY:""&amp;AH16&amp;"""",""price"",TODAY()-1),2,2)))/(INDEX(GOOGLEFINANCE(""CURRENCY:""&amp;AH16&amp;"""",""price"",TODAY()-1),2,2))),)"),"")</f>
        <v/>
      </c>
      <c r="AN16" s="96" t="str">
        <f>IFERROR(__xludf.DUMMYFUNCTION("IFNA(IFERROR(IF(AH16="""","""",GOOGLEFINANCE(AH16,""change"")*AI16),(GOOGLEFINANCE(AH16)-(INDEX(GOOGLEFINANCE(""CURRENCY:""&amp;AH16&amp;"""",""price"",TODAY()-1),2,2)))*AI16),"""")"),"")</f>
        <v/>
      </c>
      <c r="AO16" s="96" t="str">
        <f>IF(ISBLANK(AH16),"",IFERROR(((AI16-SUMIFS(Transactions!I:I,Transactions!H:H,"Crypto Interest",Transactions!D:D,AH16))*AJ16),""))</f>
        <v/>
      </c>
      <c r="AP16" s="96" t="str">
        <f t="shared" si="16"/>
        <v/>
      </c>
      <c r="AQ16" s="50" t="str">
        <f t="shared" si="17"/>
        <v/>
      </c>
      <c r="AR16" s="96" t="str">
        <f t="shared" si="18"/>
        <v/>
      </c>
      <c r="AS16" s="96" t="str">
        <f>IF(ISBLANK(AH16),"",SUMIFS(Transactions!$X$3:$X149,Transactions!$H$3:$H149,"Sell",Transactions!$D$3:$D149,AH16))</f>
        <v/>
      </c>
      <c r="AT16" s="96" t="str">
        <f t="shared" si="19"/>
        <v/>
      </c>
      <c r="AU16" s="50" t="str">
        <f>IFERROR(__xludf.DUMMYFUNCTION("IF(ISBLANK(AH16),"""",IFERROR((GOOGLEFINANCE(AH16,""price"")/INDEX(GOOGLEFINANCE(AH16,""price"",DATEVALUE(TODAY()-$AU$2) ),2,2)-1),""""))"),"")</f>
        <v/>
      </c>
      <c r="AW16" s="50" t="str">
        <f>IFERROR(__xludf.DUMMYFUNCTION("IF(ISBLANK(AH16),"""",IFERROR((GOOGLEFINANCE($AW$2,""price"")/INDEX(GOOGLEFINANCE($AW$2,""price"",DATEVALUE(TODAY()-$AU$2) ),2,2)-1),""""))"),"")</f>
        <v/>
      </c>
      <c r="AY16" s="50" t="str">
        <f t="shared" si="20"/>
        <v/>
      </c>
      <c r="AZ16" s="50" t="str">
        <f t="shared" si="21"/>
        <v/>
      </c>
      <c r="BA16" s="50">
        <f t="shared" si="22"/>
        <v>0.0025</v>
      </c>
      <c r="BB16" s="14" t="str">
        <f t="shared" si="23"/>
        <v/>
      </c>
      <c r="BC16" s="14" t="str">
        <f>IF(ISBLANK(AH16),"",IFERROR(VLOOKUP(AH16,Transactions!D:F,3,0)))</f>
        <v/>
      </c>
      <c r="BD16" s="50" t="str">
        <f t="shared" si="24"/>
        <v/>
      </c>
      <c r="BE16" s="50" t="str">
        <f t="shared" si="25"/>
        <v/>
      </c>
      <c r="BF16" s="14" t="str">
        <f t="shared" si="26"/>
        <v/>
      </c>
      <c r="BG16" s="180" t="str">
        <f>IF(ISBLANK(AH16),"",IFERROR(VLOOKUP(AH16,Transactions!D:G,4,0)))</f>
        <v/>
      </c>
    </row>
    <row r="17">
      <c r="A17" s="14" t="str">
        <f t="shared" ref="A17:C17" si="39">AG17</f>
        <v/>
      </c>
      <c r="B17" s="14" t="str">
        <f t="shared" si="39"/>
        <v/>
      </c>
      <c r="C17" s="175" t="str">
        <f t="shared" si="39"/>
        <v/>
      </c>
      <c r="D17" s="176" t="str">
        <f>IFERROR(__xludf.DUMMYFUNCTION("IF(ISBLANK(B17),"""",IFERROR(IF(OR(AF17=""GPB"",AF17=""ZAR""),IF(AF17=Dashboard!$L$1,AJ17,(AJ17*GOOGLEFINANCE(""CURRENCY:""&amp;AF17&amp;""""&amp;Dashboard!$L$1&amp;""""))/100),IF(AF17=Dashboard!$L$1,AJ17,AJ17*GOOGLEFINANCE(""CURRENCY:""&amp;AF17&amp;""""&amp;Dashboard!$L$1&amp;""""))),"&amp;"AJ17))"),"")</f>
        <v/>
      </c>
      <c r="E17" s="177" t="str">
        <f>IFERROR(__xludf.DUMMYFUNCTION("IFERROR(IF(OR(AF17=""GBP"",AF17=""ZAR""),IF(B17="""","""",IF(AF17=Dashboard!$L$1,AK17,AK17*GOOGLEFINANCE(""CURRENCY:""&amp;AF17&amp;""""&amp;Dashboard!$L$1&amp;"""")))/100,If(B17="""","""",IF(AF17=Dashboard!$L$1,AK17,AK17*GOOGLEFINANCE(""CURRENCY:""&amp;AF17&amp;""""&amp;Dashboard!$"&amp;"L$1&amp;"""")))),AK17)"),"")</f>
        <v/>
      </c>
      <c r="F17" s="145">
        <f>IFERROR(__xludf.DUMMYFUNCTION(" E17 * GOOGLEFINANCE(""CURRENCY:USDEUR"") "),0.0)</f>
        <v>0</v>
      </c>
      <c r="G17" s="96" t="str">
        <f>IFERROR(__xludf.DUMMYFUNCTION("IF(ISBLANK(B17),"""",IFERROR(SPARKLINE(INDEX(GOOGLEFINANCE(B17,""price"",TODAY()-$G$2,TODAY()),,2),{""charttype"",""column"";""color"",""17a7e0""}),""""))"),"")</f>
        <v/>
      </c>
      <c r="H17" s="50" t="str">
        <f t="shared" si="3"/>
        <v/>
      </c>
      <c r="I17" s="96" t="str">
        <f>IFERROR(__xludf.DUMMYFUNCTION("IF(ISBLANK(B17),"""",IFERROR(IF(OR(AF17=""GPB"",AF17=""ZAR""),IF(AF17=Dashboard!$L$1,AN17,(AN17*GOOGLEFINANCE(""CURRENCY:""&amp;AF17&amp;""""&amp;Dashboard!$L$1&amp;""""))/100),IF(AF17=Dashboard!$L$1,AN17,AN17*GOOGLEFINANCE(""CURRENCY:""&amp;AF17&amp;""""&amp;Dashboard!$L$1&amp;""""))),"&amp;"AN17))"),"")</f>
        <v/>
      </c>
      <c r="J17" s="178" t="str">
        <f>IF(ISBLANK(B17),"",IFERROR(((C17-SUMIFS(Transactions!I:I,Transactions!H:H,"Crypto Interest",Transactions!D:D,B17))*D17),""))</f>
        <v/>
      </c>
      <c r="K17" s="178" t="str">
        <f t="shared" si="4"/>
        <v/>
      </c>
      <c r="L17" s="145">
        <f>-SUMIFS(Transactions!$M$3:$M149,Transactions!$H$3:$H149,"Buy",Transactions!$D$3:$D149,B17)</f>
        <v>0</v>
      </c>
      <c r="M17" s="145">
        <f>IF(ISBLANK(AG17),"",SUMIFS(Transactions!$M$3:$M149,Transactions!$H$3:$H149,"Dividend",Transactions!$D$3:$D149,B17))</f>
        <v>0</v>
      </c>
      <c r="N17" s="145" t="str">
        <f>IF(ISBLANK(AH17),"",SUMIFS(Transactions!$M$3:$M149,Transactions!$H$3:$H149,"Sell",Transactions!$D$3:$D149,B17))</f>
        <v/>
      </c>
      <c r="O17" s="50" t="str">
        <f t="shared" si="5"/>
        <v/>
      </c>
      <c r="P17" s="178" t="str">
        <f t="shared" si="6"/>
        <v/>
      </c>
      <c r="Q17" s="178" t="str">
        <f>IFERROR(__xludf.DUMMYFUNCTION("IF(ISBLANK(B17),"""",IFERROR(IF(OR(AF17=""GPB"",AF17=""ZAR""),IF(AF17=Dashboard!$L$1,AS17,(AS17*GOOGLEFINANCE(""CURRENCY:""&amp;AF17&amp;""""&amp;Dashboard!$L$1&amp;""""))/100),IF(AF17=Dashboard!$L$1,AS17,AS17*GOOGLEFINANCE(""CURRENCY:""&amp;AF17&amp;""""&amp;Dashboard!$L$1&amp;""""))),"&amp;"AS17))"),"")</f>
        <v/>
      </c>
      <c r="R17" s="178" t="str">
        <f t="shared" si="7"/>
        <v/>
      </c>
      <c r="S17" s="50" t="str">
        <f>IFERROR(__xludf.DUMMYFUNCTION("IF(ISBLANK(B17),"""",IFERROR((GOOGLEFINANCE(B17,""price"")/INDEX(GOOGLEFINANCE(B17,""price"",DATEVALUE(TODAY()-$S$2) ),2,2)-1),""""))"),"")</f>
        <v/>
      </c>
      <c r="U17" s="50" t="str">
        <f>IFERROR(__xludf.DUMMYFUNCTION("IF(ISBLANK(B17),"""",IFERROR((GOOGLEFINANCE($U$2,""price"")/INDEX(GOOGLEFINANCE($U$2,""price"",DATEVALUE(TODAY()-$S$2) ),2,2)-1),""""))"),"")</f>
        <v/>
      </c>
      <c r="W17" s="50" t="str">
        <f t="shared" si="8"/>
        <v/>
      </c>
      <c r="X17" s="50" t="str">
        <f t="shared" si="9"/>
        <v/>
      </c>
      <c r="Y17" s="179">
        <v>0.0</v>
      </c>
      <c r="Z17" s="50" t="str">
        <f t="shared" si="10"/>
        <v/>
      </c>
      <c r="AA17" s="14" t="str">
        <f t="shared" si="11"/>
        <v/>
      </c>
      <c r="AB17" s="50" t="str">
        <f t="shared" si="12"/>
        <v/>
      </c>
      <c r="AC17" s="179" t="str">
        <f t="shared" si="13"/>
        <v/>
      </c>
      <c r="AD17" s="50" t="str">
        <f t="shared" si="14"/>
        <v/>
      </c>
      <c r="AE17" s="180" t="str">
        <f t="shared" si="15"/>
        <v/>
      </c>
      <c r="AF17" s="14" t="str">
        <f t="array" ref="AF17">IFERROR(IF(ISBLANK(AH17),"",IF(VLOOKUP(AH17,Transactions!D:F,3,0)="Stablecoin",AH17,INDEX(Transactions!$B$3:$B149,MATCH(AH17,Transactions!$D$3:$D149,0),0))))</f>
        <v/>
      </c>
      <c r="AG17" s="14" t="str">
        <f>IF(ISBLANK(AH17),"",VLOOKUP(AH17,Transactions!D:E,2,0))</f>
        <v/>
      </c>
      <c r="AH17" s="14"/>
      <c r="AI17" s="146" t="str">
        <f>IF(ISBLANK(AH17),"",IF(
SUMIFS(Transactions!$I$3:$I149,Transactions!$H$3:$H149,"Buy",Transactions!$F$3:$F149,"Stock",Transactions!$D$3:$D149,AH17)
+SUMIFS(Transactions!$I$3:$I149,Transactions!$H$3:$H149,"DRIP",Transactions!$F$3:$F149,"Stock",Transactions!$D$3:$D149,AH17)
+SUMIFS(Transactions!$I$3:$I149,Transactions!$H$3:$H149,"Transfer Deposit",Transactions!$F$3:$F149,"Stock",Transactions!$D$3:$D149,AH17)
+SUMIFS(Transactions!$I$3:$I149,Transactions!$H$3:$H149,"Buy",Transactions!$F$3:$F149,"ETF",Transactions!$D$3:$D149,AH17)
+SUMIFS(Transactions!$I$3:$I149,Transactions!$H$3:$H149,"DRIP",Transactions!$F$3:$F149,"ETF",Transactions!$D$3:$D149,AH17)
+SUMIFS(Transactions!$I$3:$I149,Transactions!$H$3:$H149,"Transfer Deposit",Transactions!$F$3:$F149,"ETF",Transactions!$D$3:$D149,AH17)
+SUMIFS(Transactions!$I$3:$I149,Transactions!$H$3:$H149,"Buy",Transactions!$F$3:$F149,"Commodity",Transactions!$D$3:$D149,AH17)
+SUMIFS(Transactions!$I$3:$I149,Transactions!$H$3:$H149,"DRIP",Transactions!$F$3:$F149,"Commodity",Transactions!$D$3:$D149,AH17)
+SUMIFS(Transactions!$I$3:$I149,Transactions!$H$3:$H149,"Transfer Deposit",Transactions!$F$3:$F149,"Commodity",Transactions!$D$3:$D149,AH17)
+SUMIFS(Transactions!$I$3:$I149,Transactions!$H$3:$H149,"Buy",Transactions!$F$3:$F149,"Managed Fund",Transactions!$D$3:$D149,AH17)
+SUMIFS(Transactions!$I$3:$I149,Transactions!$H$3:$H149,"DRIP",Transactions!$F$3:$F149,"Managed Fund",Transactions!$D$3:$D149,AH17)
+SUMIFS(Transactions!$I$3:$I149,Transactions!$H$3:$H149,"Transfer Deposit",Transactions!$F$3:$F149,"Managed Fund",Transactions!$D$3:$D149,AH17)
+SUMIFS(Transactions!$I$3:$I149,Transactions!$H$3:$H149,"Buy",Transactions!$F$3:$F149,"REIT",Transactions!$D$3:$D149,AH17)
+SUMIFS(Transactions!$I$3:$I149,Transactions!$H$3:$H149,"DRIP",Transactions!$F$3:$F149,"REIT",Transactions!$D$3:$D149,AH17)
+SUMIFS(Transactions!$I$3:$I149,Transactions!$H$3:$H149,"Transfer Deposit",Transactions!$F$3:$F149,"REIT",Transactions!$D$3:$D149,AH17)
-SUMIFS(Transactions!$I$3:$I149,Transactions!$H$3:$H149,"Sell",Transactions!$F$3:$F149,"Stock",Transactions!$D$3:$D149,AH17)
-SUMIFS(Transactions!$I$3:$I149,Transactions!$H$3:$H149,"Transfer Send",Transactions!$F$3:$F149,"Stock",Transactions!$D$3:$D149,AH17)
-SUMIFS(Transactions!$I$3:$I149,Transactions!$H$3:$H149,"Sell",Transactions!$F$3:$F149,"ETF",Transactions!$D$3:$D149,AH17)
-SUMIFS(Transactions!$I$3:$I149,Transactions!$H$3:$H149,"Transfer Send",Transactions!$F$3:$F149,"ETF",Transactions!$D$3:$D149,AH17)
-SUMIFS(Transactions!$I$3:$I149,Transactions!$H$3:$H149,"Sell",Transactions!$F$3:$F149,"Commodity",Transactions!$D$3:$D149,AH17)
-SUMIFS(Transactions!$I$3:$I149,Transactions!$H$3:$H149,"Transfer Send",Transactions!$F$3:$F149,"Commodity",Transactions!$D$3:$D149,AH17)
-SUMIFS(Transactions!$I$3:$I149,Transactions!$H$3:$H149,"Sell",Transactions!$F$3:$F149,"Managed Fund",Transactions!$D$3:$D149,AH17)
-SUMIFS(Transactions!$I$3:$I149,Transactions!$H$3:$H149,"Transfer Send",Transactions!$F$3:$F149,"Managed Fund",Transactions!$D$3:$D149,AH17)
-SUMIFS(Transactions!$I$3:$I149,Transactions!$H$3:$H149,"Sell",Transactions!$F$3:$F149,"REIT",Transactions!$D$3:$D149,AH17)
-SUMIFS(Transactions!$I$3:$I149,Transactions!$H$3:$H149,"Transfer Send",Transactions!$F$3:$F149,"REIT",Transactions!$D$3:$D149,AH17)
+SUMIFS(Transactions!$I$3:$I149,Transactions!$H$3:$H149,"Buy",Transactions!$F$3:$F149,"Crypto",Transactions!$D$3:$D149,AH17)
+SUMIFS(Transactions!$I$3:$I149,Transactions!$H$3:$H149,"Crypto Interest",Transactions!$F$3:$F149,"Crypto",Transactions!$D$3:$D149,AH17)
+SUMIFS(Transactions!$I$3:$I149,Transactions!$H$3:$H149,"Transfer Deposit",Transactions!$F$3:$F149,"Crypto",Transactions!$D$3:$D149,AH17)
-SUMIFS(Transactions!$I$3:$I149,Transactions!$H$3:$H149,"Transfer Send",Transactions!$F$3:$F149,"Crypto",Transactions!$D$3:$D149,AH17)
-SUMIFS(Transactions!$I$3:$I149,Transactions!$H$3:$H149,"Sell",Transactions!$F$3:$F149,"Crypto",Transactions!$D$3:$D149,AH17)
+SUMIFS(Transactions!$I$3:$I149,Transactions!$H$3:$H149,"Buy",Transactions!$F$3:$F149,"Stablecoin",Transactions!$D$3:$D149,AH17)
+SUMIFS(Transactions!$I$3:$I149,Transactions!$H$3:$H149,"Crypto Interest",Transactions!$F$3:$F149,"Stablecoin",Transactions!$D$3:$D149,AH17)
+SUMIFS(Transactions!$I$3:$I149,Transactions!$H$3:$H149,"Transfer Deposit",Transactions!$F$3:$F149,"Stablecoin",Transactions!$D$3:$D149,AH17)
-SUMIFS(Transactions!$I$3:$I149,Transactions!$H$3:$H149,"Transfer Send",Transactions!$F$3:$F149,"Stablecoin",Transactions!$D$3:$D149,AH17)
-SUMIFS(Transactions!$I$3:$I149,Transactions!$H$3:$H149,"Sell",Transactions!$F$3:$F149,"Stablecoin",Transactions!$D$3:$D149,AH17)
-SUMIFS(Transactions!$M$3:$M149,Transactions!$H$3:$H149,"Buy",Transactions!$B$3:$B149,AH17)=0,"Sold All",
SUMIFS(Transactions!$I$3:$I149,Transactions!$H$3:$H149,"Buy",Transactions!$F$3:$F149,"Stock",Transactions!$D$3:$D149,AH17)
+SUMIFS(Transactions!$I$3:$I149,Transactions!$H$3:$H149,"DRIP",Transactions!$F$3:$F149,"Stock",Transactions!$D$3:$D149,AH17)
+SUMIFS(Transactions!$I$3:$I149,Transactions!$H$3:$H149,"Transfer Deposit",Transactions!$F$3:$F149,"Stock",Transactions!$D$3:$D149,AH17)
+SUMIFS(Transactions!$I$3:$I149,Transactions!$H$3:$H149,"Buy",Transactions!$F$3:$F149,"ETF",Transactions!$D$3:$D149,AH17)
+SUMIFS(Transactions!$I$3:$I149,Transactions!$H$3:$H149,"DRIP",Transactions!$F$3:$F149,"ETF",Transactions!$D$3:$D149,AH17)
+SUMIFS(Transactions!$I$3:$I149,Transactions!$H$3:$H149,"Transfer Deposit",Transactions!$F$3:$F149,"ETF",Transactions!$D$3:$D149,AH17)
+SUMIFS(Transactions!$I$3:$I149,Transactions!$H$3:$H149,"Buy",Transactions!$F$3:$F149,"Commodity",Transactions!$D$3:$D149,AH17)
+SUMIFS(Transactions!$I$3:$I149,Transactions!$H$3:$H149,"DRIP",Transactions!$F$3:$F149,"Commodity",Transactions!$D$3:$D149,AH17)
+SUMIFS(Transactions!$I$3:$I149,Transactions!$H$3:$H149,"Transfer Deposit",Transactions!$F$3:$F149,"Commodity",Transactions!$D$3:$D149,AH17)
+SUMIFS(Transactions!$I$3:$I149,Transactions!$H$3:$H149,"Buy",Transactions!$F$3:$F149,"Managed Fund",Transactions!$D$3:$D149,AH17)
+SUMIFS(Transactions!$I$3:$I149,Transactions!$H$3:$H149,"DRIP",Transactions!$F$3:$F149,"Managed Fund",Transactions!$D$3:$D149,AH17)
+SUMIFS(Transactions!$I$3:$I149,Transactions!$H$3:$H149,"Transfer Deposit",Transactions!$F$3:$F149,"Managed Fund",Transactions!$D$3:$D149,AH17)
+SUMIFS(Transactions!$I$3:$I149,Transactions!$H$3:$H149,"Buy",Transactions!$F$3:$F149,"REIT",Transactions!$D$3:$D149,AH17)
+SUMIFS(Transactions!$I$3:$I149,Transactions!$H$3:$H149,"DRIP",Transactions!$F$3:$F149,"REIT",Transactions!$D$3:$D149,AH17)
+SUMIFS(Transactions!$I$3:$I149,Transactions!$H$3:$H149,"Transfer Deposit",Transactions!$F$3:$F149,"REIT",Transactions!$D$3:$D149,AH17)
-SUMIFS(Transactions!$I$3:$I149,Transactions!$H$3:$H149,"Sell",Transactions!$F$3:$F149,"Stock",Transactions!$D$3:$D149,AH17)
-SUMIFS(Transactions!$I$3:$I149,Transactions!$H$3:$H149,"Transfer Send",Transactions!$F$3:$F149,"Stock",Transactions!$D$3:$D149,AH17)
-SUMIFS(Transactions!$I$3:$I149,Transactions!$H$3:$H149,"Sell",Transactions!$F$3:$F149,"ETF",Transactions!$D$3:$D149,AH17)
-SUMIFS(Transactions!$I$3:$I149,Transactions!$H$3:$H149,"Transfer Send",Transactions!$F$3:$F149,"ETF",Transactions!$D$3:$D149,AH17)
-SUMIFS(Transactions!$I$3:$I149,Transactions!$H$3:$H149,"Sell",Transactions!$F$3:$F149,"Commodity",Transactions!$D$3:$D149,AH17)
-SUMIFS(Transactions!$I$3:$I149,Transactions!$H$3:$H149,"Transfer Send",Transactions!$F$3:$F149,"Commodity",Transactions!$D$3:$D149,AH17)
-SUMIFS(Transactions!$I$3:$I149,Transactions!$H$3:$H149,"Sell",Transactions!$F$3:$F149,"Managed Fund",Transactions!$D$3:$D149,AH17)
-SUMIFS(Transactions!$I$3:$I149,Transactions!$H$3:$H149,"Transfer Send",Transactions!$F$3:$F149,"Managed Fund",Transactions!$D$3:$D149,AH17)
-SUMIFS(Transactions!$I$3:$I149,Transactions!$H$3:$H149,"Sell",Transactions!$F$3:$F149,"REIT",Transactions!$D$3:$D149,AH17)
-SUMIFS(Transactions!$I$3:$I149,Transactions!$H$3:$H149,"Transfer Send",Transactions!$F$3:$F149,"REIT",Transactions!$D$3:$D149,AH17)
+SUMIFS(Transactions!$I$3:$I149,Transactions!$H$3:$H149,"Buy",Transactions!$F$3:$F149,"Crypto",Transactions!$D$3:$D149,AH17)
+SUMIFS(Transactions!$I$3:$I149,Transactions!$H$3:$H149,"Crypto Interest",Transactions!$F$3:$F149,"Crypto",Transactions!$D$3:$D149,AH17)
+SUMIFS(Transactions!$I$3:$I149,Transactions!$H$3:$H149,"Transfer Deposit",Transactions!$F$3:$F149,"Crypto",Transactions!$D$3:$D149,AH17)
-SUMIFS(Transactions!$I$3:$I149,Transactions!$H$3:$H149,"Transfer Send",Transactions!$F$3:$F149,"Crypto",Transactions!$D$3:$D149,AH17)
-SUMIFS(Transactions!$I$3:$I149,Transactions!$H$3:$H149,"Sell",Transactions!$F$3:$F149,"Crypto",Transactions!$D$3:$D149,AH17)
+SUMIFS(Transactions!$I$3:$I149,Transactions!$H$3:$H149,"Buy",Transactions!$F$3:$F149,"Stablecoin",Transactions!$D$3:$D149,AH17)
+SUMIFS(Transactions!$I$3:$I149,Transactions!$H$3:$H149,"Crypto Interest",Transactions!$F$3:$F149,"Stablecoin",Transactions!$D$3:$D149,AH17)
+SUMIFS(Transactions!$I$3:$I149,Transactions!$H$3:$H149,"Transfer Deposit",Transactions!$F$3:$F149,"Stablecoin",Transactions!$D$3:$D149,AH17)
-SUMIFS(Transactions!$I$3:$I149,Transactions!$H$3:$H149,"Transfer Send",Transactions!$F$3:$F149,"Stablecoin",Transactions!$D$3:$D149,AH17)
-SUMIFS(Transactions!$I$3:$I149,Transactions!$H$3:$H149,"Sell",Transactions!$F$3:$F149,"Stablecoin",Transactions!$D$3:$D149,AH17)
-SUMIFS(Transactions!$M$3:$M149,Transactions!$H$3:$H149,"Buy",Transactions!$B$3:$B149,AH17)))</f>
        <v/>
      </c>
      <c r="AJ17" s="181" t="str">
        <f>IFERROR(__xludf.DUMMYFUNCTION("IF(ISBLANK(AH17),"""",VLOOKUP(9^99,FILTER({ROW(Transactions!P:P),Transactions!P:P},Transactions!D:D=AH17),2))"),"")</f>
        <v/>
      </c>
      <c r="AK17" s="181" t="str">
        <f>IFERROR(__xludf.DUMMYFUNCTION("IF(ISBLANK(AH17),"""",IFERROR(GOOGLEFINANCE(AH17,""price""),IFERROR(GOOGLEFINANCE(""CURRENCY:""&amp;AH17&amp;""""),IFERROR(INDEX(YAHOO_STOCK(TRIM(AH17), $G$2),0,1),INDEX(IMPORTHTML(CONCAT(""https://coinmarketcap.com/currencies/"",AG17),""table"",1),1,2)))))"),"")</f>
        <v/>
      </c>
      <c r="AL17" s="14" t="str">
        <f>IFERROR(__xludf.DUMMYFUNCTION("IF(ISBLANK(AH17),"""",IFERROR(SPARKLINE(INDEX(GOOGLEFINANCE(AH17,""price"",TODAY()-$AL$2,TODAY()),,2),{""charttype"",""column"";""color"",""17a7e0""}),""""))"),"")</f>
        <v/>
      </c>
      <c r="AM17" s="50" t="str">
        <f>IFERROR(__xludf.DUMMYFUNCTION("IFNA(IFERROR(IF(AH17="""","""",GOOGLEFINANCE(AH17,""changepct"")/100),(GOOGLEFINANCE(AH17)-(INDEX(GOOGLEFINANCE(""CURRENCY:""&amp;AH17&amp;"""",""price"",TODAY()-1),2,2)))/(INDEX(GOOGLEFINANCE(""CURRENCY:""&amp;AH17&amp;"""",""price"",TODAY()-1),2,2))),)"),"")</f>
        <v/>
      </c>
      <c r="AN17" s="96" t="str">
        <f>IFERROR(__xludf.DUMMYFUNCTION("IFNA(IFERROR(IF(AH17="""","""",GOOGLEFINANCE(AH17,""change"")*AI17),(GOOGLEFINANCE(AH17)-(INDEX(GOOGLEFINANCE(""CURRENCY:""&amp;AH17&amp;"""",""price"",TODAY()-1),2,2)))*AI17),"""")"),"")</f>
        <v/>
      </c>
      <c r="AO17" s="96" t="str">
        <f>IF(ISBLANK(AH17),"",IFERROR(((AI17-SUMIFS(Transactions!I:I,Transactions!H:H,"Crypto Interest",Transactions!D:D,AH17))*AJ17),""))</f>
        <v/>
      </c>
      <c r="AP17" s="96" t="str">
        <f t="shared" si="16"/>
        <v/>
      </c>
      <c r="AQ17" s="50" t="str">
        <f t="shared" si="17"/>
        <v/>
      </c>
      <c r="AR17" s="96" t="str">
        <f t="shared" si="18"/>
        <v/>
      </c>
      <c r="AS17" s="96" t="str">
        <f>IF(ISBLANK(AH17),"",SUMIFS(Transactions!$X$3:$X149,Transactions!$H$3:$H149,"Sell",Transactions!$D$3:$D149,AH17))</f>
        <v/>
      </c>
      <c r="AT17" s="96" t="str">
        <f t="shared" si="19"/>
        <v/>
      </c>
      <c r="AU17" s="50" t="str">
        <f>IFERROR(__xludf.DUMMYFUNCTION("IF(ISBLANK(AH17),"""",IFERROR((GOOGLEFINANCE(AH17,""price"")/INDEX(GOOGLEFINANCE(AH17,""price"",DATEVALUE(TODAY()-$AU$2) ),2,2)-1),""""))"),"")</f>
        <v/>
      </c>
      <c r="AW17" s="50" t="str">
        <f>IFERROR(__xludf.DUMMYFUNCTION("IF(ISBLANK(AH17),"""",IFERROR((GOOGLEFINANCE($AW$2,""price"")/INDEX(GOOGLEFINANCE($AW$2,""price"",DATEVALUE(TODAY()-$AU$2) ),2,2)-1),""""))"),"")</f>
        <v/>
      </c>
      <c r="AY17" s="50" t="str">
        <f t="shared" si="20"/>
        <v/>
      </c>
      <c r="AZ17" s="50" t="str">
        <f t="shared" si="21"/>
        <v/>
      </c>
      <c r="BA17" s="50">
        <f t="shared" si="22"/>
        <v>0</v>
      </c>
      <c r="BB17" s="14" t="str">
        <f t="shared" si="23"/>
        <v/>
      </c>
      <c r="BC17" s="14" t="str">
        <f>IF(ISBLANK(AH17),"",IFERROR(VLOOKUP(AH17,Transactions!D:F,3,0)))</f>
        <v/>
      </c>
      <c r="BD17" s="50" t="str">
        <f t="shared" si="24"/>
        <v/>
      </c>
      <c r="BE17" s="50" t="str">
        <f t="shared" si="25"/>
        <v/>
      </c>
      <c r="BF17" s="14" t="str">
        <f t="shared" si="26"/>
        <v/>
      </c>
      <c r="BG17" s="180" t="str">
        <f>IF(ISBLANK(AH17),"",IFERROR(VLOOKUP(AH17,Transactions!D:G,4,0)))</f>
        <v/>
      </c>
    </row>
    <row r="18">
      <c r="A18" s="14" t="str">
        <f t="shared" ref="A18:C18" si="40">AG18</f>
        <v/>
      </c>
      <c r="B18" s="14" t="str">
        <f t="shared" si="40"/>
        <v/>
      </c>
      <c r="C18" s="175" t="str">
        <f t="shared" si="40"/>
        <v/>
      </c>
      <c r="D18" s="176" t="str">
        <f>IFERROR(__xludf.DUMMYFUNCTION("IF(ISBLANK(B18),"""",IFERROR(IF(OR(AF18=""GPB"",AF18=""ZAR""),IF(AF18=Dashboard!$L$1,AJ18,(AJ18*GOOGLEFINANCE(""CURRENCY:""&amp;AF18&amp;""""&amp;Dashboard!$L$1&amp;""""))/100),IF(AF18=Dashboard!$L$1,AJ18,AJ18*GOOGLEFINANCE(""CURRENCY:""&amp;AF18&amp;""""&amp;Dashboard!$L$1&amp;""""))),"&amp;"AJ18))"),"")</f>
        <v/>
      </c>
      <c r="E18" s="177" t="str">
        <f>IFERROR(__xludf.DUMMYFUNCTION("IFERROR(IF(OR(AF18=""GBP"",AF18=""ZAR""),IF(B18="""","""",IF(AF18=Dashboard!$L$1,AK18,AK18*GOOGLEFINANCE(""CURRENCY:""&amp;AF18&amp;""""&amp;Dashboard!$L$1&amp;"""")))/100,If(B18="""","""",IF(AF18=Dashboard!$L$1,AK18,AK18*GOOGLEFINANCE(""CURRENCY:""&amp;AF18&amp;""""&amp;Dashboard!$"&amp;"L$1&amp;"""")))),AK18)"),"")</f>
        <v/>
      </c>
      <c r="F18" s="145">
        <f>IFERROR(__xludf.DUMMYFUNCTION(" E18 * GOOGLEFINANCE(""CURRENCY:USDEUR"") "),0.0)</f>
        <v>0</v>
      </c>
      <c r="G18" s="96" t="str">
        <f>IFERROR(__xludf.DUMMYFUNCTION("IF(ISBLANK(B18),"""",IFERROR(SPARKLINE(INDEX(GOOGLEFINANCE(B18,""price"",TODAY()-$G$2,TODAY()),,2),{""charttype"",""column"";""color"",""17a7e0""}),""""))"),"")</f>
        <v/>
      </c>
      <c r="H18" s="50" t="str">
        <f t="shared" si="3"/>
        <v/>
      </c>
      <c r="I18" s="96" t="str">
        <f>IFERROR(__xludf.DUMMYFUNCTION("IF(ISBLANK(B18),"""",IFERROR(IF(OR(AF18=""GPB"",AF18=""ZAR""),IF(AF18=Dashboard!$L$1,AN18,(AN18*GOOGLEFINANCE(""CURRENCY:""&amp;AF18&amp;""""&amp;Dashboard!$L$1&amp;""""))/100),IF(AF18=Dashboard!$L$1,AN18,AN18*GOOGLEFINANCE(""CURRENCY:""&amp;AF18&amp;""""&amp;Dashboard!$L$1&amp;""""))),"&amp;"AN18))"),"")</f>
        <v/>
      </c>
      <c r="J18" s="178" t="str">
        <f>IF(ISBLANK(B18),"",IFERROR(((C18-SUMIFS(Transactions!I:I,Transactions!H:H,"Crypto Interest",Transactions!D:D,B18))*D18),""))</f>
        <v/>
      </c>
      <c r="K18" s="178" t="str">
        <f t="shared" si="4"/>
        <v/>
      </c>
      <c r="L18" s="145">
        <f>-SUMIFS(Transactions!$M$3:$M149,Transactions!$H$3:$H149,"Buy",Transactions!$D$3:$D149,B18)</f>
        <v>0</v>
      </c>
      <c r="M18" s="145">
        <f>IF(ISBLANK(AG18),"",SUMIFS(Transactions!$M$3:$M149,Transactions!$H$3:$H149,"Dividend",Transactions!$D$3:$D149,B18))</f>
        <v>0</v>
      </c>
      <c r="N18" s="145" t="str">
        <f>IF(ISBLANK(AH18),"",SUMIFS(Transactions!$M$3:$M149,Transactions!$H$3:$H149,"Sell",Transactions!$D$3:$D149,B18))</f>
        <v/>
      </c>
      <c r="O18" s="50" t="str">
        <f t="shared" si="5"/>
        <v/>
      </c>
      <c r="P18" s="178" t="str">
        <f t="shared" si="6"/>
        <v/>
      </c>
      <c r="Q18" s="178" t="str">
        <f>IFERROR(__xludf.DUMMYFUNCTION("IF(ISBLANK(B18),"""",IFERROR(IF(OR(AF18=""GPB"",AF18=""ZAR""),IF(AF18=Dashboard!$L$1,AS18,(AS18*GOOGLEFINANCE(""CURRENCY:""&amp;AF18&amp;""""&amp;Dashboard!$L$1&amp;""""))/100),IF(AF18=Dashboard!$L$1,AS18,AS18*GOOGLEFINANCE(""CURRENCY:""&amp;AF18&amp;""""&amp;Dashboard!$L$1&amp;""""))),"&amp;"AS18))"),"")</f>
        <v/>
      </c>
      <c r="R18" s="178" t="str">
        <f t="shared" si="7"/>
        <v/>
      </c>
      <c r="S18" s="50" t="str">
        <f>IFERROR(__xludf.DUMMYFUNCTION("IF(ISBLANK(B18),"""",IFERROR((GOOGLEFINANCE(B18,""price"")/INDEX(GOOGLEFINANCE(B18,""price"",DATEVALUE(TODAY()-$S$2) ),2,2)-1),""""))"),"")</f>
        <v/>
      </c>
      <c r="U18" s="50" t="str">
        <f>IFERROR(__xludf.DUMMYFUNCTION("IF(ISBLANK(B18),"""",IFERROR((GOOGLEFINANCE($U$2,""price"")/INDEX(GOOGLEFINANCE($U$2,""price"",DATEVALUE(TODAY()-$S$2) ),2,2)-1),""""))"),"")</f>
        <v/>
      </c>
      <c r="W18" s="50" t="str">
        <f t="shared" si="8"/>
        <v/>
      </c>
      <c r="X18" s="50" t="str">
        <f t="shared" si="9"/>
        <v/>
      </c>
      <c r="Y18" s="179">
        <v>0.0</v>
      </c>
      <c r="Z18" s="50" t="str">
        <f t="shared" si="10"/>
        <v/>
      </c>
      <c r="AA18" s="14" t="str">
        <f t="shared" si="11"/>
        <v/>
      </c>
      <c r="AB18" s="50" t="str">
        <f t="shared" si="12"/>
        <v/>
      </c>
      <c r="AC18" s="179" t="str">
        <f t="shared" si="13"/>
        <v/>
      </c>
      <c r="AD18" s="50" t="str">
        <f t="shared" si="14"/>
        <v/>
      </c>
      <c r="AE18" s="180" t="str">
        <f t="shared" si="15"/>
        <v/>
      </c>
      <c r="AF18" s="14" t="str">
        <f t="array" ref="AF18">IFERROR(IF(ISBLANK(AH18),"",IF(VLOOKUP(AH18,Transactions!D:F,3,0)="Stablecoin",AH18,INDEX(Transactions!$B$3:$B149,MATCH(AH18,Transactions!$D$3:$D149,0),0))))</f>
        <v/>
      </c>
      <c r="AG18" s="14" t="str">
        <f>IF(ISBLANK(AH18),"",VLOOKUP(AH18,Transactions!D:E,2,0))</f>
        <v/>
      </c>
      <c r="AH18" s="14"/>
      <c r="AI18" s="146" t="str">
        <f>IF(ISBLANK(AH18),"",IF(
SUMIFS(Transactions!$I$3:$I149,Transactions!$H$3:$H149,"Buy",Transactions!$F$3:$F149,"Stock",Transactions!$D$3:$D149,AH18)
+SUMIFS(Transactions!$I$3:$I149,Transactions!$H$3:$H149,"DRIP",Transactions!$F$3:$F149,"Stock",Transactions!$D$3:$D149,AH18)
+SUMIFS(Transactions!$I$3:$I149,Transactions!$H$3:$H149,"Transfer Deposit",Transactions!$F$3:$F149,"Stock",Transactions!$D$3:$D149,AH18)
+SUMIFS(Transactions!$I$3:$I149,Transactions!$H$3:$H149,"Buy",Transactions!$F$3:$F149,"ETF",Transactions!$D$3:$D149,AH18)
+SUMIFS(Transactions!$I$3:$I149,Transactions!$H$3:$H149,"DRIP",Transactions!$F$3:$F149,"ETF",Transactions!$D$3:$D149,AH18)
+SUMIFS(Transactions!$I$3:$I149,Transactions!$H$3:$H149,"Transfer Deposit",Transactions!$F$3:$F149,"ETF",Transactions!$D$3:$D149,AH18)
+SUMIFS(Transactions!$I$3:$I149,Transactions!$H$3:$H149,"Buy",Transactions!$F$3:$F149,"Commodity",Transactions!$D$3:$D149,AH18)
+SUMIFS(Transactions!$I$3:$I149,Transactions!$H$3:$H149,"DRIP",Transactions!$F$3:$F149,"Commodity",Transactions!$D$3:$D149,AH18)
+SUMIFS(Transactions!$I$3:$I149,Transactions!$H$3:$H149,"Transfer Deposit",Transactions!$F$3:$F149,"Commodity",Transactions!$D$3:$D149,AH18)
+SUMIFS(Transactions!$I$3:$I149,Transactions!$H$3:$H149,"Buy",Transactions!$F$3:$F149,"Managed Fund",Transactions!$D$3:$D149,AH18)
+SUMIFS(Transactions!$I$3:$I149,Transactions!$H$3:$H149,"DRIP",Transactions!$F$3:$F149,"Managed Fund",Transactions!$D$3:$D149,AH18)
+SUMIFS(Transactions!$I$3:$I149,Transactions!$H$3:$H149,"Transfer Deposit",Transactions!$F$3:$F149,"Managed Fund",Transactions!$D$3:$D149,AH18)
+SUMIFS(Transactions!$I$3:$I149,Transactions!$H$3:$H149,"Buy",Transactions!$F$3:$F149,"REIT",Transactions!$D$3:$D149,AH18)
+SUMIFS(Transactions!$I$3:$I149,Transactions!$H$3:$H149,"DRIP",Transactions!$F$3:$F149,"REIT",Transactions!$D$3:$D149,AH18)
+SUMIFS(Transactions!$I$3:$I149,Transactions!$H$3:$H149,"Transfer Deposit",Transactions!$F$3:$F149,"REIT",Transactions!$D$3:$D149,AH18)
-SUMIFS(Transactions!$I$3:$I149,Transactions!$H$3:$H149,"Sell",Transactions!$F$3:$F149,"Stock",Transactions!$D$3:$D149,AH18)
-SUMIFS(Transactions!$I$3:$I149,Transactions!$H$3:$H149,"Transfer Send",Transactions!$F$3:$F149,"Stock",Transactions!$D$3:$D149,AH18)
-SUMIFS(Transactions!$I$3:$I149,Transactions!$H$3:$H149,"Sell",Transactions!$F$3:$F149,"ETF",Transactions!$D$3:$D149,AH18)
-SUMIFS(Transactions!$I$3:$I149,Transactions!$H$3:$H149,"Transfer Send",Transactions!$F$3:$F149,"ETF",Transactions!$D$3:$D149,AH18)
-SUMIFS(Transactions!$I$3:$I149,Transactions!$H$3:$H149,"Sell",Transactions!$F$3:$F149,"Commodity",Transactions!$D$3:$D149,AH18)
-SUMIFS(Transactions!$I$3:$I149,Transactions!$H$3:$H149,"Transfer Send",Transactions!$F$3:$F149,"Commodity",Transactions!$D$3:$D149,AH18)
-SUMIFS(Transactions!$I$3:$I149,Transactions!$H$3:$H149,"Sell",Transactions!$F$3:$F149,"Managed Fund",Transactions!$D$3:$D149,AH18)
-SUMIFS(Transactions!$I$3:$I149,Transactions!$H$3:$H149,"Transfer Send",Transactions!$F$3:$F149,"Managed Fund",Transactions!$D$3:$D149,AH18)
-SUMIFS(Transactions!$I$3:$I149,Transactions!$H$3:$H149,"Sell",Transactions!$F$3:$F149,"REIT",Transactions!$D$3:$D149,AH18)
-SUMIFS(Transactions!$I$3:$I149,Transactions!$H$3:$H149,"Transfer Send",Transactions!$F$3:$F149,"REIT",Transactions!$D$3:$D149,AH18)
+SUMIFS(Transactions!$I$3:$I149,Transactions!$H$3:$H149,"Buy",Transactions!$F$3:$F149,"Crypto",Transactions!$D$3:$D149,AH18)
+SUMIFS(Transactions!$I$3:$I149,Transactions!$H$3:$H149,"Crypto Interest",Transactions!$F$3:$F149,"Crypto",Transactions!$D$3:$D149,AH18)
+SUMIFS(Transactions!$I$3:$I149,Transactions!$H$3:$H149,"Transfer Deposit",Transactions!$F$3:$F149,"Crypto",Transactions!$D$3:$D149,AH18)
-SUMIFS(Transactions!$I$3:$I149,Transactions!$H$3:$H149,"Transfer Send",Transactions!$F$3:$F149,"Crypto",Transactions!$D$3:$D149,AH18)
-SUMIFS(Transactions!$I$3:$I149,Transactions!$H$3:$H149,"Sell",Transactions!$F$3:$F149,"Crypto",Transactions!$D$3:$D149,AH18)
+SUMIFS(Transactions!$I$3:$I149,Transactions!$H$3:$H149,"Buy",Transactions!$F$3:$F149,"Stablecoin",Transactions!$D$3:$D149,AH18)
+SUMIFS(Transactions!$I$3:$I149,Transactions!$H$3:$H149,"Crypto Interest",Transactions!$F$3:$F149,"Stablecoin",Transactions!$D$3:$D149,AH18)
+SUMIFS(Transactions!$I$3:$I149,Transactions!$H$3:$H149,"Transfer Deposit",Transactions!$F$3:$F149,"Stablecoin",Transactions!$D$3:$D149,AH18)
-SUMIFS(Transactions!$I$3:$I149,Transactions!$H$3:$H149,"Transfer Send",Transactions!$F$3:$F149,"Stablecoin",Transactions!$D$3:$D149,AH18)
-SUMIFS(Transactions!$I$3:$I149,Transactions!$H$3:$H149,"Sell",Transactions!$F$3:$F149,"Stablecoin",Transactions!$D$3:$D149,AH18)
-SUMIFS(Transactions!$M$3:$M149,Transactions!$H$3:$H149,"Buy",Transactions!$B$3:$B149,AH18)=0,"Sold All",
SUMIFS(Transactions!$I$3:$I149,Transactions!$H$3:$H149,"Buy",Transactions!$F$3:$F149,"Stock",Transactions!$D$3:$D149,AH18)
+SUMIFS(Transactions!$I$3:$I149,Transactions!$H$3:$H149,"DRIP",Transactions!$F$3:$F149,"Stock",Transactions!$D$3:$D149,AH18)
+SUMIFS(Transactions!$I$3:$I149,Transactions!$H$3:$H149,"Transfer Deposit",Transactions!$F$3:$F149,"Stock",Transactions!$D$3:$D149,AH18)
+SUMIFS(Transactions!$I$3:$I149,Transactions!$H$3:$H149,"Buy",Transactions!$F$3:$F149,"ETF",Transactions!$D$3:$D149,AH18)
+SUMIFS(Transactions!$I$3:$I149,Transactions!$H$3:$H149,"DRIP",Transactions!$F$3:$F149,"ETF",Transactions!$D$3:$D149,AH18)
+SUMIFS(Transactions!$I$3:$I149,Transactions!$H$3:$H149,"Transfer Deposit",Transactions!$F$3:$F149,"ETF",Transactions!$D$3:$D149,AH18)
+SUMIFS(Transactions!$I$3:$I149,Transactions!$H$3:$H149,"Buy",Transactions!$F$3:$F149,"Commodity",Transactions!$D$3:$D149,AH18)
+SUMIFS(Transactions!$I$3:$I149,Transactions!$H$3:$H149,"DRIP",Transactions!$F$3:$F149,"Commodity",Transactions!$D$3:$D149,AH18)
+SUMIFS(Transactions!$I$3:$I149,Transactions!$H$3:$H149,"Transfer Deposit",Transactions!$F$3:$F149,"Commodity",Transactions!$D$3:$D149,AH18)
+SUMIFS(Transactions!$I$3:$I149,Transactions!$H$3:$H149,"Buy",Transactions!$F$3:$F149,"Managed Fund",Transactions!$D$3:$D149,AH18)
+SUMIFS(Transactions!$I$3:$I149,Transactions!$H$3:$H149,"DRIP",Transactions!$F$3:$F149,"Managed Fund",Transactions!$D$3:$D149,AH18)
+SUMIFS(Transactions!$I$3:$I149,Transactions!$H$3:$H149,"Transfer Deposit",Transactions!$F$3:$F149,"Managed Fund",Transactions!$D$3:$D149,AH18)
+SUMIFS(Transactions!$I$3:$I149,Transactions!$H$3:$H149,"Buy",Transactions!$F$3:$F149,"REIT",Transactions!$D$3:$D149,AH18)
+SUMIFS(Transactions!$I$3:$I149,Transactions!$H$3:$H149,"DRIP",Transactions!$F$3:$F149,"REIT",Transactions!$D$3:$D149,AH18)
+SUMIFS(Transactions!$I$3:$I149,Transactions!$H$3:$H149,"Transfer Deposit",Transactions!$F$3:$F149,"REIT",Transactions!$D$3:$D149,AH18)
-SUMIFS(Transactions!$I$3:$I149,Transactions!$H$3:$H149,"Sell",Transactions!$F$3:$F149,"Stock",Transactions!$D$3:$D149,AH18)
-SUMIFS(Transactions!$I$3:$I149,Transactions!$H$3:$H149,"Transfer Send",Transactions!$F$3:$F149,"Stock",Transactions!$D$3:$D149,AH18)
-SUMIFS(Transactions!$I$3:$I149,Transactions!$H$3:$H149,"Sell",Transactions!$F$3:$F149,"ETF",Transactions!$D$3:$D149,AH18)
-SUMIFS(Transactions!$I$3:$I149,Transactions!$H$3:$H149,"Transfer Send",Transactions!$F$3:$F149,"ETF",Transactions!$D$3:$D149,AH18)
-SUMIFS(Transactions!$I$3:$I149,Transactions!$H$3:$H149,"Sell",Transactions!$F$3:$F149,"Commodity",Transactions!$D$3:$D149,AH18)
-SUMIFS(Transactions!$I$3:$I149,Transactions!$H$3:$H149,"Transfer Send",Transactions!$F$3:$F149,"Commodity",Transactions!$D$3:$D149,AH18)
-SUMIFS(Transactions!$I$3:$I149,Transactions!$H$3:$H149,"Sell",Transactions!$F$3:$F149,"Managed Fund",Transactions!$D$3:$D149,AH18)
-SUMIFS(Transactions!$I$3:$I149,Transactions!$H$3:$H149,"Transfer Send",Transactions!$F$3:$F149,"Managed Fund",Transactions!$D$3:$D149,AH18)
-SUMIFS(Transactions!$I$3:$I149,Transactions!$H$3:$H149,"Sell",Transactions!$F$3:$F149,"REIT",Transactions!$D$3:$D149,AH18)
-SUMIFS(Transactions!$I$3:$I149,Transactions!$H$3:$H149,"Transfer Send",Transactions!$F$3:$F149,"REIT",Transactions!$D$3:$D149,AH18)
+SUMIFS(Transactions!$I$3:$I149,Transactions!$H$3:$H149,"Buy",Transactions!$F$3:$F149,"Crypto",Transactions!$D$3:$D149,AH18)
+SUMIFS(Transactions!$I$3:$I149,Transactions!$H$3:$H149,"Crypto Interest",Transactions!$F$3:$F149,"Crypto",Transactions!$D$3:$D149,AH18)
+SUMIFS(Transactions!$I$3:$I149,Transactions!$H$3:$H149,"Transfer Deposit",Transactions!$F$3:$F149,"Crypto",Transactions!$D$3:$D149,AH18)
-SUMIFS(Transactions!$I$3:$I149,Transactions!$H$3:$H149,"Transfer Send",Transactions!$F$3:$F149,"Crypto",Transactions!$D$3:$D149,AH18)
-SUMIFS(Transactions!$I$3:$I149,Transactions!$H$3:$H149,"Sell",Transactions!$F$3:$F149,"Crypto",Transactions!$D$3:$D149,AH18)
+SUMIFS(Transactions!$I$3:$I149,Transactions!$H$3:$H149,"Buy",Transactions!$F$3:$F149,"Stablecoin",Transactions!$D$3:$D149,AH18)
+SUMIFS(Transactions!$I$3:$I149,Transactions!$H$3:$H149,"Crypto Interest",Transactions!$F$3:$F149,"Stablecoin",Transactions!$D$3:$D149,AH18)
+SUMIFS(Transactions!$I$3:$I149,Transactions!$H$3:$H149,"Transfer Deposit",Transactions!$F$3:$F149,"Stablecoin",Transactions!$D$3:$D149,AH18)
-SUMIFS(Transactions!$I$3:$I149,Transactions!$H$3:$H149,"Transfer Send",Transactions!$F$3:$F149,"Stablecoin",Transactions!$D$3:$D149,AH18)
-SUMIFS(Transactions!$I$3:$I149,Transactions!$H$3:$H149,"Sell",Transactions!$F$3:$F149,"Stablecoin",Transactions!$D$3:$D149,AH18)
-SUMIFS(Transactions!$M$3:$M149,Transactions!$H$3:$H149,"Buy",Transactions!$B$3:$B149,AH18)))</f>
        <v/>
      </c>
      <c r="AJ18" s="181" t="str">
        <f>IFERROR(__xludf.DUMMYFUNCTION("IF(ISBLANK(AH18),"""",VLOOKUP(9^99,FILTER({ROW(Transactions!P:P),Transactions!P:P},Transactions!D:D=AH18),2))"),"")</f>
        <v/>
      </c>
      <c r="AK18" s="181" t="str">
        <f>IFERROR(__xludf.DUMMYFUNCTION("IF(ISBLANK(AH18),"""",IFERROR(GOOGLEFINANCE(AH18,""price""),IFERROR(GOOGLEFINANCE(""CURRENCY:""&amp;AH18&amp;""""),IFERROR(INDEX(YAHOO_STOCK(TRIM(AH18), $G$2),0,1),INDEX(IMPORTHTML(CONCAT(""https://coinmarketcap.com/currencies/"",AG18),""table"",1),1,2)))))"),"")</f>
        <v/>
      </c>
      <c r="AL18" s="14" t="str">
        <f>IFERROR(__xludf.DUMMYFUNCTION("IF(ISBLANK(AH18),"""",IFERROR(SPARKLINE(INDEX(GOOGLEFINANCE(AH18,""price"",TODAY()-$AL$2,TODAY()),,2),{""charttype"",""column"";""color"",""17a7e0""}),""""))"),"")</f>
        <v/>
      </c>
      <c r="AM18" s="50" t="str">
        <f>IFERROR(__xludf.DUMMYFUNCTION("IFNA(IFERROR(IF(AH18="""","""",GOOGLEFINANCE(AH18,""changepct"")/100),(GOOGLEFINANCE(AH18)-(INDEX(GOOGLEFINANCE(""CURRENCY:""&amp;AH18&amp;"""",""price"",TODAY()-1),2,2)))/(INDEX(GOOGLEFINANCE(""CURRENCY:""&amp;AH18&amp;"""",""price"",TODAY()-1),2,2))),)"),"")</f>
        <v/>
      </c>
      <c r="AN18" s="96" t="str">
        <f>IFERROR(__xludf.DUMMYFUNCTION("IFNA(IFERROR(IF(AH18="""","""",GOOGLEFINANCE(AH18,""change"")*AI18),(GOOGLEFINANCE(AH18)-(INDEX(GOOGLEFINANCE(""CURRENCY:""&amp;AH18&amp;"""",""price"",TODAY()-1),2,2)))*AI18),"""")"),"")</f>
        <v/>
      </c>
      <c r="AO18" s="96" t="str">
        <f>IF(ISBLANK(AH18),"",IFERROR(((AI18-SUMIFS(Transactions!I:I,Transactions!H:H,"Crypto Interest",Transactions!D:D,AH18))*AJ18),""))</f>
        <v/>
      </c>
      <c r="AP18" s="96" t="str">
        <f t="shared" si="16"/>
        <v/>
      </c>
      <c r="AQ18" s="50" t="str">
        <f t="shared" si="17"/>
        <v/>
      </c>
      <c r="AR18" s="96" t="str">
        <f t="shared" si="18"/>
        <v/>
      </c>
      <c r="AS18" s="96" t="str">
        <f>IF(ISBLANK(AH18),"",SUMIFS(Transactions!$X$3:$X149,Transactions!$H$3:$H149,"Sell",Transactions!$D$3:$D149,AH18))</f>
        <v/>
      </c>
      <c r="AT18" s="96" t="str">
        <f t="shared" si="19"/>
        <v/>
      </c>
      <c r="AU18" s="50" t="str">
        <f>IFERROR(__xludf.DUMMYFUNCTION("IF(ISBLANK(AH18),"""",IFERROR((GOOGLEFINANCE(AH18,""price"")/INDEX(GOOGLEFINANCE(AH18,""price"",DATEVALUE(TODAY()-$AU$2) ),2,2)-1),""""))"),"")</f>
        <v/>
      </c>
      <c r="AW18" s="50" t="str">
        <f>IFERROR(__xludf.DUMMYFUNCTION("IF(ISBLANK(AH18),"""",IFERROR((GOOGLEFINANCE($AW$2,""price"")/INDEX(GOOGLEFINANCE($AW$2,""price"",DATEVALUE(TODAY()-$AU$2) ),2,2)-1),""""))"),"")</f>
        <v/>
      </c>
      <c r="AY18" s="50" t="str">
        <f t="shared" si="20"/>
        <v/>
      </c>
      <c r="AZ18" s="50" t="str">
        <f t="shared" si="21"/>
        <v/>
      </c>
      <c r="BA18" s="50">
        <f t="shared" si="22"/>
        <v>0</v>
      </c>
      <c r="BB18" s="14" t="str">
        <f t="shared" si="23"/>
        <v/>
      </c>
      <c r="BC18" s="14" t="str">
        <f>IF(ISBLANK(AH18),"",IFERROR(VLOOKUP(AH18,Transactions!D:F,3,0)))</f>
        <v/>
      </c>
      <c r="BD18" s="50" t="str">
        <f t="shared" si="24"/>
        <v/>
      </c>
      <c r="BE18" s="50" t="str">
        <f t="shared" si="25"/>
        <v/>
      </c>
      <c r="BF18" s="14" t="str">
        <f t="shared" si="26"/>
        <v/>
      </c>
      <c r="BG18" s="180" t="str">
        <f>IF(ISBLANK(AH18),"",IFERROR(VLOOKUP(AH18,Transactions!D:G,4,0)))</f>
        <v/>
      </c>
    </row>
    <row r="19">
      <c r="A19" s="14" t="str">
        <f t="shared" ref="A19:C19" si="41">AG19</f>
        <v/>
      </c>
      <c r="B19" s="14" t="str">
        <f t="shared" si="41"/>
        <v/>
      </c>
      <c r="C19" s="175" t="str">
        <f t="shared" si="41"/>
        <v/>
      </c>
      <c r="D19" s="176" t="str">
        <f>IFERROR(__xludf.DUMMYFUNCTION("IF(ISBLANK(B19),"""",IFERROR(IF(OR(AF19=""GPB"",AF19=""ZAR""),IF(AF19=Dashboard!$L$1,AJ19,(AJ19*GOOGLEFINANCE(""CURRENCY:""&amp;AF19&amp;""""&amp;Dashboard!$L$1&amp;""""))/100),IF(AF19=Dashboard!$L$1,AJ19,AJ19*GOOGLEFINANCE(""CURRENCY:""&amp;AF19&amp;""""&amp;Dashboard!$L$1&amp;""""))),"&amp;"AJ19))"),"")</f>
        <v/>
      </c>
      <c r="E19" s="177" t="str">
        <f>IFERROR(__xludf.DUMMYFUNCTION("IFERROR(IF(OR(AF19=""GBP"",AF19=""ZAR""),IF(B19="""","""",IF(AF19=Dashboard!$L$1,AK19,AK19*GOOGLEFINANCE(""CURRENCY:""&amp;AF19&amp;""""&amp;Dashboard!$L$1&amp;"""")))/100,If(B19="""","""",IF(AF19=Dashboard!$L$1,AK19,AK19*GOOGLEFINANCE(""CURRENCY:""&amp;AF19&amp;""""&amp;Dashboard!$"&amp;"L$1&amp;"""")))),AK19)"),"")</f>
        <v/>
      </c>
      <c r="F19" s="145">
        <f>IFERROR(__xludf.DUMMYFUNCTION(" E19 * GOOGLEFINANCE(""CURRENCY:USDEUR"") "),0.0)</f>
        <v>0</v>
      </c>
      <c r="G19" s="96" t="str">
        <f>IFERROR(__xludf.DUMMYFUNCTION("IF(ISBLANK(B19),"""",IFERROR(SPARKLINE(INDEX(GOOGLEFINANCE(B19,""price"",TODAY()-$G$2,TODAY()),,2),{""charttype"",""column"";""color"",""17a7e0""}),""""))"),"")</f>
        <v/>
      </c>
      <c r="H19" s="50" t="str">
        <f t="shared" si="3"/>
        <v/>
      </c>
      <c r="I19" s="96" t="str">
        <f>IFERROR(__xludf.DUMMYFUNCTION("IF(ISBLANK(B19),"""",IFERROR(IF(OR(AF19=""GPB"",AF19=""ZAR""),IF(AF19=Dashboard!$L$1,AN19,(AN19*GOOGLEFINANCE(""CURRENCY:""&amp;AF19&amp;""""&amp;Dashboard!$L$1&amp;""""))/100),IF(AF19=Dashboard!$L$1,AN19,AN19*GOOGLEFINANCE(""CURRENCY:""&amp;AF19&amp;""""&amp;Dashboard!$L$1&amp;""""))),"&amp;"AN19))"),"")</f>
        <v/>
      </c>
      <c r="J19" s="178" t="str">
        <f>IF(ISBLANK(B19),"",IFERROR(((C19-SUMIFS(Transactions!I:I,Transactions!H:H,"Crypto Interest",Transactions!D:D,B19))*D19),""))</f>
        <v/>
      </c>
      <c r="K19" s="178" t="str">
        <f t="shared" si="4"/>
        <v/>
      </c>
      <c r="L19" s="145">
        <f>-SUMIFS(Transactions!$M$3:$M149,Transactions!$H$3:$H149,"Buy",Transactions!$D$3:$D149,B19)</f>
        <v>0</v>
      </c>
      <c r="M19" s="145">
        <f>IF(ISBLANK(AG19),"",SUMIFS(Transactions!$M$3:$M149,Transactions!$H$3:$H149,"Dividend",Transactions!$D$3:$D149,B19))</f>
        <v>0</v>
      </c>
      <c r="N19" s="145" t="str">
        <f>IF(ISBLANK(AH19),"",SUMIFS(Transactions!$M$3:$M149,Transactions!$H$3:$H149,"Sell",Transactions!$D$3:$D149,B19))</f>
        <v/>
      </c>
      <c r="O19" s="50" t="str">
        <f t="shared" si="5"/>
        <v/>
      </c>
      <c r="P19" s="178" t="str">
        <f t="shared" si="6"/>
        <v/>
      </c>
      <c r="Q19" s="178" t="str">
        <f>IFERROR(__xludf.DUMMYFUNCTION("IF(ISBLANK(B19),"""",IFERROR(IF(OR(AF19=""GPB"",AF19=""ZAR""),IF(AF19=Dashboard!$L$1,AS19,(AS19*GOOGLEFINANCE(""CURRENCY:""&amp;AF19&amp;""""&amp;Dashboard!$L$1&amp;""""))/100),IF(AF19=Dashboard!$L$1,AS19,AS19*GOOGLEFINANCE(""CURRENCY:""&amp;AF19&amp;""""&amp;Dashboard!$L$1&amp;""""))),"&amp;"AS19))"),"")</f>
        <v/>
      </c>
      <c r="R19" s="178" t="str">
        <f t="shared" si="7"/>
        <v/>
      </c>
      <c r="S19" s="50" t="str">
        <f>IFERROR(__xludf.DUMMYFUNCTION("IF(ISBLANK(B19),"""",IFERROR((GOOGLEFINANCE(B19,""price"")/INDEX(GOOGLEFINANCE(B19,""price"",DATEVALUE(TODAY()-$S$2) ),2,2)-1),""""))"),"")</f>
        <v/>
      </c>
      <c r="U19" s="50" t="str">
        <f>IFERROR(__xludf.DUMMYFUNCTION("IF(ISBLANK(B19),"""",IFERROR((GOOGLEFINANCE($U$2,""price"")/INDEX(GOOGLEFINANCE($U$2,""price"",DATEVALUE(TODAY()-$S$2) ),2,2)-1),""""))"),"")</f>
        <v/>
      </c>
      <c r="W19" s="50" t="str">
        <f t="shared" si="8"/>
        <v/>
      </c>
      <c r="X19" s="50" t="str">
        <f t="shared" si="9"/>
        <v/>
      </c>
      <c r="Y19" s="179">
        <v>0.002</v>
      </c>
      <c r="Z19" s="50" t="str">
        <f t="shared" si="10"/>
        <v/>
      </c>
      <c r="AA19" s="14" t="str">
        <f t="shared" si="11"/>
        <v/>
      </c>
      <c r="AB19" s="50" t="str">
        <f t="shared" si="12"/>
        <v/>
      </c>
      <c r="AC19" s="179" t="str">
        <f t="shared" si="13"/>
        <v/>
      </c>
      <c r="AD19" s="50" t="str">
        <f t="shared" si="14"/>
        <v/>
      </c>
      <c r="AE19" s="180" t="str">
        <f t="shared" si="15"/>
        <v/>
      </c>
      <c r="AF19" s="14" t="str">
        <f t="array" ref="AF19">IFERROR(IF(ISBLANK(AH19),"",IF(VLOOKUP(AH19,Transactions!D:F,3,0)="Stablecoin",AH19,INDEX(Transactions!$B$3:$B149,MATCH(AH19,Transactions!$D$3:$D149,0),0))))</f>
        <v/>
      </c>
      <c r="AG19" s="14" t="str">
        <f>IF(ISBLANK(AH19),"",VLOOKUP(AH19,Transactions!D:E,2,0))</f>
        <v/>
      </c>
      <c r="AH19" s="14"/>
      <c r="AI19" s="146" t="str">
        <f>IF(ISBLANK(AH19),"",IF(
SUMIFS(Transactions!$I$3:$I149,Transactions!$H$3:$H149,"Buy",Transactions!$F$3:$F149,"Stock",Transactions!$D$3:$D149,AH19)
+SUMIFS(Transactions!$I$3:$I149,Transactions!$H$3:$H149,"DRIP",Transactions!$F$3:$F149,"Stock",Transactions!$D$3:$D149,AH19)
+SUMIFS(Transactions!$I$3:$I149,Transactions!$H$3:$H149,"Transfer Deposit",Transactions!$F$3:$F149,"Stock",Transactions!$D$3:$D149,AH19)
+SUMIFS(Transactions!$I$3:$I149,Transactions!$H$3:$H149,"Buy",Transactions!$F$3:$F149,"ETF",Transactions!$D$3:$D149,AH19)
+SUMIFS(Transactions!$I$3:$I149,Transactions!$H$3:$H149,"DRIP",Transactions!$F$3:$F149,"ETF",Transactions!$D$3:$D149,AH19)
+SUMIFS(Transactions!$I$3:$I149,Transactions!$H$3:$H149,"Transfer Deposit",Transactions!$F$3:$F149,"ETF",Transactions!$D$3:$D149,AH19)
+SUMIFS(Transactions!$I$3:$I149,Transactions!$H$3:$H149,"Buy",Transactions!$F$3:$F149,"Commodity",Transactions!$D$3:$D149,AH19)
+SUMIFS(Transactions!$I$3:$I149,Transactions!$H$3:$H149,"DRIP",Transactions!$F$3:$F149,"Commodity",Transactions!$D$3:$D149,AH19)
+SUMIFS(Transactions!$I$3:$I149,Transactions!$H$3:$H149,"Transfer Deposit",Transactions!$F$3:$F149,"Commodity",Transactions!$D$3:$D149,AH19)
+SUMIFS(Transactions!$I$3:$I149,Transactions!$H$3:$H149,"Buy",Transactions!$F$3:$F149,"Managed Fund",Transactions!$D$3:$D149,AH19)
+SUMIFS(Transactions!$I$3:$I149,Transactions!$H$3:$H149,"DRIP",Transactions!$F$3:$F149,"Managed Fund",Transactions!$D$3:$D149,AH19)
+SUMIFS(Transactions!$I$3:$I149,Transactions!$H$3:$H149,"Transfer Deposit",Transactions!$F$3:$F149,"Managed Fund",Transactions!$D$3:$D149,AH19)
+SUMIFS(Transactions!$I$3:$I149,Transactions!$H$3:$H149,"Buy",Transactions!$F$3:$F149,"REIT",Transactions!$D$3:$D149,AH19)
+SUMIFS(Transactions!$I$3:$I149,Transactions!$H$3:$H149,"DRIP",Transactions!$F$3:$F149,"REIT",Transactions!$D$3:$D149,AH19)
+SUMIFS(Transactions!$I$3:$I149,Transactions!$H$3:$H149,"Transfer Deposit",Transactions!$F$3:$F149,"REIT",Transactions!$D$3:$D149,AH19)
-SUMIFS(Transactions!$I$3:$I149,Transactions!$H$3:$H149,"Sell",Transactions!$F$3:$F149,"Stock",Transactions!$D$3:$D149,AH19)
-SUMIFS(Transactions!$I$3:$I149,Transactions!$H$3:$H149,"Transfer Send",Transactions!$F$3:$F149,"Stock",Transactions!$D$3:$D149,AH19)
-SUMIFS(Transactions!$I$3:$I149,Transactions!$H$3:$H149,"Sell",Transactions!$F$3:$F149,"ETF",Transactions!$D$3:$D149,AH19)
-SUMIFS(Transactions!$I$3:$I149,Transactions!$H$3:$H149,"Transfer Send",Transactions!$F$3:$F149,"ETF",Transactions!$D$3:$D149,AH19)
-SUMIFS(Transactions!$I$3:$I149,Transactions!$H$3:$H149,"Sell",Transactions!$F$3:$F149,"Commodity",Transactions!$D$3:$D149,AH19)
-SUMIFS(Transactions!$I$3:$I149,Transactions!$H$3:$H149,"Transfer Send",Transactions!$F$3:$F149,"Commodity",Transactions!$D$3:$D149,AH19)
-SUMIFS(Transactions!$I$3:$I149,Transactions!$H$3:$H149,"Sell",Transactions!$F$3:$F149,"Managed Fund",Transactions!$D$3:$D149,AH19)
-SUMIFS(Transactions!$I$3:$I149,Transactions!$H$3:$H149,"Transfer Send",Transactions!$F$3:$F149,"Managed Fund",Transactions!$D$3:$D149,AH19)
-SUMIFS(Transactions!$I$3:$I149,Transactions!$H$3:$H149,"Sell",Transactions!$F$3:$F149,"REIT",Transactions!$D$3:$D149,AH19)
-SUMIFS(Transactions!$I$3:$I149,Transactions!$H$3:$H149,"Transfer Send",Transactions!$F$3:$F149,"REIT",Transactions!$D$3:$D149,AH19)
+SUMIFS(Transactions!$I$3:$I149,Transactions!$H$3:$H149,"Buy",Transactions!$F$3:$F149,"Crypto",Transactions!$D$3:$D149,AH19)
+SUMIFS(Transactions!$I$3:$I149,Transactions!$H$3:$H149,"Crypto Interest",Transactions!$F$3:$F149,"Crypto",Transactions!$D$3:$D149,AH19)
+SUMIFS(Transactions!$I$3:$I149,Transactions!$H$3:$H149,"Transfer Deposit",Transactions!$F$3:$F149,"Crypto",Transactions!$D$3:$D149,AH19)
-SUMIFS(Transactions!$I$3:$I149,Transactions!$H$3:$H149,"Transfer Send",Transactions!$F$3:$F149,"Crypto",Transactions!$D$3:$D149,AH19)
-SUMIFS(Transactions!$I$3:$I149,Transactions!$H$3:$H149,"Sell",Transactions!$F$3:$F149,"Crypto",Transactions!$D$3:$D149,AH19)
+SUMIFS(Transactions!$I$3:$I149,Transactions!$H$3:$H149,"Buy",Transactions!$F$3:$F149,"Stablecoin",Transactions!$D$3:$D149,AH19)
+SUMIFS(Transactions!$I$3:$I149,Transactions!$H$3:$H149,"Crypto Interest",Transactions!$F$3:$F149,"Stablecoin",Transactions!$D$3:$D149,AH19)
+SUMIFS(Transactions!$I$3:$I149,Transactions!$H$3:$H149,"Transfer Deposit",Transactions!$F$3:$F149,"Stablecoin",Transactions!$D$3:$D149,AH19)
-SUMIFS(Transactions!$I$3:$I149,Transactions!$H$3:$H149,"Transfer Send",Transactions!$F$3:$F149,"Stablecoin",Transactions!$D$3:$D149,AH19)
-SUMIFS(Transactions!$I$3:$I149,Transactions!$H$3:$H149,"Sell",Transactions!$F$3:$F149,"Stablecoin",Transactions!$D$3:$D149,AH19)
-SUMIFS(Transactions!$M$3:$M149,Transactions!$H$3:$H149,"Buy",Transactions!$B$3:$B149,AH19)=0,"Sold All",
SUMIFS(Transactions!$I$3:$I149,Transactions!$H$3:$H149,"Buy",Transactions!$F$3:$F149,"Stock",Transactions!$D$3:$D149,AH19)
+SUMIFS(Transactions!$I$3:$I149,Transactions!$H$3:$H149,"DRIP",Transactions!$F$3:$F149,"Stock",Transactions!$D$3:$D149,AH19)
+SUMIFS(Transactions!$I$3:$I149,Transactions!$H$3:$H149,"Transfer Deposit",Transactions!$F$3:$F149,"Stock",Transactions!$D$3:$D149,AH19)
+SUMIFS(Transactions!$I$3:$I149,Transactions!$H$3:$H149,"Buy",Transactions!$F$3:$F149,"ETF",Transactions!$D$3:$D149,AH19)
+SUMIFS(Transactions!$I$3:$I149,Transactions!$H$3:$H149,"DRIP",Transactions!$F$3:$F149,"ETF",Transactions!$D$3:$D149,AH19)
+SUMIFS(Transactions!$I$3:$I149,Transactions!$H$3:$H149,"Transfer Deposit",Transactions!$F$3:$F149,"ETF",Transactions!$D$3:$D149,AH19)
+SUMIFS(Transactions!$I$3:$I149,Transactions!$H$3:$H149,"Buy",Transactions!$F$3:$F149,"Commodity",Transactions!$D$3:$D149,AH19)
+SUMIFS(Transactions!$I$3:$I149,Transactions!$H$3:$H149,"DRIP",Transactions!$F$3:$F149,"Commodity",Transactions!$D$3:$D149,AH19)
+SUMIFS(Transactions!$I$3:$I149,Transactions!$H$3:$H149,"Transfer Deposit",Transactions!$F$3:$F149,"Commodity",Transactions!$D$3:$D149,AH19)
+SUMIFS(Transactions!$I$3:$I149,Transactions!$H$3:$H149,"Buy",Transactions!$F$3:$F149,"Managed Fund",Transactions!$D$3:$D149,AH19)
+SUMIFS(Transactions!$I$3:$I149,Transactions!$H$3:$H149,"DRIP",Transactions!$F$3:$F149,"Managed Fund",Transactions!$D$3:$D149,AH19)
+SUMIFS(Transactions!$I$3:$I149,Transactions!$H$3:$H149,"Transfer Deposit",Transactions!$F$3:$F149,"Managed Fund",Transactions!$D$3:$D149,AH19)
+SUMIFS(Transactions!$I$3:$I149,Transactions!$H$3:$H149,"Buy",Transactions!$F$3:$F149,"REIT",Transactions!$D$3:$D149,AH19)
+SUMIFS(Transactions!$I$3:$I149,Transactions!$H$3:$H149,"DRIP",Transactions!$F$3:$F149,"REIT",Transactions!$D$3:$D149,AH19)
+SUMIFS(Transactions!$I$3:$I149,Transactions!$H$3:$H149,"Transfer Deposit",Transactions!$F$3:$F149,"REIT",Transactions!$D$3:$D149,AH19)
-SUMIFS(Transactions!$I$3:$I149,Transactions!$H$3:$H149,"Sell",Transactions!$F$3:$F149,"Stock",Transactions!$D$3:$D149,AH19)
-SUMIFS(Transactions!$I$3:$I149,Transactions!$H$3:$H149,"Transfer Send",Transactions!$F$3:$F149,"Stock",Transactions!$D$3:$D149,AH19)
-SUMIFS(Transactions!$I$3:$I149,Transactions!$H$3:$H149,"Sell",Transactions!$F$3:$F149,"ETF",Transactions!$D$3:$D149,AH19)
-SUMIFS(Transactions!$I$3:$I149,Transactions!$H$3:$H149,"Transfer Send",Transactions!$F$3:$F149,"ETF",Transactions!$D$3:$D149,AH19)
-SUMIFS(Transactions!$I$3:$I149,Transactions!$H$3:$H149,"Sell",Transactions!$F$3:$F149,"Commodity",Transactions!$D$3:$D149,AH19)
-SUMIFS(Transactions!$I$3:$I149,Transactions!$H$3:$H149,"Transfer Send",Transactions!$F$3:$F149,"Commodity",Transactions!$D$3:$D149,AH19)
-SUMIFS(Transactions!$I$3:$I149,Transactions!$H$3:$H149,"Sell",Transactions!$F$3:$F149,"Managed Fund",Transactions!$D$3:$D149,AH19)
-SUMIFS(Transactions!$I$3:$I149,Transactions!$H$3:$H149,"Transfer Send",Transactions!$F$3:$F149,"Managed Fund",Transactions!$D$3:$D149,AH19)
-SUMIFS(Transactions!$I$3:$I149,Transactions!$H$3:$H149,"Sell",Transactions!$F$3:$F149,"REIT",Transactions!$D$3:$D149,AH19)
-SUMIFS(Transactions!$I$3:$I149,Transactions!$H$3:$H149,"Transfer Send",Transactions!$F$3:$F149,"REIT",Transactions!$D$3:$D149,AH19)
+SUMIFS(Transactions!$I$3:$I149,Transactions!$H$3:$H149,"Buy",Transactions!$F$3:$F149,"Crypto",Transactions!$D$3:$D149,AH19)
+SUMIFS(Transactions!$I$3:$I149,Transactions!$H$3:$H149,"Crypto Interest",Transactions!$F$3:$F149,"Crypto",Transactions!$D$3:$D149,AH19)
+SUMIFS(Transactions!$I$3:$I149,Transactions!$H$3:$H149,"Transfer Deposit",Transactions!$F$3:$F149,"Crypto",Transactions!$D$3:$D149,AH19)
-SUMIFS(Transactions!$I$3:$I149,Transactions!$H$3:$H149,"Transfer Send",Transactions!$F$3:$F149,"Crypto",Transactions!$D$3:$D149,AH19)
-SUMIFS(Transactions!$I$3:$I149,Transactions!$H$3:$H149,"Sell",Transactions!$F$3:$F149,"Crypto",Transactions!$D$3:$D149,AH19)
+SUMIFS(Transactions!$I$3:$I149,Transactions!$H$3:$H149,"Buy",Transactions!$F$3:$F149,"Stablecoin",Transactions!$D$3:$D149,AH19)
+SUMIFS(Transactions!$I$3:$I149,Transactions!$H$3:$H149,"Crypto Interest",Transactions!$F$3:$F149,"Stablecoin",Transactions!$D$3:$D149,AH19)
+SUMIFS(Transactions!$I$3:$I149,Transactions!$H$3:$H149,"Transfer Deposit",Transactions!$F$3:$F149,"Stablecoin",Transactions!$D$3:$D149,AH19)
-SUMIFS(Transactions!$I$3:$I149,Transactions!$H$3:$H149,"Transfer Send",Transactions!$F$3:$F149,"Stablecoin",Transactions!$D$3:$D149,AH19)
-SUMIFS(Transactions!$I$3:$I149,Transactions!$H$3:$H149,"Sell",Transactions!$F$3:$F149,"Stablecoin",Transactions!$D$3:$D149,AH19)
-SUMIFS(Transactions!$M$3:$M149,Transactions!$H$3:$H149,"Buy",Transactions!$B$3:$B149,AH19)))</f>
        <v/>
      </c>
      <c r="AJ19" s="181" t="str">
        <f>IFERROR(__xludf.DUMMYFUNCTION("IF(ISBLANK(AH19),"""",VLOOKUP(9^99,FILTER({ROW(Transactions!P:P),Transactions!P:P},Transactions!D:D=AH19),2))"),"")</f>
        <v/>
      </c>
      <c r="AK19" s="181" t="str">
        <f>IFERROR(__xludf.DUMMYFUNCTION("IF(ISBLANK(AH19),"""",IFERROR(GOOGLEFINANCE(AH19,""price""),IFERROR(GOOGLEFINANCE(""CURRENCY:""&amp;AH19&amp;""""),IFERROR(INDEX(YAHOO_STOCK(TRIM(AH19), $G$2),0,1),INDEX(IMPORTHTML(CONCAT(""https://coinmarketcap.com/currencies/"",AG19),""table"",1),1,2)))))"),"")</f>
        <v/>
      </c>
      <c r="AL19" s="14" t="str">
        <f>IFERROR(__xludf.DUMMYFUNCTION("IF(ISBLANK(AH19),"""",IFERROR(SPARKLINE(INDEX(GOOGLEFINANCE(AH19,""price"",TODAY()-$AL$2,TODAY()),,2),{""charttype"",""column"";""color"",""17a7e0""}),""""))"),"")</f>
        <v/>
      </c>
      <c r="AM19" s="50" t="str">
        <f>IFERROR(__xludf.DUMMYFUNCTION("IFNA(IFERROR(IF(AH19="""","""",GOOGLEFINANCE(AH19,""changepct"")/100),(GOOGLEFINANCE(AH19)-(INDEX(GOOGLEFINANCE(""CURRENCY:""&amp;AH19&amp;"""",""price"",TODAY()-1),2,2)))/(INDEX(GOOGLEFINANCE(""CURRENCY:""&amp;AH19&amp;"""",""price"",TODAY()-1),2,2))),)"),"")</f>
        <v/>
      </c>
      <c r="AN19" s="96" t="str">
        <f>IFERROR(__xludf.DUMMYFUNCTION("IFNA(IFERROR(IF(AH19="""","""",GOOGLEFINANCE(AH19,""change"")*AI19),(GOOGLEFINANCE(AH19)-(INDEX(GOOGLEFINANCE(""CURRENCY:""&amp;AH19&amp;"""",""price"",TODAY()-1),2,2)))*AI19),"""")"),"")</f>
        <v/>
      </c>
      <c r="AO19" s="96" t="str">
        <f>IF(ISBLANK(AH19),"",IFERROR(((AI19-SUMIFS(Transactions!I:I,Transactions!H:H,"Crypto Interest",Transactions!D:D,AH19))*AJ19),""))</f>
        <v/>
      </c>
      <c r="AP19" s="96" t="str">
        <f t="shared" si="16"/>
        <v/>
      </c>
      <c r="AQ19" s="50" t="str">
        <f t="shared" si="17"/>
        <v/>
      </c>
      <c r="AR19" s="96" t="str">
        <f t="shared" si="18"/>
        <v/>
      </c>
      <c r="AS19" s="96" t="str">
        <f>IF(ISBLANK(AH19),"",SUMIFS(Transactions!$X$3:$X149,Transactions!$H$3:$H149,"Sell",Transactions!$D$3:$D149,AH19))</f>
        <v/>
      </c>
      <c r="AT19" s="96" t="str">
        <f t="shared" si="19"/>
        <v/>
      </c>
      <c r="AU19" s="50" t="str">
        <f>IFERROR(__xludf.DUMMYFUNCTION("IF(ISBLANK(AH19),"""",IFERROR((GOOGLEFINANCE(AH19,""price"")/INDEX(GOOGLEFINANCE(AH19,""price"",DATEVALUE(TODAY()-$AU$2) ),2,2)-1),""""))"),"")</f>
        <v/>
      </c>
      <c r="AW19" s="50" t="str">
        <f>IFERROR(__xludf.DUMMYFUNCTION("IF(ISBLANK(AH19),"""",IFERROR((GOOGLEFINANCE($AW$2,""price"")/INDEX(GOOGLEFINANCE($AW$2,""price"",DATEVALUE(TODAY()-$AU$2) ),2,2)-1),""""))"),"")</f>
        <v/>
      </c>
      <c r="AY19" s="50" t="str">
        <f t="shared" si="20"/>
        <v/>
      </c>
      <c r="AZ19" s="50" t="str">
        <f t="shared" si="21"/>
        <v/>
      </c>
      <c r="BA19" s="50">
        <f t="shared" si="22"/>
        <v>0.002</v>
      </c>
      <c r="BB19" s="14" t="str">
        <f t="shared" si="23"/>
        <v/>
      </c>
      <c r="BC19" s="14" t="str">
        <f>IF(ISBLANK(AH19),"",IFERROR(VLOOKUP(AH19,Transactions!D:F,3,0)))</f>
        <v/>
      </c>
      <c r="BD19" s="50" t="str">
        <f t="shared" si="24"/>
        <v/>
      </c>
      <c r="BE19" s="50" t="str">
        <f t="shared" si="25"/>
        <v/>
      </c>
      <c r="BF19" s="14" t="str">
        <f t="shared" si="26"/>
        <v/>
      </c>
      <c r="BG19" s="180" t="str">
        <f>IF(ISBLANK(AH19),"",IFERROR(VLOOKUP(AH19,Transactions!D:G,4,0)))</f>
        <v/>
      </c>
    </row>
    <row r="20">
      <c r="A20" s="14" t="str">
        <f t="shared" ref="A20:C20" si="42">AG20</f>
        <v/>
      </c>
      <c r="B20" s="14" t="str">
        <f t="shared" si="42"/>
        <v/>
      </c>
      <c r="C20" s="175" t="str">
        <f t="shared" si="42"/>
        <v/>
      </c>
      <c r="D20" s="176" t="str">
        <f>IFERROR(__xludf.DUMMYFUNCTION("IF(ISBLANK(B20),"""",IFERROR(IF(OR(AF20=""GPB"",AF20=""ZAR""),IF(AF20=Dashboard!$L$1,AJ20,(AJ20*GOOGLEFINANCE(""CURRENCY:""&amp;AF20&amp;""""&amp;Dashboard!$L$1&amp;""""))/100),IF(AF20=Dashboard!$L$1,AJ20,AJ20*GOOGLEFINANCE(""CURRENCY:""&amp;AF20&amp;""""&amp;Dashboard!$L$1&amp;""""))),"&amp;"AJ20))"),"")</f>
        <v/>
      </c>
      <c r="E20" s="177" t="str">
        <f>IFERROR(__xludf.DUMMYFUNCTION("IFERROR(IF(OR(AF20=""GBP"",AF20=""ZAR""),IF(B20="""","""",IF(AF20=Dashboard!$L$1,AK20,AK20*GOOGLEFINANCE(""CURRENCY:""&amp;AF20&amp;""""&amp;Dashboard!$L$1&amp;"""")))/100,If(B20="""","""",IF(AF20=Dashboard!$L$1,AK20,AK20*GOOGLEFINANCE(""CURRENCY:""&amp;AF20&amp;""""&amp;Dashboard!$"&amp;"L$1&amp;"""")))),AK20)"),"")</f>
        <v/>
      </c>
      <c r="F20" s="145">
        <f>IFERROR(__xludf.DUMMYFUNCTION(" E20 * GOOGLEFINANCE(""CURRENCY:USDEUR"") "),0.0)</f>
        <v>0</v>
      </c>
      <c r="G20" s="96" t="str">
        <f>IFERROR(__xludf.DUMMYFUNCTION("IF(ISBLANK(B20),"""",IFERROR(SPARKLINE(INDEX(GOOGLEFINANCE(B20,""price"",TODAY()-$G$2,TODAY()),,2),{""charttype"",""column"";""color"",""17a7e0""}),""""))"),"")</f>
        <v/>
      </c>
      <c r="H20" s="50" t="str">
        <f t="shared" si="3"/>
        <v/>
      </c>
      <c r="I20" s="96" t="str">
        <f>IFERROR(__xludf.DUMMYFUNCTION("IF(ISBLANK(B20),"""",IFERROR(IF(OR(AF20=""GPB"",AF20=""ZAR""),IF(AF20=Dashboard!$L$1,AN20,(AN20*GOOGLEFINANCE(""CURRENCY:""&amp;AF20&amp;""""&amp;Dashboard!$L$1&amp;""""))/100),IF(AF20=Dashboard!$L$1,AN20,AN20*GOOGLEFINANCE(""CURRENCY:""&amp;AF20&amp;""""&amp;Dashboard!$L$1&amp;""""))),"&amp;"AN20))"),"")</f>
        <v/>
      </c>
      <c r="J20" s="178" t="str">
        <f>IF(ISBLANK(B20),"",IFERROR(((C20-SUMIFS(Transactions!I:I,Transactions!H:H,"Crypto Interest",Transactions!D:D,B20))*D20),""))</f>
        <v/>
      </c>
      <c r="K20" s="178" t="str">
        <f t="shared" si="4"/>
        <v/>
      </c>
      <c r="L20" s="145">
        <f>-SUMIFS(Transactions!$M$3:$M149,Transactions!$H$3:$H149,"Buy",Transactions!$D$3:$D149,B20)</f>
        <v>0</v>
      </c>
      <c r="M20" s="145">
        <f>IF(ISBLANK(AG20),"",SUMIFS(Transactions!$M$3:$M149,Transactions!$H$3:$H149,"Dividend",Transactions!$D$3:$D149,B20))</f>
        <v>0</v>
      </c>
      <c r="N20" s="145" t="str">
        <f>IF(ISBLANK(AH20),"",SUMIFS(Transactions!$M$3:$M149,Transactions!$H$3:$H149,"Sell",Transactions!$D$3:$D149,B20))</f>
        <v/>
      </c>
      <c r="O20" s="50" t="str">
        <f t="shared" si="5"/>
        <v/>
      </c>
      <c r="P20" s="178" t="str">
        <f t="shared" si="6"/>
        <v/>
      </c>
      <c r="Q20" s="178" t="str">
        <f>IFERROR(__xludf.DUMMYFUNCTION("IF(ISBLANK(B20),"""",IFERROR(IF(OR(AF20=""GPB"",AF20=""ZAR""),IF(AF20=Dashboard!$L$1,AS20,(AS20*GOOGLEFINANCE(""CURRENCY:""&amp;AF20&amp;""""&amp;Dashboard!$L$1&amp;""""))/100),IF(AF20=Dashboard!$L$1,AS20,AS20*GOOGLEFINANCE(""CURRENCY:""&amp;AF20&amp;""""&amp;Dashboard!$L$1&amp;""""))),"&amp;"AS20))"),"")</f>
        <v/>
      </c>
      <c r="R20" s="178" t="str">
        <f t="shared" si="7"/>
        <v/>
      </c>
      <c r="S20" s="50" t="str">
        <f>IFERROR(__xludf.DUMMYFUNCTION("IF(ISBLANK(B20),"""",IFERROR((GOOGLEFINANCE(B20,""price"")/INDEX(GOOGLEFINANCE(B20,""price"",DATEVALUE(TODAY()-$S$2) ),2,2)-1),""""))"),"")</f>
        <v/>
      </c>
      <c r="U20" s="50" t="str">
        <f>IFERROR(__xludf.DUMMYFUNCTION("IF(ISBLANK(B20),"""",IFERROR((GOOGLEFINANCE($U$2,""price"")/INDEX(GOOGLEFINANCE($U$2,""price"",DATEVALUE(TODAY()-$S$2) ),2,2)-1),""""))"),"")</f>
        <v/>
      </c>
      <c r="W20" s="50" t="str">
        <f t="shared" si="8"/>
        <v/>
      </c>
      <c r="X20" s="50" t="str">
        <f t="shared" si="9"/>
        <v/>
      </c>
      <c r="Y20" s="179">
        <v>0.002</v>
      </c>
      <c r="Z20" s="50" t="str">
        <f t="shared" si="10"/>
        <v/>
      </c>
      <c r="AA20" s="14" t="str">
        <f t="shared" si="11"/>
        <v/>
      </c>
      <c r="AB20" s="50" t="str">
        <f t="shared" si="12"/>
        <v/>
      </c>
      <c r="AC20" s="179" t="str">
        <f t="shared" si="13"/>
        <v/>
      </c>
      <c r="AD20" s="50" t="str">
        <f t="shared" si="14"/>
        <v/>
      </c>
      <c r="AE20" s="180" t="str">
        <f t="shared" si="15"/>
        <v/>
      </c>
      <c r="AF20" s="14" t="str">
        <f t="array" ref="AF20">IFERROR(IF(ISBLANK(AH20),"",IF(VLOOKUP(AH20,Transactions!D:F,3,0)="Stablecoin",AH20,INDEX(Transactions!$B$3:$B149,MATCH(AH20,Transactions!$D$3:$D149,0),0))))</f>
        <v/>
      </c>
      <c r="AG20" s="14" t="str">
        <f>IF(ISBLANK(AH20),"",VLOOKUP(AH20,Transactions!D:E,2,0))</f>
        <v/>
      </c>
      <c r="AH20" s="14"/>
      <c r="AI20" s="146" t="str">
        <f>IF(ISBLANK(AH20),"",IF(
SUMIFS(Transactions!$I$3:$I149,Transactions!$H$3:$H149,"Buy",Transactions!$F$3:$F149,"Stock",Transactions!$D$3:$D149,AH20)
+SUMIFS(Transactions!$I$3:$I149,Transactions!$H$3:$H149,"DRIP",Transactions!$F$3:$F149,"Stock",Transactions!$D$3:$D149,AH20)
+SUMIFS(Transactions!$I$3:$I149,Transactions!$H$3:$H149,"Transfer Deposit",Transactions!$F$3:$F149,"Stock",Transactions!$D$3:$D149,AH20)
+SUMIFS(Transactions!$I$3:$I149,Transactions!$H$3:$H149,"Buy",Transactions!$F$3:$F149,"ETF",Transactions!$D$3:$D149,AH20)
+SUMIFS(Transactions!$I$3:$I149,Transactions!$H$3:$H149,"DRIP",Transactions!$F$3:$F149,"ETF",Transactions!$D$3:$D149,AH20)
+SUMIFS(Transactions!$I$3:$I149,Transactions!$H$3:$H149,"Transfer Deposit",Transactions!$F$3:$F149,"ETF",Transactions!$D$3:$D149,AH20)
+SUMIFS(Transactions!$I$3:$I149,Transactions!$H$3:$H149,"Buy",Transactions!$F$3:$F149,"Commodity",Transactions!$D$3:$D149,AH20)
+SUMIFS(Transactions!$I$3:$I149,Transactions!$H$3:$H149,"DRIP",Transactions!$F$3:$F149,"Commodity",Transactions!$D$3:$D149,AH20)
+SUMIFS(Transactions!$I$3:$I149,Transactions!$H$3:$H149,"Transfer Deposit",Transactions!$F$3:$F149,"Commodity",Transactions!$D$3:$D149,AH20)
+SUMIFS(Transactions!$I$3:$I149,Transactions!$H$3:$H149,"Buy",Transactions!$F$3:$F149,"Managed Fund",Transactions!$D$3:$D149,AH20)
+SUMIFS(Transactions!$I$3:$I149,Transactions!$H$3:$H149,"DRIP",Transactions!$F$3:$F149,"Managed Fund",Transactions!$D$3:$D149,AH20)
+SUMIFS(Transactions!$I$3:$I149,Transactions!$H$3:$H149,"Transfer Deposit",Transactions!$F$3:$F149,"Managed Fund",Transactions!$D$3:$D149,AH20)
+SUMIFS(Transactions!$I$3:$I149,Transactions!$H$3:$H149,"Buy",Transactions!$F$3:$F149,"REIT",Transactions!$D$3:$D149,AH20)
+SUMIFS(Transactions!$I$3:$I149,Transactions!$H$3:$H149,"DRIP",Transactions!$F$3:$F149,"REIT",Transactions!$D$3:$D149,AH20)
+SUMIFS(Transactions!$I$3:$I149,Transactions!$H$3:$H149,"Transfer Deposit",Transactions!$F$3:$F149,"REIT",Transactions!$D$3:$D149,AH20)
-SUMIFS(Transactions!$I$3:$I149,Transactions!$H$3:$H149,"Sell",Transactions!$F$3:$F149,"Stock",Transactions!$D$3:$D149,AH20)
-SUMIFS(Transactions!$I$3:$I149,Transactions!$H$3:$H149,"Transfer Send",Transactions!$F$3:$F149,"Stock",Transactions!$D$3:$D149,AH20)
-SUMIFS(Transactions!$I$3:$I149,Transactions!$H$3:$H149,"Sell",Transactions!$F$3:$F149,"ETF",Transactions!$D$3:$D149,AH20)
-SUMIFS(Transactions!$I$3:$I149,Transactions!$H$3:$H149,"Transfer Send",Transactions!$F$3:$F149,"ETF",Transactions!$D$3:$D149,AH20)
-SUMIFS(Transactions!$I$3:$I149,Transactions!$H$3:$H149,"Sell",Transactions!$F$3:$F149,"Commodity",Transactions!$D$3:$D149,AH20)
-SUMIFS(Transactions!$I$3:$I149,Transactions!$H$3:$H149,"Transfer Send",Transactions!$F$3:$F149,"Commodity",Transactions!$D$3:$D149,AH20)
-SUMIFS(Transactions!$I$3:$I149,Transactions!$H$3:$H149,"Sell",Transactions!$F$3:$F149,"Managed Fund",Transactions!$D$3:$D149,AH20)
-SUMIFS(Transactions!$I$3:$I149,Transactions!$H$3:$H149,"Transfer Send",Transactions!$F$3:$F149,"Managed Fund",Transactions!$D$3:$D149,AH20)
-SUMIFS(Transactions!$I$3:$I149,Transactions!$H$3:$H149,"Sell",Transactions!$F$3:$F149,"REIT",Transactions!$D$3:$D149,AH20)
-SUMIFS(Transactions!$I$3:$I149,Transactions!$H$3:$H149,"Transfer Send",Transactions!$F$3:$F149,"REIT",Transactions!$D$3:$D149,AH20)
+SUMIFS(Transactions!$I$3:$I149,Transactions!$H$3:$H149,"Buy",Transactions!$F$3:$F149,"Crypto",Transactions!$D$3:$D149,AH20)
+SUMIFS(Transactions!$I$3:$I149,Transactions!$H$3:$H149,"Crypto Interest",Transactions!$F$3:$F149,"Crypto",Transactions!$D$3:$D149,AH20)
+SUMIFS(Transactions!$I$3:$I149,Transactions!$H$3:$H149,"Transfer Deposit",Transactions!$F$3:$F149,"Crypto",Transactions!$D$3:$D149,AH20)
-SUMIFS(Transactions!$I$3:$I149,Transactions!$H$3:$H149,"Transfer Send",Transactions!$F$3:$F149,"Crypto",Transactions!$D$3:$D149,AH20)
-SUMIFS(Transactions!$I$3:$I149,Transactions!$H$3:$H149,"Sell",Transactions!$F$3:$F149,"Crypto",Transactions!$D$3:$D149,AH20)
+SUMIFS(Transactions!$I$3:$I149,Transactions!$H$3:$H149,"Buy",Transactions!$F$3:$F149,"Stablecoin",Transactions!$D$3:$D149,AH20)
+SUMIFS(Transactions!$I$3:$I149,Transactions!$H$3:$H149,"Crypto Interest",Transactions!$F$3:$F149,"Stablecoin",Transactions!$D$3:$D149,AH20)
+SUMIFS(Transactions!$I$3:$I149,Transactions!$H$3:$H149,"Transfer Deposit",Transactions!$F$3:$F149,"Stablecoin",Transactions!$D$3:$D149,AH20)
-SUMIFS(Transactions!$I$3:$I149,Transactions!$H$3:$H149,"Transfer Send",Transactions!$F$3:$F149,"Stablecoin",Transactions!$D$3:$D149,AH20)
-SUMIFS(Transactions!$I$3:$I149,Transactions!$H$3:$H149,"Sell",Transactions!$F$3:$F149,"Stablecoin",Transactions!$D$3:$D149,AH20)
-SUMIFS(Transactions!$M$3:$M149,Transactions!$H$3:$H149,"Buy",Transactions!$B$3:$B149,AH20)=0,"Sold All",
SUMIFS(Transactions!$I$3:$I149,Transactions!$H$3:$H149,"Buy",Transactions!$F$3:$F149,"Stock",Transactions!$D$3:$D149,AH20)
+SUMIFS(Transactions!$I$3:$I149,Transactions!$H$3:$H149,"DRIP",Transactions!$F$3:$F149,"Stock",Transactions!$D$3:$D149,AH20)
+SUMIFS(Transactions!$I$3:$I149,Transactions!$H$3:$H149,"Transfer Deposit",Transactions!$F$3:$F149,"Stock",Transactions!$D$3:$D149,AH20)
+SUMIFS(Transactions!$I$3:$I149,Transactions!$H$3:$H149,"Buy",Transactions!$F$3:$F149,"ETF",Transactions!$D$3:$D149,AH20)
+SUMIFS(Transactions!$I$3:$I149,Transactions!$H$3:$H149,"DRIP",Transactions!$F$3:$F149,"ETF",Transactions!$D$3:$D149,AH20)
+SUMIFS(Transactions!$I$3:$I149,Transactions!$H$3:$H149,"Transfer Deposit",Transactions!$F$3:$F149,"ETF",Transactions!$D$3:$D149,AH20)
+SUMIFS(Transactions!$I$3:$I149,Transactions!$H$3:$H149,"Buy",Transactions!$F$3:$F149,"Commodity",Transactions!$D$3:$D149,AH20)
+SUMIFS(Transactions!$I$3:$I149,Transactions!$H$3:$H149,"DRIP",Transactions!$F$3:$F149,"Commodity",Transactions!$D$3:$D149,AH20)
+SUMIFS(Transactions!$I$3:$I149,Transactions!$H$3:$H149,"Transfer Deposit",Transactions!$F$3:$F149,"Commodity",Transactions!$D$3:$D149,AH20)
+SUMIFS(Transactions!$I$3:$I149,Transactions!$H$3:$H149,"Buy",Transactions!$F$3:$F149,"Managed Fund",Transactions!$D$3:$D149,AH20)
+SUMIFS(Transactions!$I$3:$I149,Transactions!$H$3:$H149,"DRIP",Transactions!$F$3:$F149,"Managed Fund",Transactions!$D$3:$D149,AH20)
+SUMIFS(Transactions!$I$3:$I149,Transactions!$H$3:$H149,"Transfer Deposit",Transactions!$F$3:$F149,"Managed Fund",Transactions!$D$3:$D149,AH20)
+SUMIFS(Transactions!$I$3:$I149,Transactions!$H$3:$H149,"Buy",Transactions!$F$3:$F149,"REIT",Transactions!$D$3:$D149,AH20)
+SUMIFS(Transactions!$I$3:$I149,Transactions!$H$3:$H149,"DRIP",Transactions!$F$3:$F149,"REIT",Transactions!$D$3:$D149,AH20)
+SUMIFS(Transactions!$I$3:$I149,Transactions!$H$3:$H149,"Transfer Deposit",Transactions!$F$3:$F149,"REIT",Transactions!$D$3:$D149,AH20)
-SUMIFS(Transactions!$I$3:$I149,Transactions!$H$3:$H149,"Sell",Transactions!$F$3:$F149,"Stock",Transactions!$D$3:$D149,AH20)
-SUMIFS(Transactions!$I$3:$I149,Transactions!$H$3:$H149,"Transfer Send",Transactions!$F$3:$F149,"Stock",Transactions!$D$3:$D149,AH20)
-SUMIFS(Transactions!$I$3:$I149,Transactions!$H$3:$H149,"Sell",Transactions!$F$3:$F149,"ETF",Transactions!$D$3:$D149,AH20)
-SUMIFS(Transactions!$I$3:$I149,Transactions!$H$3:$H149,"Transfer Send",Transactions!$F$3:$F149,"ETF",Transactions!$D$3:$D149,AH20)
-SUMIFS(Transactions!$I$3:$I149,Transactions!$H$3:$H149,"Sell",Transactions!$F$3:$F149,"Commodity",Transactions!$D$3:$D149,AH20)
-SUMIFS(Transactions!$I$3:$I149,Transactions!$H$3:$H149,"Transfer Send",Transactions!$F$3:$F149,"Commodity",Transactions!$D$3:$D149,AH20)
-SUMIFS(Transactions!$I$3:$I149,Transactions!$H$3:$H149,"Sell",Transactions!$F$3:$F149,"Managed Fund",Transactions!$D$3:$D149,AH20)
-SUMIFS(Transactions!$I$3:$I149,Transactions!$H$3:$H149,"Transfer Send",Transactions!$F$3:$F149,"Managed Fund",Transactions!$D$3:$D149,AH20)
-SUMIFS(Transactions!$I$3:$I149,Transactions!$H$3:$H149,"Sell",Transactions!$F$3:$F149,"REIT",Transactions!$D$3:$D149,AH20)
-SUMIFS(Transactions!$I$3:$I149,Transactions!$H$3:$H149,"Transfer Send",Transactions!$F$3:$F149,"REIT",Transactions!$D$3:$D149,AH20)
+SUMIFS(Transactions!$I$3:$I149,Transactions!$H$3:$H149,"Buy",Transactions!$F$3:$F149,"Crypto",Transactions!$D$3:$D149,AH20)
+SUMIFS(Transactions!$I$3:$I149,Transactions!$H$3:$H149,"Crypto Interest",Transactions!$F$3:$F149,"Crypto",Transactions!$D$3:$D149,AH20)
+SUMIFS(Transactions!$I$3:$I149,Transactions!$H$3:$H149,"Transfer Deposit",Transactions!$F$3:$F149,"Crypto",Transactions!$D$3:$D149,AH20)
-SUMIFS(Transactions!$I$3:$I149,Transactions!$H$3:$H149,"Transfer Send",Transactions!$F$3:$F149,"Crypto",Transactions!$D$3:$D149,AH20)
-SUMIFS(Transactions!$I$3:$I149,Transactions!$H$3:$H149,"Sell",Transactions!$F$3:$F149,"Crypto",Transactions!$D$3:$D149,AH20)
+SUMIFS(Transactions!$I$3:$I149,Transactions!$H$3:$H149,"Buy",Transactions!$F$3:$F149,"Stablecoin",Transactions!$D$3:$D149,AH20)
+SUMIFS(Transactions!$I$3:$I149,Transactions!$H$3:$H149,"Crypto Interest",Transactions!$F$3:$F149,"Stablecoin",Transactions!$D$3:$D149,AH20)
+SUMIFS(Transactions!$I$3:$I149,Transactions!$H$3:$H149,"Transfer Deposit",Transactions!$F$3:$F149,"Stablecoin",Transactions!$D$3:$D149,AH20)
-SUMIFS(Transactions!$I$3:$I149,Transactions!$H$3:$H149,"Transfer Send",Transactions!$F$3:$F149,"Stablecoin",Transactions!$D$3:$D149,AH20)
-SUMIFS(Transactions!$I$3:$I149,Transactions!$H$3:$H149,"Sell",Transactions!$F$3:$F149,"Stablecoin",Transactions!$D$3:$D149,AH20)
-SUMIFS(Transactions!$M$3:$M149,Transactions!$H$3:$H149,"Buy",Transactions!$B$3:$B149,AH20)))</f>
        <v/>
      </c>
      <c r="AJ20" s="181" t="str">
        <f>IFERROR(__xludf.DUMMYFUNCTION("IF(ISBLANK(AH20),"""",VLOOKUP(9^99,FILTER({ROW(Transactions!P:P),Transactions!P:P},Transactions!D:D=AH20),2))"),"")</f>
        <v/>
      </c>
      <c r="AK20" s="181" t="str">
        <f>IFERROR(__xludf.DUMMYFUNCTION("IF(ISBLANK(AH20),"""",IFERROR(GOOGLEFINANCE(AH20,""price""),IFERROR(GOOGLEFINANCE(""CURRENCY:""&amp;AH20&amp;""""),IFERROR(INDEX(YAHOO_STOCK(TRIM(AH20), $G$2),0,1),INDEX(IMPORTHTML(CONCAT(""https://coinmarketcap.com/currencies/"",AG20),""table"",1),1,2)))))"),"")</f>
        <v/>
      </c>
      <c r="AL20" s="14" t="str">
        <f>IFERROR(__xludf.DUMMYFUNCTION("IF(ISBLANK(AH20),"""",IFERROR(SPARKLINE(INDEX(GOOGLEFINANCE(AH20,""price"",TODAY()-$AL$2,TODAY()),,2),{""charttype"",""column"";""color"",""17a7e0""}),""""))"),"")</f>
        <v/>
      </c>
      <c r="AM20" s="50" t="str">
        <f>IFERROR(__xludf.DUMMYFUNCTION("IFNA(IFERROR(IF(AH20="""","""",GOOGLEFINANCE(AH20,""changepct"")/100),(GOOGLEFINANCE(AH20)-(INDEX(GOOGLEFINANCE(""CURRENCY:""&amp;AH20&amp;"""",""price"",TODAY()-1),2,2)))/(INDEX(GOOGLEFINANCE(""CURRENCY:""&amp;AH20&amp;"""",""price"",TODAY()-1),2,2))),)"),"")</f>
        <v/>
      </c>
      <c r="AN20" s="96" t="str">
        <f>IFERROR(__xludf.DUMMYFUNCTION("IFNA(IFERROR(IF(AH20="""","""",GOOGLEFINANCE(AH20,""change"")*AI20),(GOOGLEFINANCE(AH20)-(INDEX(GOOGLEFINANCE(""CURRENCY:""&amp;AH20&amp;"""",""price"",TODAY()-1),2,2)))*AI20),"""")"),"")</f>
        <v/>
      </c>
      <c r="AO20" s="96" t="str">
        <f>IF(ISBLANK(AH20),"",IFERROR(((AI20-SUMIFS(Transactions!I:I,Transactions!H:H,"Crypto Interest",Transactions!D:D,AH20))*AJ20),""))</f>
        <v/>
      </c>
      <c r="AP20" s="96" t="str">
        <f t="shared" si="16"/>
        <v/>
      </c>
      <c r="AQ20" s="50" t="str">
        <f t="shared" si="17"/>
        <v/>
      </c>
      <c r="AR20" s="96" t="str">
        <f t="shared" si="18"/>
        <v/>
      </c>
      <c r="AS20" s="96" t="str">
        <f>IF(ISBLANK(AH20),"",SUMIFS(Transactions!$X$3:$X149,Transactions!$H$3:$H149,"Sell",Transactions!$D$3:$D149,AH20))</f>
        <v/>
      </c>
      <c r="AT20" s="96" t="str">
        <f t="shared" si="19"/>
        <v/>
      </c>
      <c r="AU20" s="50" t="str">
        <f>IFERROR(__xludf.DUMMYFUNCTION("IF(ISBLANK(AH20),"""",IFERROR((GOOGLEFINANCE(AH20,""price"")/INDEX(GOOGLEFINANCE(AH20,""price"",DATEVALUE(TODAY()-$AU$2) ),2,2)-1),""""))"),"")</f>
        <v/>
      </c>
      <c r="AW20" s="50" t="str">
        <f>IFERROR(__xludf.DUMMYFUNCTION("IF(ISBLANK(AH20),"""",IFERROR((GOOGLEFINANCE($AW$2,""price"")/INDEX(GOOGLEFINANCE($AW$2,""price"",DATEVALUE(TODAY()-$AU$2) ),2,2)-1),""""))"),"")</f>
        <v/>
      </c>
      <c r="AY20" s="50" t="str">
        <f t="shared" si="20"/>
        <v/>
      </c>
      <c r="AZ20" s="50" t="str">
        <f t="shared" si="21"/>
        <v/>
      </c>
      <c r="BA20" s="50">
        <f t="shared" si="22"/>
        <v>0.002</v>
      </c>
      <c r="BB20" s="14" t="str">
        <f t="shared" si="23"/>
        <v/>
      </c>
      <c r="BC20" s="14" t="str">
        <f>IF(ISBLANK(AH20),"",IFERROR(VLOOKUP(AH20,Transactions!D:F,3,0)))</f>
        <v/>
      </c>
      <c r="BD20" s="50" t="str">
        <f t="shared" si="24"/>
        <v/>
      </c>
      <c r="BE20" s="50" t="str">
        <f t="shared" si="25"/>
        <v/>
      </c>
      <c r="BF20" s="14" t="str">
        <f t="shared" si="26"/>
        <v/>
      </c>
      <c r="BG20" s="180" t="str">
        <f>IF(ISBLANK(AH20),"",IFERROR(VLOOKUP(AH20,Transactions!D:G,4,0)))</f>
        <v/>
      </c>
    </row>
    <row r="21">
      <c r="A21" s="14" t="str">
        <f t="shared" ref="A21:C21" si="43">AG21</f>
        <v/>
      </c>
      <c r="B21" s="14" t="str">
        <f t="shared" si="43"/>
        <v/>
      </c>
      <c r="C21" s="175" t="str">
        <f t="shared" si="43"/>
        <v/>
      </c>
      <c r="D21" s="176" t="str">
        <f>IFERROR(__xludf.DUMMYFUNCTION("IF(ISBLANK(B21),"""",IFERROR(IF(OR(AF21=""GPB"",AF21=""ZAR""),IF(AF21=Dashboard!$L$1,AJ21,(AJ21*GOOGLEFINANCE(""CURRENCY:""&amp;AF21&amp;""""&amp;Dashboard!$L$1&amp;""""))/100),IF(AF21=Dashboard!$L$1,AJ21,AJ21*GOOGLEFINANCE(""CURRENCY:""&amp;AF21&amp;""""&amp;Dashboard!$L$1&amp;""""))),"&amp;"AJ21))"),"")</f>
        <v/>
      </c>
      <c r="E21" s="177" t="str">
        <f>IFERROR(__xludf.DUMMYFUNCTION("IFERROR(IF(OR(AF21=""GBP"",AF21=""ZAR""),IF(B21="""","""",IF(AF21=Dashboard!$L$1,AK21,AK21*GOOGLEFINANCE(""CURRENCY:""&amp;AF21&amp;""""&amp;Dashboard!$L$1&amp;"""")))/100,If(B21="""","""",IF(AF21=Dashboard!$L$1,AK21,AK21*GOOGLEFINANCE(""CURRENCY:""&amp;AF21&amp;""""&amp;Dashboard!$"&amp;"L$1&amp;"""")))),AK21)"),"")</f>
        <v/>
      </c>
      <c r="F21" s="145">
        <f>IFERROR(__xludf.DUMMYFUNCTION(" E21 * GOOGLEFINANCE(""CURRENCY:USDEUR"") "),0.0)</f>
        <v>0</v>
      </c>
      <c r="G21" s="96" t="str">
        <f>IFERROR(__xludf.DUMMYFUNCTION("IF(ISBLANK(B21),"""",IFERROR(SPARKLINE(INDEX(GOOGLEFINANCE(B21,""price"",TODAY()-$G$2,TODAY()),,2),{""charttype"",""column"";""color"",""17a7e0""}),""""))"),"")</f>
        <v/>
      </c>
      <c r="H21" s="50" t="str">
        <f t="shared" si="3"/>
        <v/>
      </c>
      <c r="I21" s="96" t="str">
        <f>IFERROR(__xludf.DUMMYFUNCTION("IF(ISBLANK(B21),"""",IFERROR(IF(OR(AF21=""GPB"",AF21=""ZAR""),IF(AF21=Dashboard!$L$1,AN21,(AN21*GOOGLEFINANCE(""CURRENCY:""&amp;AF21&amp;""""&amp;Dashboard!$L$1&amp;""""))/100),IF(AF21=Dashboard!$L$1,AN21,AN21*GOOGLEFINANCE(""CURRENCY:""&amp;AF21&amp;""""&amp;Dashboard!$L$1&amp;""""))),"&amp;"AN21))"),"")</f>
        <v/>
      </c>
      <c r="J21" s="178" t="str">
        <f>IF(ISBLANK(B21),"",IFERROR(((C21-SUMIFS(Transactions!I:I,Transactions!H:H,"Crypto Interest",Transactions!D:D,B21))*D21),""))</f>
        <v/>
      </c>
      <c r="K21" s="178" t="str">
        <f t="shared" si="4"/>
        <v/>
      </c>
      <c r="L21" s="145">
        <f>-SUMIFS(Transactions!$M$3:$M149,Transactions!$H$3:$H149,"Buy",Transactions!$D$3:$D149,B21)</f>
        <v>0</v>
      </c>
      <c r="M21" s="145">
        <f>IF(ISBLANK(AG21),"",SUMIFS(Transactions!$M$3:$M149,Transactions!$H$3:$H149,"Dividend",Transactions!$D$3:$D149,B21))</f>
        <v>0</v>
      </c>
      <c r="N21" s="145" t="str">
        <f>IF(ISBLANK(AH21),"",SUMIFS(Transactions!$M$3:$M149,Transactions!$H$3:$H149,"Sell",Transactions!$D$3:$D149,B21))</f>
        <v/>
      </c>
      <c r="O21" s="50" t="str">
        <f t="shared" si="5"/>
        <v/>
      </c>
      <c r="P21" s="178" t="str">
        <f t="shared" si="6"/>
        <v/>
      </c>
      <c r="Q21" s="178" t="str">
        <f>IFERROR(__xludf.DUMMYFUNCTION("IF(ISBLANK(B21),"""",IFERROR(IF(OR(AF21=""GPB"",AF21=""ZAR""),IF(AF21=Dashboard!$L$1,AS21,(AS21*GOOGLEFINANCE(""CURRENCY:""&amp;AF21&amp;""""&amp;Dashboard!$L$1&amp;""""))/100),IF(AF21=Dashboard!$L$1,AS21,AS21*GOOGLEFINANCE(""CURRENCY:""&amp;AF21&amp;""""&amp;Dashboard!$L$1&amp;""""))),"&amp;"AS21))"),"")</f>
        <v/>
      </c>
      <c r="R21" s="178" t="str">
        <f t="shared" si="7"/>
        <v/>
      </c>
      <c r="S21" s="50" t="str">
        <f>IFERROR(__xludf.DUMMYFUNCTION("IF(ISBLANK(B21),"""",IFERROR((GOOGLEFINANCE(B21,""price"")/INDEX(GOOGLEFINANCE(B21,""price"",DATEVALUE(TODAY()-$S$2) ),2,2)-1),""""))"),"")</f>
        <v/>
      </c>
      <c r="U21" s="50" t="str">
        <f>IFERROR(__xludf.DUMMYFUNCTION("IF(ISBLANK(B21),"""",IFERROR((GOOGLEFINANCE($U$2,""price"")/INDEX(GOOGLEFINANCE($U$2,""price"",DATEVALUE(TODAY()-$S$2) ),2,2)-1),""""))"),"")</f>
        <v/>
      </c>
      <c r="W21" s="50" t="str">
        <f t="shared" si="8"/>
        <v/>
      </c>
      <c r="X21" s="50" t="str">
        <f t="shared" si="9"/>
        <v/>
      </c>
      <c r="Y21" s="182" t="s">
        <v>104</v>
      </c>
      <c r="Z21" s="50" t="str">
        <f t="shared" si="10"/>
        <v/>
      </c>
      <c r="AA21" s="14" t="str">
        <f t="shared" si="11"/>
        <v/>
      </c>
      <c r="AB21" s="50" t="str">
        <f t="shared" si="12"/>
        <v/>
      </c>
      <c r="AC21" s="179" t="str">
        <f t="shared" si="13"/>
        <v/>
      </c>
      <c r="AD21" s="50" t="str">
        <f t="shared" si="14"/>
        <v/>
      </c>
      <c r="AE21" s="180" t="str">
        <f t="shared" si="15"/>
        <v/>
      </c>
      <c r="AF21" s="14" t="str">
        <f t="array" ref="AF21">IFERROR(IF(ISBLANK(AH21),"",IF(VLOOKUP(AH21,Transactions!D:F,3,0)="Stablecoin",AH21,INDEX(Transactions!$B$3:$B149,MATCH(AH21,Transactions!$D$3:$D149,0),0))))</f>
        <v/>
      </c>
      <c r="AG21" s="14" t="str">
        <f>IF(ISBLANK(AH21),"",VLOOKUP(AH21,Transactions!D:E,2,0))</f>
        <v/>
      </c>
      <c r="AH21" s="14"/>
      <c r="AI21" s="146" t="str">
        <f>IF(ISBLANK(AH21),"",IF(
SUMIFS(Transactions!$I$3:$I149,Transactions!$H$3:$H149,"Buy",Transactions!$F$3:$F149,"Stock",Transactions!$D$3:$D149,AH21)
+SUMIFS(Transactions!$I$3:$I149,Transactions!$H$3:$H149,"DRIP",Transactions!$F$3:$F149,"Stock",Transactions!$D$3:$D149,AH21)
+SUMIFS(Transactions!$I$3:$I149,Transactions!$H$3:$H149,"Transfer Deposit",Transactions!$F$3:$F149,"Stock",Transactions!$D$3:$D149,AH21)
+SUMIFS(Transactions!$I$3:$I149,Transactions!$H$3:$H149,"Buy",Transactions!$F$3:$F149,"ETF",Transactions!$D$3:$D149,AH21)
+SUMIFS(Transactions!$I$3:$I149,Transactions!$H$3:$H149,"DRIP",Transactions!$F$3:$F149,"ETF",Transactions!$D$3:$D149,AH21)
+SUMIFS(Transactions!$I$3:$I149,Transactions!$H$3:$H149,"Transfer Deposit",Transactions!$F$3:$F149,"ETF",Transactions!$D$3:$D149,AH21)
+SUMIFS(Transactions!$I$3:$I149,Transactions!$H$3:$H149,"Buy",Transactions!$F$3:$F149,"Commodity",Transactions!$D$3:$D149,AH21)
+SUMIFS(Transactions!$I$3:$I149,Transactions!$H$3:$H149,"DRIP",Transactions!$F$3:$F149,"Commodity",Transactions!$D$3:$D149,AH21)
+SUMIFS(Transactions!$I$3:$I149,Transactions!$H$3:$H149,"Transfer Deposit",Transactions!$F$3:$F149,"Commodity",Transactions!$D$3:$D149,AH21)
+SUMIFS(Transactions!$I$3:$I149,Transactions!$H$3:$H149,"Buy",Transactions!$F$3:$F149,"Managed Fund",Transactions!$D$3:$D149,AH21)
+SUMIFS(Transactions!$I$3:$I149,Transactions!$H$3:$H149,"DRIP",Transactions!$F$3:$F149,"Managed Fund",Transactions!$D$3:$D149,AH21)
+SUMIFS(Transactions!$I$3:$I149,Transactions!$H$3:$H149,"Transfer Deposit",Transactions!$F$3:$F149,"Managed Fund",Transactions!$D$3:$D149,AH21)
+SUMIFS(Transactions!$I$3:$I149,Transactions!$H$3:$H149,"Buy",Transactions!$F$3:$F149,"REIT",Transactions!$D$3:$D149,AH21)
+SUMIFS(Transactions!$I$3:$I149,Transactions!$H$3:$H149,"DRIP",Transactions!$F$3:$F149,"REIT",Transactions!$D$3:$D149,AH21)
+SUMIFS(Transactions!$I$3:$I149,Transactions!$H$3:$H149,"Transfer Deposit",Transactions!$F$3:$F149,"REIT",Transactions!$D$3:$D149,AH21)
-SUMIFS(Transactions!$I$3:$I149,Transactions!$H$3:$H149,"Sell",Transactions!$F$3:$F149,"Stock",Transactions!$D$3:$D149,AH21)
-SUMIFS(Transactions!$I$3:$I149,Transactions!$H$3:$H149,"Transfer Send",Transactions!$F$3:$F149,"Stock",Transactions!$D$3:$D149,AH21)
-SUMIFS(Transactions!$I$3:$I149,Transactions!$H$3:$H149,"Sell",Transactions!$F$3:$F149,"ETF",Transactions!$D$3:$D149,AH21)
-SUMIFS(Transactions!$I$3:$I149,Transactions!$H$3:$H149,"Transfer Send",Transactions!$F$3:$F149,"ETF",Transactions!$D$3:$D149,AH21)
-SUMIFS(Transactions!$I$3:$I149,Transactions!$H$3:$H149,"Sell",Transactions!$F$3:$F149,"Commodity",Transactions!$D$3:$D149,AH21)
-SUMIFS(Transactions!$I$3:$I149,Transactions!$H$3:$H149,"Transfer Send",Transactions!$F$3:$F149,"Commodity",Transactions!$D$3:$D149,AH21)
-SUMIFS(Transactions!$I$3:$I149,Transactions!$H$3:$H149,"Sell",Transactions!$F$3:$F149,"Managed Fund",Transactions!$D$3:$D149,AH21)
-SUMIFS(Transactions!$I$3:$I149,Transactions!$H$3:$H149,"Transfer Send",Transactions!$F$3:$F149,"Managed Fund",Transactions!$D$3:$D149,AH21)
-SUMIFS(Transactions!$I$3:$I149,Transactions!$H$3:$H149,"Sell",Transactions!$F$3:$F149,"REIT",Transactions!$D$3:$D149,AH21)
-SUMIFS(Transactions!$I$3:$I149,Transactions!$H$3:$H149,"Transfer Send",Transactions!$F$3:$F149,"REIT",Transactions!$D$3:$D149,AH21)
+SUMIFS(Transactions!$I$3:$I149,Transactions!$H$3:$H149,"Buy",Transactions!$F$3:$F149,"Crypto",Transactions!$D$3:$D149,AH21)
+SUMIFS(Transactions!$I$3:$I149,Transactions!$H$3:$H149,"Crypto Interest",Transactions!$F$3:$F149,"Crypto",Transactions!$D$3:$D149,AH21)
+SUMIFS(Transactions!$I$3:$I149,Transactions!$H$3:$H149,"Transfer Deposit",Transactions!$F$3:$F149,"Crypto",Transactions!$D$3:$D149,AH21)
-SUMIFS(Transactions!$I$3:$I149,Transactions!$H$3:$H149,"Transfer Send",Transactions!$F$3:$F149,"Crypto",Transactions!$D$3:$D149,AH21)
-SUMIFS(Transactions!$I$3:$I149,Transactions!$H$3:$H149,"Sell",Transactions!$F$3:$F149,"Crypto",Transactions!$D$3:$D149,AH21)
+SUMIFS(Transactions!$I$3:$I149,Transactions!$H$3:$H149,"Buy",Transactions!$F$3:$F149,"Stablecoin",Transactions!$D$3:$D149,AH21)
+SUMIFS(Transactions!$I$3:$I149,Transactions!$H$3:$H149,"Crypto Interest",Transactions!$F$3:$F149,"Stablecoin",Transactions!$D$3:$D149,AH21)
+SUMIFS(Transactions!$I$3:$I149,Transactions!$H$3:$H149,"Transfer Deposit",Transactions!$F$3:$F149,"Stablecoin",Transactions!$D$3:$D149,AH21)
-SUMIFS(Transactions!$I$3:$I149,Transactions!$H$3:$H149,"Transfer Send",Transactions!$F$3:$F149,"Stablecoin",Transactions!$D$3:$D149,AH21)
-SUMIFS(Transactions!$I$3:$I149,Transactions!$H$3:$H149,"Sell",Transactions!$F$3:$F149,"Stablecoin",Transactions!$D$3:$D149,AH21)
-SUMIFS(Transactions!$M$3:$M149,Transactions!$H$3:$H149,"Buy",Transactions!$B$3:$B149,AH21)=0,"Sold All",
SUMIFS(Transactions!$I$3:$I149,Transactions!$H$3:$H149,"Buy",Transactions!$F$3:$F149,"Stock",Transactions!$D$3:$D149,AH21)
+SUMIFS(Transactions!$I$3:$I149,Transactions!$H$3:$H149,"DRIP",Transactions!$F$3:$F149,"Stock",Transactions!$D$3:$D149,AH21)
+SUMIFS(Transactions!$I$3:$I149,Transactions!$H$3:$H149,"Transfer Deposit",Transactions!$F$3:$F149,"Stock",Transactions!$D$3:$D149,AH21)
+SUMIFS(Transactions!$I$3:$I149,Transactions!$H$3:$H149,"Buy",Transactions!$F$3:$F149,"ETF",Transactions!$D$3:$D149,AH21)
+SUMIFS(Transactions!$I$3:$I149,Transactions!$H$3:$H149,"DRIP",Transactions!$F$3:$F149,"ETF",Transactions!$D$3:$D149,AH21)
+SUMIFS(Transactions!$I$3:$I149,Transactions!$H$3:$H149,"Transfer Deposit",Transactions!$F$3:$F149,"ETF",Transactions!$D$3:$D149,AH21)
+SUMIFS(Transactions!$I$3:$I149,Transactions!$H$3:$H149,"Buy",Transactions!$F$3:$F149,"Commodity",Transactions!$D$3:$D149,AH21)
+SUMIFS(Transactions!$I$3:$I149,Transactions!$H$3:$H149,"DRIP",Transactions!$F$3:$F149,"Commodity",Transactions!$D$3:$D149,AH21)
+SUMIFS(Transactions!$I$3:$I149,Transactions!$H$3:$H149,"Transfer Deposit",Transactions!$F$3:$F149,"Commodity",Transactions!$D$3:$D149,AH21)
+SUMIFS(Transactions!$I$3:$I149,Transactions!$H$3:$H149,"Buy",Transactions!$F$3:$F149,"Managed Fund",Transactions!$D$3:$D149,AH21)
+SUMIFS(Transactions!$I$3:$I149,Transactions!$H$3:$H149,"DRIP",Transactions!$F$3:$F149,"Managed Fund",Transactions!$D$3:$D149,AH21)
+SUMIFS(Transactions!$I$3:$I149,Transactions!$H$3:$H149,"Transfer Deposit",Transactions!$F$3:$F149,"Managed Fund",Transactions!$D$3:$D149,AH21)
+SUMIFS(Transactions!$I$3:$I149,Transactions!$H$3:$H149,"Buy",Transactions!$F$3:$F149,"REIT",Transactions!$D$3:$D149,AH21)
+SUMIFS(Transactions!$I$3:$I149,Transactions!$H$3:$H149,"DRIP",Transactions!$F$3:$F149,"REIT",Transactions!$D$3:$D149,AH21)
+SUMIFS(Transactions!$I$3:$I149,Transactions!$H$3:$H149,"Transfer Deposit",Transactions!$F$3:$F149,"REIT",Transactions!$D$3:$D149,AH21)
-SUMIFS(Transactions!$I$3:$I149,Transactions!$H$3:$H149,"Sell",Transactions!$F$3:$F149,"Stock",Transactions!$D$3:$D149,AH21)
-SUMIFS(Transactions!$I$3:$I149,Transactions!$H$3:$H149,"Transfer Send",Transactions!$F$3:$F149,"Stock",Transactions!$D$3:$D149,AH21)
-SUMIFS(Transactions!$I$3:$I149,Transactions!$H$3:$H149,"Sell",Transactions!$F$3:$F149,"ETF",Transactions!$D$3:$D149,AH21)
-SUMIFS(Transactions!$I$3:$I149,Transactions!$H$3:$H149,"Transfer Send",Transactions!$F$3:$F149,"ETF",Transactions!$D$3:$D149,AH21)
-SUMIFS(Transactions!$I$3:$I149,Transactions!$H$3:$H149,"Sell",Transactions!$F$3:$F149,"Commodity",Transactions!$D$3:$D149,AH21)
-SUMIFS(Transactions!$I$3:$I149,Transactions!$H$3:$H149,"Transfer Send",Transactions!$F$3:$F149,"Commodity",Transactions!$D$3:$D149,AH21)
-SUMIFS(Transactions!$I$3:$I149,Transactions!$H$3:$H149,"Sell",Transactions!$F$3:$F149,"Managed Fund",Transactions!$D$3:$D149,AH21)
-SUMIFS(Transactions!$I$3:$I149,Transactions!$H$3:$H149,"Transfer Send",Transactions!$F$3:$F149,"Managed Fund",Transactions!$D$3:$D149,AH21)
-SUMIFS(Transactions!$I$3:$I149,Transactions!$H$3:$H149,"Sell",Transactions!$F$3:$F149,"REIT",Transactions!$D$3:$D149,AH21)
-SUMIFS(Transactions!$I$3:$I149,Transactions!$H$3:$H149,"Transfer Send",Transactions!$F$3:$F149,"REIT",Transactions!$D$3:$D149,AH21)
+SUMIFS(Transactions!$I$3:$I149,Transactions!$H$3:$H149,"Buy",Transactions!$F$3:$F149,"Crypto",Transactions!$D$3:$D149,AH21)
+SUMIFS(Transactions!$I$3:$I149,Transactions!$H$3:$H149,"Crypto Interest",Transactions!$F$3:$F149,"Crypto",Transactions!$D$3:$D149,AH21)
+SUMIFS(Transactions!$I$3:$I149,Transactions!$H$3:$H149,"Transfer Deposit",Transactions!$F$3:$F149,"Crypto",Transactions!$D$3:$D149,AH21)
-SUMIFS(Transactions!$I$3:$I149,Transactions!$H$3:$H149,"Transfer Send",Transactions!$F$3:$F149,"Crypto",Transactions!$D$3:$D149,AH21)
-SUMIFS(Transactions!$I$3:$I149,Transactions!$H$3:$H149,"Sell",Transactions!$F$3:$F149,"Crypto",Transactions!$D$3:$D149,AH21)
+SUMIFS(Transactions!$I$3:$I149,Transactions!$H$3:$H149,"Buy",Transactions!$F$3:$F149,"Stablecoin",Transactions!$D$3:$D149,AH21)
+SUMIFS(Transactions!$I$3:$I149,Transactions!$H$3:$H149,"Crypto Interest",Transactions!$F$3:$F149,"Stablecoin",Transactions!$D$3:$D149,AH21)
+SUMIFS(Transactions!$I$3:$I149,Transactions!$H$3:$H149,"Transfer Deposit",Transactions!$F$3:$F149,"Stablecoin",Transactions!$D$3:$D149,AH21)
-SUMIFS(Transactions!$I$3:$I149,Transactions!$H$3:$H149,"Transfer Send",Transactions!$F$3:$F149,"Stablecoin",Transactions!$D$3:$D149,AH21)
-SUMIFS(Transactions!$I$3:$I149,Transactions!$H$3:$H149,"Sell",Transactions!$F$3:$F149,"Stablecoin",Transactions!$D$3:$D149,AH21)
-SUMIFS(Transactions!$M$3:$M149,Transactions!$H$3:$H149,"Buy",Transactions!$B$3:$B149,AH21)))</f>
        <v/>
      </c>
      <c r="AJ21" s="181" t="str">
        <f>IFERROR(__xludf.DUMMYFUNCTION("IF(ISBLANK(AH21),"""",VLOOKUP(9^99,FILTER({ROW(Transactions!P:P),Transactions!P:P},Transactions!D:D=AH21),2))"),"")</f>
        <v/>
      </c>
      <c r="AK21" s="181" t="str">
        <f>IFERROR(__xludf.DUMMYFUNCTION("IF(ISBLANK(AH21),"""",IFERROR(GOOGLEFINANCE(AH21,""price""),IFERROR(GOOGLEFINANCE(""CURRENCY:""&amp;AH21&amp;""""),IFERROR(INDEX(YAHOO_STOCK(TRIM(AH21), $G$2),0,1),INDEX(IMPORTHTML(CONCAT(""https://coinmarketcap.com/currencies/"",AG21),""table"",1),1,2)))))"),"")</f>
        <v/>
      </c>
      <c r="AL21" s="14" t="str">
        <f>IFERROR(__xludf.DUMMYFUNCTION("IF(ISBLANK(AH21),"""",IFERROR(SPARKLINE(INDEX(GOOGLEFINANCE(AH21,""price"",TODAY()-$AL$2,TODAY()),,2),{""charttype"",""column"";""color"",""17a7e0""}),""""))"),"")</f>
        <v/>
      </c>
      <c r="AM21" s="50" t="str">
        <f>IFERROR(__xludf.DUMMYFUNCTION("IFNA(IFERROR(IF(AH21="""","""",GOOGLEFINANCE(AH21,""changepct"")/100),(GOOGLEFINANCE(AH21)-(INDEX(GOOGLEFINANCE(""CURRENCY:""&amp;AH21&amp;"""",""price"",TODAY()-1),2,2)))/(INDEX(GOOGLEFINANCE(""CURRENCY:""&amp;AH21&amp;"""",""price"",TODAY()-1),2,2))),)"),"")</f>
        <v/>
      </c>
      <c r="AN21" s="96" t="str">
        <f>IFERROR(__xludf.DUMMYFUNCTION("IFNA(IFERROR(IF(AH21="""","""",GOOGLEFINANCE(AH21,""change"")*AI21),(GOOGLEFINANCE(AH21)-(INDEX(GOOGLEFINANCE(""CURRENCY:""&amp;AH21&amp;"""",""price"",TODAY()-1),2,2)))*AI21),"""")"),"")</f>
        <v/>
      </c>
      <c r="AO21" s="96" t="str">
        <f>IF(ISBLANK(AH21),"",IFERROR(((AI21-SUMIFS(Transactions!I:I,Transactions!H:H,"Crypto Interest",Transactions!D:D,AH21))*AJ21),""))</f>
        <v/>
      </c>
      <c r="AP21" s="96" t="str">
        <f t="shared" si="16"/>
        <v/>
      </c>
      <c r="AQ21" s="50" t="str">
        <f t="shared" si="17"/>
        <v/>
      </c>
      <c r="AR21" s="96" t="str">
        <f t="shared" si="18"/>
        <v/>
      </c>
      <c r="AS21" s="96" t="str">
        <f>IF(ISBLANK(AH21),"",SUMIFS(Transactions!$X$3:$X149,Transactions!$H$3:$H149,"Sell",Transactions!$D$3:$D149,AH21))</f>
        <v/>
      </c>
      <c r="AT21" s="96" t="str">
        <f t="shared" si="19"/>
        <v/>
      </c>
      <c r="AU21" s="50" t="str">
        <f>IFERROR(__xludf.DUMMYFUNCTION("IF(ISBLANK(AH21),"""",IFERROR((GOOGLEFINANCE(AH21,""price"")/INDEX(GOOGLEFINANCE(AH21,""price"",DATEVALUE(TODAY()-$AU$2) ),2,2)-1),""""))"),"")</f>
        <v/>
      </c>
      <c r="AW21" s="50" t="str">
        <f>IFERROR(__xludf.DUMMYFUNCTION("IF(ISBLANK(AH21),"""",IFERROR((GOOGLEFINANCE($AW$2,""price"")/INDEX(GOOGLEFINANCE($AW$2,""price"",DATEVALUE(TODAY()-$AU$2) ),2,2)-1),""""))"),"")</f>
        <v/>
      </c>
      <c r="AY21" s="50" t="str">
        <f t="shared" si="20"/>
        <v/>
      </c>
      <c r="AZ21" s="50" t="str">
        <f t="shared" si="21"/>
        <v/>
      </c>
      <c r="BA21" s="14" t="str">
        <f t="shared" si="22"/>
        <v>0,1%</v>
      </c>
      <c r="BB21" s="14" t="str">
        <f t="shared" si="23"/>
        <v/>
      </c>
      <c r="BC21" s="14" t="str">
        <f>IF(ISBLANK(AH21),"",IFERROR(VLOOKUP(AH21,Transactions!D:F,3,0)))</f>
        <v/>
      </c>
      <c r="BD21" s="50" t="str">
        <f t="shared" si="24"/>
        <v/>
      </c>
      <c r="BE21" s="50" t="str">
        <f t="shared" si="25"/>
        <v/>
      </c>
      <c r="BF21" s="14" t="str">
        <f t="shared" si="26"/>
        <v/>
      </c>
      <c r="BG21" s="180" t="str">
        <f>IF(ISBLANK(AH21),"",IFERROR(VLOOKUP(AH21,Transactions!D:G,4,0)))</f>
        <v/>
      </c>
    </row>
    <row r="22">
      <c r="A22" s="14" t="str">
        <f t="shared" ref="A22:C22" si="44">AG22</f>
        <v/>
      </c>
      <c r="B22" s="14" t="str">
        <f t="shared" si="44"/>
        <v/>
      </c>
      <c r="C22" s="175" t="str">
        <f t="shared" si="44"/>
        <v/>
      </c>
      <c r="D22" s="176" t="str">
        <f>IFERROR(__xludf.DUMMYFUNCTION("IF(ISBLANK(B22),"""",IFERROR(IF(OR(AF22=""GPB"",AF22=""ZAR""),IF(AF22=Dashboard!$L$1,AJ22,(AJ22*GOOGLEFINANCE(""CURRENCY:""&amp;AF22&amp;""""&amp;Dashboard!$L$1&amp;""""))/100),IF(AF22=Dashboard!$L$1,AJ22,AJ22*GOOGLEFINANCE(""CURRENCY:""&amp;AF22&amp;""""&amp;Dashboard!$L$1&amp;""""))),"&amp;"AJ22))"),"")</f>
        <v/>
      </c>
      <c r="E22" s="177" t="str">
        <f>IFERROR(__xludf.DUMMYFUNCTION("IFERROR(IF(OR(AF22=""GBP"",AF22=""ZAR""),IF(B22="""","""",IF(AF22=Dashboard!$L$1,AK22,AK22*GOOGLEFINANCE(""CURRENCY:""&amp;AF22&amp;""""&amp;Dashboard!$L$1&amp;"""")))/100,If(B22="""","""",IF(AF22=Dashboard!$L$1,AK22,AK22*GOOGLEFINANCE(""CURRENCY:""&amp;AF22&amp;""""&amp;Dashboard!$"&amp;"L$1&amp;"""")))),AK22)"),"")</f>
        <v/>
      </c>
      <c r="F22" s="145">
        <f>IFERROR(__xludf.DUMMYFUNCTION(" E22 * GOOGLEFINANCE(""CURRENCY:USDEUR"") "),0.0)</f>
        <v>0</v>
      </c>
      <c r="G22" s="96" t="str">
        <f>IFERROR(__xludf.DUMMYFUNCTION("IF(ISBLANK(B22),"""",IFERROR(SPARKLINE(INDEX(GOOGLEFINANCE(B22,""price"",TODAY()-$G$2,TODAY()),,2),{""charttype"",""column"";""color"",""17a7e0""}),""""))"),"")</f>
        <v/>
      </c>
      <c r="H22" s="50" t="str">
        <f t="shared" si="3"/>
        <v/>
      </c>
      <c r="I22" s="96" t="str">
        <f>IFERROR(__xludf.DUMMYFUNCTION("IF(ISBLANK(B22),"""",IFERROR(IF(OR(AF22=""GPB"",AF22=""ZAR""),IF(AF22=Dashboard!$L$1,AN22,(AN22*GOOGLEFINANCE(""CURRENCY:""&amp;AF22&amp;""""&amp;Dashboard!$L$1&amp;""""))/100),IF(AF22=Dashboard!$L$1,AN22,AN22*GOOGLEFINANCE(""CURRENCY:""&amp;AF22&amp;""""&amp;Dashboard!$L$1&amp;""""))),"&amp;"AN22))"),"")</f>
        <v/>
      </c>
      <c r="J22" s="178" t="str">
        <f>IF(ISBLANK(B22),"",IFERROR(((C22-SUMIFS(Transactions!I:I,Transactions!H:H,"Crypto Interest",Transactions!D:D,B22))*D22),""))</f>
        <v/>
      </c>
      <c r="K22" s="178" t="str">
        <f t="shared" si="4"/>
        <v/>
      </c>
      <c r="L22" s="145">
        <f>-SUMIFS(Transactions!$M$3:$M149,Transactions!$H$3:$H149,"Buy",Transactions!$D$3:$D149,B22)</f>
        <v>0</v>
      </c>
      <c r="M22" s="145">
        <f>IF(ISBLANK(AG22),"",SUMIFS(Transactions!$M$3:$M149,Transactions!$H$3:$H149,"Dividend",Transactions!$D$3:$D149,B22))</f>
        <v>0</v>
      </c>
      <c r="N22" s="145" t="str">
        <f>IF(ISBLANK(AH22),"",SUMIFS(Transactions!$M$3:$M149,Transactions!$H$3:$H149,"Sell",Transactions!$D$3:$D149,B22))</f>
        <v/>
      </c>
      <c r="O22" s="50" t="str">
        <f t="shared" si="5"/>
        <v/>
      </c>
      <c r="P22" s="178" t="str">
        <f t="shared" si="6"/>
        <v/>
      </c>
      <c r="Q22" s="178" t="str">
        <f>IFERROR(__xludf.DUMMYFUNCTION("IF(ISBLANK(B22),"""",IFERROR(IF(OR(AF22=""GPB"",AF22=""ZAR""),IF(AF22=Dashboard!$L$1,AS22,(AS22*GOOGLEFINANCE(""CURRENCY:""&amp;AF22&amp;""""&amp;Dashboard!$L$1&amp;""""))/100),IF(AF22=Dashboard!$L$1,AS22,AS22*GOOGLEFINANCE(""CURRENCY:""&amp;AF22&amp;""""&amp;Dashboard!$L$1&amp;""""))),"&amp;"AS22))"),"")</f>
        <v/>
      </c>
      <c r="R22" s="178" t="str">
        <f t="shared" si="7"/>
        <v/>
      </c>
      <c r="S22" s="50" t="str">
        <f>IFERROR(__xludf.DUMMYFUNCTION("IF(ISBLANK(B22),"""",IFERROR((GOOGLEFINANCE(B22,""price"")/INDEX(GOOGLEFINANCE(B22,""price"",DATEVALUE(TODAY()-$S$2) ),2,2)-1),""""))"),"")</f>
        <v/>
      </c>
      <c r="U22" s="50" t="str">
        <f>IFERROR(__xludf.DUMMYFUNCTION("IF(ISBLANK(B22),"""",IFERROR((GOOGLEFINANCE($U$2,""price"")/INDEX(GOOGLEFINANCE($U$2,""price"",DATEVALUE(TODAY()-$S$2) ),2,2)-1),""""))"),"")</f>
        <v/>
      </c>
      <c r="W22" s="50" t="str">
        <f t="shared" si="8"/>
        <v/>
      </c>
      <c r="X22" s="50" t="str">
        <f t="shared" si="9"/>
        <v/>
      </c>
      <c r="Y22" s="179">
        <v>0.0</v>
      </c>
      <c r="Z22" s="50" t="str">
        <f t="shared" si="10"/>
        <v/>
      </c>
      <c r="AA22" s="14" t="str">
        <f t="shared" si="11"/>
        <v/>
      </c>
      <c r="AB22" s="50" t="str">
        <f t="shared" si="12"/>
        <v/>
      </c>
      <c r="AC22" s="179" t="str">
        <f t="shared" si="13"/>
        <v/>
      </c>
      <c r="AD22" s="50" t="str">
        <f t="shared" si="14"/>
        <v/>
      </c>
      <c r="AE22" s="180" t="str">
        <f t="shared" si="15"/>
        <v/>
      </c>
      <c r="AF22" s="14" t="str">
        <f t="array" ref="AF22">IFERROR(IF(ISBLANK(AH22),"",IF(VLOOKUP(AH22,Transactions!D:F,3,0)="Stablecoin",AH22,INDEX(Transactions!$B$3:$B149,MATCH(AH22,Transactions!$D$3:$D149,0),0))))</f>
        <v/>
      </c>
      <c r="AG22" s="14" t="str">
        <f>IF(ISBLANK(AH22),"",VLOOKUP(AH22,Transactions!D:E,2,0))</f>
        <v/>
      </c>
      <c r="AH22" s="14"/>
      <c r="AI22" s="146" t="str">
        <f>IF(ISBLANK(AH22),"",IF(
SUMIFS(Transactions!$I$3:$I149,Transactions!$H$3:$H149,"Buy",Transactions!$F$3:$F149,"Stock",Transactions!$D$3:$D149,AH22)
+SUMIFS(Transactions!$I$3:$I149,Transactions!$H$3:$H149,"DRIP",Transactions!$F$3:$F149,"Stock",Transactions!$D$3:$D149,AH22)
+SUMIFS(Transactions!$I$3:$I149,Transactions!$H$3:$H149,"Transfer Deposit",Transactions!$F$3:$F149,"Stock",Transactions!$D$3:$D149,AH22)
+SUMIFS(Transactions!$I$3:$I149,Transactions!$H$3:$H149,"Buy",Transactions!$F$3:$F149,"ETF",Transactions!$D$3:$D149,AH22)
+SUMIFS(Transactions!$I$3:$I149,Transactions!$H$3:$H149,"DRIP",Transactions!$F$3:$F149,"ETF",Transactions!$D$3:$D149,AH22)
+SUMIFS(Transactions!$I$3:$I149,Transactions!$H$3:$H149,"Transfer Deposit",Transactions!$F$3:$F149,"ETF",Transactions!$D$3:$D149,AH22)
+SUMIFS(Transactions!$I$3:$I149,Transactions!$H$3:$H149,"Buy",Transactions!$F$3:$F149,"Commodity",Transactions!$D$3:$D149,AH22)
+SUMIFS(Transactions!$I$3:$I149,Transactions!$H$3:$H149,"DRIP",Transactions!$F$3:$F149,"Commodity",Transactions!$D$3:$D149,AH22)
+SUMIFS(Transactions!$I$3:$I149,Transactions!$H$3:$H149,"Transfer Deposit",Transactions!$F$3:$F149,"Commodity",Transactions!$D$3:$D149,AH22)
+SUMIFS(Transactions!$I$3:$I149,Transactions!$H$3:$H149,"Buy",Transactions!$F$3:$F149,"Managed Fund",Transactions!$D$3:$D149,AH22)
+SUMIFS(Transactions!$I$3:$I149,Transactions!$H$3:$H149,"DRIP",Transactions!$F$3:$F149,"Managed Fund",Transactions!$D$3:$D149,AH22)
+SUMIFS(Transactions!$I$3:$I149,Transactions!$H$3:$H149,"Transfer Deposit",Transactions!$F$3:$F149,"Managed Fund",Transactions!$D$3:$D149,AH22)
+SUMIFS(Transactions!$I$3:$I149,Transactions!$H$3:$H149,"Buy",Transactions!$F$3:$F149,"REIT",Transactions!$D$3:$D149,AH22)
+SUMIFS(Transactions!$I$3:$I149,Transactions!$H$3:$H149,"DRIP",Transactions!$F$3:$F149,"REIT",Transactions!$D$3:$D149,AH22)
+SUMIFS(Transactions!$I$3:$I149,Transactions!$H$3:$H149,"Transfer Deposit",Transactions!$F$3:$F149,"REIT",Transactions!$D$3:$D149,AH22)
-SUMIFS(Transactions!$I$3:$I149,Transactions!$H$3:$H149,"Sell",Transactions!$F$3:$F149,"Stock",Transactions!$D$3:$D149,AH22)
-SUMIFS(Transactions!$I$3:$I149,Transactions!$H$3:$H149,"Transfer Send",Transactions!$F$3:$F149,"Stock",Transactions!$D$3:$D149,AH22)
-SUMIFS(Transactions!$I$3:$I149,Transactions!$H$3:$H149,"Sell",Transactions!$F$3:$F149,"ETF",Transactions!$D$3:$D149,AH22)
-SUMIFS(Transactions!$I$3:$I149,Transactions!$H$3:$H149,"Transfer Send",Transactions!$F$3:$F149,"ETF",Transactions!$D$3:$D149,AH22)
-SUMIFS(Transactions!$I$3:$I149,Transactions!$H$3:$H149,"Sell",Transactions!$F$3:$F149,"Commodity",Transactions!$D$3:$D149,AH22)
-SUMIFS(Transactions!$I$3:$I149,Transactions!$H$3:$H149,"Transfer Send",Transactions!$F$3:$F149,"Commodity",Transactions!$D$3:$D149,AH22)
-SUMIFS(Transactions!$I$3:$I149,Transactions!$H$3:$H149,"Sell",Transactions!$F$3:$F149,"Managed Fund",Transactions!$D$3:$D149,AH22)
-SUMIFS(Transactions!$I$3:$I149,Transactions!$H$3:$H149,"Transfer Send",Transactions!$F$3:$F149,"Managed Fund",Transactions!$D$3:$D149,AH22)
-SUMIFS(Transactions!$I$3:$I149,Transactions!$H$3:$H149,"Sell",Transactions!$F$3:$F149,"REIT",Transactions!$D$3:$D149,AH22)
-SUMIFS(Transactions!$I$3:$I149,Transactions!$H$3:$H149,"Transfer Send",Transactions!$F$3:$F149,"REIT",Transactions!$D$3:$D149,AH22)
+SUMIFS(Transactions!$I$3:$I149,Transactions!$H$3:$H149,"Buy",Transactions!$F$3:$F149,"Crypto",Transactions!$D$3:$D149,AH22)
+SUMIFS(Transactions!$I$3:$I149,Transactions!$H$3:$H149,"Crypto Interest",Transactions!$F$3:$F149,"Crypto",Transactions!$D$3:$D149,AH22)
+SUMIFS(Transactions!$I$3:$I149,Transactions!$H$3:$H149,"Transfer Deposit",Transactions!$F$3:$F149,"Crypto",Transactions!$D$3:$D149,AH22)
-SUMIFS(Transactions!$I$3:$I149,Transactions!$H$3:$H149,"Transfer Send",Transactions!$F$3:$F149,"Crypto",Transactions!$D$3:$D149,AH22)
-SUMIFS(Transactions!$I$3:$I149,Transactions!$H$3:$H149,"Sell",Transactions!$F$3:$F149,"Crypto",Transactions!$D$3:$D149,AH22)
+SUMIFS(Transactions!$I$3:$I149,Transactions!$H$3:$H149,"Buy",Transactions!$F$3:$F149,"Stablecoin",Transactions!$D$3:$D149,AH22)
+SUMIFS(Transactions!$I$3:$I149,Transactions!$H$3:$H149,"Crypto Interest",Transactions!$F$3:$F149,"Stablecoin",Transactions!$D$3:$D149,AH22)
+SUMIFS(Transactions!$I$3:$I149,Transactions!$H$3:$H149,"Transfer Deposit",Transactions!$F$3:$F149,"Stablecoin",Transactions!$D$3:$D149,AH22)
-SUMIFS(Transactions!$I$3:$I149,Transactions!$H$3:$H149,"Transfer Send",Transactions!$F$3:$F149,"Stablecoin",Transactions!$D$3:$D149,AH22)
-SUMIFS(Transactions!$I$3:$I149,Transactions!$H$3:$H149,"Sell",Transactions!$F$3:$F149,"Stablecoin",Transactions!$D$3:$D149,AH22)
-SUMIFS(Transactions!$M$3:$M149,Transactions!$H$3:$H149,"Buy",Transactions!$B$3:$B149,AH22)=0,"Sold All",
SUMIFS(Transactions!$I$3:$I149,Transactions!$H$3:$H149,"Buy",Transactions!$F$3:$F149,"Stock",Transactions!$D$3:$D149,AH22)
+SUMIFS(Transactions!$I$3:$I149,Transactions!$H$3:$H149,"DRIP",Transactions!$F$3:$F149,"Stock",Transactions!$D$3:$D149,AH22)
+SUMIFS(Transactions!$I$3:$I149,Transactions!$H$3:$H149,"Transfer Deposit",Transactions!$F$3:$F149,"Stock",Transactions!$D$3:$D149,AH22)
+SUMIFS(Transactions!$I$3:$I149,Transactions!$H$3:$H149,"Buy",Transactions!$F$3:$F149,"ETF",Transactions!$D$3:$D149,AH22)
+SUMIFS(Transactions!$I$3:$I149,Transactions!$H$3:$H149,"DRIP",Transactions!$F$3:$F149,"ETF",Transactions!$D$3:$D149,AH22)
+SUMIFS(Transactions!$I$3:$I149,Transactions!$H$3:$H149,"Transfer Deposit",Transactions!$F$3:$F149,"ETF",Transactions!$D$3:$D149,AH22)
+SUMIFS(Transactions!$I$3:$I149,Transactions!$H$3:$H149,"Buy",Transactions!$F$3:$F149,"Commodity",Transactions!$D$3:$D149,AH22)
+SUMIFS(Transactions!$I$3:$I149,Transactions!$H$3:$H149,"DRIP",Transactions!$F$3:$F149,"Commodity",Transactions!$D$3:$D149,AH22)
+SUMIFS(Transactions!$I$3:$I149,Transactions!$H$3:$H149,"Transfer Deposit",Transactions!$F$3:$F149,"Commodity",Transactions!$D$3:$D149,AH22)
+SUMIFS(Transactions!$I$3:$I149,Transactions!$H$3:$H149,"Buy",Transactions!$F$3:$F149,"Managed Fund",Transactions!$D$3:$D149,AH22)
+SUMIFS(Transactions!$I$3:$I149,Transactions!$H$3:$H149,"DRIP",Transactions!$F$3:$F149,"Managed Fund",Transactions!$D$3:$D149,AH22)
+SUMIFS(Transactions!$I$3:$I149,Transactions!$H$3:$H149,"Transfer Deposit",Transactions!$F$3:$F149,"Managed Fund",Transactions!$D$3:$D149,AH22)
+SUMIFS(Transactions!$I$3:$I149,Transactions!$H$3:$H149,"Buy",Transactions!$F$3:$F149,"REIT",Transactions!$D$3:$D149,AH22)
+SUMIFS(Transactions!$I$3:$I149,Transactions!$H$3:$H149,"DRIP",Transactions!$F$3:$F149,"REIT",Transactions!$D$3:$D149,AH22)
+SUMIFS(Transactions!$I$3:$I149,Transactions!$H$3:$H149,"Transfer Deposit",Transactions!$F$3:$F149,"REIT",Transactions!$D$3:$D149,AH22)
-SUMIFS(Transactions!$I$3:$I149,Transactions!$H$3:$H149,"Sell",Transactions!$F$3:$F149,"Stock",Transactions!$D$3:$D149,AH22)
-SUMIFS(Transactions!$I$3:$I149,Transactions!$H$3:$H149,"Transfer Send",Transactions!$F$3:$F149,"Stock",Transactions!$D$3:$D149,AH22)
-SUMIFS(Transactions!$I$3:$I149,Transactions!$H$3:$H149,"Sell",Transactions!$F$3:$F149,"ETF",Transactions!$D$3:$D149,AH22)
-SUMIFS(Transactions!$I$3:$I149,Transactions!$H$3:$H149,"Transfer Send",Transactions!$F$3:$F149,"ETF",Transactions!$D$3:$D149,AH22)
-SUMIFS(Transactions!$I$3:$I149,Transactions!$H$3:$H149,"Sell",Transactions!$F$3:$F149,"Commodity",Transactions!$D$3:$D149,AH22)
-SUMIFS(Transactions!$I$3:$I149,Transactions!$H$3:$H149,"Transfer Send",Transactions!$F$3:$F149,"Commodity",Transactions!$D$3:$D149,AH22)
-SUMIFS(Transactions!$I$3:$I149,Transactions!$H$3:$H149,"Sell",Transactions!$F$3:$F149,"Managed Fund",Transactions!$D$3:$D149,AH22)
-SUMIFS(Transactions!$I$3:$I149,Transactions!$H$3:$H149,"Transfer Send",Transactions!$F$3:$F149,"Managed Fund",Transactions!$D$3:$D149,AH22)
-SUMIFS(Transactions!$I$3:$I149,Transactions!$H$3:$H149,"Sell",Transactions!$F$3:$F149,"REIT",Transactions!$D$3:$D149,AH22)
-SUMIFS(Transactions!$I$3:$I149,Transactions!$H$3:$H149,"Transfer Send",Transactions!$F$3:$F149,"REIT",Transactions!$D$3:$D149,AH22)
+SUMIFS(Transactions!$I$3:$I149,Transactions!$H$3:$H149,"Buy",Transactions!$F$3:$F149,"Crypto",Transactions!$D$3:$D149,AH22)
+SUMIFS(Transactions!$I$3:$I149,Transactions!$H$3:$H149,"Crypto Interest",Transactions!$F$3:$F149,"Crypto",Transactions!$D$3:$D149,AH22)
+SUMIFS(Transactions!$I$3:$I149,Transactions!$H$3:$H149,"Transfer Deposit",Transactions!$F$3:$F149,"Crypto",Transactions!$D$3:$D149,AH22)
-SUMIFS(Transactions!$I$3:$I149,Transactions!$H$3:$H149,"Transfer Send",Transactions!$F$3:$F149,"Crypto",Transactions!$D$3:$D149,AH22)
-SUMIFS(Transactions!$I$3:$I149,Transactions!$H$3:$H149,"Sell",Transactions!$F$3:$F149,"Crypto",Transactions!$D$3:$D149,AH22)
+SUMIFS(Transactions!$I$3:$I149,Transactions!$H$3:$H149,"Buy",Transactions!$F$3:$F149,"Stablecoin",Transactions!$D$3:$D149,AH22)
+SUMIFS(Transactions!$I$3:$I149,Transactions!$H$3:$H149,"Crypto Interest",Transactions!$F$3:$F149,"Stablecoin",Transactions!$D$3:$D149,AH22)
+SUMIFS(Transactions!$I$3:$I149,Transactions!$H$3:$H149,"Transfer Deposit",Transactions!$F$3:$F149,"Stablecoin",Transactions!$D$3:$D149,AH22)
-SUMIFS(Transactions!$I$3:$I149,Transactions!$H$3:$H149,"Transfer Send",Transactions!$F$3:$F149,"Stablecoin",Transactions!$D$3:$D149,AH22)
-SUMIFS(Transactions!$I$3:$I149,Transactions!$H$3:$H149,"Sell",Transactions!$F$3:$F149,"Stablecoin",Transactions!$D$3:$D149,AH22)
-SUMIFS(Transactions!$M$3:$M149,Transactions!$H$3:$H149,"Buy",Transactions!$B$3:$B149,AH22)))</f>
        <v/>
      </c>
      <c r="AJ22" s="181" t="str">
        <f>IFERROR(__xludf.DUMMYFUNCTION("IF(ISBLANK(AH22),"""",VLOOKUP(9^99,FILTER({ROW(Transactions!P:P),Transactions!P:P},Transactions!D:D=AH22),2))"),"")</f>
        <v/>
      </c>
      <c r="AK22" s="181" t="str">
        <f>IFERROR(__xludf.DUMMYFUNCTION("IF(ISBLANK(AH22),"""",IFERROR(GOOGLEFINANCE(AH22,""price""),IFERROR(GOOGLEFINANCE(""CURRENCY:""&amp;AH22&amp;""""),IFERROR(INDEX(YAHOO_STOCK(TRIM(AH22), $G$2),0,1),INDEX(IMPORTHTML(CONCAT(""https://coinmarketcap.com/currencies/"",AG22),""table"",1),1,2)))))"),"")</f>
        <v/>
      </c>
      <c r="AL22" s="14" t="str">
        <f>IFERROR(__xludf.DUMMYFUNCTION("IF(ISBLANK(AH22),"""",IFERROR(SPARKLINE(INDEX(GOOGLEFINANCE(AH22,""price"",TODAY()-$AL$2,TODAY()),,2),{""charttype"",""column"";""color"",""17a7e0""}),""""))"),"")</f>
        <v/>
      </c>
      <c r="AM22" s="50" t="str">
        <f>IFERROR(__xludf.DUMMYFUNCTION("IFNA(IFERROR(IF(AH22="""","""",GOOGLEFINANCE(AH22,""changepct"")/100),(GOOGLEFINANCE(AH22)-(INDEX(GOOGLEFINANCE(""CURRENCY:""&amp;AH22&amp;"""",""price"",TODAY()-1),2,2)))/(INDEX(GOOGLEFINANCE(""CURRENCY:""&amp;AH22&amp;"""",""price"",TODAY()-1),2,2))),)"),"")</f>
        <v/>
      </c>
      <c r="AN22" s="96" t="str">
        <f>IFERROR(__xludf.DUMMYFUNCTION("IFNA(IFERROR(IF(AH22="""","""",GOOGLEFINANCE(AH22,""change"")*AI22),(GOOGLEFINANCE(AH22)-(INDEX(GOOGLEFINANCE(""CURRENCY:""&amp;AH22&amp;"""",""price"",TODAY()-1),2,2)))*AI22),"""")"),"")</f>
        <v/>
      </c>
      <c r="AO22" s="96" t="str">
        <f>IF(ISBLANK(AH22),"",IFERROR(((AI22-SUMIFS(Transactions!I:I,Transactions!H:H,"Crypto Interest",Transactions!D:D,AH22))*AJ22),""))</f>
        <v/>
      </c>
      <c r="AP22" s="96" t="str">
        <f t="shared" si="16"/>
        <v/>
      </c>
      <c r="AQ22" s="50" t="str">
        <f t="shared" si="17"/>
        <v/>
      </c>
      <c r="AR22" s="96" t="str">
        <f t="shared" si="18"/>
        <v/>
      </c>
      <c r="AS22" s="96" t="str">
        <f>IF(ISBLANK(AH22),"",SUMIFS(Transactions!$X$3:$X149,Transactions!$H$3:$H149,"Sell",Transactions!$D$3:$D149,AH22))</f>
        <v/>
      </c>
      <c r="AT22" s="96" t="str">
        <f t="shared" si="19"/>
        <v/>
      </c>
      <c r="AU22" s="50" t="str">
        <f>IFERROR(__xludf.DUMMYFUNCTION("IF(ISBLANK(AH22),"""",IFERROR((GOOGLEFINANCE(AH22,""price"")/INDEX(GOOGLEFINANCE(AH22,""price"",DATEVALUE(TODAY()-$AU$2) ),2,2)-1),""""))"),"")</f>
        <v/>
      </c>
      <c r="AW22" s="50" t="str">
        <f>IFERROR(__xludf.DUMMYFUNCTION("IF(ISBLANK(AH22),"""",IFERROR((GOOGLEFINANCE($AW$2,""price"")/INDEX(GOOGLEFINANCE($AW$2,""price"",DATEVALUE(TODAY()-$AU$2) ),2,2)-1),""""))"),"")</f>
        <v/>
      </c>
      <c r="AY22" s="50" t="str">
        <f t="shared" si="20"/>
        <v/>
      </c>
      <c r="AZ22" s="50" t="str">
        <f t="shared" si="21"/>
        <v/>
      </c>
      <c r="BA22" s="50">
        <f t="shared" si="22"/>
        <v>0</v>
      </c>
      <c r="BB22" s="14" t="str">
        <f t="shared" si="23"/>
        <v/>
      </c>
      <c r="BC22" s="14" t="str">
        <f>IF(ISBLANK(AH22),"",IFERROR(VLOOKUP(AH22,Transactions!D:F,3,0)))</f>
        <v/>
      </c>
      <c r="BD22" s="50" t="str">
        <f t="shared" si="24"/>
        <v/>
      </c>
      <c r="BE22" s="50" t="str">
        <f t="shared" si="25"/>
        <v/>
      </c>
      <c r="BF22" s="14" t="str">
        <f t="shared" si="26"/>
        <v/>
      </c>
      <c r="BG22" s="180" t="str">
        <f>IF(ISBLANK(AH22),"",IFERROR(VLOOKUP(AH22,Transactions!D:G,4,0)))</f>
        <v/>
      </c>
    </row>
    <row r="23">
      <c r="A23" s="14" t="str">
        <f t="shared" ref="A23:C23" si="45">AG23</f>
        <v/>
      </c>
      <c r="B23" s="14" t="str">
        <f t="shared" si="45"/>
        <v/>
      </c>
      <c r="C23" s="175" t="str">
        <f t="shared" si="45"/>
        <v/>
      </c>
      <c r="D23" s="176" t="str">
        <f>IFERROR(__xludf.DUMMYFUNCTION("IF(ISBLANK(B23),"""",IFERROR(IF(OR(AF23=""GPB"",AF23=""ZAR""),IF(AF23=Dashboard!$L$1,AJ23,(AJ23*GOOGLEFINANCE(""CURRENCY:""&amp;AF23&amp;""""&amp;Dashboard!$L$1&amp;""""))/100),IF(AF23=Dashboard!$L$1,AJ23,AJ23*GOOGLEFINANCE(""CURRENCY:""&amp;AF23&amp;""""&amp;Dashboard!$L$1&amp;""""))),"&amp;"AJ23))"),"")</f>
        <v/>
      </c>
      <c r="E23" s="177" t="str">
        <f>IFERROR(__xludf.DUMMYFUNCTION("IFERROR(IF(OR(AF23=""GBP"",AF23=""ZAR""),IF(B23="""","""",IF(AF23=Dashboard!$L$1,AK23,AK23*GOOGLEFINANCE(""CURRENCY:""&amp;AF23&amp;""""&amp;Dashboard!$L$1&amp;"""")))/100,If(B23="""","""",IF(AF23=Dashboard!$L$1,AK23,AK23*GOOGLEFINANCE(""CURRENCY:""&amp;AF23&amp;""""&amp;Dashboard!$"&amp;"L$1&amp;"""")))),AK23)"),"")</f>
        <v/>
      </c>
      <c r="F23" s="145">
        <f>IFERROR(__xludf.DUMMYFUNCTION(" E23 * GOOGLEFINANCE(""CURRENCY:USDEUR"") "),0.0)</f>
        <v>0</v>
      </c>
      <c r="G23" s="96" t="str">
        <f>IFERROR(__xludf.DUMMYFUNCTION("IF(ISBLANK(B23),"""",IFERROR(SPARKLINE(INDEX(GOOGLEFINANCE(B23,""price"",TODAY()-$G$2,TODAY()),,2),{""charttype"",""column"";""color"",""17a7e0""}),""""))"),"")</f>
        <v/>
      </c>
      <c r="H23" s="50" t="str">
        <f t="shared" si="3"/>
        <v/>
      </c>
      <c r="I23" s="96" t="str">
        <f>IFERROR(__xludf.DUMMYFUNCTION("IF(ISBLANK(B23),"""",IFERROR(IF(OR(AF23=""GPB"",AF23=""ZAR""),IF(AF23=Dashboard!$L$1,AN23,(AN23*GOOGLEFINANCE(""CURRENCY:""&amp;AF23&amp;""""&amp;Dashboard!$L$1&amp;""""))/100),IF(AF23=Dashboard!$L$1,AN23,AN23*GOOGLEFINANCE(""CURRENCY:""&amp;AF23&amp;""""&amp;Dashboard!$L$1&amp;""""))),"&amp;"AN23))"),"")</f>
        <v/>
      </c>
      <c r="J23" s="178" t="str">
        <f>IF(ISBLANK(B23),"",IFERROR(((C23-SUMIFS(Transactions!I:I,Transactions!H:H,"Crypto Interest",Transactions!D:D,B23))*D23),""))</f>
        <v/>
      </c>
      <c r="K23" s="178" t="str">
        <f t="shared" si="4"/>
        <v/>
      </c>
      <c r="L23" s="145">
        <f>-SUMIFS(Transactions!$M$3:$M149,Transactions!$H$3:$H149,"Buy",Transactions!$D$3:$D149,B23)</f>
        <v>0</v>
      </c>
      <c r="M23" s="145">
        <f>IF(ISBLANK(AG23),"",SUMIFS(Transactions!$M$3:$M149,Transactions!$H$3:$H149,"Dividend",Transactions!$D$3:$D149,B23))</f>
        <v>0</v>
      </c>
      <c r="N23" s="145" t="str">
        <f>IF(ISBLANK(AH23),"",SUMIFS(Transactions!$M$3:$M149,Transactions!$H$3:$H149,"Sell",Transactions!$D$3:$D149,B23))</f>
        <v/>
      </c>
      <c r="O23" s="50" t="str">
        <f t="shared" si="5"/>
        <v/>
      </c>
      <c r="P23" s="178" t="str">
        <f t="shared" si="6"/>
        <v/>
      </c>
      <c r="Q23" s="178" t="str">
        <f>IFERROR(__xludf.DUMMYFUNCTION("IF(ISBLANK(B23),"""",IFERROR(IF(OR(AF23=""GPB"",AF23=""ZAR""),IF(AF23=Dashboard!$L$1,AS23,(AS23*GOOGLEFINANCE(""CURRENCY:""&amp;AF23&amp;""""&amp;Dashboard!$L$1&amp;""""))/100),IF(AF23=Dashboard!$L$1,AS23,AS23*GOOGLEFINANCE(""CURRENCY:""&amp;AF23&amp;""""&amp;Dashboard!$L$1&amp;""""))),"&amp;"AS23))"),"")</f>
        <v/>
      </c>
      <c r="R23" s="178" t="str">
        <f t="shared" si="7"/>
        <v/>
      </c>
      <c r="S23" s="50" t="str">
        <f>IFERROR(__xludf.DUMMYFUNCTION("IF(ISBLANK(B23),"""",IFERROR((GOOGLEFINANCE(B23,""price"")/INDEX(GOOGLEFINANCE(B23,""price"",DATEVALUE(TODAY()-$S$2) ),2,2)-1),""""))"),"")</f>
        <v/>
      </c>
      <c r="U23" s="50" t="str">
        <f>IFERROR(__xludf.DUMMYFUNCTION("IF(ISBLANK(B23),"""",IFERROR((GOOGLEFINANCE($U$2,""price"")/INDEX(GOOGLEFINANCE($U$2,""price"",DATEVALUE(TODAY()-$S$2) ),2,2)-1),""""))"),"")</f>
        <v/>
      </c>
      <c r="W23" s="50" t="str">
        <f t="shared" si="8"/>
        <v/>
      </c>
      <c r="X23" s="50" t="str">
        <f t="shared" si="9"/>
        <v/>
      </c>
      <c r="Y23" s="179">
        <v>0.0</v>
      </c>
      <c r="Z23" s="50" t="str">
        <f t="shared" si="10"/>
        <v/>
      </c>
      <c r="AA23" s="14" t="str">
        <f t="shared" si="11"/>
        <v/>
      </c>
      <c r="AB23" s="50" t="str">
        <f t="shared" si="12"/>
        <v/>
      </c>
      <c r="AC23" s="179" t="str">
        <f t="shared" si="13"/>
        <v/>
      </c>
      <c r="AD23" s="50" t="str">
        <f t="shared" si="14"/>
        <v/>
      </c>
      <c r="AE23" s="180" t="str">
        <f t="shared" si="15"/>
        <v/>
      </c>
      <c r="AF23" s="14" t="str">
        <f t="array" ref="AF23">IFERROR(IF(ISBLANK(AH23),"",IF(VLOOKUP(AH23,Transactions!D:F,3,0)="Stablecoin",AH23,INDEX(Transactions!$B$3:$B149,MATCH(AH23,Transactions!$D$3:$D149,0),0))))</f>
        <v/>
      </c>
      <c r="AG23" s="14" t="str">
        <f>IF(ISBLANK(AH23),"",VLOOKUP(AH23,Transactions!D:E,2,0))</f>
        <v/>
      </c>
      <c r="AH23" s="14"/>
      <c r="AI23" s="146" t="str">
        <f>IF(ISBLANK(AH23),"",IF(
SUMIFS(Transactions!$I$3:$I149,Transactions!$H$3:$H149,"Buy",Transactions!$F$3:$F149,"Stock",Transactions!$D$3:$D149,AH23)
+SUMIFS(Transactions!$I$3:$I149,Transactions!$H$3:$H149,"DRIP",Transactions!$F$3:$F149,"Stock",Transactions!$D$3:$D149,AH23)
+SUMIFS(Transactions!$I$3:$I149,Transactions!$H$3:$H149,"Transfer Deposit",Transactions!$F$3:$F149,"Stock",Transactions!$D$3:$D149,AH23)
+SUMIFS(Transactions!$I$3:$I149,Transactions!$H$3:$H149,"Buy",Transactions!$F$3:$F149,"ETF",Transactions!$D$3:$D149,AH23)
+SUMIFS(Transactions!$I$3:$I149,Transactions!$H$3:$H149,"DRIP",Transactions!$F$3:$F149,"ETF",Transactions!$D$3:$D149,AH23)
+SUMIFS(Transactions!$I$3:$I149,Transactions!$H$3:$H149,"Transfer Deposit",Transactions!$F$3:$F149,"ETF",Transactions!$D$3:$D149,AH23)
+SUMIFS(Transactions!$I$3:$I149,Transactions!$H$3:$H149,"Buy",Transactions!$F$3:$F149,"Commodity",Transactions!$D$3:$D149,AH23)
+SUMIFS(Transactions!$I$3:$I149,Transactions!$H$3:$H149,"DRIP",Transactions!$F$3:$F149,"Commodity",Transactions!$D$3:$D149,AH23)
+SUMIFS(Transactions!$I$3:$I149,Transactions!$H$3:$H149,"Transfer Deposit",Transactions!$F$3:$F149,"Commodity",Transactions!$D$3:$D149,AH23)
+SUMIFS(Transactions!$I$3:$I149,Transactions!$H$3:$H149,"Buy",Transactions!$F$3:$F149,"Managed Fund",Transactions!$D$3:$D149,AH23)
+SUMIFS(Transactions!$I$3:$I149,Transactions!$H$3:$H149,"DRIP",Transactions!$F$3:$F149,"Managed Fund",Transactions!$D$3:$D149,AH23)
+SUMIFS(Transactions!$I$3:$I149,Transactions!$H$3:$H149,"Transfer Deposit",Transactions!$F$3:$F149,"Managed Fund",Transactions!$D$3:$D149,AH23)
+SUMIFS(Transactions!$I$3:$I149,Transactions!$H$3:$H149,"Buy",Transactions!$F$3:$F149,"REIT",Transactions!$D$3:$D149,AH23)
+SUMIFS(Transactions!$I$3:$I149,Transactions!$H$3:$H149,"DRIP",Transactions!$F$3:$F149,"REIT",Transactions!$D$3:$D149,AH23)
+SUMIFS(Transactions!$I$3:$I149,Transactions!$H$3:$H149,"Transfer Deposit",Transactions!$F$3:$F149,"REIT",Transactions!$D$3:$D149,AH23)
-SUMIFS(Transactions!$I$3:$I149,Transactions!$H$3:$H149,"Sell",Transactions!$F$3:$F149,"Stock",Transactions!$D$3:$D149,AH23)
-SUMIFS(Transactions!$I$3:$I149,Transactions!$H$3:$H149,"Transfer Send",Transactions!$F$3:$F149,"Stock",Transactions!$D$3:$D149,AH23)
-SUMIFS(Transactions!$I$3:$I149,Transactions!$H$3:$H149,"Sell",Transactions!$F$3:$F149,"ETF",Transactions!$D$3:$D149,AH23)
-SUMIFS(Transactions!$I$3:$I149,Transactions!$H$3:$H149,"Transfer Send",Transactions!$F$3:$F149,"ETF",Transactions!$D$3:$D149,AH23)
-SUMIFS(Transactions!$I$3:$I149,Transactions!$H$3:$H149,"Sell",Transactions!$F$3:$F149,"Commodity",Transactions!$D$3:$D149,AH23)
-SUMIFS(Transactions!$I$3:$I149,Transactions!$H$3:$H149,"Transfer Send",Transactions!$F$3:$F149,"Commodity",Transactions!$D$3:$D149,AH23)
-SUMIFS(Transactions!$I$3:$I149,Transactions!$H$3:$H149,"Sell",Transactions!$F$3:$F149,"Managed Fund",Transactions!$D$3:$D149,AH23)
-SUMIFS(Transactions!$I$3:$I149,Transactions!$H$3:$H149,"Transfer Send",Transactions!$F$3:$F149,"Managed Fund",Transactions!$D$3:$D149,AH23)
-SUMIFS(Transactions!$I$3:$I149,Transactions!$H$3:$H149,"Sell",Transactions!$F$3:$F149,"REIT",Transactions!$D$3:$D149,AH23)
-SUMIFS(Transactions!$I$3:$I149,Transactions!$H$3:$H149,"Transfer Send",Transactions!$F$3:$F149,"REIT",Transactions!$D$3:$D149,AH23)
+SUMIFS(Transactions!$I$3:$I149,Transactions!$H$3:$H149,"Buy",Transactions!$F$3:$F149,"Crypto",Transactions!$D$3:$D149,AH23)
+SUMIFS(Transactions!$I$3:$I149,Transactions!$H$3:$H149,"Crypto Interest",Transactions!$F$3:$F149,"Crypto",Transactions!$D$3:$D149,AH23)
+SUMIFS(Transactions!$I$3:$I149,Transactions!$H$3:$H149,"Transfer Deposit",Transactions!$F$3:$F149,"Crypto",Transactions!$D$3:$D149,AH23)
-SUMIFS(Transactions!$I$3:$I149,Transactions!$H$3:$H149,"Transfer Send",Transactions!$F$3:$F149,"Crypto",Transactions!$D$3:$D149,AH23)
-SUMIFS(Transactions!$I$3:$I149,Transactions!$H$3:$H149,"Sell",Transactions!$F$3:$F149,"Crypto",Transactions!$D$3:$D149,AH23)
+SUMIFS(Transactions!$I$3:$I149,Transactions!$H$3:$H149,"Buy",Transactions!$F$3:$F149,"Stablecoin",Transactions!$D$3:$D149,AH23)
+SUMIFS(Transactions!$I$3:$I149,Transactions!$H$3:$H149,"Crypto Interest",Transactions!$F$3:$F149,"Stablecoin",Transactions!$D$3:$D149,AH23)
+SUMIFS(Transactions!$I$3:$I149,Transactions!$H$3:$H149,"Transfer Deposit",Transactions!$F$3:$F149,"Stablecoin",Transactions!$D$3:$D149,AH23)
-SUMIFS(Transactions!$I$3:$I149,Transactions!$H$3:$H149,"Transfer Send",Transactions!$F$3:$F149,"Stablecoin",Transactions!$D$3:$D149,AH23)
-SUMIFS(Transactions!$I$3:$I149,Transactions!$H$3:$H149,"Sell",Transactions!$F$3:$F149,"Stablecoin",Transactions!$D$3:$D149,AH23)
-SUMIFS(Transactions!$M$3:$M149,Transactions!$H$3:$H149,"Buy",Transactions!$B$3:$B149,AH23)=0,"Sold All",
SUMIFS(Transactions!$I$3:$I149,Transactions!$H$3:$H149,"Buy",Transactions!$F$3:$F149,"Stock",Transactions!$D$3:$D149,AH23)
+SUMIFS(Transactions!$I$3:$I149,Transactions!$H$3:$H149,"DRIP",Transactions!$F$3:$F149,"Stock",Transactions!$D$3:$D149,AH23)
+SUMIFS(Transactions!$I$3:$I149,Transactions!$H$3:$H149,"Transfer Deposit",Transactions!$F$3:$F149,"Stock",Transactions!$D$3:$D149,AH23)
+SUMIFS(Transactions!$I$3:$I149,Transactions!$H$3:$H149,"Buy",Transactions!$F$3:$F149,"ETF",Transactions!$D$3:$D149,AH23)
+SUMIFS(Transactions!$I$3:$I149,Transactions!$H$3:$H149,"DRIP",Transactions!$F$3:$F149,"ETF",Transactions!$D$3:$D149,AH23)
+SUMIFS(Transactions!$I$3:$I149,Transactions!$H$3:$H149,"Transfer Deposit",Transactions!$F$3:$F149,"ETF",Transactions!$D$3:$D149,AH23)
+SUMIFS(Transactions!$I$3:$I149,Transactions!$H$3:$H149,"Buy",Transactions!$F$3:$F149,"Commodity",Transactions!$D$3:$D149,AH23)
+SUMIFS(Transactions!$I$3:$I149,Transactions!$H$3:$H149,"DRIP",Transactions!$F$3:$F149,"Commodity",Transactions!$D$3:$D149,AH23)
+SUMIFS(Transactions!$I$3:$I149,Transactions!$H$3:$H149,"Transfer Deposit",Transactions!$F$3:$F149,"Commodity",Transactions!$D$3:$D149,AH23)
+SUMIFS(Transactions!$I$3:$I149,Transactions!$H$3:$H149,"Buy",Transactions!$F$3:$F149,"Managed Fund",Transactions!$D$3:$D149,AH23)
+SUMIFS(Transactions!$I$3:$I149,Transactions!$H$3:$H149,"DRIP",Transactions!$F$3:$F149,"Managed Fund",Transactions!$D$3:$D149,AH23)
+SUMIFS(Transactions!$I$3:$I149,Transactions!$H$3:$H149,"Transfer Deposit",Transactions!$F$3:$F149,"Managed Fund",Transactions!$D$3:$D149,AH23)
+SUMIFS(Transactions!$I$3:$I149,Transactions!$H$3:$H149,"Buy",Transactions!$F$3:$F149,"REIT",Transactions!$D$3:$D149,AH23)
+SUMIFS(Transactions!$I$3:$I149,Transactions!$H$3:$H149,"DRIP",Transactions!$F$3:$F149,"REIT",Transactions!$D$3:$D149,AH23)
+SUMIFS(Transactions!$I$3:$I149,Transactions!$H$3:$H149,"Transfer Deposit",Transactions!$F$3:$F149,"REIT",Transactions!$D$3:$D149,AH23)
-SUMIFS(Transactions!$I$3:$I149,Transactions!$H$3:$H149,"Sell",Transactions!$F$3:$F149,"Stock",Transactions!$D$3:$D149,AH23)
-SUMIFS(Transactions!$I$3:$I149,Transactions!$H$3:$H149,"Transfer Send",Transactions!$F$3:$F149,"Stock",Transactions!$D$3:$D149,AH23)
-SUMIFS(Transactions!$I$3:$I149,Transactions!$H$3:$H149,"Sell",Transactions!$F$3:$F149,"ETF",Transactions!$D$3:$D149,AH23)
-SUMIFS(Transactions!$I$3:$I149,Transactions!$H$3:$H149,"Transfer Send",Transactions!$F$3:$F149,"ETF",Transactions!$D$3:$D149,AH23)
-SUMIFS(Transactions!$I$3:$I149,Transactions!$H$3:$H149,"Sell",Transactions!$F$3:$F149,"Commodity",Transactions!$D$3:$D149,AH23)
-SUMIFS(Transactions!$I$3:$I149,Transactions!$H$3:$H149,"Transfer Send",Transactions!$F$3:$F149,"Commodity",Transactions!$D$3:$D149,AH23)
-SUMIFS(Transactions!$I$3:$I149,Transactions!$H$3:$H149,"Sell",Transactions!$F$3:$F149,"Managed Fund",Transactions!$D$3:$D149,AH23)
-SUMIFS(Transactions!$I$3:$I149,Transactions!$H$3:$H149,"Transfer Send",Transactions!$F$3:$F149,"Managed Fund",Transactions!$D$3:$D149,AH23)
-SUMIFS(Transactions!$I$3:$I149,Transactions!$H$3:$H149,"Sell",Transactions!$F$3:$F149,"REIT",Transactions!$D$3:$D149,AH23)
-SUMIFS(Transactions!$I$3:$I149,Transactions!$H$3:$H149,"Transfer Send",Transactions!$F$3:$F149,"REIT",Transactions!$D$3:$D149,AH23)
+SUMIFS(Transactions!$I$3:$I149,Transactions!$H$3:$H149,"Buy",Transactions!$F$3:$F149,"Crypto",Transactions!$D$3:$D149,AH23)
+SUMIFS(Transactions!$I$3:$I149,Transactions!$H$3:$H149,"Crypto Interest",Transactions!$F$3:$F149,"Crypto",Transactions!$D$3:$D149,AH23)
+SUMIFS(Transactions!$I$3:$I149,Transactions!$H$3:$H149,"Transfer Deposit",Transactions!$F$3:$F149,"Crypto",Transactions!$D$3:$D149,AH23)
-SUMIFS(Transactions!$I$3:$I149,Transactions!$H$3:$H149,"Transfer Send",Transactions!$F$3:$F149,"Crypto",Transactions!$D$3:$D149,AH23)
-SUMIFS(Transactions!$I$3:$I149,Transactions!$H$3:$H149,"Sell",Transactions!$F$3:$F149,"Crypto",Transactions!$D$3:$D149,AH23)
+SUMIFS(Transactions!$I$3:$I149,Transactions!$H$3:$H149,"Buy",Transactions!$F$3:$F149,"Stablecoin",Transactions!$D$3:$D149,AH23)
+SUMIFS(Transactions!$I$3:$I149,Transactions!$H$3:$H149,"Crypto Interest",Transactions!$F$3:$F149,"Stablecoin",Transactions!$D$3:$D149,AH23)
+SUMIFS(Transactions!$I$3:$I149,Transactions!$H$3:$H149,"Transfer Deposit",Transactions!$F$3:$F149,"Stablecoin",Transactions!$D$3:$D149,AH23)
-SUMIFS(Transactions!$I$3:$I149,Transactions!$H$3:$H149,"Transfer Send",Transactions!$F$3:$F149,"Stablecoin",Transactions!$D$3:$D149,AH23)
-SUMIFS(Transactions!$I$3:$I149,Transactions!$H$3:$H149,"Sell",Transactions!$F$3:$F149,"Stablecoin",Transactions!$D$3:$D149,AH23)
-SUMIFS(Transactions!$M$3:$M149,Transactions!$H$3:$H149,"Buy",Transactions!$B$3:$B149,AH23)))</f>
        <v/>
      </c>
      <c r="AJ23" s="181" t="str">
        <f>IFERROR(__xludf.DUMMYFUNCTION("IF(ISBLANK(AH23),"""",VLOOKUP(9^99,FILTER({ROW(Transactions!P:P),Transactions!P:P},Transactions!D:D=AH23),2))"),"")</f>
        <v/>
      </c>
      <c r="AK23" s="181" t="str">
        <f>IFERROR(__xludf.DUMMYFUNCTION("IF(ISBLANK(AH23),"""",IFERROR(GOOGLEFINANCE(AH23,""price""),IFERROR(GOOGLEFINANCE(""CURRENCY:""&amp;AH23&amp;""""),IFERROR(INDEX(YAHOO_STOCK(TRIM(AH23), $G$2),0,1),INDEX(IMPORTHTML(CONCAT(""https://coinmarketcap.com/currencies/"",AG23),""table"",1),1,2)))))"),"")</f>
        <v/>
      </c>
      <c r="AL23" s="14" t="str">
        <f>IFERROR(__xludf.DUMMYFUNCTION("IF(ISBLANK(AH23),"""",IFERROR(SPARKLINE(INDEX(GOOGLEFINANCE(AH23,""price"",TODAY()-$AL$2,TODAY()),,2),{""charttype"",""column"";""color"",""17a7e0""}),""""))"),"")</f>
        <v/>
      </c>
      <c r="AM23" s="50" t="str">
        <f>IFERROR(__xludf.DUMMYFUNCTION("IFNA(IFERROR(IF(AH23="""","""",GOOGLEFINANCE(AH23,""changepct"")/100),(GOOGLEFINANCE(AH23)-(INDEX(GOOGLEFINANCE(""CURRENCY:""&amp;AH23&amp;"""",""price"",TODAY()-1),2,2)))/(INDEX(GOOGLEFINANCE(""CURRENCY:""&amp;AH23&amp;"""",""price"",TODAY()-1),2,2))),)"),"")</f>
        <v/>
      </c>
      <c r="AN23" s="96" t="str">
        <f>IFERROR(__xludf.DUMMYFUNCTION("IFNA(IFERROR(IF(AH23="""","""",GOOGLEFINANCE(AH23,""change"")*AI23),(GOOGLEFINANCE(AH23)-(INDEX(GOOGLEFINANCE(""CURRENCY:""&amp;AH23&amp;"""",""price"",TODAY()-1),2,2)))*AI23),"""")"),"")</f>
        <v/>
      </c>
      <c r="AO23" s="96" t="str">
        <f>IF(ISBLANK(AH23),"",IFERROR(((AI23-SUMIFS(Transactions!I:I,Transactions!H:H,"Crypto Interest",Transactions!D:D,AH23))*AJ23),""))</f>
        <v/>
      </c>
      <c r="AP23" s="96" t="str">
        <f t="shared" si="16"/>
        <v/>
      </c>
      <c r="AQ23" s="50" t="str">
        <f t="shared" si="17"/>
        <v/>
      </c>
      <c r="AR23" s="96" t="str">
        <f t="shared" si="18"/>
        <v/>
      </c>
      <c r="AS23" s="96" t="str">
        <f>IF(ISBLANK(AH23),"",SUMIFS(Transactions!$X$3:$X149,Transactions!$H$3:$H149,"Sell",Transactions!$D$3:$D149,AH23))</f>
        <v/>
      </c>
      <c r="AT23" s="96" t="str">
        <f t="shared" si="19"/>
        <v/>
      </c>
      <c r="AU23" s="50" t="str">
        <f>IFERROR(__xludf.DUMMYFUNCTION("IF(ISBLANK(AH23),"""",IFERROR((GOOGLEFINANCE(AH23,""price"")/INDEX(GOOGLEFINANCE(AH23,""price"",DATEVALUE(TODAY()-$AU$2) ),2,2)-1),""""))"),"")</f>
        <v/>
      </c>
      <c r="AW23" s="50" t="str">
        <f>IFERROR(__xludf.DUMMYFUNCTION("IF(ISBLANK(AH23),"""",IFERROR((GOOGLEFINANCE($AW$2,""price"")/INDEX(GOOGLEFINANCE($AW$2,""price"",DATEVALUE(TODAY()-$AU$2) ),2,2)-1),""""))"),"")</f>
        <v/>
      </c>
      <c r="AY23" s="50" t="str">
        <f t="shared" si="20"/>
        <v/>
      </c>
      <c r="AZ23" s="50" t="str">
        <f t="shared" si="21"/>
        <v/>
      </c>
      <c r="BA23" s="50">
        <f t="shared" si="22"/>
        <v>0</v>
      </c>
      <c r="BB23" s="14" t="str">
        <f t="shared" si="23"/>
        <v/>
      </c>
      <c r="BC23" s="14" t="str">
        <f>IF(ISBLANK(AH23),"",IFERROR(VLOOKUP(AH23,Transactions!D:F,3,0)))</f>
        <v/>
      </c>
      <c r="BD23" s="50" t="str">
        <f t="shared" si="24"/>
        <v/>
      </c>
      <c r="BE23" s="50" t="str">
        <f t="shared" si="25"/>
        <v/>
      </c>
      <c r="BF23" s="14" t="str">
        <f t="shared" si="26"/>
        <v/>
      </c>
      <c r="BG23" s="180" t="str">
        <f>IF(ISBLANK(AH23),"",IFERROR(VLOOKUP(AH23,Transactions!D:G,4,0)))</f>
        <v/>
      </c>
    </row>
    <row r="24">
      <c r="A24" s="14" t="str">
        <f t="shared" ref="A24:C24" si="46">AG24</f>
        <v/>
      </c>
      <c r="B24" s="14" t="str">
        <f t="shared" si="46"/>
        <v/>
      </c>
      <c r="C24" s="175" t="str">
        <f t="shared" si="46"/>
        <v/>
      </c>
      <c r="D24" s="176" t="str">
        <f>IFERROR(__xludf.DUMMYFUNCTION("IF(ISBLANK(B24),"""",IFERROR(IF(OR(AF24=""GPB"",AF24=""ZAR""),IF(AF24=Dashboard!$L$1,AJ24,(AJ24*GOOGLEFINANCE(""CURRENCY:""&amp;AF24&amp;""""&amp;Dashboard!$L$1&amp;""""))/100),IF(AF24=Dashboard!$L$1,AJ24,AJ24*GOOGLEFINANCE(""CURRENCY:""&amp;AF24&amp;""""&amp;Dashboard!$L$1&amp;""""))),"&amp;"AJ24))"),"")</f>
        <v/>
      </c>
      <c r="E24" s="177" t="str">
        <f>IFERROR(__xludf.DUMMYFUNCTION("IFERROR(IF(OR(AF24=""GBP"",AF24=""ZAR""),IF(B24="""","""",IF(AF24=Dashboard!$L$1,AK24,AK24*GOOGLEFINANCE(""CURRENCY:""&amp;AF24&amp;""""&amp;Dashboard!$L$1&amp;"""")))/100,If(B24="""","""",IF(AF24=Dashboard!$L$1,AK24,AK24*GOOGLEFINANCE(""CURRENCY:""&amp;AF24&amp;""""&amp;Dashboard!$"&amp;"L$1&amp;"""")))),AK24)"),"")</f>
        <v/>
      </c>
      <c r="F24" s="145">
        <f>IFERROR(__xludf.DUMMYFUNCTION(" E24 * GOOGLEFINANCE(""CURRENCY:USDEUR"") "),0.0)</f>
        <v>0</v>
      </c>
      <c r="G24" s="96" t="str">
        <f>IFERROR(__xludf.DUMMYFUNCTION("IF(ISBLANK(B24),"""",IFERROR(SPARKLINE(INDEX(GOOGLEFINANCE(B24,""price"",TODAY()-$G$2,TODAY()),,2),{""charttype"",""column"";""color"",""17a7e0""}),""""))"),"")</f>
        <v/>
      </c>
      <c r="H24" s="50" t="str">
        <f t="shared" si="3"/>
        <v/>
      </c>
      <c r="I24" s="96" t="str">
        <f>IFERROR(__xludf.DUMMYFUNCTION("IF(ISBLANK(B24),"""",IFERROR(IF(OR(AF24=""GPB"",AF24=""ZAR""),IF(AF24=Dashboard!$L$1,AN24,(AN24*GOOGLEFINANCE(""CURRENCY:""&amp;AF24&amp;""""&amp;Dashboard!$L$1&amp;""""))/100),IF(AF24=Dashboard!$L$1,AN24,AN24*GOOGLEFINANCE(""CURRENCY:""&amp;AF24&amp;""""&amp;Dashboard!$L$1&amp;""""))),"&amp;"AN24))"),"")</f>
        <v/>
      </c>
      <c r="J24" s="178" t="str">
        <f>IF(ISBLANK(B24),"",IFERROR(((C24-SUMIFS(Transactions!I:I,Transactions!H:H,"Crypto Interest",Transactions!D:D,B24))*D24),""))</f>
        <v/>
      </c>
      <c r="K24" s="178" t="str">
        <f t="shared" si="4"/>
        <v/>
      </c>
      <c r="L24" s="145">
        <f>-SUMIFS(Transactions!$M$3:$M149,Transactions!$H$3:$H149,"Buy",Transactions!$D$3:$D149,B24)</f>
        <v>0</v>
      </c>
      <c r="M24" s="145">
        <f>IF(ISBLANK(AG24),"",SUMIFS(Transactions!$M$3:$M149,Transactions!$H$3:$H149,"Dividend",Transactions!$D$3:$D149,B24))</f>
        <v>0</v>
      </c>
      <c r="N24" s="145" t="str">
        <f>IF(ISBLANK(AH24),"",SUMIFS(Transactions!$M$3:$M149,Transactions!$H$3:$H149,"Sell",Transactions!$D$3:$D149,B24))</f>
        <v/>
      </c>
      <c r="O24" s="50" t="str">
        <f t="shared" si="5"/>
        <v/>
      </c>
      <c r="P24" s="178" t="str">
        <f t="shared" si="6"/>
        <v/>
      </c>
      <c r="Q24" s="178" t="str">
        <f>IFERROR(__xludf.DUMMYFUNCTION("IF(ISBLANK(B24),"""",IFERROR(IF(OR(AF24=""GPB"",AF24=""ZAR""),IF(AF24=Dashboard!$L$1,AS24,(AS24*GOOGLEFINANCE(""CURRENCY:""&amp;AF24&amp;""""&amp;Dashboard!$L$1&amp;""""))/100),IF(AF24=Dashboard!$L$1,AS24,AS24*GOOGLEFINANCE(""CURRENCY:""&amp;AF24&amp;""""&amp;Dashboard!$L$1&amp;""""))),"&amp;"AS24))"),"")</f>
        <v/>
      </c>
      <c r="R24" s="178" t="str">
        <f t="shared" si="7"/>
        <v/>
      </c>
      <c r="S24" s="50" t="str">
        <f>IFERROR(__xludf.DUMMYFUNCTION("IF(ISBLANK(B24),"""",IFERROR((GOOGLEFINANCE(B24,""price"")/INDEX(GOOGLEFINANCE(B24,""price"",DATEVALUE(TODAY()-$S$2) ),2,2)-1),""""))"),"")</f>
        <v/>
      </c>
      <c r="U24" s="50" t="str">
        <f>IFERROR(__xludf.DUMMYFUNCTION("IF(ISBLANK(B24),"""",IFERROR((GOOGLEFINANCE($U$2,""price"")/INDEX(GOOGLEFINANCE($U$2,""price"",DATEVALUE(TODAY()-$S$2) ),2,2)-1),""""))"),"")</f>
        <v/>
      </c>
      <c r="W24" s="50" t="str">
        <f t="shared" si="8"/>
        <v/>
      </c>
      <c r="X24" s="50" t="str">
        <f t="shared" si="9"/>
        <v/>
      </c>
      <c r="Y24" s="179">
        <v>0.0</v>
      </c>
      <c r="Z24" s="50" t="str">
        <f t="shared" si="10"/>
        <v/>
      </c>
      <c r="AA24" s="14" t="str">
        <f t="shared" si="11"/>
        <v/>
      </c>
      <c r="AB24" s="50" t="str">
        <f t="shared" si="12"/>
        <v/>
      </c>
      <c r="AC24" s="179" t="str">
        <f t="shared" si="13"/>
        <v/>
      </c>
      <c r="AD24" s="50" t="str">
        <f t="shared" si="14"/>
        <v/>
      </c>
      <c r="AE24" s="180" t="str">
        <f t="shared" si="15"/>
        <v/>
      </c>
      <c r="AF24" s="14" t="str">
        <f t="array" ref="AF24">IFERROR(IF(ISBLANK(AH24),"",IF(VLOOKUP(AH24,Transactions!D:F,3,0)="Stablecoin",AH24,INDEX(Transactions!$B$3:$B149,MATCH(AH24,Transactions!$D$3:$D149,0),0))))</f>
        <v/>
      </c>
      <c r="AG24" s="14" t="str">
        <f>IF(ISBLANK(AH24),"",VLOOKUP(AH24,Transactions!D:E,2,0))</f>
        <v/>
      </c>
      <c r="AH24" s="14"/>
      <c r="AI24" s="146" t="str">
        <f>IF(ISBLANK(AH24),"",IF(
SUMIFS(Transactions!$I$3:$I149,Transactions!$H$3:$H149,"Buy",Transactions!$F$3:$F149,"Stock",Transactions!$D$3:$D149,AH24)
+SUMIFS(Transactions!$I$3:$I149,Transactions!$H$3:$H149,"DRIP",Transactions!$F$3:$F149,"Stock",Transactions!$D$3:$D149,AH24)
+SUMIFS(Transactions!$I$3:$I149,Transactions!$H$3:$H149,"Transfer Deposit",Transactions!$F$3:$F149,"Stock",Transactions!$D$3:$D149,AH24)
+SUMIFS(Transactions!$I$3:$I149,Transactions!$H$3:$H149,"Buy",Transactions!$F$3:$F149,"ETF",Transactions!$D$3:$D149,AH24)
+SUMIFS(Transactions!$I$3:$I149,Transactions!$H$3:$H149,"DRIP",Transactions!$F$3:$F149,"ETF",Transactions!$D$3:$D149,AH24)
+SUMIFS(Transactions!$I$3:$I149,Transactions!$H$3:$H149,"Transfer Deposit",Transactions!$F$3:$F149,"ETF",Transactions!$D$3:$D149,AH24)
+SUMIFS(Transactions!$I$3:$I149,Transactions!$H$3:$H149,"Buy",Transactions!$F$3:$F149,"Commodity",Transactions!$D$3:$D149,AH24)
+SUMIFS(Transactions!$I$3:$I149,Transactions!$H$3:$H149,"DRIP",Transactions!$F$3:$F149,"Commodity",Transactions!$D$3:$D149,AH24)
+SUMIFS(Transactions!$I$3:$I149,Transactions!$H$3:$H149,"Transfer Deposit",Transactions!$F$3:$F149,"Commodity",Transactions!$D$3:$D149,AH24)
+SUMIFS(Transactions!$I$3:$I149,Transactions!$H$3:$H149,"Buy",Transactions!$F$3:$F149,"Managed Fund",Transactions!$D$3:$D149,AH24)
+SUMIFS(Transactions!$I$3:$I149,Transactions!$H$3:$H149,"DRIP",Transactions!$F$3:$F149,"Managed Fund",Transactions!$D$3:$D149,AH24)
+SUMIFS(Transactions!$I$3:$I149,Transactions!$H$3:$H149,"Transfer Deposit",Transactions!$F$3:$F149,"Managed Fund",Transactions!$D$3:$D149,AH24)
+SUMIFS(Transactions!$I$3:$I149,Transactions!$H$3:$H149,"Buy",Transactions!$F$3:$F149,"REIT",Transactions!$D$3:$D149,AH24)
+SUMIFS(Transactions!$I$3:$I149,Transactions!$H$3:$H149,"DRIP",Transactions!$F$3:$F149,"REIT",Transactions!$D$3:$D149,AH24)
+SUMIFS(Transactions!$I$3:$I149,Transactions!$H$3:$H149,"Transfer Deposit",Transactions!$F$3:$F149,"REIT",Transactions!$D$3:$D149,AH24)
-SUMIFS(Transactions!$I$3:$I149,Transactions!$H$3:$H149,"Sell",Transactions!$F$3:$F149,"Stock",Transactions!$D$3:$D149,AH24)
-SUMIFS(Transactions!$I$3:$I149,Transactions!$H$3:$H149,"Transfer Send",Transactions!$F$3:$F149,"Stock",Transactions!$D$3:$D149,AH24)
-SUMIFS(Transactions!$I$3:$I149,Transactions!$H$3:$H149,"Sell",Transactions!$F$3:$F149,"ETF",Transactions!$D$3:$D149,AH24)
-SUMIFS(Transactions!$I$3:$I149,Transactions!$H$3:$H149,"Transfer Send",Transactions!$F$3:$F149,"ETF",Transactions!$D$3:$D149,AH24)
-SUMIFS(Transactions!$I$3:$I149,Transactions!$H$3:$H149,"Sell",Transactions!$F$3:$F149,"Commodity",Transactions!$D$3:$D149,AH24)
-SUMIFS(Transactions!$I$3:$I149,Transactions!$H$3:$H149,"Transfer Send",Transactions!$F$3:$F149,"Commodity",Transactions!$D$3:$D149,AH24)
-SUMIFS(Transactions!$I$3:$I149,Transactions!$H$3:$H149,"Sell",Transactions!$F$3:$F149,"Managed Fund",Transactions!$D$3:$D149,AH24)
-SUMIFS(Transactions!$I$3:$I149,Transactions!$H$3:$H149,"Transfer Send",Transactions!$F$3:$F149,"Managed Fund",Transactions!$D$3:$D149,AH24)
-SUMIFS(Transactions!$I$3:$I149,Transactions!$H$3:$H149,"Sell",Transactions!$F$3:$F149,"REIT",Transactions!$D$3:$D149,AH24)
-SUMIFS(Transactions!$I$3:$I149,Transactions!$H$3:$H149,"Transfer Send",Transactions!$F$3:$F149,"REIT",Transactions!$D$3:$D149,AH24)
+SUMIFS(Transactions!$I$3:$I149,Transactions!$H$3:$H149,"Buy",Transactions!$F$3:$F149,"Crypto",Transactions!$D$3:$D149,AH24)
+SUMIFS(Transactions!$I$3:$I149,Transactions!$H$3:$H149,"Crypto Interest",Transactions!$F$3:$F149,"Crypto",Transactions!$D$3:$D149,AH24)
+SUMIFS(Transactions!$I$3:$I149,Transactions!$H$3:$H149,"Transfer Deposit",Transactions!$F$3:$F149,"Crypto",Transactions!$D$3:$D149,AH24)
-SUMIFS(Transactions!$I$3:$I149,Transactions!$H$3:$H149,"Transfer Send",Transactions!$F$3:$F149,"Crypto",Transactions!$D$3:$D149,AH24)
-SUMIFS(Transactions!$I$3:$I149,Transactions!$H$3:$H149,"Sell",Transactions!$F$3:$F149,"Crypto",Transactions!$D$3:$D149,AH24)
+SUMIFS(Transactions!$I$3:$I149,Transactions!$H$3:$H149,"Buy",Transactions!$F$3:$F149,"Stablecoin",Transactions!$D$3:$D149,AH24)
+SUMIFS(Transactions!$I$3:$I149,Transactions!$H$3:$H149,"Crypto Interest",Transactions!$F$3:$F149,"Stablecoin",Transactions!$D$3:$D149,AH24)
+SUMIFS(Transactions!$I$3:$I149,Transactions!$H$3:$H149,"Transfer Deposit",Transactions!$F$3:$F149,"Stablecoin",Transactions!$D$3:$D149,AH24)
-SUMIFS(Transactions!$I$3:$I149,Transactions!$H$3:$H149,"Transfer Send",Transactions!$F$3:$F149,"Stablecoin",Transactions!$D$3:$D149,AH24)
-SUMIFS(Transactions!$I$3:$I149,Transactions!$H$3:$H149,"Sell",Transactions!$F$3:$F149,"Stablecoin",Transactions!$D$3:$D149,AH24)
-SUMIFS(Transactions!$M$3:$M149,Transactions!$H$3:$H149,"Buy",Transactions!$B$3:$B149,AH24)=0,"Sold All",
SUMIFS(Transactions!$I$3:$I149,Transactions!$H$3:$H149,"Buy",Transactions!$F$3:$F149,"Stock",Transactions!$D$3:$D149,AH24)
+SUMIFS(Transactions!$I$3:$I149,Transactions!$H$3:$H149,"DRIP",Transactions!$F$3:$F149,"Stock",Transactions!$D$3:$D149,AH24)
+SUMIFS(Transactions!$I$3:$I149,Transactions!$H$3:$H149,"Transfer Deposit",Transactions!$F$3:$F149,"Stock",Transactions!$D$3:$D149,AH24)
+SUMIFS(Transactions!$I$3:$I149,Transactions!$H$3:$H149,"Buy",Transactions!$F$3:$F149,"ETF",Transactions!$D$3:$D149,AH24)
+SUMIFS(Transactions!$I$3:$I149,Transactions!$H$3:$H149,"DRIP",Transactions!$F$3:$F149,"ETF",Transactions!$D$3:$D149,AH24)
+SUMIFS(Transactions!$I$3:$I149,Transactions!$H$3:$H149,"Transfer Deposit",Transactions!$F$3:$F149,"ETF",Transactions!$D$3:$D149,AH24)
+SUMIFS(Transactions!$I$3:$I149,Transactions!$H$3:$H149,"Buy",Transactions!$F$3:$F149,"Commodity",Transactions!$D$3:$D149,AH24)
+SUMIFS(Transactions!$I$3:$I149,Transactions!$H$3:$H149,"DRIP",Transactions!$F$3:$F149,"Commodity",Transactions!$D$3:$D149,AH24)
+SUMIFS(Transactions!$I$3:$I149,Transactions!$H$3:$H149,"Transfer Deposit",Transactions!$F$3:$F149,"Commodity",Transactions!$D$3:$D149,AH24)
+SUMIFS(Transactions!$I$3:$I149,Transactions!$H$3:$H149,"Buy",Transactions!$F$3:$F149,"Managed Fund",Transactions!$D$3:$D149,AH24)
+SUMIFS(Transactions!$I$3:$I149,Transactions!$H$3:$H149,"DRIP",Transactions!$F$3:$F149,"Managed Fund",Transactions!$D$3:$D149,AH24)
+SUMIFS(Transactions!$I$3:$I149,Transactions!$H$3:$H149,"Transfer Deposit",Transactions!$F$3:$F149,"Managed Fund",Transactions!$D$3:$D149,AH24)
+SUMIFS(Transactions!$I$3:$I149,Transactions!$H$3:$H149,"Buy",Transactions!$F$3:$F149,"REIT",Transactions!$D$3:$D149,AH24)
+SUMIFS(Transactions!$I$3:$I149,Transactions!$H$3:$H149,"DRIP",Transactions!$F$3:$F149,"REIT",Transactions!$D$3:$D149,AH24)
+SUMIFS(Transactions!$I$3:$I149,Transactions!$H$3:$H149,"Transfer Deposit",Transactions!$F$3:$F149,"REIT",Transactions!$D$3:$D149,AH24)
-SUMIFS(Transactions!$I$3:$I149,Transactions!$H$3:$H149,"Sell",Transactions!$F$3:$F149,"Stock",Transactions!$D$3:$D149,AH24)
-SUMIFS(Transactions!$I$3:$I149,Transactions!$H$3:$H149,"Transfer Send",Transactions!$F$3:$F149,"Stock",Transactions!$D$3:$D149,AH24)
-SUMIFS(Transactions!$I$3:$I149,Transactions!$H$3:$H149,"Sell",Transactions!$F$3:$F149,"ETF",Transactions!$D$3:$D149,AH24)
-SUMIFS(Transactions!$I$3:$I149,Transactions!$H$3:$H149,"Transfer Send",Transactions!$F$3:$F149,"ETF",Transactions!$D$3:$D149,AH24)
-SUMIFS(Transactions!$I$3:$I149,Transactions!$H$3:$H149,"Sell",Transactions!$F$3:$F149,"Commodity",Transactions!$D$3:$D149,AH24)
-SUMIFS(Transactions!$I$3:$I149,Transactions!$H$3:$H149,"Transfer Send",Transactions!$F$3:$F149,"Commodity",Transactions!$D$3:$D149,AH24)
-SUMIFS(Transactions!$I$3:$I149,Transactions!$H$3:$H149,"Sell",Transactions!$F$3:$F149,"Managed Fund",Transactions!$D$3:$D149,AH24)
-SUMIFS(Transactions!$I$3:$I149,Transactions!$H$3:$H149,"Transfer Send",Transactions!$F$3:$F149,"Managed Fund",Transactions!$D$3:$D149,AH24)
-SUMIFS(Transactions!$I$3:$I149,Transactions!$H$3:$H149,"Sell",Transactions!$F$3:$F149,"REIT",Transactions!$D$3:$D149,AH24)
-SUMIFS(Transactions!$I$3:$I149,Transactions!$H$3:$H149,"Transfer Send",Transactions!$F$3:$F149,"REIT",Transactions!$D$3:$D149,AH24)
+SUMIFS(Transactions!$I$3:$I149,Transactions!$H$3:$H149,"Buy",Transactions!$F$3:$F149,"Crypto",Transactions!$D$3:$D149,AH24)
+SUMIFS(Transactions!$I$3:$I149,Transactions!$H$3:$H149,"Crypto Interest",Transactions!$F$3:$F149,"Crypto",Transactions!$D$3:$D149,AH24)
+SUMIFS(Transactions!$I$3:$I149,Transactions!$H$3:$H149,"Transfer Deposit",Transactions!$F$3:$F149,"Crypto",Transactions!$D$3:$D149,AH24)
-SUMIFS(Transactions!$I$3:$I149,Transactions!$H$3:$H149,"Transfer Send",Transactions!$F$3:$F149,"Crypto",Transactions!$D$3:$D149,AH24)
-SUMIFS(Transactions!$I$3:$I149,Transactions!$H$3:$H149,"Sell",Transactions!$F$3:$F149,"Crypto",Transactions!$D$3:$D149,AH24)
+SUMIFS(Transactions!$I$3:$I149,Transactions!$H$3:$H149,"Buy",Transactions!$F$3:$F149,"Stablecoin",Transactions!$D$3:$D149,AH24)
+SUMIFS(Transactions!$I$3:$I149,Transactions!$H$3:$H149,"Crypto Interest",Transactions!$F$3:$F149,"Stablecoin",Transactions!$D$3:$D149,AH24)
+SUMIFS(Transactions!$I$3:$I149,Transactions!$H$3:$H149,"Transfer Deposit",Transactions!$F$3:$F149,"Stablecoin",Transactions!$D$3:$D149,AH24)
-SUMIFS(Transactions!$I$3:$I149,Transactions!$H$3:$H149,"Transfer Send",Transactions!$F$3:$F149,"Stablecoin",Transactions!$D$3:$D149,AH24)
-SUMIFS(Transactions!$I$3:$I149,Transactions!$H$3:$H149,"Sell",Transactions!$F$3:$F149,"Stablecoin",Transactions!$D$3:$D149,AH24)
-SUMIFS(Transactions!$M$3:$M149,Transactions!$H$3:$H149,"Buy",Transactions!$B$3:$B149,AH24)))</f>
        <v/>
      </c>
      <c r="AJ24" s="181" t="str">
        <f>IFERROR(__xludf.DUMMYFUNCTION("IF(ISBLANK(AH24),"""",VLOOKUP(9^99,FILTER({ROW(Transactions!P:P),Transactions!P:P},Transactions!D:D=AH24),2))"),"")</f>
        <v/>
      </c>
      <c r="AK24" s="181" t="str">
        <f>IFERROR(__xludf.DUMMYFUNCTION("IF(ISBLANK(AH24),"""",IFERROR(GOOGLEFINANCE(AH24,""price""),IFERROR(GOOGLEFINANCE(""CURRENCY:""&amp;AH24&amp;""""),IFERROR(INDEX(YAHOO_STOCK(TRIM(AH24), $G$2),0,1),INDEX(IMPORTHTML(CONCAT(""https://coinmarketcap.com/currencies/"",AG24),""table"",1),1,2)))))"),"")</f>
        <v/>
      </c>
      <c r="AL24" s="14" t="str">
        <f>IFERROR(__xludf.DUMMYFUNCTION("IF(ISBLANK(AH24),"""",IFERROR(SPARKLINE(INDEX(GOOGLEFINANCE(AH24,""price"",TODAY()-$AL$2,TODAY()),,2),{""charttype"",""column"";""color"",""17a7e0""}),""""))"),"")</f>
        <v/>
      </c>
      <c r="AM24" s="50" t="str">
        <f>IFERROR(__xludf.DUMMYFUNCTION("IFNA(IFERROR(IF(AH24="""","""",GOOGLEFINANCE(AH24,""changepct"")/100),(GOOGLEFINANCE(AH24)-(INDEX(GOOGLEFINANCE(""CURRENCY:""&amp;AH24&amp;"""",""price"",TODAY()-1),2,2)))/(INDEX(GOOGLEFINANCE(""CURRENCY:""&amp;AH24&amp;"""",""price"",TODAY()-1),2,2))),)"),"")</f>
        <v/>
      </c>
      <c r="AN24" s="96" t="str">
        <f>IFERROR(__xludf.DUMMYFUNCTION("IFNA(IFERROR(IF(AH24="""","""",GOOGLEFINANCE(AH24,""change"")*AI24),(GOOGLEFINANCE(AH24)-(INDEX(GOOGLEFINANCE(""CURRENCY:""&amp;AH24&amp;"""",""price"",TODAY()-1),2,2)))*AI24),"""")"),"")</f>
        <v/>
      </c>
      <c r="AO24" s="96" t="str">
        <f>IF(ISBLANK(AH24),"",IFERROR(((AI24-SUMIFS(Transactions!I:I,Transactions!H:H,"Crypto Interest",Transactions!D:D,AH24))*AJ24),""))</f>
        <v/>
      </c>
      <c r="AP24" s="96" t="str">
        <f t="shared" si="16"/>
        <v/>
      </c>
      <c r="AQ24" s="50" t="str">
        <f t="shared" si="17"/>
        <v/>
      </c>
      <c r="AR24" s="96" t="str">
        <f t="shared" si="18"/>
        <v/>
      </c>
      <c r="AS24" s="96" t="str">
        <f>IF(ISBLANK(AH24),"",SUMIFS(Transactions!$X$3:$X149,Transactions!$H$3:$H149,"Sell",Transactions!$D$3:$D149,AH24))</f>
        <v/>
      </c>
      <c r="AT24" s="96" t="str">
        <f t="shared" si="19"/>
        <v/>
      </c>
      <c r="AU24" s="50" t="str">
        <f>IFERROR(__xludf.DUMMYFUNCTION("IF(ISBLANK(AH24),"""",IFERROR((GOOGLEFINANCE(AH24,""price"")/INDEX(GOOGLEFINANCE(AH24,""price"",DATEVALUE(TODAY()-$AU$2) ),2,2)-1),""""))"),"")</f>
        <v/>
      </c>
      <c r="AW24" s="50" t="str">
        <f>IFERROR(__xludf.DUMMYFUNCTION("IF(ISBLANK(AH24),"""",IFERROR((GOOGLEFINANCE($AW$2,""price"")/INDEX(GOOGLEFINANCE($AW$2,""price"",DATEVALUE(TODAY()-$AU$2) ),2,2)-1),""""))"),"")</f>
        <v/>
      </c>
      <c r="AY24" s="50" t="str">
        <f t="shared" si="20"/>
        <v/>
      </c>
      <c r="AZ24" s="50" t="str">
        <f t="shared" si="21"/>
        <v/>
      </c>
      <c r="BA24" s="50">
        <f t="shared" si="22"/>
        <v>0</v>
      </c>
      <c r="BB24" s="14" t="str">
        <f t="shared" si="23"/>
        <v/>
      </c>
      <c r="BC24" s="14" t="str">
        <f>IF(ISBLANK(AH24),"",IFERROR(VLOOKUP(AH24,Transactions!D:F,3,0)))</f>
        <v/>
      </c>
      <c r="BD24" s="50" t="str">
        <f t="shared" si="24"/>
        <v/>
      </c>
      <c r="BE24" s="50" t="str">
        <f t="shared" si="25"/>
        <v/>
      </c>
      <c r="BF24" s="14" t="str">
        <f t="shared" si="26"/>
        <v/>
      </c>
      <c r="BG24" s="180" t="str">
        <f>IF(ISBLANK(AH24),"",IFERROR(VLOOKUP(AH24,Transactions!D:G,4,0)))</f>
        <v/>
      </c>
    </row>
    <row r="25">
      <c r="A25" s="14" t="str">
        <f t="shared" ref="A25:C25" si="47">AG25</f>
        <v/>
      </c>
      <c r="B25" s="14" t="str">
        <f t="shared" si="47"/>
        <v/>
      </c>
      <c r="C25" s="175" t="str">
        <f t="shared" si="47"/>
        <v/>
      </c>
      <c r="D25" s="176" t="str">
        <f>IFERROR(__xludf.DUMMYFUNCTION("IF(ISBLANK(B25),"""",IFERROR(IF(OR(AF25=""GPB"",AF25=""ZAR""),IF(AF25=Dashboard!$L$1,AJ25,(AJ25*GOOGLEFINANCE(""CURRENCY:""&amp;AF25&amp;""""&amp;Dashboard!$L$1&amp;""""))/100),IF(AF25=Dashboard!$L$1,AJ25,AJ25*GOOGLEFINANCE(""CURRENCY:""&amp;AF25&amp;""""&amp;Dashboard!$L$1&amp;""""))),"&amp;"AJ25))"),"")</f>
        <v/>
      </c>
      <c r="E25" s="177" t="str">
        <f>IFERROR(__xludf.DUMMYFUNCTION("IFERROR(IF(OR(AF25=""GBP"",AF25=""ZAR""),IF(B25="""","""",IF(AF25=Dashboard!$L$1,AK25,AK25*GOOGLEFINANCE(""CURRENCY:""&amp;AF25&amp;""""&amp;Dashboard!$L$1&amp;"""")))/100,If(B25="""","""",IF(AF25=Dashboard!$L$1,AK25,AK25*GOOGLEFINANCE(""CURRENCY:""&amp;AF25&amp;""""&amp;Dashboard!$"&amp;"L$1&amp;"""")))),AK25)"),"")</f>
        <v/>
      </c>
      <c r="F25" s="145">
        <f>IFERROR(__xludf.DUMMYFUNCTION(" E25 * GOOGLEFINANCE(""CURRENCY:USDEUR"") "),0.0)</f>
        <v>0</v>
      </c>
      <c r="G25" s="96" t="str">
        <f>IFERROR(__xludf.DUMMYFUNCTION("IF(ISBLANK(B25),"""",IFERROR(SPARKLINE(INDEX(GOOGLEFINANCE(B25,""price"",TODAY()-$G$2,TODAY()),,2),{""charttype"",""column"";""color"",""17a7e0""}),""""))"),"")</f>
        <v/>
      </c>
      <c r="H25" s="50" t="str">
        <f t="shared" si="3"/>
        <v/>
      </c>
      <c r="I25" s="96" t="str">
        <f>IFERROR(__xludf.DUMMYFUNCTION("IF(ISBLANK(B25),"""",IFERROR(IF(OR(AF25=""GPB"",AF25=""ZAR""),IF(AF25=Dashboard!$L$1,AN25,(AN25*GOOGLEFINANCE(""CURRENCY:""&amp;AF25&amp;""""&amp;Dashboard!$L$1&amp;""""))/100),IF(AF25=Dashboard!$L$1,AN25,AN25*GOOGLEFINANCE(""CURRENCY:""&amp;AF25&amp;""""&amp;Dashboard!$L$1&amp;""""))),"&amp;"AN25))"),"")</f>
        <v/>
      </c>
      <c r="J25" s="178" t="str">
        <f>IF(ISBLANK(B25),"",IFERROR(((C25-SUMIFS(Transactions!I:I,Transactions!H:H,"Crypto Interest",Transactions!D:D,B25))*D25),""))</f>
        <v/>
      </c>
      <c r="K25" s="178" t="str">
        <f t="shared" si="4"/>
        <v/>
      </c>
      <c r="L25" s="145">
        <f>-SUMIFS(Transactions!$M$3:$M149,Transactions!$H$3:$H149,"Buy",Transactions!$D$3:$D149,B25)</f>
        <v>0</v>
      </c>
      <c r="M25" s="145">
        <f>IF(ISBLANK(AG25),"",SUMIFS(Transactions!$M$3:$M149,Transactions!$H$3:$H149,"Dividend",Transactions!$D$3:$D149,B25))</f>
        <v>0</v>
      </c>
      <c r="N25" s="145" t="str">
        <f>IF(ISBLANK(AH25),"",SUMIFS(Transactions!$M$3:$M149,Transactions!$H$3:$H149,"Sell",Transactions!$D$3:$D149,B25))</f>
        <v/>
      </c>
      <c r="O25" s="50" t="str">
        <f t="shared" si="5"/>
        <v/>
      </c>
      <c r="P25" s="178" t="str">
        <f t="shared" si="6"/>
        <v/>
      </c>
      <c r="Q25" s="178" t="str">
        <f>IFERROR(__xludf.DUMMYFUNCTION("IF(ISBLANK(B25),"""",IFERROR(IF(OR(AF25=""GPB"",AF25=""ZAR""),IF(AF25=Dashboard!$L$1,AS25,(AS25*GOOGLEFINANCE(""CURRENCY:""&amp;AF25&amp;""""&amp;Dashboard!$L$1&amp;""""))/100),IF(AF25=Dashboard!$L$1,AS25,AS25*GOOGLEFINANCE(""CURRENCY:""&amp;AF25&amp;""""&amp;Dashboard!$L$1&amp;""""))),"&amp;"AS25))"),"")</f>
        <v/>
      </c>
      <c r="R25" s="178" t="str">
        <f t="shared" si="7"/>
        <v/>
      </c>
      <c r="S25" s="50" t="str">
        <f>IFERROR(__xludf.DUMMYFUNCTION("IF(ISBLANK(B25),"""",IFERROR((GOOGLEFINANCE(B25,""price"")/INDEX(GOOGLEFINANCE(B25,""price"",DATEVALUE(TODAY()-$S$2) ),2,2)-1),""""))"),"")</f>
        <v/>
      </c>
      <c r="U25" s="50" t="str">
        <f>IFERROR(__xludf.DUMMYFUNCTION("IF(ISBLANK(B25),"""",IFERROR((GOOGLEFINANCE($U$2,""price"")/INDEX(GOOGLEFINANCE($U$2,""price"",DATEVALUE(TODAY()-$S$2) ),2,2)-1),""""))"),"")</f>
        <v/>
      </c>
      <c r="W25" s="50" t="str">
        <f t="shared" si="8"/>
        <v/>
      </c>
      <c r="X25" s="50" t="str">
        <f t="shared" si="9"/>
        <v/>
      </c>
      <c r="Y25" s="179">
        <v>0.0</v>
      </c>
      <c r="Z25" s="50" t="str">
        <f t="shared" si="10"/>
        <v/>
      </c>
      <c r="AA25" s="14" t="str">
        <f t="shared" si="11"/>
        <v/>
      </c>
      <c r="AB25" s="50" t="str">
        <f t="shared" si="12"/>
        <v/>
      </c>
      <c r="AC25" s="179" t="str">
        <f t="shared" si="13"/>
        <v/>
      </c>
      <c r="AD25" s="50" t="str">
        <f t="shared" si="14"/>
        <v/>
      </c>
      <c r="AE25" s="180" t="str">
        <f t="shared" si="15"/>
        <v/>
      </c>
      <c r="AF25" s="14" t="str">
        <f t="array" ref="AF25">IFERROR(IF(ISBLANK(AH25),"",IF(VLOOKUP(AH25,Transactions!D:F,3,0)="Stablecoin",AH25,INDEX(Transactions!$B$3:$B149,MATCH(AH25,Transactions!$D$3:$D149,0),0))))</f>
        <v/>
      </c>
      <c r="AG25" s="14" t="str">
        <f>IF(ISBLANK(AH25),"",VLOOKUP(AH25,Transactions!D:E,2,0))</f>
        <v/>
      </c>
      <c r="AH25" s="14"/>
      <c r="AI25" s="158" t="str">
        <f>IF(ISBLANK(AH25),"",IF(
SUMIFS(Transactions!$I$3:$I149,Transactions!$H$3:$H149,"Buy",Transactions!$F$3:$F149,"Stock",Transactions!$D$3:$D149,AH25)
+SUMIFS(Transactions!$I$3:$I149,Transactions!$H$3:$H149,"DRIP",Transactions!$F$3:$F149,"Stock",Transactions!$D$3:$D149,AH25)
+SUMIFS(Transactions!$I$3:$I149,Transactions!$H$3:$H149,"Transfer Deposit",Transactions!$F$3:$F149,"Stock",Transactions!$D$3:$D149,AH25)
+SUMIFS(Transactions!$I$3:$I149,Transactions!$H$3:$H149,"Buy",Transactions!$F$3:$F149,"ETF",Transactions!$D$3:$D149,AH25)
+SUMIFS(Transactions!$I$3:$I149,Transactions!$H$3:$H149,"DRIP",Transactions!$F$3:$F149,"ETF",Transactions!$D$3:$D149,AH25)
+SUMIFS(Transactions!$I$3:$I149,Transactions!$H$3:$H149,"Transfer Deposit",Transactions!$F$3:$F149,"ETF",Transactions!$D$3:$D149,AH25)
+SUMIFS(Transactions!$I$3:$I149,Transactions!$H$3:$H149,"Buy",Transactions!$F$3:$F149,"Commodity",Transactions!$D$3:$D149,AH25)
+SUMIFS(Transactions!$I$3:$I149,Transactions!$H$3:$H149,"DRIP",Transactions!$F$3:$F149,"Commodity",Transactions!$D$3:$D149,AH25)
+SUMIFS(Transactions!$I$3:$I149,Transactions!$H$3:$H149,"Transfer Deposit",Transactions!$F$3:$F149,"Commodity",Transactions!$D$3:$D149,AH25)
+SUMIFS(Transactions!$I$3:$I149,Transactions!$H$3:$H149,"Buy",Transactions!$F$3:$F149,"Managed Fund",Transactions!$D$3:$D149,AH25)
+SUMIFS(Transactions!$I$3:$I149,Transactions!$H$3:$H149,"DRIP",Transactions!$F$3:$F149,"Managed Fund",Transactions!$D$3:$D149,AH25)
+SUMIFS(Transactions!$I$3:$I149,Transactions!$H$3:$H149,"Transfer Deposit",Transactions!$F$3:$F149,"Managed Fund",Transactions!$D$3:$D149,AH25)
+SUMIFS(Transactions!$I$3:$I149,Transactions!$H$3:$H149,"Buy",Transactions!$F$3:$F149,"REIT",Transactions!$D$3:$D149,AH25)
+SUMIFS(Transactions!$I$3:$I149,Transactions!$H$3:$H149,"DRIP",Transactions!$F$3:$F149,"REIT",Transactions!$D$3:$D149,AH25)
+SUMIFS(Transactions!$I$3:$I149,Transactions!$H$3:$H149,"Transfer Deposit",Transactions!$F$3:$F149,"REIT",Transactions!$D$3:$D149,AH25)
-SUMIFS(Transactions!$I$3:$I149,Transactions!$H$3:$H149,"Sell",Transactions!$F$3:$F149,"Stock",Transactions!$D$3:$D149,AH25)
-SUMIFS(Transactions!$I$3:$I149,Transactions!$H$3:$H149,"Transfer Send",Transactions!$F$3:$F149,"Stock",Transactions!$D$3:$D149,AH25)
-SUMIFS(Transactions!$I$3:$I149,Transactions!$H$3:$H149,"Sell",Transactions!$F$3:$F149,"ETF",Transactions!$D$3:$D149,AH25)
-SUMIFS(Transactions!$I$3:$I149,Transactions!$H$3:$H149,"Transfer Send",Transactions!$F$3:$F149,"ETF",Transactions!$D$3:$D149,AH25)
-SUMIFS(Transactions!$I$3:$I149,Transactions!$H$3:$H149,"Sell",Transactions!$F$3:$F149,"Commodity",Transactions!$D$3:$D149,AH25)
-SUMIFS(Transactions!$I$3:$I149,Transactions!$H$3:$H149,"Transfer Send",Transactions!$F$3:$F149,"Commodity",Transactions!$D$3:$D149,AH25)
-SUMIFS(Transactions!$I$3:$I149,Transactions!$H$3:$H149,"Sell",Transactions!$F$3:$F149,"Managed Fund",Transactions!$D$3:$D149,AH25)
-SUMIFS(Transactions!$I$3:$I149,Transactions!$H$3:$H149,"Transfer Send",Transactions!$F$3:$F149,"Managed Fund",Transactions!$D$3:$D149,AH25)
-SUMIFS(Transactions!$I$3:$I149,Transactions!$H$3:$H149,"Sell",Transactions!$F$3:$F149,"REIT",Transactions!$D$3:$D149,AH25)
-SUMIFS(Transactions!$I$3:$I149,Transactions!$H$3:$H149,"Transfer Send",Transactions!$F$3:$F149,"REIT",Transactions!$D$3:$D149,AH25)
+SUMIFS(Transactions!$I$3:$I149,Transactions!$H$3:$H149,"Buy",Transactions!$F$3:$F149,"Crypto",Transactions!$D$3:$D149,AH25)
+SUMIFS(Transactions!$I$3:$I149,Transactions!$H$3:$H149,"Crypto Interest",Transactions!$F$3:$F149,"Crypto",Transactions!$D$3:$D149,AH25)
+SUMIFS(Transactions!$I$3:$I149,Transactions!$H$3:$H149,"Transfer Deposit",Transactions!$F$3:$F149,"Crypto",Transactions!$D$3:$D149,AH25)
-SUMIFS(Transactions!$I$3:$I149,Transactions!$H$3:$H149,"Transfer Send",Transactions!$F$3:$F149,"Crypto",Transactions!$D$3:$D149,AH25)
-SUMIFS(Transactions!$I$3:$I149,Transactions!$H$3:$H149,"Sell",Transactions!$F$3:$F149,"Crypto",Transactions!$D$3:$D149,AH25)
+SUMIFS(Transactions!$I$3:$I149,Transactions!$H$3:$H149,"Buy",Transactions!$F$3:$F149,"Stablecoin",Transactions!$D$3:$D149,AH25)
+SUMIFS(Transactions!$I$3:$I149,Transactions!$H$3:$H149,"Crypto Interest",Transactions!$F$3:$F149,"Stablecoin",Transactions!$D$3:$D149,AH25)
+SUMIFS(Transactions!$I$3:$I149,Transactions!$H$3:$H149,"Transfer Deposit",Transactions!$F$3:$F149,"Stablecoin",Transactions!$D$3:$D149,AH25)
-SUMIFS(Transactions!$I$3:$I149,Transactions!$H$3:$H149,"Transfer Send",Transactions!$F$3:$F149,"Stablecoin",Transactions!$D$3:$D149,AH25)
-SUMIFS(Transactions!$I$3:$I149,Transactions!$H$3:$H149,"Sell",Transactions!$F$3:$F149,"Stablecoin",Transactions!$D$3:$D149,AH25)
-SUMIFS(Transactions!$M$3:$M149,Transactions!$H$3:$H149,"Buy",Transactions!$B$3:$B149,AH25)=0,"Sold All",
SUMIFS(Transactions!$I$3:$I149,Transactions!$H$3:$H149,"Buy",Transactions!$F$3:$F149,"Stock",Transactions!$D$3:$D149,AH25)
+SUMIFS(Transactions!$I$3:$I149,Transactions!$H$3:$H149,"DRIP",Transactions!$F$3:$F149,"Stock",Transactions!$D$3:$D149,AH25)
+SUMIFS(Transactions!$I$3:$I149,Transactions!$H$3:$H149,"Transfer Deposit",Transactions!$F$3:$F149,"Stock",Transactions!$D$3:$D149,AH25)
+SUMIFS(Transactions!$I$3:$I149,Transactions!$H$3:$H149,"Buy",Transactions!$F$3:$F149,"ETF",Transactions!$D$3:$D149,AH25)
+SUMIFS(Transactions!$I$3:$I149,Transactions!$H$3:$H149,"DRIP",Transactions!$F$3:$F149,"ETF",Transactions!$D$3:$D149,AH25)
+SUMIFS(Transactions!$I$3:$I149,Transactions!$H$3:$H149,"Transfer Deposit",Transactions!$F$3:$F149,"ETF",Transactions!$D$3:$D149,AH25)
+SUMIFS(Transactions!$I$3:$I149,Transactions!$H$3:$H149,"Buy",Transactions!$F$3:$F149,"Commodity",Transactions!$D$3:$D149,AH25)
+SUMIFS(Transactions!$I$3:$I149,Transactions!$H$3:$H149,"DRIP",Transactions!$F$3:$F149,"Commodity",Transactions!$D$3:$D149,AH25)
+SUMIFS(Transactions!$I$3:$I149,Transactions!$H$3:$H149,"Transfer Deposit",Transactions!$F$3:$F149,"Commodity",Transactions!$D$3:$D149,AH25)
+SUMIFS(Transactions!$I$3:$I149,Transactions!$H$3:$H149,"Buy",Transactions!$F$3:$F149,"Managed Fund",Transactions!$D$3:$D149,AH25)
+SUMIFS(Transactions!$I$3:$I149,Transactions!$H$3:$H149,"DRIP",Transactions!$F$3:$F149,"Managed Fund",Transactions!$D$3:$D149,AH25)
+SUMIFS(Transactions!$I$3:$I149,Transactions!$H$3:$H149,"Transfer Deposit",Transactions!$F$3:$F149,"Managed Fund",Transactions!$D$3:$D149,AH25)
+SUMIFS(Transactions!$I$3:$I149,Transactions!$H$3:$H149,"Buy",Transactions!$F$3:$F149,"REIT",Transactions!$D$3:$D149,AH25)
+SUMIFS(Transactions!$I$3:$I149,Transactions!$H$3:$H149,"DRIP",Transactions!$F$3:$F149,"REIT",Transactions!$D$3:$D149,AH25)
+SUMIFS(Transactions!$I$3:$I149,Transactions!$H$3:$H149,"Transfer Deposit",Transactions!$F$3:$F149,"REIT",Transactions!$D$3:$D149,AH25)
-SUMIFS(Transactions!$I$3:$I149,Transactions!$H$3:$H149,"Sell",Transactions!$F$3:$F149,"Stock",Transactions!$D$3:$D149,AH25)
-SUMIFS(Transactions!$I$3:$I149,Transactions!$H$3:$H149,"Transfer Send",Transactions!$F$3:$F149,"Stock",Transactions!$D$3:$D149,AH25)
-SUMIFS(Transactions!$I$3:$I149,Transactions!$H$3:$H149,"Sell",Transactions!$F$3:$F149,"ETF",Transactions!$D$3:$D149,AH25)
-SUMIFS(Transactions!$I$3:$I149,Transactions!$H$3:$H149,"Transfer Send",Transactions!$F$3:$F149,"ETF",Transactions!$D$3:$D149,AH25)
-SUMIFS(Transactions!$I$3:$I149,Transactions!$H$3:$H149,"Sell",Transactions!$F$3:$F149,"Commodity",Transactions!$D$3:$D149,AH25)
-SUMIFS(Transactions!$I$3:$I149,Transactions!$H$3:$H149,"Transfer Send",Transactions!$F$3:$F149,"Commodity",Transactions!$D$3:$D149,AH25)
-SUMIFS(Transactions!$I$3:$I149,Transactions!$H$3:$H149,"Sell",Transactions!$F$3:$F149,"Managed Fund",Transactions!$D$3:$D149,AH25)
-SUMIFS(Transactions!$I$3:$I149,Transactions!$H$3:$H149,"Transfer Send",Transactions!$F$3:$F149,"Managed Fund",Transactions!$D$3:$D149,AH25)
-SUMIFS(Transactions!$I$3:$I149,Transactions!$H$3:$H149,"Sell",Transactions!$F$3:$F149,"REIT",Transactions!$D$3:$D149,AH25)
-SUMIFS(Transactions!$I$3:$I149,Transactions!$H$3:$H149,"Transfer Send",Transactions!$F$3:$F149,"REIT",Transactions!$D$3:$D149,AH25)
+SUMIFS(Transactions!$I$3:$I149,Transactions!$H$3:$H149,"Buy",Transactions!$F$3:$F149,"Crypto",Transactions!$D$3:$D149,AH25)
+SUMIFS(Transactions!$I$3:$I149,Transactions!$H$3:$H149,"Crypto Interest",Transactions!$F$3:$F149,"Crypto",Transactions!$D$3:$D149,AH25)
+SUMIFS(Transactions!$I$3:$I149,Transactions!$H$3:$H149,"Transfer Deposit",Transactions!$F$3:$F149,"Crypto",Transactions!$D$3:$D149,AH25)
-SUMIFS(Transactions!$I$3:$I149,Transactions!$H$3:$H149,"Transfer Send",Transactions!$F$3:$F149,"Crypto",Transactions!$D$3:$D149,AH25)
-SUMIFS(Transactions!$I$3:$I149,Transactions!$H$3:$H149,"Sell",Transactions!$F$3:$F149,"Crypto",Transactions!$D$3:$D149,AH25)
+SUMIFS(Transactions!$I$3:$I149,Transactions!$H$3:$H149,"Buy",Transactions!$F$3:$F149,"Stablecoin",Transactions!$D$3:$D149,AH25)
+SUMIFS(Transactions!$I$3:$I149,Transactions!$H$3:$H149,"Crypto Interest",Transactions!$F$3:$F149,"Stablecoin",Transactions!$D$3:$D149,AH25)
+SUMIFS(Transactions!$I$3:$I149,Transactions!$H$3:$H149,"Transfer Deposit",Transactions!$F$3:$F149,"Stablecoin",Transactions!$D$3:$D149,AH25)
-SUMIFS(Transactions!$I$3:$I149,Transactions!$H$3:$H149,"Transfer Send",Transactions!$F$3:$F149,"Stablecoin",Transactions!$D$3:$D149,AH25)
-SUMIFS(Transactions!$I$3:$I149,Transactions!$H$3:$H149,"Sell",Transactions!$F$3:$F149,"Stablecoin",Transactions!$D$3:$D149,AH25)
-SUMIFS(Transactions!$M$3:$M149,Transactions!$H$3:$H149,"Buy",Transactions!$B$3:$B149,AH25)))</f>
        <v/>
      </c>
      <c r="AJ25" s="181" t="str">
        <f>IFERROR(__xludf.DUMMYFUNCTION("IF(ISBLANK(AH25),"""",VLOOKUP(9^99,FILTER({ROW(Transactions!P:P),Transactions!P:P},Transactions!D:D=AH25),2))"),"")</f>
        <v/>
      </c>
      <c r="AK25" s="181" t="str">
        <f>IFERROR(__xludf.DUMMYFUNCTION("IF(ISBLANK(AH25),"""",IFERROR(GOOGLEFINANCE(AH25,""price""),IFERROR(GOOGLEFINANCE(""CURRENCY:""&amp;AH25&amp;""""),IFERROR(INDEX(YAHOO_STOCK(TRIM(AH25), $G$2),0,1),INDEX(IMPORTHTML(CONCAT(""https://coinmarketcap.com/currencies/"",AG25),""table"",1),1,2)))))"),"")</f>
        <v/>
      </c>
      <c r="AL25" s="14" t="str">
        <f>IFERROR(__xludf.DUMMYFUNCTION("IF(ISBLANK(AH25),"""",IFERROR(SPARKLINE(INDEX(GOOGLEFINANCE(AH25,""price"",TODAY()-$AL$2,TODAY()),,2),{""charttype"",""column"";""color"",""17a7e0""}),""""))"),"")</f>
        <v/>
      </c>
      <c r="AM25" s="50" t="str">
        <f>IFERROR(__xludf.DUMMYFUNCTION("IFNA(IFERROR(IF(AH25="""","""",GOOGLEFINANCE(AH25,""changepct"")/100),(GOOGLEFINANCE(AH25)-(INDEX(GOOGLEFINANCE(""CURRENCY:""&amp;AH25&amp;"""",""price"",TODAY()-1),2,2)))/(INDEX(GOOGLEFINANCE(""CURRENCY:""&amp;AH25&amp;"""",""price"",TODAY()-1),2,2))),)"),"")</f>
        <v/>
      </c>
      <c r="AN25" s="96" t="str">
        <f>IFERROR(__xludf.DUMMYFUNCTION("IFNA(IFERROR(IF(AH25="""","""",GOOGLEFINANCE(AH25,""change"")*AI25),(GOOGLEFINANCE(AH25)-(INDEX(GOOGLEFINANCE(""CURRENCY:""&amp;AH25&amp;"""",""price"",TODAY()-1),2,2)))*AI25),"""")"),"")</f>
        <v/>
      </c>
      <c r="AO25" s="96" t="str">
        <f>IF(ISBLANK(AH25),"",IFERROR(((AI25-SUMIFS(Transactions!I:I,Transactions!H:H,"Crypto Interest",Transactions!D:D,AH25))*AJ25),""))</f>
        <v/>
      </c>
      <c r="AP25" s="96" t="str">
        <f t="shared" si="16"/>
        <v/>
      </c>
      <c r="AQ25" s="50" t="str">
        <f t="shared" si="17"/>
        <v/>
      </c>
      <c r="AR25" s="96" t="str">
        <f t="shared" si="18"/>
        <v/>
      </c>
      <c r="AS25" s="96" t="str">
        <f>IF(ISBLANK(AH25),"",SUMIFS(Transactions!$X$3:$X149,Transactions!$H$3:$H149,"Sell",Transactions!$D$3:$D149,AH25))</f>
        <v/>
      </c>
      <c r="AT25" s="96" t="str">
        <f t="shared" si="19"/>
        <v/>
      </c>
      <c r="AU25" s="50" t="str">
        <f>IFERROR(__xludf.DUMMYFUNCTION("IF(ISBLANK(AH25),"""",IFERROR((GOOGLEFINANCE(AH25,""price"")/INDEX(GOOGLEFINANCE(AH25,""price"",DATEVALUE(TODAY()-$AU$2) ),2,2)-1),""""))"),"")</f>
        <v/>
      </c>
      <c r="AW25" s="50" t="str">
        <f>IFERROR(__xludf.DUMMYFUNCTION("IF(ISBLANK(AH25),"""",IFERROR((GOOGLEFINANCE($AW$2,""price"")/INDEX(GOOGLEFINANCE($AW$2,""price"",DATEVALUE(TODAY()-$AU$2) ),2,2)-1),""""))"),"")</f>
        <v/>
      </c>
      <c r="AY25" s="50" t="str">
        <f t="shared" si="20"/>
        <v/>
      </c>
      <c r="AZ25" s="50" t="str">
        <f t="shared" si="21"/>
        <v/>
      </c>
      <c r="BA25" s="50">
        <f t="shared" si="22"/>
        <v>0</v>
      </c>
      <c r="BB25" s="14" t="str">
        <f t="shared" si="23"/>
        <v/>
      </c>
      <c r="BC25" s="14" t="str">
        <f>IF(ISBLANK(AH25),"",IFERROR(VLOOKUP(AH25,Transactions!D:F,3,0)))</f>
        <v/>
      </c>
      <c r="BD25" s="50" t="str">
        <f t="shared" si="24"/>
        <v/>
      </c>
      <c r="BE25" s="50" t="str">
        <f t="shared" si="25"/>
        <v/>
      </c>
      <c r="BF25" s="14" t="str">
        <f t="shared" si="26"/>
        <v/>
      </c>
      <c r="BG25" s="180" t="str">
        <f>IF(ISBLANK(AH25),"",IFERROR(VLOOKUP(AH25,Transactions!D:G,4,0)))</f>
        <v/>
      </c>
    </row>
    <row r="26">
      <c r="A26" s="183" t="str">
        <f t="shared" ref="A26:C26" si="48">AG26</f>
        <v/>
      </c>
      <c r="B26" s="14" t="str">
        <f t="shared" si="48"/>
        <v/>
      </c>
      <c r="C26" s="175" t="str">
        <f t="shared" si="48"/>
        <v/>
      </c>
      <c r="D26" s="176" t="str">
        <f>IFERROR(__xludf.DUMMYFUNCTION("IF(ISBLANK(B26),"""",IFERROR(IF(OR(AF26=""GPB"",AF26=""ZAR""),IF(AF26=Dashboard!$L$1,AJ26,(AJ26*GOOGLEFINANCE(""CURRENCY:""&amp;AF26&amp;""""&amp;Dashboard!$L$1&amp;""""))/100),IF(AF26=Dashboard!$L$1,AJ26,AJ26*GOOGLEFINANCE(""CURRENCY:""&amp;AF26&amp;""""&amp;Dashboard!$L$1&amp;""""))),"&amp;"AJ26))"),"")</f>
        <v/>
      </c>
      <c r="E26" s="177" t="str">
        <f>IFERROR(__xludf.DUMMYFUNCTION("IFERROR(IF(OR(AF26=""GBP"",AF26=""ZAR""),IF(B26="""","""",IF(AF26=Dashboard!$L$1,AK26,AK26*GOOGLEFINANCE(""CURRENCY:""&amp;AF26&amp;""""&amp;Dashboard!$L$1&amp;"""")))/100,If(B26="""","""",IF(AF26=Dashboard!$L$1,AK26,AK26*GOOGLEFINANCE(""CURRENCY:""&amp;AF26&amp;""""&amp;Dashboard!$"&amp;"L$1&amp;"""")))),AK26)"),"")</f>
        <v/>
      </c>
      <c r="F26" s="145">
        <f>IFERROR(__xludf.DUMMYFUNCTION(" E26 * GOOGLEFINANCE(""CURRENCY:USDEUR"") "),0.0)</f>
        <v>0</v>
      </c>
      <c r="G26" s="96" t="str">
        <f>IFERROR(__xludf.DUMMYFUNCTION("IF(ISBLANK(B26),"""",IFERROR(SPARKLINE(INDEX(GOOGLEFINANCE(B26,""price"",TODAY()-$G$2,TODAY()),,2),{""charttype"",""column"";""color"",""17a7e0""}),""""))"),"")</f>
        <v/>
      </c>
      <c r="H26" s="50" t="str">
        <f t="shared" si="3"/>
        <v/>
      </c>
      <c r="I26" s="96" t="str">
        <f>IFERROR(__xludf.DUMMYFUNCTION("IF(ISBLANK(B26),"""",IFERROR(IF(OR(AF26=""GPB"",AF26=""ZAR""),IF(AF26=Dashboard!$L$1,AN26,(AN26*GOOGLEFINANCE(""CURRENCY:""&amp;AF26&amp;""""&amp;Dashboard!$L$1&amp;""""))/100),IF(AF26=Dashboard!$L$1,AN26,AN26*GOOGLEFINANCE(""CURRENCY:""&amp;AF26&amp;""""&amp;Dashboard!$L$1&amp;""""))),"&amp;"AN26))"),"")</f>
        <v/>
      </c>
      <c r="J26" s="178" t="str">
        <f>IF(ISBLANK(B26),"",IFERROR(((C26-SUMIFS(Transactions!I:I,Transactions!H:H,"Crypto Interest",Transactions!D:D,B26))*D26),""))</f>
        <v/>
      </c>
      <c r="K26" s="178" t="str">
        <f t="shared" si="4"/>
        <v/>
      </c>
      <c r="L26" s="145">
        <f>-SUMIFS(Transactions!$M$3:$M149,Transactions!$H$3:$H149,"Buy",Transactions!$D$3:$D149,B26)</f>
        <v>0</v>
      </c>
      <c r="M26" s="145">
        <f>IF(ISBLANK(AG26),"",SUMIFS(Transactions!$M$3:$M149,Transactions!$H$3:$H149,"Dividend",Transactions!$D$3:$D149,B26))</f>
        <v>0</v>
      </c>
      <c r="N26" s="145" t="str">
        <f>IF(ISBLANK(AH26),"",SUMIFS(Transactions!$M$3:$M149,Transactions!$H$3:$H149,"Sell",Transactions!$D$3:$D149,B26))</f>
        <v/>
      </c>
      <c r="O26" s="50" t="str">
        <f t="shared" si="5"/>
        <v/>
      </c>
      <c r="P26" s="178" t="str">
        <f t="shared" si="6"/>
        <v/>
      </c>
      <c r="Q26" s="178" t="str">
        <f>IFERROR(__xludf.DUMMYFUNCTION("IF(ISBLANK(B26),"""",IFERROR(IF(OR(AF26=""GPB"",AF26=""ZAR""),IF(AF26=Dashboard!$L$1,AS26,(AS26*GOOGLEFINANCE(""CURRENCY:""&amp;AF26&amp;""""&amp;Dashboard!$L$1&amp;""""))/100),IF(AF26=Dashboard!$L$1,AS26,AS26*GOOGLEFINANCE(""CURRENCY:""&amp;AF26&amp;""""&amp;Dashboard!$L$1&amp;""""))),"&amp;"AS26))"),"")</f>
        <v/>
      </c>
      <c r="R26" s="178" t="str">
        <f t="shared" si="7"/>
        <v/>
      </c>
      <c r="S26" s="50" t="str">
        <f>IFERROR(__xludf.DUMMYFUNCTION("IF(ISBLANK(B26),"""",IFERROR((GOOGLEFINANCE(B26,""price"")/INDEX(GOOGLEFINANCE(B26,""price"",DATEVALUE(TODAY()-$S$2) ),2,2)-1),""""))"),"")</f>
        <v/>
      </c>
      <c r="U26" s="50" t="str">
        <f>IFERROR(__xludf.DUMMYFUNCTION("IF(ISBLANK(B26),"""",IFERROR((GOOGLEFINANCE($U$2,""price"")/INDEX(GOOGLEFINANCE($U$2,""price"",DATEVALUE(TODAY()-$S$2) ),2,2)-1),""""))"),"")</f>
        <v/>
      </c>
      <c r="W26" s="50" t="str">
        <f t="shared" si="8"/>
        <v/>
      </c>
      <c r="X26" s="50" t="str">
        <f t="shared" si="9"/>
        <v/>
      </c>
      <c r="Y26" s="179">
        <v>0.02</v>
      </c>
      <c r="Z26" s="50" t="str">
        <f t="shared" si="10"/>
        <v/>
      </c>
      <c r="AA26" s="14" t="str">
        <f t="shared" si="11"/>
        <v/>
      </c>
      <c r="AB26" s="50" t="str">
        <f t="shared" si="12"/>
        <v/>
      </c>
      <c r="AC26" s="179" t="str">
        <f t="shared" si="13"/>
        <v/>
      </c>
      <c r="AD26" s="50" t="str">
        <f t="shared" si="14"/>
        <v/>
      </c>
      <c r="AE26" s="180" t="str">
        <f t="shared" si="15"/>
        <v/>
      </c>
      <c r="AF26" s="14" t="str">
        <f t="array" ref="AF26">IFERROR(IF(ISBLANK(AH26),"",IF(VLOOKUP(AH26,Transactions!D:F,3,0)="Stablecoin",AH26,INDEX(Transactions!$B$3:$B149,MATCH(AH26,Transactions!$D$3:$D149,0),0))))</f>
        <v/>
      </c>
      <c r="AG26" s="14" t="str">
        <f>IF(ISBLANK(AH26),"",VLOOKUP(AH26,Transactions!D:E,2,0))</f>
        <v/>
      </c>
      <c r="AH26" s="14"/>
      <c r="AI26" s="184" t="str">
        <f>IF(ISBLANK(AH26),"",IF(
SUMIFS(Transactions!$I$3:$I149,Transactions!$H$3:$H149,"Buy",Transactions!$F$3:$F149,"Stock",Transactions!$D$3:$D149,AH26)
+SUMIFS(Transactions!$I$3:$I149,Transactions!$H$3:$H149,"DRIP",Transactions!$F$3:$F149,"Stock",Transactions!$D$3:$D149,AH26)
+SUMIFS(Transactions!$I$3:$I149,Transactions!$H$3:$H149,"Transfer Deposit",Transactions!$F$3:$F149,"Stock",Transactions!$D$3:$D149,AH26)
+SUMIFS(Transactions!$I$3:$I149,Transactions!$H$3:$H149,"Buy",Transactions!$F$3:$F149,"ETF",Transactions!$D$3:$D149,AH26)
+SUMIFS(Transactions!$I$3:$I149,Transactions!$H$3:$H149,"DRIP",Transactions!$F$3:$F149,"ETF",Transactions!$D$3:$D149,AH26)
+SUMIFS(Transactions!$I$3:$I149,Transactions!$H$3:$H149,"Transfer Deposit",Transactions!$F$3:$F149,"ETF",Transactions!$D$3:$D149,AH26)
+SUMIFS(Transactions!$I$3:$I149,Transactions!$H$3:$H149,"Buy",Transactions!$F$3:$F149,"Commodity",Transactions!$D$3:$D149,AH26)
+SUMIFS(Transactions!$I$3:$I149,Transactions!$H$3:$H149,"DRIP",Transactions!$F$3:$F149,"Commodity",Transactions!$D$3:$D149,AH26)
+SUMIFS(Transactions!$I$3:$I149,Transactions!$H$3:$H149,"Transfer Deposit",Transactions!$F$3:$F149,"Commodity",Transactions!$D$3:$D149,AH26)
+SUMIFS(Transactions!$I$3:$I149,Transactions!$H$3:$H149,"Buy",Transactions!$F$3:$F149,"Managed Fund",Transactions!$D$3:$D149,AH26)
+SUMIFS(Transactions!$I$3:$I149,Transactions!$H$3:$H149,"DRIP",Transactions!$F$3:$F149,"Managed Fund",Transactions!$D$3:$D149,AH26)
+SUMIFS(Transactions!$I$3:$I149,Transactions!$H$3:$H149,"Transfer Deposit",Transactions!$F$3:$F149,"Managed Fund",Transactions!$D$3:$D149,AH26)
+SUMIFS(Transactions!$I$3:$I149,Transactions!$H$3:$H149,"Buy",Transactions!$F$3:$F149,"REIT",Transactions!$D$3:$D149,AH26)
+SUMIFS(Transactions!$I$3:$I149,Transactions!$H$3:$H149,"DRIP",Transactions!$F$3:$F149,"REIT",Transactions!$D$3:$D149,AH26)
+SUMIFS(Transactions!$I$3:$I149,Transactions!$H$3:$H149,"Transfer Deposit",Transactions!$F$3:$F149,"REIT",Transactions!$D$3:$D149,AH26)
-SUMIFS(Transactions!$I$3:$I149,Transactions!$H$3:$H149,"Sell",Transactions!$F$3:$F149,"Stock",Transactions!$D$3:$D149,AH26)
-SUMIFS(Transactions!$I$3:$I149,Transactions!$H$3:$H149,"Transfer Send",Transactions!$F$3:$F149,"Stock",Transactions!$D$3:$D149,AH26)
-SUMIFS(Transactions!$I$3:$I149,Transactions!$H$3:$H149,"Sell",Transactions!$F$3:$F149,"ETF",Transactions!$D$3:$D149,AH26)
-SUMIFS(Transactions!$I$3:$I149,Transactions!$H$3:$H149,"Transfer Send",Transactions!$F$3:$F149,"ETF",Transactions!$D$3:$D149,AH26)
-SUMIFS(Transactions!$I$3:$I149,Transactions!$H$3:$H149,"Sell",Transactions!$F$3:$F149,"Commodity",Transactions!$D$3:$D149,AH26)
-SUMIFS(Transactions!$I$3:$I149,Transactions!$H$3:$H149,"Transfer Send",Transactions!$F$3:$F149,"Commodity",Transactions!$D$3:$D149,AH26)
-SUMIFS(Transactions!$I$3:$I149,Transactions!$H$3:$H149,"Sell",Transactions!$F$3:$F149,"Managed Fund",Transactions!$D$3:$D149,AH26)
-SUMIFS(Transactions!$I$3:$I149,Transactions!$H$3:$H149,"Transfer Send",Transactions!$F$3:$F149,"Managed Fund",Transactions!$D$3:$D149,AH26)
-SUMIFS(Transactions!$I$3:$I149,Transactions!$H$3:$H149,"Sell",Transactions!$F$3:$F149,"REIT",Transactions!$D$3:$D149,AH26)
-SUMIFS(Transactions!$I$3:$I149,Transactions!$H$3:$H149,"Transfer Send",Transactions!$F$3:$F149,"REIT",Transactions!$D$3:$D149,AH26)
+SUMIFS(Transactions!$I$3:$I149,Transactions!$H$3:$H149,"Buy",Transactions!$F$3:$F149,"Crypto",Transactions!$D$3:$D149,AH26)
+SUMIFS(Transactions!$I$3:$I149,Transactions!$H$3:$H149,"Crypto Interest",Transactions!$F$3:$F149,"Crypto",Transactions!$D$3:$D149,AH26)
+SUMIFS(Transactions!$I$3:$I149,Transactions!$H$3:$H149,"Transfer Deposit",Transactions!$F$3:$F149,"Crypto",Transactions!$D$3:$D149,AH26)
-SUMIFS(Transactions!$I$3:$I149,Transactions!$H$3:$H149,"Transfer Send",Transactions!$F$3:$F149,"Crypto",Transactions!$D$3:$D149,AH26)
-SUMIFS(Transactions!$I$3:$I149,Transactions!$H$3:$H149,"Sell",Transactions!$F$3:$F149,"Crypto",Transactions!$D$3:$D149,AH26)
+SUMIFS(Transactions!$I$3:$I149,Transactions!$H$3:$H149,"Buy",Transactions!$F$3:$F149,"Stablecoin",Transactions!$D$3:$D149,AH26)
+SUMIFS(Transactions!$I$3:$I149,Transactions!$H$3:$H149,"Crypto Interest",Transactions!$F$3:$F149,"Stablecoin",Transactions!$D$3:$D149,AH26)
+SUMIFS(Transactions!$I$3:$I149,Transactions!$H$3:$H149,"Transfer Deposit",Transactions!$F$3:$F149,"Stablecoin",Transactions!$D$3:$D149,AH26)
-SUMIFS(Transactions!$I$3:$I149,Transactions!$H$3:$H149,"Transfer Send",Transactions!$F$3:$F149,"Stablecoin",Transactions!$D$3:$D149,AH26)
-SUMIFS(Transactions!$I$3:$I149,Transactions!$H$3:$H149,"Sell",Transactions!$F$3:$F149,"Stablecoin",Transactions!$D$3:$D149,AH26)
-SUMIFS(Transactions!$M$3:$M149,Transactions!$H$3:$H149,"Buy",Transactions!$B$3:$B149,AH26)=0,"Sold All",
SUMIFS(Transactions!$I$3:$I149,Transactions!$H$3:$H149,"Buy",Transactions!$F$3:$F149,"Stock",Transactions!$D$3:$D149,AH26)
+SUMIFS(Transactions!$I$3:$I149,Transactions!$H$3:$H149,"DRIP",Transactions!$F$3:$F149,"Stock",Transactions!$D$3:$D149,AH26)
+SUMIFS(Transactions!$I$3:$I149,Transactions!$H$3:$H149,"Transfer Deposit",Transactions!$F$3:$F149,"Stock",Transactions!$D$3:$D149,AH26)
+SUMIFS(Transactions!$I$3:$I149,Transactions!$H$3:$H149,"Buy",Transactions!$F$3:$F149,"ETF",Transactions!$D$3:$D149,AH26)
+SUMIFS(Transactions!$I$3:$I149,Transactions!$H$3:$H149,"DRIP",Transactions!$F$3:$F149,"ETF",Transactions!$D$3:$D149,AH26)
+SUMIFS(Transactions!$I$3:$I149,Transactions!$H$3:$H149,"Transfer Deposit",Transactions!$F$3:$F149,"ETF",Transactions!$D$3:$D149,AH26)
+SUMIFS(Transactions!$I$3:$I149,Transactions!$H$3:$H149,"Buy",Transactions!$F$3:$F149,"Commodity",Transactions!$D$3:$D149,AH26)
+SUMIFS(Transactions!$I$3:$I149,Transactions!$H$3:$H149,"DRIP",Transactions!$F$3:$F149,"Commodity",Transactions!$D$3:$D149,AH26)
+SUMIFS(Transactions!$I$3:$I149,Transactions!$H$3:$H149,"Transfer Deposit",Transactions!$F$3:$F149,"Commodity",Transactions!$D$3:$D149,AH26)
+SUMIFS(Transactions!$I$3:$I149,Transactions!$H$3:$H149,"Buy",Transactions!$F$3:$F149,"Managed Fund",Transactions!$D$3:$D149,AH26)
+SUMIFS(Transactions!$I$3:$I149,Transactions!$H$3:$H149,"DRIP",Transactions!$F$3:$F149,"Managed Fund",Transactions!$D$3:$D149,AH26)
+SUMIFS(Transactions!$I$3:$I149,Transactions!$H$3:$H149,"Transfer Deposit",Transactions!$F$3:$F149,"Managed Fund",Transactions!$D$3:$D149,AH26)
+SUMIFS(Transactions!$I$3:$I149,Transactions!$H$3:$H149,"Buy",Transactions!$F$3:$F149,"REIT",Transactions!$D$3:$D149,AH26)
+SUMIFS(Transactions!$I$3:$I149,Transactions!$H$3:$H149,"DRIP",Transactions!$F$3:$F149,"REIT",Transactions!$D$3:$D149,AH26)
+SUMIFS(Transactions!$I$3:$I149,Transactions!$H$3:$H149,"Transfer Deposit",Transactions!$F$3:$F149,"REIT",Transactions!$D$3:$D149,AH26)
-SUMIFS(Transactions!$I$3:$I149,Transactions!$H$3:$H149,"Sell",Transactions!$F$3:$F149,"Stock",Transactions!$D$3:$D149,AH26)
-SUMIFS(Transactions!$I$3:$I149,Transactions!$H$3:$H149,"Transfer Send",Transactions!$F$3:$F149,"Stock",Transactions!$D$3:$D149,AH26)
-SUMIFS(Transactions!$I$3:$I149,Transactions!$H$3:$H149,"Sell",Transactions!$F$3:$F149,"ETF",Transactions!$D$3:$D149,AH26)
-SUMIFS(Transactions!$I$3:$I149,Transactions!$H$3:$H149,"Transfer Send",Transactions!$F$3:$F149,"ETF",Transactions!$D$3:$D149,AH26)
-SUMIFS(Transactions!$I$3:$I149,Transactions!$H$3:$H149,"Sell",Transactions!$F$3:$F149,"Commodity",Transactions!$D$3:$D149,AH26)
-SUMIFS(Transactions!$I$3:$I149,Transactions!$H$3:$H149,"Transfer Send",Transactions!$F$3:$F149,"Commodity",Transactions!$D$3:$D149,AH26)
-SUMIFS(Transactions!$I$3:$I149,Transactions!$H$3:$H149,"Sell",Transactions!$F$3:$F149,"Managed Fund",Transactions!$D$3:$D149,AH26)
-SUMIFS(Transactions!$I$3:$I149,Transactions!$H$3:$H149,"Transfer Send",Transactions!$F$3:$F149,"Managed Fund",Transactions!$D$3:$D149,AH26)
-SUMIFS(Transactions!$I$3:$I149,Transactions!$H$3:$H149,"Sell",Transactions!$F$3:$F149,"REIT",Transactions!$D$3:$D149,AH26)
-SUMIFS(Transactions!$I$3:$I149,Transactions!$H$3:$H149,"Transfer Send",Transactions!$F$3:$F149,"REIT",Transactions!$D$3:$D149,AH26)
+SUMIFS(Transactions!$I$3:$I149,Transactions!$H$3:$H149,"Buy",Transactions!$F$3:$F149,"Crypto",Transactions!$D$3:$D149,AH26)
+SUMIFS(Transactions!$I$3:$I149,Transactions!$H$3:$H149,"Crypto Interest",Transactions!$F$3:$F149,"Crypto",Transactions!$D$3:$D149,AH26)
+SUMIFS(Transactions!$I$3:$I149,Transactions!$H$3:$H149,"Transfer Deposit",Transactions!$F$3:$F149,"Crypto",Transactions!$D$3:$D149,AH26)
-SUMIFS(Transactions!$I$3:$I149,Transactions!$H$3:$H149,"Transfer Send",Transactions!$F$3:$F149,"Crypto",Transactions!$D$3:$D149,AH26)
-SUMIFS(Transactions!$I$3:$I149,Transactions!$H$3:$H149,"Sell",Transactions!$F$3:$F149,"Crypto",Transactions!$D$3:$D149,AH26)
+SUMIFS(Transactions!$I$3:$I149,Transactions!$H$3:$H149,"Buy",Transactions!$F$3:$F149,"Stablecoin",Transactions!$D$3:$D149,AH26)
+SUMIFS(Transactions!$I$3:$I149,Transactions!$H$3:$H149,"Crypto Interest",Transactions!$F$3:$F149,"Stablecoin",Transactions!$D$3:$D149,AH26)
+SUMIFS(Transactions!$I$3:$I149,Transactions!$H$3:$H149,"Transfer Deposit",Transactions!$F$3:$F149,"Stablecoin",Transactions!$D$3:$D149,AH26)
-SUMIFS(Transactions!$I$3:$I149,Transactions!$H$3:$H149,"Transfer Send",Transactions!$F$3:$F149,"Stablecoin",Transactions!$D$3:$D149,AH26)
-SUMIFS(Transactions!$I$3:$I149,Transactions!$H$3:$H149,"Sell",Transactions!$F$3:$F149,"Stablecoin",Transactions!$D$3:$D149,AH26)
-SUMIFS(Transactions!$M$3:$M149,Transactions!$H$3:$H149,"Buy",Transactions!$B$3:$B149,AH26)))</f>
        <v/>
      </c>
      <c r="AJ26" s="181" t="str">
        <f>IFERROR(__xludf.DUMMYFUNCTION("IF(ISBLANK(AH26),"""",VLOOKUP(9^99,FILTER({ROW(Transactions!P:P),Transactions!P:P},Transactions!D:D=AH26),2))"),"")</f>
        <v/>
      </c>
      <c r="AK26" s="181" t="str">
        <f>IFERROR(__xludf.DUMMYFUNCTION("IF(ISBLANK(AH26),"""",IFERROR(GOOGLEFINANCE(AH26,""price""),IFERROR(GOOGLEFINANCE(""CURRENCY:""&amp;AH26&amp;""""),IFERROR(INDEX(YAHOO_STOCK(TRIM(AH26), $G$2),0,1),INDEX(IMPORTHTML(CONCAT(""https://coinmarketcap.com/currencies/"",AG26),""table"",1),1,2)))))"),"")</f>
        <v/>
      </c>
      <c r="AL26" s="14" t="str">
        <f>IFERROR(__xludf.DUMMYFUNCTION("IF(ISBLANK(AH26),"""",IFERROR(SPARKLINE(INDEX(GOOGLEFINANCE(AH26,""price"",TODAY()-$AL$2,TODAY()),,2),{""charttype"",""column"";""color"",""17a7e0""}),""""))"),"")</f>
        <v/>
      </c>
      <c r="AM26" s="50" t="str">
        <f>IFERROR(__xludf.DUMMYFUNCTION("IFNA(IFERROR(IF(AH26="""","""",GOOGLEFINANCE(AH26,""changepct"")/100),(GOOGLEFINANCE(AH26)-(INDEX(GOOGLEFINANCE(""CURRENCY:""&amp;AH26&amp;"""",""price"",TODAY()-1),2,2)))/(INDEX(GOOGLEFINANCE(""CURRENCY:""&amp;AH26&amp;"""",""price"",TODAY()-1),2,2))),)"),"")</f>
        <v/>
      </c>
      <c r="AN26" s="96" t="str">
        <f>IFERROR(__xludf.DUMMYFUNCTION("IFNA(IFERROR(IF(AH26="""","""",GOOGLEFINANCE(AH26,""change"")*AI26),(GOOGLEFINANCE(AH26)-(INDEX(GOOGLEFINANCE(""CURRENCY:""&amp;AH26&amp;"""",""price"",TODAY()-1),2,2)))*AI26),"""")"),"")</f>
        <v/>
      </c>
      <c r="AO26" s="96" t="str">
        <f>IF(ISBLANK(AH26),"",IFERROR(((AI26-SUMIFS(Transactions!I:I,Transactions!H:H,"Crypto Interest",Transactions!D:D,AH26))*AJ26),""))</f>
        <v/>
      </c>
      <c r="AP26" s="96" t="str">
        <f t="shared" si="16"/>
        <v/>
      </c>
      <c r="AQ26" s="50" t="str">
        <f t="shared" si="17"/>
        <v/>
      </c>
      <c r="AR26" s="96" t="str">
        <f t="shared" si="18"/>
        <v/>
      </c>
      <c r="AS26" s="96" t="str">
        <f>IF(ISBLANK(AH26),"",SUMIFS(Transactions!$X$3:$X149,Transactions!$H$3:$H149,"Sell",Transactions!$D$3:$D149,AH26))</f>
        <v/>
      </c>
      <c r="AT26" s="96" t="str">
        <f t="shared" si="19"/>
        <v/>
      </c>
      <c r="AU26" s="50" t="str">
        <f>IFERROR(__xludf.DUMMYFUNCTION("IF(ISBLANK(AH26),"""",IFERROR((GOOGLEFINANCE(AH26,""price"")/INDEX(GOOGLEFINANCE(AH26,""price"",DATEVALUE(TODAY()-$AU$2) ),2,2)-1),""""))"),"")</f>
        <v/>
      </c>
      <c r="AW26" s="50" t="str">
        <f>IFERROR(__xludf.DUMMYFUNCTION("IF(ISBLANK(AH26),"""",IFERROR((GOOGLEFINANCE($AW$2,""price"")/INDEX(GOOGLEFINANCE($AW$2,""price"",DATEVALUE(TODAY()-$AU$2) ),2,2)-1),""""))"),"")</f>
        <v/>
      </c>
      <c r="AY26" s="50" t="str">
        <f t="shared" si="20"/>
        <v/>
      </c>
      <c r="AZ26" s="50" t="str">
        <f t="shared" si="21"/>
        <v/>
      </c>
      <c r="BA26" s="50">
        <f t="shared" si="22"/>
        <v>0.02</v>
      </c>
      <c r="BB26" s="14" t="str">
        <f t="shared" si="23"/>
        <v/>
      </c>
      <c r="BC26" s="14" t="str">
        <f>IF(ISBLANK(AH26),"",IFERROR(VLOOKUP(AH26,Transactions!D:F,3,0)))</f>
        <v/>
      </c>
      <c r="BD26" s="50" t="str">
        <f t="shared" si="24"/>
        <v/>
      </c>
      <c r="BE26" s="50" t="str">
        <f t="shared" si="25"/>
        <v/>
      </c>
      <c r="BF26" s="14" t="str">
        <f t="shared" si="26"/>
        <v/>
      </c>
      <c r="BG26" s="180" t="str">
        <f>IF(ISBLANK(AH26),"",IFERROR(VLOOKUP(AH26,Transactions!D:G,4,0)))</f>
        <v/>
      </c>
    </row>
    <row r="27">
      <c r="A27" s="14" t="str">
        <f t="shared" ref="A27:C27" si="49">AG27</f>
        <v/>
      </c>
      <c r="B27" s="14" t="str">
        <f t="shared" si="49"/>
        <v/>
      </c>
      <c r="C27" s="175" t="str">
        <f t="shared" si="49"/>
        <v/>
      </c>
      <c r="D27" s="176" t="str">
        <f>IFERROR(__xludf.DUMMYFUNCTION("IF(ISBLANK(B27),"""",IFERROR(IF(OR(AF27=""GPB"",AF27=""ZAR""),IF(AF27=Dashboard!$L$1,AJ27,(AJ27*GOOGLEFINANCE(""CURRENCY:""&amp;AF27&amp;""""&amp;Dashboard!$L$1&amp;""""))/100),IF(AF27=Dashboard!$L$1,AJ27,AJ27*GOOGLEFINANCE(""CURRENCY:""&amp;AF27&amp;""""&amp;Dashboard!$L$1&amp;""""))),"&amp;"AJ27))"),"")</f>
        <v/>
      </c>
      <c r="E27" s="177" t="str">
        <f>IFERROR(__xludf.DUMMYFUNCTION("IFERROR(IF(OR(AF27=""GBP"",AF27=""ZAR""),IF(B27="""","""",IF(AF27=Dashboard!$L$1,AK27,AK27*GOOGLEFINANCE(""CURRENCY:""&amp;AF27&amp;""""&amp;Dashboard!$L$1&amp;"""")))/100,If(B27="""","""",IF(AF27=Dashboard!$L$1,AK27,AK27*GOOGLEFINANCE(""CURRENCY:""&amp;AF27&amp;""""&amp;Dashboard!$"&amp;"L$1&amp;"""")))),AK27)"),"")</f>
        <v/>
      </c>
      <c r="F27" s="145">
        <f>IFERROR(__xludf.DUMMYFUNCTION(" E27 * GOOGLEFINANCE(""CURRENCY:USDEUR"") "),0.0)</f>
        <v>0</v>
      </c>
      <c r="G27" s="96" t="str">
        <f>IFERROR(__xludf.DUMMYFUNCTION("IF(ISBLANK(B27),"""",IFERROR(SPARKLINE(INDEX(GOOGLEFINANCE(B27,""price"",TODAY()-$G$2,TODAY()),,2),{""charttype"",""column"";""color"",""17a7e0""}),""""))"),"")</f>
        <v/>
      </c>
      <c r="H27" s="50" t="str">
        <f t="shared" si="3"/>
        <v/>
      </c>
      <c r="I27" s="96" t="str">
        <f>IFERROR(__xludf.DUMMYFUNCTION("IF(ISBLANK(B27),"""",IFERROR(IF(OR(AF27=""GPB"",AF27=""ZAR""),IF(AF27=Dashboard!$L$1,AN27,(AN27*GOOGLEFINANCE(""CURRENCY:""&amp;AF27&amp;""""&amp;Dashboard!$L$1&amp;""""))/100),IF(AF27=Dashboard!$L$1,AN27,AN27*GOOGLEFINANCE(""CURRENCY:""&amp;AF27&amp;""""&amp;Dashboard!$L$1&amp;""""))),"&amp;"AN27))"),"")</f>
        <v/>
      </c>
      <c r="J27" s="178" t="str">
        <f>IF(ISBLANK(B27),"",IFERROR(((C27-SUMIFS(Transactions!I:I,Transactions!H:H,"Crypto Interest",Transactions!D:D,B27))*D27),""))</f>
        <v/>
      </c>
      <c r="K27" s="178" t="str">
        <f t="shared" si="4"/>
        <v/>
      </c>
      <c r="L27" s="145">
        <f>-SUMIFS(Transactions!$M$3:$M149,Transactions!$H$3:$H149,"Buy",Transactions!$D$3:$D149,B27)</f>
        <v>0</v>
      </c>
      <c r="M27" s="145">
        <f>IF(ISBLANK(AG27),"",SUMIFS(Transactions!$M$3:$M149,Transactions!$H$3:$H149,"Dividend",Transactions!$D$3:$D149,B27))</f>
        <v>0</v>
      </c>
      <c r="N27" s="145" t="str">
        <f>IF(ISBLANK(AH27),"",SUMIFS(Transactions!$M$3:$M149,Transactions!$H$3:$H149,"Sell",Transactions!$D$3:$D149,B27))</f>
        <v/>
      </c>
      <c r="O27" s="50" t="str">
        <f t="shared" si="5"/>
        <v/>
      </c>
      <c r="P27" s="178" t="str">
        <f t="shared" si="6"/>
        <v/>
      </c>
      <c r="Q27" s="178" t="str">
        <f>IFERROR(__xludf.DUMMYFUNCTION("IF(ISBLANK(B27),"""",IFERROR(IF(OR(AF27=""GPB"",AF27=""ZAR""),IF(AF27=Dashboard!$L$1,AS27,(AS27*GOOGLEFINANCE(""CURRENCY:""&amp;AF27&amp;""""&amp;Dashboard!$L$1&amp;""""))/100),IF(AF27=Dashboard!$L$1,AS27,AS27*GOOGLEFINANCE(""CURRENCY:""&amp;AF27&amp;""""&amp;Dashboard!$L$1&amp;""""))),"&amp;"AS27))"),"")</f>
        <v/>
      </c>
      <c r="R27" s="178" t="str">
        <f t="shared" si="7"/>
        <v/>
      </c>
      <c r="S27" s="50" t="str">
        <f>IFERROR(__xludf.DUMMYFUNCTION("IF(ISBLANK(B27),"""",IFERROR((GOOGLEFINANCE(B27,""price"")/INDEX(GOOGLEFINANCE(B27,""price"",DATEVALUE(TODAY()-$S$2) ),2,2)-1),""""))"),"")</f>
        <v/>
      </c>
      <c r="U27" s="50" t="str">
        <f>IFERROR(__xludf.DUMMYFUNCTION("IF(ISBLANK(B27),"""",IFERROR((GOOGLEFINANCE($U$2,""price"")/INDEX(GOOGLEFINANCE($U$2,""price"",DATEVALUE(TODAY()-$S$2) ),2,2)-1),""""))"),"")</f>
        <v/>
      </c>
      <c r="W27" s="50" t="str">
        <f t="shared" si="8"/>
        <v/>
      </c>
      <c r="X27" s="50" t="str">
        <f t="shared" si="9"/>
        <v/>
      </c>
      <c r="Y27" s="179">
        <v>0.0</v>
      </c>
      <c r="Z27" s="50" t="str">
        <f t="shared" si="10"/>
        <v/>
      </c>
      <c r="AA27" s="14" t="str">
        <f t="shared" si="11"/>
        <v/>
      </c>
      <c r="AB27" s="50" t="str">
        <f t="shared" si="12"/>
        <v/>
      </c>
      <c r="AC27" s="179" t="str">
        <f t="shared" si="13"/>
        <v/>
      </c>
      <c r="AD27" s="50" t="str">
        <f t="shared" si="14"/>
        <v/>
      </c>
      <c r="AE27" s="180" t="str">
        <f t="shared" si="15"/>
        <v/>
      </c>
      <c r="AF27" s="14" t="str">
        <f t="array" ref="AF27">IFERROR(IF(ISBLANK(AH27),"",IF(VLOOKUP(AH27,Transactions!D:F,3,0)="Stablecoin",AH27,INDEX(Transactions!$B$3:$B149,MATCH(AH27,Transactions!$D$3:$D149,0),0))))</f>
        <v/>
      </c>
      <c r="AG27" s="14" t="str">
        <f>IF(ISBLANK(AH27),"",VLOOKUP(AH27,Transactions!D:E,2,0))</f>
        <v/>
      </c>
      <c r="AH27" s="14"/>
      <c r="AI27" s="146" t="str">
        <f>IF(ISBLANK(AH27),"",IF(
SUMIFS(Transactions!$I$3:$I149,Transactions!$H$3:$H149,"Buy",Transactions!$F$3:$F149,"Stock",Transactions!$D$3:$D149,AH27)
+SUMIFS(Transactions!$I$3:$I149,Transactions!$H$3:$H149,"DRIP",Transactions!$F$3:$F149,"Stock",Transactions!$D$3:$D149,AH27)
+SUMIFS(Transactions!$I$3:$I149,Transactions!$H$3:$H149,"Transfer Deposit",Transactions!$F$3:$F149,"Stock",Transactions!$D$3:$D149,AH27)
+SUMIFS(Transactions!$I$3:$I149,Transactions!$H$3:$H149,"Buy",Transactions!$F$3:$F149,"ETF",Transactions!$D$3:$D149,AH27)
+SUMIFS(Transactions!$I$3:$I149,Transactions!$H$3:$H149,"DRIP",Transactions!$F$3:$F149,"ETF",Transactions!$D$3:$D149,AH27)
+SUMIFS(Transactions!$I$3:$I149,Transactions!$H$3:$H149,"Transfer Deposit",Transactions!$F$3:$F149,"ETF",Transactions!$D$3:$D149,AH27)
+SUMIFS(Transactions!$I$3:$I149,Transactions!$H$3:$H149,"Buy",Transactions!$F$3:$F149,"Commodity",Transactions!$D$3:$D149,AH27)
+SUMIFS(Transactions!$I$3:$I149,Transactions!$H$3:$H149,"DRIP",Transactions!$F$3:$F149,"Commodity",Transactions!$D$3:$D149,AH27)
+SUMIFS(Transactions!$I$3:$I149,Transactions!$H$3:$H149,"Transfer Deposit",Transactions!$F$3:$F149,"Commodity",Transactions!$D$3:$D149,AH27)
+SUMIFS(Transactions!$I$3:$I149,Transactions!$H$3:$H149,"Buy",Transactions!$F$3:$F149,"Managed Fund",Transactions!$D$3:$D149,AH27)
+SUMIFS(Transactions!$I$3:$I149,Transactions!$H$3:$H149,"DRIP",Transactions!$F$3:$F149,"Managed Fund",Transactions!$D$3:$D149,AH27)
+SUMIFS(Transactions!$I$3:$I149,Transactions!$H$3:$H149,"Transfer Deposit",Transactions!$F$3:$F149,"Managed Fund",Transactions!$D$3:$D149,AH27)
+SUMIFS(Transactions!$I$3:$I149,Transactions!$H$3:$H149,"Buy",Transactions!$F$3:$F149,"REIT",Transactions!$D$3:$D149,AH27)
+SUMIFS(Transactions!$I$3:$I149,Transactions!$H$3:$H149,"DRIP",Transactions!$F$3:$F149,"REIT",Transactions!$D$3:$D149,AH27)
+SUMIFS(Transactions!$I$3:$I149,Transactions!$H$3:$H149,"Transfer Deposit",Transactions!$F$3:$F149,"REIT",Transactions!$D$3:$D149,AH27)
-SUMIFS(Transactions!$I$3:$I149,Transactions!$H$3:$H149,"Sell",Transactions!$F$3:$F149,"Stock",Transactions!$D$3:$D149,AH27)
-SUMIFS(Transactions!$I$3:$I149,Transactions!$H$3:$H149,"Transfer Send",Transactions!$F$3:$F149,"Stock",Transactions!$D$3:$D149,AH27)
-SUMIFS(Transactions!$I$3:$I149,Transactions!$H$3:$H149,"Sell",Transactions!$F$3:$F149,"ETF",Transactions!$D$3:$D149,AH27)
-SUMIFS(Transactions!$I$3:$I149,Transactions!$H$3:$H149,"Transfer Send",Transactions!$F$3:$F149,"ETF",Transactions!$D$3:$D149,AH27)
-SUMIFS(Transactions!$I$3:$I149,Transactions!$H$3:$H149,"Sell",Transactions!$F$3:$F149,"Commodity",Transactions!$D$3:$D149,AH27)
-SUMIFS(Transactions!$I$3:$I149,Transactions!$H$3:$H149,"Transfer Send",Transactions!$F$3:$F149,"Commodity",Transactions!$D$3:$D149,AH27)
-SUMIFS(Transactions!$I$3:$I149,Transactions!$H$3:$H149,"Sell",Transactions!$F$3:$F149,"Managed Fund",Transactions!$D$3:$D149,AH27)
-SUMIFS(Transactions!$I$3:$I149,Transactions!$H$3:$H149,"Transfer Send",Transactions!$F$3:$F149,"Managed Fund",Transactions!$D$3:$D149,AH27)
-SUMIFS(Transactions!$I$3:$I149,Transactions!$H$3:$H149,"Sell",Transactions!$F$3:$F149,"REIT",Transactions!$D$3:$D149,AH27)
-SUMIFS(Transactions!$I$3:$I149,Transactions!$H$3:$H149,"Transfer Send",Transactions!$F$3:$F149,"REIT",Transactions!$D$3:$D149,AH27)
+SUMIFS(Transactions!$I$3:$I149,Transactions!$H$3:$H149,"Buy",Transactions!$F$3:$F149,"Crypto",Transactions!$D$3:$D149,AH27)
+SUMIFS(Transactions!$I$3:$I149,Transactions!$H$3:$H149,"Crypto Interest",Transactions!$F$3:$F149,"Crypto",Transactions!$D$3:$D149,AH27)
+SUMIFS(Transactions!$I$3:$I149,Transactions!$H$3:$H149,"Transfer Deposit",Transactions!$F$3:$F149,"Crypto",Transactions!$D$3:$D149,AH27)
-SUMIFS(Transactions!$I$3:$I149,Transactions!$H$3:$H149,"Transfer Send",Transactions!$F$3:$F149,"Crypto",Transactions!$D$3:$D149,AH27)
-SUMIFS(Transactions!$I$3:$I149,Transactions!$H$3:$H149,"Sell",Transactions!$F$3:$F149,"Crypto",Transactions!$D$3:$D149,AH27)
+SUMIFS(Transactions!$I$3:$I149,Transactions!$H$3:$H149,"Buy",Transactions!$F$3:$F149,"Stablecoin",Transactions!$D$3:$D149,AH27)
+SUMIFS(Transactions!$I$3:$I149,Transactions!$H$3:$H149,"Crypto Interest",Transactions!$F$3:$F149,"Stablecoin",Transactions!$D$3:$D149,AH27)
+SUMIFS(Transactions!$I$3:$I149,Transactions!$H$3:$H149,"Transfer Deposit",Transactions!$F$3:$F149,"Stablecoin",Transactions!$D$3:$D149,AH27)
-SUMIFS(Transactions!$I$3:$I149,Transactions!$H$3:$H149,"Transfer Send",Transactions!$F$3:$F149,"Stablecoin",Transactions!$D$3:$D149,AH27)
-SUMIFS(Transactions!$I$3:$I149,Transactions!$H$3:$H149,"Sell",Transactions!$F$3:$F149,"Stablecoin",Transactions!$D$3:$D149,AH27)
-SUMIFS(Transactions!$M$3:$M149,Transactions!$H$3:$H149,"Buy",Transactions!$B$3:$B149,AH27)=0,"Sold All",
SUMIFS(Transactions!$I$3:$I149,Transactions!$H$3:$H149,"Buy",Transactions!$F$3:$F149,"Stock",Transactions!$D$3:$D149,AH27)
+SUMIFS(Transactions!$I$3:$I149,Transactions!$H$3:$H149,"DRIP",Transactions!$F$3:$F149,"Stock",Transactions!$D$3:$D149,AH27)
+SUMIFS(Transactions!$I$3:$I149,Transactions!$H$3:$H149,"Transfer Deposit",Transactions!$F$3:$F149,"Stock",Transactions!$D$3:$D149,AH27)
+SUMIFS(Transactions!$I$3:$I149,Transactions!$H$3:$H149,"Buy",Transactions!$F$3:$F149,"ETF",Transactions!$D$3:$D149,AH27)
+SUMIFS(Transactions!$I$3:$I149,Transactions!$H$3:$H149,"DRIP",Transactions!$F$3:$F149,"ETF",Transactions!$D$3:$D149,AH27)
+SUMIFS(Transactions!$I$3:$I149,Transactions!$H$3:$H149,"Transfer Deposit",Transactions!$F$3:$F149,"ETF",Transactions!$D$3:$D149,AH27)
+SUMIFS(Transactions!$I$3:$I149,Transactions!$H$3:$H149,"Buy",Transactions!$F$3:$F149,"Commodity",Transactions!$D$3:$D149,AH27)
+SUMIFS(Transactions!$I$3:$I149,Transactions!$H$3:$H149,"DRIP",Transactions!$F$3:$F149,"Commodity",Transactions!$D$3:$D149,AH27)
+SUMIFS(Transactions!$I$3:$I149,Transactions!$H$3:$H149,"Transfer Deposit",Transactions!$F$3:$F149,"Commodity",Transactions!$D$3:$D149,AH27)
+SUMIFS(Transactions!$I$3:$I149,Transactions!$H$3:$H149,"Buy",Transactions!$F$3:$F149,"Managed Fund",Transactions!$D$3:$D149,AH27)
+SUMIFS(Transactions!$I$3:$I149,Transactions!$H$3:$H149,"DRIP",Transactions!$F$3:$F149,"Managed Fund",Transactions!$D$3:$D149,AH27)
+SUMIFS(Transactions!$I$3:$I149,Transactions!$H$3:$H149,"Transfer Deposit",Transactions!$F$3:$F149,"Managed Fund",Transactions!$D$3:$D149,AH27)
+SUMIFS(Transactions!$I$3:$I149,Transactions!$H$3:$H149,"Buy",Transactions!$F$3:$F149,"REIT",Transactions!$D$3:$D149,AH27)
+SUMIFS(Transactions!$I$3:$I149,Transactions!$H$3:$H149,"DRIP",Transactions!$F$3:$F149,"REIT",Transactions!$D$3:$D149,AH27)
+SUMIFS(Transactions!$I$3:$I149,Transactions!$H$3:$H149,"Transfer Deposit",Transactions!$F$3:$F149,"REIT",Transactions!$D$3:$D149,AH27)
-SUMIFS(Transactions!$I$3:$I149,Transactions!$H$3:$H149,"Sell",Transactions!$F$3:$F149,"Stock",Transactions!$D$3:$D149,AH27)
-SUMIFS(Transactions!$I$3:$I149,Transactions!$H$3:$H149,"Transfer Send",Transactions!$F$3:$F149,"Stock",Transactions!$D$3:$D149,AH27)
-SUMIFS(Transactions!$I$3:$I149,Transactions!$H$3:$H149,"Sell",Transactions!$F$3:$F149,"ETF",Transactions!$D$3:$D149,AH27)
-SUMIFS(Transactions!$I$3:$I149,Transactions!$H$3:$H149,"Transfer Send",Transactions!$F$3:$F149,"ETF",Transactions!$D$3:$D149,AH27)
-SUMIFS(Transactions!$I$3:$I149,Transactions!$H$3:$H149,"Sell",Transactions!$F$3:$F149,"Commodity",Transactions!$D$3:$D149,AH27)
-SUMIFS(Transactions!$I$3:$I149,Transactions!$H$3:$H149,"Transfer Send",Transactions!$F$3:$F149,"Commodity",Transactions!$D$3:$D149,AH27)
-SUMIFS(Transactions!$I$3:$I149,Transactions!$H$3:$H149,"Sell",Transactions!$F$3:$F149,"Managed Fund",Transactions!$D$3:$D149,AH27)
-SUMIFS(Transactions!$I$3:$I149,Transactions!$H$3:$H149,"Transfer Send",Transactions!$F$3:$F149,"Managed Fund",Transactions!$D$3:$D149,AH27)
-SUMIFS(Transactions!$I$3:$I149,Transactions!$H$3:$H149,"Sell",Transactions!$F$3:$F149,"REIT",Transactions!$D$3:$D149,AH27)
-SUMIFS(Transactions!$I$3:$I149,Transactions!$H$3:$H149,"Transfer Send",Transactions!$F$3:$F149,"REIT",Transactions!$D$3:$D149,AH27)
+SUMIFS(Transactions!$I$3:$I149,Transactions!$H$3:$H149,"Buy",Transactions!$F$3:$F149,"Crypto",Transactions!$D$3:$D149,AH27)
+SUMIFS(Transactions!$I$3:$I149,Transactions!$H$3:$H149,"Crypto Interest",Transactions!$F$3:$F149,"Crypto",Transactions!$D$3:$D149,AH27)
+SUMIFS(Transactions!$I$3:$I149,Transactions!$H$3:$H149,"Transfer Deposit",Transactions!$F$3:$F149,"Crypto",Transactions!$D$3:$D149,AH27)
-SUMIFS(Transactions!$I$3:$I149,Transactions!$H$3:$H149,"Transfer Send",Transactions!$F$3:$F149,"Crypto",Transactions!$D$3:$D149,AH27)
-SUMIFS(Transactions!$I$3:$I149,Transactions!$H$3:$H149,"Sell",Transactions!$F$3:$F149,"Crypto",Transactions!$D$3:$D149,AH27)
+SUMIFS(Transactions!$I$3:$I149,Transactions!$H$3:$H149,"Buy",Transactions!$F$3:$F149,"Stablecoin",Transactions!$D$3:$D149,AH27)
+SUMIFS(Transactions!$I$3:$I149,Transactions!$H$3:$H149,"Crypto Interest",Transactions!$F$3:$F149,"Stablecoin",Transactions!$D$3:$D149,AH27)
+SUMIFS(Transactions!$I$3:$I149,Transactions!$H$3:$H149,"Transfer Deposit",Transactions!$F$3:$F149,"Stablecoin",Transactions!$D$3:$D149,AH27)
-SUMIFS(Transactions!$I$3:$I149,Transactions!$H$3:$H149,"Transfer Send",Transactions!$F$3:$F149,"Stablecoin",Transactions!$D$3:$D149,AH27)
-SUMIFS(Transactions!$I$3:$I149,Transactions!$H$3:$H149,"Sell",Transactions!$F$3:$F149,"Stablecoin",Transactions!$D$3:$D149,AH27)
-SUMIFS(Transactions!$M$3:$M149,Transactions!$H$3:$H149,"Buy",Transactions!$B$3:$B149,AH27)))</f>
        <v/>
      </c>
      <c r="AJ27" s="181" t="str">
        <f>IFERROR(__xludf.DUMMYFUNCTION("IF(ISBLANK(AH27),"""",VLOOKUP(9^99,FILTER({ROW(Transactions!P:P),Transactions!P:P},Transactions!D:D=AH27),2))"),"")</f>
        <v/>
      </c>
      <c r="AK27" s="181" t="str">
        <f>IFERROR(__xludf.DUMMYFUNCTION("IF(ISBLANK(AH27),"""",IFERROR(GOOGLEFINANCE(AH27,""price""),IFERROR(GOOGLEFINANCE(""CURRENCY:""&amp;AH27&amp;""""),IFERROR(INDEX(YAHOO_STOCK(TRIM(AH27), $G$2),0,1),INDEX(IMPORTHTML(CONCAT(""https://coinmarketcap.com/currencies/"",AG27),""table"",1),1,2)))))"),"")</f>
        <v/>
      </c>
      <c r="AL27" s="14" t="str">
        <f>IFERROR(__xludf.DUMMYFUNCTION("IF(ISBLANK(AH27),"""",IFERROR(SPARKLINE(INDEX(GOOGLEFINANCE(AH27,""price"",TODAY()-$AL$2,TODAY()),,2),{""charttype"",""column"";""color"",""17a7e0""}),""""))"),"")</f>
        <v/>
      </c>
      <c r="AM27" s="50" t="str">
        <f>IFERROR(__xludf.DUMMYFUNCTION("IFNA(IFERROR(IF(AH27="""","""",GOOGLEFINANCE(AH27,""changepct"")/100),(GOOGLEFINANCE(AH27)-(INDEX(GOOGLEFINANCE(""CURRENCY:""&amp;AH27&amp;"""",""price"",TODAY()-1),2,2)))/(INDEX(GOOGLEFINANCE(""CURRENCY:""&amp;AH27&amp;"""",""price"",TODAY()-1),2,2))),)"),"")</f>
        <v/>
      </c>
      <c r="AN27" s="96" t="str">
        <f>IFERROR(__xludf.DUMMYFUNCTION("IFNA(IFERROR(IF(AH27="""","""",GOOGLEFINANCE(AH27,""change"")*AI27),(GOOGLEFINANCE(AH27)-(INDEX(GOOGLEFINANCE(""CURRENCY:""&amp;AH27&amp;"""",""price"",TODAY()-1),2,2)))*AI27),"""")"),"")</f>
        <v/>
      </c>
      <c r="AO27" s="96" t="str">
        <f>IF(ISBLANK(AH27),"",IFERROR(((AI27-SUMIFS(Transactions!I:I,Transactions!H:H,"Crypto Interest",Transactions!D:D,AH27))*AJ27),""))</f>
        <v/>
      </c>
      <c r="AP27" s="96" t="str">
        <f t="shared" si="16"/>
        <v/>
      </c>
      <c r="AQ27" s="50" t="str">
        <f t="shared" si="17"/>
        <v/>
      </c>
      <c r="AR27" s="96" t="str">
        <f t="shared" si="18"/>
        <v/>
      </c>
      <c r="AS27" s="96" t="str">
        <f>IF(ISBLANK(AH27),"",SUMIFS(Transactions!$X$3:$X149,Transactions!$H$3:$H149,"Sell",Transactions!$D$3:$D149,AH27))</f>
        <v/>
      </c>
      <c r="AT27" s="96" t="str">
        <f t="shared" si="19"/>
        <v/>
      </c>
      <c r="AU27" s="50" t="str">
        <f>IFERROR(__xludf.DUMMYFUNCTION("IF(ISBLANK(AH27),"""",IFERROR((GOOGLEFINANCE(AH27,""price"")/INDEX(GOOGLEFINANCE(AH27,""price"",DATEVALUE(TODAY()-$AU$2) ),2,2)-1),""""))"),"")</f>
        <v/>
      </c>
      <c r="AW27" s="50" t="str">
        <f>IFERROR(__xludf.DUMMYFUNCTION("IF(ISBLANK(AH27),"""",IFERROR((GOOGLEFINANCE($AW$2,""price"")/INDEX(GOOGLEFINANCE($AW$2,""price"",DATEVALUE(TODAY()-$AU$2) ),2,2)-1),""""))"),"")</f>
        <v/>
      </c>
      <c r="AY27" s="50" t="str">
        <f t="shared" si="20"/>
        <v/>
      </c>
      <c r="AZ27" s="50" t="str">
        <f t="shared" si="21"/>
        <v/>
      </c>
      <c r="BA27" s="50">
        <f t="shared" si="22"/>
        <v>0</v>
      </c>
      <c r="BB27" s="14" t="str">
        <f t="shared" si="23"/>
        <v/>
      </c>
      <c r="BC27" s="14" t="str">
        <f>IF(ISBLANK(AH27),"",IFERROR(VLOOKUP(AH27,Transactions!D:F,3,0)))</f>
        <v/>
      </c>
      <c r="BD27" s="50" t="str">
        <f t="shared" si="24"/>
        <v/>
      </c>
      <c r="BE27" s="50" t="str">
        <f t="shared" si="25"/>
        <v/>
      </c>
      <c r="BF27" s="14" t="str">
        <f t="shared" si="26"/>
        <v/>
      </c>
      <c r="BG27" s="180" t="str">
        <f>IF(ISBLANK(AH27),"",IFERROR(VLOOKUP(AH27,Transactions!D:G,4,0)))</f>
        <v/>
      </c>
    </row>
    <row r="28">
      <c r="A28" s="14" t="str">
        <f t="shared" ref="A28:C28" si="50">AG28</f>
        <v/>
      </c>
      <c r="B28" s="14" t="str">
        <f t="shared" si="50"/>
        <v/>
      </c>
      <c r="C28" s="175" t="str">
        <f t="shared" si="50"/>
        <v/>
      </c>
      <c r="D28" s="176" t="str">
        <f>IFERROR(__xludf.DUMMYFUNCTION("IF(ISBLANK(B28),"""",IFERROR(IF(OR(AF28=""GPB"",AF28=""ZAR""),IF(AF28=Dashboard!$L$1,AJ28,(AJ28*GOOGLEFINANCE(""CURRENCY:""&amp;AF28&amp;""""&amp;Dashboard!$L$1&amp;""""))/100),IF(AF28=Dashboard!$L$1,AJ28,AJ28*GOOGLEFINANCE(""CURRENCY:""&amp;AF28&amp;""""&amp;Dashboard!$L$1&amp;""""))),"&amp;"AJ28))"),"")</f>
        <v/>
      </c>
      <c r="E28" s="177" t="str">
        <f>IFERROR(__xludf.DUMMYFUNCTION("IFERROR(IF(OR(AF28=""GBP"",AF28=""ZAR""),IF(B28="""","""",IF(AF28=Dashboard!$L$1,AK28,AK28*GOOGLEFINANCE(""CURRENCY:""&amp;AF28&amp;""""&amp;Dashboard!$L$1&amp;"""")))/100,If(B28="""","""",IF(AF28=Dashboard!$L$1,AK28,AK28*GOOGLEFINANCE(""CURRENCY:""&amp;AF28&amp;""""&amp;Dashboard!$"&amp;"L$1&amp;"""")))),AK28)"),"")</f>
        <v/>
      </c>
      <c r="F28" s="145">
        <f>IFERROR(__xludf.DUMMYFUNCTION(" E28 * GOOGLEFINANCE(""CURRENCY:USDEUR"") "),0.0)</f>
        <v>0</v>
      </c>
      <c r="G28" s="96" t="str">
        <f>IFERROR(__xludf.DUMMYFUNCTION("IF(ISBLANK(B28),"""",IFERROR(SPARKLINE(INDEX(GOOGLEFINANCE(B28,""price"",TODAY()-$G$2,TODAY()),,2),{""charttype"",""column"";""color"",""17a7e0""}),""""))"),"")</f>
        <v/>
      </c>
      <c r="H28" s="50" t="str">
        <f t="shared" si="3"/>
        <v/>
      </c>
      <c r="I28" s="96" t="str">
        <f>IFERROR(__xludf.DUMMYFUNCTION("IF(ISBLANK(B28),"""",IFERROR(IF(OR(AF28=""GPB"",AF28=""ZAR""),IF(AF28=Dashboard!$L$1,AN28,(AN28*GOOGLEFINANCE(""CURRENCY:""&amp;AF28&amp;""""&amp;Dashboard!$L$1&amp;""""))/100),IF(AF28=Dashboard!$L$1,AN28,AN28*GOOGLEFINANCE(""CURRENCY:""&amp;AF28&amp;""""&amp;Dashboard!$L$1&amp;""""))),"&amp;"AN28))"),"")</f>
        <v/>
      </c>
      <c r="J28" s="178" t="str">
        <f>IF(ISBLANK(B28),"",IFERROR(((C28-SUMIFS(Transactions!I:I,Transactions!H:H,"Crypto Interest",Transactions!D:D,B28))*D28),""))</f>
        <v/>
      </c>
      <c r="K28" s="178" t="str">
        <f t="shared" si="4"/>
        <v/>
      </c>
      <c r="L28" s="145">
        <f>-SUMIFS(Transactions!$M$3:$M149,Transactions!$H$3:$H149,"Buy",Transactions!$D$3:$D149,B28)</f>
        <v>0</v>
      </c>
      <c r="M28" s="145">
        <f>IF(ISBLANK(AG28),"",SUMIFS(Transactions!$M$3:$M149,Transactions!$H$3:$H149,"Dividend",Transactions!$D$3:$D149,B28))</f>
        <v>0</v>
      </c>
      <c r="N28" s="145" t="str">
        <f>IF(ISBLANK(AH28),"",SUMIFS(Transactions!$M$3:$M149,Transactions!$H$3:$H149,"Sell",Transactions!$D$3:$D149,B28))</f>
        <v/>
      </c>
      <c r="O28" s="50" t="str">
        <f t="shared" si="5"/>
        <v/>
      </c>
      <c r="P28" s="178" t="str">
        <f t="shared" si="6"/>
        <v/>
      </c>
      <c r="Q28" s="178" t="str">
        <f>IFERROR(__xludf.DUMMYFUNCTION("IF(ISBLANK(B28),"""",IFERROR(IF(OR(AF28=""GPB"",AF28=""ZAR""),IF(AF28=Dashboard!$L$1,AS28,(AS28*GOOGLEFINANCE(""CURRENCY:""&amp;AF28&amp;""""&amp;Dashboard!$L$1&amp;""""))/100),IF(AF28=Dashboard!$L$1,AS28,AS28*GOOGLEFINANCE(""CURRENCY:""&amp;AF28&amp;""""&amp;Dashboard!$L$1&amp;""""))),"&amp;"AS28))"),"")</f>
        <v/>
      </c>
      <c r="R28" s="178" t="str">
        <f t="shared" si="7"/>
        <v/>
      </c>
      <c r="S28" s="50" t="str">
        <f>IFERROR(__xludf.DUMMYFUNCTION("IF(ISBLANK(B28),"""",IFERROR((GOOGLEFINANCE(B28,""price"")/INDEX(GOOGLEFINANCE(B28,""price"",DATEVALUE(TODAY()-$S$2) ),2,2)-1),""""))"),"")</f>
        <v/>
      </c>
      <c r="U28" s="50" t="str">
        <f>IFERROR(__xludf.DUMMYFUNCTION("IF(ISBLANK(B28),"""",IFERROR((GOOGLEFINANCE($U$2,""price"")/INDEX(GOOGLEFINANCE($U$2,""price"",DATEVALUE(TODAY()-$S$2) ),2,2)-1),""""))"),"")</f>
        <v/>
      </c>
      <c r="W28" s="50" t="str">
        <f t="shared" si="8"/>
        <v/>
      </c>
      <c r="X28" s="50" t="str">
        <f t="shared" si="9"/>
        <v/>
      </c>
      <c r="Y28" s="179">
        <v>0.0</v>
      </c>
      <c r="Z28" s="50" t="str">
        <f t="shared" si="10"/>
        <v/>
      </c>
      <c r="AA28" s="14" t="str">
        <f t="shared" si="11"/>
        <v/>
      </c>
      <c r="AB28" s="50" t="str">
        <f t="shared" si="12"/>
        <v/>
      </c>
      <c r="AC28" s="179" t="str">
        <f t="shared" si="13"/>
        <v/>
      </c>
      <c r="AD28" s="50" t="str">
        <f t="shared" si="14"/>
        <v/>
      </c>
      <c r="AE28" s="180" t="str">
        <f t="shared" si="15"/>
        <v/>
      </c>
      <c r="AF28" s="14" t="str">
        <f t="array" ref="AF28">IFERROR(IF(ISBLANK(AH28),"",IF(VLOOKUP(AH28,Transactions!D:F,3,0)="Stablecoin",AH28,INDEX(Transactions!$B$3:$B149,MATCH(AH28,Transactions!$D$3:$D149,0),0))))</f>
        <v/>
      </c>
      <c r="AG28" s="14" t="str">
        <f>IF(ISBLANK(AH28),"",VLOOKUP(AH28,Transactions!D:E,2,0))</f>
        <v/>
      </c>
      <c r="AH28" s="14"/>
      <c r="AI28" s="158" t="str">
        <f>IF(ISBLANK(AH28),"",IF(
SUMIFS(Transactions!$I$3:$I149,Transactions!$H$3:$H149,"Buy",Transactions!$F$3:$F149,"Stock",Transactions!$D$3:$D149,AH28)
+SUMIFS(Transactions!$I$3:$I149,Transactions!$H$3:$H149,"DRIP",Transactions!$F$3:$F149,"Stock",Transactions!$D$3:$D149,AH28)
+SUMIFS(Transactions!$I$3:$I149,Transactions!$H$3:$H149,"Transfer Deposit",Transactions!$F$3:$F149,"Stock",Transactions!$D$3:$D149,AH28)
+SUMIFS(Transactions!$I$3:$I149,Transactions!$H$3:$H149,"Buy",Transactions!$F$3:$F149,"ETF",Transactions!$D$3:$D149,AH28)
+SUMIFS(Transactions!$I$3:$I149,Transactions!$H$3:$H149,"DRIP",Transactions!$F$3:$F149,"ETF",Transactions!$D$3:$D149,AH28)
+SUMIFS(Transactions!$I$3:$I149,Transactions!$H$3:$H149,"Transfer Deposit",Transactions!$F$3:$F149,"ETF",Transactions!$D$3:$D149,AH28)
+SUMIFS(Transactions!$I$3:$I149,Transactions!$H$3:$H149,"Buy",Transactions!$F$3:$F149,"Commodity",Transactions!$D$3:$D149,AH28)
+SUMIFS(Transactions!$I$3:$I149,Transactions!$H$3:$H149,"DRIP",Transactions!$F$3:$F149,"Commodity",Transactions!$D$3:$D149,AH28)
+SUMIFS(Transactions!$I$3:$I149,Transactions!$H$3:$H149,"Transfer Deposit",Transactions!$F$3:$F149,"Commodity",Transactions!$D$3:$D149,AH28)
+SUMIFS(Transactions!$I$3:$I149,Transactions!$H$3:$H149,"Buy",Transactions!$F$3:$F149,"Managed Fund",Transactions!$D$3:$D149,AH28)
+SUMIFS(Transactions!$I$3:$I149,Transactions!$H$3:$H149,"DRIP",Transactions!$F$3:$F149,"Managed Fund",Transactions!$D$3:$D149,AH28)
+SUMIFS(Transactions!$I$3:$I149,Transactions!$H$3:$H149,"Transfer Deposit",Transactions!$F$3:$F149,"Managed Fund",Transactions!$D$3:$D149,AH28)
+SUMIFS(Transactions!$I$3:$I149,Transactions!$H$3:$H149,"Buy",Transactions!$F$3:$F149,"REIT",Transactions!$D$3:$D149,AH28)
+SUMIFS(Transactions!$I$3:$I149,Transactions!$H$3:$H149,"DRIP",Transactions!$F$3:$F149,"REIT",Transactions!$D$3:$D149,AH28)
+SUMIFS(Transactions!$I$3:$I149,Transactions!$H$3:$H149,"Transfer Deposit",Transactions!$F$3:$F149,"REIT",Transactions!$D$3:$D149,AH28)
-SUMIFS(Transactions!$I$3:$I149,Transactions!$H$3:$H149,"Sell",Transactions!$F$3:$F149,"Stock",Transactions!$D$3:$D149,AH28)
-SUMIFS(Transactions!$I$3:$I149,Transactions!$H$3:$H149,"Transfer Send",Transactions!$F$3:$F149,"Stock",Transactions!$D$3:$D149,AH28)
-SUMIFS(Transactions!$I$3:$I149,Transactions!$H$3:$H149,"Sell",Transactions!$F$3:$F149,"ETF",Transactions!$D$3:$D149,AH28)
-SUMIFS(Transactions!$I$3:$I149,Transactions!$H$3:$H149,"Transfer Send",Transactions!$F$3:$F149,"ETF",Transactions!$D$3:$D149,AH28)
-SUMIFS(Transactions!$I$3:$I149,Transactions!$H$3:$H149,"Sell",Transactions!$F$3:$F149,"Commodity",Transactions!$D$3:$D149,AH28)
-SUMIFS(Transactions!$I$3:$I149,Transactions!$H$3:$H149,"Transfer Send",Transactions!$F$3:$F149,"Commodity",Transactions!$D$3:$D149,AH28)
-SUMIFS(Transactions!$I$3:$I149,Transactions!$H$3:$H149,"Sell",Transactions!$F$3:$F149,"Managed Fund",Transactions!$D$3:$D149,AH28)
-SUMIFS(Transactions!$I$3:$I149,Transactions!$H$3:$H149,"Transfer Send",Transactions!$F$3:$F149,"Managed Fund",Transactions!$D$3:$D149,AH28)
-SUMIFS(Transactions!$I$3:$I149,Transactions!$H$3:$H149,"Sell",Transactions!$F$3:$F149,"REIT",Transactions!$D$3:$D149,AH28)
-SUMIFS(Transactions!$I$3:$I149,Transactions!$H$3:$H149,"Transfer Send",Transactions!$F$3:$F149,"REIT",Transactions!$D$3:$D149,AH28)
+SUMIFS(Transactions!$I$3:$I149,Transactions!$H$3:$H149,"Buy",Transactions!$F$3:$F149,"Crypto",Transactions!$D$3:$D149,AH28)
+SUMIFS(Transactions!$I$3:$I149,Transactions!$H$3:$H149,"Crypto Interest",Transactions!$F$3:$F149,"Crypto",Transactions!$D$3:$D149,AH28)
+SUMIFS(Transactions!$I$3:$I149,Transactions!$H$3:$H149,"Transfer Deposit",Transactions!$F$3:$F149,"Crypto",Transactions!$D$3:$D149,AH28)
-SUMIFS(Transactions!$I$3:$I149,Transactions!$H$3:$H149,"Transfer Send",Transactions!$F$3:$F149,"Crypto",Transactions!$D$3:$D149,AH28)
-SUMIFS(Transactions!$I$3:$I149,Transactions!$H$3:$H149,"Sell",Transactions!$F$3:$F149,"Crypto",Transactions!$D$3:$D149,AH28)
+SUMIFS(Transactions!$I$3:$I149,Transactions!$H$3:$H149,"Buy",Transactions!$F$3:$F149,"Stablecoin",Transactions!$D$3:$D149,AH28)
+SUMIFS(Transactions!$I$3:$I149,Transactions!$H$3:$H149,"Crypto Interest",Transactions!$F$3:$F149,"Stablecoin",Transactions!$D$3:$D149,AH28)
+SUMIFS(Transactions!$I$3:$I149,Transactions!$H$3:$H149,"Transfer Deposit",Transactions!$F$3:$F149,"Stablecoin",Transactions!$D$3:$D149,AH28)
-SUMIFS(Transactions!$I$3:$I149,Transactions!$H$3:$H149,"Transfer Send",Transactions!$F$3:$F149,"Stablecoin",Transactions!$D$3:$D149,AH28)
-SUMIFS(Transactions!$I$3:$I149,Transactions!$H$3:$H149,"Sell",Transactions!$F$3:$F149,"Stablecoin",Transactions!$D$3:$D149,AH28)
-SUMIFS(Transactions!$M$3:$M149,Transactions!$H$3:$H149,"Buy",Transactions!$B$3:$B149,AH28)=0,"Sold All",
SUMIFS(Transactions!$I$3:$I149,Transactions!$H$3:$H149,"Buy",Transactions!$F$3:$F149,"Stock",Transactions!$D$3:$D149,AH28)
+SUMIFS(Transactions!$I$3:$I149,Transactions!$H$3:$H149,"DRIP",Transactions!$F$3:$F149,"Stock",Transactions!$D$3:$D149,AH28)
+SUMIFS(Transactions!$I$3:$I149,Transactions!$H$3:$H149,"Transfer Deposit",Transactions!$F$3:$F149,"Stock",Transactions!$D$3:$D149,AH28)
+SUMIFS(Transactions!$I$3:$I149,Transactions!$H$3:$H149,"Buy",Transactions!$F$3:$F149,"ETF",Transactions!$D$3:$D149,AH28)
+SUMIFS(Transactions!$I$3:$I149,Transactions!$H$3:$H149,"DRIP",Transactions!$F$3:$F149,"ETF",Transactions!$D$3:$D149,AH28)
+SUMIFS(Transactions!$I$3:$I149,Transactions!$H$3:$H149,"Transfer Deposit",Transactions!$F$3:$F149,"ETF",Transactions!$D$3:$D149,AH28)
+SUMIFS(Transactions!$I$3:$I149,Transactions!$H$3:$H149,"Buy",Transactions!$F$3:$F149,"Commodity",Transactions!$D$3:$D149,AH28)
+SUMIFS(Transactions!$I$3:$I149,Transactions!$H$3:$H149,"DRIP",Transactions!$F$3:$F149,"Commodity",Transactions!$D$3:$D149,AH28)
+SUMIFS(Transactions!$I$3:$I149,Transactions!$H$3:$H149,"Transfer Deposit",Transactions!$F$3:$F149,"Commodity",Transactions!$D$3:$D149,AH28)
+SUMIFS(Transactions!$I$3:$I149,Transactions!$H$3:$H149,"Buy",Transactions!$F$3:$F149,"Managed Fund",Transactions!$D$3:$D149,AH28)
+SUMIFS(Transactions!$I$3:$I149,Transactions!$H$3:$H149,"DRIP",Transactions!$F$3:$F149,"Managed Fund",Transactions!$D$3:$D149,AH28)
+SUMIFS(Transactions!$I$3:$I149,Transactions!$H$3:$H149,"Transfer Deposit",Transactions!$F$3:$F149,"Managed Fund",Transactions!$D$3:$D149,AH28)
+SUMIFS(Transactions!$I$3:$I149,Transactions!$H$3:$H149,"Buy",Transactions!$F$3:$F149,"REIT",Transactions!$D$3:$D149,AH28)
+SUMIFS(Transactions!$I$3:$I149,Transactions!$H$3:$H149,"DRIP",Transactions!$F$3:$F149,"REIT",Transactions!$D$3:$D149,AH28)
+SUMIFS(Transactions!$I$3:$I149,Transactions!$H$3:$H149,"Transfer Deposit",Transactions!$F$3:$F149,"REIT",Transactions!$D$3:$D149,AH28)
-SUMIFS(Transactions!$I$3:$I149,Transactions!$H$3:$H149,"Sell",Transactions!$F$3:$F149,"Stock",Transactions!$D$3:$D149,AH28)
-SUMIFS(Transactions!$I$3:$I149,Transactions!$H$3:$H149,"Transfer Send",Transactions!$F$3:$F149,"Stock",Transactions!$D$3:$D149,AH28)
-SUMIFS(Transactions!$I$3:$I149,Transactions!$H$3:$H149,"Sell",Transactions!$F$3:$F149,"ETF",Transactions!$D$3:$D149,AH28)
-SUMIFS(Transactions!$I$3:$I149,Transactions!$H$3:$H149,"Transfer Send",Transactions!$F$3:$F149,"ETF",Transactions!$D$3:$D149,AH28)
-SUMIFS(Transactions!$I$3:$I149,Transactions!$H$3:$H149,"Sell",Transactions!$F$3:$F149,"Commodity",Transactions!$D$3:$D149,AH28)
-SUMIFS(Transactions!$I$3:$I149,Transactions!$H$3:$H149,"Transfer Send",Transactions!$F$3:$F149,"Commodity",Transactions!$D$3:$D149,AH28)
-SUMIFS(Transactions!$I$3:$I149,Transactions!$H$3:$H149,"Sell",Transactions!$F$3:$F149,"Managed Fund",Transactions!$D$3:$D149,AH28)
-SUMIFS(Transactions!$I$3:$I149,Transactions!$H$3:$H149,"Transfer Send",Transactions!$F$3:$F149,"Managed Fund",Transactions!$D$3:$D149,AH28)
-SUMIFS(Transactions!$I$3:$I149,Transactions!$H$3:$H149,"Sell",Transactions!$F$3:$F149,"REIT",Transactions!$D$3:$D149,AH28)
-SUMIFS(Transactions!$I$3:$I149,Transactions!$H$3:$H149,"Transfer Send",Transactions!$F$3:$F149,"REIT",Transactions!$D$3:$D149,AH28)
+SUMIFS(Transactions!$I$3:$I149,Transactions!$H$3:$H149,"Buy",Transactions!$F$3:$F149,"Crypto",Transactions!$D$3:$D149,AH28)
+SUMIFS(Transactions!$I$3:$I149,Transactions!$H$3:$H149,"Crypto Interest",Transactions!$F$3:$F149,"Crypto",Transactions!$D$3:$D149,AH28)
+SUMIFS(Transactions!$I$3:$I149,Transactions!$H$3:$H149,"Transfer Deposit",Transactions!$F$3:$F149,"Crypto",Transactions!$D$3:$D149,AH28)
-SUMIFS(Transactions!$I$3:$I149,Transactions!$H$3:$H149,"Transfer Send",Transactions!$F$3:$F149,"Crypto",Transactions!$D$3:$D149,AH28)
-SUMIFS(Transactions!$I$3:$I149,Transactions!$H$3:$H149,"Sell",Transactions!$F$3:$F149,"Crypto",Transactions!$D$3:$D149,AH28)
+SUMIFS(Transactions!$I$3:$I149,Transactions!$H$3:$H149,"Buy",Transactions!$F$3:$F149,"Stablecoin",Transactions!$D$3:$D149,AH28)
+SUMIFS(Transactions!$I$3:$I149,Transactions!$H$3:$H149,"Crypto Interest",Transactions!$F$3:$F149,"Stablecoin",Transactions!$D$3:$D149,AH28)
+SUMIFS(Transactions!$I$3:$I149,Transactions!$H$3:$H149,"Transfer Deposit",Transactions!$F$3:$F149,"Stablecoin",Transactions!$D$3:$D149,AH28)
-SUMIFS(Transactions!$I$3:$I149,Transactions!$H$3:$H149,"Transfer Send",Transactions!$F$3:$F149,"Stablecoin",Transactions!$D$3:$D149,AH28)
-SUMIFS(Transactions!$I$3:$I149,Transactions!$H$3:$H149,"Sell",Transactions!$F$3:$F149,"Stablecoin",Transactions!$D$3:$D149,AH28)
-SUMIFS(Transactions!$M$3:$M149,Transactions!$H$3:$H149,"Buy",Transactions!$B$3:$B149,AH28)))</f>
        <v/>
      </c>
      <c r="AJ28" s="181" t="str">
        <f>IFERROR(__xludf.DUMMYFUNCTION("IF(ISBLANK(AH28),"""",VLOOKUP(9^99,FILTER({ROW(Transactions!P:P),Transactions!P:P},Transactions!D:D=AH28),2))"),"")</f>
        <v/>
      </c>
      <c r="AK28" s="181" t="str">
        <f>IFERROR(__xludf.DUMMYFUNCTION("IF(ISBLANK(AH28),"""",IFERROR(GOOGLEFINANCE(AH28,""price""),IFERROR(GOOGLEFINANCE(""CURRENCY:""&amp;AH28&amp;""""),IFERROR(INDEX(YAHOO_STOCK(TRIM(AH28), $G$2),0,1),INDEX(IMPORTHTML(CONCAT(""https://coinmarketcap.com/currencies/"",AG28),""table"",1),1,2)))))"),"")</f>
        <v/>
      </c>
      <c r="AL28" s="14" t="str">
        <f>IFERROR(__xludf.DUMMYFUNCTION("IF(ISBLANK(AH28),"""",IFERROR(SPARKLINE(INDEX(GOOGLEFINANCE(AH28,""price"",TODAY()-$AL$2,TODAY()),,2),{""charttype"",""column"";""color"",""17a7e0""}),""""))"),"")</f>
        <v/>
      </c>
      <c r="AM28" s="50" t="str">
        <f>IFERROR(__xludf.DUMMYFUNCTION("IFNA(IFERROR(IF(AH28="""","""",GOOGLEFINANCE(AH28,""changepct"")/100),(GOOGLEFINANCE(AH28)-(INDEX(GOOGLEFINANCE(""CURRENCY:""&amp;AH28&amp;"""",""price"",TODAY()-1),2,2)))/(INDEX(GOOGLEFINANCE(""CURRENCY:""&amp;AH28&amp;"""",""price"",TODAY()-1),2,2))),)"),"")</f>
        <v/>
      </c>
      <c r="AN28" s="96" t="str">
        <f>IFERROR(__xludf.DUMMYFUNCTION("IFNA(IFERROR(IF(AH28="""","""",GOOGLEFINANCE(AH28,""change"")*AI28),(GOOGLEFINANCE(AH28)-(INDEX(GOOGLEFINANCE(""CURRENCY:""&amp;AH28&amp;"""",""price"",TODAY()-1),2,2)))*AI28),"""")"),"")</f>
        <v/>
      </c>
      <c r="AO28" s="96" t="str">
        <f>IF(ISBLANK(AH28),"",IFERROR(((AI28-SUMIFS(Transactions!I:I,Transactions!H:H,"Crypto Interest",Transactions!D:D,AH28))*AJ28),""))</f>
        <v/>
      </c>
      <c r="AP28" s="96" t="str">
        <f t="shared" si="16"/>
        <v/>
      </c>
      <c r="AQ28" s="50" t="str">
        <f t="shared" si="17"/>
        <v/>
      </c>
      <c r="AR28" s="96" t="str">
        <f t="shared" si="18"/>
        <v/>
      </c>
      <c r="AS28" s="96" t="str">
        <f>IF(ISBLANK(AH28),"",SUMIFS(Transactions!$X$3:$X149,Transactions!$H$3:$H149,"Sell",Transactions!$D$3:$D149,AH28))</f>
        <v/>
      </c>
      <c r="AT28" s="96" t="str">
        <f t="shared" si="19"/>
        <v/>
      </c>
      <c r="AU28" s="50" t="str">
        <f>IFERROR(__xludf.DUMMYFUNCTION("IF(ISBLANK(AH28),"""",IFERROR((GOOGLEFINANCE(AH28,""price"")/INDEX(GOOGLEFINANCE(AH28,""price"",DATEVALUE(TODAY()-$AU$2) ),2,2)-1),""""))"),"")</f>
        <v/>
      </c>
      <c r="AW28" s="50" t="str">
        <f>IFERROR(__xludf.DUMMYFUNCTION("IF(ISBLANK(AH28),"""",IFERROR((GOOGLEFINANCE($AW$2,""price"")/INDEX(GOOGLEFINANCE($AW$2,""price"",DATEVALUE(TODAY()-$AU$2) ),2,2)-1),""""))"),"")</f>
        <v/>
      </c>
      <c r="AY28" s="50" t="str">
        <f t="shared" si="20"/>
        <v/>
      </c>
      <c r="AZ28" s="50" t="str">
        <f t="shared" si="21"/>
        <v/>
      </c>
      <c r="BA28" s="50">
        <f t="shared" si="22"/>
        <v>0</v>
      </c>
      <c r="BB28" s="14" t="str">
        <f t="shared" si="23"/>
        <v/>
      </c>
      <c r="BC28" s="14" t="str">
        <f>IF(ISBLANK(AH28),"",IFERROR(VLOOKUP(AH28,Transactions!D:F,3,0)))</f>
        <v/>
      </c>
      <c r="BD28" s="50" t="str">
        <f t="shared" si="24"/>
        <v/>
      </c>
      <c r="BE28" s="50" t="str">
        <f t="shared" si="25"/>
        <v/>
      </c>
      <c r="BF28" s="14" t="str">
        <f t="shared" si="26"/>
        <v/>
      </c>
      <c r="BG28" s="180" t="str">
        <f>IF(ISBLANK(AH28),"",IFERROR(VLOOKUP(AH28,Transactions!D:G,4,0)))</f>
        <v/>
      </c>
    </row>
    <row r="29">
      <c r="A29" s="14" t="str">
        <f t="shared" ref="A29:C29" si="51">AG29</f>
        <v/>
      </c>
      <c r="B29" s="14" t="str">
        <f t="shared" si="51"/>
        <v/>
      </c>
      <c r="C29" s="175" t="str">
        <f t="shared" si="51"/>
        <v/>
      </c>
      <c r="D29" s="176" t="str">
        <f>IFERROR(__xludf.DUMMYFUNCTION("IF(ISBLANK(B29),"""",IFERROR(IF(OR(AF29=""GPB"",AF29=""ZAR""),IF(AF29=Dashboard!$L$1,AJ29,(AJ29*GOOGLEFINANCE(""CURRENCY:""&amp;AF29&amp;""""&amp;Dashboard!$L$1&amp;""""))/100),IF(AF29=Dashboard!$L$1,AJ29,AJ29*GOOGLEFINANCE(""CURRENCY:""&amp;AF29&amp;""""&amp;Dashboard!$L$1&amp;""""))),"&amp;"AJ29))"),"")</f>
        <v/>
      </c>
      <c r="E29" s="177" t="str">
        <f>IFERROR(__xludf.DUMMYFUNCTION("IFERROR(IF(OR(AF29=""GBP"",AF29=""ZAR""),IF(B29="""","""",IF(AF29=Dashboard!$L$1,AK29,AK29*GOOGLEFINANCE(""CURRENCY:""&amp;AF29&amp;""""&amp;Dashboard!$L$1&amp;"""")))/100,If(B29="""","""",IF(AF29=Dashboard!$L$1,AK29,AK29*GOOGLEFINANCE(""CURRENCY:""&amp;AF29&amp;""""&amp;Dashboard!$"&amp;"L$1&amp;"""")))),AK29)"),"")</f>
        <v/>
      </c>
      <c r="F29" s="145">
        <f>IFERROR(__xludf.DUMMYFUNCTION(" E29 * GOOGLEFINANCE(""CURRENCY:USDEUR"") "),0.0)</f>
        <v>0</v>
      </c>
      <c r="G29" s="96" t="str">
        <f>IFERROR(__xludf.DUMMYFUNCTION("IF(ISBLANK(B29),"""",IFERROR(SPARKLINE(INDEX(GOOGLEFINANCE(B29,""price"",TODAY()-$G$2,TODAY()),,2),{""charttype"",""column"";""color"",""17a7e0""}),""""))"),"")</f>
        <v/>
      </c>
      <c r="H29" s="50" t="str">
        <f t="shared" si="3"/>
        <v/>
      </c>
      <c r="I29" s="96" t="str">
        <f>IFERROR(__xludf.DUMMYFUNCTION("IF(ISBLANK(B29),"""",IFERROR(IF(OR(AF29=""GPB"",AF29=""ZAR""),IF(AF29=Dashboard!$L$1,AN29,(AN29*GOOGLEFINANCE(""CURRENCY:""&amp;AF29&amp;""""&amp;Dashboard!$L$1&amp;""""))/100),IF(AF29=Dashboard!$L$1,AN29,AN29*GOOGLEFINANCE(""CURRENCY:""&amp;AF29&amp;""""&amp;Dashboard!$L$1&amp;""""))),"&amp;"AN29))"),"")</f>
        <v/>
      </c>
      <c r="J29" s="178" t="str">
        <f>IF(ISBLANK(B29),"",IFERROR(((C29-SUMIFS(Transactions!I:I,Transactions!H:H,"Crypto Interest",Transactions!D:D,B29))*D29),""))</f>
        <v/>
      </c>
      <c r="K29" s="178" t="str">
        <f t="shared" si="4"/>
        <v/>
      </c>
      <c r="L29" s="145">
        <f>-SUMIFS(Transactions!$M$3:$M149,Transactions!$H$3:$H149,"Buy",Transactions!$D$3:$D149,B29)</f>
        <v>0</v>
      </c>
      <c r="M29" s="145">
        <f>IF(ISBLANK(AG29),"",SUMIFS(Transactions!$M$3:$M149,Transactions!$H$3:$H149,"Dividend",Transactions!$D$3:$D149,B29))</f>
        <v>0</v>
      </c>
      <c r="N29" s="145" t="str">
        <f>IF(ISBLANK(AH29),"",SUMIFS(Transactions!$M$3:$M149,Transactions!$H$3:$H149,"Sell",Transactions!$D$3:$D149,B29))</f>
        <v/>
      </c>
      <c r="O29" s="50" t="str">
        <f t="shared" si="5"/>
        <v/>
      </c>
      <c r="P29" s="178" t="str">
        <f t="shared" si="6"/>
        <v/>
      </c>
      <c r="Q29" s="178" t="str">
        <f>IFERROR(__xludf.DUMMYFUNCTION("IF(ISBLANK(B29),"""",IFERROR(IF(OR(AF29=""GPB"",AF29=""ZAR""),IF(AF29=Dashboard!$L$1,AS29,(AS29*GOOGLEFINANCE(""CURRENCY:""&amp;AF29&amp;""""&amp;Dashboard!$L$1&amp;""""))/100),IF(AF29=Dashboard!$L$1,AS29,AS29*GOOGLEFINANCE(""CURRENCY:""&amp;AF29&amp;""""&amp;Dashboard!$L$1&amp;""""))),"&amp;"AS29))"),"")</f>
        <v/>
      </c>
      <c r="R29" s="178" t="str">
        <f t="shared" si="7"/>
        <v/>
      </c>
      <c r="S29" s="50" t="str">
        <f>IFERROR(__xludf.DUMMYFUNCTION("IF(ISBLANK(B29),"""",IFERROR((GOOGLEFINANCE(B29,""price"")/INDEX(GOOGLEFINANCE(B29,""price"",DATEVALUE(TODAY()-$S$2) ),2,2)-1),""""))"),"")</f>
        <v/>
      </c>
      <c r="U29" s="50" t="str">
        <f>IFERROR(__xludf.DUMMYFUNCTION("IF(ISBLANK(B29),"""",IFERROR((GOOGLEFINANCE($U$2,""price"")/INDEX(GOOGLEFINANCE($U$2,""price"",DATEVALUE(TODAY()-$S$2) ),2,2)-1),""""))"),"")</f>
        <v/>
      </c>
      <c r="W29" s="50" t="str">
        <f t="shared" si="8"/>
        <v/>
      </c>
      <c r="X29" s="50" t="str">
        <f t="shared" si="9"/>
        <v/>
      </c>
      <c r="Y29" s="179">
        <v>0.0</v>
      </c>
      <c r="Z29" s="50" t="str">
        <f t="shared" si="10"/>
        <v/>
      </c>
      <c r="AA29" s="14" t="str">
        <f t="shared" si="11"/>
        <v/>
      </c>
      <c r="AB29" s="50" t="str">
        <f t="shared" si="12"/>
        <v/>
      </c>
      <c r="AC29" s="179" t="str">
        <f t="shared" si="13"/>
        <v/>
      </c>
      <c r="AD29" s="50" t="str">
        <f t="shared" si="14"/>
        <v/>
      </c>
      <c r="AE29" s="180" t="str">
        <f t="shared" si="15"/>
        <v/>
      </c>
      <c r="AF29" s="14" t="str">
        <f t="array" ref="AF29">IFERROR(IF(ISBLANK(AH29),"",IF(VLOOKUP(AH29,Transactions!D:F,3,0)="Stablecoin",AH29,INDEX(Transactions!$B$3:$B149,MATCH(AH29,Transactions!$D$3:$D149,0),0))))</f>
        <v/>
      </c>
      <c r="AG29" s="14" t="str">
        <f>IF(ISBLANK(AH29),"",VLOOKUP(AH29,Transactions!D:E,2,0))</f>
        <v/>
      </c>
      <c r="AH29" s="14"/>
      <c r="AI29" s="146" t="str">
        <f>IF(ISBLANK(AH29),"",IF(
SUMIFS(Transactions!$I$3:$I149,Transactions!$H$3:$H149,"Buy",Transactions!$F$3:$F149,"Stock",Transactions!$D$3:$D149,AH29)
+SUMIFS(Transactions!$I$3:$I149,Transactions!$H$3:$H149,"DRIP",Transactions!$F$3:$F149,"Stock",Transactions!$D$3:$D149,AH29)
+SUMIFS(Transactions!$I$3:$I149,Transactions!$H$3:$H149,"Transfer Deposit",Transactions!$F$3:$F149,"Stock",Transactions!$D$3:$D149,AH29)
+SUMIFS(Transactions!$I$3:$I149,Transactions!$H$3:$H149,"Buy",Transactions!$F$3:$F149,"ETF",Transactions!$D$3:$D149,AH29)
+SUMIFS(Transactions!$I$3:$I149,Transactions!$H$3:$H149,"DRIP",Transactions!$F$3:$F149,"ETF",Transactions!$D$3:$D149,AH29)
+SUMIFS(Transactions!$I$3:$I149,Transactions!$H$3:$H149,"Transfer Deposit",Transactions!$F$3:$F149,"ETF",Transactions!$D$3:$D149,AH29)
+SUMIFS(Transactions!$I$3:$I149,Transactions!$H$3:$H149,"Buy",Transactions!$F$3:$F149,"Commodity",Transactions!$D$3:$D149,AH29)
+SUMIFS(Transactions!$I$3:$I149,Transactions!$H$3:$H149,"DRIP",Transactions!$F$3:$F149,"Commodity",Transactions!$D$3:$D149,AH29)
+SUMIFS(Transactions!$I$3:$I149,Transactions!$H$3:$H149,"Transfer Deposit",Transactions!$F$3:$F149,"Commodity",Transactions!$D$3:$D149,AH29)
+SUMIFS(Transactions!$I$3:$I149,Transactions!$H$3:$H149,"Buy",Transactions!$F$3:$F149,"Managed Fund",Transactions!$D$3:$D149,AH29)
+SUMIFS(Transactions!$I$3:$I149,Transactions!$H$3:$H149,"DRIP",Transactions!$F$3:$F149,"Managed Fund",Transactions!$D$3:$D149,AH29)
+SUMIFS(Transactions!$I$3:$I149,Transactions!$H$3:$H149,"Transfer Deposit",Transactions!$F$3:$F149,"Managed Fund",Transactions!$D$3:$D149,AH29)
+SUMIFS(Transactions!$I$3:$I149,Transactions!$H$3:$H149,"Buy",Transactions!$F$3:$F149,"REIT",Transactions!$D$3:$D149,AH29)
+SUMIFS(Transactions!$I$3:$I149,Transactions!$H$3:$H149,"DRIP",Transactions!$F$3:$F149,"REIT",Transactions!$D$3:$D149,AH29)
+SUMIFS(Transactions!$I$3:$I149,Transactions!$H$3:$H149,"Transfer Deposit",Transactions!$F$3:$F149,"REIT",Transactions!$D$3:$D149,AH29)
-SUMIFS(Transactions!$I$3:$I149,Transactions!$H$3:$H149,"Sell",Transactions!$F$3:$F149,"Stock",Transactions!$D$3:$D149,AH29)
-SUMIFS(Transactions!$I$3:$I149,Transactions!$H$3:$H149,"Transfer Send",Transactions!$F$3:$F149,"Stock",Transactions!$D$3:$D149,AH29)
-SUMIFS(Transactions!$I$3:$I149,Transactions!$H$3:$H149,"Sell",Transactions!$F$3:$F149,"ETF",Transactions!$D$3:$D149,AH29)
-SUMIFS(Transactions!$I$3:$I149,Transactions!$H$3:$H149,"Transfer Send",Transactions!$F$3:$F149,"ETF",Transactions!$D$3:$D149,AH29)
-SUMIFS(Transactions!$I$3:$I149,Transactions!$H$3:$H149,"Sell",Transactions!$F$3:$F149,"Commodity",Transactions!$D$3:$D149,AH29)
-SUMIFS(Transactions!$I$3:$I149,Transactions!$H$3:$H149,"Transfer Send",Transactions!$F$3:$F149,"Commodity",Transactions!$D$3:$D149,AH29)
-SUMIFS(Transactions!$I$3:$I149,Transactions!$H$3:$H149,"Sell",Transactions!$F$3:$F149,"Managed Fund",Transactions!$D$3:$D149,AH29)
-SUMIFS(Transactions!$I$3:$I149,Transactions!$H$3:$H149,"Transfer Send",Transactions!$F$3:$F149,"Managed Fund",Transactions!$D$3:$D149,AH29)
-SUMIFS(Transactions!$I$3:$I149,Transactions!$H$3:$H149,"Sell",Transactions!$F$3:$F149,"REIT",Transactions!$D$3:$D149,AH29)
-SUMIFS(Transactions!$I$3:$I149,Transactions!$H$3:$H149,"Transfer Send",Transactions!$F$3:$F149,"REIT",Transactions!$D$3:$D149,AH29)
+SUMIFS(Transactions!$I$3:$I149,Transactions!$H$3:$H149,"Buy",Transactions!$F$3:$F149,"Crypto",Transactions!$D$3:$D149,AH29)
+SUMIFS(Transactions!$I$3:$I149,Transactions!$H$3:$H149,"Crypto Interest",Transactions!$F$3:$F149,"Crypto",Transactions!$D$3:$D149,AH29)
+SUMIFS(Transactions!$I$3:$I149,Transactions!$H$3:$H149,"Transfer Deposit",Transactions!$F$3:$F149,"Crypto",Transactions!$D$3:$D149,AH29)
-SUMIFS(Transactions!$I$3:$I149,Transactions!$H$3:$H149,"Transfer Send",Transactions!$F$3:$F149,"Crypto",Transactions!$D$3:$D149,AH29)
-SUMIFS(Transactions!$I$3:$I149,Transactions!$H$3:$H149,"Sell",Transactions!$F$3:$F149,"Crypto",Transactions!$D$3:$D149,AH29)
+SUMIFS(Transactions!$I$3:$I149,Transactions!$H$3:$H149,"Buy",Transactions!$F$3:$F149,"Stablecoin",Transactions!$D$3:$D149,AH29)
+SUMIFS(Transactions!$I$3:$I149,Transactions!$H$3:$H149,"Crypto Interest",Transactions!$F$3:$F149,"Stablecoin",Transactions!$D$3:$D149,AH29)
+SUMIFS(Transactions!$I$3:$I149,Transactions!$H$3:$H149,"Transfer Deposit",Transactions!$F$3:$F149,"Stablecoin",Transactions!$D$3:$D149,AH29)
-SUMIFS(Transactions!$I$3:$I149,Transactions!$H$3:$H149,"Transfer Send",Transactions!$F$3:$F149,"Stablecoin",Transactions!$D$3:$D149,AH29)
-SUMIFS(Transactions!$I$3:$I149,Transactions!$H$3:$H149,"Sell",Transactions!$F$3:$F149,"Stablecoin",Transactions!$D$3:$D149,AH29)
-SUMIFS(Transactions!$M$3:$M149,Transactions!$H$3:$H149,"Buy",Transactions!$B$3:$B149,AH29)=0,"Sold All",
SUMIFS(Transactions!$I$3:$I149,Transactions!$H$3:$H149,"Buy",Transactions!$F$3:$F149,"Stock",Transactions!$D$3:$D149,AH29)
+SUMIFS(Transactions!$I$3:$I149,Transactions!$H$3:$H149,"DRIP",Transactions!$F$3:$F149,"Stock",Transactions!$D$3:$D149,AH29)
+SUMIFS(Transactions!$I$3:$I149,Transactions!$H$3:$H149,"Transfer Deposit",Transactions!$F$3:$F149,"Stock",Transactions!$D$3:$D149,AH29)
+SUMIFS(Transactions!$I$3:$I149,Transactions!$H$3:$H149,"Buy",Transactions!$F$3:$F149,"ETF",Transactions!$D$3:$D149,AH29)
+SUMIFS(Transactions!$I$3:$I149,Transactions!$H$3:$H149,"DRIP",Transactions!$F$3:$F149,"ETF",Transactions!$D$3:$D149,AH29)
+SUMIFS(Transactions!$I$3:$I149,Transactions!$H$3:$H149,"Transfer Deposit",Transactions!$F$3:$F149,"ETF",Transactions!$D$3:$D149,AH29)
+SUMIFS(Transactions!$I$3:$I149,Transactions!$H$3:$H149,"Buy",Transactions!$F$3:$F149,"Commodity",Transactions!$D$3:$D149,AH29)
+SUMIFS(Transactions!$I$3:$I149,Transactions!$H$3:$H149,"DRIP",Transactions!$F$3:$F149,"Commodity",Transactions!$D$3:$D149,AH29)
+SUMIFS(Transactions!$I$3:$I149,Transactions!$H$3:$H149,"Transfer Deposit",Transactions!$F$3:$F149,"Commodity",Transactions!$D$3:$D149,AH29)
+SUMIFS(Transactions!$I$3:$I149,Transactions!$H$3:$H149,"Buy",Transactions!$F$3:$F149,"Managed Fund",Transactions!$D$3:$D149,AH29)
+SUMIFS(Transactions!$I$3:$I149,Transactions!$H$3:$H149,"DRIP",Transactions!$F$3:$F149,"Managed Fund",Transactions!$D$3:$D149,AH29)
+SUMIFS(Transactions!$I$3:$I149,Transactions!$H$3:$H149,"Transfer Deposit",Transactions!$F$3:$F149,"Managed Fund",Transactions!$D$3:$D149,AH29)
+SUMIFS(Transactions!$I$3:$I149,Transactions!$H$3:$H149,"Buy",Transactions!$F$3:$F149,"REIT",Transactions!$D$3:$D149,AH29)
+SUMIFS(Transactions!$I$3:$I149,Transactions!$H$3:$H149,"DRIP",Transactions!$F$3:$F149,"REIT",Transactions!$D$3:$D149,AH29)
+SUMIFS(Transactions!$I$3:$I149,Transactions!$H$3:$H149,"Transfer Deposit",Transactions!$F$3:$F149,"REIT",Transactions!$D$3:$D149,AH29)
-SUMIFS(Transactions!$I$3:$I149,Transactions!$H$3:$H149,"Sell",Transactions!$F$3:$F149,"Stock",Transactions!$D$3:$D149,AH29)
-SUMIFS(Transactions!$I$3:$I149,Transactions!$H$3:$H149,"Transfer Send",Transactions!$F$3:$F149,"Stock",Transactions!$D$3:$D149,AH29)
-SUMIFS(Transactions!$I$3:$I149,Transactions!$H$3:$H149,"Sell",Transactions!$F$3:$F149,"ETF",Transactions!$D$3:$D149,AH29)
-SUMIFS(Transactions!$I$3:$I149,Transactions!$H$3:$H149,"Transfer Send",Transactions!$F$3:$F149,"ETF",Transactions!$D$3:$D149,AH29)
-SUMIFS(Transactions!$I$3:$I149,Transactions!$H$3:$H149,"Sell",Transactions!$F$3:$F149,"Commodity",Transactions!$D$3:$D149,AH29)
-SUMIFS(Transactions!$I$3:$I149,Transactions!$H$3:$H149,"Transfer Send",Transactions!$F$3:$F149,"Commodity",Transactions!$D$3:$D149,AH29)
-SUMIFS(Transactions!$I$3:$I149,Transactions!$H$3:$H149,"Sell",Transactions!$F$3:$F149,"Managed Fund",Transactions!$D$3:$D149,AH29)
-SUMIFS(Transactions!$I$3:$I149,Transactions!$H$3:$H149,"Transfer Send",Transactions!$F$3:$F149,"Managed Fund",Transactions!$D$3:$D149,AH29)
-SUMIFS(Transactions!$I$3:$I149,Transactions!$H$3:$H149,"Sell",Transactions!$F$3:$F149,"REIT",Transactions!$D$3:$D149,AH29)
-SUMIFS(Transactions!$I$3:$I149,Transactions!$H$3:$H149,"Transfer Send",Transactions!$F$3:$F149,"REIT",Transactions!$D$3:$D149,AH29)
+SUMIFS(Transactions!$I$3:$I149,Transactions!$H$3:$H149,"Buy",Transactions!$F$3:$F149,"Crypto",Transactions!$D$3:$D149,AH29)
+SUMIFS(Transactions!$I$3:$I149,Transactions!$H$3:$H149,"Crypto Interest",Transactions!$F$3:$F149,"Crypto",Transactions!$D$3:$D149,AH29)
+SUMIFS(Transactions!$I$3:$I149,Transactions!$H$3:$H149,"Transfer Deposit",Transactions!$F$3:$F149,"Crypto",Transactions!$D$3:$D149,AH29)
-SUMIFS(Transactions!$I$3:$I149,Transactions!$H$3:$H149,"Transfer Send",Transactions!$F$3:$F149,"Crypto",Transactions!$D$3:$D149,AH29)
-SUMIFS(Transactions!$I$3:$I149,Transactions!$H$3:$H149,"Sell",Transactions!$F$3:$F149,"Crypto",Transactions!$D$3:$D149,AH29)
+SUMIFS(Transactions!$I$3:$I149,Transactions!$H$3:$H149,"Buy",Transactions!$F$3:$F149,"Stablecoin",Transactions!$D$3:$D149,AH29)
+SUMIFS(Transactions!$I$3:$I149,Transactions!$H$3:$H149,"Crypto Interest",Transactions!$F$3:$F149,"Stablecoin",Transactions!$D$3:$D149,AH29)
+SUMIFS(Transactions!$I$3:$I149,Transactions!$H$3:$H149,"Transfer Deposit",Transactions!$F$3:$F149,"Stablecoin",Transactions!$D$3:$D149,AH29)
-SUMIFS(Transactions!$I$3:$I149,Transactions!$H$3:$H149,"Transfer Send",Transactions!$F$3:$F149,"Stablecoin",Transactions!$D$3:$D149,AH29)
-SUMIFS(Transactions!$I$3:$I149,Transactions!$H$3:$H149,"Sell",Transactions!$F$3:$F149,"Stablecoin",Transactions!$D$3:$D149,AH29)
-SUMIFS(Transactions!$M$3:$M149,Transactions!$H$3:$H149,"Buy",Transactions!$B$3:$B149,AH29)))</f>
        <v/>
      </c>
      <c r="AJ29" s="181" t="str">
        <f>IFERROR(__xludf.DUMMYFUNCTION("IF(ISBLANK(AH29),"""",VLOOKUP(9^99,FILTER({ROW(Transactions!P:P),Transactions!P:P},Transactions!D:D=AH29),2))"),"")</f>
        <v/>
      </c>
      <c r="AK29" s="181" t="str">
        <f>IFERROR(__xludf.DUMMYFUNCTION("IF(ISBLANK(AH29),"""",IFERROR(GOOGLEFINANCE(AH29,""price""),IFERROR(GOOGLEFINANCE(""CURRENCY:""&amp;AH29&amp;""""),IFERROR(INDEX(YAHOO_STOCK(TRIM(AH29), $G$2),0,1),INDEX(IMPORTHTML(CONCAT(""https://coinmarketcap.com/currencies/"",AG29),""table"",1),1,2)))))"),"")</f>
        <v/>
      </c>
      <c r="AL29" s="14" t="str">
        <f>IFERROR(__xludf.DUMMYFUNCTION("IF(ISBLANK(AH29),"""",IFERROR(SPARKLINE(INDEX(GOOGLEFINANCE(AH29,""price"",TODAY()-$AL$2,TODAY()),,2),{""charttype"",""column"";""color"",""17a7e0""}),""""))"),"")</f>
        <v/>
      </c>
      <c r="AM29" s="50" t="str">
        <f>IFERROR(__xludf.DUMMYFUNCTION("IFNA(IFERROR(IF(AH29="""","""",GOOGLEFINANCE(AH29,""changepct"")/100),(GOOGLEFINANCE(AH29)-(INDEX(GOOGLEFINANCE(""CURRENCY:""&amp;AH29&amp;"""",""price"",TODAY()-1),2,2)))/(INDEX(GOOGLEFINANCE(""CURRENCY:""&amp;AH29&amp;"""",""price"",TODAY()-1),2,2))),)"),"")</f>
        <v/>
      </c>
      <c r="AN29" s="96" t="str">
        <f>IFERROR(__xludf.DUMMYFUNCTION("IFNA(IFERROR(IF(AH29="""","""",GOOGLEFINANCE(AH29,""change"")*AI29),(GOOGLEFINANCE(AH29)-(INDEX(GOOGLEFINANCE(""CURRENCY:""&amp;AH29&amp;"""",""price"",TODAY()-1),2,2)))*AI29),"""")"),"")</f>
        <v/>
      </c>
      <c r="AO29" s="96" t="str">
        <f>IF(ISBLANK(AH29),"",IFERROR(((AI29-SUMIFS(Transactions!I:I,Transactions!H:H,"Crypto Interest",Transactions!D:D,AH29))*AJ29),""))</f>
        <v/>
      </c>
      <c r="AP29" s="96" t="str">
        <f t="shared" si="16"/>
        <v/>
      </c>
      <c r="AQ29" s="50" t="str">
        <f t="shared" si="17"/>
        <v/>
      </c>
      <c r="AR29" s="96" t="str">
        <f t="shared" si="18"/>
        <v/>
      </c>
      <c r="AS29" s="96" t="str">
        <f>IF(ISBLANK(AH29),"",SUMIFS(Transactions!$X$3:$X149,Transactions!$H$3:$H149,"Sell",Transactions!$D$3:$D149,AH29))</f>
        <v/>
      </c>
      <c r="AT29" s="96" t="str">
        <f t="shared" si="19"/>
        <v/>
      </c>
      <c r="AU29" s="50" t="str">
        <f>IFERROR(__xludf.DUMMYFUNCTION("IF(ISBLANK(AH29),"""",IFERROR((GOOGLEFINANCE(AH29,""price"")/INDEX(GOOGLEFINANCE(AH29,""price"",DATEVALUE(TODAY()-$AU$2) ),2,2)-1),""""))"),"")</f>
        <v/>
      </c>
      <c r="AW29" s="50" t="str">
        <f>IFERROR(__xludf.DUMMYFUNCTION("IF(ISBLANK(AH29),"""",IFERROR((GOOGLEFINANCE($AW$2,""price"")/INDEX(GOOGLEFINANCE($AW$2,""price"",DATEVALUE(TODAY()-$AU$2) ),2,2)-1),""""))"),"")</f>
        <v/>
      </c>
      <c r="AY29" s="50" t="str">
        <f t="shared" si="20"/>
        <v/>
      </c>
      <c r="AZ29" s="50" t="str">
        <f t="shared" si="21"/>
        <v/>
      </c>
      <c r="BA29" s="50">
        <f t="shared" si="22"/>
        <v>0</v>
      </c>
      <c r="BB29" s="14" t="str">
        <f t="shared" si="23"/>
        <v/>
      </c>
      <c r="BC29" s="14" t="str">
        <f>IF(ISBLANK(AH29),"",IFERROR(VLOOKUP(AH29,Transactions!D:F,3,0)))</f>
        <v/>
      </c>
      <c r="BD29" s="50" t="str">
        <f t="shared" si="24"/>
        <v/>
      </c>
      <c r="BE29" s="50" t="str">
        <f t="shared" si="25"/>
        <v/>
      </c>
      <c r="BF29" s="14" t="str">
        <f t="shared" si="26"/>
        <v/>
      </c>
      <c r="BG29" s="180" t="str">
        <f>IF(ISBLANK(AH29),"",IFERROR(VLOOKUP(AH29,Transactions!D:G,4,0)))</f>
        <v/>
      </c>
    </row>
    <row r="30">
      <c r="A30" s="14" t="str">
        <f t="shared" ref="A30:C30" si="52">AG30</f>
        <v/>
      </c>
      <c r="B30" s="14" t="str">
        <f t="shared" si="52"/>
        <v/>
      </c>
      <c r="C30" s="175" t="str">
        <f t="shared" si="52"/>
        <v/>
      </c>
      <c r="D30" s="176" t="str">
        <f>IFERROR(__xludf.DUMMYFUNCTION("IF(ISBLANK(B30),"""",IFERROR(IF(OR(AF30=""GPB"",AF30=""ZAR""),IF(AF30=Dashboard!$L$1,AJ30,(AJ30*GOOGLEFINANCE(""CURRENCY:""&amp;AF30&amp;""""&amp;Dashboard!$L$1&amp;""""))/100),IF(AF30=Dashboard!$L$1,AJ30,AJ30*GOOGLEFINANCE(""CURRENCY:""&amp;AF30&amp;""""&amp;Dashboard!$L$1&amp;""""))),"&amp;"AJ30))"),"")</f>
        <v/>
      </c>
      <c r="E30" s="177" t="str">
        <f>IFERROR(__xludf.DUMMYFUNCTION("IFERROR(IF(OR(AF30=""GBP"",AF30=""ZAR""),IF(B30="""","""",IF(AF30=Dashboard!$L$1,AK30,AK30*GOOGLEFINANCE(""CURRENCY:""&amp;AF30&amp;""""&amp;Dashboard!$L$1&amp;"""")))/100,If(B30="""","""",IF(AF30=Dashboard!$L$1,AK30,AK30*GOOGLEFINANCE(""CURRENCY:""&amp;AF30&amp;""""&amp;Dashboard!$"&amp;"L$1&amp;"""")))),AK30)"),"")</f>
        <v/>
      </c>
      <c r="F30" s="145">
        <f>IFERROR(__xludf.DUMMYFUNCTION(" E30 * GOOGLEFINANCE(""CURRENCY:USDEUR"") "),0.0)</f>
        <v>0</v>
      </c>
      <c r="G30" s="96" t="str">
        <f>IFERROR(__xludf.DUMMYFUNCTION("IF(ISBLANK(B30),"""",IFERROR(SPARKLINE(INDEX(GOOGLEFINANCE(B30,""price"",TODAY()-$G$2,TODAY()),,2),{""charttype"",""column"";""color"",""17a7e0""}),""""))"),"")</f>
        <v/>
      </c>
      <c r="H30" s="50" t="str">
        <f t="shared" si="3"/>
        <v/>
      </c>
      <c r="I30" s="96" t="str">
        <f>IFERROR(__xludf.DUMMYFUNCTION("IF(ISBLANK(B30),"""",IFERROR(IF(OR(AF30=""GPB"",AF30=""ZAR""),IF(AF30=Dashboard!$L$1,AN30,(AN30*GOOGLEFINANCE(""CURRENCY:""&amp;AF30&amp;""""&amp;Dashboard!$L$1&amp;""""))/100),IF(AF30=Dashboard!$L$1,AN30,AN30*GOOGLEFINANCE(""CURRENCY:""&amp;AF30&amp;""""&amp;Dashboard!$L$1&amp;""""))),"&amp;"AN30))"),"")</f>
        <v/>
      </c>
      <c r="J30" s="178" t="str">
        <f>IF(ISBLANK(B30),"",IFERROR(((C30-SUMIFS(Transactions!I:I,Transactions!H:H,"Crypto Interest",Transactions!D:D,B30))*D30),""))</f>
        <v/>
      </c>
      <c r="K30" s="178" t="str">
        <f t="shared" si="4"/>
        <v/>
      </c>
      <c r="L30" s="145">
        <f>-SUMIFS(Transactions!$M$3:$M149,Transactions!$H$3:$H149,"Buy",Transactions!$D$3:$D149,B30)</f>
        <v>0</v>
      </c>
      <c r="M30" s="145">
        <f>IF(ISBLANK(AG30),"",SUMIFS(Transactions!$M$3:$M149,Transactions!$H$3:$H149,"Dividend",Transactions!$D$3:$D149,B30))</f>
        <v>0</v>
      </c>
      <c r="N30" s="145" t="str">
        <f>IF(ISBLANK(AH30),"",SUMIFS(Transactions!$M$3:$M149,Transactions!$H$3:$H149,"Sell",Transactions!$D$3:$D149,B30))</f>
        <v/>
      </c>
      <c r="O30" s="50" t="str">
        <f t="shared" si="5"/>
        <v/>
      </c>
      <c r="P30" s="178" t="str">
        <f t="shared" si="6"/>
        <v/>
      </c>
      <c r="Q30" s="178" t="str">
        <f>IFERROR(__xludf.DUMMYFUNCTION("IF(ISBLANK(B30),"""",IFERROR(IF(OR(AF30=""GPB"",AF30=""ZAR""),IF(AF30=Dashboard!$L$1,AS30,(AS30*GOOGLEFINANCE(""CURRENCY:""&amp;AF30&amp;""""&amp;Dashboard!$L$1&amp;""""))/100),IF(AF30=Dashboard!$L$1,AS30,AS30*GOOGLEFINANCE(""CURRENCY:""&amp;AF30&amp;""""&amp;Dashboard!$L$1&amp;""""))),"&amp;"AS30))"),"")</f>
        <v/>
      </c>
      <c r="R30" s="178" t="str">
        <f t="shared" si="7"/>
        <v/>
      </c>
      <c r="S30" s="50" t="str">
        <f>IFERROR(__xludf.DUMMYFUNCTION("IF(ISBLANK(B30),"""",IFERROR((GOOGLEFINANCE(B30,""price"")/INDEX(GOOGLEFINANCE(B30,""price"",DATEVALUE(TODAY()-$S$2) ),2,2)-1),""""))"),"")</f>
        <v/>
      </c>
      <c r="U30" s="50" t="str">
        <f>IFERROR(__xludf.DUMMYFUNCTION("IF(ISBLANK(B30),"""",IFERROR((GOOGLEFINANCE($U$2,""price"")/INDEX(GOOGLEFINANCE($U$2,""price"",DATEVALUE(TODAY()-$S$2) ),2,2)-1),""""))"),"")</f>
        <v/>
      </c>
      <c r="W30" s="50" t="str">
        <f t="shared" si="8"/>
        <v/>
      </c>
      <c r="X30" s="50" t="str">
        <f t="shared" si="9"/>
        <v/>
      </c>
      <c r="Y30" s="179">
        <v>0.0</v>
      </c>
      <c r="Z30" s="50" t="str">
        <f t="shared" si="10"/>
        <v/>
      </c>
      <c r="AA30" s="14" t="str">
        <f t="shared" si="11"/>
        <v/>
      </c>
      <c r="AB30" s="50" t="str">
        <f t="shared" si="12"/>
        <v/>
      </c>
      <c r="AC30" s="179" t="str">
        <f t="shared" si="13"/>
        <v/>
      </c>
      <c r="AD30" s="50" t="str">
        <f t="shared" si="14"/>
        <v/>
      </c>
      <c r="AE30" s="180" t="str">
        <f t="shared" si="15"/>
        <v/>
      </c>
      <c r="AF30" s="14" t="str">
        <f t="array" ref="AF30">IFERROR(IF(ISBLANK(AH30),"",IF(VLOOKUP(AH30,Transactions!D:F,3,0)="Stablecoin",AH30,INDEX(Transactions!$B$3:$B149,MATCH(AH30,Transactions!$D$3:$D149,0),0))))</f>
        <v/>
      </c>
      <c r="AG30" s="14" t="str">
        <f>IF(ISBLANK(AH30),"",VLOOKUP(AH30,Transactions!D:E,2,0))</f>
        <v/>
      </c>
      <c r="AH30" s="14"/>
      <c r="AI30" s="146" t="str">
        <f>IF(ISBLANK(AH30),"",IF(
SUMIFS(Transactions!$I$3:$I149,Transactions!$H$3:$H149,"Buy",Transactions!$F$3:$F149,"Stock",Transactions!$D$3:$D149,AH30)
+SUMIFS(Transactions!$I$3:$I149,Transactions!$H$3:$H149,"DRIP",Transactions!$F$3:$F149,"Stock",Transactions!$D$3:$D149,AH30)
+SUMIFS(Transactions!$I$3:$I149,Transactions!$H$3:$H149,"Transfer Deposit",Transactions!$F$3:$F149,"Stock",Transactions!$D$3:$D149,AH30)
+SUMIFS(Transactions!$I$3:$I149,Transactions!$H$3:$H149,"Buy",Transactions!$F$3:$F149,"ETF",Transactions!$D$3:$D149,AH30)
+SUMIFS(Transactions!$I$3:$I149,Transactions!$H$3:$H149,"DRIP",Transactions!$F$3:$F149,"ETF",Transactions!$D$3:$D149,AH30)
+SUMIFS(Transactions!$I$3:$I149,Transactions!$H$3:$H149,"Transfer Deposit",Transactions!$F$3:$F149,"ETF",Transactions!$D$3:$D149,AH30)
+SUMIFS(Transactions!$I$3:$I149,Transactions!$H$3:$H149,"Buy",Transactions!$F$3:$F149,"Commodity",Transactions!$D$3:$D149,AH30)
+SUMIFS(Transactions!$I$3:$I149,Transactions!$H$3:$H149,"DRIP",Transactions!$F$3:$F149,"Commodity",Transactions!$D$3:$D149,AH30)
+SUMIFS(Transactions!$I$3:$I149,Transactions!$H$3:$H149,"Transfer Deposit",Transactions!$F$3:$F149,"Commodity",Transactions!$D$3:$D149,AH30)
+SUMIFS(Transactions!$I$3:$I149,Transactions!$H$3:$H149,"Buy",Transactions!$F$3:$F149,"Managed Fund",Transactions!$D$3:$D149,AH30)
+SUMIFS(Transactions!$I$3:$I149,Transactions!$H$3:$H149,"DRIP",Transactions!$F$3:$F149,"Managed Fund",Transactions!$D$3:$D149,AH30)
+SUMIFS(Transactions!$I$3:$I149,Transactions!$H$3:$H149,"Transfer Deposit",Transactions!$F$3:$F149,"Managed Fund",Transactions!$D$3:$D149,AH30)
+SUMIFS(Transactions!$I$3:$I149,Transactions!$H$3:$H149,"Buy",Transactions!$F$3:$F149,"REIT",Transactions!$D$3:$D149,AH30)
+SUMIFS(Transactions!$I$3:$I149,Transactions!$H$3:$H149,"DRIP",Transactions!$F$3:$F149,"REIT",Transactions!$D$3:$D149,AH30)
+SUMIFS(Transactions!$I$3:$I149,Transactions!$H$3:$H149,"Transfer Deposit",Transactions!$F$3:$F149,"REIT",Transactions!$D$3:$D149,AH30)
-SUMIFS(Transactions!$I$3:$I149,Transactions!$H$3:$H149,"Sell",Transactions!$F$3:$F149,"Stock",Transactions!$D$3:$D149,AH30)
-SUMIFS(Transactions!$I$3:$I149,Transactions!$H$3:$H149,"Transfer Send",Transactions!$F$3:$F149,"Stock",Transactions!$D$3:$D149,AH30)
-SUMIFS(Transactions!$I$3:$I149,Transactions!$H$3:$H149,"Sell",Transactions!$F$3:$F149,"ETF",Transactions!$D$3:$D149,AH30)
-SUMIFS(Transactions!$I$3:$I149,Transactions!$H$3:$H149,"Transfer Send",Transactions!$F$3:$F149,"ETF",Transactions!$D$3:$D149,AH30)
-SUMIFS(Transactions!$I$3:$I149,Transactions!$H$3:$H149,"Sell",Transactions!$F$3:$F149,"Commodity",Transactions!$D$3:$D149,AH30)
-SUMIFS(Transactions!$I$3:$I149,Transactions!$H$3:$H149,"Transfer Send",Transactions!$F$3:$F149,"Commodity",Transactions!$D$3:$D149,AH30)
-SUMIFS(Transactions!$I$3:$I149,Transactions!$H$3:$H149,"Sell",Transactions!$F$3:$F149,"Managed Fund",Transactions!$D$3:$D149,AH30)
-SUMIFS(Transactions!$I$3:$I149,Transactions!$H$3:$H149,"Transfer Send",Transactions!$F$3:$F149,"Managed Fund",Transactions!$D$3:$D149,AH30)
-SUMIFS(Transactions!$I$3:$I149,Transactions!$H$3:$H149,"Sell",Transactions!$F$3:$F149,"REIT",Transactions!$D$3:$D149,AH30)
-SUMIFS(Transactions!$I$3:$I149,Transactions!$H$3:$H149,"Transfer Send",Transactions!$F$3:$F149,"REIT",Transactions!$D$3:$D149,AH30)
+SUMIFS(Transactions!$I$3:$I149,Transactions!$H$3:$H149,"Buy",Transactions!$F$3:$F149,"Crypto",Transactions!$D$3:$D149,AH30)
+SUMIFS(Transactions!$I$3:$I149,Transactions!$H$3:$H149,"Crypto Interest",Transactions!$F$3:$F149,"Crypto",Transactions!$D$3:$D149,AH30)
+SUMIFS(Transactions!$I$3:$I149,Transactions!$H$3:$H149,"Transfer Deposit",Transactions!$F$3:$F149,"Crypto",Transactions!$D$3:$D149,AH30)
-SUMIFS(Transactions!$I$3:$I149,Transactions!$H$3:$H149,"Transfer Send",Transactions!$F$3:$F149,"Crypto",Transactions!$D$3:$D149,AH30)
-SUMIFS(Transactions!$I$3:$I149,Transactions!$H$3:$H149,"Sell",Transactions!$F$3:$F149,"Crypto",Transactions!$D$3:$D149,AH30)
+SUMIFS(Transactions!$I$3:$I149,Transactions!$H$3:$H149,"Buy",Transactions!$F$3:$F149,"Stablecoin",Transactions!$D$3:$D149,AH30)
+SUMIFS(Transactions!$I$3:$I149,Transactions!$H$3:$H149,"Crypto Interest",Transactions!$F$3:$F149,"Stablecoin",Transactions!$D$3:$D149,AH30)
+SUMIFS(Transactions!$I$3:$I149,Transactions!$H$3:$H149,"Transfer Deposit",Transactions!$F$3:$F149,"Stablecoin",Transactions!$D$3:$D149,AH30)
-SUMIFS(Transactions!$I$3:$I149,Transactions!$H$3:$H149,"Transfer Send",Transactions!$F$3:$F149,"Stablecoin",Transactions!$D$3:$D149,AH30)
-SUMIFS(Transactions!$I$3:$I149,Transactions!$H$3:$H149,"Sell",Transactions!$F$3:$F149,"Stablecoin",Transactions!$D$3:$D149,AH30)
-SUMIFS(Transactions!$M$3:$M149,Transactions!$H$3:$H149,"Buy",Transactions!$B$3:$B149,AH30)=0,"Sold All",
SUMIFS(Transactions!$I$3:$I149,Transactions!$H$3:$H149,"Buy",Transactions!$F$3:$F149,"Stock",Transactions!$D$3:$D149,AH30)
+SUMIFS(Transactions!$I$3:$I149,Transactions!$H$3:$H149,"DRIP",Transactions!$F$3:$F149,"Stock",Transactions!$D$3:$D149,AH30)
+SUMIFS(Transactions!$I$3:$I149,Transactions!$H$3:$H149,"Transfer Deposit",Transactions!$F$3:$F149,"Stock",Transactions!$D$3:$D149,AH30)
+SUMIFS(Transactions!$I$3:$I149,Transactions!$H$3:$H149,"Buy",Transactions!$F$3:$F149,"ETF",Transactions!$D$3:$D149,AH30)
+SUMIFS(Transactions!$I$3:$I149,Transactions!$H$3:$H149,"DRIP",Transactions!$F$3:$F149,"ETF",Transactions!$D$3:$D149,AH30)
+SUMIFS(Transactions!$I$3:$I149,Transactions!$H$3:$H149,"Transfer Deposit",Transactions!$F$3:$F149,"ETF",Transactions!$D$3:$D149,AH30)
+SUMIFS(Transactions!$I$3:$I149,Transactions!$H$3:$H149,"Buy",Transactions!$F$3:$F149,"Commodity",Transactions!$D$3:$D149,AH30)
+SUMIFS(Transactions!$I$3:$I149,Transactions!$H$3:$H149,"DRIP",Transactions!$F$3:$F149,"Commodity",Transactions!$D$3:$D149,AH30)
+SUMIFS(Transactions!$I$3:$I149,Transactions!$H$3:$H149,"Transfer Deposit",Transactions!$F$3:$F149,"Commodity",Transactions!$D$3:$D149,AH30)
+SUMIFS(Transactions!$I$3:$I149,Transactions!$H$3:$H149,"Buy",Transactions!$F$3:$F149,"Managed Fund",Transactions!$D$3:$D149,AH30)
+SUMIFS(Transactions!$I$3:$I149,Transactions!$H$3:$H149,"DRIP",Transactions!$F$3:$F149,"Managed Fund",Transactions!$D$3:$D149,AH30)
+SUMIFS(Transactions!$I$3:$I149,Transactions!$H$3:$H149,"Transfer Deposit",Transactions!$F$3:$F149,"Managed Fund",Transactions!$D$3:$D149,AH30)
+SUMIFS(Transactions!$I$3:$I149,Transactions!$H$3:$H149,"Buy",Transactions!$F$3:$F149,"REIT",Transactions!$D$3:$D149,AH30)
+SUMIFS(Transactions!$I$3:$I149,Transactions!$H$3:$H149,"DRIP",Transactions!$F$3:$F149,"REIT",Transactions!$D$3:$D149,AH30)
+SUMIFS(Transactions!$I$3:$I149,Transactions!$H$3:$H149,"Transfer Deposit",Transactions!$F$3:$F149,"REIT",Transactions!$D$3:$D149,AH30)
-SUMIFS(Transactions!$I$3:$I149,Transactions!$H$3:$H149,"Sell",Transactions!$F$3:$F149,"Stock",Transactions!$D$3:$D149,AH30)
-SUMIFS(Transactions!$I$3:$I149,Transactions!$H$3:$H149,"Transfer Send",Transactions!$F$3:$F149,"Stock",Transactions!$D$3:$D149,AH30)
-SUMIFS(Transactions!$I$3:$I149,Transactions!$H$3:$H149,"Sell",Transactions!$F$3:$F149,"ETF",Transactions!$D$3:$D149,AH30)
-SUMIFS(Transactions!$I$3:$I149,Transactions!$H$3:$H149,"Transfer Send",Transactions!$F$3:$F149,"ETF",Transactions!$D$3:$D149,AH30)
-SUMIFS(Transactions!$I$3:$I149,Transactions!$H$3:$H149,"Sell",Transactions!$F$3:$F149,"Commodity",Transactions!$D$3:$D149,AH30)
-SUMIFS(Transactions!$I$3:$I149,Transactions!$H$3:$H149,"Transfer Send",Transactions!$F$3:$F149,"Commodity",Transactions!$D$3:$D149,AH30)
-SUMIFS(Transactions!$I$3:$I149,Transactions!$H$3:$H149,"Sell",Transactions!$F$3:$F149,"Managed Fund",Transactions!$D$3:$D149,AH30)
-SUMIFS(Transactions!$I$3:$I149,Transactions!$H$3:$H149,"Transfer Send",Transactions!$F$3:$F149,"Managed Fund",Transactions!$D$3:$D149,AH30)
-SUMIFS(Transactions!$I$3:$I149,Transactions!$H$3:$H149,"Sell",Transactions!$F$3:$F149,"REIT",Transactions!$D$3:$D149,AH30)
-SUMIFS(Transactions!$I$3:$I149,Transactions!$H$3:$H149,"Transfer Send",Transactions!$F$3:$F149,"REIT",Transactions!$D$3:$D149,AH30)
+SUMIFS(Transactions!$I$3:$I149,Transactions!$H$3:$H149,"Buy",Transactions!$F$3:$F149,"Crypto",Transactions!$D$3:$D149,AH30)
+SUMIFS(Transactions!$I$3:$I149,Transactions!$H$3:$H149,"Crypto Interest",Transactions!$F$3:$F149,"Crypto",Transactions!$D$3:$D149,AH30)
+SUMIFS(Transactions!$I$3:$I149,Transactions!$H$3:$H149,"Transfer Deposit",Transactions!$F$3:$F149,"Crypto",Transactions!$D$3:$D149,AH30)
-SUMIFS(Transactions!$I$3:$I149,Transactions!$H$3:$H149,"Transfer Send",Transactions!$F$3:$F149,"Crypto",Transactions!$D$3:$D149,AH30)
-SUMIFS(Transactions!$I$3:$I149,Transactions!$H$3:$H149,"Sell",Transactions!$F$3:$F149,"Crypto",Transactions!$D$3:$D149,AH30)
+SUMIFS(Transactions!$I$3:$I149,Transactions!$H$3:$H149,"Buy",Transactions!$F$3:$F149,"Stablecoin",Transactions!$D$3:$D149,AH30)
+SUMIFS(Transactions!$I$3:$I149,Transactions!$H$3:$H149,"Crypto Interest",Transactions!$F$3:$F149,"Stablecoin",Transactions!$D$3:$D149,AH30)
+SUMIFS(Transactions!$I$3:$I149,Transactions!$H$3:$H149,"Transfer Deposit",Transactions!$F$3:$F149,"Stablecoin",Transactions!$D$3:$D149,AH30)
-SUMIFS(Transactions!$I$3:$I149,Transactions!$H$3:$H149,"Transfer Send",Transactions!$F$3:$F149,"Stablecoin",Transactions!$D$3:$D149,AH30)
-SUMIFS(Transactions!$I$3:$I149,Transactions!$H$3:$H149,"Sell",Transactions!$F$3:$F149,"Stablecoin",Transactions!$D$3:$D149,AH30)
-SUMIFS(Transactions!$M$3:$M149,Transactions!$H$3:$H149,"Buy",Transactions!$B$3:$B149,AH30)))</f>
        <v/>
      </c>
      <c r="AJ30" s="181" t="str">
        <f>IFERROR(__xludf.DUMMYFUNCTION("IF(ISBLANK(AH30),"""",VLOOKUP(9^99,FILTER({ROW(Transactions!P:P),Transactions!P:P},Transactions!D:D=AH30),2))"),"")</f>
        <v/>
      </c>
      <c r="AK30" s="181" t="str">
        <f>IFERROR(__xludf.DUMMYFUNCTION("IF(ISBLANK(AH30),"""",IFERROR(GOOGLEFINANCE(AH30,""price""),IFERROR(GOOGLEFINANCE(""CURRENCY:""&amp;AH30&amp;""""),IFERROR(INDEX(YAHOO_STOCK(TRIM(AH30), $G$2),0,1),INDEX(IMPORTHTML(CONCAT(""https://coinmarketcap.com/currencies/"",AG30),""table"",1),1,2)))))"),"")</f>
        <v/>
      </c>
      <c r="AL30" s="14" t="str">
        <f>IFERROR(__xludf.DUMMYFUNCTION("IF(ISBLANK(AH30),"""",IFERROR(SPARKLINE(INDEX(GOOGLEFINANCE(AH30,""price"",TODAY()-$AL$2,TODAY()),,2),{""charttype"",""column"";""color"",""17a7e0""}),""""))"),"")</f>
        <v/>
      </c>
      <c r="AM30" s="50" t="str">
        <f>IFERROR(__xludf.DUMMYFUNCTION("IFNA(IFERROR(IF(AH30="""","""",GOOGLEFINANCE(AH30,""changepct"")/100),(GOOGLEFINANCE(AH30)-(INDEX(GOOGLEFINANCE(""CURRENCY:""&amp;AH30&amp;"""",""price"",TODAY()-1),2,2)))/(INDEX(GOOGLEFINANCE(""CURRENCY:""&amp;AH30&amp;"""",""price"",TODAY()-1),2,2))),)"),"")</f>
        <v/>
      </c>
      <c r="AN30" s="96" t="str">
        <f>IFERROR(__xludf.DUMMYFUNCTION("IFNA(IFERROR(IF(AH30="""","""",GOOGLEFINANCE(AH30,""change"")*AI30),(GOOGLEFINANCE(AH30)-(INDEX(GOOGLEFINANCE(""CURRENCY:""&amp;AH30&amp;"""",""price"",TODAY()-1),2,2)))*AI30),"""")"),"")</f>
        <v/>
      </c>
      <c r="AO30" s="96" t="str">
        <f>IF(ISBLANK(AH30),"",IFERROR(((AI30-SUMIFS(Transactions!I:I,Transactions!H:H,"Crypto Interest",Transactions!D:D,AH30))*AJ30),""))</f>
        <v/>
      </c>
      <c r="AP30" s="96" t="str">
        <f t="shared" si="16"/>
        <v/>
      </c>
      <c r="AQ30" s="50" t="str">
        <f t="shared" si="17"/>
        <v/>
      </c>
      <c r="AR30" s="96" t="str">
        <f t="shared" si="18"/>
        <v/>
      </c>
      <c r="AS30" s="96" t="str">
        <f>IF(ISBLANK(AH30),"",SUMIFS(Transactions!$X$3:$X149,Transactions!$H$3:$H149,"Sell",Transactions!$D$3:$D149,AH30))</f>
        <v/>
      </c>
      <c r="AT30" s="96" t="str">
        <f t="shared" si="19"/>
        <v/>
      </c>
      <c r="AU30" s="50" t="str">
        <f>IFERROR(__xludf.DUMMYFUNCTION("IF(ISBLANK(AH30),"""",IFERROR((GOOGLEFINANCE(AH30,""price"")/INDEX(GOOGLEFINANCE(AH30,""price"",DATEVALUE(TODAY()-$AU$2) ),2,2)-1),""""))"),"")</f>
        <v/>
      </c>
      <c r="AW30" s="50" t="str">
        <f>IFERROR(__xludf.DUMMYFUNCTION("IF(ISBLANK(AH30),"""",IFERROR((GOOGLEFINANCE($AW$2,""price"")/INDEX(GOOGLEFINANCE($AW$2,""price"",DATEVALUE(TODAY()-$AU$2) ),2,2)-1),""""))"),"")</f>
        <v/>
      </c>
      <c r="AY30" s="50" t="str">
        <f t="shared" si="20"/>
        <v/>
      </c>
      <c r="AZ30" s="50" t="str">
        <f t="shared" si="21"/>
        <v/>
      </c>
      <c r="BA30" s="50">
        <f t="shared" si="22"/>
        <v>0</v>
      </c>
      <c r="BB30" s="14" t="str">
        <f t="shared" si="23"/>
        <v/>
      </c>
      <c r="BC30" s="14" t="str">
        <f>IF(ISBLANK(AH30),"",IFERROR(VLOOKUP(AH30,Transactions!D:F,3,0)))</f>
        <v/>
      </c>
      <c r="BD30" s="50" t="str">
        <f t="shared" si="24"/>
        <v/>
      </c>
      <c r="BE30" s="50" t="str">
        <f t="shared" si="25"/>
        <v/>
      </c>
      <c r="BF30" s="14" t="str">
        <f t="shared" si="26"/>
        <v/>
      </c>
      <c r="BG30" s="180" t="str">
        <f>IF(ISBLANK(AH30),"",IFERROR(VLOOKUP(AH30,Transactions!D:G,4,0)))</f>
        <v/>
      </c>
    </row>
    <row r="31">
      <c r="A31" s="14" t="str">
        <f t="shared" ref="A31:C31" si="53">AG31</f>
        <v/>
      </c>
      <c r="B31" s="14" t="str">
        <f t="shared" si="53"/>
        <v/>
      </c>
      <c r="C31" s="175" t="str">
        <f t="shared" si="53"/>
        <v/>
      </c>
      <c r="D31" s="176" t="str">
        <f>IFERROR(__xludf.DUMMYFUNCTION("IF(ISBLANK(B31),"""",IFERROR(IF(OR(AF31=""GPB"",AF31=""ZAR""),IF(AF31=Dashboard!$L$1,AJ31,(AJ31*GOOGLEFINANCE(""CURRENCY:""&amp;AF31&amp;""""&amp;Dashboard!$L$1&amp;""""))/100),IF(AF31=Dashboard!$L$1,AJ31,AJ31*GOOGLEFINANCE(""CURRENCY:""&amp;AF31&amp;""""&amp;Dashboard!$L$1&amp;""""))),"&amp;"AJ31))"),"")</f>
        <v/>
      </c>
      <c r="E31" s="177" t="str">
        <f>IFERROR(__xludf.DUMMYFUNCTION("IFERROR(IF(OR(AF31=""GBP"",AF31=""ZAR""),IF(B31="""","""",IF(AF31=Dashboard!$L$1,AK31,AK31*GOOGLEFINANCE(""CURRENCY:""&amp;AF31&amp;""""&amp;Dashboard!$L$1&amp;"""")))/100,If(B31="""","""",IF(AF31=Dashboard!$L$1,AK31,AK31*GOOGLEFINANCE(""CURRENCY:""&amp;AF31&amp;""""&amp;Dashboard!$"&amp;"L$1&amp;"""")))),AK31)"),"")</f>
        <v/>
      </c>
      <c r="F31" s="145">
        <f>IFERROR(__xludf.DUMMYFUNCTION(" E31 * GOOGLEFINANCE(""CURRENCY:USDEUR"") "),0.0)</f>
        <v>0</v>
      </c>
      <c r="G31" s="96" t="str">
        <f>IFERROR(__xludf.DUMMYFUNCTION("IF(ISBLANK(B31),"""",IFERROR(SPARKLINE(INDEX(GOOGLEFINANCE(B31,""price"",TODAY()-$G$2,TODAY()),,2),{""charttype"",""column"";""color"",""17a7e0""}),""""))"),"")</f>
        <v/>
      </c>
      <c r="H31" s="50" t="str">
        <f t="shared" si="3"/>
        <v/>
      </c>
      <c r="I31" s="96" t="str">
        <f>IFERROR(__xludf.DUMMYFUNCTION("IF(ISBLANK(B31),"""",IFERROR(IF(OR(AF31=""GPB"",AF31=""ZAR""),IF(AF31=Dashboard!$L$1,AN31,(AN31*GOOGLEFINANCE(""CURRENCY:""&amp;AF31&amp;""""&amp;Dashboard!$L$1&amp;""""))/100),IF(AF31=Dashboard!$L$1,AN31,AN31*GOOGLEFINANCE(""CURRENCY:""&amp;AF31&amp;""""&amp;Dashboard!$L$1&amp;""""))),"&amp;"AN31))"),"")</f>
        <v/>
      </c>
      <c r="J31" s="178" t="str">
        <f>IF(ISBLANK(B31),"",IFERROR(((C31-SUMIFS(Transactions!I:I,Transactions!H:H,"Crypto Interest",Transactions!D:D,B31))*D31),""))</f>
        <v/>
      </c>
      <c r="K31" s="178" t="str">
        <f t="shared" si="4"/>
        <v/>
      </c>
      <c r="L31" s="145">
        <f>-SUMIFS(Transactions!$M$3:$M149,Transactions!$H$3:$H149,"Buy",Transactions!$D$3:$D149,B31)</f>
        <v>0</v>
      </c>
      <c r="M31" s="145">
        <f>IF(ISBLANK(AG31),"",SUMIFS(Transactions!$M$3:$M149,Transactions!$H$3:$H149,"Dividend",Transactions!$D$3:$D149,B31))</f>
        <v>0</v>
      </c>
      <c r="N31" s="145" t="str">
        <f>IF(ISBLANK(AH31),"",SUMIFS(Transactions!$M$3:$M149,Transactions!$H$3:$H149,"Sell",Transactions!$D$3:$D149,B31))</f>
        <v/>
      </c>
      <c r="O31" s="50" t="str">
        <f t="shared" si="5"/>
        <v/>
      </c>
      <c r="P31" s="178" t="str">
        <f t="shared" si="6"/>
        <v/>
      </c>
      <c r="Q31" s="178" t="str">
        <f>IFERROR(__xludf.DUMMYFUNCTION("IF(ISBLANK(B31),"""",IFERROR(IF(OR(AF31=""GPB"",AF31=""ZAR""),IF(AF31=Dashboard!$L$1,AS31,(AS31*GOOGLEFINANCE(""CURRENCY:""&amp;AF31&amp;""""&amp;Dashboard!$L$1&amp;""""))/100),IF(AF31=Dashboard!$L$1,AS31,AS31*GOOGLEFINANCE(""CURRENCY:""&amp;AF31&amp;""""&amp;Dashboard!$L$1&amp;""""))),"&amp;"AS31))"),"")</f>
        <v/>
      </c>
      <c r="R31" s="178" t="str">
        <f t="shared" si="7"/>
        <v/>
      </c>
      <c r="S31" s="50" t="str">
        <f>IFERROR(__xludf.DUMMYFUNCTION("IF(ISBLANK(B31),"""",IFERROR((GOOGLEFINANCE(B31,""price"")/INDEX(GOOGLEFINANCE(B31,""price"",DATEVALUE(TODAY()-$S$2) ),2,2)-1),""""))"),"")</f>
        <v/>
      </c>
      <c r="U31" s="50" t="str">
        <f>IFERROR(__xludf.DUMMYFUNCTION("IF(ISBLANK(B31),"""",IFERROR((GOOGLEFINANCE($U$2,""price"")/INDEX(GOOGLEFINANCE($U$2,""price"",DATEVALUE(TODAY()-$S$2) ),2,2)-1),""""))"),"")</f>
        <v/>
      </c>
      <c r="W31" s="50" t="str">
        <f t="shared" si="8"/>
        <v/>
      </c>
      <c r="X31" s="50" t="str">
        <f t="shared" si="9"/>
        <v/>
      </c>
      <c r="Y31" s="179">
        <v>0.0</v>
      </c>
      <c r="Z31" s="50" t="str">
        <f t="shared" si="10"/>
        <v/>
      </c>
      <c r="AA31" s="14" t="str">
        <f t="shared" si="11"/>
        <v/>
      </c>
      <c r="AB31" s="50" t="str">
        <f t="shared" si="12"/>
        <v/>
      </c>
      <c r="AC31" s="179" t="str">
        <f t="shared" si="13"/>
        <v/>
      </c>
      <c r="AD31" s="50" t="str">
        <f t="shared" si="14"/>
        <v/>
      </c>
      <c r="AE31" s="180" t="str">
        <f t="shared" si="15"/>
        <v/>
      </c>
      <c r="AF31" s="14" t="str">
        <f t="array" ref="AF31">IFERROR(IF(ISBLANK(AH31),"",IF(VLOOKUP(AH31,Transactions!D:F,3,0)="Stablecoin",AH31,INDEX(Transactions!$B$3:$B149,MATCH(AH31,Transactions!$D$3:$D149,0),0))))</f>
        <v/>
      </c>
      <c r="AG31" s="14" t="str">
        <f>IF(ISBLANK(AH31),"",VLOOKUP(AH31,Transactions!D:E,2,0))</f>
        <v/>
      </c>
      <c r="AH31" s="14"/>
      <c r="AI31" s="146" t="str">
        <f>IF(ISBLANK(AH31),"",IF(
SUMIFS(Transactions!$I$3:$I149,Transactions!$H$3:$H149,"Buy",Transactions!$F$3:$F149,"Stock",Transactions!$D$3:$D149,AH31)
+SUMIFS(Transactions!$I$3:$I149,Transactions!$H$3:$H149,"DRIP",Transactions!$F$3:$F149,"Stock",Transactions!$D$3:$D149,AH31)
+SUMIFS(Transactions!$I$3:$I149,Transactions!$H$3:$H149,"Transfer Deposit",Transactions!$F$3:$F149,"Stock",Transactions!$D$3:$D149,AH31)
+SUMIFS(Transactions!$I$3:$I149,Transactions!$H$3:$H149,"Buy",Transactions!$F$3:$F149,"ETF",Transactions!$D$3:$D149,AH31)
+SUMIFS(Transactions!$I$3:$I149,Transactions!$H$3:$H149,"DRIP",Transactions!$F$3:$F149,"ETF",Transactions!$D$3:$D149,AH31)
+SUMIFS(Transactions!$I$3:$I149,Transactions!$H$3:$H149,"Transfer Deposit",Transactions!$F$3:$F149,"ETF",Transactions!$D$3:$D149,AH31)
+SUMIFS(Transactions!$I$3:$I149,Transactions!$H$3:$H149,"Buy",Transactions!$F$3:$F149,"Commodity",Transactions!$D$3:$D149,AH31)
+SUMIFS(Transactions!$I$3:$I149,Transactions!$H$3:$H149,"DRIP",Transactions!$F$3:$F149,"Commodity",Transactions!$D$3:$D149,AH31)
+SUMIFS(Transactions!$I$3:$I149,Transactions!$H$3:$H149,"Transfer Deposit",Transactions!$F$3:$F149,"Commodity",Transactions!$D$3:$D149,AH31)
+SUMIFS(Transactions!$I$3:$I149,Transactions!$H$3:$H149,"Buy",Transactions!$F$3:$F149,"Managed Fund",Transactions!$D$3:$D149,AH31)
+SUMIFS(Transactions!$I$3:$I149,Transactions!$H$3:$H149,"DRIP",Transactions!$F$3:$F149,"Managed Fund",Transactions!$D$3:$D149,AH31)
+SUMIFS(Transactions!$I$3:$I149,Transactions!$H$3:$H149,"Transfer Deposit",Transactions!$F$3:$F149,"Managed Fund",Transactions!$D$3:$D149,AH31)
+SUMIFS(Transactions!$I$3:$I149,Transactions!$H$3:$H149,"Buy",Transactions!$F$3:$F149,"REIT",Transactions!$D$3:$D149,AH31)
+SUMIFS(Transactions!$I$3:$I149,Transactions!$H$3:$H149,"DRIP",Transactions!$F$3:$F149,"REIT",Transactions!$D$3:$D149,AH31)
+SUMIFS(Transactions!$I$3:$I149,Transactions!$H$3:$H149,"Transfer Deposit",Transactions!$F$3:$F149,"REIT",Transactions!$D$3:$D149,AH31)
-SUMIFS(Transactions!$I$3:$I149,Transactions!$H$3:$H149,"Sell",Transactions!$F$3:$F149,"Stock",Transactions!$D$3:$D149,AH31)
-SUMIFS(Transactions!$I$3:$I149,Transactions!$H$3:$H149,"Transfer Send",Transactions!$F$3:$F149,"Stock",Transactions!$D$3:$D149,AH31)
-SUMIFS(Transactions!$I$3:$I149,Transactions!$H$3:$H149,"Sell",Transactions!$F$3:$F149,"ETF",Transactions!$D$3:$D149,AH31)
-SUMIFS(Transactions!$I$3:$I149,Transactions!$H$3:$H149,"Transfer Send",Transactions!$F$3:$F149,"ETF",Transactions!$D$3:$D149,AH31)
-SUMIFS(Transactions!$I$3:$I149,Transactions!$H$3:$H149,"Sell",Transactions!$F$3:$F149,"Commodity",Transactions!$D$3:$D149,AH31)
-SUMIFS(Transactions!$I$3:$I149,Transactions!$H$3:$H149,"Transfer Send",Transactions!$F$3:$F149,"Commodity",Transactions!$D$3:$D149,AH31)
-SUMIFS(Transactions!$I$3:$I149,Transactions!$H$3:$H149,"Sell",Transactions!$F$3:$F149,"Managed Fund",Transactions!$D$3:$D149,AH31)
-SUMIFS(Transactions!$I$3:$I149,Transactions!$H$3:$H149,"Transfer Send",Transactions!$F$3:$F149,"Managed Fund",Transactions!$D$3:$D149,AH31)
-SUMIFS(Transactions!$I$3:$I149,Transactions!$H$3:$H149,"Sell",Transactions!$F$3:$F149,"REIT",Transactions!$D$3:$D149,AH31)
-SUMIFS(Transactions!$I$3:$I149,Transactions!$H$3:$H149,"Transfer Send",Transactions!$F$3:$F149,"REIT",Transactions!$D$3:$D149,AH31)
+SUMIFS(Transactions!$I$3:$I149,Transactions!$H$3:$H149,"Buy",Transactions!$F$3:$F149,"Crypto",Transactions!$D$3:$D149,AH31)
+SUMIFS(Transactions!$I$3:$I149,Transactions!$H$3:$H149,"Crypto Interest",Transactions!$F$3:$F149,"Crypto",Transactions!$D$3:$D149,AH31)
+SUMIFS(Transactions!$I$3:$I149,Transactions!$H$3:$H149,"Transfer Deposit",Transactions!$F$3:$F149,"Crypto",Transactions!$D$3:$D149,AH31)
-SUMIFS(Transactions!$I$3:$I149,Transactions!$H$3:$H149,"Transfer Send",Transactions!$F$3:$F149,"Crypto",Transactions!$D$3:$D149,AH31)
-SUMIFS(Transactions!$I$3:$I149,Transactions!$H$3:$H149,"Sell",Transactions!$F$3:$F149,"Crypto",Transactions!$D$3:$D149,AH31)
+SUMIFS(Transactions!$I$3:$I149,Transactions!$H$3:$H149,"Buy",Transactions!$F$3:$F149,"Stablecoin",Transactions!$D$3:$D149,AH31)
+SUMIFS(Transactions!$I$3:$I149,Transactions!$H$3:$H149,"Crypto Interest",Transactions!$F$3:$F149,"Stablecoin",Transactions!$D$3:$D149,AH31)
+SUMIFS(Transactions!$I$3:$I149,Transactions!$H$3:$H149,"Transfer Deposit",Transactions!$F$3:$F149,"Stablecoin",Transactions!$D$3:$D149,AH31)
-SUMIFS(Transactions!$I$3:$I149,Transactions!$H$3:$H149,"Transfer Send",Transactions!$F$3:$F149,"Stablecoin",Transactions!$D$3:$D149,AH31)
-SUMIFS(Transactions!$I$3:$I149,Transactions!$H$3:$H149,"Sell",Transactions!$F$3:$F149,"Stablecoin",Transactions!$D$3:$D149,AH31)
-SUMIFS(Transactions!$M$3:$M149,Transactions!$H$3:$H149,"Buy",Transactions!$B$3:$B149,AH31)=0,"Sold All",
SUMIFS(Transactions!$I$3:$I149,Transactions!$H$3:$H149,"Buy",Transactions!$F$3:$F149,"Stock",Transactions!$D$3:$D149,AH31)
+SUMIFS(Transactions!$I$3:$I149,Transactions!$H$3:$H149,"DRIP",Transactions!$F$3:$F149,"Stock",Transactions!$D$3:$D149,AH31)
+SUMIFS(Transactions!$I$3:$I149,Transactions!$H$3:$H149,"Transfer Deposit",Transactions!$F$3:$F149,"Stock",Transactions!$D$3:$D149,AH31)
+SUMIFS(Transactions!$I$3:$I149,Transactions!$H$3:$H149,"Buy",Transactions!$F$3:$F149,"ETF",Transactions!$D$3:$D149,AH31)
+SUMIFS(Transactions!$I$3:$I149,Transactions!$H$3:$H149,"DRIP",Transactions!$F$3:$F149,"ETF",Transactions!$D$3:$D149,AH31)
+SUMIFS(Transactions!$I$3:$I149,Transactions!$H$3:$H149,"Transfer Deposit",Transactions!$F$3:$F149,"ETF",Transactions!$D$3:$D149,AH31)
+SUMIFS(Transactions!$I$3:$I149,Transactions!$H$3:$H149,"Buy",Transactions!$F$3:$F149,"Commodity",Transactions!$D$3:$D149,AH31)
+SUMIFS(Transactions!$I$3:$I149,Transactions!$H$3:$H149,"DRIP",Transactions!$F$3:$F149,"Commodity",Transactions!$D$3:$D149,AH31)
+SUMIFS(Transactions!$I$3:$I149,Transactions!$H$3:$H149,"Transfer Deposit",Transactions!$F$3:$F149,"Commodity",Transactions!$D$3:$D149,AH31)
+SUMIFS(Transactions!$I$3:$I149,Transactions!$H$3:$H149,"Buy",Transactions!$F$3:$F149,"Managed Fund",Transactions!$D$3:$D149,AH31)
+SUMIFS(Transactions!$I$3:$I149,Transactions!$H$3:$H149,"DRIP",Transactions!$F$3:$F149,"Managed Fund",Transactions!$D$3:$D149,AH31)
+SUMIFS(Transactions!$I$3:$I149,Transactions!$H$3:$H149,"Transfer Deposit",Transactions!$F$3:$F149,"Managed Fund",Transactions!$D$3:$D149,AH31)
+SUMIFS(Transactions!$I$3:$I149,Transactions!$H$3:$H149,"Buy",Transactions!$F$3:$F149,"REIT",Transactions!$D$3:$D149,AH31)
+SUMIFS(Transactions!$I$3:$I149,Transactions!$H$3:$H149,"DRIP",Transactions!$F$3:$F149,"REIT",Transactions!$D$3:$D149,AH31)
+SUMIFS(Transactions!$I$3:$I149,Transactions!$H$3:$H149,"Transfer Deposit",Transactions!$F$3:$F149,"REIT",Transactions!$D$3:$D149,AH31)
-SUMIFS(Transactions!$I$3:$I149,Transactions!$H$3:$H149,"Sell",Transactions!$F$3:$F149,"Stock",Transactions!$D$3:$D149,AH31)
-SUMIFS(Transactions!$I$3:$I149,Transactions!$H$3:$H149,"Transfer Send",Transactions!$F$3:$F149,"Stock",Transactions!$D$3:$D149,AH31)
-SUMIFS(Transactions!$I$3:$I149,Transactions!$H$3:$H149,"Sell",Transactions!$F$3:$F149,"ETF",Transactions!$D$3:$D149,AH31)
-SUMIFS(Transactions!$I$3:$I149,Transactions!$H$3:$H149,"Transfer Send",Transactions!$F$3:$F149,"ETF",Transactions!$D$3:$D149,AH31)
-SUMIFS(Transactions!$I$3:$I149,Transactions!$H$3:$H149,"Sell",Transactions!$F$3:$F149,"Commodity",Transactions!$D$3:$D149,AH31)
-SUMIFS(Transactions!$I$3:$I149,Transactions!$H$3:$H149,"Transfer Send",Transactions!$F$3:$F149,"Commodity",Transactions!$D$3:$D149,AH31)
-SUMIFS(Transactions!$I$3:$I149,Transactions!$H$3:$H149,"Sell",Transactions!$F$3:$F149,"Managed Fund",Transactions!$D$3:$D149,AH31)
-SUMIFS(Transactions!$I$3:$I149,Transactions!$H$3:$H149,"Transfer Send",Transactions!$F$3:$F149,"Managed Fund",Transactions!$D$3:$D149,AH31)
-SUMIFS(Transactions!$I$3:$I149,Transactions!$H$3:$H149,"Sell",Transactions!$F$3:$F149,"REIT",Transactions!$D$3:$D149,AH31)
-SUMIFS(Transactions!$I$3:$I149,Transactions!$H$3:$H149,"Transfer Send",Transactions!$F$3:$F149,"REIT",Transactions!$D$3:$D149,AH31)
+SUMIFS(Transactions!$I$3:$I149,Transactions!$H$3:$H149,"Buy",Transactions!$F$3:$F149,"Crypto",Transactions!$D$3:$D149,AH31)
+SUMIFS(Transactions!$I$3:$I149,Transactions!$H$3:$H149,"Crypto Interest",Transactions!$F$3:$F149,"Crypto",Transactions!$D$3:$D149,AH31)
+SUMIFS(Transactions!$I$3:$I149,Transactions!$H$3:$H149,"Transfer Deposit",Transactions!$F$3:$F149,"Crypto",Transactions!$D$3:$D149,AH31)
-SUMIFS(Transactions!$I$3:$I149,Transactions!$H$3:$H149,"Transfer Send",Transactions!$F$3:$F149,"Crypto",Transactions!$D$3:$D149,AH31)
-SUMIFS(Transactions!$I$3:$I149,Transactions!$H$3:$H149,"Sell",Transactions!$F$3:$F149,"Crypto",Transactions!$D$3:$D149,AH31)
+SUMIFS(Transactions!$I$3:$I149,Transactions!$H$3:$H149,"Buy",Transactions!$F$3:$F149,"Stablecoin",Transactions!$D$3:$D149,AH31)
+SUMIFS(Transactions!$I$3:$I149,Transactions!$H$3:$H149,"Crypto Interest",Transactions!$F$3:$F149,"Stablecoin",Transactions!$D$3:$D149,AH31)
+SUMIFS(Transactions!$I$3:$I149,Transactions!$H$3:$H149,"Transfer Deposit",Transactions!$F$3:$F149,"Stablecoin",Transactions!$D$3:$D149,AH31)
-SUMIFS(Transactions!$I$3:$I149,Transactions!$H$3:$H149,"Transfer Send",Transactions!$F$3:$F149,"Stablecoin",Transactions!$D$3:$D149,AH31)
-SUMIFS(Transactions!$I$3:$I149,Transactions!$H$3:$H149,"Sell",Transactions!$F$3:$F149,"Stablecoin",Transactions!$D$3:$D149,AH31)
-SUMIFS(Transactions!$M$3:$M149,Transactions!$H$3:$H149,"Buy",Transactions!$B$3:$B149,AH31)))</f>
        <v/>
      </c>
      <c r="AJ31" s="181" t="str">
        <f>IFERROR(__xludf.DUMMYFUNCTION("IF(ISBLANK(AH31),"""",VLOOKUP(9^99,FILTER({ROW(Transactions!P:P),Transactions!P:P},Transactions!D:D=AH31),2))"),"")</f>
        <v/>
      </c>
      <c r="AK31" s="181" t="str">
        <f>IFERROR(__xludf.DUMMYFUNCTION("IF(ISBLANK(AH31),"""",IFERROR(GOOGLEFINANCE(AH31,""price""),IFERROR(GOOGLEFINANCE(""CURRENCY:""&amp;AH31&amp;""""),IFERROR(INDEX(YAHOO_STOCK(TRIM(AH31), $G$2),0,1),INDEX(IMPORTHTML(CONCAT(""https://coinmarketcap.com/currencies/"",AG31),""table"",1),1,2)))))"),"")</f>
        <v/>
      </c>
      <c r="AL31" s="14" t="str">
        <f>IFERROR(__xludf.DUMMYFUNCTION("IF(ISBLANK(AH31),"""",IFERROR(SPARKLINE(INDEX(GOOGLEFINANCE(AH31,""price"",TODAY()-$AL$2,TODAY()),,2),{""charttype"",""column"";""color"",""17a7e0""}),""""))"),"")</f>
        <v/>
      </c>
      <c r="AM31" s="50" t="str">
        <f>IFERROR(__xludf.DUMMYFUNCTION("IFNA(IFERROR(IF(AH31="""","""",GOOGLEFINANCE(AH31,""changepct"")/100),(GOOGLEFINANCE(AH31)-(INDEX(GOOGLEFINANCE(""CURRENCY:""&amp;AH31&amp;"""",""price"",TODAY()-1),2,2)))/(INDEX(GOOGLEFINANCE(""CURRENCY:""&amp;AH31&amp;"""",""price"",TODAY()-1),2,2))),)"),"")</f>
        <v/>
      </c>
      <c r="AN31" s="96" t="str">
        <f>IFERROR(__xludf.DUMMYFUNCTION("IFNA(IFERROR(IF(AH31="""","""",GOOGLEFINANCE(AH31,""change"")*AI31),(GOOGLEFINANCE(AH31)-(INDEX(GOOGLEFINANCE(""CURRENCY:""&amp;AH31&amp;"""",""price"",TODAY()-1),2,2)))*AI31),"""")"),"")</f>
        <v/>
      </c>
      <c r="AO31" s="96" t="str">
        <f>IF(ISBLANK(AH31),"",IFERROR(((AI31-SUMIFS(Transactions!I:I,Transactions!H:H,"Crypto Interest",Transactions!D:D,AH31))*AJ31),""))</f>
        <v/>
      </c>
      <c r="AP31" s="96" t="str">
        <f t="shared" si="16"/>
        <v/>
      </c>
      <c r="AQ31" s="50" t="str">
        <f t="shared" si="17"/>
        <v/>
      </c>
      <c r="AR31" s="96" t="str">
        <f t="shared" si="18"/>
        <v/>
      </c>
      <c r="AS31" s="96" t="str">
        <f>IF(ISBLANK(AH31),"",SUMIFS(Transactions!$X$3:$X149,Transactions!$H$3:$H149,"Sell",Transactions!$D$3:$D149,AH31))</f>
        <v/>
      </c>
      <c r="AT31" s="96" t="str">
        <f t="shared" si="19"/>
        <v/>
      </c>
      <c r="AU31" s="50" t="str">
        <f>IFERROR(__xludf.DUMMYFUNCTION("IF(ISBLANK(AH31),"""",IFERROR((GOOGLEFINANCE(AH31,""price"")/INDEX(GOOGLEFINANCE(AH31,""price"",DATEVALUE(TODAY()-$AU$2) ),2,2)-1),""""))"),"")</f>
        <v/>
      </c>
      <c r="AW31" s="50" t="str">
        <f>IFERROR(__xludf.DUMMYFUNCTION("IF(ISBLANK(AH31),"""",IFERROR((GOOGLEFINANCE($AW$2,""price"")/INDEX(GOOGLEFINANCE($AW$2,""price"",DATEVALUE(TODAY()-$AU$2) ),2,2)-1),""""))"),"")</f>
        <v/>
      </c>
      <c r="AY31" s="50" t="str">
        <f t="shared" si="20"/>
        <v/>
      </c>
      <c r="AZ31" s="50" t="str">
        <f t="shared" si="21"/>
        <v/>
      </c>
      <c r="BA31" s="50">
        <f t="shared" si="22"/>
        <v>0</v>
      </c>
      <c r="BB31" s="14" t="str">
        <f t="shared" si="23"/>
        <v/>
      </c>
      <c r="BC31" s="14" t="str">
        <f>IF(ISBLANK(AH31),"",IFERROR(VLOOKUP(AH31,Transactions!D:F,3,0)))</f>
        <v/>
      </c>
      <c r="BD31" s="50" t="str">
        <f t="shared" si="24"/>
        <v/>
      </c>
      <c r="BE31" s="50" t="str">
        <f t="shared" si="25"/>
        <v/>
      </c>
      <c r="BF31" s="14" t="str">
        <f t="shared" si="26"/>
        <v/>
      </c>
      <c r="BG31" s="180" t="str">
        <f>IF(ISBLANK(AH31),"",IFERROR(VLOOKUP(AH31,Transactions!D:G,4,0)))</f>
        <v/>
      </c>
    </row>
    <row r="32">
      <c r="A32" s="14" t="str">
        <f t="shared" ref="A32:C32" si="54">AG32</f>
        <v/>
      </c>
      <c r="B32" s="14" t="str">
        <f t="shared" si="54"/>
        <v/>
      </c>
      <c r="C32" s="175" t="str">
        <f t="shared" si="54"/>
        <v/>
      </c>
      <c r="D32" s="176" t="str">
        <f>IFERROR(__xludf.DUMMYFUNCTION("IF(ISBLANK(B32),"""",IFERROR(IF(OR(AF32=""GPB"",AF32=""ZAR""),IF(AF32=Dashboard!$L$1,AJ32,(AJ32*GOOGLEFINANCE(""CURRENCY:""&amp;AF32&amp;""""&amp;Dashboard!$L$1&amp;""""))/100),IF(AF32=Dashboard!$L$1,AJ32,AJ32*GOOGLEFINANCE(""CURRENCY:""&amp;AF32&amp;""""&amp;Dashboard!$L$1&amp;""""))),"&amp;"AJ32))"),"")</f>
        <v/>
      </c>
      <c r="E32" s="177" t="str">
        <f>IFERROR(__xludf.DUMMYFUNCTION("IFERROR(IF(OR(AF32=""GBP"",AF32=""ZAR""),IF(B32="""","""",IF(AF32=Dashboard!$L$1,AK32,AK32*GOOGLEFINANCE(""CURRENCY:""&amp;AF32&amp;""""&amp;Dashboard!$L$1&amp;"""")))/100,If(B32="""","""",IF(AF32=Dashboard!$L$1,AK32,AK32*GOOGLEFINANCE(""CURRENCY:""&amp;AF32&amp;""""&amp;Dashboard!$"&amp;"L$1&amp;"""")))),AK32)"),"")</f>
        <v/>
      </c>
      <c r="F32" s="145">
        <f>IFERROR(__xludf.DUMMYFUNCTION(" E32 * GOOGLEFINANCE(""CURRENCY:USDEUR"") "),0.0)</f>
        <v>0</v>
      </c>
      <c r="G32" s="96" t="str">
        <f>IFERROR(__xludf.DUMMYFUNCTION("IF(ISBLANK(B32),"""",IFERROR(SPARKLINE(INDEX(GOOGLEFINANCE(B32,""price"",TODAY()-$G$2,TODAY()),,2),{""charttype"",""column"";""color"",""17a7e0""}),""""))"),"")</f>
        <v/>
      </c>
      <c r="H32" s="50" t="str">
        <f t="shared" si="3"/>
        <v/>
      </c>
      <c r="I32" s="96" t="str">
        <f>IFERROR(__xludf.DUMMYFUNCTION("IF(ISBLANK(B32),"""",IFERROR(IF(OR(AF32=""GPB"",AF32=""ZAR""),IF(AF32=Dashboard!$L$1,AN32,(AN32*GOOGLEFINANCE(""CURRENCY:""&amp;AF32&amp;""""&amp;Dashboard!$L$1&amp;""""))/100),IF(AF32=Dashboard!$L$1,AN32,AN32*GOOGLEFINANCE(""CURRENCY:""&amp;AF32&amp;""""&amp;Dashboard!$L$1&amp;""""))),"&amp;"AN32))"),"")</f>
        <v/>
      </c>
      <c r="J32" s="178" t="str">
        <f>IF(ISBLANK(B32),"",IFERROR(((C32-SUMIFS(Transactions!I:I,Transactions!H:H,"Crypto Interest",Transactions!D:D,B32))*D32),""))</f>
        <v/>
      </c>
      <c r="K32" s="178" t="str">
        <f t="shared" si="4"/>
        <v/>
      </c>
      <c r="L32" s="145">
        <f>-SUMIFS(Transactions!$M$3:$M149,Transactions!$H$3:$H149,"Buy",Transactions!$D$3:$D149,B32)</f>
        <v>0</v>
      </c>
      <c r="M32" s="145">
        <f>IF(ISBLANK(AG32),"",SUMIFS(Transactions!$M$3:$M149,Transactions!$H$3:$H149,"Dividend",Transactions!$D$3:$D149,B32))</f>
        <v>0</v>
      </c>
      <c r="N32" s="145" t="str">
        <f>IF(ISBLANK(AH32),"",SUMIFS(Transactions!$M$3:$M149,Transactions!$H$3:$H149,"Sell",Transactions!$D$3:$D149,B32))</f>
        <v/>
      </c>
      <c r="O32" s="50" t="str">
        <f t="shared" si="5"/>
        <v/>
      </c>
      <c r="P32" s="178" t="str">
        <f t="shared" si="6"/>
        <v/>
      </c>
      <c r="Q32" s="178" t="str">
        <f>IFERROR(__xludf.DUMMYFUNCTION("IF(ISBLANK(B32),"""",IFERROR(IF(OR(AF32=""GPB"",AF32=""ZAR""),IF(AF32=Dashboard!$L$1,AS32,(AS32*GOOGLEFINANCE(""CURRENCY:""&amp;AF32&amp;""""&amp;Dashboard!$L$1&amp;""""))/100),IF(AF32=Dashboard!$L$1,AS32,AS32*GOOGLEFINANCE(""CURRENCY:""&amp;AF32&amp;""""&amp;Dashboard!$L$1&amp;""""))),"&amp;"AS32))"),"")</f>
        <v/>
      </c>
      <c r="R32" s="178" t="str">
        <f t="shared" si="7"/>
        <v/>
      </c>
      <c r="S32" s="50" t="str">
        <f>IFERROR(__xludf.DUMMYFUNCTION("IF(ISBLANK(B32),"""",IFERROR((GOOGLEFINANCE(B32,""price"")/INDEX(GOOGLEFINANCE(B32,""price"",DATEVALUE(TODAY()-$S$2) ),2,2)-1),""""))"),"")</f>
        <v/>
      </c>
      <c r="U32" s="50" t="str">
        <f>IFERROR(__xludf.DUMMYFUNCTION("IF(ISBLANK(B32),"""",IFERROR((GOOGLEFINANCE($U$2,""price"")/INDEX(GOOGLEFINANCE($U$2,""price"",DATEVALUE(TODAY()-$S$2) ),2,2)-1),""""))"),"")</f>
        <v/>
      </c>
      <c r="W32" s="50" t="str">
        <f t="shared" si="8"/>
        <v/>
      </c>
      <c r="X32" s="50" t="str">
        <f t="shared" si="9"/>
        <v/>
      </c>
      <c r="Y32" s="179">
        <v>0.0</v>
      </c>
      <c r="Z32" s="50" t="str">
        <f t="shared" si="10"/>
        <v/>
      </c>
      <c r="AA32" s="14" t="str">
        <f t="shared" si="11"/>
        <v/>
      </c>
      <c r="AB32" s="50" t="str">
        <f t="shared" si="12"/>
        <v/>
      </c>
      <c r="AC32" s="179" t="str">
        <f t="shared" si="13"/>
        <v/>
      </c>
      <c r="AD32" s="50" t="str">
        <f t="shared" si="14"/>
        <v/>
      </c>
      <c r="AE32" s="180" t="str">
        <f t="shared" si="15"/>
        <v/>
      </c>
      <c r="AF32" s="14" t="str">
        <f t="array" ref="AF32">IFERROR(IF(ISBLANK(AH32),"",IF(VLOOKUP(AH32,Transactions!D:F,3,0)="Stablecoin",AH32,INDEX(Transactions!$B$3:$B149,MATCH(AH32,Transactions!$D$3:$D149,0),0))))</f>
        <v/>
      </c>
      <c r="AG32" s="14" t="str">
        <f>IF(ISBLANK(AH32),"",VLOOKUP(AH32,Transactions!D:E,2,0))</f>
        <v/>
      </c>
      <c r="AH32" s="14"/>
      <c r="AI32" s="146" t="str">
        <f>IF(ISBLANK(AH32),"",IF(
SUMIFS(Transactions!$I$3:$I149,Transactions!$H$3:$H149,"Buy",Transactions!$F$3:$F149,"Stock",Transactions!$D$3:$D149,AH32)
+SUMIFS(Transactions!$I$3:$I149,Transactions!$H$3:$H149,"DRIP",Transactions!$F$3:$F149,"Stock",Transactions!$D$3:$D149,AH32)
+SUMIFS(Transactions!$I$3:$I149,Transactions!$H$3:$H149,"Transfer Deposit",Transactions!$F$3:$F149,"Stock",Transactions!$D$3:$D149,AH32)
+SUMIFS(Transactions!$I$3:$I149,Transactions!$H$3:$H149,"Buy",Transactions!$F$3:$F149,"ETF",Transactions!$D$3:$D149,AH32)
+SUMIFS(Transactions!$I$3:$I149,Transactions!$H$3:$H149,"DRIP",Transactions!$F$3:$F149,"ETF",Transactions!$D$3:$D149,AH32)
+SUMIFS(Transactions!$I$3:$I149,Transactions!$H$3:$H149,"Transfer Deposit",Transactions!$F$3:$F149,"ETF",Transactions!$D$3:$D149,AH32)
+SUMIFS(Transactions!$I$3:$I149,Transactions!$H$3:$H149,"Buy",Transactions!$F$3:$F149,"Commodity",Transactions!$D$3:$D149,AH32)
+SUMIFS(Transactions!$I$3:$I149,Transactions!$H$3:$H149,"DRIP",Transactions!$F$3:$F149,"Commodity",Transactions!$D$3:$D149,AH32)
+SUMIFS(Transactions!$I$3:$I149,Transactions!$H$3:$H149,"Transfer Deposit",Transactions!$F$3:$F149,"Commodity",Transactions!$D$3:$D149,AH32)
+SUMIFS(Transactions!$I$3:$I149,Transactions!$H$3:$H149,"Buy",Transactions!$F$3:$F149,"Managed Fund",Transactions!$D$3:$D149,AH32)
+SUMIFS(Transactions!$I$3:$I149,Transactions!$H$3:$H149,"DRIP",Transactions!$F$3:$F149,"Managed Fund",Transactions!$D$3:$D149,AH32)
+SUMIFS(Transactions!$I$3:$I149,Transactions!$H$3:$H149,"Transfer Deposit",Transactions!$F$3:$F149,"Managed Fund",Transactions!$D$3:$D149,AH32)
+SUMIFS(Transactions!$I$3:$I149,Transactions!$H$3:$H149,"Buy",Transactions!$F$3:$F149,"REIT",Transactions!$D$3:$D149,AH32)
+SUMIFS(Transactions!$I$3:$I149,Transactions!$H$3:$H149,"DRIP",Transactions!$F$3:$F149,"REIT",Transactions!$D$3:$D149,AH32)
+SUMIFS(Transactions!$I$3:$I149,Transactions!$H$3:$H149,"Transfer Deposit",Transactions!$F$3:$F149,"REIT",Transactions!$D$3:$D149,AH32)
-SUMIFS(Transactions!$I$3:$I149,Transactions!$H$3:$H149,"Sell",Transactions!$F$3:$F149,"Stock",Transactions!$D$3:$D149,AH32)
-SUMIFS(Transactions!$I$3:$I149,Transactions!$H$3:$H149,"Transfer Send",Transactions!$F$3:$F149,"Stock",Transactions!$D$3:$D149,AH32)
-SUMIFS(Transactions!$I$3:$I149,Transactions!$H$3:$H149,"Sell",Transactions!$F$3:$F149,"ETF",Transactions!$D$3:$D149,AH32)
-SUMIFS(Transactions!$I$3:$I149,Transactions!$H$3:$H149,"Transfer Send",Transactions!$F$3:$F149,"ETF",Transactions!$D$3:$D149,AH32)
-SUMIFS(Transactions!$I$3:$I149,Transactions!$H$3:$H149,"Sell",Transactions!$F$3:$F149,"Commodity",Transactions!$D$3:$D149,AH32)
-SUMIFS(Transactions!$I$3:$I149,Transactions!$H$3:$H149,"Transfer Send",Transactions!$F$3:$F149,"Commodity",Transactions!$D$3:$D149,AH32)
-SUMIFS(Transactions!$I$3:$I149,Transactions!$H$3:$H149,"Sell",Transactions!$F$3:$F149,"Managed Fund",Transactions!$D$3:$D149,AH32)
-SUMIFS(Transactions!$I$3:$I149,Transactions!$H$3:$H149,"Transfer Send",Transactions!$F$3:$F149,"Managed Fund",Transactions!$D$3:$D149,AH32)
-SUMIFS(Transactions!$I$3:$I149,Transactions!$H$3:$H149,"Sell",Transactions!$F$3:$F149,"REIT",Transactions!$D$3:$D149,AH32)
-SUMIFS(Transactions!$I$3:$I149,Transactions!$H$3:$H149,"Transfer Send",Transactions!$F$3:$F149,"REIT",Transactions!$D$3:$D149,AH32)
+SUMIFS(Transactions!$I$3:$I149,Transactions!$H$3:$H149,"Buy",Transactions!$F$3:$F149,"Crypto",Transactions!$D$3:$D149,AH32)
+SUMIFS(Transactions!$I$3:$I149,Transactions!$H$3:$H149,"Crypto Interest",Transactions!$F$3:$F149,"Crypto",Transactions!$D$3:$D149,AH32)
+SUMIFS(Transactions!$I$3:$I149,Transactions!$H$3:$H149,"Transfer Deposit",Transactions!$F$3:$F149,"Crypto",Transactions!$D$3:$D149,AH32)
-SUMIFS(Transactions!$I$3:$I149,Transactions!$H$3:$H149,"Transfer Send",Transactions!$F$3:$F149,"Crypto",Transactions!$D$3:$D149,AH32)
-SUMIFS(Transactions!$I$3:$I149,Transactions!$H$3:$H149,"Sell",Transactions!$F$3:$F149,"Crypto",Transactions!$D$3:$D149,AH32)
+SUMIFS(Transactions!$I$3:$I149,Transactions!$H$3:$H149,"Buy",Transactions!$F$3:$F149,"Stablecoin",Transactions!$D$3:$D149,AH32)
+SUMIFS(Transactions!$I$3:$I149,Transactions!$H$3:$H149,"Crypto Interest",Transactions!$F$3:$F149,"Stablecoin",Transactions!$D$3:$D149,AH32)
+SUMIFS(Transactions!$I$3:$I149,Transactions!$H$3:$H149,"Transfer Deposit",Transactions!$F$3:$F149,"Stablecoin",Transactions!$D$3:$D149,AH32)
-SUMIFS(Transactions!$I$3:$I149,Transactions!$H$3:$H149,"Transfer Send",Transactions!$F$3:$F149,"Stablecoin",Transactions!$D$3:$D149,AH32)
-SUMIFS(Transactions!$I$3:$I149,Transactions!$H$3:$H149,"Sell",Transactions!$F$3:$F149,"Stablecoin",Transactions!$D$3:$D149,AH32)
-SUMIFS(Transactions!$M$3:$M149,Transactions!$H$3:$H149,"Buy",Transactions!$B$3:$B149,AH32)=0,"Sold All",
SUMIFS(Transactions!$I$3:$I149,Transactions!$H$3:$H149,"Buy",Transactions!$F$3:$F149,"Stock",Transactions!$D$3:$D149,AH32)
+SUMIFS(Transactions!$I$3:$I149,Transactions!$H$3:$H149,"DRIP",Transactions!$F$3:$F149,"Stock",Transactions!$D$3:$D149,AH32)
+SUMIFS(Transactions!$I$3:$I149,Transactions!$H$3:$H149,"Transfer Deposit",Transactions!$F$3:$F149,"Stock",Transactions!$D$3:$D149,AH32)
+SUMIFS(Transactions!$I$3:$I149,Transactions!$H$3:$H149,"Buy",Transactions!$F$3:$F149,"ETF",Transactions!$D$3:$D149,AH32)
+SUMIFS(Transactions!$I$3:$I149,Transactions!$H$3:$H149,"DRIP",Transactions!$F$3:$F149,"ETF",Transactions!$D$3:$D149,AH32)
+SUMIFS(Transactions!$I$3:$I149,Transactions!$H$3:$H149,"Transfer Deposit",Transactions!$F$3:$F149,"ETF",Transactions!$D$3:$D149,AH32)
+SUMIFS(Transactions!$I$3:$I149,Transactions!$H$3:$H149,"Buy",Transactions!$F$3:$F149,"Commodity",Transactions!$D$3:$D149,AH32)
+SUMIFS(Transactions!$I$3:$I149,Transactions!$H$3:$H149,"DRIP",Transactions!$F$3:$F149,"Commodity",Transactions!$D$3:$D149,AH32)
+SUMIFS(Transactions!$I$3:$I149,Transactions!$H$3:$H149,"Transfer Deposit",Transactions!$F$3:$F149,"Commodity",Transactions!$D$3:$D149,AH32)
+SUMIFS(Transactions!$I$3:$I149,Transactions!$H$3:$H149,"Buy",Transactions!$F$3:$F149,"Managed Fund",Transactions!$D$3:$D149,AH32)
+SUMIFS(Transactions!$I$3:$I149,Transactions!$H$3:$H149,"DRIP",Transactions!$F$3:$F149,"Managed Fund",Transactions!$D$3:$D149,AH32)
+SUMIFS(Transactions!$I$3:$I149,Transactions!$H$3:$H149,"Transfer Deposit",Transactions!$F$3:$F149,"Managed Fund",Transactions!$D$3:$D149,AH32)
+SUMIFS(Transactions!$I$3:$I149,Transactions!$H$3:$H149,"Buy",Transactions!$F$3:$F149,"REIT",Transactions!$D$3:$D149,AH32)
+SUMIFS(Transactions!$I$3:$I149,Transactions!$H$3:$H149,"DRIP",Transactions!$F$3:$F149,"REIT",Transactions!$D$3:$D149,AH32)
+SUMIFS(Transactions!$I$3:$I149,Transactions!$H$3:$H149,"Transfer Deposit",Transactions!$F$3:$F149,"REIT",Transactions!$D$3:$D149,AH32)
-SUMIFS(Transactions!$I$3:$I149,Transactions!$H$3:$H149,"Sell",Transactions!$F$3:$F149,"Stock",Transactions!$D$3:$D149,AH32)
-SUMIFS(Transactions!$I$3:$I149,Transactions!$H$3:$H149,"Transfer Send",Transactions!$F$3:$F149,"Stock",Transactions!$D$3:$D149,AH32)
-SUMIFS(Transactions!$I$3:$I149,Transactions!$H$3:$H149,"Sell",Transactions!$F$3:$F149,"ETF",Transactions!$D$3:$D149,AH32)
-SUMIFS(Transactions!$I$3:$I149,Transactions!$H$3:$H149,"Transfer Send",Transactions!$F$3:$F149,"ETF",Transactions!$D$3:$D149,AH32)
-SUMIFS(Transactions!$I$3:$I149,Transactions!$H$3:$H149,"Sell",Transactions!$F$3:$F149,"Commodity",Transactions!$D$3:$D149,AH32)
-SUMIFS(Transactions!$I$3:$I149,Transactions!$H$3:$H149,"Transfer Send",Transactions!$F$3:$F149,"Commodity",Transactions!$D$3:$D149,AH32)
-SUMIFS(Transactions!$I$3:$I149,Transactions!$H$3:$H149,"Sell",Transactions!$F$3:$F149,"Managed Fund",Transactions!$D$3:$D149,AH32)
-SUMIFS(Transactions!$I$3:$I149,Transactions!$H$3:$H149,"Transfer Send",Transactions!$F$3:$F149,"Managed Fund",Transactions!$D$3:$D149,AH32)
-SUMIFS(Transactions!$I$3:$I149,Transactions!$H$3:$H149,"Sell",Transactions!$F$3:$F149,"REIT",Transactions!$D$3:$D149,AH32)
-SUMIFS(Transactions!$I$3:$I149,Transactions!$H$3:$H149,"Transfer Send",Transactions!$F$3:$F149,"REIT",Transactions!$D$3:$D149,AH32)
+SUMIFS(Transactions!$I$3:$I149,Transactions!$H$3:$H149,"Buy",Transactions!$F$3:$F149,"Crypto",Transactions!$D$3:$D149,AH32)
+SUMIFS(Transactions!$I$3:$I149,Transactions!$H$3:$H149,"Crypto Interest",Transactions!$F$3:$F149,"Crypto",Transactions!$D$3:$D149,AH32)
+SUMIFS(Transactions!$I$3:$I149,Transactions!$H$3:$H149,"Transfer Deposit",Transactions!$F$3:$F149,"Crypto",Transactions!$D$3:$D149,AH32)
-SUMIFS(Transactions!$I$3:$I149,Transactions!$H$3:$H149,"Transfer Send",Transactions!$F$3:$F149,"Crypto",Transactions!$D$3:$D149,AH32)
-SUMIFS(Transactions!$I$3:$I149,Transactions!$H$3:$H149,"Sell",Transactions!$F$3:$F149,"Crypto",Transactions!$D$3:$D149,AH32)
+SUMIFS(Transactions!$I$3:$I149,Transactions!$H$3:$H149,"Buy",Transactions!$F$3:$F149,"Stablecoin",Transactions!$D$3:$D149,AH32)
+SUMIFS(Transactions!$I$3:$I149,Transactions!$H$3:$H149,"Crypto Interest",Transactions!$F$3:$F149,"Stablecoin",Transactions!$D$3:$D149,AH32)
+SUMIFS(Transactions!$I$3:$I149,Transactions!$H$3:$H149,"Transfer Deposit",Transactions!$F$3:$F149,"Stablecoin",Transactions!$D$3:$D149,AH32)
-SUMIFS(Transactions!$I$3:$I149,Transactions!$H$3:$H149,"Transfer Send",Transactions!$F$3:$F149,"Stablecoin",Transactions!$D$3:$D149,AH32)
-SUMIFS(Transactions!$I$3:$I149,Transactions!$H$3:$H149,"Sell",Transactions!$F$3:$F149,"Stablecoin",Transactions!$D$3:$D149,AH32)
-SUMIFS(Transactions!$M$3:$M149,Transactions!$H$3:$H149,"Buy",Transactions!$B$3:$B149,AH32)))</f>
        <v/>
      </c>
      <c r="AJ32" s="181" t="str">
        <f>IFERROR(__xludf.DUMMYFUNCTION("IF(ISBLANK(AH32),"""",VLOOKUP(9^99,FILTER({ROW(Transactions!P:P),Transactions!P:P},Transactions!D:D=AH32),2))"),"")</f>
        <v/>
      </c>
      <c r="AK32" s="181" t="str">
        <f>IFERROR(__xludf.DUMMYFUNCTION("IF(ISBLANK(AH32),"""",IFERROR(GOOGLEFINANCE(AH32,""price""),IFERROR(GOOGLEFINANCE(""CURRENCY:""&amp;AH32&amp;""""),IFERROR(INDEX(YAHOO_STOCK(TRIM(AH32), $G$2),0,1),INDEX(IMPORTHTML(CONCAT(""https://coinmarketcap.com/currencies/"",AG32),""table"",1),1,2)))))"),"")</f>
        <v/>
      </c>
      <c r="AL32" s="14" t="str">
        <f>IFERROR(__xludf.DUMMYFUNCTION("IF(ISBLANK(AH32),"""",IFERROR(SPARKLINE(INDEX(GOOGLEFINANCE(AH32,""price"",TODAY()-$AL$2,TODAY()),,2),{""charttype"",""column"";""color"",""17a7e0""}),""""))"),"")</f>
        <v/>
      </c>
      <c r="AM32" s="50" t="str">
        <f>IFERROR(__xludf.DUMMYFUNCTION("IFNA(IFERROR(IF(AH32="""","""",GOOGLEFINANCE(AH32,""changepct"")/100),(GOOGLEFINANCE(AH32)-(INDEX(GOOGLEFINANCE(""CURRENCY:""&amp;AH32&amp;"""",""price"",TODAY()-1),2,2)))/(INDEX(GOOGLEFINANCE(""CURRENCY:""&amp;AH32&amp;"""",""price"",TODAY()-1),2,2))),)"),"")</f>
        <v/>
      </c>
      <c r="AN32" s="96" t="str">
        <f>IFERROR(__xludf.DUMMYFUNCTION("IFNA(IFERROR(IF(AH32="""","""",GOOGLEFINANCE(AH32,""change"")*AI32),(GOOGLEFINANCE(AH32)-(INDEX(GOOGLEFINANCE(""CURRENCY:""&amp;AH32&amp;"""",""price"",TODAY()-1),2,2)))*AI32),"""")"),"")</f>
        <v/>
      </c>
      <c r="AO32" s="96" t="str">
        <f>IF(ISBLANK(AH32),"",IFERROR(((AI32-SUMIFS(Transactions!I:I,Transactions!H:H,"Crypto Interest",Transactions!D:D,AH32))*AJ32),""))</f>
        <v/>
      </c>
      <c r="AP32" s="96" t="str">
        <f t="shared" si="16"/>
        <v/>
      </c>
      <c r="AQ32" s="50" t="str">
        <f t="shared" si="17"/>
        <v/>
      </c>
      <c r="AR32" s="96" t="str">
        <f t="shared" si="18"/>
        <v/>
      </c>
      <c r="AS32" s="96" t="str">
        <f>IF(ISBLANK(AH32),"",SUMIFS(Transactions!$X$3:$X149,Transactions!$H$3:$H149,"Sell",Transactions!$D$3:$D149,AH32))</f>
        <v/>
      </c>
      <c r="AT32" s="96" t="str">
        <f t="shared" si="19"/>
        <v/>
      </c>
      <c r="AU32" s="50" t="str">
        <f>IFERROR(__xludf.DUMMYFUNCTION("IF(ISBLANK(AH32),"""",IFERROR((GOOGLEFINANCE(AH32,""price"")/INDEX(GOOGLEFINANCE(AH32,""price"",DATEVALUE(TODAY()-$AU$2) ),2,2)-1),""""))"),"")</f>
        <v/>
      </c>
      <c r="AW32" s="50" t="str">
        <f>IFERROR(__xludf.DUMMYFUNCTION("IF(ISBLANK(AH32),"""",IFERROR((GOOGLEFINANCE($AW$2,""price"")/INDEX(GOOGLEFINANCE($AW$2,""price"",DATEVALUE(TODAY()-$AU$2) ),2,2)-1),""""))"),"")</f>
        <v/>
      </c>
      <c r="AY32" s="50" t="str">
        <f t="shared" si="20"/>
        <v/>
      </c>
      <c r="AZ32" s="50" t="str">
        <f t="shared" si="21"/>
        <v/>
      </c>
      <c r="BA32" s="50">
        <f t="shared" si="22"/>
        <v>0</v>
      </c>
      <c r="BB32" s="14" t="str">
        <f t="shared" si="23"/>
        <v/>
      </c>
      <c r="BC32" s="14" t="str">
        <f>IF(ISBLANK(AH32),"",IFERROR(VLOOKUP(AH32,Transactions!D:F,3,0)))</f>
        <v/>
      </c>
      <c r="BD32" s="50" t="str">
        <f t="shared" si="24"/>
        <v/>
      </c>
      <c r="BE32" s="50" t="str">
        <f t="shared" si="25"/>
        <v/>
      </c>
      <c r="BF32" s="14" t="str">
        <f t="shared" si="26"/>
        <v/>
      </c>
      <c r="BG32" s="180" t="str">
        <f>IF(ISBLANK(AH32),"",IFERROR(VLOOKUP(AH32,Transactions!D:G,4,0)))</f>
        <v/>
      </c>
    </row>
    <row r="33">
      <c r="A33" s="14" t="str">
        <f t="shared" ref="A33:C33" si="55">AG33</f>
        <v/>
      </c>
      <c r="B33" s="14" t="str">
        <f t="shared" si="55"/>
        <v/>
      </c>
      <c r="C33" s="175" t="str">
        <f t="shared" si="55"/>
        <v/>
      </c>
      <c r="D33" s="176" t="str">
        <f>IFERROR(__xludf.DUMMYFUNCTION("IF(ISBLANK(B33),"""",IFERROR(IF(OR(AF33=""GPB"",AF33=""ZAR""),IF(AF33=Dashboard!$L$1,AJ33,(AJ33*GOOGLEFINANCE(""CURRENCY:""&amp;AF33&amp;""""&amp;Dashboard!$L$1&amp;""""))/100),IF(AF33=Dashboard!$L$1,AJ33,AJ33*GOOGLEFINANCE(""CURRENCY:""&amp;AF33&amp;""""&amp;Dashboard!$L$1&amp;""""))),"&amp;"AJ33))"),"")</f>
        <v/>
      </c>
      <c r="E33" s="177" t="str">
        <f>IFERROR(__xludf.DUMMYFUNCTION("IFERROR(IF(OR(AF33=""GBP"",AF33=""ZAR""),IF(B33="""","""",IF(AF33=Dashboard!$L$1,AK33,AK33*GOOGLEFINANCE(""CURRENCY:""&amp;AF33&amp;""""&amp;Dashboard!$L$1&amp;"""")))/100,If(B33="""","""",IF(AF33=Dashboard!$L$1,AK33,AK33*GOOGLEFINANCE(""CURRENCY:""&amp;AF33&amp;""""&amp;Dashboard!$"&amp;"L$1&amp;"""")))),AK33)"),"")</f>
        <v/>
      </c>
      <c r="F33" s="145">
        <f>IFERROR(__xludf.DUMMYFUNCTION(" E33 * GOOGLEFINANCE(""CURRENCY:USDEUR"") "),0.0)</f>
        <v>0</v>
      </c>
      <c r="G33" s="96" t="str">
        <f>IFERROR(__xludf.DUMMYFUNCTION("IF(ISBLANK(B33),"""",IFERROR(SPARKLINE(INDEX(GOOGLEFINANCE(B33,""price"",TODAY()-$G$2,TODAY()),,2),{""charttype"",""column"";""color"",""17a7e0""}),""""))"),"")</f>
        <v/>
      </c>
      <c r="H33" s="50" t="str">
        <f t="shared" si="3"/>
        <v/>
      </c>
      <c r="I33" s="96" t="str">
        <f>IFERROR(__xludf.DUMMYFUNCTION("IF(ISBLANK(B33),"""",IFERROR(IF(OR(AF33=""GPB"",AF33=""ZAR""),IF(AF33=Dashboard!$L$1,AN33,(AN33*GOOGLEFINANCE(""CURRENCY:""&amp;AF33&amp;""""&amp;Dashboard!$L$1&amp;""""))/100),IF(AF33=Dashboard!$L$1,AN33,AN33*GOOGLEFINANCE(""CURRENCY:""&amp;AF33&amp;""""&amp;Dashboard!$L$1&amp;""""))),"&amp;"AN33))"),"")</f>
        <v/>
      </c>
      <c r="J33" s="178" t="str">
        <f>IF(ISBLANK(B33),"",IFERROR(((C33-SUMIFS(Transactions!I:I,Transactions!H:H,"Crypto Interest",Transactions!D:D,B33))*D33),""))</f>
        <v/>
      </c>
      <c r="K33" s="178" t="str">
        <f t="shared" si="4"/>
        <v/>
      </c>
      <c r="L33" s="145">
        <f>-SUMIFS(Transactions!$M$3:$M149,Transactions!$H$3:$H149,"Buy",Transactions!$D$3:$D149,B33)</f>
        <v>0</v>
      </c>
      <c r="M33" s="145">
        <f>IF(ISBLANK(AG33),"",SUMIFS(Transactions!$M$3:$M149,Transactions!$H$3:$H149,"Dividend",Transactions!$D$3:$D149,B33))</f>
        <v>0</v>
      </c>
      <c r="N33" s="145" t="str">
        <f>IF(ISBLANK(AH33),"",SUMIFS(Transactions!$M$3:$M149,Transactions!$H$3:$H149,"Sell",Transactions!$D$3:$D149,B33))</f>
        <v/>
      </c>
      <c r="O33" s="50" t="str">
        <f t="shared" si="5"/>
        <v/>
      </c>
      <c r="P33" s="178" t="str">
        <f t="shared" si="6"/>
        <v/>
      </c>
      <c r="Q33" s="178" t="str">
        <f>IFERROR(__xludf.DUMMYFUNCTION("IF(ISBLANK(B33),"""",IFERROR(IF(OR(AF33=""GPB"",AF33=""ZAR""),IF(AF33=Dashboard!$L$1,AS33,(AS33*GOOGLEFINANCE(""CURRENCY:""&amp;AF33&amp;""""&amp;Dashboard!$L$1&amp;""""))/100),IF(AF33=Dashboard!$L$1,AS33,AS33*GOOGLEFINANCE(""CURRENCY:""&amp;AF33&amp;""""&amp;Dashboard!$L$1&amp;""""))),"&amp;"AS33))"),"")</f>
        <v/>
      </c>
      <c r="R33" s="178" t="str">
        <f t="shared" si="7"/>
        <v/>
      </c>
      <c r="S33" s="50" t="str">
        <f>IFERROR(__xludf.DUMMYFUNCTION("IF(ISBLANK(B33),"""",IFERROR((GOOGLEFINANCE(B33,""price"")/INDEX(GOOGLEFINANCE(B33,""price"",DATEVALUE(TODAY()-$S$2) ),2,2)-1),""""))"),"")</f>
        <v/>
      </c>
      <c r="U33" s="50" t="str">
        <f>IFERROR(__xludf.DUMMYFUNCTION("IF(ISBLANK(B33),"""",IFERROR((GOOGLEFINANCE($U$2,""price"")/INDEX(GOOGLEFINANCE($U$2,""price"",DATEVALUE(TODAY()-$S$2) ),2,2)-1),""""))"),"")</f>
        <v/>
      </c>
      <c r="W33" s="50" t="str">
        <f t="shared" si="8"/>
        <v/>
      </c>
      <c r="X33" s="50" t="str">
        <f t="shared" si="9"/>
        <v/>
      </c>
      <c r="Y33" s="179">
        <v>0.0</v>
      </c>
      <c r="Z33" s="50" t="str">
        <f t="shared" si="10"/>
        <v/>
      </c>
      <c r="AA33" s="14" t="str">
        <f t="shared" si="11"/>
        <v/>
      </c>
      <c r="AB33" s="50" t="str">
        <f t="shared" si="12"/>
        <v/>
      </c>
      <c r="AC33" s="179" t="str">
        <f t="shared" si="13"/>
        <v/>
      </c>
      <c r="AD33" s="50" t="str">
        <f t="shared" si="14"/>
        <v/>
      </c>
      <c r="AE33" s="180" t="str">
        <f t="shared" si="15"/>
        <v/>
      </c>
      <c r="AF33" s="14" t="str">
        <f t="array" ref="AF33">IFERROR(IF(ISBLANK(AH33),"",IF(VLOOKUP(AH33,Transactions!D:F,3,0)="Stablecoin",AH33,INDEX(Transactions!$B$3:$B149,MATCH(AH33,Transactions!$D$3:$D149,0),0))))</f>
        <v/>
      </c>
      <c r="AG33" s="14" t="str">
        <f>IF(ISBLANK(AH33),"",VLOOKUP(AH33,Transactions!D:E,2,0))</f>
        <v/>
      </c>
      <c r="AH33" s="14"/>
      <c r="AI33" s="146" t="str">
        <f>IF(ISBLANK(AH33),"",IF(
SUMIFS(Transactions!$I$3:$I149,Transactions!$H$3:$H149,"Buy",Transactions!$F$3:$F149,"Stock",Transactions!$D$3:$D149,AH33)
+SUMIFS(Transactions!$I$3:$I149,Transactions!$H$3:$H149,"DRIP",Transactions!$F$3:$F149,"Stock",Transactions!$D$3:$D149,AH33)
+SUMIFS(Transactions!$I$3:$I149,Transactions!$H$3:$H149,"Transfer Deposit",Transactions!$F$3:$F149,"Stock",Transactions!$D$3:$D149,AH33)
+SUMIFS(Transactions!$I$3:$I149,Transactions!$H$3:$H149,"Buy",Transactions!$F$3:$F149,"ETF",Transactions!$D$3:$D149,AH33)
+SUMIFS(Transactions!$I$3:$I149,Transactions!$H$3:$H149,"DRIP",Transactions!$F$3:$F149,"ETF",Transactions!$D$3:$D149,AH33)
+SUMIFS(Transactions!$I$3:$I149,Transactions!$H$3:$H149,"Transfer Deposit",Transactions!$F$3:$F149,"ETF",Transactions!$D$3:$D149,AH33)
+SUMIFS(Transactions!$I$3:$I149,Transactions!$H$3:$H149,"Buy",Transactions!$F$3:$F149,"Commodity",Transactions!$D$3:$D149,AH33)
+SUMIFS(Transactions!$I$3:$I149,Transactions!$H$3:$H149,"DRIP",Transactions!$F$3:$F149,"Commodity",Transactions!$D$3:$D149,AH33)
+SUMIFS(Transactions!$I$3:$I149,Transactions!$H$3:$H149,"Transfer Deposit",Transactions!$F$3:$F149,"Commodity",Transactions!$D$3:$D149,AH33)
+SUMIFS(Transactions!$I$3:$I149,Transactions!$H$3:$H149,"Buy",Transactions!$F$3:$F149,"Managed Fund",Transactions!$D$3:$D149,AH33)
+SUMIFS(Transactions!$I$3:$I149,Transactions!$H$3:$H149,"DRIP",Transactions!$F$3:$F149,"Managed Fund",Transactions!$D$3:$D149,AH33)
+SUMIFS(Transactions!$I$3:$I149,Transactions!$H$3:$H149,"Transfer Deposit",Transactions!$F$3:$F149,"Managed Fund",Transactions!$D$3:$D149,AH33)
+SUMIFS(Transactions!$I$3:$I149,Transactions!$H$3:$H149,"Buy",Transactions!$F$3:$F149,"REIT",Transactions!$D$3:$D149,AH33)
+SUMIFS(Transactions!$I$3:$I149,Transactions!$H$3:$H149,"DRIP",Transactions!$F$3:$F149,"REIT",Transactions!$D$3:$D149,AH33)
+SUMIFS(Transactions!$I$3:$I149,Transactions!$H$3:$H149,"Transfer Deposit",Transactions!$F$3:$F149,"REIT",Transactions!$D$3:$D149,AH33)
-SUMIFS(Transactions!$I$3:$I149,Transactions!$H$3:$H149,"Sell",Transactions!$F$3:$F149,"Stock",Transactions!$D$3:$D149,AH33)
-SUMIFS(Transactions!$I$3:$I149,Transactions!$H$3:$H149,"Transfer Send",Transactions!$F$3:$F149,"Stock",Transactions!$D$3:$D149,AH33)
-SUMIFS(Transactions!$I$3:$I149,Transactions!$H$3:$H149,"Sell",Transactions!$F$3:$F149,"ETF",Transactions!$D$3:$D149,AH33)
-SUMIFS(Transactions!$I$3:$I149,Transactions!$H$3:$H149,"Transfer Send",Transactions!$F$3:$F149,"ETF",Transactions!$D$3:$D149,AH33)
-SUMIFS(Transactions!$I$3:$I149,Transactions!$H$3:$H149,"Sell",Transactions!$F$3:$F149,"Commodity",Transactions!$D$3:$D149,AH33)
-SUMIFS(Transactions!$I$3:$I149,Transactions!$H$3:$H149,"Transfer Send",Transactions!$F$3:$F149,"Commodity",Transactions!$D$3:$D149,AH33)
-SUMIFS(Transactions!$I$3:$I149,Transactions!$H$3:$H149,"Sell",Transactions!$F$3:$F149,"Managed Fund",Transactions!$D$3:$D149,AH33)
-SUMIFS(Transactions!$I$3:$I149,Transactions!$H$3:$H149,"Transfer Send",Transactions!$F$3:$F149,"Managed Fund",Transactions!$D$3:$D149,AH33)
-SUMIFS(Transactions!$I$3:$I149,Transactions!$H$3:$H149,"Sell",Transactions!$F$3:$F149,"REIT",Transactions!$D$3:$D149,AH33)
-SUMIFS(Transactions!$I$3:$I149,Transactions!$H$3:$H149,"Transfer Send",Transactions!$F$3:$F149,"REIT",Transactions!$D$3:$D149,AH33)
+SUMIFS(Transactions!$I$3:$I149,Transactions!$H$3:$H149,"Buy",Transactions!$F$3:$F149,"Crypto",Transactions!$D$3:$D149,AH33)
+SUMIFS(Transactions!$I$3:$I149,Transactions!$H$3:$H149,"Crypto Interest",Transactions!$F$3:$F149,"Crypto",Transactions!$D$3:$D149,AH33)
+SUMIFS(Transactions!$I$3:$I149,Transactions!$H$3:$H149,"Transfer Deposit",Transactions!$F$3:$F149,"Crypto",Transactions!$D$3:$D149,AH33)
-SUMIFS(Transactions!$I$3:$I149,Transactions!$H$3:$H149,"Transfer Send",Transactions!$F$3:$F149,"Crypto",Transactions!$D$3:$D149,AH33)
-SUMIFS(Transactions!$I$3:$I149,Transactions!$H$3:$H149,"Sell",Transactions!$F$3:$F149,"Crypto",Transactions!$D$3:$D149,AH33)
+SUMIFS(Transactions!$I$3:$I149,Transactions!$H$3:$H149,"Buy",Transactions!$F$3:$F149,"Stablecoin",Transactions!$D$3:$D149,AH33)
+SUMIFS(Transactions!$I$3:$I149,Transactions!$H$3:$H149,"Crypto Interest",Transactions!$F$3:$F149,"Stablecoin",Transactions!$D$3:$D149,AH33)
+SUMIFS(Transactions!$I$3:$I149,Transactions!$H$3:$H149,"Transfer Deposit",Transactions!$F$3:$F149,"Stablecoin",Transactions!$D$3:$D149,AH33)
-SUMIFS(Transactions!$I$3:$I149,Transactions!$H$3:$H149,"Transfer Send",Transactions!$F$3:$F149,"Stablecoin",Transactions!$D$3:$D149,AH33)
-SUMIFS(Transactions!$I$3:$I149,Transactions!$H$3:$H149,"Sell",Transactions!$F$3:$F149,"Stablecoin",Transactions!$D$3:$D149,AH33)
-SUMIFS(Transactions!$M$3:$M149,Transactions!$H$3:$H149,"Buy",Transactions!$B$3:$B149,AH33)=0,"Sold All",
SUMIFS(Transactions!$I$3:$I149,Transactions!$H$3:$H149,"Buy",Transactions!$F$3:$F149,"Stock",Transactions!$D$3:$D149,AH33)
+SUMIFS(Transactions!$I$3:$I149,Transactions!$H$3:$H149,"DRIP",Transactions!$F$3:$F149,"Stock",Transactions!$D$3:$D149,AH33)
+SUMIFS(Transactions!$I$3:$I149,Transactions!$H$3:$H149,"Transfer Deposit",Transactions!$F$3:$F149,"Stock",Transactions!$D$3:$D149,AH33)
+SUMIFS(Transactions!$I$3:$I149,Transactions!$H$3:$H149,"Buy",Transactions!$F$3:$F149,"ETF",Transactions!$D$3:$D149,AH33)
+SUMIFS(Transactions!$I$3:$I149,Transactions!$H$3:$H149,"DRIP",Transactions!$F$3:$F149,"ETF",Transactions!$D$3:$D149,AH33)
+SUMIFS(Transactions!$I$3:$I149,Transactions!$H$3:$H149,"Transfer Deposit",Transactions!$F$3:$F149,"ETF",Transactions!$D$3:$D149,AH33)
+SUMIFS(Transactions!$I$3:$I149,Transactions!$H$3:$H149,"Buy",Transactions!$F$3:$F149,"Commodity",Transactions!$D$3:$D149,AH33)
+SUMIFS(Transactions!$I$3:$I149,Transactions!$H$3:$H149,"DRIP",Transactions!$F$3:$F149,"Commodity",Transactions!$D$3:$D149,AH33)
+SUMIFS(Transactions!$I$3:$I149,Transactions!$H$3:$H149,"Transfer Deposit",Transactions!$F$3:$F149,"Commodity",Transactions!$D$3:$D149,AH33)
+SUMIFS(Transactions!$I$3:$I149,Transactions!$H$3:$H149,"Buy",Transactions!$F$3:$F149,"Managed Fund",Transactions!$D$3:$D149,AH33)
+SUMIFS(Transactions!$I$3:$I149,Transactions!$H$3:$H149,"DRIP",Transactions!$F$3:$F149,"Managed Fund",Transactions!$D$3:$D149,AH33)
+SUMIFS(Transactions!$I$3:$I149,Transactions!$H$3:$H149,"Transfer Deposit",Transactions!$F$3:$F149,"Managed Fund",Transactions!$D$3:$D149,AH33)
+SUMIFS(Transactions!$I$3:$I149,Transactions!$H$3:$H149,"Buy",Transactions!$F$3:$F149,"REIT",Transactions!$D$3:$D149,AH33)
+SUMIFS(Transactions!$I$3:$I149,Transactions!$H$3:$H149,"DRIP",Transactions!$F$3:$F149,"REIT",Transactions!$D$3:$D149,AH33)
+SUMIFS(Transactions!$I$3:$I149,Transactions!$H$3:$H149,"Transfer Deposit",Transactions!$F$3:$F149,"REIT",Transactions!$D$3:$D149,AH33)
-SUMIFS(Transactions!$I$3:$I149,Transactions!$H$3:$H149,"Sell",Transactions!$F$3:$F149,"Stock",Transactions!$D$3:$D149,AH33)
-SUMIFS(Transactions!$I$3:$I149,Transactions!$H$3:$H149,"Transfer Send",Transactions!$F$3:$F149,"Stock",Transactions!$D$3:$D149,AH33)
-SUMIFS(Transactions!$I$3:$I149,Transactions!$H$3:$H149,"Sell",Transactions!$F$3:$F149,"ETF",Transactions!$D$3:$D149,AH33)
-SUMIFS(Transactions!$I$3:$I149,Transactions!$H$3:$H149,"Transfer Send",Transactions!$F$3:$F149,"ETF",Transactions!$D$3:$D149,AH33)
-SUMIFS(Transactions!$I$3:$I149,Transactions!$H$3:$H149,"Sell",Transactions!$F$3:$F149,"Commodity",Transactions!$D$3:$D149,AH33)
-SUMIFS(Transactions!$I$3:$I149,Transactions!$H$3:$H149,"Transfer Send",Transactions!$F$3:$F149,"Commodity",Transactions!$D$3:$D149,AH33)
-SUMIFS(Transactions!$I$3:$I149,Transactions!$H$3:$H149,"Sell",Transactions!$F$3:$F149,"Managed Fund",Transactions!$D$3:$D149,AH33)
-SUMIFS(Transactions!$I$3:$I149,Transactions!$H$3:$H149,"Transfer Send",Transactions!$F$3:$F149,"Managed Fund",Transactions!$D$3:$D149,AH33)
-SUMIFS(Transactions!$I$3:$I149,Transactions!$H$3:$H149,"Sell",Transactions!$F$3:$F149,"REIT",Transactions!$D$3:$D149,AH33)
-SUMIFS(Transactions!$I$3:$I149,Transactions!$H$3:$H149,"Transfer Send",Transactions!$F$3:$F149,"REIT",Transactions!$D$3:$D149,AH33)
+SUMIFS(Transactions!$I$3:$I149,Transactions!$H$3:$H149,"Buy",Transactions!$F$3:$F149,"Crypto",Transactions!$D$3:$D149,AH33)
+SUMIFS(Transactions!$I$3:$I149,Transactions!$H$3:$H149,"Crypto Interest",Transactions!$F$3:$F149,"Crypto",Transactions!$D$3:$D149,AH33)
+SUMIFS(Transactions!$I$3:$I149,Transactions!$H$3:$H149,"Transfer Deposit",Transactions!$F$3:$F149,"Crypto",Transactions!$D$3:$D149,AH33)
-SUMIFS(Transactions!$I$3:$I149,Transactions!$H$3:$H149,"Transfer Send",Transactions!$F$3:$F149,"Crypto",Transactions!$D$3:$D149,AH33)
-SUMIFS(Transactions!$I$3:$I149,Transactions!$H$3:$H149,"Sell",Transactions!$F$3:$F149,"Crypto",Transactions!$D$3:$D149,AH33)
+SUMIFS(Transactions!$I$3:$I149,Transactions!$H$3:$H149,"Buy",Transactions!$F$3:$F149,"Stablecoin",Transactions!$D$3:$D149,AH33)
+SUMIFS(Transactions!$I$3:$I149,Transactions!$H$3:$H149,"Crypto Interest",Transactions!$F$3:$F149,"Stablecoin",Transactions!$D$3:$D149,AH33)
+SUMIFS(Transactions!$I$3:$I149,Transactions!$H$3:$H149,"Transfer Deposit",Transactions!$F$3:$F149,"Stablecoin",Transactions!$D$3:$D149,AH33)
-SUMIFS(Transactions!$I$3:$I149,Transactions!$H$3:$H149,"Transfer Send",Transactions!$F$3:$F149,"Stablecoin",Transactions!$D$3:$D149,AH33)
-SUMIFS(Transactions!$I$3:$I149,Transactions!$H$3:$H149,"Sell",Transactions!$F$3:$F149,"Stablecoin",Transactions!$D$3:$D149,AH33)
-SUMIFS(Transactions!$M$3:$M149,Transactions!$H$3:$H149,"Buy",Transactions!$B$3:$B149,AH33)))</f>
        <v/>
      </c>
      <c r="AJ33" s="181" t="str">
        <f>IFERROR(__xludf.DUMMYFUNCTION("IF(ISBLANK(AH33),"""",VLOOKUP(9^99,FILTER({ROW(Transactions!P:P),Transactions!P:P},Transactions!D:D=AH33),2))"),"")</f>
        <v/>
      </c>
      <c r="AK33" s="181" t="str">
        <f>IFERROR(__xludf.DUMMYFUNCTION("IF(ISBLANK(AH33),"""",IFERROR(GOOGLEFINANCE(AH33,""price""),IFERROR(GOOGLEFINANCE(""CURRENCY:""&amp;AH33&amp;""""),IFERROR(INDEX(YAHOO_STOCK(TRIM(AH33), $G$2),0,1),INDEX(IMPORTHTML(CONCAT(""https://coinmarketcap.com/currencies/"",AG33),""table"",1),1,2)))))"),"")</f>
        <v/>
      </c>
      <c r="AL33" s="14" t="str">
        <f>IFERROR(__xludf.DUMMYFUNCTION("IF(ISBLANK(AH33),"""",IFERROR(SPARKLINE(INDEX(GOOGLEFINANCE(AH33,""price"",TODAY()-$AL$2,TODAY()),,2),{""charttype"",""column"";""color"",""17a7e0""}),""""))"),"")</f>
        <v/>
      </c>
      <c r="AM33" s="50" t="str">
        <f>IFERROR(__xludf.DUMMYFUNCTION("IFNA(IFERROR(IF(AH33="""","""",GOOGLEFINANCE(AH33,""changepct"")/100),(GOOGLEFINANCE(AH33)-(INDEX(GOOGLEFINANCE(""CURRENCY:""&amp;AH33&amp;"""",""price"",TODAY()-1),2,2)))/(INDEX(GOOGLEFINANCE(""CURRENCY:""&amp;AH33&amp;"""",""price"",TODAY()-1),2,2))),)"),"")</f>
        <v/>
      </c>
      <c r="AN33" s="96" t="str">
        <f>IFERROR(__xludf.DUMMYFUNCTION("IFNA(IFERROR(IF(AH33="""","""",GOOGLEFINANCE(AH33,""change"")*AI33),(GOOGLEFINANCE(AH33)-(INDEX(GOOGLEFINANCE(""CURRENCY:""&amp;AH33&amp;"""",""price"",TODAY()-1),2,2)))*AI33),"""")"),"")</f>
        <v/>
      </c>
      <c r="AO33" s="96" t="str">
        <f>IF(ISBLANK(AH33),"",IFERROR(((AI33-SUMIFS(Transactions!I:I,Transactions!H:H,"Crypto Interest",Transactions!D:D,AH33))*AJ33),""))</f>
        <v/>
      </c>
      <c r="AP33" s="96" t="str">
        <f t="shared" si="16"/>
        <v/>
      </c>
      <c r="AQ33" s="50" t="str">
        <f t="shared" si="17"/>
        <v/>
      </c>
      <c r="AR33" s="96" t="str">
        <f t="shared" si="18"/>
        <v/>
      </c>
      <c r="AS33" s="96" t="str">
        <f>IF(ISBLANK(AH33),"",SUMIFS(Transactions!$X$3:$X149,Transactions!$H$3:$H149,"Sell",Transactions!$D$3:$D149,AH33))</f>
        <v/>
      </c>
      <c r="AT33" s="96" t="str">
        <f t="shared" si="19"/>
        <v/>
      </c>
      <c r="AU33" s="50" t="str">
        <f>IFERROR(__xludf.DUMMYFUNCTION("IF(ISBLANK(AH33),"""",IFERROR((GOOGLEFINANCE(AH33,""price"")/INDEX(GOOGLEFINANCE(AH33,""price"",DATEVALUE(TODAY()-$AU$2) ),2,2)-1),""""))"),"")</f>
        <v/>
      </c>
      <c r="AW33" s="50" t="str">
        <f>IFERROR(__xludf.DUMMYFUNCTION("IF(ISBLANK(AH33),"""",IFERROR((GOOGLEFINANCE($AW$2,""price"")/INDEX(GOOGLEFINANCE($AW$2,""price"",DATEVALUE(TODAY()-$AU$2) ),2,2)-1),""""))"),"")</f>
        <v/>
      </c>
      <c r="AY33" s="50" t="str">
        <f t="shared" si="20"/>
        <v/>
      </c>
      <c r="AZ33" s="50" t="str">
        <f t="shared" si="21"/>
        <v/>
      </c>
      <c r="BA33" s="50">
        <f t="shared" si="22"/>
        <v>0</v>
      </c>
      <c r="BB33" s="14" t="str">
        <f t="shared" si="23"/>
        <v/>
      </c>
      <c r="BC33" s="14" t="str">
        <f>IF(ISBLANK(AH33),"",IFERROR(VLOOKUP(AH33,Transactions!D:F,3,0)))</f>
        <v/>
      </c>
      <c r="BD33" s="50" t="str">
        <f t="shared" si="24"/>
        <v/>
      </c>
      <c r="BE33" s="50" t="str">
        <f t="shared" si="25"/>
        <v/>
      </c>
      <c r="BF33" s="14" t="str">
        <f t="shared" si="26"/>
        <v/>
      </c>
      <c r="BG33" s="180" t="str">
        <f>IF(ISBLANK(AH33),"",IFERROR(VLOOKUP(AH33,Transactions!D:G,4,0)))</f>
        <v/>
      </c>
    </row>
    <row r="34">
      <c r="A34" s="14" t="str">
        <f t="shared" ref="A34:C34" si="56">AG34</f>
        <v/>
      </c>
      <c r="B34" s="14" t="str">
        <f t="shared" si="56"/>
        <v/>
      </c>
      <c r="C34" s="175" t="str">
        <f t="shared" si="56"/>
        <v/>
      </c>
      <c r="D34" s="176" t="str">
        <f>IFERROR(__xludf.DUMMYFUNCTION("IF(ISBLANK(B34),"""",IFERROR(IF(OR(AF34=""GPB"",AF34=""ZAR""),IF(AF34=Dashboard!$L$1,AJ34,(AJ34*GOOGLEFINANCE(""CURRENCY:""&amp;AF34&amp;""""&amp;Dashboard!$L$1&amp;""""))/100),IF(AF34=Dashboard!$L$1,AJ34,AJ34*GOOGLEFINANCE(""CURRENCY:""&amp;AF34&amp;""""&amp;Dashboard!$L$1&amp;""""))),"&amp;"AJ34))"),"")</f>
        <v/>
      </c>
      <c r="E34" s="177" t="str">
        <f>IFERROR(__xludf.DUMMYFUNCTION("IFERROR(IF(OR(AF34=""GBP"",AF34=""ZAR""),IF(B34="""","""",IF(AF34=Dashboard!$L$1,AK34,AK34*GOOGLEFINANCE(""CURRENCY:""&amp;AF34&amp;""""&amp;Dashboard!$L$1&amp;"""")))/100,If(B34="""","""",IF(AF34=Dashboard!$L$1,AK34,AK34*GOOGLEFINANCE(""CURRENCY:""&amp;AF34&amp;""""&amp;Dashboard!$"&amp;"L$1&amp;"""")))),AK34)"),"")</f>
        <v/>
      </c>
      <c r="F34" s="145">
        <f>IFERROR(__xludf.DUMMYFUNCTION(" E34 * GOOGLEFINANCE(""CURRENCY:USDEUR"") "),0.0)</f>
        <v>0</v>
      </c>
      <c r="G34" s="96" t="str">
        <f>IFERROR(__xludf.DUMMYFUNCTION("IF(ISBLANK(B34),"""",IFERROR(SPARKLINE(INDEX(GOOGLEFINANCE(B34,""price"",TODAY()-$G$2,TODAY()),,2),{""charttype"",""column"";""color"",""17a7e0""}),""""))"),"")</f>
        <v/>
      </c>
      <c r="H34" s="50" t="str">
        <f t="shared" si="3"/>
        <v/>
      </c>
      <c r="I34" s="96" t="str">
        <f>IFERROR(__xludf.DUMMYFUNCTION("IF(ISBLANK(B34),"""",IFERROR(IF(OR(AF34=""GPB"",AF34=""ZAR""),IF(AF34=Dashboard!$L$1,AN34,(AN34*GOOGLEFINANCE(""CURRENCY:""&amp;AF34&amp;""""&amp;Dashboard!$L$1&amp;""""))/100),IF(AF34=Dashboard!$L$1,AN34,AN34*GOOGLEFINANCE(""CURRENCY:""&amp;AF34&amp;""""&amp;Dashboard!$L$1&amp;""""))),"&amp;"AN34))"),"")</f>
        <v/>
      </c>
      <c r="J34" s="178" t="str">
        <f>IF(ISBLANK(B34),"",IFERROR(((C34-SUMIFS(Transactions!I:I,Transactions!H:H,"Crypto Interest",Transactions!D:D,B34))*D34),""))</f>
        <v/>
      </c>
      <c r="K34" s="178" t="str">
        <f t="shared" si="4"/>
        <v/>
      </c>
      <c r="L34" s="145">
        <f>-SUMIFS(Transactions!$M$3:$M149,Transactions!$H$3:$H149,"Buy",Transactions!$D$3:$D149,B34)</f>
        <v>0</v>
      </c>
      <c r="M34" s="145">
        <f>IF(ISBLANK(AG34),"",SUMIFS(Transactions!$M$3:$M149,Transactions!$H$3:$H149,"Dividend",Transactions!$D$3:$D149,B34))</f>
        <v>0</v>
      </c>
      <c r="N34" s="145" t="str">
        <f>IF(ISBLANK(AH34),"",SUMIFS(Transactions!$M$3:$M149,Transactions!$H$3:$H149,"Sell",Transactions!$D$3:$D149,B34))</f>
        <v/>
      </c>
      <c r="O34" s="50" t="str">
        <f t="shared" si="5"/>
        <v/>
      </c>
      <c r="P34" s="178" t="str">
        <f t="shared" si="6"/>
        <v/>
      </c>
      <c r="Q34" s="178" t="str">
        <f>IFERROR(__xludf.DUMMYFUNCTION("IF(ISBLANK(B34),"""",IFERROR(IF(OR(AF34=""GPB"",AF34=""ZAR""),IF(AF34=Dashboard!$L$1,AS34,(AS34*GOOGLEFINANCE(""CURRENCY:""&amp;AF34&amp;""""&amp;Dashboard!$L$1&amp;""""))/100),IF(AF34=Dashboard!$L$1,AS34,AS34*GOOGLEFINANCE(""CURRENCY:""&amp;AF34&amp;""""&amp;Dashboard!$L$1&amp;""""))),"&amp;"AS34))"),"")</f>
        <v/>
      </c>
      <c r="R34" s="178" t="str">
        <f t="shared" si="7"/>
        <v/>
      </c>
      <c r="S34" s="50" t="str">
        <f>IFERROR(__xludf.DUMMYFUNCTION("IF(ISBLANK(B34),"""",IFERROR((GOOGLEFINANCE(B34,""price"")/INDEX(GOOGLEFINANCE(B34,""price"",DATEVALUE(TODAY()-$S$2) ),2,2)-1),""""))"),"")</f>
        <v/>
      </c>
      <c r="U34" s="50" t="str">
        <f>IFERROR(__xludf.DUMMYFUNCTION("IF(ISBLANK(B34),"""",IFERROR((GOOGLEFINANCE($U$2,""price"")/INDEX(GOOGLEFINANCE($U$2,""price"",DATEVALUE(TODAY()-$S$2) ),2,2)-1),""""))"),"")</f>
        <v/>
      </c>
      <c r="W34" s="50" t="str">
        <f t="shared" si="8"/>
        <v/>
      </c>
      <c r="X34" s="50" t="str">
        <f t="shared" si="9"/>
        <v/>
      </c>
      <c r="Y34" s="179">
        <v>0.0</v>
      </c>
      <c r="Z34" s="50" t="str">
        <f t="shared" si="10"/>
        <v/>
      </c>
      <c r="AA34" s="14" t="str">
        <f t="shared" si="11"/>
        <v/>
      </c>
      <c r="AB34" s="50" t="str">
        <f t="shared" si="12"/>
        <v/>
      </c>
      <c r="AC34" s="179" t="str">
        <f t="shared" si="13"/>
        <v/>
      </c>
      <c r="AD34" s="50" t="str">
        <f t="shared" si="14"/>
        <v/>
      </c>
      <c r="AE34" s="180" t="str">
        <f t="shared" si="15"/>
        <v/>
      </c>
      <c r="AF34" s="14" t="str">
        <f t="array" ref="AF34">IFERROR(IF(ISBLANK(AH34),"",IF(VLOOKUP(AH34,Transactions!D:F,3,0)="Stablecoin",AH34,INDEX(Transactions!$B$3:$B149,MATCH(AH34,Transactions!$D$3:$D149,0),0))))</f>
        <v/>
      </c>
      <c r="AG34" s="14" t="str">
        <f>IF(ISBLANK(AH34),"",VLOOKUP(AH34,Transactions!D:E,2,0))</f>
        <v/>
      </c>
      <c r="AH34" s="14"/>
      <c r="AI34" s="146" t="str">
        <f>IF(ISBLANK(AH34),"",IF(
SUMIFS(Transactions!$I$3:$I149,Transactions!$H$3:$H149,"Buy",Transactions!$F$3:$F149,"Stock",Transactions!$D$3:$D149,AH34)
+SUMIFS(Transactions!$I$3:$I149,Transactions!$H$3:$H149,"DRIP",Transactions!$F$3:$F149,"Stock",Transactions!$D$3:$D149,AH34)
+SUMIFS(Transactions!$I$3:$I149,Transactions!$H$3:$H149,"Transfer Deposit",Transactions!$F$3:$F149,"Stock",Transactions!$D$3:$D149,AH34)
+SUMIFS(Transactions!$I$3:$I149,Transactions!$H$3:$H149,"Buy",Transactions!$F$3:$F149,"ETF",Transactions!$D$3:$D149,AH34)
+SUMIFS(Transactions!$I$3:$I149,Transactions!$H$3:$H149,"DRIP",Transactions!$F$3:$F149,"ETF",Transactions!$D$3:$D149,AH34)
+SUMIFS(Transactions!$I$3:$I149,Transactions!$H$3:$H149,"Transfer Deposit",Transactions!$F$3:$F149,"ETF",Transactions!$D$3:$D149,AH34)
+SUMIFS(Transactions!$I$3:$I149,Transactions!$H$3:$H149,"Buy",Transactions!$F$3:$F149,"Commodity",Transactions!$D$3:$D149,AH34)
+SUMIFS(Transactions!$I$3:$I149,Transactions!$H$3:$H149,"DRIP",Transactions!$F$3:$F149,"Commodity",Transactions!$D$3:$D149,AH34)
+SUMIFS(Transactions!$I$3:$I149,Transactions!$H$3:$H149,"Transfer Deposit",Transactions!$F$3:$F149,"Commodity",Transactions!$D$3:$D149,AH34)
+SUMIFS(Transactions!$I$3:$I149,Transactions!$H$3:$H149,"Buy",Transactions!$F$3:$F149,"Managed Fund",Transactions!$D$3:$D149,AH34)
+SUMIFS(Transactions!$I$3:$I149,Transactions!$H$3:$H149,"DRIP",Transactions!$F$3:$F149,"Managed Fund",Transactions!$D$3:$D149,AH34)
+SUMIFS(Transactions!$I$3:$I149,Transactions!$H$3:$H149,"Transfer Deposit",Transactions!$F$3:$F149,"Managed Fund",Transactions!$D$3:$D149,AH34)
+SUMIFS(Transactions!$I$3:$I149,Transactions!$H$3:$H149,"Buy",Transactions!$F$3:$F149,"REIT",Transactions!$D$3:$D149,AH34)
+SUMIFS(Transactions!$I$3:$I149,Transactions!$H$3:$H149,"DRIP",Transactions!$F$3:$F149,"REIT",Transactions!$D$3:$D149,AH34)
+SUMIFS(Transactions!$I$3:$I149,Transactions!$H$3:$H149,"Transfer Deposit",Transactions!$F$3:$F149,"REIT",Transactions!$D$3:$D149,AH34)
-SUMIFS(Transactions!$I$3:$I149,Transactions!$H$3:$H149,"Sell",Transactions!$F$3:$F149,"Stock",Transactions!$D$3:$D149,AH34)
-SUMIFS(Transactions!$I$3:$I149,Transactions!$H$3:$H149,"Transfer Send",Transactions!$F$3:$F149,"Stock",Transactions!$D$3:$D149,AH34)
-SUMIFS(Transactions!$I$3:$I149,Transactions!$H$3:$H149,"Sell",Transactions!$F$3:$F149,"ETF",Transactions!$D$3:$D149,AH34)
-SUMIFS(Transactions!$I$3:$I149,Transactions!$H$3:$H149,"Transfer Send",Transactions!$F$3:$F149,"ETF",Transactions!$D$3:$D149,AH34)
-SUMIFS(Transactions!$I$3:$I149,Transactions!$H$3:$H149,"Sell",Transactions!$F$3:$F149,"Commodity",Transactions!$D$3:$D149,AH34)
-SUMIFS(Transactions!$I$3:$I149,Transactions!$H$3:$H149,"Transfer Send",Transactions!$F$3:$F149,"Commodity",Transactions!$D$3:$D149,AH34)
-SUMIFS(Transactions!$I$3:$I149,Transactions!$H$3:$H149,"Sell",Transactions!$F$3:$F149,"Managed Fund",Transactions!$D$3:$D149,AH34)
-SUMIFS(Transactions!$I$3:$I149,Transactions!$H$3:$H149,"Transfer Send",Transactions!$F$3:$F149,"Managed Fund",Transactions!$D$3:$D149,AH34)
-SUMIFS(Transactions!$I$3:$I149,Transactions!$H$3:$H149,"Sell",Transactions!$F$3:$F149,"REIT",Transactions!$D$3:$D149,AH34)
-SUMIFS(Transactions!$I$3:$I149,Transactions!$H$3:$H149,"Transfer Send",Transactions!$F$3:$F149,"REIT",Transactions!$D$3:$D149,AH34)
+SUMIFS(Transactions!$I$3:$I149,Transactions!$H$3:$H149,"Buy",Transactions!$F$3:$F149,"Crypto",Transactions!$D$3:$D149,AH34)
+SUMIFS(Transactions!$I$3:$I149,Transactions!$H$3:$H149,"Crypto Interest",Transactions!$F$3:$F149,"Crypto",Transactions!$D$3:$D149,AH34)
+SUMIFS(Transactions!$I$3:$I149,Transactions!$H$3:$H149,"Transfer Deposit",Transactions!$F$3:$F149,"Crypto",Transactions!$D$3:$D149,AH34)
-SUMIFS(Transactions!$I$3:$I149,Transactions!$H$3:$H149,"Transfer Send",Transactions!$F$3:$F149,"Crypto",Transactions!$D$3:$D149,AH34)
-SUMIFS(Transactions!$I$3:$I149,Transactions!$H$3:$H149,"Sell",Transactions!$F$3:$F149,"Crypto",Transactions!$D$3:$D149,AH34)
+SUMIFS(Transactions!$I$3:$I149,Transactions!$H$3:$H149,"Buy",Transactions!$F$3:$F149,"Stablecoin",Transactions!$D$3:$D149,AH34)
+SUMIFS(Transactions!$I$3:$I149,Transactions!$H$3:$H149,"Crypto Interest",Transactions!$F$3:$F149,"Stablecoin",Transactions!$D$3:$D149,AH34)
+SUMIFS(Transactions!$I$3:$I149,Transactions!$H$3:$H149,"Transfer Deposit",Transactions!$F$3:$F149,"Stablecoin",Transactions!$D$3:$D149,AH34)
-SUMIFS(Transactions!$I$3:$I149,Transactions!$H$3:$H149,"Transfer Send",Transactions!$F$3:$F149,"Stablecoin",Transactions!$D$3:$D149,AH34)
-SUMIFS(Transactions!$I$3:$I149,Transactions!$H$3:$H149,"Sell",Transactions!$F$3:$F149,"Stablecoin",Transactions!$D$3:$D149,AH34)
-SUMIFS(Transactions!$M$3:$M149,Transactions!$H$3:$H149,"Buy",Transactions!$B$3:$B149,AH34)=0,"Sold All",
SUMIFS(Transactions!$I$3:$I149,Transactions!$H$3:$H149,"Buy",Transactions!$F$3:$F149,"Stock",Transactions!$D$3:$D149,AH34)
+SUMIFS(Transactions!$I$3:$I149,Transactions!$H$3:$H149,"DRIP",Transactions!$F$3:$F149,"Stock",Transactions!$D$3:$D149,AH34)
+SUMIFS(Transactions!$I$3:$I149,Transactions!$H$3:$H149,"Transfer Deposit",Transactions!$F$3:$F149,"Stock",Transactions!$D$3:$D149,AH34)
+SUMIFS(Transactions!$I$3:$I149,Transactions!$H$3:$H149,"Buy",Transactions!$F$3:$F149,"ETF",Transactions!$D$3:$D149,AH34)
+SUMIFS(Transactions!$I$3:$I149,Transactions!$H$3:$H149,"DRIP",Transactions!$F$3:$F149,"ETF",Transactions!$D$3:$D149,AH34)
+SUMIFS(Transactions!$I$3:$I149,Transactions!$H$3:$H149,"Transfer Deposit",Transactions!$F$3:$F149,"ETF",Transactions!$D$3:$D149,AH34)
+SUMIFS(Transactions!$I$3:$I149,Transactions!$H$3:$H149,"Buy",Transactions!$F$3:$F149,"Commodity",Transactions!$D$3:$D149,AH34)
+SUMIFS(Transactions!$I$3:$I149,Transactions!$H$3:$H149,"DRIP",Transactions!$F$3:$F149,"Commodity",Transactions!$D$3:$D149,AH34)
+SUMIFS(Transactions!$I$3:$I149,Transactions!$H$3:$H149,"Transfer Deposit",Transactions!$F$3:$F149,"Commodity",Transactions!$D$3:$D149,AH34)
+SUMIFS(Transactions!$I$3:$I149,Transactions!$H$3:$H149,"Buy",Transactions!$F$3:$F149,"Managed Fund",Transactions!$D$3:$D149,AH34)
+SUMIFS(Transactions!$I$3:$I149,Transactions!$H$3:$H149,"DRIP",Transactions!$F$3:$F149,"Managed Fund",Transactions!$D$3:$D149,AH34)
+SUMIFS(Transactions!$I$3:$I149,Transactions!$H$3:$H149,"Transfer Deposit",Transactions!$F$3:$F149,"Managed Fund",Transactions!$D$3:$D149,AH34)
+SUMIFS(Transactions!$I$3:$I149,Transactions!$H$3:$H149,"Buy",Transactions!$F$3:$F149,"REIT",Transactions!$D$3:$D149,AH34)
+SUMIFS(Transactions!$I$3:$I149,Transactions!$H$3:$H149,"DRIP",Transactions!$F$3:$F149,"REIT",Transactions!$D$3:$D149,AH34)
+SUMIFS(Transactions!$I$3:$I149,Transactions!$H$3:$H149,"Transfer Deposit",Transactions!$F$3:$F149,"REIT",Transactions!$D$3:$D149,AH34)
-SUMIFS(Transactions!$I$3:$I149,Transactions!$H$3:$H149,"Sell",Transactions!$F$3:$F149,"Stock",Transactions!$D$3:$D149,AH34)
-SUMIFS(Transactions!$I$3:$I149,Transactions!$H$3:$H149,"Transfer Send",Transactions!$F$3:$F149,"Stock",Transactions!$D$3:$D149,AH34)
-SUMIFS(Transactions!$I$3:$I149,Transactions!$H$3:$H149,"Sell",Transactions!$F$3:$F149,"ETF",Transactions!$D$3:$D149,AH34)
-SUMIFS(Transactions!$I$3:$I149,Transactions!$H$3:$H149,"Transfer Send",Transactions!$F$3:$F149,"ETF",Transactions!$D$3:$D149,AH34)
-SUMIFS(Transactions!$I$3:$I149,Transactions!$H$3:$H149,"Sell",Transactions!$F$3:$F149,"Commodity",Transactions!$D$3:$D149,AH34)
-SUMIFS(Transactions!$I$3:$I149,Transactions!$H$3:$H149,"Transfer Send",Transactions!$F$3:$F149,"Commodity",Transactions!$D$3:$D149,AH34)
-SUMIFS(Transactions!$I$3:$I149,Transactions!$H$3:$H149,"Sell",Transactions!$F$3:$F149,"Managed Fund",Transactions!$D$3:$D149,AH34)
-SUMIFS(Transactions!$I$3:$I149,Transactions!$H$3:$H149,"Transfer Send",Transactions!$F$3:$F149,"Managed Fund",Transactions!$D$3:$D149,AH34)
-SUMIFS(Transactions!$I$3:$I149,Transactions!$H$3:$H149,"Sell",Transactions!$F$3:$F149,"REIT",Transactions!$D$3:$D149,AH34)
-SUMIFS(Transactions!$I$3:$I149,Transactions!$H$3:$H149,"Transfer Send",Transactions!$F$3:$F149,"REIT",Transactions!$D$3:$D149,AH34)
+SUMIFS(Transactions!$I$3:$I149,Transactions!$H$3:$H149,"Buy",Transactions!$F$3:$F149,"Crypto",Transactions!$D$3:$D149,AH34)
+SUMIFS(Transactions!$I$3:$I149,Transactions!$H$3:$H149,"Crypto Interest",Transactions!$F$3:$F149,"Crypto",Transactions!$D$3:$D149,AH34)
+SUMIFS(Transactions!$I$3:$I149,Transactions!$H$3:$H149,"Transfer Deposit",Transactions!$F$3:$F149,"Crypto",Transactions!$D$3:$D149,AH34)
-SUMIFS(Transactions!$I$3:$I149,Transactions!$H$3:$H149,"Transfer Send",Transactions!$F$3:$F149,"Crypto",Transactions!$D$3:$D149,AH34)
-SUMIFS(Transactions!$I$3:$I149,Transactions!$H$3:$H149,"Sell",Transactions!$F$3:$F149,"Crypto",Transactions!$D$3:$D149,AH34)
+SUMIFS(Transactions!$I$3:$I149,Transactions!$H$3:$H149,"Buy",Transactions!$F$3:$F149,"Stablecoin",Transactions!$D$3:$D149,AH34)
+SUMIFS(Transactions!$I$3:$I149,Transactions!$H$3:$H149,"Crypto Interest",Transactions!$F$3:$F149,"Stablecoin",Transactions!$D$3:$D149,AH34)
+SUMIFS(Transactions!$I$3:$I149,Transactions!$H$3:$H149,"Transfer Deposit",Transactions!$F$3:$F149,"Stablecoin",Transactions!$D$3:$D149,AH34)
-SUMIFS(Transactions!$I$3:$I149,Transactions!$H$3:$H149,"Transfer Send",Transactions!$F$3:$F149,"Stablecoin",Transactions!$D$3:$D149,AH34)
-SUMIFS(Transactions!$I$3:$I149,Transactions!$H$3:$H149,"Sell",Transactions!$F$3:$F149,"Stablecoin",Transactions!$D$3:$D149,AH34)
-SUMIFS(Transactions!$M$3:$M149,Transactions!$H$3:$H149,"Buy",Transactions!$B$3:$B149,AH34)))</f>
        <v/>
      </c>
      <c r="AJ34" s="181" t="str">
        <f>IFERROR(__xludf.DUMMYFUNCTION("IF(ISBLANK(AH34),"""",VLOOKUP(9^99,FILTER({ROW(Transactions!P:P),Transactions!P:P},Transactions!D:D=AH34),2))"),"")</f>
        <v/>
      </c>
      <c r="AK34" s="181" t="str">
        <f>IFERROR(__xludf.DUMMYFUNCTION("IF(ISBLANK(AH34),"""",IFERROR(GOOGLEFINANCE(AH34,""price""),IFERROR(GOOGLEFINANCE(""CURRENCY:""&amp;AH34&amp;""""),IFERROR(INDEX(YAHOO_STOCK(TRIM(AH34), $G$2),0,1),INDEX(IMPORTHTML(CONCAT(""https://coinmarketcap.com/currencies/"",AG34),""table"",1),1,2)))))"),"")</f>
        <v/>
      </c>
      <c r="AL34" s="14" t="str">
        <f>IFERROR(__xludf.DUMMYFUNCTION("IF(ISBLANK(AH34),"""",IFERROR(SPARKLINE(INDEX(GOOGLEFINANCE(AH34,""price"",TODAY()-$AL$2,TODAY()),,2),{""charttype"",""column"";""color"",""17a7e0""}),""""))"),"")</f>
        <v/>
      </c>
      <c r="AM34" s="50" t="str">
        <f>IFERROR(__xludf.DUMMYFUNCTION("IFNA(IFERROR(IF(AH34="""","""",GOOGLEFINANCE(AH34,""changepct"")/100),(GOOGLEFINANCE(AH34)-(INDEX(GOOGLEFINANCE(""CURRENCY:""&amp;AH34&amp;"""",""price"",TODAY()-1),2,2)))/(INDEX(GOOGLEFINANCE(""CURRENCY:""&amp;AH34&amp;"""",""price"",TODAY()-1),2,2))),)"),"")</f>
        <v/>
      </c>
      <c r="AN34" s="96" t="str">
        <f>IFERROR(__xludf.DUMMYFUNCTION("IFNA(IFERROR(IF(AH34="""","""",GOOGLEFINANCE(AH34,""change"")*AI34),(GOOGLEFINANCE(AH34)-(INDEX(GOOGLEFINANCE(""CURRENCY:""&amp;AH34&amp;"""",""price"",TODAY()-1),2,2)))*AI34),"""")"),"")</f>
        <v/>
      </c>
      <c r="AO34" s="96" t="str">
        <f>IF(ISBLANK(AH34),"",IFERROR(((AI34-SUMIFS(Transactions!I:I,Transactions!H:H,"Crypto Interest",Transactions!D:D,AH34))*AJ34),""))</f>
        <v/>
      </c>
      <c r="AP34" s="96" t="str">
        <f t="shared" si="16"/>
        <v/>
      </c>
      <c r="AQ34" s="50" t="str">
        <f t="shared" si="17"/>
        <v/>
      </c>
      <c r="AR34" s="96" t="str">
        <f t="shared" si="18"/>
        <v/>
      </c>
      <c r="AS34" s="96" t="str">
        <f>IF(ISBLANK(AH34),"",SUMIFS(Transactions!$X$3:$X149,Transactions!$H$3:$H149,"Sell",Transactions!$D$3:$D149,AH34))</f>
        <v/>
      </c>
      <c r="AT34" s="96" t="str">
        <f t="shared" si="19"/>
        <v/>
      </c>
      <c r="AU34" s="50" t="str">
        <f>IFERROR(__xludf.DUMMYFUNCTION("IF(ISBLANK(AH34),"""",IFERROR((GOOGLEFINANCE(AH34,""price"")/INDEX(GOOGLEFINANCE(AH34,""price"",DATEVALUE(TODAY()-$AU$2) ),2,2)-1),""""))"),"")</f>
        <v/>
      </c>
      <c r="AW34" s="50" t="str">
        <f>IFERROR(__xludf.DUMMYFUNCTION("IF(ISBLANK(AH34),"""",IFERROR((GOOGLEFINANCE($AW$2,""price"")/INDEX(GOOGLEFINANCE($AW$2,""price"",DATEVALUE(TODAY()-$AU$2) ),2,2)-1),""""))"),"")</f>
        <v/>
      </c>
      <c r="AY34" s="50" t="str">
        <f t="shared" si="20"/>
        <v/>
      </c>
      <c r="AZ34" s="50" t="str">
        <f t="shared" si="21"/>
        <v/>
      </c>
      <c r="BA34" s="50">
        <f t="shared" si="22"/>
        <v>0</v>
      </c>
      <c r="BB34" s="14" t="str">
        <f t="shared" si="23"/>
        <v/>
      </c>
      <c r="BC34" s="14" t="str">
        <f>IF(ISBLANK(AH34),"",IFERROR(VLOOKUP(AH34,Transactions!D:F,3,0)))</f>
        <v/>
      </c>
      <c r="BD34" s="50" t="str">
        <f t="shared" si="24"/>
        <v/>
      </c>
      <c r="BE34" s="50" t="str">
        <f t="shared" si="25"/>
        <v/>
      </c>
      <c r="BF34" s="14" t="str">
        <f t="shared" si="26"/>
        <v/>
      </c>
      <c r="BG34" s="180" t="str">
        <f>IF(ISBLANK(AH34),"",IFERROR(VLOOKUP(AH34,Transactions!D:G,4,0)))</f>
        <v/>
      </c>
    </row>
    <row r="35">
      <c r="A35" s="14" t="str">
        <f t="shared" ref="A35:C35" si="57">AG35</f>
        <v/>
      </c>
      <c r="B35" s="14" t="str">
        <f t="shared" si="57"/>
        <v/>
      </c>
      <c r="C35" s="175" t="str">
        <f t="shared" si="57"/>
        <v/>
      </c>
      <c r="D35" s="176" t="str">
        <f>IFERROR(__xludf.DUMMYFUNCTION("IF(ISBLANK(B35),"""",IFERROR(IF(OR(AF35=""GPB"",AF35=""ZAR""),IF(AF35=Dashboard!$L$1,AJ35,(AJ35*GOOGLEFINANCE(""CURRENCY:""&amp;AF35&amp;""""&amp;Dashboard!$L$1&amp;""""))/100),IF(AF35=Dashboard!$L$1,AJ35,AJ35*GOOGLEFINANCE(""CURRENCY:""&amp;AF35&amp;""""&amp;Dashboard!$L$1&amp;""""))),"&amp;"AJ35))"),"")</f>
        <v/>
      </c>
      <c r="E35" s="177" t="str">
        <f>IFERROR(__xludf.DUMMYFUNCTION("IFERROR(IF(OR(AF35=""GBP"",AF35=""ZAR""),IF(B35="""","""",IF(AF35=Dashboard!$L$1,AK35,AK35*GOOGLEFINANCE(""CURRENCY:""&amp;AF35&amp;""""&amp;Dashboard!$L$1&amp;"""")))/100,If(B35="""","""",IF(AF35=Dashboard!$L$1,AK35,AK35*GOOGLEFINANCE(""CURRENCY:""&amp;AF35&amp;""""&amp;Dashboard!$"&amp;"L$1&amp;"""")))),AK35)"),"")</f>
        <v/>
      </c>
      <c r="F35" s="145">
        <f>IFERROR(__xludf.DUMMYFUNCTION(" E35 * GOOGLEFINANCE(""CURRENCY:USDEUR"") "),0.0)</f>
        <v>0</v>
      </c>
      <c r="G35" s="96" t="str">
        <f>IFERROR(__xludf.DUMMYFUNCTION("IF(ISBLANK(B35),"""",IFERROR(SPARKLINE(INDEX(GOOGLEFINANCE(B35,""price"",TODAY()-$G$2,TODAY()),,2),{""charttype"",""column"";""color"",""17a7e0""}),""""))"),"")</f>
        <v/>
      </c>
      <c r="H35" s="50" t="str">
        <f t="shared" si="3"/>
        <v/>
      </c>
      <c r="I35" s="96" t="str">
        <f>IFERROR(__xludf.DUMMYFUNCTION("IF(ISBLANK(B35),"""",IFERROR(IF(OR(AF35=""GPB"",AF35=""ZAR""),IF(AF35=Dashboard!$L$1,AN35,(AN35*GOOGLEFINANCE(""CURRENCY:""&amp;AF35&amp;""""&amp;Dashboard!$L$1&amp;""""))/100),IF(AF35=Dashboard!$L$1,AN35,AN35*GOOGLEFINANCE(""CURRENCY:""&amp;AF35&amp;""""&amp;Dashboard!$L$1&amp;""""))),"&amp;"AN35))"),"")</f>
        <v/>
      </c>
      <c r="J35" s="178" t="str">
        <f>IF(ISBLANK(B35),"",IFERROR(((C35-SUMIFS(Transactions!I:I,Transactions!H:H,"Crypto Interest",Transactions!D:D,B35))*D35),""))</f>
        <v/>
      </c>
      <c r="K35" s="178" t="str">
        <f t="shared" si="4"/>
        <v/>
      </c>
      <c r="L35" s="145">
        <f>-SUMIFS(Transactions!$M$3:$M149,Transactions!$H$3:$H149,"Buy",Transactions!$D$3:$D149,B35)</f>
        <v>0</v>
      </c>
      <c r="M35" s="145">
        <f>IF(ISBLANK(AG35),"",SUMIFS(Transactions!$M$3:$M149,Transactions!$H$3:$H149,"Dividend",Transactions!$D$3:$D149,B35))</f>
        <v>0</v>
      </c>
      <c r="N35" s="145" t="str">
        <f>IF(ISBLANK(AH35),"",SUMIFS(Transactions!$M$3:$M149,Transactions!$H$3:$H149,"Sell",Transactions!$D$3:$D149,B35))</f>
        <v/>
      </c>
      <c r="O35" s="50" t="str">
        <f t="shared" si="5"/>
        <v/>
      </c>
      <c r="P35" s="178" t="str">
        <f t="shared" si="6"/>
        <v/>
      </c>
      <c r="Q35" s="178" t="str">
        <f>IFERROR(__xludf.DUMMYFUNCTION("IF(ISBLANK(B35),"""",IFERROR(IF(OR(AF35=""GPB"",AF35=""ZAR""),IF(AF35=Dashboard!$L$1,AS35,(AS35*GOOGLEFINANCE(""CURRENCY:""&amp;AF35&amp;""""&amp;Dashboard!$L$1&amp;""""))/100),IF(AF35=Dashboard!$L$1,AS35,AS35*GOOGLEFINANCE(""CURRENCY:""&amp;AF35&amp;""""&amp;Dashboard!$L$1&amp;""""))),"&amp;"AS35))"),"")</f>
        <v/>
      </c>
      <c r="R35" s="178" t="str">
        <f t="shared" si="7"/>
        <v/>
      </c>
      <c r="S35" s="50" t="str">
        <f>IFERROR(__xludf.DUMMYFUNCTION("IF(ISBLANK(B35),"""",IFERROR((GOOGLEFINANCE(B35,""price"")/INDEX(GOOGLEFINANCE(B35,""price"",DATEVALUE(TODAY()-$S$2) ),2,2)-1),""""))"),"")</f>
        <v/>
      </c>
      <c r="U35" s="50" t="str">
        <f>IFERROR(__xludf.DUMMYFUNCTION("IF(ISBLANK(B35),"""",IFERROR((GOOGLEFINANCE($U$2,""price"")/INDEX(GOOGLEFINANCE($U$2,""price"",DATEVALUE(TODAY()-$S$2) ),2,2)-1),""""))"),"")</f>
        <v/>
      </c>
      <c r="W35" s="50" t="str">
        <f t="shared" si="8"/>
        <v/>
      </c>
      <c r="X35" s="50" t="str">
        <f t="shared" si="9"/>
        <v/>
      </c>
      <c r="Y35" s="179">
        <v>0.0</v>
      </c>
      <c r="Z35" s="50" t="str">
        <f t="shared" si="10"/>
        <v/>
      </c>
      <c r="AA35" s="14" t="str">
        <f t="shared" si="11"/>
        <v/>
      </c>
      <c r="AB35" s="50" t="str">
        <f t="shared" si="12"/>
        <v/>
      </c>
      <c r="AC35" s="179" t="str">
        <f t="shared" si="13"/>
        <v/>
      </c>
      <c r="AD35" s="50" t="str">
        <f t="shared" si="14"/>
        <v/>
      </c>
      <c r="AE35" s="180" t="str">
        <f t="shared" si="15"/>
        <v/>
      </c>
      <c r="AF35" s="14" t="str">
        <f t="array" ref="AF35">IFERROR(IF(ISBLANK(AH35),"",IF(VLOOKUP(AH35,Transactions!D:F,3,0)="Stablecoin",AH35,INDEX(Transactions!$B$3:$B149,MATCH(AH35,Transactions!$D$3:$D149,0),0))))</f>
        <v/>
      </c>
      <c r="AG35" s="14" t="str">
        <f>IF(ISBLANK(AH35),"",VLOOKUP(AH35,Transactions!D:E,2,0))</f>
        <v/>
      </c>
      <c r="AH35" s="14"/>
      <c r="AI35" s="146" t="str">
        <f>IF(ISBLANK(AH35),"",IF(
SUMIFS(Transactions!$I$3:$I149,Transactions!$H$3:$H149,"Buy",Transactions!$F$3:$F149,"Stock",Transactions!$D$3:$D149,AH35)
+SUMIFS(Transactions!$I$3:$I149,Transactions!$H$3:$H149,"DRIP",Transactions!$F$3:$F149,"Stock",Transactions!$D$3:$D149,AH35)
+SUMIFS(Transactions!$I$3:$I149,Transactions!$H$3:$H149,"Transfer Deposit",Transactions!$F$3:$F149,"Stock",Transactions!$D$3:$D149,AH35)
+SUMIFS(Transactions!$I$3:$I149,Transactions!$H$3:$H149,"Buy",Transactions!$F$3:$F149,"ETF",Transactions!$D$3:$D149,AH35)
+SUMIFS(Transactions!$I$3:$I149,Transactions!$H$3:$H149,"DRIP",Transactions!$F$3:$F149,"ETF",Transactions!$D$3:$D149,AH35)
+SUMIFS(Transactions!$I$3:$I149,Transactions!$H$3:$H149,"Transfer Deposit",Transactions!$F$3:$F149,"ETF",Transactions!$D$3:$D149,AH35)
+SUMIFS(Transactions!$I$3:$I149,Transactions!$H$3:$H149,"Buy",Transactions!$F$3:$F149,"Commodity",Transactions!$D$3:$D149,AH35)
+SUMIFS(Transactions!$I$3:$I149,Transactions!$H$3:$H149,"DRIP",Transactions!$F$3:$F149,"Commodity",Transactions!$D$3:$D149,AH35)
+SUMIFS(Transactions!$I$3:$I149,Transactions!$H$3:$H149,"Transfer Deposit",Transactions!$F$3:$F149,"Commodity",Transactions!$D$3:$D149,AH35)
+SUMIFS(Transactions!$I$3:$I149,Transactions!$H$3:$H149,"Buy",Transactions!$F$3:$F149,"Managed Fund",Transactions!$D$3:$D149,AH35)
+SUMIFS(Transactions!$I$3:$I149,Transactions!$H$3:$H149,"DRIP",Transactions!$F$3:$F149,"Managed Fund",Transactions!$D$3:$D149,AH35)
+SUMIFS(Transactions!$I$3:$I149,Transactions!$H$3:$H149,"Transfer Deposit",Transactions!$F$3:$F149,"Managed Fund",Transactions!$D$3:$D149,AH35)
+SUMIFS(Transactions!$I$3:$I149,Transactions!$H$3:$H149,"Buy",Transactions!$F$3:$F149,"REIT",Transactions!$D$3:$D149,AH35)
+SUMIFS(Transactions!$I$3:$I149,Transactions!$H$3:$H149,"DRIP",Transactions!$F$3:$F149,"REIT",Transactions!$D$3:$D149,AH35)
+SUMIFS(Transactions!$I$3:$I149,Transactions!$H$3:$H149,"Transfer Deposit",Transactions!$F$3:$F149,"REIT",Transactions!$D$3:$D149,AH35)
-SUMIFS(Transactions!$I$3:$I149,Transactions!$H$3:$H149,"Sell",Transactions!$F$3:$F149,"Stock",Transactions!$D$3:$D149,AH35)
-SUMIFS(Transactions!$I$3:$I149,Transactions!$H$3:$H149,"Transfer Send",Transactions!$F$3:$F149,"Stock",Transactions!$D$3:$D149,AH35)
-SUMIFS(Transactions!$I$3:$I149,Transactions!$H$3:$H149,"Sell",Transactions!$F$3:$F149,"ETF",Transactions!$D$3:$D149,AH35)
-SUMIFS(Transactions!$I$3:$I149,Transactions!$H$3:$H149,"Transfer Send",Transactions!$F$3:$F149,"ETF",Transactions!$D$3:$D149,AH35)
-SUMIFS(Transactions!$I$3:$I149,Transactions!$H$3:$H149,"Sell",Transactions!$F$3:$F149,"Commodity",Transactions!$D$3:$D149,AH35)
-SUMIFS(Transactions!$I$3:$I149,Transactions!$H$3:$H149,"Transfer Send",Transactions!$F$3:$F149,"Commodity",Transactions!$D$3:$D149,AH35)
-SUMIFS(Transactions!$I$3:$I149,Transactions!$H$3:$H149,"Sell",Transactions!$F$3:$F149,"Managed Fund",Transactions!$D$3:$D149,AH35)
-SUMIFS(Transactions!$I$3:$I149,Transactions!$H$3:$H149,"Transfer Send",Transactions!$F$3:$F149,"Managed Fund",Transactions!$D$3:$D149,AH35)
-SUMIFS(Transactions!$I$3:$I149,Transactions!$H$3:$H149,"Sell",Transactions!$F$3:$F149,"REIT",Transactions!$D$3:$D149,AH35)
-SUMIFS(Transactions!$I$3:$I149,Transactions!$H$3:$H149,"Transfer Send",Transactions!$F$3:$F149,"REIT",Transactions!$D$3:$D149,AH35)
+SUMIFS(Transactions!$I$3:$I149,Transactions!$H$3:$H149,"Buy",Transactions!$F$3:$F149,"Crypto",Transactions!$D$3:$D149,AH35)
+SUMIFS(Transactions!$I$3:$I149,Transactions!$H$3:$H149,"Crypto Interest",Transactions!$F$3:$F149,"Crypto",Transactions!$D$3:$D149,AH35)
+SUMIFS(Transactions!$I$3:$I149,Transactions!$H$3:$H149,"Transfer Deposit",Transactions!$F$3:$F149,"Crypto",Transactions!$D$3:$D149,AH35)
-SUMIFS(Transactions!$I$3:$I149,Transactions!$H$3:$H149,"Transfer Send",Transactions!$F$3:$F149,"Crypto",Transactions!$D$3:$D149,AH35)
-SUMIFS(Transactions!$I$3:$I149,Transactions!$H$3:$H149,"Sell",Transactions!$F$3:$F149,"Crypto",Transactions!$D$3:$D149,AH35)
+SUMIFS(Transactions!$I$3:$I149,Transactions!$H$3:$H149,"Buy",Transactions!$F$3:$F149,"Stablecoin",Transactions!$D$3:$D149,AH35)
+SUMIFS(Transactions!$I$3:$I149,Transactions!$H$3:$H149,"Crypto Interest",Transactions!$F$3:$F149,"Stablecoin",Transactions!$D$3:$D149,AH35)
+SUMIFS(Transactions!$I$3:$I149,Transactions!$H$3:$H149,"Transfer Deposit",Transactions!$F$3:$F149,"Stablecoin",Transactions!$D$3:$D149,AH35)
-SUMIFS(Transactions!$I$3:$I149,Transactions!$H$3:$H149,"Transfer Send",Transactions!$F$3:$F149,"Stablecoin",Transactions!$D$3:$D149,AH35)
-SUMIFS(Transactions!$I$3:$I149,Transactions!$H$3:$H149,"Sell",Transactions!$F$3:$F149,"Stablecoin",Transactions!$D$3:$D149,AH35)
-SUMIFS(Transactions!$M$3:$M149,Transactions!$H$3:$H149,"Buy",Transactions!$B$3:$B149,AH35)=0,"Sold All",
SUMIFS(Transactions!$I$3:$I149,Transactions!$H$3:$H149,"Buy",Transactions!$F$3:$F149,"Stock",Transactions!$D$3:$D149,AH35)
+SUMIFS(Transactions!$I$3:$I149,Transactions!$H$3:$H149,"DRIP",Transactions!$F$3:$F149,"Stock",Transactions!$D$3:$D149,AH35)
+SUMIFS(Transactions!$I$3:$I149,Transactions!$H$3:$H149,"Transfer Deposit",Transactions!$F$3:$F149,"Stock",Transactions!$D$3:$D149,AH35)
+SUMIFS(Transactions!$I$3:$I149,Transactions!$H$3:$H149,"Buy",Transactions!$F$3:$F149,"ETF",Transactions!$D$3:$D149,AH35)
+SUMIFS(Transactions!$I$3:$I149,Transactions!$H$3:$H149,"DRIP",Transactions!$F$3:$F149,"ETF",Transactions!$D$3:$D149,AH35)
+SUMIFS(Transactions!$I$3:$I149,Transactions!$H$3:$H149,"Transfer Deposit",Transactions!$F$3:$F149,"ETF",Transactions!$D$3:$D149,AH35)
+SUMIFS(Transactions!$I$3:$I149,Transactions!$H$3:$H149,"Buy",Transactions!$F$3:$F149,"Commodity",Transactions!$D$3:$D149,AH35)
+SUMIFS(Transactions!$I$3:$I149,Transactions!$H$3:$H149,"DRIP",Transactions!$F$3:$F149,"Commodity",Transactions!$D$3:$D149,AH35)
+SUMIFS(Transactions!$I$3:$I149,Transactions!$H$3:$H149,"Transfer Deposit",Transactions!$F$3:$F149,"Commodity",Transactions!$D$3:$D149,AH35)
+SUMIFS(Transactions!$I$3:$I149,Transactions!$H$3:$H149,"Buy",Transactions!$F$3:$F149,"Managed Fund",Transactions!$D$3:$D149,AH35)
+SUMIFS(Transactions!$I$3:$I149,Transactions!$H$3:$H149,"DRIP",Transactions!$F$3:$F149,"Managed Fund",Transactions!$D$3:$D149,AH35)
+SUMIFS(Transactions!$I$3:$I149,Transactions!$H$3:$H149,"Transfer Deposit",Transactions!$F$3:$F149,"Managed Fund",Transactions!$D$3:$D149,AH35)
+SUMIFS(Transactions!$I$3:$I149,Transactions!$H$3:$H149,"Buy",Transactions!$F$3:$F149,"REIT",Transactions!$D$3:$D149,AH35)
+SUMIFS(Transactions!$I$3:$I149,Transactions!$H$3:$H149,"DRIP",Transactions!$F$3:$F149,"REIT",Transactions!$D$3:$D149,AH35)
+SUMIFS(Transactions!$I$3:$I149,Transactions!$H$3:$H149,"Transfer Deposit",Transactions!$F$3:$F149,"REIT",Transactions!$D$3:$D149,AH35)
-SUMIFS(Transactions!$I$3:$I149,Transactions!$H$3:$H149,"Sell",Transactions!$F$3:$F149,"Stock",Transactions!$D$3:$D149,AH35)
-SUMIFS(Transactions!$I$3:$I149,Transactions!$H$3:$H149,"Transfer Send",Transactions!$F$3:$F149,"Stock",Transactions!$D$3:$D149,AH35)
-SUMIFS(Transactions!$I$3:$I149,Transactions!$H$3:$H149,"Sell",Transactions!$F$3:$F149,"ETF",Transactions!$D$3:$D149,AH35)
-SUMIFS(Transactions!$I$3:$I149,Transactions!$H$3:$H149,"Transfer Send",Transactions!$F$3:$F149,"ETF",Transactions!$D$3:$D149,AH35)
-SUMIFS(Transactions!$I$3:$I149,Transactions!$H$3:$H149,"Sell",Transactions!$F$3:$F149,"Commodity",Transactions!$D$3:$D149,AH35)
-SUMIFS(Transactions!$I$3:$I149,Transactions!$H$3:$H149,"Transfer Send",Transactions!$F$3:$F149,"Commodity",Transactions!$D$3:$D149,AH35)
-SUMIFS(Transactions!$I$3:$I149,Transactions!$H$3:$H149,"Sell",Transactions!$F$3:$F149,"Managed Fund",Transactions!$D$3:$D149,AH35)
-SUMIFS(Transactions!$I$3:$I149,Transactions!$H$3:$H149,"Transfer Send",Transactions!$F$3:$F149,"Managed Fund",Transactions!$D$3:$D149,AH35)
-SUMIFS(Transactions!$I$3:$I149,Transactions!$H$3:$H149,"Sell",Transactions!$F$3:$F149,"REIT",Transactions!$D$3:$D149,AH35)
-SUMIFS(Transactions!$I$3:$I149,Transactions!$H$3:$H149,"Transfer Send",Transactions!$F$3:$F149,"REIT",Transactions!$D$3:$D149,AH35)
+SUMIFS(Transactions!$I$3:$I149,Transactions!$H$3:$H149,"Buy",Transactions!$F$3:$F149,"Crypto",Transactions!$D$3:$D149,AH35)
+SUMIFS(Transactions!$I$3:$I149,Transactions!$H$3:$H149,"Crypto Interest",Transactions!$F$3:$F149,"Crypto",Transactions!$D$3:$D149,AH35)
+SUMIFS(Transactions!$I$3:$I149,Transactions!$H$3:$H149,"Transfer Deposit",Transactions!$F$3:$F149,"Crypto",Transactions!$D$3:$D149,AH35)
-SUMIFS(Transactions!$I$3:$I149,Transactions!$H$3:$H149,"Transfer Send",Transactions!$F$3:$F149,"Crypto",Transactions!$D$3:$D149,AH35)
-SUMIFS(Transactions!$I$3:$I149,Transactions!$H$3:$H149,"Sell",Transactions!$F$3:$F149,"Crypto",Transactions!$D$3:$D149,AH35)
+SUMIFS(Transactions!$I$3:$I149,Transactions!$H$3:$H149,"Buy",Transactions!$F$3:$F149,"Stablecoin",Transactions!$D$3:$D149,AH35)
+SUMIFS(Transactions!$I$3:$I149,Transactions!$H$3:$H149,"Crypto Interest",Transactions!$F$3:$F149,"Stablecoin",Transactions!$D$3:$D149,AH35)
+SUMIFS(Transactions!$I$3:$I149,Transactions!$H$3:$H149,"Transfer Deposit",Transactions!$F$3:$F149,"Stablecoin",Transactions!$D$3:$D149,AH35)
-SUMIFS(Transactions!$I$3:$I149,Transactions!$H$3:$H149,"Transfer Send",Transactions!$F$3:$F149,"Stablecoin",Transactions!$D$3:$D149,AH35)
-SUMIFS(Transactions!$I$3:$I149,Transactions!$H$3:$H149,"Sell",Transactions!$F$3:$F149,"Stablecoin",Transactions!$D$3:$D149,AH35)
-SUMIFS(Transactions!$M$3:$M149,Transactions!$H$3:$H149,"Buy",Transactions!$B$3:$B149,AH35)))</f>
        <v/>
      </c>
      <c r="AJ35" s="181" t="str">
        <f>IFERROR(__xludf.DUMMYFUNCTION("IF(ISBLANK(AH35),"""",VLOOKUP(9^99,FILTER({ROW(Transactions!P:P),Transactions!P:P},Transactions!D:D=AH35),2))"),"")</f>
        <v/>
      </c>
      <c r="AK35" s="181" t="str">
        <f>IFERROR(__xludf.DUMMYFUNCTION("IF(ISBLANK(AH35),"""",IFERROR(GOOGLEFINANCE(AH35,""price""),IFERROR(GOOGLEFINANCE(""CURRENCY:""&amp;AH35&amp;""""),IFERROR(INDEX(YAHOO_STOCK(TRIM(AH35), $G$2),0,1),INDEX(IMPORTHTML(CONCAT(""https://coinmarketcap.com/currencies/"",AG35),""table"",1),1,2)))))"),"")</f>
        <v/>
      </c>
      <c r="AL35" s="14" t="str">
        <f>IFERROR(__xludf.DUMMYFUNCTION("IF(ISBLANK(AH35),"""",IFERROR(SPARKLINE(INDEX(GOOGLEFINANCE(AH35,""price"",TODAY()-$AL$2,TODAY()),,2),{""charttype"",""column"";""color"",""17a7e0""}),""""))"),"")</f>
        <v/>
      </c>
      <c r="AM35" s="50" t="str">
        <f>IFERROR(__xludf.DUMMYFUNCTION("IFNA(IFERROR(IF(AH35="""","""",GOOGLEFINANCE(AH35,""changepct"")/100),(GOOGLEFINANCE(AH35)-(INDEX(GOOGLEFINANCE(""CURRENCY:""&amp;AH35&amp;"""",""price"",TODAY()-1),2,2)))/(INDEX(GOOGLEFINANCE(""CURRENCY:""&amp;AH35&amp;"""",""price"",TODAY()-1),2,2))),)"),"")</f>
        <v/>
      </c>
      <c r="AN35" s="96" t="str">
        <f>IFERROR(__xludf.DUMMYFUNCTION("IFNA(IFERROR(IF(AH35="""","""",GOOGLEFINANCE(AH35,""change"")*AI35),(GOOGLEFINANCE(AH35)-(INDEX(GOOGLEFINANCE(""CURRENCY:""&amp;AH35&amp;"""",""price"",TODAY()-1),2,2)))*AI35),"""")"),"")</f>
        <v/>
      </c>
      <c r="AO35" s="96" t="str">
        <f>IF(ISBLANK(AH35),"",IFERROR(((AI35-SUMIFS(Transactions!I:I,Transactions!H:H,"Crypto Interest",Transactions!D:D,AH35))*AJ35),""))</f>
        <v/>
      </c>
      <c r="AP35" s="96" t="str">
        <f t="shared" si="16"/>
        <v/>
      </c>
      <c r="AQ35" s="50" t="str">
        <f t="shared" si="17"/>
        <v/>
      </c>
      <c r="AR35" s="96" t="str">
        <f t="shared" si="18"/>
        <v/>
      </c>
      <c r="AS35" s="96" t="str">
        <f>IF(ISBLANK(AH35),"",SUMIFS(Transactions!$X$3:$X149,Transactions!$H$3:$H149,"Sell",Transactions!$D$3:$D149,AH35))</f>
        <v/>
      </c>
      <c r="AT35" s="96" t="str">
        <f t="shared" si="19"/>
        <v/>
      </c>
      <c r="AU35" s="50" t="str">
        <f>IFERROR(__xludf.DUMMYFUNCTION("IF(ISBLANK(AH35),"""",IFERROR((GOOGLEFINANCE(AH35,""price"")/INDEX(GOOGLEFINANCE(AH35,""price"",DATEVALUE(TODAY()-$AU$2) ),2,2)-1),""""))"),"")</f>
        <v/>
      </c>
      <c r="AW35" s="50" t="str">
        <f>IFERROR(__xludf.DUMMYFUNCTION("IF(ISBLANK(AH35),"""",IFERROR((GOOGLEFINANCE($AW$2,""price"")/INDEX(GOOGLEFINANCE($AW$2,""price"",DATEVALUE(TODAY()-$AU$2) ),2,2)-1),""""))"),"")</f>
        <v/>
      </c>
      <c r="AY35" s="50" t="str">
        <f t="shared" si="20"/>
        <v/>
      </c>
      <c r="AZ35" s="50" t="str">
        <f t="shared" si="21"/>
        <v/>
      </c>
      <c r="BA35" s="50">
        <f t="shared" si="22"/>
        <v>0</v>
      </c>
      <c r="BB35" s="14" t="str">
        <f t="shared" si="23"/>
        <v/>
      </c>
      <c r="BC35" s="14" t="str">
        <f>IF(ISBLANK(AH35),"",IFERROR(VLOOKUP(AH35,Transactions!D:F,3,0)))</f>
        <v/>
      </c>
      <c r="BD35" s="50" t="str">
        <f t="shared" si="24"/>
        <v/>
      </c>
      <c r="BE35" s="50" t="str">
        <f t="shared" si="25"/>
        <v/>
      </c>
      <c r="BF35" s="14" t="str">
        <f t="shared" si="26"/>
        <v/>
      </c>
      <c r="BG35" s="180" t="str">
        <f>IF(ISBLANK(AH35),"",IFERROR(VLOOKUP(AH35,Transactions!D:G,4,0)))</f>
        <v/>
      </c>
    </row>
    <row r="36">
      <c r="A36" s="14" t="str">
        <f t="shared" ref="A36:C36" si="58">AG36</f>
        <v/>
      </c>
      <c r="B36" s="14" t="str">
        <f t="shared" si="58"/>
        <v/>
      </c>
      <c r="C36" s="175" t="str">
        <f t="shared" si="58"/>
        <v/>
      </c>
      <c r="D36" s="176" t="str">
        <f>IFERROR(__xludf.DUMMYFUNCTION("IF(ISBLANK(B36),"""",IFERROR(IF(OR(AF36=""GPB"",AF36=""ZAR""),IF(AF36=Dashboard!$L$1,AJ36,(AJ36*GOOGLEFINANCE(""CURRENCY:""&amp;AF36&amp;""""&amp;Dashboard!$L$1&amp;""""))/100),IF(AF36=Dashboard!$L$1,AJ36,AJ36*GOOGLEFINANCE(""CURRENCY:""&amp;AF36&amp;""""&amp;Dashboard!$L$1&amp;""""))),"&amp;"AJ36))"),"")</f>
        <v/>
      </c>
      <c r="E36" s="177" t="str">
        <f>IFERROR(__xludf.DUMMYFUNCTION("IFERROR(IF(OR(AF36=""GBP"",AF36=""ZAR""),IF(B36="""","""",IF(AF36=Dashboard!$L$1,AK36,AK36*GOOGLEFINANCE(""CURRENCY:""&amp;AF36&amp;""""&amp;Dashboard!$L$1&amp;"""")))/100,If(B36="""","""",IF(AF36=Dashboard!$L$1,AK36,AK36*GOOGLEFINANCE(""CURRENCY:""&amp;AF36&amp;""""&amp;Dashboard!$"&amp;"L$1&amp;"""")))),AK36)"),"")</f>
        <v/>
      </c>
      <c r="F36" s="145">
        <f>IFERROR(__xludf.DUMMYFUNCTION(" E36 * GOOGLEFINANCE(""CURRENCY:USDEUR"") "),0.0)</f>
        <v>0</v>
      </c>
      <c r="G36" s="96" t="str">
        <f>IFERROR(__xludf.DUMMYFUNCTION("IF(ISBLANK(B36),"""",IFERROR(SPARKLINE(INDEX(GOOGLEFINANCE(B36,""price"",TODAY()-$G$2,TODAY()),,2),{""charttype"",""column"";""color"",""17a7e0""}),""""))"),"")</f>
        <v/>
      </c>
      <c r="H36" s="50" t="str">
        <f t="shared" si="3"/>
        <v/>
      </c>
      <c r="I36" s="96" t="str">
        <f>IFERROR(__xludf.DUMMYFUNCTION("IF(ISBLANK(B36),"""",IFERROR(IF(OR(AF36=""GPB"",AF36=""ZAR""),IF(AF36=Dashboard!$L$1,AN36,(AN36*GOOGLEFINANCE(""CURRENCY:""&amp;AF36&amp;""""&amp;Dashboard!$L$1&amp;""""))/100),IF(AF36=Dashboard!$L$1,AN36,AN36*GOOGLEFINANCE(""CURRENCY:""&amp;AF36&amp;""""&amp;Dashboard!$L$1&amp;""""))),"&amp;"AN36))"),"")</f>
        <v/>
      </c>
      <c r="J36" s="178" t="str">
        <f>IF(ISBLANK(B36),"",IFERROR(((C36-SUMIFS(Transactions!I:I,Transactions!H:H,"Crypto Interest",Transactions!D:D,B36))*D36),""))</f>
        <v/>
      </c>
      <c r="K36" s="178" t="str">
        <f t="shared" si="4"/>
        <v/>
      </c>
      <c r="L36" s="145">
        <f>-SUMIFS(Transactions!$M$3:$M149,Transactions!$H$3:$H149,"Buy",Transactions!$D$3:$D149,B36)</f>
        <v>0</v>
      </c>
      <c r="M36" s="145">
        <f>IF(ISBLANK(AG36),"",SUMIFS(Transactions!$M$3:$M149,Transactions!$H$3:$H149,"Dividend",Transactions!$D$3:$D149,B36))</f>
        <v>0</v>
      </c>
      <c r="N36" s="145" t="str">
        <f>IF(ISBLANK(AH36),"",SUMIFS(Transactions!$M$3:$M149,Transactions!$H$3:$H149,"Sell",Transactions!$D$3:$D149,B36))</f>
        <v/>
      </c>
      <c r="O36" s="50" t="str">
        <f t="shared" si="5"/>
        <v/>
      </c>
      <c r="P36" s="178" t="str">
        <f t="shared" si="6"/>
        <v/>
      </c>
      <c r="Q36" s="178" t="str">
        <f>IFERROR(__xludf.DUMMYFUNCTION("IF(ISBLANK(B36),"""",IFERROR(IF(OR(AF36=""GPB"",AF36=""ZAR""),IF(AF36=Dashboard!$L$1,AS36,(AS36*GOOGLEFINANCE(""CURRENCY:""&amp;AF36&amp;""""&amp;Dashboard!$L$1&amp;""""))/100),IF(AF36=Dashboard!$L$1,AS36,AS36*GOOGLEFINANCE(""CURRENCY:""&amp;AF36&amp;""""&amp;Dashboard!$L$1&amp;""""))),"&amp;"AS36))"),"")</f>
        <v/>
      </c>
      <c r="R36" s="178" t="str">
        <f t="shared" si="7"/>
        <v/>
      </c>
      <c r="S36" s="50" t="str">
        <f>IFERROR(__xludf.DUMMYFUNCTION("IF(ISBLANK(B36),"""",IFERROR((GOOGLEFINANCE(B36,""price"")/INDEX(GOOGLEFINANCE(B36,""price"",DATEVALUE(TODAY()-$S$2) ),2,2)-1),""""))"),"")</f>
        <v/>
      </c>
      <c r="U36" s="50" t="str">
        <f>IFERROR(__xludf.DUMMYFUNCTION("IF(ISBLANK(B36),"""",IFERROR((GOOGLEFINANCE($U$2,""price"")/INDEX(GOOGLEFINANCE($U$2,""price"",DATEVALUE(TODAY()-$S$2) ),2,2)-1),""""))"),"")</f>
        <v/>
      </c>
      <c r="W36" s="50" t="str">
        <f t="shared" si="8"/>
        <v/>
      </c>
      <c r="X36" s="50" t="str">
        <f t="shared" si="9"/>
        <v/>
      </c>
      <c r="Y36" s="179">
        <v>0.0</v>
      </c>
      <c r="Z36" s="50" t="str">
        <f t="shared" si="10"/>
        <v/>
      </c>
      <c r="AA36" s="14" t="str">
        <f t="shared" si="11"/>
        <v/>
      </c>
      <c r="AB36" s="50" t="str">
        <f t="shared" si="12"/>
        <v/>
      </c>
      <c r="AC36" s="179" t="str">
        <f t="shared" si="13"/>
        <v/>
      </c>
      <c r="AD36" s="50" t="str">
        <f t="shared" si="14"/>
        <v/>
      </c>
      <c r="AE36" s="180" t="str">
        <f t="shared" si="15"/>
        <v/>
      </c>
      <c r="AF36" s="14" t="str">
        <f t="array" ref="AF36">IFERROR(IF(ISBLANK(AH36),"",IF(VLOOKUP(AH36,Transactions!D:F,3,0)="Stablecoin",AH36,INDEX(Transactions!$B$3:$B149,MATCH(AH36,Transactions!$D$3:$D149,0),0))))</f>
        <v/>
      </c>
      <c r="AG36" s="14" t="str">
        <f>IF(ISBLANK(AH36),"",VLOOKUP(AH36,Transactions!D:E,2,0))</f>
        <v/>
      </c>
      <c r="AH36" s="14"/>
      <c r="AI36" s="146" t="str">
        <f>IF(ISBLANK(AH36),"",IF(
SUMIFS(Transactions!$I$3:$I149,Transactions!$H$3:$H149,"Buy",Transactions!$F$3:$F149,"Stock",Transactions!$D$3:$D149,AH36)
+SUMIFS(Transactions!$I$3:$I149,Transactions!$H$3:$H149,"DRIP",Transactions!$F$3:$F149,"Stock",Transactions!$D$3:$D149,AH36)
+SUMIFS(Transactions!$I$3:$I149,Transactions!$H$3:$H149,"Transfer Deposit",Transactions!$F$3:$F149,"Stock",Transactions!$D$3:$D149,AH36)
+SUMIFS(Transactions!$I$3:$I149,Transactions!$H$3:$H149,"Buy",Transactions!$F$3:$F149,"ETF",Transactions!$D$3:$D149,AH36)
+SUMIFS(Transactions!$I$3:$I149,Transactions!$H$3:$H149,"DRIP",Transactions!$F$3:$F149,"ETF",Transactions!$D$3:$D149,AH36)
+SUMIFS(Transactions!$I$3:$I149,Transactions!$H$3:$H149,"Transfer Deposit",Transactions!$F$3:$F149,"ETF",Transactions!$D$3:$D149,AH36)
+SUMIFS(Transactions!$I$3:$I149,Transactions!$H$3:$H149,"Buy",Transactions!$F$3:$F149,"Commodity",Transactions!$D$3:$D149,AH36)
+SUMIFS(Transactions!$I$3:$I149,Transactions!$H$3:$H149,"DRIP",Transactions!$F$3:$F149,"Commodity",Transactions!$D$3:$D149,AH36)
+SUMIFS(Transactions!$I$3:$I149,Transactions!$H$3:$H149,"Transfer Deposit",Transactions!$F$3:$F149,"Commodity",Transactions!$D$3:$D149,AH36)
+SUMIFS(Transactions!$I$3:$I149,Transactions!$H$3:$H149,"Buy",Transactions!$F$3:$F149,"Managed Fund",Transactions!$D$3:$D149,AH36)
+SUMIFS(Transactions!$I$3:$I149,Transactions!$H$3:$H149,"DRIP",Transactions!$F$3:$F149,"Managed Fund",Transactions!$D$3:$D149,AH36)
+SUMIFS(Transactions!$I$3:$I149,Transactions!$H$3:$H149,"Transfer Deposit",Transactions!$F$3:$F149,"Managed Fund",Transactions!$D$3:$D149,AH36)
+SUMIFS(Transactions!$I$3:$I149,Transactions!$H$3:$H149,"Buy",Transactions!$F$3:$F149,"REIT",Transactions!$D$3:$D149,AH36)
+SUMIFS(Transactions!$I$3:$I149,Transactions!$H$3:$H149,"DRIP",Transactions!$F$3:$F149,"REIT",Transactions!$D$3:$D149,AH36)
+SUMIFS(Transactions!$I$3:$I149,Transactions!$H$3:$H149,"Transfer Deposit",Transactions!$F$3:$F149,"REIT",Transactions!$D$3:$D149,AH36)
-SUMIFS(Transactions!$I$3:$I149,Transactions!$H$3:$H149,"Sell",Transactions!$F$3:$F149,"Stock",Transactions!$D$3:$D149,AH36)
-SUMIFS(Transactions!$I$3:$I149,Transactions!$H$3:$H149,"Transfer Send",Transactions!$F$3:$F149,"Stock",Transactions!$D$3:$D149,AH36)
-SUMIFS(Transactions!$I$3:$I149,Transactions!$H$3:$H149,"Sell",Transactions!$F$3:$F149,"ETF",Transactions!$D$3:$D149,AH36)
-SUMIFS(Transactions!$I$3:$I149,Transactions!$H$3:$H149,"Transfer Send",Transactions!$F$3:$F149,"ETF",Transactions!$D$3:$D149,AH36)
-SUMIFS(Transactions!$I$3:$I149,Transactions!$H$3:$H149,"Sell",Transactions!$F$3:$F149,"Commodity",Transactions!$D$3:$D149,AH36)
-SUMIFS(Transactions!$I$3:$I149,Transactions!$H$3:$H149,"Transfer Send",Transactions!$F$3:$F149,"Commodity",Transactions!$D$3:$D149,AH36)
-SUMIFS(Transactions!$I$3:$I149,Transactions!$H$3:$H149,"Sell",Transactions!$F$3:$F149,"Managed Fund",Transactions!$D$3:$D149,AH36)
-SUMIFS(Transactions!$I$3:$I149,Transactions!$H$3:$H149,"Transfer Send",Transactions!$F$3:$F149,"Managed Fund",Transactions!$D$3:$D149,AH36)
-SUMIFS(Transactions!$I$3:$I149,Transactions!$H$3:$H149,"Sell",Transactions!$F$3:$F149,"REIT",Transactions!$D$3:$D149,AH36)
-SUMIFS(Transactions!$I$3:$I149,Transactions!$H$3:$H149,"Transfer Send",Transactions!$F$3:$F149,"REIT",Transactions!$D$3:$D149,AH36)
+SUMIFS(Transactions!$I$3:$I149,Transactions!$H$3:$H149,"Buy",Transactions!$F$3:$F149,"Crypto",Transactions!$D$3:$D149,AH36)
+SUMIFS(Transactions!$I$3:$I149,Transactions!$H$3:$H149,"Crypto Interest",Transactions!$F$3:$F149,"Crypto",Transactions!$D$3:$D149,AH36)
+SUMIFS(Transactions!$I$3:$I149,Transactions!$H$3:$H149,"Transfer Deposit",Transactions!$F$3:$F149,"Crypto",Transactions!$D$3:$D149,AH36)
-SUMIFS(Transactions!$I$3:$I149,Transactions!$H$3:$H149,"Transfer Send",Transactions!$F$3:$F149,"Crypto",Transactions!$D$3:$D149,AH36)
-SUMIFS(Transactions!$I$3:$I149,Transactions!$H$3:$H149,"Sell",Transactions!$F$3:$F149,"Crypto",Transactions!$D$3:$D149,AH36)
+SUMIFS(Transactions!$I$3:$I149,Transactions!$H$3:$H149,"Buy",Transactions!$F$3:$F149,"Stablecoin",Transactions!$D$3:$D149,AH36)
+SUMIFS(Transactions!$I$3:$I149,Transactions!$H$3:$H149,"Crypto Interest",Transactions!$F$3:$F149,"Stablecoin",Transactions!$D$3:$D149,AH36)
+SUMIFS(Transactions!$I$3:$I149,Transactions!$H$3:$H149,"Transfer Deposit",Transactions!$F$3:$F149,"Stablecoin",Transactions!$D$3:$D149,AH36)
-SUMIFS(Transactions!$I$3:$I149,Transactions!$H$3:$H149,"Transfer Send",Transactions!$F$3:$F149,"Stablecoin",Transactions!$D$3:$D149,AH36)
-SUMIFS(Transactions!$I$3:$I149,Transactions!$H$3:$H149,"Sell",Transactions!$F$3:$F149,"Stablecoin",Transactions!$D$3:$D149,AH36)
-SUMIFS(Transactions!$M$3:$M149,Transactions!$H$3:$H149,"Buy",Transactions!$B$3:$B149,AH36)=0,"Sold All",
SUMIFS(Transactions!$I$3:$I149,Transactions!$H$3:$H149,"Buy",Transactions!$F$3:$F149,"Stock",Transactions!$D$3:$D149,AH36)
+SUMIFS(Transactions!$I$3:$I149,Transactions!$H$3:$H149,"DRIP",Transactions!$F$3:$F149,"Stock",Transactions!$D$3:$D149,AH36)
+SUMIFS(Transactions!$I$3:$I149,Transactions!$H$3:$H149,"Transfer Deposit",Transactions!$F$3:$F149,"Stock",Transactions!$D$3:$D149,AH36)
+SUMIFS(Transactions!$I$3:$I149,Transactions!$H$3:$H149,"Buy",Transactions!$F$3:$F149,"ETF",Transactions!$D$3:$D149,AH36)
+SUMIFS(Transactions!$I$3:$I149,Transactions!$H$3:$H149,"DRIP",Transactions!$F$3:$F149,"ETF",Transactions!$D$3:$D149,AH36)
+SUMIFS(Transactions!$I$3:$I149,Transactions!$H$3:$H149,"Transfer Deposit",Transactions!$F$3:$F149,"ETF",Transactions!$D$3:$D149,AH36)
+SUMIFS(Transactions!$I$3:$I149,Transactions!$H$3:$H149,"Buy",Transactions!$F$3:$F149,"Commodity",Transactions!$D$3:$D149,AH36)
+SUMIFS(Transactions!$I$3:$I149,Transactions!$H$3:$H149,"DRIP",Transactions!$F$3:$F149,"Commodity",Transactions!$D$3:$D149,AH36)
+SUMIFS(Transactions!$I$3:$I149,Transactions!$H$3:$H149,"Transfer Deposit",Transactions!$F$3:$F149,"Commodity",Transactions!$D$3:$D149,AH36)
+SUMIFS(Transactions!$I$3:$I149,Transactions!$H$3:$H149,"Buy",Transactions!$F$3:$F149,"Managed Fund",Transactions!$D$3:$D149,AH36)
+SUMIFS(Transactions!$I$3:$I149,Transactions!$H$3:$H149,"DRIP",Transactions!$F$3:$F149,"Managed Fund",Transactions!$D$3:$D149,AH36)
+SUMIFS(Transactions!$I$3:$I149,Transactions!$H$3:$H149,"Transfer Deposit",Transactions!$F$3:$F149,"Managed Fund",Transactions!$D$3:$D149,AH36)
+SUMIFS(Transactions!$I$3:$I149,Transactions!$H$3:$H149,"Buy",Transactions!$F$3:$F149,"REIT",Transactions!$D$3:$D149,AH36)
+SUMIFS(Transactions!$I$3:$I149,Transactions!$H$3:$H149,"DRIP",Transactions!$F$3:$F149,"REIT",Transactions!$D$3:$D149,AH36)
+SUMIFS(Transactions!$I$3:$I149,Transactions!$H$3:$H149,"Transfer Deposit",Transactions!$F$3:$F149,"REIT",Transactions!$D$3:$D149,AH36)
-SUMIFS(Transactions!$I$3:$I149,Transactions!$H$3:$H149,"Sell",Transactions!$F$3:$F149,"Stock",Transactions!$D$3:$D149,AH36)
-SUMIFS(Transactions!$I$3:$I149,Transactions!$H$3:$H149,"Transfer Send",Transactions!$F$3:$F149,"Stock",Transactions!$D$3:$D149,AH36)
-SUMIFS(Transactions!$I$3:$I149,Transactions!$H$3:$H149,"Sell",Transactions!$F$3:$F149,"ETF",Transactions!$D$3:$D149,AH36)
-SUMIFS(Transactions!$I$3:$I149,Transactions!$H$3:$H149,"Transfer Send",Transactions!$F$3:$F149,"ETF",Transactions!$D$3:$D149,AH36)
-SUMIFS(Transactions!$I$3:$I149,Transactions!$H$3:$H149,"Sell",Transactions!$F$3:$F149,"Commodity",Transactions!$D$3:$D149,AH36)
-SUMIFS(Transactions!$I$3:$I149,Transactions!$H$3:$H149,"Transfer Send",Transactions!$F$3:$F149,"Commodity",Transactions!$D$3:$D149,AH36)
-SUMIFS(Transactions!$I$3:$I149,Transactions!$H$3:$H149,"Sell",Transactions!$F$3:$F149,"Managed Fund",Transactions!$D$3:$D149,AH36)
-SUMIFS(Transactions!$I$3:$I149,Transactions!$H$3:$H149,"Transfer Send",Transactions!$F$3:$F149,"Managed Fund",Transactions!$D$3:$D149,AH36)
-SUMIFS(Transactions!$I$3:$I149,Transactions!$H$3:$H149,"Sell",Transactions!$F$3:$F149,"REIT",Transactions!$D$3:$D149,AH36)
-SUMIFS(Transactions!$I$3:$I149,Transactions!$H$3:$H149,"Transfer Send",Transactions!$F$3:$F149,"REIT",Transactions!$D$3:$D149,AH36)
+SUMIFS(Transactions!$I$3:$I149,Transactions!$H$3:$H149,"Buy",Transactions!$F$3:$F149,"Crypto",Transactions!$D$3:$D149,AH36)
+SUMIFS(Transactions!$I$3:$I149,Transactions!$H$3:$H149,"Crypto Interest",Transactions!$F$3:$F149,"Crypto",Transactions!$D$3:$D149,AH36)
+SUMIFS(Transactions!$I$3:$I149,Transactions!$H$3:$H149,"Transfer Deposit",Transactions!$F$3:$F149,"Crypto",Transactions!$D$3:$D149,AH36)
-SUMIFS(Transactions!$I$3:$I149,Transactions!$H$3:$H149,"Transfer Send",Transactions!$F$3:$F149,"Crypto",Transactions!$D$3:$D149,AH36)
-SUMIFS(Transactions!$I$3:$I149,Transactions!$H$3:$H149,"Sell",Transactions!$F$3:$F149,"Crypto",Transactions!$D$3:$D149,AH36)
+SUMIFS(Transactions!$I$3:$I149,Transactions!$H$3:$H149,"Buy",Transactions!$F$3:$F149,"Stablecoin",Transactions!$D$3:$D149,AH36)
+SUMIFS(Transactions!$I$3:$I149,Transactions!$H$3:$H149,"Crypto Interest",Transactions!$F$3:$F149,"Stablecoin",Transactions!$D$3:$D149,AH36)
+SUMIFS(Transactions!$I$3:$I149,Transactions!$H$3:$H149,"Transfer Deposit",Transactions!$F$3:$F149,"Stablecoin",Transactions!$D$3:$D149,AH36)
-SUMIFS(Transactions!$I$3:$I149,Transactions!$H$3:$H149,"Transfer Send",Transactions!$F$3:$F149,"Stablecoin",Transactions!$D$3:$D149,AH36)
-SUMIFS(Transactions!$I$3:$I149,Transactions!$H$3:$H149,"Sell",Transactions!$F$3:$F149,"Stablecoin",Transactions!$D$3:$D149,AH36)
-SUMIFS(Transactions!$M$3:$M149,Transactions!$H$3:$H149,"Buy",Transactions!$B$3:$B149,AH36)))</f>
        <v/>
      </c>
      <c r="AJ36" s="181" t="str">
        <f>IFERROR(__xludf.DUMMYFUNCTION("IF(ISBLANK(AH36),"""",VLOOKUP(9^99,FILTER({ROW(Transactions!P:P),Transactions!P:P},Transactions!D:D=AH36),2))"),"")</f>
        <v/>
      </c>
      <c r="AK36" s="181" t="str">
        <f>IFERROR(__xludf.DUMMYFUNCTION("IF(ISBLANK(AH36),"""",IFERROR(GOOGLEFINANCE(AH36,""price""),IFERROR(GOOGLEFINANCE(""CURRENCY:""&amp;AH36&amp;""""),IFERROR(INDEX(YAHOO_STOCK(TRIM(AH36), $G$2),0,1),INDEX(IMPORTHTML(CONCAT(""https://coinmarketcap.com/currencies/"",AG36),""table"",1),1,2)))))"),"")</f>
        <v/>
      </c>
      <c r="AL36" s="14" t="str">
        <f>IFERROR(__xludf.DUMMYFUNCTION("IF(ISBLANK(AH36),"""",IFERROR(SPARKLINE(INDEX(GOOGLEFINANCE(AH36,""price"",TODAY()-$AL$2,TODAY()),,2),{""charttype"",""column"";""color"",""17a7e0""}),""""))"),"")</f>
        <v/>
      </c>
      <c r="AM36" s="50" t="str">
        <f>IFERROR(__xludf.DUMMYFUNCTION("IFNA(IFERROR(IF(AH36="""","""",GOOGLEFINANCE(AH36,""changepct"")/100),(GOOGLEFINANCE(AH36)-(INDEX(GOOGLEFINANCE(""CURRENCY:""&amp;AH36&amp;"""",""price"",TODAY()-1),2,2)))/(INDEX(GOOGLEFINANCE(""CURRENCY:""&amp;AH36&amp;"""",""price"",TODAY()-1),2,2))),)"),"")</f>
        <v/>
      </c>
      <c r="AN36" s="96" t="str">
        <f>IFERROR(__xludf.DUMMYFUNCTION("IFNA(IFERROR(IF(AH36="""","""",GOOGLEFINANCE(AH36,""change"")*AI36),(GOOGLEFINANCE(AH36)-(INDEX(GOOGLEFINANCE(""CURRENCY:""&amp;AH36&amp;"""",""price"",TODAY()-1),2,2)))*AI36),"""")"),"")</f>
        <v/>
      </c>
      <c r="AO36" s="96" t="str">
        <f>IF(ISBLANK(AH36),"",IFERROR(((AI36-SUMIFS(Transactions!I:I,Transactions!H:H,"Crypto Interest",Transactions!D:D,AH36))*AJ36),""))</f>
        <v/>
      </c>
      <c r="AP36" s="96" t="str">
        <f t="shared" si="16"/>
        <v/>
      </c>
      <c r="AQ36" s="50" t="str">
        <f t="shared" si="17"/>
        <v/>
      </c>
      <c r="AR36" s="96" t="str">
        <f t="shared" si="18"/>
        <v/>
      </c>
      <c r="AS36" s="96" t="str">
        <f>IF(ISBLANK(AH36),"",SUMIFS(Transactions!$X$3:$X149,Transactions!$H$3:$H149,"Sell",Transactions!$D$3:$D149,AH36))</f>
        <v/>
      </c>
      <c r="AT36" s="96" t="str">
        <f t="shared" si="19"/>
        <v/>
      </c>
      <c r="AU36" s="50" t="str">
        <f>IFERROR(__xludf.DUMMYFUNCTION("IF(ISBLANK(AH36),"""",IFERROR((GOOGLEFINANCE(AH36,""price"")/INDEX(GOOGLEFINANCE(AH36,""price"",DATEVALUE(TODAY()-$AU$2) ),2,2)-1),""""))"),"")</f>
        <v/>
      </c>
      <c r="AW36" s="50" t="str">
        <f>IFERROR(__xludf.DUMMYFUNCTION("IF(ISBLANK(AH36),"""",IFERROR((GOOGLEFINANCE($AW$2,""price"")/INDEX(GOOGLEFINANCE($AW$2,""price"",DATEVALUE(TODAY()-$AU$2) ),2,2)-1),""""))"),"")</f>
        <v/>
      </c>
      <c r="AY36" s="50" t="str">
        <f t="shared" si="20"/>
        <v/>
      </c>
      <c r="AZ36" s="50" t="str">
        <f t="shared" si="21"/>
        <v/>
      </c>
      <c r="BA36" s="50">
        <f t="shared" si="22"/>
        <v>0</v>
      </c>
      <c r="BB36" s="14" t="str">
        <f t="shared" si="23"/>
        <v/>
      </c>
      <c r="BC36" s="14" t="str">
        <f>IF(ISBLANK(AH36),"",IFERROR(VLOOKUP(AH36,Transactions!D:F,3,0)))</f>
        <v/>
      </c>
      <c r="BD36" s="50" t="str">
        <f t="shared" si="24"/>
        <v/>
      </c>
      <c r="BE36" s="50" t="str">
        <f t="shared" si="25"/>
        <v/>
      </c>
      <c r="BF36" s="14" t="str">
        <f t="shared" si="26"/>
        <v/>
      </c>
      <c r="BG36" s="180" t="str">
        <f>IF(ISBLANK(AH36),"",IFERROR(VLOOKUP(AH36,Transactions!D:G,4,0)))</f>
        <v/>
      </c>
    </row>
    <row r="37">
      <c r="A37" s="14" t="str">
        <f t="shared" ref="A37:C37" si="59">AG37</f>
        <v/>
      </c>
      <c r="B37" s="14" t="str">
        <f t="shared" si="59"/>
        <v/>
      </c>
      <c r="C37" s="175" t="str">
        <f t="shared" si="59"/>
        <v/>
      </c>
      <c r="D37" s="176" t="str">
        <f>IFERROR(__xludf.DUMMYFUNCTION("IF(ISBLANK(B37),"""",IFERROR(IF(OR(AF37=""GPB"",AF37=""ZAR""),IF(AF37=Dashboard!$L$1,AJ37,(AJ37*GOOGLEFINANCE(""CURRENCY:""&amp;AF37&amp;""""&amp;Dashboard!$L$1&amp;""""))/100),IF(AF37=Dashboard!$L$1,AJ37,AJ37*GOOGLEFINANCE(""CURRENCY:""&amp;AF37&amp;""""&amp;Dashboard!$L$1&amp;""""))),"&amp;"AJ37))"),"")</f>
        <v/>
      </c>
      <c r="E37" s="177" t="str">
        <f>IFERROR(__xludf.DUMMYFUNCTION("IFERROR(IF(OR(AF37=""GBP"",AF37=""ZAR""),IF(B37="""","""",IF(AF37=Dashboard!$L$1,AK37,AK37*GOOGLEFINANCE(""CURRENCY:""&amp;AF37&amp;""""&amp;Dashboard!$L$1&amp;"""")))/100,If(B37="""","""",IF(AF37=Dashboard!$L$1,AK37,AK37*GOOGLEFINANCE(""CURRENCY:""&amp;AF37&amp;""""&amp;Dashboard!$"&amp;"L$1&amp;"""")))),AK37)"),"")</f>
        <v/>
      </c>
      <c r="F37" s="145">
        <f>IFERROR(__xludf.DUMMYFUNCTION(" E37 * GOOGLEFINANCE(""CURRENCY:USDEUR"") "),0.0)</f>
        <v>0</v>
      </c>
      <c r="G37" s="96" t="str">
        <f>IFERROR(__xludf.DUMMYFUNCTION("IF(ISBLANK(B37),"""",IFERROR(SPARKLINE(INDEX(GOOGLEFINANCE(B37,""price"",TODAY()-$G$2,TODAY()),,2),{""charttype"",""column"";""color"",""17a7e0""}),""""))"),"")</f>
        <v/>
      </c>
      <c r="H37" s="50" t="str">
        <f t="shared" si="3"/>
        <v/>
      </c>
      <c r="I37" s="96" t="str">
        <f>IFERROR(__xludf.DUMMYFUNCTION("IF(ISBLANK(B37),"""",IFERROR(IF(OR(AF37=""GPB"",AF37=""ZAR""),IF(AF37=Dashboard!$L$1,AN37,(AN37*GOOGLEFINANCE(""CURRENCY:""&amp;AF37&amp;""""&amp;Dashboard!$L$1&amp;""""))/100),IF(AF37=Dashboard!$L$1,AN37,AN37*GOOGLEFINANCE(""CURRENCY:""&amp;AF37&amp;""""&amp;Dashboard!$L$1&amp;""""))),"&amp;"AN37))"),"")</f>
        <v/>
      </c>
      <c r="J37" s="178" t="str">
        <f>IF(ISBLANK(B37),"",IFERROR(((C37-SUMIFS(Transactions!I:I,Transactions!H:H,"Crypto Interest",Transactions!D:D,B37))*D37),""))</f>
        <v/>
      </c>
      <c r="K37" s="178" t="str">
        <f t="shared" si="4"/>
        <v/>
      </c>
      <c r="L37" s="145">
        <f>-SUMIFS(Transactions!$M$3:$M149,Transactions!$H$3:$H149,"Buy",Transactions!$D$3:$D149,B37)</f>
        <v>0</v>
      </c>
      <c r="M37" s="145">
        <f>IF(ISBLANK(AG37),"",SUMIFS(Transactions!$M$3:$M149,Transactions!$H$3:$H149,"Dividend",Transactions!$D$3:$D149,B37))</f>
        <v>0</v>
      </c>
      <c r="N37" s="145" t="str">
        <f>IF(ISBLANK(AH37),"",SUMIFS(Transactions!$M$3:$M149,Transactions!$H$3:$H149,"Sell",Transactions!$D$3:$D149,B37))</f>
        <v/>
      </c>
      <c r="O37" s="50" t="str">
        <f t="shared" si="5"/>
        <v/>
      </c>
      <c r="P37" s="178" t="str">
        <f t="shared" si="6"/>
        <v/>
      </c>
      <c r="Q37" s="178" t="str">
        <f>IFERROR(__xludf.DUMMYFUNCTION("IF(ISBLANK(B37),"""",IFERROR(IF(OR(AF37=""GPB"",AF37=""ZAR""),IF(AF37=Dashboard!$L$1,AS37,(AS37*GOOGLEFINANCE(""CURRENCY:""&amp;AF37&amp;""""&amp;Dashboard!$L$1&amp;""""))/100),IF(AF37=Dashboard!$L$1,AS37,AS37*GOOGLEFINANCE(""CURRENCY:""&amp;AF37&amp;""""&amp;Dashboard!$L$1&amp;""""))),"&amp;"AS37))"),"")</f>
        <v/>
      </c>
      <c r="R37" s="178" t="str">
        <f t="shared" si="7"/>
        <v/>
      </c>
      <c r="S37" s="50" t="str">
        <f>IFERROR(__xludf.DUMMYFUNCTION("IF(ISBLANK(B37),"""",IFERROR((GOOGLEFINANCE(B37,""price"")/INDEX(GOOGLEFINANCE(B37,""price"",DATEVALUE(TODAY()-$S$2) ),2,2)-1),""""))"),"")</f>
        <v/>
      </c>
      <c r="U37" s="50" t="str">
        <f>IFERROR(__xludf.DUMMYFUNCTION("IF(ISBLANK(B37),"""",IFERROR((GOOGLEFINANCE($U$2,""price"")/INDEX(GOOGLEFINANCE($U$2,""price"",DATEVALUE(TODAY()-$S$2) ),2,2)-1),""""))"),"")</f>
        <v/>
      </c>
      <c r="W37" s="50" t="str">
        <f t="shared" si="8"/>
        <v/>
      </c>
      <c r="X37" s="50" t="str">
        <f t="shared" si="9"/>
        <v/>
      </c>
      <c r="Y37" s="179">
        <v>0.0</v>
      </c>
      <c r="Z37" s="50" t="str">
        <f t="shared" si="10"/>
        <v/>
      </c>
      <c r="AA37" s="14" t="str">
        <f t="shared" si="11"/>
        <v/>
      </c>
      <c r="AB37" s="50" t="str">
        <f t="shared" si="12"/>
        <v/>
      </c>
      <c r="AC37" s="179" t="str">
        <f t="shared" si="13"/>
        <v/>
      </c>
      <c r="AD37" s="50" t="str">
        <f t="shared" si="14"/>
        <v/>
      </c>
      <c r="AE37" s="180" t="str">
        <f t="shared" si="15"/>
        <v/>
      </c>
      <c r="AF37" s="14" t="str">
        <f t="array" ref="AF37">IFERROR(IF(ISBLANK(AH37),"",IF(VLOOKUP(AH37,Transactions!D:F,3,0)="Stablecoin",AH37,INDEX(Transactions!$B$3:$B149,MATCH(AH37,Transactions!$D$3:$D149,0),0))))</f>
        <v/>
      </c>
      <c r="AG37" s="14" t="str">
        <f>IF(ISBLANK(AH37),"",VLOOKUP(AH37,Transactions!D:E,2,0))</f>
        <v/>
      </c>
      <c r="AH37" s="14"/>
      <c r="AI37" s="146" t="str">
        <f>IF(ISBLANK(AH37),"",IF(
SUMIFS(Transactions!$I$3:$I149,Transactions!$H$3:$H149,"Buy",Transactions!$F$3:$F149,"Stock",Transactions!$D$3:$D149,AH37)
+SUMIFS(Transactions!$I$3:$I149,Transactions!$H$3:$H149,"DRIP",Transactions!$F$3:$F149,"Stock",Transactions!$D$3:$D149,AH37)
+SUMIFS(Transactions!$I$3:$I149,Transactions!$H$3:$H149,"Transfer Deposit",Transactions!$F$3:$F149,"Stock",Transactions!$D$3:$D149,AH37)
+SUMIFS(Transactions!$I$3:$I149,Transactions!$H$3:$H149,"Buy",Transactions!$F$3:$F149,"ETF",Transactions!$D$3:$D149,AH37)
+SUMIFS(Transactions!$I$3:$I149,Transactions!$H$3:$H149,"DRIP",Transactions!$F$3:$F149,"ETF",Transactions!$D$3:$D149,AH37)
+SUMIFS(Transactions!$I$3:$I149,Transactions!$H$3:$H149,"Transfer Deposit",Transactions!$F$3:$F149,"ETF",Transactions!$D$3:$D149,AH37)
+SUMIFS(Transactions!$I$3:$I149,Transactions!$H$3:$H149,"Buy",Transactions!$F$3:$F149,"Commodity",Transactions!$D$3:$D149,AH37)
+SUMIFS(Transactions!$I$3:$I149,Transactions!$H$3:$H149,"DRIP",Transactions!$F$3:$F149,"Commodity",Transactions!$D$3:$D149,AH37)
+SUMIFS(Transactions!$I$3:$I149,Transactions!$H$3:$H149,"Transfer Deposit",Transactions!$F$3:$F149,"Commodity",Transactions!$D$3:$D149,AH37)
+SUMIFS(Transactions!$I$3:$I149,Transactions!$H$3:$H149,"Buy",Transactions!$F$3:$F149,"Managed Fund",Transactions!$D$3:$D149,AH37)
+SUMIFS(Transactions!$I$3:$I149,Transactions!$H$3:$H149,"DRIP",Transactions!$F$3:$F149,"Managed Fund",Transactions!$D$3:$D149,AH37)
+SUMIFS(Transactions!$I$3:$I149,Transactions!$H$3:$H149,"Transfer Deposit",Transactions!$F$3:$F149,"Managed Fund",Transactions!$D$3:$D149,AH37)
+SUMIFS(Transactions!$I$3:$I149,Transactions!$H$3:$H149,"Buy",Transactions!$F$3:$F149,"REIT",Transactions!$D$3:$D149,AH37)
+SUMIFS(Transactions!$I$3:$I149,Transactions!$H$3:$H149,"DRIP",Transactions!$F$3:$F149,"REIT",Transactions!$D$3:$D149,AH37)
+SUMIFS(Transactions!$I$3:$I149,Transactions!$H$3:$H149,"Transfer Deposit",Transactions!$F$3:$F149,"REIT",Transactions!$D$3:$D149,AH37)
-SUMIFS(Transactions!$I$3:$I149,Transactions!$H$3:$H149,"Sell",Transactions!$F$3:$F149,"Stock",Transactions!$D$3:$D149,AH37)
-SUMIFS(Transactions!$I$3:$I149,Transactions!$H$3:$H149,"Transfer Send",Transactions!$F$3:$F149,"Stock",Transactions!$D$3:$D149,AH37)
-SUMIFS(Transactions!$I$3:$I149,Transactions!$H$3:$H149,"Sell",Transactions!$F$3:$F149,"ETF",Transactions!$D$3:$D149,AH37)
-SUMIFS(Transactions!$I$3:$I149,Transactions!$H$3:$H149,"Transfer Send",Transactions!$F$3:$F149,"ETF",Transactions!$D$3:$D149,AH37)
-SUMIFS(Transactions!$I$3:$I149,Transactions!$H$3:$H149,"Sell",Transactions!$F$3:$F149,"Commodity",Transactions!$D$3:$D149,AH37)
-SUMIFS(Transactions!$I$3:$I149,Transactions!$H$3:$H149,"Transfer Send",Transactions!$F$3:$F149,"Commodity",Transactions!$D$3:$D149,AH37)
-SUMIFS(Transactions!$I$3:$I149,Transactions!$H$3:$H149,"Sell",Transactions!$F$3:$F149,"Managed Fund",Transactions!$D$3:$D149,AH37)
-SUMIFS(Transactions!$I$3:$I149,Transactions!$H$3:$H149,"Transfer Send",Transactions!$F$3:$F149,"Managed Fund",Transactions!$D$3:$D149,AH37)
-SUMIFS(Transactions!$I$3:$I149,Transactions!$H$3:$H149,"Sell",Transactions!$F$3:$F149,"REIT",Transactions!$D$3:$D149,AH37)
-SUMIFS(Transactions!$I$3:$I149,Transactions!$H$3:$H149,"Transfer Send",Transactions!$F$3:$F149,"REIT",Transactions!$D$3:$D149,AH37)
+SUMIFS(Transactions!$I$3:$I149,Transactions!$H$3:$H149,"Buy",Transactions!$F$3:$F149,"Crypto",Transactions!$D$3:$D149,AH37)
+SUMIFS(Transactions!$I$3:$I149,Transactions!$H$3:$H149,"Crypto Interest",Transactions!$F$3:$F149,"Crypto",Transactions!$D$3:$D149,AH37)
+SUMIFS(Transactions!$I$3:$I149,Transactions!$H$3:$H149,"Transfer Deposit",Transactions!$F$3:$F149,"Crypto",Transactions!$D$3:$D149,AH37)
-SUMIFS(Transactions!$I$3:$I149,Transactions!$H$3:$H149,"Transfer Send",Transactions!$F$3:$F149,"Crypto",Transactions!$D$3:$D149,AH37)
-SUMIFS(Transactions!$I$3:$I149,Transactions!$H$3:$H149,"Sell",Transactions!$F$3:$F149,"Crypto",Transactions!$D$3:$D149,AH37)
+SUMIFS(Transactions!$I$3:$I149,Transactions!$H$3:$H149,"Buy",Transactions!$F$3:$F149,"Stablecoin",Transactions!$D$3:$D149,AH37)
+SUMIFS(Transactions!$I$3:$I149,Transactions!$H$3:$H149,"Crypto Interest",Transactions!$F$3:$F149,"Stablecoin",Transactions!$D$3:$D149,AH37)
+SUMIFS(Transactions!$I$3:$I149,Transactions!$H$3:$H149,"Transfer Deposit",Transactions!$F$3:$F149,"Stablecoin",Transactions!$D$3:$D149,AH37)
-SUMIFS(Transactions!$I$3:$I149,Transactions!$H$3:$H149,"Transfer Send",Transactions!$F$3:$F149,"Stablecoin",Transactions!$D$3:$D149,AH37)
-SUMIFS(Transactions!$I$3:$I149,Transactions!$H$3:$H149,"Sell",Transactions!$F$3:$F149,"Stablecoin",Transactions!$D$3:$D149,AH37)
-SUMIFS(Transactions!$M$3:$M149,Transactions!$H$3:$H149,"Buy",Transactions!$B$3:$B149,AH37)=0,"Sold All",
SUMIFS(Transactions!$I$3:$I149,Transactions!$H$3:$H149,"Buy",Transactions!$F$3:$F149,"Stock",Transactions!$D$3:$D149,AH37)
+SUMIFS(Transactions!$I$3:$I149,Transactions!$H$3:$H149,"DRIP",Transactions!$F$3:$F149,"Stock",Transactions!$D$3:$D149,AH37)
+SUMIFS(Transactions!$I$3:$I149,Transactions!$H$3:$H149,"Transfer Deposit",Transactions!$F$3:$F149,"Stock",Transactions!$D$3:$D149,AH37)
+SUMIFS(Transactions!$I$3:$I149,Transactions!$H$3:$H149,"Buy",Transactions!$F$3:$F149,"ETF",Transactions!$D$3:$D149,AH37)
+SUMIFS(Transactions!$I$3:$I149,Transactions!$H$3:$H149,"DRIP",Transactions!$F$3:$F149,"ETF",Transactions!$D$3:$D149,AH37)
+SUMIFS(Transactions!$I$3:$I149,Transactions!$H$3:$H149,"Transfer Deposit",Transactions!$F$3:$F149,"ETF",Transactions!$D$3:$D149,AH37)
+SUMIFS(Transactions!$I$3:$I149,Transactions!$H$3:$H149,"Buy",Transactions!$F$3:$F149,"Commodity",Transactions!$D$3:$D149,AH37)
+SUMIFS(Transactions!$I$3:$I149,Transactions!$H$3:$H149,"DRIP",Transactions!$F$3:$F149,"Commodity",Transactions!$D$3:$D149,AH37)
+SUMIFS(Transactions!$I$3:$I149,Transactions!$H$3:$H149,"Transfer Deposit",Transactions!$F$3:$F149,"Commodity",Transactions!$D$3:$D149,AH37)
+SUMIFS(Transactions!$I$3:$I149,Transactions!$H$3:$H149,"Buy",Transactions!$F$3:$F149,"Managed Fund",Transactions!$D$3:$D149,AH37)
+SUMIFS(Transactions!$I$3:$I149,Transactions!$H$3:$H149,"DRIP",Transactions!$F$3:$F149,"Managed Fund",Transactions!$D$3:$D149,AH37)
+SUMIFS(Transactions!$I$3:$I149,Transactions!$H$3:$H149,"Transfer Deposit",Transactions!$F$3:$F149,"Managed Fund",Transactions!$D$3:$D149,AH37)
+SUMIFS(Transactions!$I$3:$I149,Transactions!$H$3:$H149,"Buy",Transactions!$F$3:$F149,"REIT",Transactions!$D$3:$D149,AH37)
+SUMIFS(Transactions!$I$3:$I149,Transactions!$H$3:$H149,"DRIP",Transactions!$F$3:$F149,"REIT",Transactions!$D$3:$D149,AH37)
+SUMIFS(Transactions!$I$3:$I149,Transactions!$H$3:$H149,"Transfer Deposit",Transactions!$F$3:$F149,"REIT",Transactions!$D$3:$D149,AH37)
-SUMIFS(Transactions!$I$3:$I149,Transactions!$H$3:$H149,"Sell",Transactions!$F$3:$F149,"Stock",Transactions!$D$3:$D149,AH37)
-SUMIFS(Transactions!$I$3:$I149,Transactions!$H$3:$H149,"Transfer Send",Transactions!$F$3:$F149,"Stock",Transactions!$D$3:$D149,AH37)
-SUMIFS(Transactions!$I$3:$I149,Transactions!$H$3:$H149,"Sell",Transactions!$F$3:$F149,"ETF",Transactions!$D$3:$D149,AH37)
-SUMIFS(Transactions!$I$3:$I149,Transactions!$H$3:$H149,"Transfer Send",Transactions!$F$3:$F149,"ETF",Transactions!$D$3:$D149,AH37)
-SUMIFS(Transactions!$I$3:$I149,Transactions!$H$3:$H149,"Sell",Transactions!$F$3:$F149,"Commodity",Transactions!$D$3:$D149,AH37)
-SUMIFS(Transactions!$I$3:$I149,Transactions!$H$3:$H149,"Transfer Send",Transactions!$F$3:$F149,"Commodity",Transactions!$D$3:$D149,AH37)
-SUMIFS(Transactions!$I$3:$I149,Transactions!$H$3:$H149,"Sell",Transactions!$F$3:$F149,"Managed Fund",Transactions!$D$3:$D149,AH37)
-SUMIFS(Transactions!$I$3:$I149,Transactions!$H$3:$H149,"Transfer Send",Transactions!$F$3:$F149,"Managed Fund",Transactions!$D$3:$D149,AH37)
-SUMIFS(Transactions!$I$3:$I149,Transactions!$H$3:$H149,"Sell",Transactions!$F$3:$F149,"REIT",Transactions!$D$3:$D149,AH37)
-SUMIFS(Transactions!$I$3:$I149,Transactions!$H$3:$H149,"Transfer Send",Transactions!$F$3:$F149,"REIT",Transactions!$D$3:$D149,AH37)
+SUMIFS(Transactions!$I$3:$I149,Transactions!$H$3:$H149,"Buy",Transactions!$F$3:$F149,"Crypto",Transactions!$D$3:$D149,AH37)
+SUMIFS(Transactions!$I$3:$I149,Transactions!$H$3:$H149,"Crypto Interest",Transactions!$F$3:$F149,"Crypto",Transactions!$D$3:$D149,AH37)
+SUMIFS(Transactions!$I$3:$I149,Transactions!$H$3:$H149,"Transfer Deposit",Transactions!$F$3:$F149,"Crypto",Transactions!$D$3:$D149,AH37)
-SUMIFS(Transactions!$I$3:$I149,Transactions!$H$3:$H149,"Transfer Send",Transactions!$F$3:$F149,"Crypto",Transactions!$D$3:$D149,AH37)
-SUMIFS(Transactions!$I$3:$I149,Transactions!$H$3:$H149,"Sell",Transactions!$F$3:$F149,"Crypto",Transactions!$D$3:$D149,AH37)
+SUMIFS(Transactions!$I$3:$I149,Transactions!$H$3:$H149,"Buy",Transactions!$F$3:$F149,"Stablecoin",Transactions!$D$3:$D149,AH37)
+SUMIFS(Transactions!$I$3:$I149,Transactions!$H$3:$H149,"Crypto Interest",Transactions!$F$3:$F149,"Stablecoin",Transactions!$D$3:$D149,AH37)
+SUMIFS(Transactions!$I$3:$I149,Transactions!$H$3:$H149,"Transfer Deposit",Transactions!$F$3:$F149,"Stablecoin",Transactions!$D$3:$D149,AH37)
-SUMIFS(Transactions!$I$3:$I149,Transactions!$H$3:$H149,"Transfer Send",Transactions!$F$3:$F149,"Stablecoin",Transactions!$D$3:$D149,AH37)
-SUMIFS(Transactions!$I$3:$I149,Transactions!$H$3:$H149,"Sell",Transactions!$F$3:$F149,"Stablecoin",Transactions!$D$3:$D149,AH37)
-SUMIFS(Transactions!$M$3:$M149,Transactions!$H$3:$H149,"Buy",Transactions!$B$3:$B149,AH37)))</f>
        <v/>
      </c>
      <c r="AJ37" s="181" t="str">
        <f>IFERROR(__xludf.DUMMYFUNCTION("IF(ISBLANK(AH37),"""",VLOOKUP(9^99,FILTER({ROW(Transactions!P:P),Transactions!P:P},Transactions!D:D=AH37),2))"),"")</f>
        <v/>
      </c>
      <c r="AK37" s="181" t="str">
        <f>IFERROR(__xludf.DUMMYFUNCTION("IF(ISBLANK(AH37),"""",IFERROR(GOOGLEFINANCE(AH37,""price""),IFERROR(GOOGLEFINANCE(""CURRENCY:""&amp;AH37&amp;""""),IFERROR(INDEX(YAHOO_STOCK(TRIM(AH37), $G$2),0,1),INDEX(IMPORTHTML(CONCAT(""https://coinmarketcap.com/currencies/"",AG37),""table"",1),1,2)))))"),"")</f>
        <v/>
      </c>
      <c r="AL37" s="14" t="str">
        <f>IFERROR(__xludf.DUMMYFUNCTION("IF(ISBLANK(AH37),"""",IFERROR(SPARKLINE(INDEX(GOOGLEFINANCE(AH37,""price"",TODAY()-$AL$2,TODAY()),,2),{""charttype"",""column"";""color"",""17a7e0""}),""""))"),"")</f>
        <v/>
      </c>
      <c r="AM37" s="50" t="str">
        <f>IFERROR(__xludf.DUMMYFUNCTION("IFNA(IFERROR(IF(AH37="""","""",GOOGLEFINANCE(AH37,""changepct"")/100),(GOOGLEFINANCE(AH37)-(INDEX(GOOGLEFINANCE(""CURRENCY:""&amp;AH37&amp;"""",""price"",TODAY()-1),2,2)))/(INDEX(GOOGLEFINANCE(""CURRENCY:""&amp;AH37&amp;"""",""price"",TODAY()-1),2,2))),)"),"")</f>
        <v/>
      </c>
      <c r="AN37" s="96" t="str">
        <f>IFERROR(__xludf.DUMMYFUNCTION("IFNA(IFERROR(IF(AH37="""","""",GOOGLEFINANCE(AH37,""change"")*AI37),(GOOGLEFINANCE(AH37)-(INDEX(GOOGLEFINANCE(""CURRENCY:""&amp;AH37&amp;"""",""price"",TODAY()-1),2,2)))*AI37),"""")"),"")</f>
        <v/>
      </c>
      <c r="AO37" s="96" t="str">
        <f>IF(ISBLANK(AH37),"",IFERROR(((AI37-SUMIFS(Transactions!I:I,Transactions!H:H,"Crypto Interest",Transactions!D:D,AH37))*AJ37),""))</f>
        <v/>
      </c>
      <c r="AP37" s="96" t="str">
        <f t="shared" si="16"/>
        <v/>
      </c>
      <c r="AQ37" s="50" t="str">
        <f t="shared" si="17"/>
        <v/>
      </c>
      <c r="AR37" s="96" t="str">
        <f t="shared" si="18"/>
        <v/>
      </c>
      <c r="AS37" s="96" t="str">
        <f>IF(ISBLANK(AH37),"",SUMIFS(Transactions!$X$3:$X149,Transactions!$H$3:$H149,"Sell",Transactions!$D$3:$D149,AH37))</f>
        <v/>
      </c>
      <c r="AT37" s="96" t="str">
        <f t="shared" si="19"/>
        <v/>
      </c>
      <c r="AU37" s="50" t="str">
        <f>IFERROR(__xludf.DUMMYFUNCTION("IF(ISBLANK(AH37),"""",IFERROR((GOOGLEFINANCE(AH37,""price"")/INDEX(GOOGLEFINANCE(AH37,""price"",DATEVALUE(TODAY()-$AU$2) ),2,2)-1),""""))"),"")</f>
        <v/>
      </c>
      <c r="AW37" s="50" t="str">
        <f>IFERROR(__xludf.DUMMYFUNCTION("IF(ISBLANK(AH37),"""",IFERROR((GOOGLEFINANCE($AW$2,""price"")/INDEX(GOOGLEFINANCE($AW$2,""price"",DATEVALUE(TODAY()-$AU$2) ),2,2)-1),""""))"),"")</f>
        <v/>
      </c>
      <c r="AY37" s="50" t="str">
        <f t="shared" si="20"/>
        <v/>
      </c>
      <c r="AZ37" s="50" t="str">
        <f t="shared" si="21"/>
        <v/>
      </c>
      <c r="BA37" s="50">
        <f t="shared" si="22"/>
        <v>0</v>
      </c>
      <c r="BB37" s="14" t="str">
        <f t="shared" si="23"/>
        <v/>
      </c>
      <c r="BC37" s="14" t="str">
        <f>IF(ISBLANK(AH37),"",IFERROR(VLOOKUP(AH37,Transactions!D:F,3,0)))</f>
        <v/>
      </c>
      <c r="BD37" s="50" t="str">
        <f t="shared" si="24"/>
        <v/>
      </c>
      <c r="BE37" s="50" t="str">
        <f t="shared" si="25"/>
        <v/>
      </c>
      <c r="BF37" s="14" t="str">
        <f t="shared" si="26"/>
        <v/>
      </c>
      <c r="BG37" s="180" t="str">
        <f>IF(ISBLANK(AH37),"",IFERROR(VLOOKUP(AH37,Transactions!D:G,4,0)))</f>
        <v/>
      </c>
    </row>
    <row r="38">
      <c r="A38" s="14" t="str">
        <f t="shared" ref="A38:C38" si="60">AG38</f>
        <v/>
      </c>
      <c r="B38" s="14" t="str">
        <f t="shared" si="60"/>
        <v/>
      </c>
      <c r="C38" s="175" t="str">
        <f t="shared" si="60"/>
        <v/>
      </c>
      <c r="D38" s="176" t="str">
        <f>IFERROR(__xludf.DUMMYFUNCTION("IF(ISBLANK(B38),"""",IFERROR(IF(OR(AF38=""GPB"",AF38=""ZAR""),IF(AF38=Dashboard!$L$1,AJ38,(AJ38*GOOGLEFINANCE(""CURRENCY:""&amp;AF38&amp;""""&amp;Dashboard!$L$1&amp;""""))/100),IF(AF38=Dashboard!$L$1,AJ38,AJ38*GOOGLEFINANCE(""CURRENCY:""&amp;AF38&amp;""""&amp;Dashboard!$L$1&amp;""""))),"&amp;"AJ38))"),"")</f>
        <v/>
      </c>
      <c r="E38" s="177" t="str">
        <f>IFERROR(__xludf.DUMMYFUNCTION("IFERROR(IF(OR(AF38=""GBP"",AF38=""ZAR""),IF(B38="""","""",IF(AF38=Dashboard!$L$1,AK38,AK38*GOOGLEFINANCE(""CURRENCY:""&amp;AF38&amp;""""&amp;Dashboard!$L$1&amp;"""")))/100,If(B38="""","""",IF(AF38=Dashboard!$L$1,AK38,AK38*GOOGLEFINANCE(""CURRENCY:""&amp;AF38&amp;""""&amp;Dashboard!$"&amp;"L$1&amp;"""")))),AK38)"),"")</f>
        <v/>
      </c>
      <c r="F38" s="145">
        <f>IFERROR(__xludf.DUMMYFUNCTION(" E38 * GOOGLEFINANCE(""CURRENCY:USDEUR"") "),0.0)</f>
        <v>0</v>
      </c>
      <c r="G38" s="96" t="str">
        <f>IFERROR(__xludf.DUMMYFUNCTION("IF(ISBLANK(B38),"""",IFERROR(SPARKLINE(INDEX(GOOGLEFINANCE(B38,""price"",TODAY()-$G$2,TODAY()),,2),{""charttype"",""column"";""color"",""17a7e0""}),""""))"),"")</f>
        <v/>
      </c>
      <c r="H38" s="50" t="str">
        <f t="shared" si="3"/>
        <v/>
      </c>
      <c r="I38" s="96" t="str">
        <f>IFERROR(__xludf.DUMMYFUNCTION("IF(ISBLANK(B38),"""",IFERROR(IF(OR(AF38=""GPB"",AF38=""ZAR""),IF(AF38=Dashboard!$L$1,AN38,(AN38*GOOGLEFINANCE(""CURRENCY:""&amp;AF38&amp;""""&amp;Dashboard!$L$1&amp;""""))/100),IF(AF38=Dashboard!$L$1,AN38,AN38*GOOGLEFINANCE(""CURRENCY:""&amp;AF38&amp;""""&amp;Dashboard!$L$1&amp;""""))),"&amp;"AN38))"),"")</f>
        <v/>
      </c>
      <c r="J38" s="178" t="str">
        <f>IF(ISBLANK(B38),"",IFERROR(((C38-SUMIFS(Transactions!I:I,Transactions!H:H,"Crypto Interest",Transactions!D:D,B38))*D38),""))</f>
        <v/>
      </c>
      <c r="K38" s="178" t="str">
        <f t="shared" si="4"/>
        <v/>
      </c>
      <c r="L38" s="145">
        <f>-SUMIFS(Transactions!$M$3:$M149,Transactions!$H$3:$H149,"Buy",Transactions!$D$3:$D149,B38)</f>
        <v>0</v>
      </c>
      <c r="M38" s="145">
        <f>IF(ISBLANK(AG38),"",SUMIFS(Transactions!$M$3:$M149,Transactions!$H$3:$H149,"Dividend",Transactions!$D$3:$D149,B38))</f>
        <v>0</v>
      </c>
      <c r="N38" s="145" t="str">
        <f>IF(ISBLANK(AH38),"",SUMIFS(Transactions!$M$3:$M149,Transactions!$H$3:$H149,"Sell",Transactions!$D$3:$D149,B38))</f>
        <v/>
      </c>
      <c r="O38" s="50" t="str">
        <f t="shared" si="5"/>
        <v/>
      </c>
      <c r="P38" s="178" t="str">
        <f t="shared" si="6"/>
        <v/>
      </c>
      <c r="Q38" s="178" t="str">
        <f>IFERROR(__xludf.DUMMYFUNCTION("IF(ISBLANK(B38),"""",IFERROR(IF(OR(AF38=""GPB"",AF38=""ZAR""),IF(AF38=Dashboard!$L$1,AS38,(AS38*GOOGLEFINANCE(""CURRENCY:""&amp;AF38&amp;""""&amp;Dashboard!$L$1&amp;""""))/100),IF(AF38=Dashboard!$L$1,AS38,AS38*GOOGLEFINANCE(""CURRENCY:""&amp;AF38&amp;""""&amp;Dashboard!$L$1&amp;""""))),"&amp;"AS38))"),"")</f>
        <v/>
      </c>
      <c r="R38" s="178" t="str">
        <f t="shared" si="7"/>
        <v/>
      </c>
      <c r="S38" s="50" t="str">
        <f>IFERROR(__xludf.DUMMYFUNCTION("IF(ISBLANK(B38),"""",IFERROR((GOOGLEFINANCE(B38,""price"")/INDEX(GOOGLEFINANCE(B38,""price"",DATEVALUE(TODAY()-$S$2) ),2,2)-1),""""))"),"")</f>
        <v/>
      </c>
      <c r="U38" s="50" t="str">
        <f>IFERROR(__xludf.DUMMYFUNCTION("IF(ISBLANK(B38),"""",IFERROR((GOOGLEFINANCE($U$2,""price"")/INDEX(GOOGLEFINANCE($U$2,""price"",DATEVALUE(TODAY()-$S$2) ),2,2)-1),""""))"),"")</f>
        <v/>
      </c>
      <c r="W38" s="50" t="str">
        <f t="shared" si="8"/>
        <v/>
      </c>
      <c r="X38" s="50" t="str">
        <f t="shared" si="9"/>
        <v/>
      </c>
      <c r="Y38" s="179">
        <v>0.0</v>
      </c>
      <c r="Z38" s="50" t="str">
        <f t="shared" si="10"/>
        <v/>
      </c>
      <c r="AA38" s="14" t="str">
        <f t="shared" si="11"/>
        <v/>
      </c>
      <c r="AB38" s="50" t="str">
        <f t="shared" si="12"/>
        <v/>
      </c>
      <c r="AC38" s="179" t="str">
        <f t="shared" si="13"/>
        <v/>
      </c>
      <c r="AD38" s="50" t="str">
        <f t="shared" si="14"/>
        <v/>
      </c>
      <c r="AE38" s="180" t="str">
        <f t="shared" si="15"/>
        <v/>
      </c>
      <c r="AF38" s="14" t="str">
        <f t="array" ref="AF38">IFERROR(IF(ISBLANK(AH38),"",IF(VLOOKUP(AH38,Transactions!D:F,3,0)="Stablecoin",AH38,INDEX(Transactions!$B$3:$B149,MATCH(AH38,Transactions!$D$3:$D149,0),0))))</f>
        <v/>
      </c>
      <c r="AG38" s="14" t="str">
        <f>IF(ISBLANK(AH38),"",VLOOKUP(AH38,Transactions!D:E,2,0))</f>
        <v/>
      </c>
      <c r="AH38" s="14"/>
      <c r="AI38" s="146" t="str">
        <f>IF(ISBLANK(AH38),"",IF(
SUMIFS(Transactions!$I$3:$I149,Transactions!$H$3:$H149,"Buy",Transactions!$F$3:$F149,"Stock",Transactions!$D$3:$D149,AH38)
+SUMIFS(Transactions!$I$3:$I149,Transactions!$H$3:$H149,"DRIP",Transactions!$F$3:$F149,"Stock",Transactions!$D$3:$D149,AH38)
+SUMIFS(Transactions!$I$3:$I149,Transactions!$H$3:$H149,"Transfer Deposit",Transactions!$F$3:$F149,"Stock",Transactions!$D$3:$D149,AH38)
+SUMIFS(Transactions!$I$3:$I149,Transactions!$H$3:$H149,"Buy",Transactions!$F$3:$F149,"ETF",Transactions!$D$3:$D149,AH38)
+SUMIFS(Transactions!$I$3:$I149,Transactions!$H$3:$H149,"DRIP",Transactions!$F$3:$F149,"ETF",Transactions!$D$3:$D149,AH38)
+SUMIFS(Transactions!$I$3:$I149,Transactions!$H$3:$H149,"Transfer Deposit",Transactions!$F$3:$F149,"ETF",Transactions!$D$3:$D149,AH38)
+SUMIFS(Transactions!$I$3:$I149,Transactions!$H$3:$H149,"Buy",Transactions!$F$3:$F149,"Commodity",Transactions!$D$3:$D149,AH38)
+SUMIFS(Transactions!$I$3:$I149,Transactions!$H$3:$H149,"DRIP",Transactions!$F$3:$F149,"Commodity",Transactions!$D$3:$D149,AH38)
+SUMIFS(Transactions!$I$3:$I149,Transactions!$H$3:$H149,"Transfer Deposit",Transactions!$F$3:$F149,"Commodity",Transactions!$D$3:$D149,AH38)
+SUMIFS(Transactions!$I$3:$I149,Transactions!$H$3:$H149,"Buy",Transactions!$F$3:$F149,"Managed Fund",Transactions!$D$3:$D149,AH38)
+SUMIFS(Transactions!$I$3:$I149,Transactions!$H$3:$H149,"DRIP",Transactions!$F$3:$F149,"Managed Fund",Transactions!$D$3:$D149,AH38)
+SUMIFS(Transactions!$I$3:$I149,Transactions!$H$3:$H149,"Transfer Deposit",Transactions!$F$3:$F149,"Managed Fund",Transactions!$D$3:$D149,AH38)
+SUMIFS(Transactions!$I$3:$I149,Transactions!$H$3:$H149,"Buy",Transactions!$F$3:$F149,"REIT",Transactions!$D$3:$D149,AH38)
+SUMIFS(Transactions!$I$3:$I149,Transactions!$H$3:$H149,"DRIP",Transactions!$F$3:$F149,"REIT",Transactions!$D$3:$D149,AH38)
+SUMIFS(Transactions!$I$3:$I149,Transactions!$H$3:$H149,"Transfer Deposit",Transactions!$F$3:$F149,"REIT",Transactions!$D$3:$D149,AH38)
-SUMIFS(Transactions!$I$3:$I149,Transactions!$H$3:$H149,"Sell",Transactions!$F$3:$F149,"Stock",Transactions!$D$3:$D149,AH38)
-SUMIFS(Transactions!$I$3:$I149,Transactions!$H$3:$H149,"Transfer Send",Transactions!$F$3:$F149,"Stock",Transactions!$D$3:$D149,AH38)
-SUMIFS(Transactions!$I$3:$I149,Transactions!$H$3:$H149,"Sell",Transactions!$F$3:$F149,"ETF",Transactions!$D$3:$D149,AH38)
-SUMIFS(Transactions!$I$3:$I149,Transactions!$H$3:$H149,"Transfer Send",Transactions!$F$3:$F149,"ETF",Transactions!$D$3:$D149,AH38)
-SUMIFS(Transactions!$I$3:$I149,Transactions!$H$3:$H149,"Sell",Transactions!$F$3:$F149,"Commodity",Transactions!$D$3:$D149,AH38)
-SUMIFS(Transactions!$I$3:$I149,Transactions!$H$3:$H149,"Transfer Send",Transactions!$F$3:$F149,"Commodity",Transactions!$D$3:$D149,AH38)
-SUMIFS(Transactions!$I$3:$I149,Transactions!$H$3:$H149,"Sell",Transactions!$F$3:$F149,"Managed Fund",Transactions!$D$3:$D149,AH38)
-SUMIFS(Transactions!$I$3:$I149,Transactions!$H$3:$H149,"Transfer Send",Transactions!$F$3:$F149,"Managed Fund",Transactions!$D$3:$D149,AH38)
-SUMIFS(Transactions!$I$3:$I149,Transactions!$H$3:$H149,"Sell",Transactions!$F$3:$F149,"REIT",Transactions!$D$3:$D149,AH38)
-SUMIFS(Transactions!$I$3:$I149,Transactions!$H$3:$H149,"Transfer Send",Transactions!$F$3:$F149,"REIT",Transactions!$D$3:$D149,AH38)
+SUMIFS(Transactions!$I$3:$I149,Transactions!$H$3:$H149,"Buy",Transactions!$F$3:$F149,"Crypto",Transactions!$D$3:$D149,AH38)
+SUMIFS(Transactions!$I$3:$I149,Transactions!$H$3:$H149,"Crypto Interest",Transactions!$F$3:$F149,"Crypto",Transactions!$D$3:$D149,AH38)
+SUMIFS(Transactions!$I$3:$I149,Transactions!$H$3:$H149,"Transfer Deposit",Transactions!$F$3:$F149,"Crypto",Transactions!$D$3:$D149,AH38)
-SUMIFS(Transactions!$I$3:$I149,Transactions!$H$3:$H149,"Transfer Send",Transactions!$F$3:$F149,"Crypto",Transactions!$D$3:$D149,AH38)
-SUMIFS(Transactions!$I$3:$I149,Transactions!$H$3:$H149,"Sell",Transactions!$F$3:$F149,"Crypto",Transactions!$D$3:$D149,AH38)
+SUMIFS(Transactions!$I$3:$I149,Transactions!$H$3:$H149,"Buy",Transactions!$F$3:$F149,"Stablecoin",Transactions!$D$3:$D149,AH38)
+SUMIFS(Transactions!$I$3:$I149,Transactions!$H$3:$H149,"Crypto Interest",Transactions!$F$3:$F149,"Stablecoin",Transactions!$D$3:$D149,AH38)
+SUMIFS(Transactions!$I$3:$I149,Transactions!$H$3:$H149,"Transfer Deposit",Transactions!$F$3:$F149,"Stablecoin",Transactions!$D$3:$D149,AH38)
-SUMIFS(Transactions!$I$3:$I149,Transactions!$H$3:$H149,"Transfer Send",Transactions!$F$3:$F149,"Stablecoin",Transactions!$D$3:$D149,AH38)
-SUMIFS(Transactions!$I$3:$I149,Transactions!$H$3:$H149,"Sell",Transactions!$F$3:$F149,"Stablecoin",Transactions!$D$3:$D149,AH38)
-SUMIFS(Transactions!$M$3:$M149,Transactions!$H$3:$H149,"Buy",Transactions!$B$3:$B149,AH38)=0,"Sold All",
SUMIFS(Transactions!$I$3:$I149,Transactions!$H$3:$H149,"Buy",Transactions!$F$3:$F149,"Stock",Transactions!$D$3:$D149,AH38)
+SUMIFS(Transactions!$I$3:$I149,Transactions!$H$3:$H149,"DRIP",Transactions!$F$3:$F149,"Stock",Transactions!$D$3:$D149,AH38)
+SUMIFS(Transactions!$I$3:$I149,Transactions!$H$3:$H149,"Transfer Deposit",Transactions!$F$3:$F149,"Stock",Transactions!$D$3:$D149,AH38)
+SUMIFS(Transactions!$I$3:$I149,Transactions!$H$3:$H149,"Buy",Transactions!$F$3:$F149,"ETF",Transactions!$D$3:$D149,AH38)
+SUMIFS(Transactions!$I$3:$I149,Transactions!$H$3:$H149,"DRIP",Transactions!$F$3:$F149,"ETF",Transactions!$D$3:$D149,AH38)
+SUMIFS(Transactions!$I$3:$I149,Transactions!$H$3:$H149,"Transfer Deposit",Transactions!$F$3:$F149,"ETF",Transactions!$D$3:$D149,AH38)
+SUMIFS(Transactions!$I$3:$I149,Transactions!$H$3:$H149,"Buy",Transactions!$F$3:$F149,"Commodity",Transactions!$D$3:$D149,AH38)
+SUMIFS(Transactions!$I$3:$I149,Transactions!$H$3:$H149,"DRIP",Transactions!$F$3:$F149,"Commodity",Transactions!$D$3:$D149,AH38)
+SUMIFS(Transactions!$I$3:$I149,Transactions!$H$3:$H149,"Transfer Deposit",Transactions!$F$3:$F149,"Commodity",Transactions!$D$3:$D149,AH38)
+SUMIFS(Transactions!$I$3:$I149,Transactions!$H$3:$H149,"Buy",Transactions!$F$3:$F149,"Managed Fund",Transactions!$D$3:$D149,AH38)
+SUMIFS(Transactions!$I$3:$I149,Transactions!$H$3:$H149,"DRIP",Transactions!$F$3:$F149,"Managed Fund",Transactions!$D$3:$D149,AH38)
+SUMIFS(Transactions!$I$3:$I149,Transactions!$H$3:$H149,"Transfer Deposit",Transactions!$F$3:$F149,"Managed Fund",Transactions!$D$3:$D149,AH38)
+SUMIFS(Transactions!$I$3:$I149,Transactions!$H$3:$H149,"Buy",Transactions!$F$3:$F149,"REIT",Transactions!$D$3:$D149,AH38)
+SUMIFS(Transactions!$I$3:$I149,Transactions!$H$3:$H149,"DRIP",Transactions!$F$3:$F149,"REIT",Transactions!$D$3:$D149,AH38)
+SUMIFS(Transactions!$I$3:$I149,Transactions!$H$3:$H149,"Transfer Deposit",Transactions!$F$3:$F149,"REIT",Transactions!$D$3:$D149,AH38)
-SUMIFS(Transactions!$I$3:$I149,Transactions!$H$3:$H149,"Sell",Transactions!$F$3:$F149,"Stock",Transactions!$D$3:$D149,AH38)
-SUMIFS(Transactions!$I$3:$I149,Transactions!$H$3:$H149,"Transfer Send",Transactions!$F$3:$F149,"Stock",Transactions!$D$3:$D149,AH38)
-SUMIFS(Transactions!$I$3:$I149,Transactions!$H$3:$H149,"Sell",Transactions!$F$3:$F149,"ETF",Transactions!$D$3:$D149,AH38)
-SUMIFS(Transactions!$I$3:$I149,Transactions!$H$3:$H149,"Transfer Send",Transactions!$F$3:$F149,"ETF",Transactions!$D$3:$D149,AH38)
-SUMIFS(Transactions!$I$3:$I149,Transactions!$H$3:$H149,"Sell",Transactions!$F$3:$F149,"Commodity",Transactions!$D$3:$D149,AH38)
-SUMIFS(Transactions!$I$3:$I149,Transactions!$H$3:$H149,"Transfer Send",Transactions!$F$3:$F149,"Commodity",Transactions!$D$3:$D149,AH38)
-SUMIFS(Transactions!$I$3:$I149,Transactions!$H$3:$H149,"Sell",Transactions!$F$3:$F149,"Managed Fund",Transactions!$D$3:$D149,AH38)
-SUMIFS(Transactions!$I$3:$I149,Transactions!$H$3:$H149,"Transfer Send",Transactions!$F$3:$F149,"Managed Fund",Transactions!$D$3:$D149,AH38)
-SUMIFS(Transactions!$I$3:$I149,Transactions!$H$3:$H149,"Sell",Transactions!$F$3:$F149,"REIT",Transactions!$D$3:$D149,AH38)
-SUMIFS(Transactions!$I$3:$I149,Transactions!$H$3:$H149,"Transfer Send",Transactions!$F$3:$F149,"REIT",Transactions!$D$3:$D149,AH38)
+SUMIFS(Transactions!$I$3:$I149,Transactions!$H$3:$H149,"Buy",Transactions!$F$3:$F149,"Crypto",Transactions!$D$3:$D149,AH38)
+SUMIFS(Transactions!$I$3:$I149,Transactions!$H$3:$H149,"Crypto Interest",Transactions!$F$3:$F149,"Crypto",Transactions!$D$3:$D149,AH38)
+SUMIFS(Transactions!$I$3:$I149,Transactions!$H$3:$H149,"Transfer Deposit",Transactions!$F$3:$F149,"Crypto",Transactions!$D$3:$D149,AH38)
-SUMIFS(Transactions!$I$3:$I149,Transactions!$H$3:$H149,"Transfer Send",Transactions!$F$3:$F149,"Crypto",Transactions!$D$3:$D149,AH38)
-SUMIFS(Transactions!$I$3:$I149,Transactions!$H$3:$H149,"Sell",Transactions!$F$3:$F149,"Crypto",Transactions!$D$3:$D149,AH38)
+SUMIFS(Transactions!$I$3:$I149,Transactions!$H$3:$H149,"Buy",Transactions!$F$3:$F149,"Stablecoin",Transactions!$D$3:$D149,AH38)
+SUMIFS(Transactions!$I$3:$I149,Transactions!$H$3:$H149,"Crypto Interest",Transactions!$F$3:$F149,"Stablecoin",Transactions!$D$3:$D149,AH38)
+SUMIFS(Transactions!$I$3:$I149,Transactions!$H$3:$H149,"Transfer Deposit",Transactions!$F$3:$F149,"Stablecoin",Transactions!$D$3:$D149,AH38)
-SUMIFS(Transactions!$I$3:$I149,Transactions!$H$3:$H149,"Transfer Send",Transactions!$F$3:$F149,"Stablecoin",Transactions!$D$3:$D149,AH38)
-SUMIFS(Transactions!$I$3:$I149,Transactions!$H$3:$H149,"Sell",Transactions!$F$3:$F149,"Stablecoin",Transactions!$D$3:$D149,AH38)
-SUMIFS(Transactions!$M$3:$M149,Transactions!$H$3:$H149,"Buy",Transactions!$B$3:$B149,AH38)))</f>
        <v/>
      </c>
      <c r="AJ38" s="181" t="str">
        <f>IFERROR(__xludf.DUMMYFUNCTION("IF(ISBLANK(AH38),"""",VLOOKUP(9^99,FILTER({ROW(Transactions!P:P),Transactions!P:P},Transactions!D:D=AH38),2))"),"")</f>
        <v/>
      </c>
      <c r="AK38" s="181" t="str">
        <f>IFERROR(__xludf.DUMMYFUNCTION("IF(ISBLANK(AH38),"""",IFERROR(GOOGLEFINANCE(AH38,""price""),IFERROR(GOOGLEFINANCE(""CURRENCY:""&amp;AH38&amp;""""),IFERROR(INDEX(YAHOO_STOCK(TRIM(AH38), $G$2),0,1),INDEX(IMPORTHTML(CONCAT(""https://coinmarketcap.com/currencies/"",AG38),""table"",1),1,2)))))"),"")</f>
        <v/>
      </c>
      <c r="AL38" s="14" t="str">
        <f>IFERROR(__xludf.DUMMYFUNCTION("IF(ISBLANK(AH38),"""",IFERROR(SPARKLINE(INDEX(GOOGLEFINANCE(AH38,""price"",TODAY()-$AL$2,TODAY()),,2),{""charttype"",""column"";""color"",""17a7e0""}),""""))"),"")</f>
        <v/>
      </c>
      <c r="AM38" s="50" t="str">
        <f>IFERROR(__xludf.DUMMYFUNCTION("IFNA(IFERROR(IF(AH38="""","""",GOOGLEFINANCE(AH38,""changepct"")/100),(GOOGLEFINANCE(AH38)-(INDEX(GOOGLEFINANCE(""CURRENCY:""&amp;AH38&amp;"""",""price"",TODAY()-1),2,2)))/(INDEX(GOOGLEFINANCE(""CURRENCY:""&amp;AH38&amp;"""",""price"",TODAY()-1),2,2))),)"),"")</f>
        <v/>
      </c>
      <c r="AN38" s="96" t="str">
        <f>IFERROR(__xludf.DUMMYFUNCTION("IFNA(IFERROR(IF(AH38="""","""",GOOGLEFINANCE(AH38,""change"")*AI38),(GOOGLEFINANCE(AH38)-(INDEX(GOOGLEFINANCE(""CURRENCY:""&amp;AH38&amp;"""",""price"",TODAY()-1),2,2)))*AI38),"""")"),"")</f>
        <v/>
      </c>
      <c r="AO38" s="96" t="str">
        <f>IF(ISBLANK(AH38),"",IFERROR(((AI38-SUMIFS(Transactions!I:I,Transactions!H:H,"Crypto Interest",Transactions!D:D,AH38))*AJ38),""))</f>
        <v/>
      </c>
      <c r="AP38" s="96" t="str">
        <f t="shared" si="16"/>
        <v/>
      </c>
      <c r="AQ38" s="50" t="str">
        <f t="shared" si="17"/>
        <v/>
      </c>
      <c r="AR38" s="96" t="str">
        <f t="shared" si="18"/>
        <v/>
      </c>
      <c r="AS38" s="96" t="str">
        <f>IF(ISBLANK(AH38),"",SUMIFS(Transactions!$X$3:$X149,Transactions!$H$3:$H149,"Sell",Transactions!$D$3:$D149,AH38))</f>
        <v/>
      </c>
      <c r="AT38" s="96" t="str">
        <f t="shared" si="19"/>
        <v/>
      </c>
      <c r="AU38" s="50" t="str">
        <f>IFERROR(__xludf.DUMMYFUNCTION("IF(ISBLANK(AH38),"""",IFERROR((GOOGLEFINANCE(AH38,""price"")/INDEX(GOOGLEFINANCE(AH38,""price"",DATEVALUE(TODAY()-$AU$2) ),2,2)-1),""""))"),"")</f>
        <v/>
      </c>
      <c r="AW38" s="50" t="str">
        <f>IFERROR(__xludf.DUMMYFUNCTION("IF(ISBLANK(AH38),"""",IFERROR((GOOGLEFINANCE($AW$2,""price"")/INDEX(GOOGLEFINANCE($AW$2,""price"",DATEVALUE(TODAY()-$AU$2) ),2,2)-1),""""))"),"")</f>
        <v/>
      </c>
      <c r="AY38" s="50" t="str">
        <f t="shared" si="20"/>
        <v/>
      </c>
      <c r="AZ38" s="50" t="str">
        <f t="shared" si="21"/>
        <v/>
      </c>
      <c r="BA38" s="50">
        <f t="shared" si="22"/>
        <v>0</v>
      </c>
      <c r="BB38" s="14" t="str">
        <f t="shared" si="23"/>
        <v/>
      </c>
      <c r="BC38" s="14" t="str">
        <f>IF(ISBLANK(AH38),"",IFERROR(VLOOKUP(AH38,Transactions!D:F,3,0)))</f>
        <v/>
      </c>
      <c r="BD38" s="50" t="str">
        <f t="shared" si="24"/>
        <v/>
      </c>
      <c r="BE38" s="50" t="str">
        <f t="shared" si="25"/>
        <v/>
      </c>
      <c r="BF38" s="14" t="str">
        <f t="shared" si="26"/>
        <v/>
      </c>
      <c r="BG38" s="180" t="str">
        <f>IF(ISBLANK(AH38),"",IFERROR(VLOOKUP(AH38,Transactions!D:G,4,0)))</f>
        <v/>
      </c>
    </row>
    <row r="39">
      <c r="A39" s="14" t="str">
        <f t="shared" ref="A39:C39" si="61">AG39</f>
        <v/>
      </c>
      <c r="B39" s="14" t="str">
        <f t="shared" si="61"/>
        <v/>
      </c>
      <c r="C39" s="175" t="str">
        <f t="shared" si="61"/>
        <v/>
      </c>
      <c r="D39" s="176" t="str">
        <f>IFERROR(__xludf.DUMMYFUNCTION("IF(ISBLANK(B39),"""",IFERROR(IF(OR(AF39=""GPB"",AF39=""ZAR""),IF(AF39=Dashboard!$L$1,AJ39,(AJ39*GOOGLEFINANCE(""CURRENCY:""&amp;AF39&amp;""""&amp;Dashboard!$L$1&amp;""""))/100),IF(AF39=Dashboard!$L$1,AJ39,AJ39*GOOGLEFINANCE(""CURRENCY:""&amp;AF39&amp;""""&amp;Dashboard!$L$1&amp;""""))),"&amp;"AJ39))"),"")</f>
        <v/>
      </c>
      <c r="E39" s="177" t="str">
        <f>IFERROR(__xludf.DUMMYFUNCTION("IFERROR(IF(OR(AF39=""GBP"",AF39=""ZAR""),IF(B39="""","""",IF(AF39=Dashboard!$L$1,AK39,AK39*GOOGLEFINANCE(""CURRENCY:""&amp;AF39&amp;""""&amp;Dashboard!$L$1&amp;"""")))/100,If(B39="""","""",IF(AF39=Dashboard!$L$1,AK39,AK39*GOOGLEFINANCE(""CURRENCY:""&amp;AF39&amp;""""&amp;Dashboard!$"&amp;"L$1&amp;"""")))),AK39)"),"")</f>
        <v/>
      </c>
      <c r="F39" s="145">
        <f>IFERROR(__xludf.DUMMYFUNCTION(" E39 * GOOGLEFINANCE(""CURRENCY:USDEUR"") "),0.0)</f>
        <v>0</v>
      </c>
      <c r="G39" s="96" t="str">
        <f>IFERROR(__xludf.DUMMYFUNCTION("IF(ISBLANK(B39),"""",IFERROR(SPARKLINE(INDEX(GOOGLEFINANCE(B39,""price"",TODAY()-$G$2,TODAY()),,2),{""charttype"",""column"";""color"",""17a7e0""}),""""))"),"")</f>
        <v/>
      </c>
      <c r="H39" s="50" t="str">
        <f t="shared" si="3"/>
        <v/>
      </c>
      <c r="I39" s="96" t="str">
        <f>IFERROR(__xludf.DUMMYFUNCTION("IF(ISBLANK(B39),"""",IFERROR(IF(OR(AF39=""GPB"",AF39=""ZAR""),IF(AF39=Dashboard!$L$1,AN39,(AN39*GOOGLEFINANCE(""CURRENCY:""&amp;AF39&amp;""""&amp;Dashboard!$L$1&amp;""""))/100),IF(AF39=Dashboard!$L$1,AN39,AN39*GOOGLEFINANCE(""CURRENCY:""&amp;AF39&amp;""""&amp;Dashboard!$L$1&amp;""""))),"&amp;"AN39))"),"")</f>
        <v/>
      </c>
      <c r="J39" s="178" t="str">
        <f>IF(ISBLANK(B39),"",IFERROR(((C39-SUMIFS(Transactions!I:I,Transactions!H:H,"Crypto Interest",Transactions!D:D,B39))*D39),""))</f>
        <v/>
      </c>
      <c r="K39" s="178" t="str">
        <f t="shared" si="4"/>
        <v/>
      </c>
      <c r="L39" s="145">
        <f>-SUMIFS(Transactions!$M$3:$M149,Transactions!$H$3:$H149,"Buy",Transactions!$D$3:$D149,B39)</f>
        <v>0</v>
      </c>
      <c r="M39" s="145">
        <f>IF(ISBLANK(AG39),"",SUMIFS(Transactions!$M$3:$M149,Transactions!$H$3:$H149,"Dividend",Transactions!$D$3:$D149,B39))</f>
        <v>0</v>
      </c>
      <c r="N39" s="145" t="str">
        <f>IF(ISBLANK(AH39),"",SUMIFS(Transactions!$M$3:$M149,Transactions!$H$3:$H149,"Sell",Transactions!$D$3:$D149,B39))</f>
        <v/>
      </c>
      <c r="O39" s="50" t="str">
        <f t="shared" si="5"/>
        <v/>
      </c>
      <c r="P39" s="178" t="str">
        <f t="shared" si="6"/>
        <v/>
      </c>
      <c r="Q39" s="178" t="str">
        <f>IFERROR(__xludf.DUMMYFUNCTION("IF(ISBLANK(B39),"""",IFERROR(IF(OR(AF39=""GPB"",AF39=""ZAR""),IF(AF39=Dashboard!$L$1,AS39,(AS39*GOOGLEFINANCE(""CURRENCY:""&amp;AF39&amp;""""&amp;Dashboard!$L$1&amp;""""))/100),IF(AF39=Dashboard!$L$1,AS39,AS39*GOOGLEFINANCE(""CURRENCY:""&amp;AF39&amp;""""&amp;Dashboard!$L$1&amp;""""))),"&amp;"AS39))"),"")</f>
        <v/>
      </c>
      <c r="R39" s="178" t="str">
        <f t="shared" si="7"/>
        <v/>
      </c>
      <c r="S39" s="50" t="str">
        <f>IFERROR(__xludf.DUMMYFUNCTION("IF(ISBLANK(B39),"""",IFERROR((GOOGLEFINANCE(B39,""price"")/INDEX(GOOGLEFINANCE(B39,""price"",DATEVALUE(TODAY()-$S$2) ),2,2)-1),""""))"),"")</f>
        <v/>
      </c>
      <c r="U39" s="50" t="str">
        <f>IFERROR(__xludf.DUMMYFUNCTION("IF(ISBLANK(B39),"""",IFERROR((GOOGLEFINANCE($U$2,""price"")/INDEX(GOOGLEFINANCE($U$2,""price"",DATEVALUE(TODAY()-$S$2) ),2,2)-1),""""))"),"")</f>
        <v/>
      </c>
      <c r="W39" s="50" t="str">
        <f t="shared" si="8"/>
        <v/>
      </c>
      <c r="X39" s="50" t="str">
        <f t="shared" si="9"/>
        <v/>
      </c>
      <c r="Y39" s="179">
        <v>0.0</v>
      </c>
      <c r="Z39" s="50" t="str">
        <f t="shared" si="10"/>
        <v/>
      </c>
      <c r="AA39" s="14" t="str">
        <f t="shared" si="11"/>
        <v/>
      </c>
      <c r="AB39" s="50" t="str">
        <f t="shared" si="12"/>
        <v/>
      </c>
      <c r="AC39" s="179" t="str">
        <f t="shared" si="13"/>
        <v/>
      </c>
      <c r="AD39" s="50" t="str">
        <f t="shared" si="14"/>
        <v/>
      </c>
      <c r="AE39" s="180" t="str">
        <f t="shared" si="15"/>
        <v/>
      </c>
      <c r="AF39" s="14" t="str">
        <f t="array" ref="AF39">IFERROR(IF(ISBLANK(AH39),"",IF(VLOOKUP(AH39,Transactions!D:F,3,0)="Stablecoin",AH39,INDEX(Transactions!$B$3:$B149,MATCH(AH39,Transactions!$D$3:$D149,0),0))))</f>
        <v/>
      </c>
      <c r="AG39" s="14" t="str">
        <f>IF(ISBLANK(AH39),"",VLOOKUP(AH39,Transactions!D:E,2,0))</f>
        <v/>
      </c>
      <c r="AH39" s="14"/>
      <c r="AI39" s="146" t="str">
        <f>IF(ISBLANK(AH39),"",IF(
SUMIFS(Transactions!$I$3:$I149,Transactions!$H$3:$H149,"Buy",Transactions!$F$3:$F149,"Stock",Transactions!$D$3:$D149,AH39)
+SUMIFS(Transactions!$I$3:$I149,Transactions!$H$3:$H149,"DRIP",Transactions!$F$3:$F149,"Stock",Transactions!$D$3:$D149,AH39)
+SUMIFS(Transactions!$I$3:$I149,Transactions!$H$3:$H149,"Transfer Deposit",Transactions!$F$3:$F149,"Stock",Transactions!$D$3:$D149,AH39)
+SUMIFS(Transactions!$I$3:$I149,Transactions!$H$3:$H149,"Buy",Transactions!$F$3:$F149,"ETF",Transactions!$D$3:$D149,AH39)
+SUMIFS(Transactions!$I$3:$I149,Transactions!$H$3:$H149,"DRIP",Transactions!$F$3:$F149,"ETF",Transactions!$D$3:$D149,AH39)
+SUMIFS(Transactions!$I$3:$I149,Transactions!$H$3:$H149,"Transfer Deposit",Transactions!$F$3:$F149,"ETF",Transactions!$D$3:$D149,AH39)
+SUMIFS(Transactions!$I$3:$I149,Transactions!$H$3:$H149,"Buy",Transactions!$F$3:$F149,"Commodity",Transactions!$D$3:$D149,AH39)
+SUMIFS(Transactions!$I$3:$I149,Transactions!$H$3:$H149,"DRIP",Transactions!$F$3:$F149,"Commodity",Transactions!$D$3:$D149,AH39)
+SUMIFS(Transactions!$I$3:$I149,Transactions!$H$3:$H149,"Transfer Deposit",Transactions!$F$3:$F149,"Commodity",Transactions!$D$3:$D149,AH39)
+SUMIFS(Transactions!$I$3:$I149,Transactions!$H$3:$H149,"Buy",Transactions!$F$3:$F149,"Managed Fund",Transactions!$D$3:$D149,AH39)
+SUMIFS(Transactions!$I$3:$I149,Transactions!$H$3:$H149,"DRIP",Transactions!$F$3:$F149,"Managed Fund",Transactions!$D$3:$D149,AH39)
+SUMIFS(Transactions!$I$3:$I149,Transactions!$H$3:$H149,"Transfer Deposit",Transactions!$F$3:$F149,"Managed Fund",Transactions!$D$3:$D149,AH39)
+SUMIFS(Transactions!$I$3:$I149,Transactions!$H$3:$H149,"Buy",Transactions!$F$3:$F149,"REIT",Transactions!$D$3:$D149,AH39)
+SUMIFS(Transactions!$I$3:$I149,Transactions!$H$3:$H149,"DRIP",Transactions!$F$3:$F149,"REIT",Transactions!$D$3:$D149,AH39)
+SUMIFS(Transactions!$I$3:$I149,Transactions!$H$3:$H149,"Transfer Deposit",Transactions!$F$3:$F149,"REIT",Transactions!$D$3:$D149,AH39)
-SUMIFS(Transactions!$I$3:$I149,Transactions!$H$3:$H149,"Sell",Transactions!$F$3:$F149,"Stock",Transactions!$D$3:$D149,AH39)
-SUMIFS(Transactions!$I$3:$I149,Transactions!$H$3:$H149,"Transfer Send",Transactions!$F$3:$F149,"Stock",Transactions!$D$3:$D149,AH39)
-SUMIFS(Transactions!$I$3:$I149,Transactions!$H$3:$H149,"Sell",Transactions!$F$3:$F149,"ETF",Transactions!$D$3:$D149,AH39)
-SUMIFS(Transactions!$I$3:$I149,Transactions!$H$3:$H149,"Transfer Send",Transactions!$F$3:$F149,"ETF",Transactions!$D$3:$D149,AH39)
-SUMIFS(Transactions!$I$3:$I149,Transactions!$H$3:$H149,"Sell",Transactions!$F$3:$F149,"Commodity",Transactions!$D$3:$D149,AH39)
-SUMIFS(Transactions!$I$3:$I149,Transactions!$H$3:$H149,"Transfer Send",Transactions!$F$3:$F149,"Commodity",Transactions!$D$3:$D149,AH39)
-SUMIFS(Transactions!$I$3:$I149,Transactions!$H$3:$H149,"Sell",Transactions!$F$3:$F149,"Managed Fund",Transactions!$D$3:$D149,AH39)
-SUMIFS(Transactions!$I$3:$I149,Transactions!$H$3:$H149,"Transfer Send",Transactions!$F$3:$F149,"Managed Fund",Transactions!$D$3:$D149,AH39)
-SUMIFS(Transactions!$I$3:$I149,Transactions!$H$3:$H149,"Sell",Transactions!$F$3:$F149,"REIT",Transactions!$D$3:$D149,AH39)
-SUMIFS(Transactions!$I$3:$I149,Transactions!$H$3:$H149,"Transfer Send",Transactions!$F$3:$F149,"REIT",Transactions!$D$3:$D149,AH39)
+SUMIFS(Transactions!$I$3:$I149,Transactions!$H$3:$H149,"Buy",Transactions!$F$3:$F149,"Crypto",Transactions!$D$3:$D149,AH39)
+SUMIFS(Transactions!$I$3:$I149,Transactions!$H$3:$H149,"Crypto Interest",Transactions!$F$3:$F149,"Crypto",Transactions!$D$3:$D149,AH39)
+SUMIFS(Transactions!$I$3:$I149,Transactions!$H$3:$H149,"Transfer Deposit",Transactions!$F$3:$F149,"Crypto",Transactions!$D$3:$D149,AH39)
-SUMIFS(Transactions!$I$3:$I149,Transactions!$H$3:$H149,"Transfer Send",Transactions!$F$3:$F149,"Crypto",Transactions!$D$3:$D149,AH39)
-SUMIFS(Transactions!$I$3:$I149,Transactions!$H$3:$H149,"Sell",Transactions!$F$3:$F149,"Crypto",Transactions!$D$3:$D149,AH39)
+SUMIFS(Transactions!$I$3:$I149,Transactions!$H$3:$H149,"Buy",Transactions!$F$3:$F149,"Stablecoin",Transactions!$D$3:$D149,AH39)
+SUMIFS(Transactions!$I$3:$I149,Transactions!$H$3:$H149,"Crypto Interest",Transactions!$F$3:$F149,"Stablecoin",Transactions!$D$3:$D149,AH39)
+SUMIFS(Transactions!$I$3:$I149,Transactions!$H$3:$H149,"Transfer Deposit",Transactions!$F$3:$F149,"Stablecoin",Transactions!$D$3:$D149,AH39)
-SUMIFS(Transactions!$I$3:$I149,Transactions!$H$3:$H149,"Transfer Send",Transactions!$F$3:$F149,"Stablecoin",Transactions!$D$3:$D149,AH39)
-SUMIFS(Transactions!$I$3:$I149,Transactions!$H$3:$H149,"Sell",Transactions!$F$3:$F149,"Stablecoin",Transactions!$D$3:$D149,AH39)
-SUMIFS(Transactions!$M$3:$M149,Transactions!$H$3:$H149,"Buy",Transactions!$B$3:$B149,AH39)=0,"Sold All",
SUMIFS(Transactions!$I$3:$I149,Transactions!$H$3:$H149,"Buy",Transactions!$F$3:$F149,"Stock",Transactions!$D$3:$D149,AH39)
+SUMIFS(Transactions!$I$3:$I149,Transactions!$H$3:$H149,"DRIP",Transactions!$F$3:$F149,"Stock",Transactions!$D$3:$D149,AH39)
+SUMIFS(Transactions!$I$3:$I149,Transactions!$H$3:$H149,"Transfer Deposit",Transactions!$F$3:$F149,"Stock",Transactions!$D$3:$D149,AH39)
+SUMIFS(Transactions!$I$3:$I149,Transactions!$H$3:$H149,"Buy",Transactions!$F$3:$F149,"ETF",Transactions!$D$3:$D149,AH39)
+SUMIFS(Transactions!$I$3:$I149,Transactions!$H$3:$H149,"DRIP",Transactions!$F$3:$F149,"ETF",Transactions!$D$3:$D149,AH39)
+SUMIFS(Transactions!$I$3:$I149,Transactions!$H$3:$H149,"Transfer Deposit",Transactions!$F$3:$F149,"ETF",Transactions!$D$3:$D149,AH39)
+SUMIFS(Transactions!$I$3:$I149,Transactions!$H$3:$H149,"Buy",Transactions!$F$3:$F149,"Commodity",Transactions!$D$3:$D149,AH39)
+SUMIFS(Transactions!$I$3:$I149,Transactions!$H$3:$H149,"DRIP",Transactions!$F$3:$F149,"Commodity",Transactions!$D$3:$D149,AH39)
+SUMIFS(Transactions!$I$3:$I149,Transactions!$H$3:$H149,"Transfer Deposit",Transactions!$F$3:$F149,"Commodity",Transactions!$D$3:$D149,AH39)
+SUMIFS(Transactions!$I$3:$I149,Transactions!$H$3:$H149,"Buy",Transactions!$F$3:$F149,"Managed Fund",Transactions!$D$3:$D149,AH39)
+SUMIFS(Transactions!$I$3:$I149,Transactions!$H$3:$H149,"DRIP",Transactions!$F$3:$F149,"Managed Fund",Transactions!$D$3:$D149,AH39)
+SUMIFS(Transactions!$I$3:$I149,Transactions!$H$3:$H149,"Transfer Deposit",Transactions!$F$3:$F149,"Managed Fund",Transactions!$D$3:$D149,AH39)
+SUMIFS(Transactions!$I$3:$I149,Transactions!$H$3:$H149,"Buy",Transactions!$F$3:$F149,"REIT",Transactions!$D$3:$D149,AH39)
+SUMIFS(Transactions!$I$3:$I149,Transactions!$H$3:$H149,"DRIP",Transactions!$F$3:$F149,"REIT",Transactions!$D$3:$D149,AH39)
+SUMIFS(Transactions!$I$3:$I149,Transactions!$H$3:$H149,"Transfer Deposit",Transactions!$F$3:$F149,"REIT",Transactions!$D$3:$D149,AH39)
-SUMIFS(Transactions!$I$3:$I149,Transactions!$H$3:$H149,"Sell",Transactions!$F$3:$F149,"Stock",Transactions!$D$3:$D149,AH39)
-SUMIFS(Transactions!$I$3:$I149,Transactions!$H$3:$H149,"Transfer Send",Transactions!$F$3:$F149,"Stock",Transactions!$D$3:$D149,AH39)
-SUMIFS(Transactions!$I$3:$I149,Transactions!$H$3:$H149,"Sell",Transactions!$F$3:$F149,"ETF",Transactions!$D$3:$D149,AH39)
-SUMIFS(Transactions!$I$3:$I149,Transactions!$H$3:$H149,"Transfer Send",Transactions!$F$3:$F149,"ETF",Transactions!$D$3:$D149,AH39)
-SUMIFS(Transactions!$I$3:$I149,Transactions!$H$3:$H149,"Sell",Transactions!$F$3:$F149,"Commodity",Transactions!$D$3:$D149,AH39)
-SUMIFS(Transactions!$I$3:$I149,Transactions!$H$3:$H149,"Transfer Send",Transactions!$F$3:$F149,"Commodity",Transactions!$D$3:$D149,AH39)
-SUMIFS(Transactions!$I$3:$I149,Transactions!$H$3:$H149,"Sell",Transactions!$F$3:$F149,"Managed Fund",Transactions!$D$3:$D149,AH39)
-SUMIFS(Transactions!$I$3:$I149,Transactions!$H$3:$H149,"Transfer Send",Transactions!$F$3:$F149,"Managed Fund",Transactions!$D$3:$D149,AH39)
-SUMIFS(Transactions!$I$3:$I149,Transactions!$H$3:$H149,"Sell",Transactions!$F$3:$F149,"REIT",Transactions!$D$3:$D149,AH39)
-SUMIFS(Transactions!$I$3:$I149,Transactions!$H$3:$H149,"Transfer Send",Transactions!$F$3:$F149,"REIT",Transactions!$D$3:$D149,AH39)
+SUMIFS(Transactions!$I$3:$I149,Transactions!$H$3:$H149,"Buy",Transactions!$F$3:$F149,"Crypto",Transactions!$D$3:$D149,AH39)
+SUMIFS(Transactions!$I$3:$I149,Transactions!$H$3:$H149,"Crypto Interest",Transactions!$F$3:$F149,"Crypto",Transactions!$D$3:$D149,AH39)
+SUMIFS(Transactions!$I$3:$I149,Transactions!$H$3:$H149,"Transfer Deposit",Transactions!$F$3:$F149,"Crypto",Transactions!$D$3:$D149,AH39)
-SUMIFS(Transactions!$I$3:$I149,Transactions!$H$3:$H149,"Transfer Send",Transactions!$F$3:$F149,"Crypto",Transactions!$D$3:$D149,AH39)
-SUMIFS(Transactions!$I$3:$I149,Transactions!$H$3:$H149,"Sell",Transactions!$F$3:$F149,"Crypto",Transactions!$D$3:$D149,AH39)
+SUMIFS(Transactions!$I$3:$I149,Transactions!$H$3:$H149,"Buy",Transactions!$F$3:$F149,"Stablecoin",Transactions!$D$3:$D149,AH39)
+SUMIFS(Transactions!$I$3:$I149,Transactions!$H$3:$H149,"Crypto Interest",Transactions!$F$3:$F149,"Stablecoin",Transactions!$D$3:$D149,AH39)
+SUMIFS(Transactions!$I$3:$I149,Transactions!$H$3:$H149,"Transfer Deposit",Transactions!$F$3:$F149,"Stablecoin",Transactions!$D$3:$D149,AH39)
-SUMIFS(Transactions!$I$3:$I149,Transactions!$H$3:$H149,"Transfer Send",Transactions!$F$3:$F149,"Stablecoin",Transactions!$D$3:$D149,AH39)
-SUMIFS(Transactions!$I$3:$I149,Transactions!$H$3:$H149,"Sell",Transactions!$F$3:$F149,"Stablecoin",Transactions!$D$3:$D149,AH39)
-SUMIFS(Transactions!$M$3:$M149,Transactions!$H$3:$H149,"Buy",Transactions!$B$3:$B149,AH39)))</f>
        <v/>
      </c>
      <c r="AJ39" s="181" t="str">
        <f>IFERROR(__xludf.DUMMYFUNCTION("IF(ISBLANK(AH39),"""",VLOOKUP(9^99,FILTER({ROW(Transactions!P:P),Transactions!P:P},Transactions!D:D=AH39),2))"),"")</f>
        <v/>
      </c>
      <c r="AK39" s="181" t="str">
        <f>IFERROR(__xludf.DUMMYFUNCTION("IF(ISBLANK(AH39),"""",IFERROR(GOOGLEFINANCE(AH39,""price""),IFERROR(GOOGLEFINANCE(""CURRENCY:""&amp;AH39&amp;""""),IFERROR(INDEX(YAHOO_STOCK(TRIM(AH39), $G$2),0,1),INDEX(IMPORTHTML(CONCAT(""https://coinmarketcap.com/currencies/"",AG39),""table"",1),1,2)))))"),"")</f>
        <v/>
      </c>
      <c r="AL39" s="14" t="str">
        <f>IFERROR(__xludf.DUMMYFUNCTION("IF(ISBLANK(AH39),"""",IFERROR(SPARKLINE(INDEX(GOOGLEFINANCE(AH39,""price"",TODAY()-$AL$2,TODAY()),,2),{""charttype"",""column"";""color"",""17a7e0""}),""""))"),"")</f>
        <v/>
      </c>
      <c r="AM39" s="50" t="str">
        <f>IFERROR(__xludf.DUMMYFUNCTION("IFNA(IFERROR(IF(AH39="""","""",GOOGLEFINANCE(AH39,""changepct"")/100),(GOOGLEFINANCE(AH39)-(INDEX(GOOGLEFINANCE(""CURRENCY:""&amp;AH39&amp;"""",""price"",TODAY()-1),2,2)))/(INDEX(GOOGLEFINANCE(""CURRENCY:""&amp;AH39&amp;"""",""price"",TODAY()-1),2,2))),)"),"")</f>
        <v/>
      </c>
      <c r="AN39" s="96" t="str">
        <f>IFERROR(__xludf.DUMMYFUNCTION("IFNA(IFERROR(IF(AH39="""","""",GOOGLEFINANCE(AH39,""change"")*AI39),(GOOGLEFINANCE(AH39)-(INDEX(GOOGLEFINANCE(""CURRENCY:""&amp;AH39&amp;"""",""price"",TODAY()-1),2,2)))*AI39),"""")"),"")</f>
        <v/>
      </c>
      <c r="AO39" s="96" t="str">
        <f>IF(ISBLANK(AH39),"",IFERROR(((AI39-SUMIFS(Transactions!I:I,Transactions!H:H,"Crypto Interest",Transactions!D:D,AH39))*AJ39),""))</f>
        <v/>
      </c>
      <c r="AP39" s="96" t="str">
        <f t="shared" si="16"/>
        <v/>
      </c>
      <c r="AQ39" s="50" t="str">
        <f t="shared" si="17"/>
        <v/>
      </c>
      <c r="AR39" s="96" t="str">
        <f t="shared" si="18"/>
        <v/>
      </c>
      <c r="AS39" s="96" t="str">
        <f>IF(ISBLANK(AH39),"",SUMIFS(Transactions!$X$3:$X149,Transactions!$H$3:$H149,"Sell",Transactions!$D$3:$D149,AH39))</f>
        <v/>
      </c>
      <c r="AT39" s="96" t="str">
        <f t="shared" si="19"/>
        <v/>
      </c>
      <c r="AU39" s="50" t="str">
        <f>IFERROR(__xludf.DUMMYFUNCTION("IF(ISBLANK(AH39),"""",IFERROR((GOOGLEFINANCE(AH39,""price"")/INDEX(GOOGLEFINANCE(AH39,""price"",DATEVALUE(TODAY()-$AU$2) ),2,2)-1),""""))"),"")</f>
        <v/>
      </c>
      <c r="AW39" s="50" t="str">
        <f>IFERROR(__xludf.DUMMYFUNCTION("IF(ISBLANK(AH39),"""",IFERROR((GOOGLEFINANCE($AW$2,""price"")/INDEX(GOOGLEFINANCE($AW$2,""price"",DATEVALUE(TODAY()-$AU$2) ),2,2)-1),""""))"),"")</f>
        <v/>
      </c>
      <c r="AY39" s="50" t="str">
        <f t="shared" si="20"/>
        <v/>
      </c>
      <c r="AZ39" s="50" t="str">
        <f t="shared" si="21"/>
        <v/>
      </c>
      <c r="BA39" s="50">
        <f t="shared" si="22"/>
        <v>0</v>
      </c>
      <c r="BB39" s="14" t="str">
        <f t="shared" si="23"/>
        <v/>
      </c>
      <c r="BC39" s="14" t="str">
        <f>IF(ISBLANK(AH39),"",IFERROR(VLOOKUP(AH39,Transactions!D:F,3,0)))</f>
        <v/>
      </c>
      <c r="BD39" s="50" t="str">
        <f t="shared" si="24"/>
        <v/>
      </c>
      <c r="BE39" s="50" t="str">
        <f t="shared" si="25"/>
        <v/>
      </c>
      <c r="BF39" s="14" t="str">
        <f t="shared" si="26"/>
        <v/>
      </c>
      <c r="BG39" s="180" t="str">
        <f>IF(ISBLANK(AH39),"",IFERROR(VLOOKUP(AH39,Transactions!D:G,4,0)))</f>
        <v/>
      </c>
    </row>
    <row r="40">
      <c r="A40" s="14" t="str">
        <f t="shared" ref="A40:C40" si="62">AG40</f>
        <v/>
      </c>
      <c r="B40" s="14" t="str">
        <f t="shared" si="62"/>
        <v/>
      </c>
      <c r="C40" s="175" t="str">
        <f t="shared" si="62"/>
        <v/>
      </c>
      <c r="D40" s="176" t="str">
        <f>IFERROR(__xludf.DUMMYFUNCTION("IF(ISBLANK(B40),"""",IFERROR(IF(OR(AF40=""GPB"",AF40=""ZAR""),IF(AF40=Dashboard!$L$1,AJ40,(AJ40*GOOGLEFINANCE(""CURRENCY:""&amp;AF40&amp;""""&amp;Dashboard!$L$1&amp;""""))/100),IF(AF40=Dashboard!$L$1,AJ40,AJ40*GOOGLEFINANCE(""CURRENCY:""&amp;AF40&amp;""""&amp;Dashboard!$L$1&amp;""""))),"&amp;"AJ40))"),"")</f>
        <v/>
      </c>
      <c r="E40" s="177" t="str">
        <f>IFERROR(__xludf.DUMMYFUNCTION("IFERROR(IF(OR(AF40=""GBP"",AF40=""ZAR""),IF(B40="""","""",IF(AF40=Dashboard!$L$1,AK40,AK40*GOOGLEFINANCE(""CURRENCY:""&amp;AF40&amp;""""&amp;Dashboard!$L$1&amp;"""")))/100,If(B40="""","""",IF(AF40=Dashboard!$L$1,AK40,AK40*GOOGLEFINANCE(""CURRENCY:""&amp;AF40&amp;""""&amp;Dashboard!$"&amp;"L$1&amp;"""")))),AK40)"),"")</f>
        <v/>
      </c>
      <c r="F40" s="145">
        <f>IFERROR(__xludf.DUMMYFUNCTION(" E40 * GOOGLEFINANCE(""CURRENCY:USDEUR"") "),0.0)</f>
        <v>0</v>
      </c>
      <c r="G40" s="96" t="str">
        <f>IFERROR(__xludf.DUMMYFUNCTION("IF(ISBLANK(B40),"""",IFERROR(SPARKLINE(INDEX(GOOGLEFINANCE(B40,""price"",TODAY()-$G$2,TODAY()),,2),{""charttype"",""column"";""color"",""17a7e0""}),""""))"),"")</f>
        <v/>
      </c>
      <c r="H40" s="50" t="str">
        <f t="shared" si="3"/>
        <v/>
      </c>
      <c r="I40" s="96" t="str">
        <f>IFERROR(__xludf.DUMMYFUNCTION("IF(ISBLANK(B40),"""",IFERROR(IF(OR(AF40=""GPB"",AF40=""ZAR""),IF(AF40=Dashboard!$L$1,AN40,(AN40*GOOGLEFINANCE(""CURRENCY:""&amp;AF40&amp;""""&amp;Dashboard!$L$1&amp;""""))/100),IF(AF40=Dashboard!$L$1,AN40,AN40*GOOGLEFINANCE(""CURRENCY:""&amp;AF40&amp;""""&amp;Dashboard!$L$1&amp;""""))),"&amp;"AN40))"),"")</f>
        <v/>
      </c>
      <c r="J40" s="178" t="str">
        <f>IF(ISBLANK(B40),"",IFERROR(((C40-SUMIFS(Transactions!I:I,Transactions!H:H,"Crypto Interest",Transactions!D:D,B40))*D40),""))</f>
        <v/>
      </c>
      <c r="K40" s="178" t="str">
        <f t="shared" si="4"/>
        <v/>
      </c>
      <c r="L40" s="145">
        <f>-SUMIFS(Transactions!$M$3:$M149,Transactions!$H$3:$H149,"Buy",Transactions!$D$3:$D149,B40)</f>
        <v>0</v>
      </c>
      <c r="M40" s="145">
        <f>IF(ISBLANK(AG40),"",SUMIFS(Transactions!$M$3:$M149,Transactions!$H$3:$H149,"Dividend",Transactions!$D$3:$D149,B40))</f>
        <v>0</v>
      </c>
      <c r="N40" s="145" t="str">
        <f>IF(ISBLANK(AH40),"",SUMIFS(Transactions!$M$3:$M149,Transactions!$H$3:$H149,"Sell",Transactions!$D$3:$D149,B40))</f>
        <v/>
      </c>
      <c r="O40" s="50" t="str">
        <f t="shared" si="5"/>
        <v/>
      </c>
      <c r="P40" s="178" t="str">
        <f t="shared" si="6"/>
        <v/>
      </c>
      <c r="Q40" s="178" t="str">
        <f>IFERROR(__xludf.DUMMYFUNCTION("IF(ISBLANK(B40),"""",IFERROR(IF(OR(AF40=""GPB"",AF40=""ZAR""),IF(AF40=Dashboard!$L$1,AS40,(AS40*GOOGLEFINANCE(""CURRENCY:""&amp;AF40&amp;""""&amp;Dashboard!$L$1&amp;""""))/100),IF(AF40=Dashboard!$L$1,AS40,AS40*GOOGLEFINANCE(""CURRENCY:""&amp;AF40&amp;""""&amp;Dashboard!$L$1&amp;""""))),"&amp;"AS40))"),"")</f>
        <v/>
      </c>
      <c r="R40" s="178" t="str">
        <f t="shared" si="7"/>
        <v/>
      </c>
      <c r="S40" s="50" t="str">
        <f>IFERROR(__xludf.DUMMYFUNCTION("IF(ISBLANK(B40),"""",IFERROR((GOOGLEFINANCE(B40,""price"")/INDEX(GOOGLEFINANCE(B40,""price"",DATEVALUE(TODAY()-$S$2) ),2,2)-1),""""))"),"")</f>
        <v/>
      </c>
      <c r="U40" s="50" t="str">
        <f>IFERROR(__xludf.DUMMYFUNCTION("IF(ISBLANK(B40),"""",IFERROR((GOOGLEFINANCE($U$2,""price"")/INDEX(GOOGLEFINANCE($U$2,""price"",DATEVALUE(TODAY()-$S$2) ),2,2)-1),""""))"),"")</f>
        <v/>
      </c>
      <c r="W40" s="50" t="str">
        <f t="shared" si="8"/>
        <v/>
      </c>
      <c r="X40" s="50" t="str">
        <f t="shared" si="9"/>
        <v/>
      </c>
      <c r="Y40" s="179">
        <v>0.0</v>
      </c>
      <c r="Z40" s="50" t="str">
        <f t="shared" si="10"/>
        <v/>
      </c>
      <c r="AA40" s="14" t="str">
        <f t="shared" si="11"/>
        <v/>
      </c>
      <c r="AB40" s="50" t="str">
        <f t="shared" si="12"/>
        <v/>
      </c>
      <c r="AC40" s="179" t="str">
        <f t="shared" si="13"/>
        <v/>
      </c>
      <c r="AD40" s="50" t="str">
        <f t="shared" si="14"/>
        <v/>
      </c>
      <c r="AE40" s="180" t="str">
        <f t="shared" si="15"/>
        <v/>
      </c>
      <c r="AF40" s="14" t="str">
        <f t="array" ref="AF40">IFERROR(IF(ISBLANK(AH40),"",IF(VLOOKUP(AH40,Transactions!D:F,3,0)="Stablecoin",AH40,INDEX(Transactions!$B$3:$B149,MATCH(AH40,Transactions!$D$3:$D149,0),0))))</f>
        <v/>
      </c>
      <c r="AG40" s="14" t="str">
        <f>IF(ISBLANK(AH40),"",VLOOKUP(AH40,Transactions!D:E,2,0))</f>
        <v/>
      </c>
      <c r="AH40" s="14"/>
      <c r="AI40" s="146" t="str">
        <f>IF(ISBLANK(AH40),"",IF(
SUMIFS(Transactions!$I$3:$I149,Transactions!$H$3:$H149,"Buy",Transactions!$F$3:$F149,"Stock",Transactions!$D$3:$D149,AH40)
+SUMIFS(Transactions!$I$3:$I149,Transactions!$H$3:$H149,"DRIP",Transactions!$F$3:$F149,"Stock",Transactions!$D$3:$D149,AH40)
+SUMIFS(Transactions!$I$3:$I149,Transactions!$H$3:$H149,"Transfer Deposit",Transactions!$F$3:$F149,"Stock",Transactions!$D$3:$D149,AH40)
+SUMIFS(Transactions!$I$3:$I149,Transactions!$H$3:$H149,"Buy",Transactions!$F$3:$F149,"ETF",Transactions!$D$3:$D149,AH40)
+SUMIFS(Transactions!$I$3:$I149,Transactions!$H$3:$H149,"DRIP",Transactions!$F$3:$F149,"ETF",Transactions!$D$3:$D149,AH40)
+SUMIFS(Transactions!$I$3:$I149,Transactions!$H$3:$H149,"Transfer Deposit",Transactions!$F$3:$F149,"ETF",Transactions!$D$3:$D149,AH40)
+SUMIFS(Transactions!$I$3:$I149,Transactions!$H$3:$H149,"Buy",Transactions!$F$3:$F149,"Commodity",Transactions!$D$3:$D149,AH40)
+SUMIFS(Transactions!$I$3:$I149,Transactions!$H$3:$H149,"DRIP",Transactions!$F$3:$F149,"Commodity",Transactions!$D$3:$D149,AH40)
+SUMIFS(Transactions!$I$3:$I149,Transactions!$H$3:$H149,"Transfer Deposit",Transactions!$F$3:$F149,"Commodity",Transactions!$D$3:$D149,AH40)
+SUMIFS(Transactions!$I$3:$I149,Transactions!$H$3:$H149,"Buy",Transactions!$F$3:$F149,"Managed Fund",Transactions!$D$3:$D149,AH40)
+SUMIFS(Transactions!$I$3:$I149,Transactions!$H$3:$H149,"DRIP",Transactions!$F$3:$F149,"Managed Fund",Transactions!$D$3:$D149,AH40)
+SUMIFS(Transactions!$I$3:$I149,Transactions!$H$3:$H149,"Transfer Deposit",Transactions!$F$3:$F149,"Managed Fund",Transactions!$D$3:$D149,AH40)
+SUMIFS(Transactions!$I$3:$I149,Transactions!$H$3:$H149,"Buy",Transactions!$F$3:$F149,"REIT",Transactions!$D$3:$D149,AH40)
+SUMIFS(Transactions!$I$3:$I149,Transactions!$H$3:$H149,"DRIP",Transactions!$F$3:$F149,"REIT",Transactions!$D$3:$D149,AH40)
+SUMIFS(Transactions!$I$3:$I149,Transactions!$H$3:$H149,"Transfer Deposit",Transactions!$F$3:$F149,"REIT",Transactions!$D$3:$D149,AH40)
-SUMIFS(Transactions!$I$3:$I149,Transactions!$H$3:$H149,"Sell",Transactions!$F$3:$F149,"Stock",Transactions!$D$3:$D149,AH40)
-SUMIFS(Transactions!$I$3:$I149,Transactions!$H$3:$H149,"Transfer Send",Transactions!$F$3:$F149,"Stock",Transactions!$D$3:$D149,AH40)
-SUMIFS(Transactions!$I$3:$I149,Transactions!$H$3:$H149,"Sell",Transactions!$F$3:$F149,"ETF",Transactions!$D$3:$D149,AH40)
-SUMIFS(Transactions!$I$3:$I149,Transactions!$H$3:$H149,"Transfer Send",Transactions!$F$3:$F149,"ETF",Transactions!$D$3:$D149,AH40)
-SUMIFS(Transactions!$I$3:$I149,Transactions!$H$3:$H149,"Sell",Transactions!$F$3:$F149,"Commodity",Transactions!$D$3:$D149,AH40)
-SUMIFS(Transactions!$I$3:$I149,Transactions!$H$3:$H149,"Transfer Send",Transactions!$F$3:$F149,"Commodity",Transactions!$D$3:$D149,AH40)
-SUMIFS(Transactions!$I$3:$I149,Transactions!$H$3:$H149,"Sell",Transactions!$F$3:$F149,"Managed Fund",Transactions!$D$3:$D149,AH40)
-SUMIFS(Transactions!$I$3:$I149,Transactions!$H$3:$H149,"Transfer Send",Transactions!$F$3:$F149,"Managed Fund",Transactions!$D$3:$D149,AH40)
-SUMIFS(Transactions!$I$3:$I149,Transactions!$H$3:$H149,"Sell",Transactions!$F$3:$F149,"REIT",Transactions!$D$3:$D149,AH40)
-SUMIFS(Transactions!$I$3:$I149,Transactions!$H$3:$H149,"Transfer Send",Transactions!$F$3:$F149,"REIT",Transactions!$D$3:$D149,AH40)
+SUMIFS(Transactions!$I$3:$I149,Transactions!$H$3:$H149,"Buy",Transactions!$F$3:$F149,"Crypto",Transactions!$D$3:$D149,AH40)
+SUMIFS(Transactions!$I$3:$I149,Transactions!$H$3:$H149,"Crypto Interest",Transactions!$F$3:$F149,"Crypto",Transactions!$D$3:$D149,AH40)
+SUMIFS(Transactions!$I$3:$I149,Transactions!$H$3:$H149,"Transfer Deposit",Transactions!$F$3:$F149,"Crypto",Transactions!$D$3:$D149,AH40)
-SUMIFS(Transactions!$I$3:$I149,Transactions!$H$3:$H149,"Transfer Send",Transactions!$F$3:$F149,"Crypto",Transactions!$D$3:$D149,AH40)
-SUMIFS(Transactions!$I$3:$I149,Transactions!$H$3:$H149,"Sell",Transactions!$F$3:$F149,"Crypto",Transactions!$D$3:$D149,AH40)
+SUMIFS(Transactions!$I$3:$I149,Transactions!$H$3:$H149,"Buy",Transactions!$F$3:$F149,"Stablecoin",Transactions!$D$3:$D149,AH40)
+SUMIFS(Transactions!$I$3:$I149,Transactions!$H$3:$H149,"Crypto Interest",Transactions!$F$3:$F149,"Stablecoin",Transactions!$D$3:$D149,AH40)
+SUMIFS(Transactions!$I$3:$I149,Transactions!$H$3:$H149,"Transfer Deposit",Transactions!$F$3:$F149,"Stablecoin",Transactions!$D$3:$D149,AH40)
-SUMIFS(Transactions!$I$3:$I149,Transactions!$H$3:$H149,"Transfer Send",Transactions!$F$3:$F149,"Stablecoin",Transactions!$D$3:$D149,AH40)
-SUMIFS(Transactions!$I$3:$I149,Transactions!$H$3:$H149,"Sell",Transactions!$F$3:$F149,"Stablecoin",Transactions!$D$3:$D149,AH40)
-SUMIFS(Transactions!$M$3:$M149,Transactions!$H$3:$H149,"Buy",Transactions!$B$3:$B149,AH40)=0,"Sold All",
SUMIFS(Transactions!$I$3:$I149,Transactions!$H$3:$H149,"Buy",Transactions!$F$3:$F149,"Stock",Transactions!$D$3:$D149,AH40)
+SUMIFS(Transactions!$I$3:$I149,Transactions!$H$3:$H149,"DRIP",Transactions!$F$3:$F149,"Stock",Transactions!$D$3:$D149,AH40)
+SUMIFS(Transactions!$I$3:$I149,Transactions!$H$3:$H149,"Transfer Deposit",Transactions!$F$3:$F149,"Stock",Transactions!$D$3:$D149,AH40)
+SUMIFS(Transactions!$I$3:$I149,Transactions!$H$3:$H149,"Buy",Transactions!$F$3:$F149,"ETF",Transactions!$D$3:$D149,AH40)
+SUMIFS(Transactions!$I$3:$I149,Transactions!$H$3:$H149,"DRIP",Transactions!$F$3:$F149,"ETF",Transactions!$D$3:$D149,AH40)
+SUMIFS(Transactions!$I$3:$I149,Transactions!$H$3:$H149,"Transfer Deposit",Transactions!$F$3:$F149,"ETF",Transactions!$D$3:$D149,AH40)
+SUMIFS(Transactions!$I$3:$I149,Transactions!$H$3:$H149,"Buy",Transactions!$F$3:$F149,"Commodity",Transactions!$D$3:$D149,AH40)
+SUMIFS(Transactions!$I$3:$I149,Transactions!$H$3:$H149,"DRIP",Transactions!$F$3:$F149,"Commodity",Transactions!$D$3:$D149,AH40)
+SUMIFS(Transactions!$I$3:$I149,Transactions!$H$3:$H149,"Transfer Deposit",Transactions!$F$3:$F149,"Commodity",Transactions!$D$3:$D149,AH40)
+SUMIFS(Transactions!$I$3:$I149,Transactions!$H$3:$H149,"Buy",Transactions!$F$3:$F149,"Managed Fund",Transactions!$D$3:$D149,AH40)
+SUMIFS(Transactions!$I$3:$I149,Transactions!$H$3:$H149,"DRIP",Transactions!$F$3:$F149,"Managed Fund",Transactions!$D$3:$D149,AH40)
+SUMIFS(Transactions!$I$3:$I149,Transactions!$H$3:$H149,"Transfer Deposit",Transactions!$F$3:$F149,"Managed Fund",Transactions!$D$3:$D149,AH40)
+SUMIFS(Transactions!$I$3:$I149,Transactions!$H$3:$H149,"Buy",Transactions!$F$3:$F149,"REIT",Transactions!$D$3:$D149,AH40)
+SUMIFS(Transactions!$I$3:$I149,Transactions!$H$3:$H149,"DRIP",Transactions!$F$3:$F149,"REIT",Transactions!$D$3:$D149,AH40)
+SUMIFS(Transactions!$I$3:$I149,Transactions!$H$3:$H149,"Transfer Deposit",Transactions!$F$3:$F149,"REIT",Transactions!$D$3:$D149,AH40)
-SUMIFS(Transactions!$I$3:$I149,Transactions!$H$3:$H149,"Sell",Transactions!$F$3:$F149,"Stock",Transactions!$D$3:$D149,AH40)
-SUMIFS(Transactions!$I$3:$I149,Transactions!$H$3:$H149,"Transfer Send",Transactions!$F$3:$F149,"Stock",Transactions!$D$3:$D149,AH40)
-SUMIFS(Transactions!$I$3:$I149,Transactions!$H$3:$H149,"Sell",Transactions!$F$3:$F149,"ETF",Transactions!$D$3:$D149,AH40)
-SUMIFS(Transactions!$I$3:$I149,Transactions!$H$3:$H149,"Transfer Send",Transactions!$F$3:$F149,"ETF",Transactions!$D$3:$D149,AH40)
-SUMIFS(Transactions!$I$3:$I149,Transactions!$H$3:$H149,"Sell",Transactions!$F$3:$F149,"Commodity",Transactions!$D$3:$D149,AH40)
-SUMIFS(Transactions!$I$3:$I149,Transactions!$H$3:$H149,"Transfer Send",Transactions!$F$3:$F149,"Commodity",Transactions!$D$3:$D149,AH40)
-SUMIFS(Transactions!$I$3:$I149,Transactions!$H$3:$H149,"Sell",Transactions!$F$3:$F149,"Managed Fund",Transactions!$D$3:$D149,AH40)
-SUMIFS(Transactions!$I$3:$I149,Transactions!$H$3:$H149,"Transfer Send",Transactions!$F$3:$F149,"Managed Fund",Transactions!$D$3:$D149,AH40)
-SUMIFS(Transactions!$I$3:$I149,Transactions!$H$3:$H149,"Sell",Transactions!$F$3:$F149,"REIT",Transactions!$D$3:$D149,AH40)
-SUMIFS(Transactions!$I$3:$I149,Transactions!$H$3:$H149,"Transfer Send",Transactions!$F$3:$F149,"REIT",Transactions!$D$3:$D149,AH40)
+SUMIFS(Transactions!$I$3:$I149,Transactions!$H$3:$H149,"Buy",Transactions!$F$3:$F149,"Crypto",Transactions!$D$3:$D149,AH40)
+SUMIFS(Transactions!$I$3:$I149,Transactions!$H$3:$H149,"Crypto Interest",Transactions!$F$3:$F149,"Crypto",Transactions!$D$3:$D149,AH40)
+SUMIFS(Transactions!$I$3:$I149,Transactions!$H$3:$H149,"Transfer Deposit",Transactions!$F$3:$F149,"Crypto",Transactions!$D$3:$D149,AH40)
-SUMIFS(Transactions!$I$3:$I149,Transactions!$H$3:$H149,"Transfer Send",Transactions!$F$3:$F149,"Crypto",Transactions!$D$3:$D149,AH40)
-SUMIFS(Transactions!$I$3:$I149,Transactions!$H$3:$H149,"Sell",Transactions!$F$3:$F149,"Crypto",Transactions!$D$3:$D149,AH40)
+SUMIFS(Transactions!$I$3:$I149,Transactions!$H$3:$H149,"Buy",Transactions!$F$3:$F149,"Stablecoin",Transactions!$D$3:$D149,AH40)
+SUMIFS(Transactions!$I$3:$I149,Transactions!$H$3:$H149,"Crypto Interest",Transactions!$F$3:$F149,"Stablecoin",Transactions!$D$3:$D149,AH40)
+SUMIFS(Transactions!$I$3:$I149,Transactions!$H$3:$H149,"Transfer Deposit",Transactions!$F$3:$F149,"Stablecoin",Transactions!$D$3:$D149,AH40)
-SUMIFS(Transactions!$I$3:$I149,Transactions!$H$3:$H149,"Transfer Send",Transactions!$F$3:$F149,"Stablecoin",Transactions!$D$3:$D149,AH40)
-SUMIFS(Transactions!$I$3:$I149,Transactions!$H$3:$H149,"Sell",Transactions!$F$3:$F149,"Stablecoin",Transactions!$D$3:$D149,AH40)
-SUMIFS(Transactions!$M$3:$M149,Transactions!$H$3:$H149,"Buy",Transactions!$B$3:$B149,AH40)))</f>
        <v/>
      </c>
      <c r="AJ40" s="181" t="str">
        <f>IFERROR(__xludf.DUMMYFUNCTION("IF(ISBLANK(AH40),"""",VLOOKUP(9^99,FILTER({ROW(Transactions!P:P),Transactions!P:P},Transactions!D:D=AH40),2))"),"")</f>
        <v/>
      </c>
      <c r="AK40" s="181" t="str">
        <f>IFERROR(__xludf.DUMMYFUNCTION("IF(ISBLANK(AH40),"""",IFERROR(GOOGLEFINANCE(AH40,""price""),IFERROR(GOOGLEFINANCE(""CURRENCY:""&amp;AH40&amp;""""),IFERROR(INDEX(YAHOO_STOCK(TRIM(AH40), $G$2),0,1),INDEX(IMPORTHTML(CONCAT(""https://coinmarketcap.com/currencies/"",AG40),""table"",1),1,2)))))"),"")</f>
        <v/>
      </c>
      <c r="AL40" s="14" t="str">
        <f>IFERROR(__xludf.DUMMYFUNCTION("IF(ISBLANK(AH40),"""",IFERROR(SPARKLINE(INDEX(GOOGLEFINANCE(AH40,""price"",TODAY()-$AL$2,TODAY()),,2),{""charttype"",""column"";""color"",""17a7e0""}),""""))"),"")</f>
        <v/>
      </c>
      <c r="AM40" s="50" t="str">
        <f>IFERROR(__xludf.DUMMYFUNCTION("IFNA(IFERROR(IF(AH40="""","""",GOOGLEFINANCE(AH40,""changepct"")/100),(GOOGLEFINANCE(AH40)-(INDEX(GOOGLEFINANCE(""CURRENCY:""&amp;AH40&amp;"""",""price"",TODAY()-1),2,2)))/(INDEX(GOOGLEFINANCE(""CURRENCY:""&amp;AH40&amp;"""",""price"",TODAY()-1),2,2))),)"),"")</f>
        <v/>
      </c>
      <c r="AN40" s="96" t="str">
        <f>IFERROR(__xludf.DUMMYFUNCTION("IFNA(IFERROR(IF(AH40="""","""",GOOGLEFINANCE(AH40,""change"")*AI40),(GOOGLEFINANCE(AH40)-(INDEX(GOOGLEFINANCE(""CURRENCY:""&amp;AH40&amp;"""",""price"",TODAY()-1),2,2)))*AI40),"""")"),"")</f>
        <v/>
      </c>
      <c r="AO40" s="96" t="str">
        <f>IF(ISBLANK(AH40),"",IFERROR(((AI40-SUMIFS(Transactions!I:I,Transactions!H:H,"Crypto Interest",Transactions!D:D,AH40))*AJ40),""))</f>
        <v/>
      </c>
      <c r="AP40" s="96" t="str">
        <f t="shared" si="16"/>
        <v/>
      </c>
      <c r="AQ40" s="50" t="str">
        <f t="shared" si="17"/>
        <v/>
      </c>
      <c r="AR40" s="96" t="str">
        <f t="shared" si="18"/>
        <v/>
      </c>
      <c r="AS40" s="96" t="str">
        <f>IF(ISBLANK(AH40),"",SUMIFS(Transactions!$X$3:$X149,Transactions!$H$3:$H149,"Sell",Transactions!$D$3:$D149,AH40))</f>
        <v/>
      </c>
      <c r="AT40" s="96" t="str">
        <f t="shared" si="19"/>
        <v/>
      </c>
      <c r="AU40" s="50" t="str">
        <f>IFERROR(__xludf.DUMMYFUNCTION("IF(ISBLANK(AH40),"""",IFERROR((GOOGLEFINANCE(AH40,""price"")/INDEX(GOOGLEFINANCE(AH40,""price"",DATEVALUE(TODAY()-$AU$2) ),2,2)-1),""""))"),"")</f>
        <v/>
      </c>
      <c r="AW40" s="50" t="str">
        <f>IFERROR(__xludf.DUMMYFUNCTION("IF(ISBLANK(AH40),"""",IFERROR((GOOGLEFINANCE($AW$2,""price"")/INDEX(GOOGLEFINANCE($AW$2,""price"",DATEVALUE(TODAY()-$AU$2) ),2,2)-1),""""))"),"")</f>
        <v/>
      </c>
      <c r="AY40" s="50" t="str">
        <f t="shared" si="20"/>
        <v/>
      </c>
      <c r="AZ40" s="50" t="str">
        <f t="shared" si="21"/>
        <v/>
      </c>
      <c r="BA40" s="50">
        <f t="shared" si="22"/>
        <v>0</v>
      </c>
      <c r="BB40" s="14" t="str">
        <f t="shared" si="23"/>
        <v/>
      </c>
      <c r="BC40" s="14" t="str">
        <f>IF(ISBLANK(AH40),"",IFERROR(VLOOKUP(AH40,Transactions!D:F,3,0)))</f>
        <v/>
      </c>
      <c r="BD40" s="50" t="str">
        <f t="shared" si="24"/>
        <v/>
      </c>
      <c r="BE40" s="50" t="str">
        <f t="shared" si="25"/>
        <v/>
      </c>
      <c r="BF40" s="14" t="str">
        <f t="shared" si="26"/>
        <v/>
      </c>
      <c r="BG40" s="180" t="str">
        <f>IF(ISBLANK(AH40),"",IFERROR(VLOOKUP(AH40,Transactions!D:G,4,0)))</f>
        <v/>
      </c>
    </row>
    <row r="41">
      <c r="A41" s="14" t="str">
        <f t="shared" ref="A41:C41" si="63">AG41</f>
        <v/>
      </c>
      <c r="B41" s="14" t="str">
        <f t="shared" si="63"/>
        <v/>
      </c>
      <c r="C41" s="175" t="str">
        <f t="shared" si="63"/>
        <v/>
      </c>
      <c r="D41" s="176" t="str">
        <f>IFERROR(__xludf.DUMMYFUNCTION("IF(ISBLANK(B41),"""",IFERROR(IF(OR(AF41=""GPB"",AF41=""ZAR""),IF(AF41=Dashboard!$L$1,AJ41,(AJ41*GOOGLEFINANCE(""CURRENCY:""&amp;AF41&amp;""""&amp;Dashboard!$L$1&amp;""""))/100),IF(AF41=Dashboard!$L$1,AJ41,AJ41*GOOGLEFINANCE(""CURRENCY:""&amp;AF41&amp;""""&amp;Dashboard!$L$1&amp;""""))),"&amp;"AJ41))"),"")</f>
        <v/>
      </c>
      <c r="E41" s="145" t="str">
        <f>IFERROR(__xludf.DUMMYFUNCTION("IFERROR(IF(OR(AF41=""GBP"",AF41=""ZAR""),IF(B41="""","""",IF(AF41=Dashboard!$L$1,AK41,AK41*GOOGLEFINANCE(""CURRENCY:""&amp;AF41&amp;""""&amp;Dashboard!$L$1&amp;"""")))/100,If(B41="""","""",IF(AF41=Dashboard!$L$1,AK41,AK41*GOOGLEFINANCE(""CURRENCY:""&amp;AF41&amp;""""&amp;Dashboard!$"&amp;"L$1&amp;"""")))),AK41)"),"")</f>
        <v/>
      </c>
      <c r="F41" s="145" t="str">
        <f t="shared" ref="F41:F149" si="65">E41</f>
        <v/>
      </c>
      <c r="G41" s="96" t="str">
        <f>IFERROR(__xludf.DUMMYFUNCTION("IF(ISBLANK(B41),"""",IFERROR(SPARKLINE(INDEX(GOOGLEFINANCE(B41,""price"",TODAY()-$G$2,TODAY()),,2),{""charttype"",""column"";""color"",""17a7e0""}),""""))"),"")</f>
        <v/>
      </c>
      <c r="H41" s="50" t="str">
        <f t="shared" si="3"/>
        <v/>
      </c>
      <c r="I41" s="96" t="str">
        <f>IFERROR(__xludf.DUMMYFUNCTION("IF(ISBLANK(B41),"""",IFERROR(IF(OR(AF41=""GPB"",AF41=""ZAR""),IF(AF41=Dashboard!$L$1,AN41,(AN41*GOOGLEFINANCE(""CURRENCY:""&amp;AF41&amp;""""&amp;Dashboard!$L$1&amp;""""))/100),IF(AF41=Dashboard!$L$1,AN41,AN41*GOOGLEFINANCE(""CURRENCY:""&amp;AF41&amp;""""&amp;Dashboard!$L$1&amp;""""))),"&amp;"AN41))"),"")</f>
        <v/>
      </c>
      <c r="J41" s="178" t="str">
        <f>IF(ISBLANK(B41),"",IFERROR(((C41-SUMIFS(Transactions!I:I,Transactions!H:H,"Crypto Interest",Transactions!D:D,B41))*D41),""))</f>
        <v/>
      </c>
      <c r="K41" s="178" t="str">
        <f t="shared" si="4"/>
        <v/>
      </c>
      <c r="L41" s="145">
        <f>-SUMIFS(Transactions!$M$3:$M149,Transactions!$H$3:$H149,"Buy",Transactions!$D$3:$D149,B41)</f>
        <v>0</v>
      </c>
      <c r="M41" s="145">
        <f>IF(ISBLANK(AG41),"",SUMIFS(Transactions!$M$3:$M149,Transactions!$H$3:$H149,"Dividend",Transactions!$D$3:$D149,B41))</f>
        <v>0</v>
      </c>
      <c r="N41" s="145" t="str">
        <f>IF(ISBLANK(AH41),"",SUMIFS(Transactions!$M$3:$M149,Transactions!$H$3:$H149,"Sell",Transactions!$D$3:$D149,B41))</f>
        <v/>
      </c>
      <c r="O41" s="50" t="str">
        <f t="shared" si="5"/>
        <v/>
      </c>
      <c r="P41" s="178" t="str">
        <f t="shared" si="6"/>
        <v/>
      </c>
      <c r="Q41" s="178" t="str">
        <f>IFERROR(__xludf.DUMMYFUNCTION("IF(ISBLANK(B41),"""",IFERROR(IF(OR(AF41=""GPB"",AF41=""ZAR""),IF(AF41=Dashboard!$L$1,AS41,(AS41*GOOGLEFINANCE(""CURRENCY:""&amp;AF41&amp;""""&amp;Dashboard!$L$1&amp;""""))/100),IF(AF41=Dashboard!$L$1,AS41,AS41*GOOGLEFINANCE(""CURRENCY:""&amp;AF41&amp;""""&amp;Dashboard!$L$1&amp;""""))),"&amp;"AS41))"),"")</f>
        <v/>
      </c>
      <c r="R41" s="178" t="str">
        <f t="shared" si="7"/>
        <v/>
      </c>
      <c r="S41" s="50" t="str">
        <f>IFERROR(__xludf.DUMMYFUNCTION("IF(ISBLANK(B41),"""",IFERROR((GOOGLEFINANCE(B41,""price"")/INDEX(GOOGLEFINANCE(B41,""price"",DATEVALUE(TODAY()-$S$2) ),2,2)-1),""""))"),"")</f>
        <v/>
      </c>
      <c r="U41" s="50" t="str">
        <f>IFERROR(__xludf.DUMMYFUNCTION("IF(ISBLANK(B41),"""",IFERROR((GOOGLEFINANCE($U$2,""price"")/INDEX(GOOGLEFINANCE($U$2,""price"",DATEVALUE(TODAY()-$S$2) ),2,2)-1),""""))"),"")</f>
        <v/>
      </c>
      <c r="W41" s="50" t="str">
        <f t="shared" si="8"/>
        <v/>
      </c>
      <c r="X41" s="50" t="str">
        <f t="shared" si="9"/>
        <v/>
      </c>
      <c r="Y41" s="179">
        <v>0.0</v>
      </c>
      <c r="Z41" s="50" t="str">
        <f t="shared" si="10"/>
        <v/>
      </c>
      <c r="AA41" s="14" t="str">
        <f t="shared" si="11"/>
        <v/>
      </c>
      <c r="AB41" s="50" t="str">
        <f t="shared" si="12"/>
        <v/>
      </c>
      <c r="AC41" s="179" t="str">
        <f t="shared" si="13"/>
        <v/>
      </c>
      <c r="AD41" s="50" t="str">
        <f t="shared" si="14"/>
        <v/>
      </c>
      <c r="AE41" s="180" t="str">
        <f t="shared" si="15"/>
        <v/>
      </c>
      <c r="AF41" s="14" t="str">
        <f t="array" ref="AF41">IFERROR(IF(ISBLANK(AH41),"",IF(VLOOKUP(AH41,Transactions!D:F,3,0)="Stablecoin",AH41,INDEX(Transactions!$B$3:$B149,MATCH(AH41,Transactions!$D$3:$D149,0),0))))</f>
        <v/>
      </c>
      <c r="AG41" s="14" t="str">
        <f>IF(ISBLANK(AH41),"",VLOOKUP(AH41,Transactions!D:E,2,0))</f>
        <v/>
      </c>
      <c r="AH41" s="14"/>
      <c r="AI41" s="146" t="str">
        <f>IF(ISBLANK(AH41),"",IF(
SUMIFS(Transactions!$I$3:$I149,Transactions!$H$3:$H149,"Buy",Transactions!$F$3:$F149,"Stock",Transactions!$D$3:$D149,AH41)
+SUMIFS(Transactions!$I$3:$I149,Transactions!$H$3:$H149,"DRIP",Transactions!$F$3:$F149,"Stock",Transactions!$D$3:$D149,AH41)
+SUMIFS(Transactions!$I$3:$I149,Transactions!$H$3:$H149,"Transfer Deposit",Transactions!$F$3:$F149,"Stock",Transactions!$D$3:$D149,AH41)
+SUMIFS(Transactions!$I$3:$I149,Transactions!$H$3:$H149,"Buy",Transactions!$F$3:$F149,"ETF",Transactions!$D$3:$D149,AH41)
+SUMIFS(Transactions!$I$3:$I149,Transactions!$H$3:$H149,"DRIP",Transactions!$F$3:$F149,"ETF",Transactions!$D$3:$D149,AH41)
+SUMIFS(Transactions!$I$3:$I149,Transactions!$H$3:$H149,"Transfer Deposit",Transactions!$F$3:$F149,"ETF",Transactions!$D$3:$D149,AH41)
+SUMIFS(Transactions!$I$3:$I149,Transactions!$H$3:$H149,"Buy",Transactions!$F$3:$F149,"Commodity",Transactions!$D$3:$D149,AH41)
+SUMIFS(Transactions!$I$3:$I149,Transactions!$H$3:$H149,"DRIP",Transactions!$F$3:$F149,"Commodity",Transactions!$D$3:$D149,AH41)
+SUMIFS(Transactions!$I$3:$I149,Transactions!$H$3:$H149,"Transfer Deposit",Transactions!$F$3:$F149,"Commodity",Transactions!$D$3:$D149,AH41)
+SUMIFS(Transactions!$I$3:$I149,Transactions!$H$3:$H149,"Buy",Transactions!$F$3:$F149,"Managed Fund",Transactions!$D$3:$D149,AH41)
+SUMIFS(Transactions!$I$3:$I149,Transactions!$H$3:$H149,"DRIP",Transactions!$F$3:$F149,"Managed Fund",Transactions!$D$3:$D149,AH41)
+SUMIFS(Transactions!$I$3:$I149,Transactions!$H$3:$H149,"Transfer Deposit",Transactions!$F$3:$F149,"Managed Fund",Transactions!$D$3:$D149,AH41)
+SUMIFS(Transactions!$I$3:$I149,Transactions!$H$3:$H149,"Buy",Transactions!$F$3:$F149,"REIT",Transactions!$D$3:$D149,AH41)
+SUMIFS(Transactions!$I$3:$I149,Transactions!$H$3:$H149,"DRIP",Transactions!$F$3:$F149,"REIT",Transactions!$D$3:$D149,AH41)
+SUMIFS(Transactions!$I$3:$I149,Transactions!$H$3:$H149,"Transfer Deposit",Transactions!$F$3:$F149,"REIT",Transactions!$D$3:$D149,AH41)
-SUMIFS(Transactions!$I$3:$I149,Transactions!$H$3:$H149,"Sell",Transactions!$F$3:$F149,"Stock",Transactions!$D$3:$D149,AH41)
-SUMIFS(Transactions!$I$3:$I149,Transactions!$H$3:$H149,"Transfer Send",Transactions!$F$3:$F149,"Stock",Transactions!$D$3:$D149,AH41)
-SUMIFS(Transactions!$I$3:$I149,Transactions!$H$3:$H149,"Sell",Transactions!$F$3:$F149,"ETF",Transactions!$D$3:$D149,AH41)
-SUMIFS(Transactions!$I$3:$I149,Transactions!$H$3:$H149,"Transfer Send",Transactions!$F$3:$F149,"ETF",Transactions!$D$3:$D149,AH41)
-SUMIFS(Transactions!$I$3:$I149,Transactions!$H$3:$H149,"Sell",Transactions!$F$3:$F149,"Commodity",Transactions!$D$3:$D149,AH41)
-SUMIFS(Transactions!$I$3:$I149,Transactions!$H$3:$H149,"Transfer Send",Transactions!$F$3:$F149,"Commodity",Transactions!$D$3:$D149,AH41)
-SUMIFS(Transactions!$I$3:$I149,Transactions!$H$3:$H149,"Sell",Transactions!$F$3:$F149,"Managed Fund",Transactions!$D$3:$D149,AH41)
-SUMIFS(Transactions!$I$3:$I149,Transactions!$H$3:$H149,"Transfer Send",Transactions!$F$3:$F149,"Managed Fund",Transactions!$D$3:$D149,AH41)
-SUMIFS(Transactions!$I$3:$I149,Transactions!$H$3:$H149,"Sell",Transactions!$F$3:$F149,"REIT",Transactions!$D$3:$D149,AH41)
-SUMIFS(Transactions!$I$3:$I149,Transactions!$H$3:$H149,"Transfer Send",Transactions!$F$3:$F149,"REIT",Transactions!$D$3:$D149,AH41)
+SUMIFS(Transactions!$I$3:$I149,Transactions!$H$3:$H149,"Buy",Transactions!$F$3:$F149,"Crypto",Transactions!$D$3:$D149,AH41)
+SUMIFS(Transactions!$I$3:$I149,Transactions!$H$3:$H149,"Crypto Interest",Transactions!$F$3:$F149,"Crypto",Transactions!$D$3:$D149,AH41)
+SUMIFS(Transactions!$I$3:$I149,Transactions!$H$3:$H149,"Transfer Deposit",Transactions!$F$3:$F149,"Crypto",Transactions!$D$3:$D149,AH41)
-SUMIFS(Transactions!$I$3:$I149,Transactions!$H$3:$H149,"Transfer Send",Transactions!$F$3:$F149,"Crypto",Transactions!$D$3:$D149,AH41)
-SUMIFS(Transactions!$I$3:$I149,Transactions!$H$3:$H149,"Sell",Transactions!$F$3:$F149,"Crypto",Transactions!$D$3:$D149,AH41)
+SUMIFS(Transactions!$I$3:$I149,Transactions!$H$3:$H149,"Buy",Transactions!$F$3:$F149,"Stablecoin",Transactions!$D$3:$D149,AH41)
+SUMIFS(Transactions!$I$3:$I149,Transactions!$H$3:$H149,"Crypto Interest",Transactions!$F$3:$F149,"Stablecoin",Transactions!$D$3:$D149,AH41)
+SUMIFS(Transactions!$I$3:$I149,Transactions!$H$3:$H149,"Transfer Deposit",Transactions!$F$3:$F149,"Stablecoin",Transactions!$D$3:$D149,AH41)
-SUMIFS(Transactions!$I$3:$I149,Transactions!$H$3:$H149,"Transfer Send",Transactions!$F$3:$F149,"Stablecoin",Transactions!$D$3:$D149,AH41)
-SUMIFS(Transactions!$I$3:$I149,Transactions!$H$3:$H149,"Sell",Transactions!$F$3:$F149,"Stablecoin",Transactions!$D$3:$D149,AH41)
-SUMIFS(Transactions!$M$3:$M149,Transactions!$H$3:$H149,"Buy",Transactions!$B$3:$B149,AH41)=0,"Sold All",
SUMIFS(Transactions!$I$3:$I149,Transactions!$H$3:$H149,"Buy",Transactions!$F$3:$F149,"Stock",Transactions!$D$3:$D149,AH41)
+SUMIFS(Transactions!$I$3:$I149,Transactions!$H$3:$H149,"DRIP",Transactions!$F$3:$F149,"Stock",Transactions!$D$3:$D149,AH41)
+SUMIFS(Transactions!$I$3:$I149,Transactions!$H$3:$H149,"Transfer Deposit",Transactions!$F$3:$F149,"Stock",Transactions!$D$3:$D149,AH41)
+SUMIFS(Transactions!$I$3:$I149,Transactions!$H$3:$H149,"Buy",Transactions!$F$3:$F149,"ETF",Transactions!$D$3:$D149,AH41)
+SUMIFS(Transactions!$I$3:$I149,Transactions!$H$3:$H149,"DRIP",Transactions!$F$3:$F149,"ETF",Transactions!$D$3:$D149,AH41)
+SUMIFS(Transactions!$I$3:$I149,Transactions!$H$3:$H149,"Transfer Deposit",Transactions!$F$3:$F149,"ETF",Transactions!$D$3:$D149,AH41)
+SUMIFS(Transactions!$I$3:$I149,Transactions!$H$3:$H149,"Buy",Transactions!$F$3:$F149,"Commodity",Transactions!$D$3:$D149,AH41)
+SUMIFS(Transactions!$I$3:$I149,Transactions!$H$3:$H149,"DRIP",Transactions!$F$3:$F149,"Commodity",Transactions!$D$3:$D149,AH41)
+SUMIFS(Transactions!$I$3:$I149,Transactions!$H$3:$H149,"Transfer Deposit",Transactions!$F$3:$F149,"Commodity",Transactions!$D$3:$D149,AH41)
+SUMIFS(Transactions!$I$3:$I149,Transactions!$H$3:$H149,"Buy",Transactions!$F$3:$F149,"Managed Fund",Transactions!$D$3:$D149,AH41)
+SUMIFS(Transactions!$I$3:$I149,Transactions!$H$3:$H149,"DRIP",Transactions!$F$3:$F149,"Managed Fund",Transactions!$D$3:$D149,AH41)
+SUMIFS(Transactions!$I$3:$I149,Transactions!$H$3:$H149,"Transfer Deposit",Transactions!$F$3:$F149,"Managed Fund",Transactions!$D$3:$D149,AH41)
+SUMIFS(Transactions!$I$3:$I149,Transactions!$H$3:$H149,"Buy",Transactions!$F$3:$F149,"REIT",Transactions!$D$3:$D149,AH41)
+SUMIFS(Transactions!$I$3:$I149,Transactions!$H$3:$H149,"DRIP",Transactions!$F$3:$F149,"REIT",Transactions!$D$3:$D149,AH41)
+SUMIFS(Transactions!$I$3:$I149,Transactions!$H$3:$H149,"Transfer Deposit",Transactions!$F$3:$F149,"REIT",Transactions!$D$3:$D149,AH41)
-SUMIFS(Transactions!$I$3:$I149,Transactions!$H$3:$H149,"Sell",Transactions!$F$3:$F149,"Stock",Transactions!$D$3:$D149,AH41)
-SUMIFS(Transactions!$I$3:$I149,Transactions!$H$3:$H149,"Transfer Send",Transactions!$F$3:$F149,"Stock",Transactions!$D$3:$D149,AH41)
-SUMIFS(Transactions!$I$3:$I149,Transactions!$H$3:$H149,"Sell",Transactions!$F$3:$F149,"ETF",Transactions!$D$3:$D149,AH41)
-SUMIFS(Transactions!$I$3:$I149,Transactions!$H$3:$H149,"Transfer Send",Transactions!$F$3:$F149,"ETF",Transactions!$D$3:$D149,AH41)
-SUMIFS(Transactions!$I$3:$I149,Transactions!$H$3:$H149,"Sell",Transactions!$F$3:$F149,"Commodity",Transactions!$D$3:$D149,AH41)
-SUMIFS(Transactions!$I$3:$I149,Transactions!$H$3:$H149,"Transfer Send",Transactions!$F$3:$F149,"Commodity",Transactions!$D$3:$D149,AH41)
-SUMIFS(Transactions!$I$3:$I149,Transactions!$H$3:$H149,"Sell",Transactions!$F$3:$F149,"Managed Fund",Transactions!$D$3:$D149,AH41)
-SUMIFS(Transactions!$I$3:$I149,Transactions!$H$3:$H149,"Transfer Send",Transactions!$F$3:$F149,"Managed Fund",Transactions!$D$3:$D149,AH41)
-SUMIFS(Transactions!$I$3:$I149,Transactions!$H$3:$H149,"Sell",Transactions!$F$3:$F149,"REIT",Transactions!$D$3:$D149,AH41)
-SUMIFS(Transactions!$I$3:$I149,Transactions!$H$3:$H149,"Transfer Send",Transactions!$F$3:$F149,"REIT",Transactions!$D$3:$D149,AH41)
+SUMIFS(Transactions!$I$3:$I149,Transactions!$H$3:$H149,"Buy",Transactions!$F$3:$F149,"Crypto",Transactions!$D$3:$D149,AH41)
+SUMIFS(Transactions!$I$3:$I149,Transactions!$H$3:$H149,"Crypto Interest",Transactions!$F$3:$F149,"Crypto",Transactions!$D$3:$D149,AH41)
+SUMIFS(Transactions!$I$3:$I149,Transactions!$H$3:$H149,"Transfer Deposit",Transactions!$F$3:$F149,"Crypto",Transactions!$D$3:$D149,AH41)
-SUMIFS(Transactions!$I$3:$I149,Transactions!$H$3:$H149,"Transfer Send",Transactions!$F$3:$F149,"Crypto",Transactions!$D$3:$D149,AH41)
-SUMIFS(Transactions!$I$3:$I149,Transactions!$H$3:$H149,"Sell",Transactions!$F$3:$F149,"Crypto",Transactions!$D$3:$D149,AH41)
+SUMIFS(Transactions!$I$3:$I149,Transactions!$H$3:$H149,"Buy",Transactions!$F$3:$F149,"Stablecoin",Transactions!$D$3:$D149,AH41)
+SUMIFS(Transactions!$I$3:$I149,Transactions!$H$3:$H149,"Crypto Interest",Transactions!$F$3:$F149,"Stablecoin",Transactions!$D$3:$D149,AH41)
+SUMIFS(Transactions!$I$3:$I149,Transactions!$H$3:$H149,"Transfer Deposit",Transactions!$F$3:$F149,"Stablecoin",Transactions!$D$3:$D149,AH41)
-SUMIFS(Transactions!$I$3:$I149,Transactions!$H$3:$H149,"Transfer Send",Transactions!$F$3:$F149,"Stablecoin",Transactions!$D$3:$D149,AH41)
-SUMIFS(Transactions!$I$3:$I149,Transactions!$H$3:$H149,"Sell",Transactions!$F$3:$F149,"Stablecoin",Transactions!$D$3:$D149,AH41)
-SUMIFS(Transactions!$M$3:$M149,Transactions!$H$3:$H149,"Buy",Transactions!$B$3:$B149,AH41)))</f>
        <v/>
      </c>
      <c r="AJ41" s="181" t="str">
        <f>IFERROR(__xludf.DUMMYFUNCTION("IF(ISBLANK(AH41),"""",VLOOKUP(9^99,FILTER({ROW(Transactions!P:P),Transactions!P:P},Transactions!D:D=AH41),2))"),"")</f>
        <v/>
      </c>
      <c r="AK41" s="181" t="str">
        <f>IFERROR(__xludf.DUMMYFUNCTION("IF(ISBLANK(AH41),"""",IFERROR(GOOGLEFINANCE(AH41,""price""),IFERROR(GOOGLEFINANCE(""CURRENCY:""&amp;AH41&amp;""""),IFERROR(INDEX(YAHOO_STOCK(TRIM(AH41), $G$2),0,1),INDEX(IMPORTHTML(CONCAT(""https://coinmarketcap.com/currencies/"",AG41),""table"",1),1,2)))))"),"")</f>
        <v/>
      </c>
      <c r="AL41" s="14" t="str">
        <f>IFERROR(__xludf.DUMMYFUNCTION("IF(ISBLANK(AH41),"""",IFERROR(SPARKLINE(INDEX(GOOGLEFINANCE(AH41,""price"",TODAY()-$AL$2,TODAY()),,2),{""charttype"",""column"";""color"",""17a7e0""}),""""))"),"")</f>
        <v/>
      </c>
      <c r="AM41" s="50" t="str">
        <f>IFERROR(__xludf.DUMMYFUNCTION("IFNA(IFERROR(IF(AH41="""","""",GOOGLEFINANCE(AH41,""changepct"")/100),(GOOGLEFINANCE(AH41)-(INDEX(GOOGLEFINANCE(""CURRENCY:""&amp;AH41&amp;"""",""price"",TODAY()-1),2,2)))/(INDEX(GOOGLEFINANCE(""CURRENCY:""&amp;AH41&amp;"""",""price"",TODAY()-1),2,2))),)"),"")</f>
        <v/>
      </c>
      <c r="AN41" s="96" t="str">
        <f>IFERROR(__xludf.DUMMYFUNCTION("IFNA(IFERROR(IF(AH41="""","""",GOOGLEFINANCE(AH41,""change"")*AI41),(GOOGLEFINANCE(AH41)-(INDEX(GOOGLEFINANCE(""CURRENCY:""&amp;AH41&amp;"""",""price"",TODAY()-1),2,2)))*AI41),"""")"),"")</f>
        <v/>
      </c>
      <c r="AO41" s="96" t="str">
        <f>IF(ISBLANK(AH41),"",IFERROR(((AI41-SUMIFS(Transactions!I:I,Transactions!H:H,"Crypto Interest",Transactions!D:D,AH41))*AJ41),""))</f>
        <v/>
      </c>
      <c r="AP41" s="96" t="str">
        <f t="shared" si="16"/>
        <v/>
      </c>
      <c r="AQ41" s="50" t="str">
        <f t="shared" si="17"/>
        <v/>
      </c>
      <c r="AR41" s="96" t="str">
        <f t="shared" si="18"/>
        <v/>
      </c>
      <c r="AS41" s="96" t="str">
        <f>IF(ISBLANK(AH41),"",SUMIFS(Transactions!$X$3:$X149,Transactions!$H$3:$H149,"Sell",Transactions!$D$3:$D149,AH41))</f>
        <v/>
      </c>
      <c r="AT41" s="96" t="str">
        <f t="shared" si="19"/>
        <v/>
      </c>
      <c r="AU41" s="50" t="str">
        <f>IFERROR(__xludf.DUMMYFUNCTION("IF(ISBLANK(AH41),"""",IFERROR((GOOGLEFINANCE(AH41,""price"")/INDEX(GOOGLEFINANCE(AH41,""price"",DATEVALUE(TODAY()-$AU$2) ),2,2)-1),""""))"),"")</f>
        <v/>
      </c>
      <c r="AW41" s="50" t="str">
        <f>IFERROR(__xludf.DUMMYFUNCTION("IF(ISBLANK(AH41),"""",IFERROR((GOOGLEFINANCE($AW$2,""price"")/INDEX(GOOGLEFINANCE($AW$2,""price"",DATEVALUE(TODAY()-$AU$2) ),2,2)-1),""""))"),"")</f>
        <v/>
      </c>
      <c r="AY41" s="50" t="str">
        <f t="shared" si="20"/>
        <v/>
      </c>
      <c r="AZ41" s="50" t="str">
        <f t="shared" si="21"/>
        <v/>
      </c>
      <c r="BA41" s="50">
        <f t="shared" si="22"/>
        <v>0</v>
      </c>
      <c r="BB41" s="14" t="str">
        <f t="shared" si="23"/>
        <v/>
      </c>
      <c r="BC41" s="14" t="str">
        <f>IF(ISBLANK(AH41),"",IFERROR(VLOOKUP(AH41,Transactions!D:F,3,0)))</f>
        <v/>
      </c>
      <c r="BD41" s="50" t="str">
        <f t="shared" si="24"/>
        <v/>
      </c>
      <c r="BE41" s="50" t="str">
        <f t="shared" si="25"/>
        <v/>
      </c>
      <c r="BF41" s="14" t="str">
        <f t="shared" si="26"/>
        <v/>
      </c>
      <c r="BG41" s="180" t="str">
        <f>IF(ISBLANK(AH41),"",IFERROR(VLOOKUP(AH41,Transactions!D:G,4,0)))</f>
        <v/>
      </c>
    </row>
    <row r="42">
      <c r="A42" s="14" t="str">
        <f t="shared" ref="A42:C42" si="64">AG42</f>
        <v/>
      </c>
      <c r="B42" s="14" t="str">
        <f t="shared" si="64"/>
        <v/>
      </c>
      <c r="C42" s="175" t="str">
        <f t="shared" si="64"/>
        <v/>
      </c>
      <c r="D42" s="176" t="str">
        <f>IFERROR(__xludf.DUMMYFUNCTION("IF(ISBLANK(B42),"""",IFERROR(IF(OR(AF42=""GPB"",AF42=""ZAR""),IF(AF42=Dashboard!$L$1,AJ42,(AJ42*GOOGLEFINANCE(""CURRENCY:""&amp;AF42&amp;""""&amp;Dashboard!$L$1&amp;""""))/100),IF(AF42=Dashboard!$L$1,AJ42,AJ42*GOOGLEFINANCE(""CURRENCY:""&amp;AF42&amp;""""&amp;Dashboard!$L$1&amp;""""))),"&amp;"AJ42))"),"")</f>
        <v/>
      </c>
      <c r="E42" s="177" t="str">
        <f>IFERROR(__xludf.DUMMYFUNCTION("IFERROR(IF(OR(AF42=""GBP"",AF42=""ZAR""),IF(B42="""","""",IF(AF42=Dashboard!$L$1,AK42,AK42*GOOGLEFINANCE(""CURRENCY:""&amp;AF42&amp;""""&amp;Dashboard!$L$1&amp;"""")))/100,If(B42="""","""",IF(AF42=Dashboard!$L$1,AK42,AK42*GOOGLEFINANCE(""CURRENCY:""&amp;AF42&amp;""""&amp;Dashboard!$"&amp;"L$1&amp;"""")))),AK42)"),"")</f>
        <v/>
      </c>
      <c r="F42" s="145" t="str">
        <f t="shared" si="65"/>
        <v/>
      </c>
      <c r="G42" s="96" t="str">
        <f>IFERROR(__xludf.DUMMYFUNCTION("IF(ISBLANK(B42),"""",IFERROR(SPARKLINE(INDEX(GOOGLEFINANCE(B42,""price"",TODAY()-$G$2,TODAY()),,2),{""charttype"",""column"";""color"",""17a7e0""}),""""))"),"")</f>
        <v/>
      </c>
      <c r="H42" s="50" t="str">
        <f t="shared" si="3"/>
        <v/>
      </c>
      <c r="I42" s="96" t="str">
        <f>IFERROR(__xludf.DUMMYFUNCTION("IF(ISBLANK(B42),"""",IFERROR(IF(OR(AF42=""GPB"",AF42=""ZAR""),IF(AF42=Dashboard!$L$1,AN42,(AN42*GOOGLEFINANCE(""CURRENCY:""&amp;AF42&amp;""""&amp;Dashboard!$L$1&amp;""""))/100),IF(AF42=Dashboard!$L$1,AN42,AN42*GOOGLEFINANCE(""CURRENCY:""&amp;AF42&amp;""""&amp;Dashboard!$L$1&amp;""""))),"&amp;"AN42))"),"")</f>
        <v/>
      </c>
      <c r="J42" s="178" t="str">
        <f>IF(ISBLANK(B42),"",IFERROR(((C42-SUMIFS(Transactions!I:I,Transactions!H:H,"Crypto Interest",Transactions!D:D,B42))*D42),""))</f>
        <v/>
      </c>
      <c r="K42" s="178" t="str">
        <f t="shared" si="4"/>
        <v/>
      </c>
      <c r="L42" s="145">
        <f>-SUMIFS(Transactions!$M$3:$M149,Transactions!$H$3:$H149,"Buy",Transactions!$D$3:$D149,B42)</f>
        <v>0</v>
      </c>
      <c r="M42" s="145">
        <f>IF(ISBLANK(AG42),"",SUMIFS(Transactions!$M$3:$M149,Transactions!$H$3:$H149,"Dividend",Transactions!$D$3:$D149,B42))</f>
        <v>0</v>
      </c>
      <c r="N42" s="145" t="str">
        <f>IF(ISBLANK(AH42),"",SUMIFS(Transactions!$M$3:$M149,Transactions!$H$3:$H149,"Sell",Transactions!$D$3:$D149,B42))</f>
        <v/>
      </c>
      <c r="O42" s="50" t="str">
        <f t="shared" si="5"/>
        <v/>
      </c>
      <c r="P42" s="178" t="str">
        <f t="shared" si="6"/>
        <v/>
      </c>
      <c r="Q42" s="178" t="str">
        <f>IFERROR(__xludf.DUMMYFUNCTION("IF(ISBLANK(B42),"""",IFERROR(IF(OR(AF42=""GPB"",AF42=""ZAR""),IF(AF42=Dashboard!$L$1,AS42,(AS42*GOOGLEFINANCE(""CURRENCY:""&amp;AF42&amp;""""&amp;Dashboard!$L$1&amp;""""))/100),IF(AF42=Dashboard!$L$1,AS42,AS42*GOOGLEFINANCE(""CURRENCY:""&amp;AF42&amp;""""&amp;Dashboard!$L$1&amp;""""))),"&amp;"AS42))"),"")</f>
        <v/>
      </c>
      <c r="R42" s="178" t="str">
        <f t="shared" si="7"/>
        <v/>
      </c>
      <c r="S42" s="50" t="str">
        <f>IFERROR(__xludf.DUMMYFUNCTION("IF(ISBLANK(B42),"""",IFERROR((GOOGLEFINANCE(B42,""price"")/INDEX(GOOGLEFINANCE(B42,""price"",DATEVALUE(TODAY()-$S$2) ),2,2)-1),""""))"),"")</f>
        <v/>
      </c>
      <c r="U42" s="50" t="str">
        <f>IFERROR(__xludf.DUMMYFUNCTION("IF(ISBLANK(B42),"""",IFERROR((GOOGLEFINANCE($U$2,""price"")/INDEX(GOOGLEFINANCE($U$2,""price"",DATEVALUE(TODAY()-$S$2) ),2,2)-1),""""))"),"")</f>
        <v/>
      </c>
      <c r="W42" s="50" t="str">
        <f t="shared" si="8"/>
        <v/>
      </c>
      <c r="X42" s="50" t="str">
        <f t="shared" si="9"/>
        <v/>
      </c>
      <c r="Y42" s="179">
        <v>0.0</v>
      </c>
      <c r="Z42" s="50" t="str">
        <f t="shared" si="10"/>
        <v/>
      </c>
      <c r="AA42" s="14" t="str">
        <f t="shared" si="11"/>
        <v/>
      </c>
      <c r="AB42" s="50" t="str">
        <f t="shared" si="12"/>
        <v/>
      </c>
      <c r="AC42" s="179" t="str">
        <f t="shared" si="13"/>
        <v/>
      </c>
      <c r="AD42" s="50" t="str">
        <f t="shared" si="14"/>
        <v/>
      </c>
      <c r="AE42" s="180" t="str">
        <f t="shared" si="15"/>
        <v/>
      </c>
      <c r="AF42" s="14" t="str">
        <f t="array" ref="AF42">IFERROR(IF(ISBLANK(AH42),"",IF(VLOOKUP(AH42,Transactions!D:F,3,0)="Stablecoin",AH42,INDEX(Transactions!$B$3:$B149,MATCH(AH42,Transactions!$D$3:$D149,0),0))))</f>
        <v/>
      </c>
      <c r="AG42" s="14" t="str">
        <f>IF(ISBLANK(AH42),"",VLOOKUP(AH42,Transactions!D:E,2,0))</f>
        <v/>
      </c>
      <c r="AH42" s="14"/>
      <c r="AI42" s="146" t="str">
        <f>IF(ISBLANK(AH42),"",IF(
SUMIFS(Transactions!$I$3:$I149,Transactions!$H$3:$H149,"Buy",Transactions!$F$3:$F149,"Stock",Transactions!$D$3:$D149,AH42)
+SUMIFS(Transactions!$I$3:$I149,Transactions!$H$3:$H149,"DRIP",Transactions!$F$3:$F149,"Stock",Transactions!$D$3:$D149,AH42)
+SUMIFS(Transactions!$I$3:$I149,Transactions!$H$3:$H149,"Transfer Deposit",Transactions!$F$3:$F149,"Stock",Transactions!$D$3:$D149,AH42)
+SUMIFS(Transactions!$I$3:$I149,Transactions!$H$3:$H149,"Buy",Transactions!$F$3:$F149,"ETF",Transactions!$D$3:$D149,AH42)
+SUMIFS(Transactions!$I$3:$I149,Transactions!$H$3:$H149,"DRIP",Transactions!$F$3:$F149,"ETF",Transactions!$D$3:$D149,AH42)
+SUMIFS(Transactions!$I$3:$I149,Transactions!$H$3:$H149,"Transfer Deposit",Transactions!$F$3:$F149,"ETF",Transactions!$D$3:$D149,AH42)
+SUMIFS(Transactions!$I$3:$I149,Transactions!$H$3:$H149,"Buy",Transactions!$F$3:$F149,"Commodity",Transactions!$D$3:$D149,AH42)
+SUMIFS(Transactions!$I$3:$I149,Transactions!$H$3:$H149,"DRIP",Transactions!$F$3:$F149,"Commodity",Transactions!$D$3:$D149,AH42)
+SUMIFS(Transactions!$I$3:$I149,Transactions!$H$3:$H149,"Transfer Deposit",Transactions!$F$3:$F149,"Commodity",Transactions!$D$3:$D149,AH42)
+SUMIFS(Transactions!$I$3:$I149,Transactions!$H$3:$H149,"Buy",Transactions!$F$3:$F149,"Managed Fund",Transactions!$D$3:$D149,AH42)
+SUMIFS(Transactions!$I$3:$I149,Transactions!$H$3:$H149,"DRIP",Transactions!$F$3:$F149,"Managed Fund",Transactions!$D$3:$D149,AH42)
+SUMIFS(Transactions!$I$3:$I149,Transactions!$H$3:$H149,"Transfer Deposit",Transactions!$F$3:$F149,"Managed Fund",Transactions!$D$3:$D149,AH42)
+SUMIFS(Transactions!$I$3:$I149,Transactions!$H$3:$H149,"Buy",Transactions!$F$3:$F149,"REIT",Transactions!$D$3:$D149,AH42)
+SUMIFS(Transactions!$I$3:$I149,Transactions!$H$3:$H149,"DRIP",Transactions!$F$3:$F149,"REIT",Transactions!$D$3:$D149,AH42)
+SUMIFS(Transactions!$I$3:$I149,Transactions!$H$3:$H149,"Transfer Deposit",Transactions!$F$3:$F149,"REIT",Transactions!$D$3:$D149,AH42)
-SUMIFS(Transactions!$I$3:$I149,Transactions!$H$3:$H149,"Sell",Transactions!$F$3:$F149,"Stock",Transactions!$D$3:$D149,AH42)
-SUMIFS(Transactions!$I$3:$I149,Transactions!$H$3:$H149,"Transfer Send",Transactions!$F$3:$F149,"Stock",Transactions!$D$3:$D149,AH42)
-SUMIFS(Transactions!$I$3:$I149,Transactions!$H$3:$H149,"Sell",Transactions!$F$3:$F149,"ETF",Transactions!$D$3:$D149,AH42)
-SUMIFS(Transactions!$I$3:$I149,Transactions!$H$3:$H149,"Transfer Send",Transactions!$F$3:$F149,"ETF",Transactions!$D$3:$D149,AH42)
-SUMIFS(Transactions!$I$3:$I149,Transactions!$H$3:$H149,"Sell",Transactions!$F$3:$F149,"Commodity",Transactions!$D$3:$D149,AH42)
-SUMIFS(Transactions!$I$3:$I149,Transactions!$H$3:$H149,"Transfer Send",Transactions!$F$3:$F149,"Commodity",Transactions!$D$3:$D149,AH42)
-SUMIFS(Transactions!$I$3:$I149,Transactions!$H$3:$H149,"Sell",Transactions!$F$3:$F149,"Managed Fund",Transactions!$D$3:$D149,AH42)
-SUMIFS(Transactions!$I$3:$I149,Transactions!$H$3:$H149,"Transfer Send",Transactions!$F$3:$F149,"Managed Fund",Transactions!$D$3:$D149,AH42)
-SUMIFS(Transactions!$I$3:$I149,Transactions!$H$3:$H149,"Sell",Transactions!$F$3:$F149,"REIT",Transactions!$D$3:$D149,AH42)
-SUMIFS(Transactions!$I$3:$I149,Transactions!$H$3:$H149,"Transfer Send",Transactions!$F$3:$F149,"REIT",Transactions!$D$3:$D149,AH42)
+SUMIFS(Transactions!$I$3:$I149,Transactions!$H$3:$H149,"Buy",Transactions!$F$3:$F149,"Crypto",Transactions!$D$3:$D149,AH42)
+SUMIFS(Transactions!$I$3:$I149,Transactions!$H$3:$H149,"Crypto Interest",Transactions!$F$3:$F149,"Crypto",Transactions!$D$3:$D149,AH42)
+SUMIFS(Transactions!$I$3:$I149,Transactions!$H$3:$H149,"Transfer Deposit",Transactions!$F$3:$F149,"Crypto",Transactions!$D$3:$D149,AH42)
-SUMIFS(Transactions!$I$3:$I149,Transactions!$H$3:$H149,"Transfer Send",Transactions!$F$3:$F149,"Crypto",Transactions!$D$3:$D149,AH42)
-SUMIFS(Transactions!$I$3:$I149,Transactions!$H$3:$H149,"Sell",Transactions!$F$3:$F149,"Crypto",Transactions!$D$3:$D149,AH42)
+SUMIFS(Transactions!$I$3:$I149,Transactions!$H$3:$H149,"Buy",Transactions!$F$3:$F149,"Stablecoin",Transactions!$D$3:$D149,AH42)
+SUMIFS(Transactions!$I$3:$I149,Transactions!$H$3:$H149,"Crypto Interest",Transactions!$F$3:$F149,"Stablecoin",Transactions!$D$3:$D149,AH42)
+SUMIFS(Transactions!$I$3:$I149,Transactions!$H$3:$H149,"Transfer Deposit",Transactions!$F$3:$F149,"Stablecoin",Transactions!$D$3:$D149,AH42)
-SUMIFS(Transactions!$I$3:$I149,Transactions!$H$3:$H149,"Transfer Send",Transactions!$F$3:$F149,"Stablecoin",Transactions!$D$3:$D149,AH42)
-SUMIFS(Transactions!$I$3:$I149,Transactions!$H$3:$H149,"Sell",Transactions!$F$3:$F149,"Stablecoin",Transactions!$D$3:$D149,AH42)
-SUMIFS(Transactions!$M$3:$M149,Transactions!$H$3:$H149,"Buy",Transactions!$B$3:$B149,AH42)=0,"Sold All",
SUMIFS(Transactions!$I$3:$I149,Transactions!$H$3:$H149,"Buy",Transactions!$F$3:$F149,"Stock",Transactions!$D$3:$D149,AH42)
+SUMIFS(Transactions!$I$3:$I149,Transactions!$H$3:$H149,"DRIP",Transactions!$F$3:$F149,"Stock",Transactions!$D$3:$D149,AH42)
+SUMIFS(Transactions!$I$3:$I149,Transactions!$H$3:$H149,"Transfer Deposit",Transactions!$F$3:$F149,"Stock",Transactions!$D$3:$D149,AH42)
+SUMIFS(Transactions!$I$3:$I149,Transactions!$H$3:$H149,"Buy",Transactions!$F$3:$F149,"ETF",Transactions!$D$3:$D149,AH42)
+SUMIFS(Transactions!$I$3:$I149,Transactions!$H$3:$H149,"DRIP",Transactions!$F$3:$F149,"ETF",Transactions!$D$3:$D149,AH42)
+SUMIFS(Transactions!$I$3:$I149,Transactions!$H$3:$H149,"Transfer Deposit",Transactions!$F$3:$F149,"ETF",Transactions!$D$3:$D149,AH42)
+SUMIFS(Transactions!$I$3:$I149,Transactions!$H$3:$H149,"Buy",Transactions!$F$3:$F149,"Commodity",Transactions!$D$3:$D149,AH42)
+SUMIFS(Transactions!$I$3:$I149,Transactions!$H$3:$H149,"DRIP",Transactions!$F$3:$F149,"Commodity",Transactions!$D$3:$D149,AH42)
+SUMIFS(Transactions!$I$3:$I149,Transactions!$H$3:$H149,"Transfer Deposit",Transactions!$F$3:$F149,"Commodity",Transactions!$D$3:$D149,AH42)
+SUMIFS(Transactions!$I$3:$I149,Transactions!$H$3:$H149,"Buy",Transactions!$F$3:$F149,"Managed Fund",Transactions!$D$3:$D149,AH42)
+SUMIFS(Transactions!$I$3:$I149,Transactions!$H$3:$H149,"DRIP",Transactions!$F$3:$F149,"Managed Fund",Transactions!$D$3:$D149,AH42)
+SUMIFS(Transactions!$I$3:$I149,Transactions!$H$3:$H149,"Transfer Deposit",Transactions!$F$3:$F149,"Managed Fund",Transactions!$D$3:$D149,AH42)
+SUMIFS(Transactions!$I$3:$I149,Transactions!$H$3:$H149,"Buy",Transactions!$F$3:$F149,"REIT",Transactions!$D$3:$D149,AH42)
+SUMIFS(Transactions!$I$3:$I149,Transactions!$H$3:$H149,"DRIP",Transactions!$F$3:$F149,"REIT",Transactions!$D$3:$D149,AH42)
+SUMIFS(Transactions!$I$3:$I149,Transactions!$H$3:$H149,"Transfer Deposit",Transactions!$F$3:$F149,"REIT",Transactions!$D$3:$D149,AH42)
-SUMIFS(Transactions!$I$3:$I149,Transactions!$H$3:$H149,"Sell",Transactions!$F$3:$F149,"Stock",Transactions!$D$3:$D149,AH42)
-SUMIFS(Transactions!$I$3:$I149,Transactions!$H$3:$H149,"Transfer Send",Transactions!$F$3:$F149,"Stock",Transactions!$D$3:$D149,AH42)
-SUMIFS(Transactions!$I$3:$I149,Transactions!$H$3:$H149,"Sell",Transactions!$F$3:$F149,"ETF",Transactions!$D$3:$D149,AH42)
-SUMIFS(Transactions!$I$3:$I149,Transactions!$H$3:$H149,"Transfer Send",Transactions!$F$3:$F149,"ETF",Transactions!$D$3:$D149,AH42)
-SUMIFS(Transactions!$I$3:$I149,Transactions!$H$3:$H149,"Sell",Transactions!$F$3:$F149,"Commodity",Transactions!$D$3:$D149,AH42)
-SUMIFS(Transactions!$I$3:$I149,Transactions!$H$3:$H149,"Transfer Send",Transactions!$F$3:$F149,"Commodity",Transactions!$D$3:$D149,AH42)
-SUMIFS(Transactions!$I$3:$I149,Transactions!$H$3:$H149,"Sell",Transactions!$F$3:$F149,"Managed Fund",Transactions!$D$3:$D149,AH42)
-SUMIFS(Transactions!$I$3:$I149,Transactions!$H$3:$H149,"Transfer Send",Transactions!$F$3:$F149,"Managed Fund",Transactions!$D$3:$D149,AH42)
-SUMIFS(Transactions!$I$3:$I149,Transactions!$H$3:$H149,"Sell",Transactions!$F$3:$F149,"REIT",Transactions!$D$3:$D149,AH42)
-SUMIFS(Transactions!$I$3:$I149,Transactions!$H$3:$H149,"Transfer Send",Transactions!$F$3:$F149,"REIT",Transactions!$D$3:$D149,AH42)
+SUMIFS(Transactions!$I$3:$I149,Transactions!$H$3:$H149,"Buy",Transactions!$F$3:$F149,"Crypto",Transactions!$D$3:$D149,AH42)
+SUMIFS(Transactions!$I$3:$I149,Transactions!$H$3:$H149,"Crypto Interest",Transactions!$F$3:$F149,"Crypto",Transactions!$D$3:$D149,AH42)
+SUMIFS(Transactions!$I$3:$I149,Transactions!$H$3:$H149,"Transfer Deposit",Transactions!$F$3:$F149,"Crypto",Transactions!$D$3:$D149,AH42)
-SUMIFS(Transactions!$I$3:$I149,Transactions!$H$3:$H149,"Transfer Send",Transactions!$F$3:$F149,"Crypto",Transactions!$D$3:$D149,AH42)
-SUMIFS(Transactions!$I$3:$I149,Transactions!$H$3:$H149,"Sell",Transactions!$F$3:$F149,"Crypto",Transactions!$D$3:$D149,AH42)
+SUMIFS(Transactions!$I$3:$I149,Transactions!$H$3:$H149,"Buy",Transactions!$F$3:$F149,"Stablecoin",Transactions!$D$3:$D149,AH42)
+SUMIFS(Transactions!$I$3:$I149,Transactions!$H$3:$H149,"Crypto Interest",Transactions!$F$3:$F149,"Stablecoin",Transactions!$D$3:$D149,AH42)
+SUMIFS(Transactions!$I$3:$I149,Transactions!$H$3:$H149,"Transfer Deposit",Transactions!$F$3:$F149,"Stablecoin",Transactions!$D$3:$D149,AH42)
-SUMIFS(Transactions!$I$3:$I149,Transactions!$H$3:$H149,"Transfer Send",Transactions!$F$3:$F149,"Stablecoin",Transactions!$D$3:$D149,AH42)
-SUMIFS(Transactions!$I$3:$I149,Transactions!$H$3:$H149,"Sell",Transactions!$F$3:$F149,"Stablecoin",Transactions!$D$3:$D149,AH42)
-SUMIFS(Transactions!$M$3:$M149,Transactions!$H$3:$H149,"Buy",Transactions!$B$3:$B149,AH42)))</f>
        <v/>
      </c>
      <c r="AJ42" s="181" t="str">
        <f>IFERROR(__xludf.DUMMYFUNCTION("IF(ISBLANK(AH42),"""",VLOOKUP(9^99,FILTER({ROW(Transactions!P:P),Transactions!P:P},Transactions!D:D=AH42),2))"),"")</f>
        <v/>
      </c>
      <c r="AK42" s="181" t="str">
        <f>IFERROR(__xludf.DUMMYFUNCTION("IF(ISBLANK(AH42),"""",IFERROR(GOOGLEFINANCE(AH42,""price""),IFERROR(GOOGLEFINANCE(""CURRENCY:""&amp;AH42&amp;""""),IFERROR(INDEX(YAHOO_STOCK(TRIM(AH42), $G$2),0,1),INDEX(IMPORTHTML(CONCAT(""https://coinmarketcap.com/currencies/"",AG42),""table"",1),1,2)))))"),"")</f>
        <v/>
      </c>
      <c r="AL42" s="14" t="str">
        <f>IFERROR(__xludf.DUMMYFUNCTION("IF(ISBLANK(AH42),"""",IFERROR(SPARKLINE(INDEX(GOOGLEFINANCE(AH42,""price"",TODAY()-$AL$2,TODAY()),,2),{""charttype"",""column"";""color"",""17a7e0""}),""""))"),"")</f>
        <v/>
      </c>
      <c r="AM42" s="50" t="str">
        <f>IFERROR(__xludf.DUMMYFUNCTION("IFNA(IFERROR(IF(AH42="""","""",GOOGLEFINANCE(AH42,""changepct"")/100),(GOOGLEFINANCE(AH42)-(INDEX(GOOGLEFINANCE(""CURRENCY:""&amp;AH42&amp;"""",""price"",TODAY()-1),2,2)))/(INDEX(GOOGLEFINANCE(""CURRENCY:""&amp;AH42&amp;"""",""price"",TODAY()-1),2,2))),)"),"")</f>
        <v/>
      </c>
      <c r="AN42" s="96" t="str">
        <f>IFERROR(__xludf.DUMMYFUNCTION("IFNA(IFERROR(IF(AH42="""","""",GOOGLEFINANCE(AH42,""change"")*AI42),(GOOGLEFINANCE(AH42)-(INDEX(GOOGLEFINANCE(""CURRENCY:""&amp;AH42&amp;"""",""price"",TODAY()-1),2,2)))*AI42),"""")"),"")</f>
        <v/>
      </c>
      <c r="AO42" s="96" t="str">
        <f>IF(ISBLANK(AH42),"",IFERROR(((AI42-SUMIFS(Transactions!I:I,Transactions!H:H,"Crypto Interest",Transactions!D:D,AH42))*AJ42),""))</f>
        <v/>
      </c>
      <c r="AP42" s="96" t="str">
        <f t="shared" si="16"/>
        <v/>
      </c>
      <c r="AQ42" s="50" t="str">
        <f t="shared" si="17"/>
        <v/>
      </c>
      <c r="AR42" s="96" t="str">
        <f t="shared" si="18"/>
        <v/>
      </c>
      <c r="AS42" s="96" t="str">
        <f>IF(ISBLANK(AH42),"",SUMIFS(Transactions!$X$3:$X149,Transactions!$H$3:$H149,"Sell",Transactions!$D$3:$D149,AH42))</f>
        <v/>
      </c>
      <c r="AT42" s="96" t="str">
        <f t="shared" si="19"/>
        <v/>
      </c>
      <c r="AU42" s="50" t="str">
        <f>IFERROR(__xludf.DUMMYFUNCTION("IF(ISBLANK(AH42),"""",IFERROR((GOOGLEFINANCE(AH42,""price"")/INDEX(GOOGLEFINANCE(AH42,""price"",DATEVALUE(TODAY()-$AU$2) ),2,2)-1),""""))"),"")</f>
        <v/>
      </c>
      <c r="AW42" s="50" t="str">
        <f>IFERROR(__xludf.DUMMYFUNCTION("IF(ISBLANK(AH42),"""",IFERROR((GOOGLEFINANCE($AW$2,""price"")/INDEX(GOOGLEFINANCE($AW$2,""price"",DATEVALUE(TODAY()-$AU$2) ),2,2)-1),""""))"),"")</f>
        <v/>
      </c>
      <c r="AY42" s="50" t="str">
        <f t="shared" si="20"/>
        <v/>
      </c>
      <c r="AZ42" s="50" t="str">
        <f t="shared" si="21"/>
        <v/>
      </c>
      <c r="BA42" s="50">
        <f t="shared" si="22"/>
        <v>0</v>
      </c>
      <c r="BB42" s="14" t="str">
        <f t="shared" si="23"/>
        <v/>
      </c>
      <c r="BC42" s="14" t="str">
        <f>IF(ISBLANK(AH42),"",IFERROR(VLOOKUP(AH42,Transactions!D:F,3,0)))</f>
        <v/>
      </c>
      <c r="BD42" s="50" t="str">
        <f t="shared" si="24"/>
        <v/>
      </c>
      <c r="BE42" s="50" t="str">
        <f t="shared" si="25"/>
        <v/>
      </c>
      <c r="BF42" s="14" t="str">
        <f t="shared" si="26"/>
        <v/>
      </c>
      <c r="BG42" s="180" t="str">
        <f>IF(ISBLANK(AH42),"",IFERROR(VLOOKUP(AH42,Transactions!D:G,4,0)))</f>
        <v/>
      </c>
    </row>
    <row r="43">
      <c r="A43" s="14" t="str">
        <f t="shared" ref="A43:C43" si="66">AG43</f>
        <v/>
      </c>
      <c r="B43" s="14" t="str">
        <f t="shared" si="66"/>
        <v/>
      </c>
      <c r="C43" s="175" t="str">
        <f t="shared" si="66"/>
        <v/>
      </c>
      <c r="D43" s="176" t="str">
        <f>IFERROR(__xludf.DUMMYFUNCTION("IF(ISBLANK(B43),"""",IFERROR(IF(OR(AF43=""GPB"",AF43=""ZAR""),IF(AF43=Dashboard!$L$1,AJ43,(AJ43*GOOGLEFINANCE(""CURRENCY:""&amp;AF43&amp;""""&amp;Dashboard!$L$1&amp;""""))/100),IF(AF43=Dashboard!$L$1,AJ43,AJ43*GOOGLEFINANCE(""CURRENCY:""&amp;AF43&amp;""""&amp;Dashboard!$L$1&amp;""""))),"&amp;"AJ43))"),"")</f>
        <v/>
      </c>
      <c r="E43" s="177" t="str">
        <f>IFERROR(__xludf.DUMMYFUNCTION("IFERROR(IF(OR(AF43=""GBP"",AF43=""ZAR""),IF(B43="""","""",IF(AF43=Dashboard!$L$1,AK43,AK43*GOOGLEFINANCE(""CURRENCY:""&amp;AF43&amp;""""&amp;Dashboard!$L$1&amp;"""")))/100,If(B43="""","""",IF(AF43=Dashboard!$L$1,AK43,AK43*GOOGLEFINANCE(""CURRENCY:""&amp;AF43&amp;""""&amp;Dashboard!$"&amp;"L$1&amp;"""")))),AK43)"),"")</f>
        <v/>
      </c>
      <c r="F43" s="145" t="str">
        <f t="shared" si="65"/>
        <v/>
      </c>
      <c r="G43" s="96" t="str">
        <f>IFERROR(__xludf.DUMMYFUNCTION("IF(ISBLANK(B43),"""",IFERROR(SPARKLINE(INDEX(GOOGLEFINANCE(B43,""price"",TODAY()-$G$2,TODAY()),,2),{""charttype"",""column"";""color"",""17a7e0""}),""""))"),"")</f>
        <v/>
      </c>
      <c r="H43" s="50" t="str">
        <f t="shared" si="3"/>
        <v/>
      </c>
      <c r="I43" s="96" t="str">
        <f>IFERROR(__xludf.DUMMYFUNCTION("IF(ISBLANK(B43),"""",IFERROR(IF(OR(AF43=""GPB"",AF43=""ZAR""),IF(AF43=Dashboard!$L$1,AN43,(AN43*GOOGLEFINANCE(""CURRENCY:""&amp;AF43&amp;""""&amp;Dashboard!$L$1&amp;""""))/100),IF(AF43=Dashboard!$L$1,AN43,AN43*GOOGLEFINANCE(""CURRENCY:""&amp;AF43&amp;""""&amp;Dashboard!$L$1&amp;""""))),"&amp;"AN43))"),"")</f>
        <v/>
      </c>
      <c r="J43" s="178" t="str">
        <f>IF(ISBLANK(B43),"",IFERROR(((C43-SUMIFS(Transactions!I:I,Transactions!H:H,"Crypto Interest",Transactions!D:D,B43))*D43),""))</f>
        <v/>
      </c>
      <c r="K43" s="178" t="str">
        <f t="shared" si="4"/>
        <v/>
      </c>
      <c r="L43" s="145">
        <f>-SUMIFS(Transactions!$M$3:$M149,Transactions!$H$3:$H149,"Buy",Transactions!$D$3:$D149,B43)</f>
        <v>0</v>
      </c>
      <c r="M43" s="145">
        <f>IF(ISBLANK(AG43),"",SUMIFS(Transactions!$M$3:$M149,Transactions!$H$3:$H149,"Dividend",Transactions!$D$3:$D149,B43))</f>
        <v>0</v>
      </c>
      <c r="N43" s="145" t="str">
        <f>IF(ISBLANK(AH43),"",SUMIFS(Transactions!$M$3:$M149,Transactions!$H$3:$H149,"Sell",Transactions!$D$3:$D149,B43))</f>
        <v/>
      </c>
      <c r="O43" s="50" t="str">
        <f t="shared" si="5"/>
        <v/>
      </c>
      <c r="P43" s="178" t="str">
        <f t="shared" si="6"/>
        <v/>
      </c>
      <c r="Q43" s="178" t="str">
        <f>IFERROR(__xludf.DUMMYFUNCTION("IF(ISBLANK(B43),"""",IFERROR(IF(OR(AF43=""GPB"",AF43=""ZAR""),IF(AF43=Dashboard!$L$1,AS43,(AS43*GOOGLEFINANCE(""CURRENCY:""&amp;AF43&amp;""""&amp;Dashboard!$L$1&amp;""""))/100),IF(AF43=Dashboard!$L$1,AS43,AS43*GOOGLEFINANCE(""CURRENCY:""&amp;AF43&amp;""""&amp;Dashboard!$L$1&amp;""""))),"&amp;"AS43))"),"")</f>
        <v/>
      </c>
      <c r="R43" s="178" t="str">
        <f t="shared" si="7"/>
        <v/>
      </c>
      <c r="S43" s="50" t="str">
        <f>IFERROR(__xludf.DUMMYFUNCTION("IF(ISBLANK(B43),"""",IFERROR((GOOGLEFINANCE(B43,""price"")/INDEX(GOOGLEFINANCE(B43,""price"",DATEVALUE(TODAY()-$S$2) ),2,2)-1),""""))"),"")</f>
        <v/>
      </c>
      <c r="U43" s="50" t="str">
        <f>IFERROR(__xludf.DUMMYFUNCTION("IF(ISBLANK(B43),"""",IFERROR((GOOGLEFINANCE($U$2,""price"")/INDEX(GOOGLEFINANCE($U$2,""price"",DATEVALUE(TODAY()-$S$2) ),2,2)-1),""""))"),"")</f>
        <v/>
      </c>
      <c r="W43" s="50" t="str">
        <f t="shared" si="8"/>
        <v/>
      </c>
      <c r="X43" s="50" t="str">
        <f t="shared" si="9"/>
        <v/>
      </c>
      <c r="Y43" s="179">
        <v>0.0</v>
      </c>
      <c r="Z43" s="50" t="str">
        <f t="shared" si="10"/>
        <v/>
      </c>
      <c r="AA43" s="14" t="str">
        <f t="shared" si="11"/>
        <v/>
      </c>
      <c r="AB43" s="50" t="str">
        <f t="shared" si="12"/>
        <v/>
      </c>
      <c r="AC43" s="179" t="str">
        <f t="shared" si="13"/>
        <v/>
      </c>
      <c r="AD43" s="50" t="str">
        <f t="shared" si="14"/>
        <v/>
      </c>
      <c r="AE43" s="180" t="str">
        <f t="shared" si="15"/>
        <v/>
      </c>
      <c r="AF43" s="14" t="str">
        <f t="array" ref="AF43">IFERROR(IF(ISBLANK(AH43),"",IF(VLOOKUP(AH43,Transactions!D:F,3,0)="Stablecoin",AH43,INDEX(Transactions!$B$3:$B149,MATCH(AH43,Transactions!$D$3:$D149,0),0))))</f>
        <v/>
      </c>
      <c r="AG43" s="14" t="str">
        <f>IF(ISBLANK(AH43),"",VLOOKUP(AH43,Transactions!D:E,2,0))</f>
        <v/>
      </c>
      <c r="AH43" s="14"/>
      <c r="AI43" s="146" t="str">
        <f>IF(ISBLANK(AH43),"",IF(
SUMIFS(Transactions!$I$3:$I149,Transactions!$H$3:$H149,"Buy",Transactions!$F$3:$F149,"Stock",Transactions!$D$3:$D149,AH43)
+SUMIFS(Transactions!$I$3:$I149,Transactions!$H$3:$H149,"DRIP",Transactions!$F$3:$F149,"Stock",Transactions!$D$3:$D149,AH43)
+SUMIFS(Transactions!$I$3:$I149,Transactions!$H$3:$H149,"Transfer Deposit",Transactions!$F$3:$F149,"Stock",Transactions!$D$3:$D149,AH43)
+SUMIFS(Transactions!$I$3:$I149,Transactions!$H$3:$H149,"Buy",Transactions!$F$3:$F149,"ETF",Transactions!$D$3:$D149,AH43)
+SUMIFS(Transactions!$I$3:$I149,Transactions!$H$3:$H149,"DRIP",Transactions!$F$3:$F149,"ETF",Transactions!$D$3:$D149,AH43)
+SUMIFS(Transactions!$I$3:$I149,Transactions!$H$3:$H149,"Transfer Deposit",Transactions!$F$3:$F149,"ETF",Transactions!$D$3:$D149,AH43)
+SUMIFS(Transactions!$I$3:$I149,Transactions!$H$3:$H149,"Buy",Transactions!$F$3:$F149,"Commodity",Transactions!$D$3:$D149,AH43)
+SUMIFS(Transactions!$I$3:$I149,Transactions!$H$3:$H149,"DRIP",Transactions!$F$3:$F149,"Commodity",Transactions!$D$3:$D149,AH43)
+SUMIFS(Transactions!$I$3:$I149,Transactions!$H$3:$H149,"Transfer Deposit",Transactions!$F$3:$F149,"Commodity",Transactions!$D$3:$D149,AH43)
+SUMIFS(Transactions!$I$3:$I149,Transactions!$H$3:$H149,"Buy",Transactions!$F$3:$F149,"Managed Fund",Transactions!$D$3:$D149,AH43)
+SUMIFS(Transactions!$I$3:$I149,Transactions!$H$3:$H149,"DRIP",Transactions!$F$3:$F149,"Managed Fund",Transactions!$D$3:$D149,AH43)
+SUMIFS(Transactions!$I$3:$I149,Transactions!$H$3:$H149,"Transfer Deposit",Transactions!$F$3:$F149,"Managed Fund",Transactions!$D$3:$D149,AH43)
+SUMIFS(Transactions!$I$3:$I149,Transactions!$H$3:$H149,"Buy",Transactions!$F$3:$F149,"REIT",Transactions!$D$3:$D149,AH43)
+SUMIFS(Transactions!$I$3:$I149,Transactions!$H$3:$H149,"DRIP",Transactions!$F$3:$F149,"REIT",Transactions!$D$3:$D149,AH43)
+SUMIFS(Transactions!$I$3:$I149,Transactions!$H$3:$H149,"Transfer Deposit",Transactions!$F$3:$F149,"REIT",Transactions!$D$3:$D149,AH43)
-SUMIFS(Transactions!$I$3:$I149,Transactions!$H$3:$H149,"Sell",Transactions!$F$3:$F149,"Stock",Transactions!$D$3:$D149,AH43)
-SUMIFS(Transactions!$I$3:$I149,Transactions!$H$3:$H149,"Transfer Send",Transactions!$F$3:$F149,"Stock",Transactions!$D$3:$D149,AH43)
-SUMIFS(Transactions!$I$3:$I149,Transactions!$H$3:$H149,"Sell",Transactions!$F$3:$F149,"ETF",Transactions!$D$3:$D149,AH43)
-SUMIFS(Transactions!$I$3:$I149,Transactions!$H$3:$H149,"Transfer Send",Transactions!$F$3:$F149,"ETF",Transactions!$D$3:$D149,AH43)
-SUMIFS(Transactions!$I$3:$I149,Transactions!$H$3:$H149,"Sell",Transactions!$F$3:$F149,"Commodity",Transactions!$D$3:$D149,AH43)
-SUMIFS(Transactions!$I$3:$I149,Transactions!$H$3:$H149,"Transfer Send",Transactions!$F$3:$F149,"Commodity",Transactions!$D$3:$D149,AH43)
-SUMIFS(Transactions!$I$3:$I149,Transactions!$H$3:$H149,"Sell",Transactions!$F$3:$F149,"Managed Fund",Transactions!$D$3:$D149,AH43)
-SUMIFS(Transactions!$I$3:$I149,Transactions!$H$3:$H149,"Transfer Send",Transactions!$F$3:$F149,"Managed Fund",Transactions!$D$3:$D149,AH43)
-SUMIFS(Transactions!$I$3:$I149,Transactions!$H$3:$H149,"Sell",Transactions!$F$3:$F149,"REIT",Transactions!$D$3:$D149,AH43)
-SUMIFS(Transactions!$I$3:$I149,Transactions!$H$3:$H149,"Transfer Send",Transactions!$F$3:$F149,"REIT",Transactions!$D$3:$D149,AH43)
+SUMIFS(Transactions!$I$3:$I149,Transactions!$H$3:$H149,"Buy",Transactions!$F$3:$F149,"Crypto",Transactions!$D$3:$D149,AH43)
+SUMIFS(Transactions!$I$3:$I149,Transactions!$H$3:$H149,"Crypto Interest",Transactions!$F$3:$F149,"Crypto",Transactions!$D$3:$D149,AH43)
+SUMIFS(Transactions!$I$3:$I149,Transactions!$H$3:$H149,"Transfer Deposit",Transactions!$F$3:$F149,"Crypto",Transactions!$D$3:$D149,AH43)
-SUMIFS(Transactions!$I$3:$I149,Transactions!$H$3:$H149,"Transfer Send",Transactions!$F$3:$F149,"Crypto",Transactions!$D$3:$D149,AH43)
-SUMIFS(Transactions!$I$3:$I149,Transactions!$H$3:$H149,"Sell",Transactions!$F$3:$F149,"Crypto",Transactions!$D$3:$D149,AH43)
+SUMIFS(Transactions!$I$3:$I149,Transactions!$H$3:$H149,"Buy",Transactions!$F$3:$F149,"Stablecoin",Transactions!$D$3:$D149,AH43)
+SUMIFS(Transactions!$I$3:$I149,Transactions!$H$3:$H149,"Crypto Interest",Transactions!$F$3:$F149,"Stablecoin",Transactions!$D$3:$D149,AH43)
+SUMIFS(Transactions!$I$3:$I149,Transactions!$H$3:$H149,"Transfer Deposit",Transactions!$F$3:$F149,"Stablecoin",Transactions!$D$3:$D149,AH43)
-SUMIFS(Transactions!$I$3:$I149,Transactions!$H$3:$H149,"Transfer Send",Transactions!$F$3:$F149,"Stablecoin",Transactions!$D$3:$D149,AH43)
-SUMIFS(Transactions!$I$3:$I149,Transactions!$H$3:$H149,"Sell",Transactions!$F$3:$F149,"Stablecoin",Transactions!$D$3:$D149,AH43)
-SUMIFS(Transactions!$M$3:$M149,Transactions!$H$3:$H149,"Buy",Transactions!$B$3:$B149,AH43)=0,"Sold All",
SUMIFS(Transactions!$I$3:$I149,Transactions!$H$3:$H149,"Buy",Transactions!$F$3:$F149,"Stock",Transactions!$D$3:$D149,AH43)
+SUMIFS(Transactions!$I$3:$I149,Transactions!$H$3:$H149,"DRIP",Transactions!$F$3:$F149,"Stock",Transactions!$D$3:$D149,AH43)
+SUMIFS(Transactions!$I$3:$I149,Transactions!$H$3:$H149,"Transfer Deposit",Transactions!$F$3:$F149,"Stock",Transactions!$D$3:$D149,AH43)
+SUMIFS(Transactions!$I$3:$I149,Transactions!$H$3:$H149,"Buy",Transactions!$F$3:$F149,"ETF",Transactions!$D$3:$D149,AH43)
+SUMIFS(Transactions!$I$3:$I149,Transactions!$H$3:$H149,"DRIP",Transactions!$F$3:$F149,"ETF",Transactions!$D$3:$D149,AH43)
+SUMIFS(Transactions!$I$3:$I149,Transactions!$H$3:$H149,"Transfer Deposit",Transactions!$F$3:$F149,"ETF",Transactions!$D$3:$D149,AH43)
+SUMIFS(Transactions!$I$3:$I149,Transactions!$H$3:$H149,"Buy",Transactions!$F$3:$F149,"Commodity",Transactions!$D$3:$D149,AH43)
+SUMIFS(Transactions!$I$3:$I149,Transactions!$H$3:$H149,"DRIP",Transactions!$F$3:$F149,"Commodity",Transactions!$D$3:$D149,AH43)
+SUMIFS(Transactions!$I$3:$I149,Transactions!$H$3:$H149,"Transfer Deposit",Transactions!$F$3:$F149,"Commodity",Transactions!$D$3:$D149,AH43)
+SUMIFS(Transactions!$I$3:$I149,Transactions!$H$3:$H149,"Buy",Transactions!$F$3:$F149,"Managed Fund",Transactions!$D$3:$D149,AH43)
+SUMIFS(Transactions!$I$3:$I149,Transactions!$H$3:$H149,"DRIP",Transactions!$F$3:$F149,"Managed Fund",Transactions!$D$3:$D149,AH43)
+SUMIFS(Transactions!$I$3:$I149,Transactions!$H$3:$H149,"Transfer Deposit",Transactions!$F$3:$F149,"Managed Fund",Transactions!$D$3:$D149,AH43)
+SUMIFS(Transactions!$I$3:$I149,Transactions!$H$3:$H149,"Buy",Transactions!$F$3:$F149,"REIT",Transactions!$D$3:$D149,AH43)
+SUMIFS(Transactions!$I$3:$I149,Transactions!$H$3:$H149,"DRIP",Transactions!$F$3:$F149,"REIT",Transactions!$D$3:$D149,AH43)
+SUMIFS(Transactions!$I$3:$I149,Transactions!$H$3:$H149,"Transfer Deposit",Transactions!$F$3:$F149,"REIT",Transactions!$D$3:$D149,AH43)
-SUMIFS(Transactions!$I$3:$I149,Transactions!$H$3:$H149,"Sell",Transactions!$F$3:$F149,"Stock",Transactions!$D$3:$D149,AH43)
-SUMIFS(Transactions!$I$3:$I149,Transactions!$H$3:$H149,"Transfer Send",Transactions!$F$3:$F149,"Stock",Transactions!$D$3:$D149,AH43)
-SUMIFS(Transactions!$I$3:$I149,Transactions!$H$3:$H149,"Sell",Transactions!$F$3:$F149,"ETF",Transactions!$D$3:$D149,AH43)
-SUMIFS(Transactions!$I$3:$I149,Transactions!$H$3:$H149,"Transfer Send",Transactions!$F$3:$F149,"ETF",Transactions!$D$3:$D149,AH43)
-SUMIFS(Transactions!$I$3:$I149,Transactions!$H$3:$H149,"Sell",Transactions!$F$3:$F149,"Commodity",Transactions!$D$3:$D149,AH43)
-SUMIFS(Transactions!$I$3:$I149,Transactions!$H$3:$H149,"Transfer Send",Transactions!$F$3:$F149,"Commodity",Transactions!$D$3:$D149,AH43)
-SUMIFS(Transactions!$I$3:$I149,Transactions!$H$3:$H149,"Sell",Transactions!$F$3:$F149,"Managed Fund",Transactions!$D$3:$D149,AH43)
-SUMIFS(Transactions!$I$3:$I149,Transactions!$H$3:$H149,"Transfer Send",Transactions!$F$3:$F149,"Managed Fund",Transactions!$D$3:$D149,AH43)
-SUMIFS(Transactions!$I$3:$I149,Transactions!$H$3:$H149,"Sell",Transactions!$F$3:$F149,"REIT",Transactions!$D$3:$D149,AH43)
-SUMIFS(Transactions!$I$3:$I149,Transactions!$H$3:$H149,"Transfer Send",Transactions!$F$3:$F149,"REIT",Transactions!$D$3:$D149,AH43)
+SUMIFS(Transactions!$I$3:$I149,Transactions!$H$3:$H149,"Buy",Transactions!$F$3:$F149,"Crypto",Transactions!$D$3:$D149,AH43)
+SUMIFS(Transactions!$I$3:$I149,Transactions!$H$3:$H149,"Crypto Interest",Transactions!$F$3:$F149,"Crypto",Transactions!$D$3:$D149,AH43)
+SUMIFS(Transactions!$I$3:$I149,Transactions!$H$3:$H149,"Transfer Deposit",Transactions!$F$3:$F149,"Crypto",Transactions!$D$3:$D149,AH43)
-SUMIFS(Transactions!$I$3:$I149,Transactions!$H$3:$H149,"Transfer Send",Transactions!$F$3:$F149,"Crypto",Transactions!$D$3:$D149,AH43)
-SUMIFS(Transactions!$I$3:$I149,Transactions!$H$3:$H149,"Sell",Transactions!$F$3:$F149,"Crypto",Transactions!$D$3:$D149,AH43)
+SUMIFS(Transactions!$I$3:$I149,Transactions!$H$3:$H149,"Buy",Transactions!$F$3:$F149,"Stablecoin",Transactions!$D$3:$D149,AH43)
+SUMIFS(Transactions!$I$3:$I149,Transactions!$H$3:$H149,"Crypto Interest",Transactions!$F$3:$F149,"Stablecoin",Transactions!$D$3:$D149,AH43)
+SUMIFS(Transactions!$I$3:$I149,Transactions!$H$3:$H149,"Transfer Deposit",Transactions!$F$3:$F149,"Stablecoin",Transactions!$D$3:$D149,AH43)
-SUMIFS(Transactions!$I$3:$I149,Transactions!$H$3:$H149,"Transfer Send",Transactions!$F$3:$F149,"Stablecoin",Transactions!$D$3:$D149,AH43)
-SUMIFS(Transactions!$I$3:$I149,Transactions!$H$3:$H149,"Sell",Transactions!$F$3:$F149,"Stablecoin",Transactions!$D$3:$D149,AH43)
-SUMIFS(Transactions!$M$3:$M149,Transactions!$H$3:$H149,"Buy",Transactions!$B$3:$B149,AH43)))</f>
        <v/>
      </c>
      <c r="AJ43" s="181" t="str">
        <f>IFERROR(__xludf.DUMMYFUNCTION("IF(ISBLANK(AH43),"""",VLOOKUP(9^99,FILTER({ROW(Transactions!P:P),Transactions!P:P},Transactions!D:D=AH43),2))"),"")</f>
        <v/>
      </c>
      <c r="AK43" s="181" t="str">
        <f>IFERROR(__xludf.DUMMYFUNCTION("IF(ISBLANK(AH43),"""",IFERROR(GOOGLEFINANCE(AH43,""price""),IFERROR(GOOGLEFINANCE(""CURRENCY:""&amp;AH43&amp;""""),IFERROR(INDEX(YAHOO_STOCK(TRIM(AH43), $G$2),0,1),INDEX(IMPORTHTML(CONCAT(""https://coinmarketcap.com/currencies/"",AG43),""table"",1),1,2)))))"),"")</f>
        <v/>
      </c>
      <c r="AL43" s="14" t="str">
        <f>IFERROR(__xludf.DUMMYFUNCTION("IF(ISBLANK(AH43),"""",IFERROR(SPARKLINE(INDEX(GOOGLEFINANCE(AH43,""price"",TODAY()-$AL$2,TODAY()),,2),{""charttype"",""column"";""color"",""17a7e0""}),""""))"),"")</f>
        <v/>
      </c>
      <c r="AM43" s="50" t="str">
        <f>IFERROR(__xludf.DUMMYFUNCTION("IFNA(IFERROR(IF(AH43="""","""",GOOGLEFINANCE(AH43,""changepct"")/100),(GOOGLEFINANCE(AH43)-(INDEX(GOOGLEFINANCE(""CURRENCY:""&amp;AH43&amp;"""",""price"",TODAY()-1),2,2)))/(INDEX(GOOGLEFINANCE(""CURRENCY:""&amp;AH43&amp;"""",""price"",TODAY()-1),2,2))),)"),"")</f>
        <v/>
      </c>
      <c r="AN43" s="96" t="str">
        <f>IFERROR(__xludf.DUMMYFUNCTION("IFNA(IFERROR(IF(AH43="""","""",GOOGLEFINANCE(AH43,""change"")*AI43),(GOOGLEFINANCE(AH43)-(INDEX(GOOGLEFINANCE(""CURRENCY:""&amp;AH43&amp;"""",""price"",TODAY()-1),2,2)))*AI43),"""")"),"")</f>
        <v/>
      </c>
      <c r="AO43" s="96" t="str">
        <f>IF(ISBLANK(AH43),"",IFERROR(((AI43-SUMIFS(Transactions!I:I,Transactions!H:H,"Crypto Interest",Transactions!D:D,AH43))*AJ43),""))</f>
        <v/>
      </c>
      <c r="AP43" s="96" t="str">
        <f t="shared" si="16"/>
        <v/>
      </c>
      <c r="AQ43" s="50" t="str">
        <f t="shared" si="17"/>
        <v/>
      </c>
      <c r="AR43" s="96" t="str">
        <f t="shared" si="18"/>
        <v/>
      </c>
      <c r="AS43" s="96" t="str">
        <f>IF(ISBLANK(AH43),"",SUMIFS(Transactions!$X$3:$X149,Transactions!$H$3:$H149,"Sell",Transactions!$D$3:$D149,AH43))</f>
        <v/>
      </c>
      <c r="AT43" s="96" t="str">
        <f t="shared" si="19"/>
        <v/>
      </c>
      <c r="AU43" s="50" t="str">
        <f>IFERROR(__xludf.DUMMYFUNCTION("IF(ISBLANK(AH43),"""",IFERROR((GOOGLEFINANCE(AH43,""price"")/INDEX(GOOGLEFINANCE(AH43,""price"",DATEVALUE(TODAY()-$AU$2) ),2,2)-1),""""))"),"")</f>
        <v/>
      </c>
      <c r="AW43" s="50" t="str">
        <f>IFERROR(__xludf.DUMMYFUNCTION("IF(ISBLANK(AH43),"""",IFERROR((GOOGLEFINANCE($AW$2,""price"")/INDEX(GOOGLEFINANCE($AW$2,""price"",DATEVALUE(TODAY()-$AU$2) ),2,2)-1),""""))"),"")</f>
        <v/>
      </c>
      <c r="AY43" s="50" t="str">
        <f t="shared" si="20"/>
        <v/>
      </c>
      <c r="AZ43" s="50" t="str">
        <f t="shared" si="21"/>
        <v/>
      </c>
      <c r="BA43" s="50">
        <f t="shared" si="22"/>
        <v>0</v>
      </c>
      <c r="BB43" s="14" t="str">
        <f t="shared" si="23"/>
        <v/>
      </c>
      <c r="BC43" s="14" t="str">
        <f>IF(ISBLANK(AH43),"",IFERROR(VLOOKUP(AH43,Transactions!D:F,3,0)))</f>
        <v/>
      </c>
      <c r="BD43" s="50" t="str">
        <f t="shared" si="24"/>
        <v/>
      </c>
      <c r="BE43" s="50" t="str">
        <f t="shared" si="25"/>
        <v/>
      </c>
      <c r="BF43" s="14" t="str">
        <f t="shared" si="26"/>
        <v/>
      </c>
      <c r="BG43" s="180" t="str">
        <f>IF(ISBLANK(AH43),"",IFERROR(VLOOKUP(AH43,Transactions!D:G,4,0)))</f>
        <v/>
      </c>
    </row>
    <row r="44">
      <c r="A44" s="14" t="str">
        <f t="shared" ref="A44:C44" si="67">AG44</f>
        <v/>
      </c>
      <c r="B44" s="14" t="str">
        <f t="shared" si="67"/>
        <v/>
      </c>
      <c r="C44" s="175" t="str">
        <f t="shared" si="67"/>
        <v/>
      </c>
      <c r="D44" s="176" t="str">
        <f>IFERROR(__xludf.DUMMYFUNCTION("IF(ISBLANK(B44),"""",IFERROR(IF(OR(AF44=""GPB"",AF44=""ZAR""),IF(AF44=Dashboard!$L$1,AJ44,(AJ44*GOOGLEFINANCE(""CURRENCY:""&amp;AF44&amp;""""&amp;Dashboard!$L$1&amp;""""))/100),IF(AF44=Dashboard!$L$1,AJ44,AJ44*GOOGLEFINANCE(""CURRENCY:""&amp;AF44&amp;""""&amp;Dashboard!$L$1&amp;""""))),"&amp;"AJ44))"),"")</f>
        <v/>
      </c>
      <c r="E44" s="177" t="str">
        <f>IFERROR(__xludf.DUMMYFUNCTION("IFERROR(IF(OR(AF44=""GBP"",AF44=""ZAR""),IF(B44="""","""",IF(AF44=Dashboard!$L$1,AK44,AK44*GOOGLEFINANCE(""CURRENCY:""&amp;AF44&amp;""""&amp;Dashboard!$L$1&amp;"""")))/100,If(B44="""","""",IF(AF44=Dashboard!$L$1,AK44,AK44*GOOGLEFINANCE(""CURRENCY:""&amp;AF44&amp;""""&amp;Dashboard!$"&amp;"L$1&amp;"""")))),AK44)"),"")</f>
        <v/>
      </c>
      <c r="F44" s="145" t="str">
        <f t="shared" si="65"/>
        <v/>
      </c>
      <c r="G44" s="96" t="str">
        <f>IFERROR(__xludf.DUMMYFUNCTION("IF(ISBLANK(B44),"""",IFERROR(SPARKLINE(INDEX(GOOGLEFINANCE(B44,""price"",TODAY()-$G$2,TODAY()),,2),{""charttype"",""column"";""color"",""17a7e0""}),""""))"),"")</f>
        <v/>
      </c>
      <c r="H44" s="50" t="str">
        <f t="shared" si="3"/>
        <v/>
      </c>
      <c r="I44" s="96" t="str">
        <f>IFERROR(__xludf.DUMMYFUNCTION("IF(ISBLANK(B44),"""",IFERROR(IF(OR(AF44=""GPB"",AF44=""ZAR""),IF(AF44=Dashboard!$L$1,AN44,(AN44*GOOGLEFINANCE(""CURRENCY:""&amp;AF44&amp;""""&amp;Dashboard!$L$1&amp;""""))/100),IF(AF44=Dashboard!$L$1,AN44,AN44*GOOGLEFINANCE(""CURRENCY:""&amp;AF44&amp;""""&amp;Dashboard!$L$1&amp;""""))),"&amp;"AN44))"),"")</f>
        <v/>
      </c>
      <c r="J44" s="178" t="str">
        <f>IF(ISBLANK(B44),"",IFERROR(((C44-SUMIFS(Transactions!I:I,Transactions!H:H,"Crypto Interest",Transactions!D:D,B44))*D44),""))</f>
        <v/>
      </c>
      <c r="K44" s="178" t="str">
        <f t="shared" si="4"/>
        <v/>
      </c>
      <c r="L44" s="145">
        <f>-SUMIFS(Transactions!$M$3:$M149,Transactions!$H$3:$H149,"Buy",Transactions!$D$3:$D149,B44)</f>
        <v>0</v>
      </c>
      <c r="M44" s="145">
        <f>IF(ISBLANK(AG44),"",SUMIFS(Transactions!$M$3:$M149,Transactions!$H$3:$H149,"Dividend",Transactions!$D$3:$D149,B44))</f>
        <v>0</v>
      </c>
      <c r="N44" s="145" t="str">
        <f>IF(ISBLANK(AH44),"",SUMIFS(Transactions!$M$3:$M149,Transactions!$H$3:$H149,"Sell",Transactions!$D$3:$D149,B44))</f>
        <v/>
      </c>
      <c r="O44" s="50" t="str">
        <f t="shared" si="5"/>
        <v/>
      </c>
      <c r="P44" s="178" t="str">
        <f t="shared" si="6"/>
        <v/>
      </c>
      <c r="Q44" s="178" t="str">
        <f>IFERROR(__xludf.DUMMYFUNCTION("IF(ISBLANK(B44),"""",IFERROR(IF(OR(AF44=""GPB"",AF44=""ZAR""),IF(AF44=Dashboard!$L$1,AS44,(AS44*GOOGLEFINANCE(""CURRENCY:""&amp;AF44&amp;""""&amp;Dashboard!$L$1&amp;""""))/100),IF(AF44=Dashboard!$L$1,AS44,AS44*GOOGLEFINANCE(""CURRENCY:""&amp;AF44&amp;""""&amp;Dashboard!$L$1&amp;""""))),"&amp;"AS44))"),"")</f>
        <v/>
      </c>
      <c r="R44" s="178" t="str">
        <f t="shared" si="7"/>
        <v/>
      </c>
      <c r="S44" s="50" t="str">
        <f>IFERROR(__xludf.DUMMYFUNCTION("IF(ISBLANK(B44),"""",IFERROR((GOOGLEFINANCE(B44,""price"")/INDEX(GOOGLEFINANCE(B44,""price"",DATEVALUE(TODAY()-$S$2) ),2,2)-1),""""))"),"")</f>
        <v/>
      </c>
      <c r="U44" s="50" t="str">
        <f>IFERROR(__xludf.DUMMYFUNCTION("IF(ISBLANK(B44),"""",IFERROR((GOOGLEFINANCE($U$2,""price"")/INDEX(GOOGLEFINANCE($U$2,""price"",DATEVALUE(TODAY()-$S$2) ),2,2)-1),""""))"),"")</f>
        <v/>
      </c>
      <c r="W44" s="50" t="str">
        <f t="shared" si="8"/>
        <v/>
      </c>
      <c r="X44" s="50" t="str">
        <f t="shared" si="9"/>
        <v/>
      </c>
      <c r="Y44" s="179">
        <v>0.0</v>
      </c>
      <c r="Z44" s="50" t="str">
        <f t="shared" si="10"/>
        <v/>
      </c>
      <c r="AA44" s="14" t="str">
        <f t="shared" si="11"/>
        <v/>
      </c>
      <c r="AB44" s="50" t="str">
        <f t="shared" si="12"/>
        <v/>
      </c>
      <c r="AC44" s="179" t="str">
        <f t="shared" si="13"/>
        <v/>
      </c>
      <c r="AD44" s="50" t="str">
        <f t="shared" si="14"/>
        <v/>
      </c>
      <c r="AE44" s="180" t="str">
        <f t="shared" si="15"/>
        <v/>
      </c>
      <c r="AF44" s="14" t="str">
        <f t="array" ref="AF44">IFERROR(IF(ISBLANK(AH44),"",IF(VLOOKUP(AH44,Transactions!D:F,3,0)="Stablecoin",AH44,INDEX(Transactions!$B$3:$B149,MATCH(AH44,Transactions!$D$3:$D149,0),0))))</f>
        <v/>
      </c>
      <c r="AG44" s="14" t="str">
        <f>IF(ISBLANK(AH44),"",VLOOKUP(AH44,Transactions!D:E,2,0))</f>
        <v/>
      </c>
      <c r="AH44" s="14"/>
      <c r="AI44" s="146" t="str">
        <f>IF(ISBLANK(AH44),"",IF(
SUMIFS(Transactions!$I$3:$I149,Transactions!$H$3:$H149,"Buy",Transactions!$F$3:$F149,"Stock",Transactions!$D$3:$D149,AH44)
+SUMIFS(Transactions!$I$3:$I149,Transactions!$H$3:$H149,"DRIP",Transactions!$F$3:$F149,"Stock",Transactions!$D$3:$D149,AH44)
+SUMIFS(Transactions!$I$3:$I149,Transactions!$H$3:$H149,"Transfer Deposit",Transactions!$F$3:$F149,"Stock",Transactions!$D$3:$D149,AH44)
+SUMIFS(Transactions!$I$3:$I149,Transactions!$H$3:$H149,"Buy",Transactions!$F$3:$F149,"ETF",Transactions!$D$3:$D149,AH44)
+SUMIFS(Transactions!$I$3:$I149,Transactions!$H$3:$H149,"DRIP",Transactions!$F$3:$F149,"ETF",Transactions!$D$3:$D149,AH44)
+SUMIFS(Transactions!$I$3:$I149,Transactions!$H$3:$H149,"Transfer Deposit",Transactions!$F$3:$F149,"ETF",Transactions!$D$3:$D149,AH44)
+SUMIFS(Transactions!$I$3:$I149,Transactions!$H$3:$H149,"Buy",Transactions!$F$3:$F149,"Commodity",Transactions!$D$3:$D149,AH44)
+SUMIFS(Transactions!$I$3:$I149,Transactions!$H$3:$H149,"DRIP",Transactions!$F$3:$F149,"Commodity",Transactions!$D$3:$D149,AH44)
+SUMIFS(Transactions!$I$3:$I149,Transactions!$H$3:$H149,"Transfer Deposit",Transactions!$F$3:$F149,"Commodity",Transactions!$D$3:$D149,AH44)
+SUMIFS(Transactions!$I$3:$I149,Transactions!$H$3:$H149,"Buy",Transactions!$F$3:$F149,"Managed Fund",Transactions!$D$3:$D149,AH44)
+SUMIFS(Transactions!$I$3:$I149,Transactions!$H$3:$H149,"DRIP",Transactions!$F$3:$F149,"Managed Fund",Transactions!$D$3:$D149,AH44)
+SUMIFS(Transactions!$I$3:$I149,Transactions!$H$3:$H149,"Transfer Deposit",Transactions!$F$3:$F149,"Managed Fund",Transactions!$D$3:$D149,AH44)
+SUMIFS(Transactions!$I$3:$I149,Transactions!$H$3:$H149,"Buy",Transactions!$F$3:$F149,"REIT",Transactions!$D$3:$D149,AH44)
+SUMIFS(Transactions!$I$3:$I149,Transactions!$H$3:$H149,"DRIP",Transactions!$F$3:$F149,"REIT",Transactions!$D$3:$D149,AH44)
+SUMIFS(Transactions!$I$3:$I149,Transactions!$H$3:$H149,"Transfer Deposit",Transactions!$F$3:$F149,"REIT",Transactions!$D$3:$D149,AH44)
-SUMIFS(Transactions!$I$3:$I149,Transactions!$H$3:$H149,"Sell",Transactions!$F$3:$F149,"Stock",Transactions!$D$3:$D149,AH44)
-SUMIFS(Transactions!$I$3:$I149,Transactions!$H$3:$H149,"Transfer Send",Transactions!$F$3:$F149,"Stock",Transactions!$D$3:$D149,AH44)
-SUMIFS(Transactions!$I$3:$I149,Transactions!$H$3:$H149,"Sell",Transactions!$F$3:$F149,"ETF",Transactions!$D$3:$D149,AH44)
-SUMIFS(Transactions!$I$3:$I149,Transactions!$H$3:$H149,"Transfer Send",Transactions!$F$3:$F149,"ETF",Transactions!$D$3:$D149,AH44)
-SUMIFS(Transactions!$I$3:$I149,Transactions!$H$3:$H149,"Sell",Transactions!$F$3:$F149,"Commodity",Transactions!$D$3:$D149,AH44)
-SUMIFS(Transactions!$I$3:$I149,Transactions!$H$3:$H149,"Transfer Send",Transactions!$F$3:$F149,"Commodity",Transactions!$D$3:$D149,AH44)
-SUMIFS(Transactions!$I$3:$I149,Transactions!$H$3:$H149,"Sell",Transactions!$F$3:$F149,"Managed Fund",Transactions!$D$3:$D149,AH44)
-SUMIFS(Transactions!$I$3:$I149,Transactions!$H$3:$H149,"Transfer Send",Transactions!$F$3:$F149,"Managed Fund",Transactions!$D$3:$D149,AH44)
-SUMIFS(Transactions!$I$3:$I149,Transactions!$H$3:$H149,"Sell",Transactions!$F$3:$F149,"REIT",Transactions!$D$3:$D149,AH44)
-SUMIFS(Transactions!$I$3:$I149,Transactions!$H$3:$H149,"Transfer Send",Transactions!$F$3:$F149,"REIT",Transactions!$D$3:$D149,AH44)
+SUMIFS(Transactions!$I$3:$I149,Transactions!$H$3:$H149,"Buy",Transactions!$F$3:$F149,"Crypto",Transactions!$D$3:$D149,AH44)
+SUMIFS(Transactions!$I$3:$I149,Transactions!$H$3:$H149,"Crypto Interest",Transactions!$F$3:$F149,"Crypto",Transactions!$D$3:$D149,AH44)
+SUMIFS(Transactions!$I$3:$I149,Transactions!$H$3:$H149,"Transfer Deposit",Transactions!$F$3:$F149,"Crypto",Transactions!$D$3:$D149,AH44)
-SUMIFS(Transactions!$I$3:$I149,Transactions!$H$3:$H149,"Transfer Send",Transactions!$F$3:$F149,"Crypto",Transactions!$D$3:$D149,AH44)
-SUMIFS(Transactions!$I$3:$I149,Transactions!$H$3:$H149,"Sell",Transactions!$F$3:$F149,"Crypto",Transactions!$D$3:$D149,AH44)
+SUMIFS(Transactions!$I$3:$I149,Transactions!$H$3:$H149,"Buy",Transactions!$F$3:$F149,"Stablecoin",Transactions!$D$3:$D149,AH44)
+SUMIFS(Transactions!$I$3:$I149,Transactions!$H$3:$H149,"Crypto Interest",Transactions!$F$3:$F149,"Stablecoin",Transactions!$D$3:$D149,AH44)
+SUMIFS(Transactions!$I$3:$I149,Transactions!$H$3:$H149,"Transfer Deposit",Transactions!$F$3:$F149,"Stablecoin",Transactions!$D$3:$D149,AH44)
-SUMIFS(Transactions!$I$3:$I149,Transactions!$H$3:$H149,"Transfer Send",Transactions!$F$3:$F149,"Stablecoin",Transactions!$D$3:$D149,AH44)
-SUMIFS(Transactions!$I$3:$I149,Transactions!$H$3:$H149,"Sell",Transactions!$F$3:$F149,"Stablecoin",Transactions!$D$3:$D149,AH44)
-SUMIFS(Transactions!$M$3:$M149,Transactions!$H$3:$H149,"Buy",Transactions!$B$3:$B149,AH44)=0,"Sold All",
SUMIFS(Transactions!$I$3:$I149,Transactions!$H$3:$H149,"Buy",Transactions!$F$3:$F149,"Stock",Transactions!$D$3:$D149,AH44)
+SUMIFS(Transactions!$I$3:$I149,Transactions!$H$3:$H149,"DRIP",Transactions!$F$3:$F149,"Stock",Transactions!$D$3:$D149,AH44)
+SUMIFS(Transactions!$I$3:$I149,Transactions!$H$3:$H149,"Transfer Deposit",Transactions!$F$3:$F149,"Stock",Transactions!$D$3:$D149,AH44)
+SUMIFS(Transactions!$I$3:$I149,Transactions!$H$3:$H149,"Buy",Transactions!$F$3:$F149,"ETF",Transactions!$D$3:$D149,AH44)
+SUMIFS(Transactions!$I$3:$I149,Transactions!$H$3:$H149,"DRIP",Transactions!$F$3:$F149,"ETF",Transactions!$D$3:$D149,AH44)
+SUMIFS(Transactions!$I$3:$I149,Transactions!$H$3:$H149,"Transfer Deposit",Transactions!$F$3:$F149,"ETF",Transactions!$D$3:$D149,AH44)
+SUMIFS(Transactions!$I$3:$I149,Transactions!$H$3:$H149,"Buy",Transactions!$F$3:$F149,"Commodity",Transactions!$D$3:$D149,AH44)
+SUMIFS(Transactions!$I$3:$I149,Transactions!$H$3:$H149,"DRIP",Transactions!$F$3:$F149,"Commodity",Transactions!$D$3:$D149,AH44)
+SUMIFS(Transactions!$I$3:$I149,Transactions!$H$3:$H149,"Transfer Deposit",Transactions!$F$3:$F149,"Commodity",Transactions!$D$3:$D149,AH44)
+SUMIFS(Transactions!$I$3:$I149,Transactions!$H$3:$H149,"Buy",Transactions!$F$3:$F149,"Managed Fund",Transactions!$D$3:$D149,AH44)
+SUMIFS(Transactions!$I$3:$I149,Transactions!$H$3:$H149,"DRIP",Transactions!$F$3:$F149,"Managed Fund",Transactions!$D$3:$D149,AH44)
+SUMIFS(Transactions!$I$3:$I149,Transactions!$H$3:$H149,"Transfer Deposit",Transactions!$F$3:$F149,"Managed Fund",Transactions!$D$3:$D149,AH44)
+SUMIFS(Transactions!$I$3:$I149,Transactions!$H$3:$H149,"Buy",Transactions!$F$3:$F149,"REIT",Transactions!$D$3:$D149,AH44)
+SUMIFS(Transactions!$I$3:$I149,Transactions!$H$3:$H149,"DRIP",Transactions!$F$3:$F149,"REIT",Transactions!$D$3:$D149,AH44)
+SUMIFS(Transactions!$I$3:$I149,Transactions!$H$3:$H149,"Transfer Deposit",Transactions!$F$3:$F149,"REIT",Transactions!$D$3:$D149,AH44)
-SUMIFS(Transactions!$I$3:$I149,Transactions!$H$3:$H149,"Sell",Transactions!$F$3:$F149,"Stock",Transactions!$D$3:$D149,AH44)
-SUMIFS(Transactions!$I$3:$I149,Transactions!$H$3:$H149,"Transfer Send",Transactions!$F$3:$F149,"Stock",Transactions!$D$3:$D149,AH44)
-SUMIFS(Transactions!$I$3:$I149,Transactions!$H$3:$H149,"Sell",Transactions!$F$3:$F149,"ETF",Transactions!$D$3:$D149,AH44)
-SUMIFS(Transactions!$I$3:$I149,Transactions!$H$3:$H149,"Transfer Send",Transactions!$F$3:$F149,"ETF",Transactions!$D$3:$D149,AH44)
-SUMIFS(Transactions!$I$3:$I149,Transactions!$H$3:$H149,"Sell",Transactions!$F$3:$F149,"Commodity",Transactions!$D$3:$D149,AH44)
-SUMIFS(Transactions!$I$3:$I149,Transactions!$H$3:$H149,"Transfer Send",Transactions!$F$3:$F149,"Commodity",Transactions!$D$3:$D149,AH44)
-SUMIFS(Transactions!$I$3:$I149,Transactions!$H$3:$H149,"Sell",Transactions!$F$3:$F149,"Managed Fund",Transactions!$D$3:$D149,AH44)
-SUMIFS(Transactions!$I$3:$I149,Transactions!$H$3:$H149,"Transfer Send",Transactions!$F$3:$F149,"Managed Fund",Transactions!$D$3:$D149,AH44)
-SUMIFS(Transactions!$I$3:$I149,Transactions!$H$3:$H149,"Sell",Transactions!$F$3:$F149,"REIT",Transactions!$D$3:$D149,AH44)
-SUMIFS(Transactions!$I$3:$I149,Transactions!$H$3:$H149,"Transfer Send",Transactions!$F$3:$F149,"REIT",Transactions!$D$3:$D149,AH44)
+SUMIFS(Transactions!$I$3:$I149,Transactions!$H$3:$H149,"Buy",Transactions!$F$3:$F149,"Crypto",Transactions!$D$3:$D149,AH44)
+SUMIFS(Transactions!$I$3:$I149,Transactions!$H$3:$H149,"Crypto Interest",Transactions!$F$3:$F149,"Crypto",Transactions!$D$3:$D149,AH44)
+SUMIFS(Transactions!$I$3:$I149,Transactions!$H$3:$H149,"Transfer Deposit",Transactions!$F$3:$F149,"Crypto",Transactions!$D$3:$D149,AH44)
-SUMIFS(Transactions!$I$3:$I149,Transactions!$H$3:$H149,"Transfer Send",Transactions!$F$3:$F149,"Crypto",Transactions!$D$3:$D149,AH44)
-SUMIFS(Transactions!$I$3:$I149,Transactions!$H$3:$H149,"Sell",Transactions!$F$3:$F149,"Crypto",Transactions!$D$3:$D149,AH44)
+SUMIFS(Transactions!$I$3:$I149,Transactions!$H$3:$H149,"Buy",Transactions!$F$3:$F149,"Stablecoin",Transactions!$D$3:$D149,AH44)
+SUMIFS(Transactions!$I$3:$I149,Transactions!$H$3:$H149,"Crypto Interest",Transactions!$F$3:$F149,"Stablecoin",Transactions!$D$3:$D149,AH44)
+SUMIFS(Transactions!$I$3:$I149,Transactions!$H$3:$H149,"Transfer Deposit",Transactions!$F$3:$F149,"Stablecoin",Transactions!$D$3:$D149,AH44)
-SUMIFS(Transactions!$I$3:$I149,Transactions!$H$3:$H149,"Transfer Send",Transactions!$F$3:$F149,"Stablecoin",Transactions!$D$3:$D149,AH44)
-SUMIFS(Transactions!$I$3:$I149,Transactions!$H$3:$H149,"Sell",Transactions!$F$3:$F149,"Stablecoin",Transactions!$D$3:$D149,AH44)
-SUMIFS(Transactions!$M$3:$M149,Transactions!$H$3:$H149,"Buy",Transactions!$B$3:$B149,AH44)))</f>
        <v/>
      </c>
      <c r="AJ44" s="181" t="str">
        <f>IFERROR(__xludf.DUMMYFUNCTION("IF(ISBLANK(AH44),"""",VLOOKUP(9^99,FILTER({ROW(Transactions!P:P),Transactions!P:P},Transactions!D:D=AH44),2))"),"")</f>
        <v/>
      </c>
      <c r="AK44" s="181" t="str">
        <f>IFERROR(__xludf.DUMMYFUNCTION("IF(ISBLANK(AH44),"""",IFERROR(GOOGLEFINANCE(AH44,""price""),IFERROR(GOOGLEFINANCE(""CURRENCY:""&amp;AH44&amp;""""),IFERROR(INDEX(YAHOO_STOCK(TRIM(AH44), $G$2),0,1),INDEX(IMPORTHTML(CONCAT(""https://coinmarketcap.com/currencies/"",AG44),""table"",1),1,2)))))"),"")</f>
        <v/>
      </c>
      <c r="AL44" s="14" t="str">
        <f>IFERROR(__xludf.DUMMYFUNCTION("IF(ISBLANK(AH44),"""",IFERROR(SPARKLINE(INDEX(GOOGLEFINANCE(AH44,""price"",TODAY()-$AL$2,TODAY()),,2),{""charttype"",""column"";""color"",""17a7e0""}),""""))"),"")</f>
        <v/>
      </c>
      <c r="AM44" s="50" t="str">
        <f>IFERROR(__xludf.DUMMYFUNCTION("IFNA(IFERROR(IF(AH44="""","""",GOOGLEFINANCE(AH44,""changepct"")/100),(GOOGLEFINANCE(AH44)-(INDEX(GOOGLEFINANCE(""CURRENCY:""&amp;AH44&amp;"""",""price"",TODAY()-1),2,2)))/(INDEX(GOOGLEFINANCE(""CURRENCY:""&amp;AH44&amp;"""",""price"",TODAY()-1),2,2))),)"),"")</f>
        <v/>
      </c>
      <c r="AN44" s="96" t="str">
        <f>IFERROR(__xludf.DUMMYFUNCTION("IFNA(IFERROR(IF(AH44="""","""",GOOGLEFINANCE(AH44,""change"")*AI44),(GOOGLEFINANCE(AH44)-(INDEX(GOOGLEFINANCE(""CURRENCY:""&amp;AH44&amp;"""",""price"",TODAY()-1),2,2)))*AI44),"""")"),"")</f>
        <v/>
      </c>
      <c r="AO44" s="96" t="str">
        <f>IF(ISBLANK(AH44),"",IFERROR(((AI44-SUMIFS(Transactions!I:I,Transactions!H:H,"Crypto Interest",Transactions!D:D,AH44))*AJ44),""))</f>
        <v/>
      </c>
      <c r="AP44" s="96" t="str">
        <f t="shared" si="16"/>
        <v/>
      </c>
      <c r="AQ44" s="50" t="str">
        <f t="shared" si="17"/>
        <v/>
      </c>
      <c r="AR44" s="96" t="str">
        <f t="shared" si="18"/>
        <v/>
      </c>
      <c r="AS44" s="96" t="str">
        <f>IF(ISBLANK(AH44),"",SUMIFS(Transactions!$X$3:$X149,Transactions!$H$3:$H149,"Sell",Transactions!$D$3:$D149,AH44))</f>
        <v/>
      </c>
      <c r="AT44" s="96" t="str">
        <f t="shared" si="19"/>
        <v/>
      </c>
      <c r="AU44" s="50" t="str">
        <f>IFERROR(__xludf.DUMMYFUNCTION("IF(ISBLANK(AH44),"""",IFERROR((GOOGLEFINANCE(AH44,""price"")/INDEX(GOOGLEFINANCE(AH44,""price"",DATEVALUE(TODAY()-$AU$2) ),2,2)-1),""""))"),"")</f>
        <v/>
      </c>
      <c r="AW44" s="50" t="str">
        <f>IFERROR(__xludf.DUMMYFUNCTION("IF(ISBLANK(AH44),"""",IFERROR((GOOGLEFINANCE($AW$2,""price"")/INDEX(GOOGLEFINANCE($AW$2,""price"",DATEVALUE(TODAY()-$AU$2) ),2,2)-1),""""))"),"")</f>
        <v/>
      </c>
      <c r="AY44" s="50" t="str">
        <f t="shared" si="20"/>
        <v/>
      </c>
      <c r="AZ44" s="50" t="str">
        <f t="shared" si="21"/>
        <v/>
      </c>
      <c r="BA44" s="50">
        <f t="shared" si="22"/>
        <v>0</v>
      </c>
      <c r="BB44" s="14" t="str">
        <f t="shared" si="23"/>
        <v/>
      </c>
      <c r="BC44" s="14" t="str">
        <f>IF(ISBLANK(AH44),"",IFERROR(VLOOKUP(AH44,Transactions!D:F,3,0)))</f>
        <v/>
      </c>
      <c r="BD44" s="50" t="str">
        <f t="shared" si="24"/>
        <v/>
      </c>
      <c r="BE44" s="50" t="str">
        <f t="shared" si="25"/>
        <v/>
      </c>
      <c r="BF44" s="14" t="str">
        <f t="shared" si="26"/>
        <v/>
      </c>
      <c r="BG44" s="180" t="str">
        <f>IF(ISBLANK(AH44),"",IFERROR(VLOOKUP(AH44,Transactions!D:G,4,0)))</f>
        <v/>
      </c>
    </row>
    <row r="45">
      <c r="A45" s="14" t="str">
        <f t="shared" ref="A45:C45" si="68">AG45</f>
        <v/>
      </c>
      <c r="B45" s="14" t="str">
        <f t="shared" si="68"/>
        <v/>
      </c>
      <c r="C45" s="175" t="str">
        <f t="shared" si="68"/>
        <v/>
      </c>
      <c r="D45" s="176" t="str">
        <f>IFERROR(__xludf.DUMMYFUNCTION("IF(ISBLANK(B45),"""",IFERROR(IF(OR(AF45=""GPB"",AF45=""ZAR""),IF(AF45=Dashboard!$L$1,AJ45,(AJ45*GOOGLEFINANCE(""CURRENCY:""&amp;AF45&amp;""""&amp;Dashboard!$L$1&amp;""""))/100),IF(AF45=Dashboard!$L$1,AJ45,AJ45*GOOGLEFINANCE(""CURRENCY:""&amp;AF45&amp;""""&amp;Dashboard!$L$1&amp;""""))),"&amp;"AJ45))"),"")</f>
        <v/>
      </c>
      <c r="E45" s="177" t="str">
        <f>IFERROR(__xludf.DUMMYFUNCTION("IFERROR(IF(OR(AF45=""GBP"",AF45=""ZAR""),IF(B45="""","""",IF(AF45=Dashboard!$L$1,AK45,AK45*GOOGLEFINANCE(""CURRENCY:""&amp;AF45&amp;""""&amp;Dashboard!$L$1&amp;"""")))/100,If(B45="""","""",IF(AF45=Dashboard!$L$1,AK45,AK45*GOOGLEFINANCE(""CURRENCY:""&amp;AF45&amp;""""&amp;Dashboard!$"&amp;"L$1&amp;"""")))),AK45)"),"")</f>
        <v/>
      </c>
      <c r="F45" s="145" t="str">
        <f t="shared" si="65"/>
        <v/>
      </c>
      <c r="G45" s="96" t="str">
        <f>IFERROR(__xludf.DUMMYFUNCTION("IF(ISBLANK(B45),"""",IFERROR(SPARKLINE(INDEX(GOOGLEFINANCE(B45,""price"",TODAY()-$G$2,TODAY()),,2),{""charttype"",""column"";""color"",""17a7e0""}),""""))"),"")</f>
        <v/>
      </c>
      <c r="H45" s="50" t="str">
        <f t="shared" si="3"/>
        <v/>
      </c>
      <c r="I45" s="96" t="str">
        <f>IFERROR(__xludf.DUMMYFUNCTION("IF(ISBLANK(B45),"""",IFERROR(IF(OR(AF45=""GPB"",AF45=""ZAR""),IF(AF45=Dashboard!$L$1,AN45,(AN45*GOOGLEFINANCE(""CURRENCY:""&amp;AF45&amp;""""&amp;Dashboard!$L$1&amp;""""))/100),IF(AF45=Dashboard!$L$1,AN45,AN45*GOOGLEFINANCE(""CURRENCY:""&amp;AF45&amp;""""&amp;Dashboard!$L$1&amp;""""))),"&amp;"AN45))"),"")</f>
        <v/>
      </c>
      <c r="J45" s="178" t="str">
        <f>IF(ISBLANK(B45),"",IFERROR(((C45-SUMIFS(Transactions!I:I,Transactions!H:H,"Crypto Interest",Transactions!D:D,B45))*D45),""))</f>
        <v/>
      </c>
      <c r="K45" s="178" t="str">
        <f t="shared" si="4"/>
        <v/>
      </c>
      <c r="L45" s="145">
        <f>-SUMIFS(Transactions!$M$3:$M149,Transactions!$H$3:$H149,"Buy",Transactions!$D$3:$D149,B45)</f>
        <v>0</v>
      </c>
      <c r="M45" s="145">
        <f>IF(ISBLANK(AG45),"",SUMIFS(Transactions!$M$3:$M149,Transactions!$H$3:$H149,"Dividend",Transactions!$D$3:$D149,B45))</f>
        <v>0</v>
      </c>
      <c r="N45" s="145" t="str">
        <f>IF(ISBLANK(AH45),"",SUMIFS(Transactions!$M$3:$M149,Transactions!$H$3:$H149,"Sell",Transactions!$D$3:$D149,B45))</f>
        <v/>
      </c>
      <c r="O45" s="50" t="str">
        <f t="shared" si="5"/>
        <v/>
      </c>
      <c r="P45" s="178" t="str">
        <f t="shared" si="6"/>
        <v/>
      </c>
      <c r="Q45" s="178" t="str">
        <f>IFERROR(__xludf.DUMMYFUNCTION("IF(ISBLANK(B45),"""",IFERROR(IF(OR(AF45=""GPB"",AF45=""ZAR""),IF(AF45=Dashboard!$L$1,AS45,(AS45*GOOGLEFINANCE(""CURRENCY:""&amp;AF45&amp;""""&amp;Dashboard!$L$1&amp;""""))/100),IF(AF45=Dashboard!$L$1,AS45,AS45*GOOGLEFINANCE(""CURRENCY:""&amp;AF45&amp;""""&amp;Dashboard!$L$1&amp;""""))),"&amp;"AS45))"),"")</f>
        <v/>
      </c>
      <c r="R45" s="178" t="str">
        <f t="shared" si="7"/>
        <v/>
      </c>
      <c r="S45" s="50" t="str">
        <f>IFERROR(__xludf.DUMMYFUNCTION("IF(ISBLANK(B45),"""",IFERROR((GOOGLEFINANCE(B45,""price"")/INDEX(GOOGLEFINANCE(B45,""price"",DATEVALUE(TODAY()-$S$2) ),2,2)-1),""""))"),"")</f>
        <v/>
      </c>
      <c r="U45" s="50" t="str">
        <f>IFERROR(__xludf.DUMMYFUNCTION("IF(ISBLANK(B45),"""",IFERROR((GOOGLEFINANCE($U$2,""price"")/INDEX(GOOGLEFINANCE($U$2,""price"",DATEVALUE(TODAY()-$S$2) ),2,2)-1),""""))"),"")</f>
        <v/>
      </c>
      <c r="W45" s="50" t="str">
        <f t="shared" si="8"/>
        <v/>
      </c>
      <c r="X45" s="50" t="str">
        <f t="shared" si="9"/>
        <v/>
      </c>
      <c r="Y45" s="179">
        <v>0.0</v>
      </c>
      <c r="Z45" s="50" t="str">
        <f t="shared" si="10"/>
        <v/>
      </c>
      <c r="AA45" s="14" t="str">
        <f t="shared" si="11"/>
        <v/>
      </c>
      <c r="AB45" s="50" t="str">
        <f t="shared" si="12"/>
        <v/>
      </c>
      <c r="AC45" s="179" t="str">
        <f t="shared" si="13"/>
        <v/>
      </c>
      <c r="AD45" s="50" t="str">
        <f t="shared" si="14"/>
        <v/>
      </c>
      <c r="AE45" s="180" t="str">
        <f t="shared" si="15"/>
        <v/>
      </c>
      <c r="AF45" s="14" t="str">
        <f t="array" ref="AF45">IFERROR(IF(ISBLANK(AH45),"",IF(VLOOKUP(AH45,Transactions!D:F,3,0)="Stablecoin",AH45,INDEX(Transactions!$B$3:$B149,MATCH(AH45,Transactions!$D$3:$D149,0),0))))</f>
        <v/>
      </c>
      <c r="AG45" s="14" t="str">
        <f>IF(ISBLANK(AH45),"",VLOOKUP(AH45,Transactions!D:E,2,0))</f>
        <v/>
      </c>
      <c r="AH45" s="14"/>
      <c r="AI45" s="146" t="str">
        <f>IF(ISBLANK(AH45),"",IF(
SUMIFS(Transactions!$I$3:$I149,Transactions!$H$3:$H149,"Buy",Transactions!$F$3:$F149,"Stock",Transactions!$D$3:$D149,AH45)
+SUMIFS(Transactions!$I$3:$I149,Transactions!$H$3:$H149,"DRIP",Transactions!$F$3:$F149,"Stock",Transactions!$D$3:$D149,AH45)
+SUMIFS(Transactions!$I$3:$I149,Transactions!$H$3:$H149,"Transfer Deposit",Transactions!$F$3:$F149,"Stock",Transactions!$D$3:$D149,AH45)
+SUMIFS(Transactions!$I$3:$I149,Transactions!$H$3:$H149,"Buy",Transactions!$F$3:$F149,"ETF",Transactions!$D$3:$D149,AH45)
+SUMIFS(Transactions!$I$3:$I149,Transactions!$H$3:$H149,"DRIP",Transactions!$F$3:$F149,"ETF",Transactions!$D$3:$D149,AH45)
+SUMIFS(Transactions!$I$3:$I149,Transactions!$H$3:$H149,"Transfer Deposit",Transactions!$F$3:$F149,"ETF",Transactions!$D$3:$D149,AH45)
+SUMIFS(Transactions!$I$3:$I149,Transactions!$H$3:$H149,"Buy",Transactions!$F$3:$F149,"Commodity",Transactions!$D$3:$D149,AH45)
+SUMIFS(Transactions!$I$3:$I149,Transactions!$H$3:$H149,"DRIP",Transactions!$F$3:$F149,"Commodity",Transactions!$D$3:$D149,AH45)
+SUMIFS(Transactions!$I$3:$I149,Transactions!$H$3:$H149,"Transfer Deposit",Transactions!$F$3:$F149,"Commodity",Transactions!$D$3:$D149,AH45)
+SUMIFS(Transactions!$I$3:$I149,Transactions!$H$3:$H149,"Buy",Transactions!$F$3:$F149,"Managed Fund",Transactions!$D$3:$D149,AH45)
+SUMIFS(Transactions!$I$3:$I149,Transactions!$H$3:$H149,"DRIP",Transactions!$F$3:$F149,"Managed Fund",Transactions!$D$3:$D149,AH45)
+SUMIFS(Transactions!$I$3:$I149,Transactions!$H$3:$H149,"Transfer Deposit",Transactions!$F$3:$F149,"Managed Fund",Transactions!$D$3:$D149,AH45)
+SUMIFS(Transactions!$I$3:$I149,Transactions!$H$3:$H149,"Buy",Transactions!$F$3:$F149,"REIT",Transactions!$D$3:$D149,AH45)
+SUMIFS(Transactions!$I$3:$I149,Transactions!$H$3:$H149,"DRIP",Transactions!$F$3:$F149,"REIT",Transactions!$D$3:$D149,AH45)
+SUMIFS(Transactions!$I$3:$I149,Transactions!$H$3:$H149,"Transfer Deposit",Transactions!$F$3:$F149,"REIT",Transactions!$D$3:$D149,AH45)
-SUMIFS(Transactions!$I$3:$I149,Transactions!$H$3:$H149,"Sell",Transactions!$F$3:$F149,"Stock",Transactions!$D$3:$D149,AH45)
-SUMIFS(Transactions!$I$3:$I149,Transactions!$H$3:$H149,"Transfer Send",Transactions!$F$3:$F149,"Stock",Transactions!$D$3:$D149,AH45)
-SUMIFS(Transactions!$I$3:$I149,Transactions!$H$3:$H149,"Sell",Transactions!$F$3:$F149,"ETF",Transactions!$D$3:$D149,AH45)
-SUMIFS(Transactions!$I$3:$I149,Transactions!$H$3:$H149,"Transfer Send",Transactions!$F$3:$F149,"ETF",Transactions!$D$3:$D149,AH45)
-SUMIFS(Transactions!$I$3:$I149,Transactions!$H$3:$H149,"Sell",Transactions!$F$3:$F149,"Commodity",Transactions!$D$3:$D149,AH45)
-SUMIFS(Transactions!$I$3:$I149,Transactions!$H$3:$H149,"Transfer Send",Transactions!$F$3:$F149,"Commodity",Transactions!$D$3:$D149,AH45)
-SUMIFS(Transactions!$I$3:$I149,Transactions!$H$3:$H149,"Sell",Transactions!$F$3:$F149,"Managed Fund",Transactions!$D$3:$D149,AH45)
-SUMIFS(Transactions!$I$3:$I149,Transactions!$H$3:$H149,"Transfer Send",Transactions!$F$3:$F149,"Managed Fund",Transactions!$D$3:$D149,AH45)
-SUMIFS(Transactions!$I$3:$I149,Transactions!$H$3:$H149,"Sell",Transactions!$F$3:$F149,"REIT",Transactions!$D$3:$D149,AH45)
-SUMIFS(Transactions!$I$3:$I149,Transactions!$H$3:$H149,"Transfer Send",Transactions!$F$3:$F149,"REIT",Transactions!$D$3:$D149,AH45)
+SUMIFS(Transactions!$I$3:$I149,Transactions!$H$3:$H149,"Buy",Transactions!$F$3:$F149,"Crypto",Transactions!$D$3:$D149,AH45)
+SUMIFS(Transactions!$I$3:$I149,Transactions!$H$3:$H149,"Crypto Interest",Transactions!$F$3:$F149,"Crypto",Transactions!$D$3:$D149,AH45)
+SUMIFS(Transactions!$I$3:$I149,Transactions!$H$3:$H149,"Transfer Deposit",Transactions!$F$3:$F149,"Crypto",Transactions!$D$3:$D149,AH45)
-SUMIFS(Transactions!$I$3:$I149,Transactions!$H$3:$H149,"Transfer Send",Transactions!$F$3:$F149,"Crypto",Transactions!$D$3:$D149,AH45)
-SUMIFS(Transactions!$I$3:$I149,Transactions!$H$3:$H149,"Sell",Transactions!$F$3:$F149,"Crypto",Transactions!$D$3:$D149,AH45)
+SUMIFS(Transactions!$I$3:$I149,Transactions!$H$3:$H149,"Buy",Transactions!$F$3:$F149,"Stablecoin",Transactions!$D$3:$D149,AH45)
+SUMIFS(Transactions!$I$3:$I149,Transactions!$H$3:$H149,"Crypto Interest",Transactions!$F$3:$F149,"Stablecoin",Transactions!$D$3:$D149,AH45)
+SUMIFS(Transactions!$I$3:$I149,Transactions!$H$3:$H149,"Transfer Deposit",Transactions!$F$3:$F149,"Stablecoin",Transactions!$D$3:$D149,AH45)
-SUMIFS(Transactions!$I$3:$I149,Transactions!$H$3:$H149,"Transfer Send",Transactions!$F$3:$F149,"Stablecoin",Transactions!$D$3:$D149,AH45)
-SUMIFS(Transactions!$I$3:$I149,Transactions!$H$3:$H149,"Sell",Transactions!$F$3:$F149,"Stablecoin",Transactions!$D$3:$D149,AH45)
-SUMIFS(Transactions!$M$3:$M149,Transactions!$H$3:$H149,"Buy",Transactions!$B$3:$B149,AH45)=0,"Sold All",
SUMIFS(Transactions!$I$3:$I149,Transactions!$H$3:$H149,"Buy",Transactions!$F$3:$F149,"Stock",Transactions!$D$3:$D149,AH45)
+SUMIFS(Transactions!$I$3:$I149,Transactions!$H$3:$H149,"DRIP",Transactions!$F$3:$F149,"Stock",Transactions!$D$3:$D149,AH45)
+SUMIFS(Transactions!$I$3:$I149,Transactions!$H$3:$H149,"Transfer Deposit",Transactions!$F$3:$F149,"Stock",Transactions!$D$3:$D149,AH45)
+SUMIFS(Transactions!$I$3:$I149,Transactions!$H$3:$H149,"Buy",Transactions!$F$3:$F149,"ETF",Transactions!$D$3:$D149,AH45)
+SUMIFS(Transactions!$I$3:$I149,Transactions!$H$3:$H149,"DRIP",Transactions!$F$3:$F149,"ETF",Transactions!$D$3:$D149,AH45)
+SUMIFS(Transactions!$I$3:$I149,Transactions!$H$3:$H149,"Transfer Deposit",Transactions!$F$3:$F149,"ETF",Transactions!$D$3:$D149,AH45)
+SUMIFS(Transactions!$I$3:$I149,Transactions!$H$3:$H149,"Buy",Transactions!$F$3:$F149,"Commodity",Transactions!$D$3:$D149,AH45)
+SUMIFS(Transactions!$I$3:$I149,Transactions!$H$3:$H149,"DRIP",Transactions!$F$3:$F149,"Commodity",Transactions!$D$3:$D149,AH45)
+SUMIFS(Transactions!$I$3:$I149,Transactions!$H$3:$H149,"Transfer Deposit",Transactions!$F$3:$F149,"Commodity",Transactions!$D$3:$D149,AH45)
+SUMIFS(Transactions!$I$3:$I149,Transactions!$H$3:$H149,"Buy",Transactions!$F$3:$F149,"Managed Fund",Transactions!$D$3:$D149,AH45)
+SUMIFS(Transactions!$I$3:$I149,Transactions!$H$3:$H149,"DRIP",Transactions!$F$3:$F149,"Managed Fund",Transactions!$D$3:$D149,AH45)
+SUMIFS(Transactions!$I$3:$I149,Transactions!$H$3:$H149,"Transfer Deposit",Transactions!$F$3:$F149,"Managed Fund",Transactions!$D$3:$D149,AH45)
+SUMIFS(Transactions!$I$3:$I149,Transactions!$H$3:$H149,"Buy",Transactions!$F$3:$F149,"REIT",Transactions!$D$3:$D149,AH45)
+SUMIFS(Transactions!$I$3:$I149,Transactions!$H$3:$H149,"DRIP",Transactions!$F$3:$F149,"REIT",Transactions!$D$3:$D149,AH45)
+SUMIFS(Transactions!$I$3:$I149,Transactions!$H$3:$H149,"Transfer Deposit",Transactions!$F$3:$F149,"REIT",Transactions!$D$3:$D149,AH45)
-SUMIFS(Transactions!$I$3:$I149,Transactions!$H$3:$H149,"Sell",Transactions!$F$3:$F149,"Stock",Transactions!$D$3:$D149,AH45)
-SUMIFS(Transactions!$I$3:$I149,Transactions!$H$3:$H149,"Transfer Send",Transactions!$F$3:$F149,"Stock",Transactions!$D$3:$D149,AH45)
-SUMIFS(Transactions!$I$3:$I149,Transactions!$H$3:$H149,"Sell",Transactions!$F$3:$F149,"ETF",Transactions!$D$3:$D149,AH45)
-SUMIFS(Transactions!$I$3:$I149,Transactions!$H$3:$H149,"Transfer Send",Transactions!$F$3:$F149,"ETF",Transactions!$D$3:$D149,AH45)
-SUMIFS(Transactions!$I$3:$I149,Transactions!$H$3:$H149,"Sell",Transactions!$F$3:$F149,"Commodity",Transactions!$D$3:$D149,AH45)
-SUMIFS(Transactions!$I$3:$I149,Transactions!$H$3:$H149,"Transfer Send",Transactions!$F$3:$F149,"Commodity",Transactions!$D$3:$D149,AH45)
-SUMIFS(Transactions!$I$3:$I149,Transactions!$H$3:$H149,"Sell",Transactions!$F$3:$F149,"Managed Fund",Transactions!$D$3:$D149,AH45)
-SUMIFS(Transactions!$I$3:$I149,Transactions!$H$3:$H149,"Transfer Send",Transactions!$F$3:$F149,"Managed Fund",Transactions!$D$3:$D149,AH45)
-SUMIFS(Transactions!$I$3:$I149,Transactions!$H$3:$H149,"Sell",Transactions!$F$3:$F149,"REIT",Transactions!$D$3:$D149,AH45)
-SUMIFS(Transactions!$I$3:$I149,Transactions!$H$3:$H149,"Transfer Send",Transactions!$F$3:$F149,"REIT",Transactions!$D$3:$D149,AH45)
+SUMIFS(Transactions!$I$3:$I149,Transactions!$H$3:$H149,"Buy",Transactions!$F$3:$F149,"Crypto",Transactions!$D$3:$D149,AH45)
+SUMIFS(Transactions!$I$3:$I149,Transactions!$H$3:$H149,"Crypto Interest",Transactions!$F$3:$F149,"Crypto",Transactions!$D$3:$D149,AH45)
+SUMIFS(Transactions!$I$3:$I149,Transactions!$H$3:$H149,"Transfer Deposit",Transactions!$F$3:$F149,"Crypto",Transactions!$D$3:$D149,AH45)
-SUMIFS(Transactions!$I$3:$I149,Transactions!$H$3:$H149,"Transfer Send",Transactions!$F$3:$F149,"Crypto",Transactions!$D$3:$D149,AH45)
-SUMIFS(Transactions!$I$3:$I149,Transactions!$H$3:$H149,"Sell",Transactions!$F$3:$F149,"Crypto",Transactions!$D$3:$D149,AH45)
+SUMIFS(Transactions!$I$3:$I149,Transactions!$H$3:$H149,"Buy",Transactions!$F$3:$F149,"Stablecoin",Transactions!$D$3:$D149,AH45)
+SUMIFS(Transactions!$I$3:$I149,Transactions!$H$3:$H149,"Crypto Interest",Transactions!$F$3:$F149,"Stablecoin",Transactions!$D$3:$D149,AH45)
+SUMIFS(Transactions!$I$3:$I149,Transactions!$H$3:$H149,"Transfer Deposit",Transactions!$F$3:$F149,"Stablecoin",Transactions!$D$3:$D149,AH45)
-SUMIFS(Transactions!$I$3:$I149,Transactions!$H$3:$H149,"Transfer Send",Transactions!$F$3:$F149,"Stablecoin",Transactions!$D$3:$D149,AH45)
-SUMIFS(Transactions!$I$3:$I149,Transactions!$H$3:$H149,"Sell",Transactions!$F$3:$F149,"Stablecoin",Transactions!$D$3:$D149,AH45)
-SUMIFS(Transactions!$M$3:$M149,Transactions!$H$3:$H149,"Buy",Transactions!$B$3:$B149,AH45)))</f>
        <v/>
      </c>
      <c r="AJ45" s="181" t="str">
        <f>IFERROR(__xludf.DUMMYFUNCTION("IF(ISBLANK(AH45),"""",VLOOKUP(9^99,FILTER({ROW(Transactions!P:P),Transactions!P:P},Transactions!D:D=AH45),2))"),"")</f>
        <v/>
      </c>
      <c r="AK45" s="181" t="str">
        <f>IFERROR(__xludf.DUMMYFUNCTION("IF(ISBLANK(AH45),"""",IFERROR(GOOGLEFINANCE(AH45,""price""),IFERROR(GOOGLEFINANCE(""CURRENCY:""&amp;AH45&amp;""""),IFERROR(INDEX(YAHOO_STOCK(TRIM(AH45), $G$2),0,1),INDEX(IMPORTHTML(CONCAT(""https://coinmarketcap.com/currencies/"",AG45),""table"",1),1,2)))))"),"")</f>
        <v/>
      </c>
      <c r="AL45" s="14" t="str">
        <f>IFERROR(__xludf.DUMMYFUNCTION("IF(ISBLANK(AH45),"""",IFERROR(SPARKLINE(INDEX(GOOGLEFINANCE(AH45,""price"",TODAY()-$AL$2,TODAY()),,2),{""charttype"",""column"";""color"",""17a7e0""}),""""))"),"")</f>
        <v/>
      </c>
      <c r="AM45" s="50" t="str">
        <f>IFERROR(__xludf.DUMMYFUNCTION("IFNA(IFERROR(IF(AH45="""","""",GOOGLEFINANCE(AH45,""changepct"")/100),(GOOGLEFINANCE(AH45)-(INDEX(GOOGLEFINANCE(""CURRENCY:""&amp;AH45&amp;"""",""price"",TODAY()-1),2,2)))/(INDEX(GOOGLEFINANCE(""CURRENCY:""&amp;AH45&amp;"""",""price"",TODAY()-1),2,2))),)"),"")</f>
        <v/>
      </c>
      <c r="AN45" s="96" t="str">
        <f>IFERROR(__xludf.DUMMYFUNCTION("IFNA(IFERROR(IF(AH45="""","""",GOOGLEFINANCE(AH45,""change"")*AI45),(GOOGLEFINANCE(AH45)-(INDEX(GOOGLEFINANCE(""CURRENCY:""&amp;AH45&amp;"""",""price"",TODAY()-1),2,2)))*AI45),"""")"),"")</f>
        <v/>
      </c>
      <c r="AO45" s="96" t="str">
        <f>IF(ISBLANK(AH45),"",IFERROR(((AI45-SUMIFS(Transactions!I:I,Transactions!H:H,"Crypto Interest",Transactions!D:D,AH45))*AJ45),""))</f>
        <v/>
      </c>
      <c r="AP45" s="96" t="str">
        <f t="shared" si="16"/>
        <v/>
      </c>
      <c r="AQ45" s="50" t="str">
        <f t="shared" si="17"/>
        <v/>
      </c>
      <c r="AR45" s="96" t="str">
        <f t="shared" si="18"/>
        <v/>
      </c>
      <c r="AS45" s="96" t="str">
        <f>IF(ISBLANK(AH45),"",SUMIFS(Transactions!$X$3:$X149,Transactions!$H$3:$H149,"Sell",Transactions!$D$3:$D149,AH45))</f>
        <v/>
      </c>
      <c r="AT45" s="96" t="str">
        <f t="shared" si="19"/>
        <v/>
      </c>
      <c r="AU45" s="50" t="str">
        <f>IFERROR(__xludf.DUMMYFUNCTION("IF(ISBLANK(AH45),"""",IFERROR((GOOGLEFINANCE(AH45,""price"")/INDEX(GOOGLEFINANCE(AH45,""price"",DATEVALUE(TODAY()-$AU$2) ),2,2)-1),""""))"),"")</f>
        <v/>
      </c>
      <c r="AW45" s="50" t="str">
        <f>IFERROR(__xludf.DUMMYFUNCTION("IF(ISBLANK(AH45),"""",IFERROR((GOOGLEFINANCE($AW$2,""price"")/INDEX(GOOGLEFINANCE($AW$2,""price"",DATEVALUE(TODAY()-$AU$2) ),2,2)-1),""""))"),"")</f>
        <v/>
      </c>
      <c r="AY45" s="50" t="str">
        <f t="shared" si="20"/>
        <v/>
      </c>
      <c r="AZ45" s="50" t="str">
        <f t="shared" si="21"/>
        <v/>
      </c>
      <c r="BA45" s="50">
        <f t="shared" si="22"/>
        <v>0</v>
      </c>
      <c r="BB45" s="14" t="str">
        <f t="shared" si="23"/>
        <v/>
      </c>
      <c r="BC45" s="14" t="str">
        <f>IF(ISBLANK(AH45),"",IFERROR(VLOOKUP(AH45,Transactions!D:F,3,0)))</f>
        <v/>
      </c>
      <c r="BD45" s="50" t="str">
        <f t="shared" si="24"/>
        <v/>
      </c>
      <c r="BE45" s="50" t="str">
        <f t="shared" si="25"/>
        <v/>
      </c>
      <c r="BF45" s="14" t="str">
        <f t="shared" si="26"/>
        <v/>
      </c>
      <c r="BG45" s="180" t="str">
        <f>IF(ISBLANK(AH45),"",IFERROR(VLOOKUP(AH45,Transactions!D:G,4,0)))</f>
        <v/>
      </c>
    </row>
    <row r="46">
      <c r="A46" s="14" t="str">
        <f t="shared" ref="A46:C46" si="69">AG46</f>
        <v/>
      </c>
      <c r="B46" s="14" t="str">
        <f t="shared" si="69"/>
        <v/>
      </c>
      <c r="C46" s="175" t="str">
        <f t="shared" si="69"/>
        <v/>
      </c>
      <c r="D46" s="176" t="str">
        <f>IFERROR(__xludf.DUMMYFUNCTION("IF(ISBLANK(B46),"""",IFERROR(IF(OR(AF46=""GPB"",AF46=""ZAR""),IF(AF46=Dashboard!$L$1,AJ46,(AJ46*GOOGLEFINANCE(""CURRENCY:""&amp;AF46&amp;""""&amp;Dashboard!$L$1&amp;""""))/100),IF(AF46=Dashboard!$L$1,AJ46,AJ46*GOOGLEFINANCE(""CURRENCY:""&amp;AF46&amp;""""&amp;Dashboard!$L$1&amp;""""))),"&amp;"AJ46))"),"")</f>
        <v/>
      </c>
      <c r="E46" s="177" t="str">
        <f>IFERROR(__xludf.DUMMYFUNCTION("IFERROR(IF(OR(AF46=""GBP"",AF46=""ZAR""),IF(B46="""","""",IF(AF46=Dashboard!$L$1,AK46,AK46*GOOGLEFINANCE(""CURRENCY:""&amp;AF46&amp;""""&amp;Dashboard!$L$1&amp;"""")))/100,If(B46="""","""",IF(AF46=Dashboard!$L$1,AK46,AK46*GOOGLEFINANCE(""CURRENCY:""&amp;AF46&amp;""""&amp;Dashboard!$"&amp;"L$1&amp;"""")))),AK46)"),"")</f>
        <v/>
      </c>
      <c r="F46" s="145" t="str">
        <f t="shared" si="65"/>
        <v/>
      </c>
      <c r="G46" s="96" t="str">
        <f>IFERROR(__xludf.DUMMYFUNCTION("IF(ISBLANK(B46),"""",IFERROR(SPARKLINE(INDEX(GOOGLEFINANCE(B46,""price"",TODAY()-$G$2,TODAY()),,2),{""charttype"",""column"";""color"",""17a7e0""}),""""))"),"")</f>
        <v/>
      </c>
      <c r="H46" s="50" t="str">
        <f t="shared" si="3"/>
        <v/>
      </c>
      <c r="I46" s="96" t="str">
        <f>IFERROR(__xludf.DUMMYFUNCTION("IF(ISBLANK(B46),"""",IFERROR(IF(OR(AF46=""GPB"",AF46=""ZAR""),IF(AF46=Dashboard!$L$1,AN46,(AN46*GOOGLEFINANCE(""CURRENCY:""&amp;AF46&amp;""""&amp;Dashboard!$L$1&amp;""""))/100),IF(AF46=Dashboard!$L$1,AN46,AN46*GOOGLEFINANCE(""CURRENCY:""&amp;AF46&amp;""""&amp;Dashboard!$L$1&amp;""""))),"&amp;"AN46))"),"")</f>
        <v/>
      </c>
      <c r="J46" s="178" t="str">
        <f>IF(ISBLANK(B46),"",IFERROR(((C46-SUMIFS(Transactions!I:I,Transactions!H:H,"Crypto Interest",Transactions!D:D,B46))*D46),""))</f>
        <v/>
      </c>
      <c r="K46" s="178" t="str">
        <f t="shared" si="4"/>
        <v/>
      </c>
      <c r="L46" s="145">
        <f>-SUMIFS(Transactions!$M$3:$M149,Transactions!$H$3:$H149,"Buy",Transactions!$D$3:$D149,B46)</f>
        <v>0</v>
      </c>
      <c r="M46" s="145">
        <f>IF(ISBLANK(AG46),"",SUMIFS(Transactions!$M$3:$M149,Transactions!$H$3:$H149,"Dividend",Transactions!$D$3:$D149,B46))</f>
        <v>0</v>
      </c>
      <c r="N46" s="145" t="str">
        <f>IF(ISBLANK(AH46),"",SUMIFS(Transactions!$M$3:$M149,Transactions!$H$3:$H149,"Sell",Transactions!$D$3:$D149,B46))</f>
        <v/>
      </c>
      <c r="O46" s="50" t="str">
        <f t="shared" si="5"/>
        <v/>
      </c>
      <c r="P46" s="178" t="str">
        <f t="shared" si="6"/>
        <v/>
      </c>
      <c r="Q46" s="178" t="str">
        <f>IFERROR(__xludf.DUMMYFUNCTION("IF(ISBLANK(B46),"""",IFERROR(IF(OR(AF46=""GPB"",AF46=""ZAR""),IF(AF46=Dashboard!$L$1,AS46,(AS46*GOOGLEFINANCE(""CURRENCY:""&amp;AF46&amp;""""&amp;Dashboard!$L$1&amp;""""))/100),IF(AF46=Dashboard!$L$1,AS46,AS46*GOOGLEFINANCE(""CURRENCY:""&amp;AF46&amp;""""&amp;Dashboard!$L$1&amp;""""))),"&amp;"AS46))"),"")</f>
        <v/>
      </c>
      <c r="R46" s="178" t="str">
        <f t="shared" si="7"/>
        <v/>
      </c>
      <c r="S46" s="50" t="str">
        <f>IFERROR(__xludf.DUMMYFUNCTION("IF(ISBLANK(B46),"""",IFERROR((GOOGLEFINANCE(B46,""price"")/INDEX(GOOGLEFINANCE(B46,""price"",DATEVALUE(TODAY()-$S$2) ),2,2)-1),""""))"),"")</f>
        <v/>
      </c>
      <c r="U46" s="50" t="str">
        <f>IFERROR(__xludf.DUMMYFUNCTION("IF(ISBLANK(B46),"""",IFERROR((GOOGLEFINANCE($U$2,""price"")/INDEX(GOOGLEFINANCE($U$2,""price"",DATEVALUE(TODAY()-$S$2) ),2,2)-1),""""))"),"")</f>
        <v/>
      </c>
      <c r="W46" s="50" t="str">
        <f t="shared" si="8"/>
        <v/>
      </c>
      <c r="X46" s="50" t="str">
        <f t="shared" si="9"/>
        <v/>
      </c>
      <c r="Y46" s="179">
        <v>0.0</v>
      </c>
      <c r="Z46" s="50" t="str">
        <f t="shared" si="10"/>
        <v/>
      </c>
      <c r="AA46" s="14" t="str">
        <f t="shared" si="11"/>
        <v/>
      </c>
      <c r="AB46" s="50" t="str">
        <f t="shared" si="12"/>
        <v/>
      </c>
      <c r="AC46" s="179" t="str">
        <f t="shared" si="13"/>
        <v/>
      </c>
      <c r="AD46" s="50" t="str">
        <f t="shared" si="14"/>
        <v/>
      </c>
      <c r="AE46" s="180" t="str">
        <f t="shared" si="15"/>
        <v/>
      </c>
      <c r="AF46" s="14" t="str">
        <f t="array" ref="AF46">IFERROR(IF(ISBLANK(AH46),"",IF(VLOOKUP(AH46,Transactions!D:F,3,0)="Stablecoin",AH46,INDEX(Transactions!$B$3:$B149,MATCH(AH46,Transactions!$D$3:$D149,0),0))))</f>
        <v/>
      </c>
      <c r="AG46" s="14" t="str">
        <f>IF(ISBLANK(AH46),"",VLOOKUP(AH46,Transactions!D:E,2,0))</f>
        <v/>
      </c>
      <c r="AH46" s="14"/>
      <c r="AI46" s="146" t="str">
        <f>IF(ISBLANK(AH46),"",IF(
SUMIFS(Transactions!$I$3:$I149,Transactions!$H$3:$H149,"Buy",Transactions!$F$3:$F149,"Stock",Transactions!$D$3:$D149,AH46)
+SUMIFS(Transactions!$I$3:$I149,Transactions!$H$3:$H149,"DRIP",Transactions!$F$3:$F149,"Stock",Transactions!$D$3:$D149,AH46)
+SUMIFS(Transactions!$I$3:$I149,Transactions!$H$3:$H149,"Transfer Deposit",Transactions!$F$3:$F149,"Stock",Transactions!$D$3:$D149,AH46)
+SUMIFS(Transactions!$I$3:$I149,Transactions!$H$3:$H149,"Buy",Transactions!$F$3:$F149,"ETF",Transactions!$D$3:$D149,AH46)
+SUMIFS(Transactions!$I$3:$I149,Transactions!$H$3:$H149,"DRIP",Transactions!$F$3:$F149,"ETF",Transactions!$D$3:$D149,AH46)
+SUMIFS(Transactions!$I$3:$I149,Transactions!$H$3:$H149,"Transfer Deposit",Transactions!$F$3:$F149,"ETF",Transactions!$D$3:$D149,AH46)
+SUMIFS(Transactions!$I$3:$I149,Transactions!$H$3:$H149,"Buy",Transactions!$F$3:$F149,"Commodity",Transactions!$D$3:$D149,AH46)
+SUMIFS(Transactions!$I$3:$I149,Transactions!$H$3:$H149,"DRIP",Transactions!$F$3:$F149,"Commodity",Transactions!$D$3:$D149,AH46)
+SUMIFS(Transactions!$I$3:$I149,Transactions!$H$3:$H149,"Transfer Deposit",Transactions!$F$3:$F149,"Commodity",Transactions!$D$3:$D149,AH46)
+SUMIFS(Transactions!$I$3:$I149,Transactions!$H$3:$H149,"Buy",Transactions!$F$3:$F149,"Managed Fund",Transactions!$D$3:$D149,AH46)
+SUMIFS(Transactions!$I$3:$I149,Transactions!$H$3:$H149,"DRIP",Transactions!$F$3:$F149,"Managed Fund",Transactions!$D$3:$D149,AH46)
+SUMIFS(Transactions!$I$3:$I149,Transactions!$H$3:$H149,"Transfer Deposit",Transactions!$F$3:$F149,"Managed Fund",Transactions!$D$3:$D149,AH46)
+SUMIFS(Transactions!$I$3:$I149,Transactions!$H$3:$H149,"Buy",Transactions!$F$3:$F149,"REIT",Transactions!$D$3:$D149,AH46)
+SUMIFS(Transactions!$I$3:$I149,Transactions!$H$3:$H149,"DRIP",Transactions!$F$3:$F149,"REIT",Transactions!$D$3:$D149,AH46)
+SUMIFS(Transactions!$I$3:$I149,Transactions!$H$3:$H149,"Transfer Deposit",Transactions!$F$3:$F149,"REIT",Transactions!$D$3:$D149,AH46)
-SUMIFS(Transactions!$I$3:$I149,Transactions!$H$3:$H149,"Sell",Transactions!$F$3:$F149,"Stock",Transactions!$D$3:$D149,AH46)
-SUMIFS(Transactions!$I$3:$I149,Transactions!$H$3:$H149,"Transfer Send",Transactions!$F$3:$F149,"Stock",Transactions!$D$3:$D149,AH46)
-SUMIFS(Transactions!$I$3:$I149,Transactions!$H$3:$H149,"Sell",Transactions!$F$3:$F149,"ETF",Transactions!$D$3:$D149,AH46)
-SUMIFS(Transactions!$I$3:$I149,Transactions!$H$3:$H149,"Transfer Send",Transactions!$F$3:$F149,"ETF",Transactions!$D$3:$D149,AH46)
-SUMIFS(Transactions!$I$3:$I149,Transactions!$H$3:$H149,"Sell",Transactions!$F$3:$F149,"Commodity",Transactions!$D$3:$D149,AH46)
-SUMIFS(Transactions!$I$3:$I149,Transactions!$H$3:$H149,"Transfer Send",Transactions!$F$3:$F149,"Commodity",Transactions!$D$3:$D149,AH46)
-SUMIFS(Transactions!$I$3:$I149,Transactions!$H$3:$H149,"Sell",Transactions!$F$3:$F149,"Managed Fund",Transactions!$D$3:$D149,AH46)
-SUMIFS(Transactions!$I$3:$I149,Transactions!$H$3:$H149,"Transfer Send",Transactions!$F$3:$F149,"Managed Fund",Transactions!$D$3:$D149,AH46)
-SUMIFS(Transactions!$I$3:$I149,Transactions!$H$3:$H149,"Sell",Transactions!$F$3:$F149,"REIT",Transactions!$D$3:$D149,AH46)
-SUMIFS(Transactions!$I$3:$I149,Transactions!$H$3:$H149,"Transfer Send",Transactions!$F$3:$F149,"REIT",Transactions!$D$3:$D149,AH46)
+SUMIFS(Transactions!$I$3:$I149,Transactions!$H$3:$H149,"Buy",Transactions!$F$3:$F149,"Crypto",Transactions!$D$3:$D149,AH46)
+SUMIFS(Transactions!$I$3:$I149,Transactions!$H$3:$H149,"Crypto Interest",Transactions!$F$3:$F149,"Crypto",Transactions!$D$3:$D149,AH46)
+SUMIFS(Transactions!$I$3:$I149,Transactions!$H$3:$H149,"Transfer Deposit",Transactions!$F$3:$F149,"Crypto",Transactions!$D$3:$D149,AH46)
-SUMIFS(Transactions!$I$3:$I149,Transactions!$H$3:$H149,"Transfer Send",Transactions!$F$3:$F149,"Crypto",Transactions!$D$3:$D149,AH46)
-SUMIFS(Transactions!$I$3:$I149,Transactions!$H$3:$H149,"Sell",Transactions!$F$3:$F149,"Crypto",Transactions!$D$3:$D149,AH46)
+SUMIFS(Transactions!$I$3:$I149,Transactions!$H$3:$H149,"Buy",Transactions!$F$3:$F149,"Stablecoin",Transactions!$D$3:$D149,AH46)
+SUMIFS(Transactions!$I$3:$I149,Transactions!$H$3:$H149,"Crypto Interest",Transactions!$F$3:$F149,"Stablecoin",Transactions!$D$3:$D149,AH46)
+SUMIFS(Transactions!$I$3:$I149,Transactions!$H$3:$H149,"Transfer Deposit",Transactions!$F$3:$F149,"Stablecoin",Transactions!$D$3:$D149,AH46)
-SUMIFS(Transactions!$I$3:$I149,Transactions!$H$3:$H149,"Transfer Send",Transactions!$F$3:$F149,"Stablecoin",Transactions!$D$3:$D149,AH46)
-SUMIFS(Transactions!$I$3:$I149,Transactions!$H$3:$H149,"Sell",Transactions!$F$3:$F149,"Stablecoin",Transactions!$D$3:$D149,AH46)
-SUMIFS(Transactions!$M$3:$M149,Transactions!$H$3:$H149,"Buy",Transactions!$B$3:$B149,AH46)=0,"Sold All",
SUMIFS(Transactions!$I$3:$I149,Transactions!$H$3:$H149,"Buy",Transactions!$F$3:$F149,"Stock",Transactions!$D$3:$D149,AH46)
+SUMIFS(Transactions!$I$3:$I149,Transactions!$H$3:$H149,"DRIP",Transactions!$F$3:$F149,"Stock",Transactions!$D$3:$D149,AH46)
+SUMIFS(Transactions!$I$3:$I149,Transactions!$H$3:$H149,"Transfer Deposit",Transactions!$F$3:$F149,"Stock",Transactions!$D$3:$D149,AH46)
+SUMIFS(Transactions!$I$3:$I149,Transactions!$H$3:$H149,"Buy",Transactions!$F$3:$F149,"ETF",Transactions!$D$3:$D149,AH46)
+SUMIFS(Transactions!$I$3:$I149,Transactions!$H$3:$H149,"DRIP",Transactions!$F$3:$F149,"ETF",Transactions!$D$3:$D149,AH46)
+SUMIFS(Transactions!$I$3:$I149,Transactions!$H$3:$H149,"Transfer Deposit",Transactions!$F$3:$F149,"ETF",Transactions!$D$3:$D149,AH46)
+SUMIFS(Transactions!$I$3:$I149,Transactions!$H$3:$H149,"Buy",Transactions!$F$3:$F149,"Commodity",Transactions!$D$3:$D149,AH46)
+SUMIFS(Transactions!$I$3:$I149,Transactions!$H$3:$H149,"DRIP",Transactions!$F$3:$F149,"Commodity",Transactions!$D$3:$D149,AH46)
+SUMIFS(Transactions!$I$3:$I149,Transactions!$H$3:$H149,"Transfer Deposit",Transactions!$F$3:$F149,"Commodity",Transactions!$D$3:$D149,AH46)
+SUMIFS(Transactions!$I$3:$I149,Transactions!$H$3:$H149,"Buy",Transactions!$F$3:$F149,"Managed Fund",Transactions!$D$3:$D149,AH46)
+SUMIFS(Transactions!$I$3:$I149,Transactions!$H$3:$H149,"DRIP",Transactions!$F$3:$F149,"Managed Fund",Transactions!$D$3:$D149,AH46)
+SUMIFS(Transactions!$I$3:$I149,Transactions!$H$3:$H149,"Transfer Deposit",Transactions!$F$3:$F149,"Managed Fund",Transactions!$D$3:$D149,AH46)
+SUMIFS(Transactions!$I$3:$I149,Transactions!$H$3:$H149,"Buy",Transactions!$F$3:$F149,"REIT",Transactions!$D$3:$D149,AH46)
+SUMIFS(Transactions!$I$3:$I149,Transactions!$H$3:$H149,"DRIP",Transactions!$F$3:$F149,"REIT",Transactions!$D$3:$D149,AH46)
+SUMIFS(Transactions!$I$3:$I149,Transactions!$H$3:$H149,"Transfer Deposit",Transactions!$F$3:$F149,"REIT",Transactions!$D$3:$D149,AH46)
-SUMIFS(Transactions!$I$3:$I149,Transactions!$H$3:$H149,"Sell",Transactions!$F$3:$F149,"Stock",Transactions!$D$3:$D149,AH46)
-SUMIFS(Transactions!$I$3:$I149,Transactions!$H$3:$H149,"Transfer Send",Transactions!$F$3:$F149,"Stock",Transactions!$D$3:$D149,AH46)
-SUMIFS(Transactions!$I$3:$I149,Transactions!$H$3:$H149,"Sell",Transactions!$F$3:$F149,"ETF",Transactions!$D$3:$D149,AH46)
-SUMIFS(Transactions!$I$3:$I149,Transactions!$H$3:$H149,"Transfer Send",Transactions!$F$3:$F149,"ETF",Transactions!$D$3:$D149,AH46)
-SUMIFS(Transactions!$I$3:$I149,Transactions!$H$3:$H149,"Sell",Transactions!$F$3:$F149,"Commodity",Transactions!$D$3:$D149,AH46)
-SUMIFS(Transactions!$I$3:$I149,Transactions!$H$3:$H149,"Transfer Send",Transactions!$F$3:$F149,"Commodity",Transactions!$D$3:$D149,AH46)
-SUMIFS(Transactions!$I$3:$I149,Transactions!$H$3:$H149,"Sell",Transactions!$F$3:$F149,"Managed Fund",Transactions!$D$3:$D149,AH46)
-SUMIFS(Transactions!$I$3:$I149,Transactions!$H$3:$H149,"Transfer Send",Transactions!$F$3:$F149,"Managed Fund",Transactions!$D$3:$D149,AH46)
-SUMIFS(Transactions!$I$3:$I149,Transactions!$H$3:$H149,"Sell",Transactions!$F$3:$F149,"REIT",Transactions!$D$3:$D149,AH46)
-SUMIFS(Transactions!$I$3:$I149,Transactions!$H$3:$H149,"Transfer Send",Transactions!$F$3:$F149,"REIT",Transactions!$D$3:$D149,AH46)
+SUMIFS(Transactions!$I$3:$I149,Transactions!$H$3:$H149,"Buy",Transactions!$F$3:$F149,"Crypto",Transactions!$D$3:$D149,AH46)
+SUMIFS(Transactions!$I$3:$I149,Transactions!$H$3:$H149,"Crypto Interest",Transactions!$F$3:$F149,"Crypto",Transactions!$D$3:$D149,AH46)
+SUMIFS(Transactions!$I$3:$I149,Transactions!$H$3:$H149,"Transfer Deposit",Transactions!$F$3:$F149,"Crypto",Transactions!$D$3:$D149,AH46)
-SUMIFS(Transactions!$I$3:$I149,Transactions!$H$3:$H149,"Transfer Send",Transactions!$F$3:$F149,"Crypto",Transactions!$D$3:$D149,AH46)
-SUMIFS(Transactions!$I$3:$I149,Transactions!$H$3:$H149,"Sell",Transactions!$F$3:$F149,"Crypto",Transactions!$D$3:$D149,AH46)
+SUMIFS(Transactions!$I$3:$I149,Transactions!$H$3:$H149,"Buy",Transactions!$F$3:$F149,"Stablecoin",Transactions!$D$3:$D149,AH46)
+SUMIFS(Transactions!$I$3:$I149,Transactions!$H$3:$H149,"Crypto Interest",Transactions!$F$3:$F149,"Stablecoin",Transactions!$D$3:$D149,AH46)
+SUMIFS(Transactions!$I$3:$I149,Transactions!$H$3:$H149,"Transfer Deposit",Transactions!$F$3:$F149,"Stablecoin",Transactions!$D$3:$D149,AH46)
-SUMIFS(Transactions!$I$3:$I149,Transactions!$H$3:$H149,"Transfer Send",Transactions!$F$3:$F149,"Stablecoin",Transactions!$D$3:$D149,AH46)
-SUMIFS(Transactions!$I$3:$I149,Transactions!$H$3:$H149,"Sell",Transactions!$F$3:$F149,"Stablecoin",Transactions!$D$3:$D149,AH46)
-SUMIFS(Transactions!$M$3:$M149,Transactions!$H$3:$H149,"Buy",Transactions!$B$3:$B149,AH46)))</f>
        <v/>
      </c>
      <c r="AJ46" s="181" t="str">
        <f>IFERROR(__xludf.DUMMYFUNCTION("IF(ISBLANK(AH46),"""",VLOOKUP(9^99,FILTER({ROW(Transactions!P:P),Transactions!P:P},Transactions!D:D=AH46),2))"),"")</f>
        <v/>
      </c>
      <c r="AK46" s="181" t="str">
        <f>IFERROR(__xludf.DUMMYFUNCTION("IF(ISBLANK(AH46),"""",IFERROR(GOOGLEFINANCE(AH46,""price""),IFERROR(GOOGLEFINANCE(""CURRENCY:""&amp;AH46&amp;""""),IFERROR(INDEX(YAHOO_STOCK(TRIM(AH46), $G$2),0,1),INDEX(IMPORTHTML(CONCAT(""https://coinmarketcap.com/currencies/"",AG46),""table"",1),1,2)))))"),"")</f>
        <v/>
      </c>
      <c r="AL46" s="14" t="str">
        <f>IFERROR(__xludf.DUMMYFUNCTION("IF(ISBLANK(AH46),"""",IFERROR(SPARKLINE(INDEX(GOOGLEFINANCE(AH46,""price"",TODAY()-$AL$2,TODAY()),,2),{""charttype"",""column"";""color"",""17a7e0""}),""""))"),"")</f>
        <v/>
      </c>
      <c r="AM46" s="50" t="str">
        <f>IFERROR(__xludf.DUMMYFUNCTION("IFNA(IFERROR(IF(AH46="""","""",GOOGLEFINANCE(AH46,""changepct"")/100),(GOOGLEFINANCE(AH46)-(INDEX(GOOGLEFINANCE(""CURRENCY:""&amp;AH46&amp;"""",""price"",TODAY()-1),2,2)))/(INDEX(GOOGLEFINANCE(""CURRENCY:""&amp;AH46&amp;"""",""price"",TODAY()-1),2,2))),)"),"")</f>
        <v/>
      </c>
      <c r="AN46" s="96" t="str">
        <f>IFERROR(__xludf.DUMMYFUNCTION("IFNA(IFERROR(IF(AH46="""","""",GOOGLEFINANCE(AH46,""change"")*AI46),(GOOGLEFINANCE(AH46)-(INDEX(GOOGLEFINANCE(""CURRENCY:""&amp;AH46&amp;"""",""price"",TODAY()-1),2,2)))*AI46),"""")"),"")</f>
        <v/>
      </c>
      <c r="AO46" s="96" t="str">
        <f>IF(ISBLANK(AH46),"",IFERROR(((AI46-SUMIFS(Transactions!I:I,Transactions!H:H,"Crypto Interest",Transactions!D:D,AH46))*AJ46),""))</f>
        <v/>
      </c>
      <c r="AP46" s="96" t="str">
        <f t="shared" si="16"/>
        <v/>
      </c>
      <c r="AQ46" s="50" t="str">
        <f t="shared" si="17"/>
        <v/>
      </c>
      <c r="AR46" s="96" t="str">
        <f t="shared" si="18"/>
        <v/>
      </c>
      <c r="AS46" s="96" t="str">
        <f>IF(ISBLANK(AH46),"",SUMIFS(Transactions!$X$3:$X149,Transactions!$H$3:$H149,"Sell",Transactions!$D$3:$D149,AH46))</f>
        <v/>
      </c>
      <c r="AT46" s="96" t="str">
        <f t="shared" si="19"/>
        <v/>
      </c>
      <c r="AU46" s="50" t="str">
        <f>IFERROR(__xludf.DUMMYFUNCTION("IF(ISBLANK(AH46),"""",IFERROR((GOOGLEFINANCE(AH46,""price"")/INDEX(GOOGLEFINANCE(AH46,""price"",DATEVALUE(TODAY()-$AU$2) ),2,2)-1),""""))"),"")</f>
        <v/>
      </c>
      <c r="AW46" s="50" t="str">
        <f>IFERROR(__xludf.DUMMYFUNCTION("IF(ISBLANK(AH46),"""",IFERROR((GOOGLEFINANCE($AW$2,""price"")/INDEX(GOOGLEFINANCE($AW$2,""price"",DATEVALUE(TODAY()-$AU$2) ),2,2)-1),""""))"),"")</f>
        <v/>
      </c>
      <c r="AY46" s="50" t="str">
        <f t="shared" si="20"/>
        <v/>
      </c>
      <c r="AZ46" s="50" t="str">
        <f t="shared" si="21"/>
        <v/>
      </c>
      <c r="BA46" s="50">
        <f t="shared" si="22"/>
        <v>0</v>
      </c>
      <c r="BB46" s="14" t="str">
        <f t="shared" si="23"/>
        <v/>
      </c>
      <c r="BC46" s="14" t="str">
        <f>IF(ISBLANK(AH46),"",IFERROR(VLOOKUP(AH46,Transactions!D:F,3,0)))</f>
        <v/>
      </c>
      <c r="BD46" s="50" t="str">
        <f t="shared" si="24"/>
        <v/>
      </c>
      <c r="BE46" s="50" t="str">
        <f t="shared" si="25"/>
        <v/>
      </c>
      <c r="BF46" s="14" t="str">
        <f t="shared" si="26"/>
        <v/>
      </c>
      <c r="BG46" s="180" t="str">
        <f>IF(ISBLANK(AH46),"",IFERROR(VLOOKUP(AH46,Transactions!D:G,4,0)))</f>
        <v/>
      </c>
    </row>
    <row r="47">
      <c r="A47" s="14" t="str">
        <f t="shared" ref="A47:C47" si="70">AG47</f>
        <v/>
      </c>
      <c r="B47" s="14" t="str">
        <f t="shared" si="70"/>
        <v/>
      </c>
      <c r="C47" s="175" t="str">
        <f t="shared" si="70"/>
        <v/>
      </c>
      <c r="D47" s="176" t="str">
        <f>IFERROR(__xludf.DUMMYFUNCTION("IF(ISBLANK(B47),"""",IFERROR(IF(OR(AF47=""GPB"",AF47=""ZAR""),IF(AF47=Dashboard!$L$1,AJ47,(AJ47*GOOGLEFINANCE(""CURRENCY:""&amp;AF47&amp;""""&amp;Dashboard!$L$1&amp;""""))/100),IF(AF47=Dashboard!$L$1,AJ47,AJ47*GOOGLEFINANCE(""CURRENCY:""&amp;AF47&amp;""""&amp;Dashboard!$L$1&amp;""""))),"&amp;"AJ47))"),"")</f>
        <v/>
      </c>
      <c r="E47" s="177" t="str">
        <f>IFERROR(__xludf.DUMMYFUNCTION("IFERROR(IF(OR(AF47=""GBP"",AF47=""ZAR""),IF(B47="""","""",IF(AF47=Dashboard!$L$1,AK47,AK47*GOOGLEFINANCE(""CURRENCY:""&amp;AF47&amp;""""&amp;Dashboard!$L$1&amp;"""")))/100,If(B47="""","""",IF(AF47=Dashboard!$L$1,AK47,AK47*GOOGLEFINANCE(""CURRENCY:""&amp;AF47&amp;""""&amp;Dashboard!$"&amp;"L$1&amp;"""")))),AK47)"),"")</f>
        <v/>
      </c>
      <c r="F47" s="145" t="str">
        <f t="shared" si="65"/>
        <v/>
      </c>
      <c r="G47" s="96" t="str">
        <f>IFERROR(__xludf.DUMMYFUNCTION("IF(ISBLANK(B47),"""",IFERROR(SPARKLINE(INDEX(GOOGLEFINANCE(B47,""price"",TODAY()-$G$2,TODAY()),,2),{""charttype"",""column"";""color"",""17a7e0""}),""""))"),"")</f>
        <v/>
      </c>
      <c r="H47" s="50" t="str">
        <f t="shared" si="3"/>
        <v/>
      </c>
      <c r="I47" s="96" t="str">
        <f>IFERROR(__xludf.DUMMYFUNCTION("IF(ISBLANK(B47),"""",IFERROR(IF(OR(AF47=""GPB"",AF47=""ZAR""),IF(AF47=Dashboard!$L$1,AN47,(AN47*GOOGLEFINANCE(""CURRENCY:""&amp;AF47&amp;""""&amp;Dashboard!$L$1&amp;""""))/100),IF(AF47=Dashboard!$L$1,AN47,AN47*GOOGLEFINANCE(""CURRENCY:""&amp;AF47&amp;""""&amp;Dashboard!$L$1&amp;""""))),"&amp;"AN47))"),"")</f>
        <v/>
      </c>
      <c r="J47" s="178" t="str">
        <f>IF(ISBLANK(B47),"",IFERROR(((C47-SUMIFS(Transactions!I:I,Transactions!H:H,"Crypto Interest",Transactions!D:D,B47))*D47),""))</f>
        <v/>
      </c>
      <c r="K47" s="178" t="str">
        <f t="shared" si="4"/>
        <v/>
      </c>
      <c r="L47" s="145">
        <f>-SUMIFS(Transactions!$M$3:$M149,Transactions!$H$3:$H149,"Buy",Transactions!$D$3:$D149,B47)</f>
        <v>0</v>
      </c>
      <c r="M47" s="145">
        <f>IF(ISBLANK(AG47),"",SUMIFS(Transactions!$M$3:$M149,Transactions!$H$3:$H149,"Dividend",Transactions!$D$3:$D149,B47))</f>
        <v>0</v>
      </c>
      <c r="N47" s="145" t="str">
        <f>IF(ISBLANK(AH47),"",SUMIFS(Transactions!$M$3:$M149,Transactions!$H$3:$H149,"Sell",Transactions!$D$3:$D149,B47))</f>
        <v/>
      </c>
      <c r="O47" s="50" t="str">
        <f t="shared" si="5"/>
        <v/>
      </c>
      <c r="P47" s="178" t="str">
        <f t="shared" si="6"/>
        <v/>
      </c>
      <c r="Q47" s="178" t="str">
        <f>IFERROR(__xludf.DUMMYFUNCTION("IF(ISBLANK(B47),"""",IFERROR(IF(OR(AF47=""GPB"",AF47=""ZAR""),IF(AF47=Dashboard!$L$1,AS47,(AS47*GOOGLEFINANCE(""CURRENCY:""&amp;AF47&amp;""""&amp;Dashboard!$L$1&amp;""""))/100),IF(AF47=Dashboard!$L$1,AS47,AS47*GOOGLEFINANCE(""CURRENCY:""&amp;AF47&amp;""""&amp;Dashboard!$L$1&amp;""""))),"&amp;"AS47))"),"")</f>
        <v/>
      </c>
      <c r="R47" s="178" t="str">
        <f t="shared" si="7"/>
        <v/>
      </c>
      <c r="S47" s="50" t="str">
        <f>IFERROR(__xludf.DUMMYFUNCTION("IF(ISBLANK(B47),"""",IFERROR((GOOGLEFINANCE(B47,""price"")/INDEX(GOOGLEFINANCE(B47,""price"",DATEVALUE(TODAY()-$S$2) ),2,2)-1),""""))"),"")</f>
        <v/>
      </c>
      <c r="U47" s="50" t="str">
        <f>IFERROR(__xludf.DUMMYFUNCTION("IF(ISBLANK(B47),"""",IFERROR((GOOGLEFINANCE($U$2,""price"")/INDEX(GOOGLEFINANCE($U$2,""price"",DATEVALUE(TODAY()-$S$2) ),2,2)-1),""""))"),"")</f>
        <v/>
      </c>
      <c r="W47" s="50" t="str">
        <f t="shared" si="8"/>
        <v/>
      </c>
      <c r="X47" s="50" t="str">
        <f t="shared" si="9"/>
        <v/>
      </c>
      <c r="Y47" s="179">
        <v>0.0</v>
      </c>
      <c r="Z47" s="50" t="str">
        <f t="shared" si="10"/>
        <v/>
      </c>
      <c r="AA47" s="14" t="str">
        <f t="shared" si="11"/>
        <v/>
      </c>
      <c r="AB47" s="50" t="str">
        <f t="shared" si="12"/>
        <v/>
      </c>
      <c r="AC47" s="179" t="str">
        <f t="shared" si="13"/>
        <v/>
      </c>
      <c r="AD47" s="50" t="str">
        <f t="shared" si="14"/>
        <v/>
      </c>
      <c r="AE47" s="180" t="str">
        <f t="shared" si="15"/>
        <v/>
      </c>
      <c r="AF47" s="14" t="str">
        <f t="array" ref="AF47">IFERROR(IF(ISBLANK(AH47),"",IF(VLOOKUP(AH47,Transactions!D:F,3,0)="Stablecoin",AH47,INDEX(Transactions!$B$3:$B149,MATCH(AH47,Transactions!$D$3:$D149,0),0))))</f>
        <v/>
      </c>
      <c r="AG47" s="14" t="str">
        <f>IF(ISBLANK(AH47),"",VLOOKUP(AH47,Transactions!D:E,2,0))</f>
        <v/>
      </c>
      <c r="AH47" s="14"/>
      <c r="AI47" s="146" t="str">
        <f>IF(ISBLANK(AH47),"",IF(
SUMIFS(Transactions!$I$3:$I149,Transactions!$H$3:$H149,"Buy",Transactions!$F$3:$F149,"Stock",Transactions!$D$3:$D149,AH47)
+SUMIFS(Transactions!$I$3:$I149,Transactions!$H$3:$H149,"DRIP",Transactions!$F$3:$F149,"Stock",Transactions!$D$3:$D149,AH47)
+SUMIFS(Transactions!$I$3:$I149,Transactions!$H$3:$H149,"Transfer Deposit",Transactions!$F$3:$F149,"Stock",Transactions!$D$3:$D149,AH47)
+SUMIFS(Transactions!$I$3:$I149,Transactions!$H$3:$H149,"Buy",Transactions!$F$3:$F149,"ETF",Transactions!$D$3:$D149,AH47)
+SUMIFS(Transactions!$I$3:$I149,Transactions!$H$3:$H149,"DRIP",Transactions!$F$3:$F149,"ETF",Transactions!$D$3:$D149,AH47)
+SUMIFS(Transactions!$I$3:$I149,Transactions!$H$3:$H149,"Transfer Deposit",Transactions!$F$3:$F149,"ETF",Transactions!$D$3:$D149,AH47)
+SUMIFS(Transactions!$I$3:$I149,Transactions!$H$3:$H149,"Buy",Transactions!$F$3:$F149,"Commodity",Transactions!$D$3:$D149,AH47)
+SUMIFS(Transactions!$I$3:$I149,Transactions!$H$3:$H149,"DRIP",Transactions!$F$3:$F149,"Commodity",Transactions!$D$3:$D149,AH47)
+SUMIFS(Transactions!$I$3:$I149,Transactions!$H$3:$H149,"Transfer Deposit",Transactions!$F$3:$F149,"Commodity",Transactions!$D$3:$D149,AH47)
+SUMIFS(Transactions!$I$3:$I149,Transactions!$H$3:$H149,"Buy",Transactions!$F$3:$F149,"Managed Fund",Transactions!$D$3:$D149,AH47)
+SUMIFS(Transactions!$I$3:$I149,Transactions!$H$3:$H149,"DRIP",Transactions!$F$3:$F149,"Managed Fund",Transactions!$D$3:$D149,AH47)
+SUMIFS(Transactions!$I$3:$I149,Transactions!$H$3:$H149,"Transfer Deposit",Transactions!$F$3:$F149,"Managed Fund",Transactions!$D$3:$D149,AH47)
+SUMIFS(Transactions!$I$3:$I149,Transactions!$H$3:$H149,"Buy",Transactions!$F$3:$F149,"REIT",Transactions!$D$3:$D149,AH47)
+SUMIFS(Transactions!$I$3:$I149,Transactions!$H$3:$H149,"DRIP",Transactions!$F$3:$F149,"REIT",Transactions!$D$3:$D149,AH47)
+SUMIFS(Transactions!$I$3:$I149,Transactions!$H$3:$H149,"Transfer Deposit",Transactions!$F$3:$F149,"REIT",Transactions!$D$3:$D149,AH47)
-SUMIFS(Transactions!$I$3:$I149,Transactions!$H$3:$H149,"Sell",Transactions!$F$3:$F149,"Stock",Transactions!$D$3:$D149,AH47)
-SUMIFS(Transactions!$I$3:$I149,Transactions!$H$3:$H149,"Transfer Send",Transactions!$F$3:$F149,"Stock",Transactions!$D$3:$D149,AH47)
-SUMIFS(Transactions!$I$3:$I149,Transactions!$H$3:$H149,"Sell",Transactions!$F$3:$F149,"ETF",Transactions!$D$3:$D149,AH47)
-SUMIFS(Transactions!$I$3:$I149,Transactions!$H$3:$H149,"Transfer Send",Transactions!$F$3:$F149,"ETF",Transactions!$D$3:$D149,AH47)
-SUMIFS(Transactions!$I$3:$I149,Transactions!$H$3:$H149,"Sell",Transactions!$F$3:$F149,"Commodity",Transactions!$D$3:$D149,AH47)
-SUMIFS(Transactions!$I$3:$I149,Transactions!$H$3:$H149,"Transfer Send",Transactions!$F$3:$F149,"Commodity",Transactions!$D$3:$D149,AH47)
-SUMIFS(Transactions!$I$3:$I149,Transactions!$H$3:$H149,"Sell",Transactions!$F$3:$F149,"Managed Fund",Transactions!$D$3:$D149,AH47)
-SUMIFS(Transactions!$I$3:$I149,Transactions!$H$3:$H149,"Transfer Send",Transactions!$F$3:$F149,"Managed Fund",Transactions!$D$3:$D149,AH47)
-SUMIFS(Transactions!$I$3:$I149,Transactions!$H$3:$H149,"Sell",Transactions!$F$3:$F149,"REIT",Transactions!$D$3:$D149,AH47)
-SUMIFS(Transactions!$I$3:$I149,Transactions!$H$3:$H149,"Transfer Send",Transactions!$F$3:$F149,"REIT",Transactions!$D$3:$D149,AH47)
+SUMIFS(Transactions!$I$3:$I149,Transactions!$H$3:$H149,"Buy",Transactions!$F$3:$F149,"Crypto",Transactions!$D$3:$D149,AH47)
+SUMIFS(Transactions!$I$3:$I149,Transactions!$H$3:$H149,"Crypto Interest",Transactions!$F$3:$F149,"Crypto",Transactions!$D$3:$D149,AH47)
+SUMIFS(Transactions!$I$3:$I149,Transactions!$H$3:$H149,"Transfer Deposit",Transactions!$F$3:$F149,"Crypto",Transactions!$D$3:$D149,AH47)
-SUMIFS(Transactions!$I$3:$I149,Transactions!$H$3:$H149,"Transfer Send",Transactions!$F$3:$F149,"Crypto",Transactions!$D$3:$D149,AH47)
-SUMIFS(Transactions!$I$3:$I149,Transactions!$H$3:$H149,"Sell",Transactions!$F$3:$F149,"Crypto",Transactions!$D$3:$D149,AH47)
+SUMIFS(Transactions!$I$3:$I149,Transactions!$H$3:$H149,"Buy",Transactions!$F$3:$F149,"Stablecoin",Transactions!$D$3:$D149,AH47)
+SUMIFS(Transactions!$I$3:$I149,Transactions!$H$3:$H149,"Crypto Interest",Transactions!$F$3:$F149,"Stablecoin",Transactions!$D$3:$D149,AH47)
+SUMIFS(Transactions!$I$3:$I149,Transactions!$H$3:$H149,"Transfer Deposit",Transactions!$F$3:$F149,"Stablecoin",Transactions!$D$3:$D149,AH47)
-SUMIFS(Transactions!$I$3:$I149,Transactions!$H$3:$H149,"Transfer Send",Transactions!$F$3:$F149,"Stablecoin",Transactions!$D$3:$D149,AH47)
-SUMIFS(Transactions!$I$3:$I149,Transactions!$H$3:$H149,"Sell",Transactions!$F$3:$F149,"Stablecoin",Transactions!$D$3:$D149,AH47)
-SUMIFS(Transactions!$M$3:$M149,Transactions!$H$3:$H149,"Buy",Transactions!$B$3:$B149,AH47)=0,"Sold All",
SUMIFS(Transactions!$I$3:$I149,Transactions!$H$3:$H149,"Buy",Transactions!$F$3:$F149,"Stock",Transactions!$D$3:$D149,AH47)
+SUMIFS(Transactions!$I$3:$I149,Transactions!$H$3:$H149,"DRIP",Transactions!$F$3:$F149,"Stock",Transactions!$D$3:$D149,AH47)
+SUMIFS(Transactions!$I$3:$I149,Transactions!$H$3:$H149,"Transfer Deposit",Transactions!$F$3:$F149,"Stock",Transactions!$D$3:$D149,AH47)
+SUMIFS(Transactions!$I$3:$I149,Transactions!$H$3:$H149,"Buy",Transactions!$F$3:$F149,"ETF",Transactions!$D$3:$D149,AH47)
+SUMIFS(Transactions!$I$3:$I149,Transactions!$H$3:$H149,"DRIP",Transactions!$F$3:$F149,"ETF",Transactions!$D$3:$D149,AH47)
+SUMIFS(Transactions!$I$3:$I149,Transactions!$H$3:$H149,"Transfer Deposit",Transactions!$F$3:$F149,"ETF",Transactions!$D$3:$D149,AH47)
+SUMIFS(Transactions!$I$3:$I149,Transactions!$H$3:$H149,"Buy",Transactions!$F$3:$F149,"Commodity",Transactions!$D$3:$D149,AH47)
+SUMIFS(Transactions!$I$3:$I149,Transactions!$H$3:$H149,"DRIP",Transactions!$F$3:$F149,"Commodity",Transactions!$D$3:$D149,AH47)
+SUMIFS(Transactions!$I$3:$I149,Transactions!$H$3:$H149,"Transfer Deposit",Transactions!$F$3:$F149,"Commodity",Transactions!$D$3:$D149,AH47)
+SUMIFS(Transactions!$I$3:$I149,Transactions!$H$3:$H149,"Buy",Transactions!$F$3:$F149,"Managed Fund",Transactions!$D$3:$D149,AH47)
+SUMIFS(Transactions!$I$3:$I149,Transactions!$H$3:$H149,"DRIP",Transactions!$F$3:$F149,"Managed Fund",Transactions!$D$3:$D149,AH47)
+SUMIFS(Transactions!$I$3:$I149,Transactions!$H$3:$H149,"Transfer Deposit",Transactions!$F$3:$F149,"Managed Fund",Transactions!$D$3:$D149,AH47)
+SUMIFS(Transactions!$I$3:$I149,Transactions!$H$3:$H149,"Buy",Transactions!$F$3:$F149,"REIT",Transactions!$D$3:$D149,AH47)
+SUMIFS(Transactions!$I$3:$I149,Transactions!$H$3:$H149,"DRIP",Transactions!$F$3:$F149,"REIT",Transactions!$D$3:$D149,AH47)
+SUMIFS(Transactions!$I$3:$I149,Transactions!$H$3:$H149,"Transfer Deposit",Transactions!$F$3:$F149,"REIT",Transactions!$D$3:$D149,AH47)
-SUMIFS(Transactions!$I$3:$I149,Transactions!$H$3:$H149,"Sell",Transactions!$F$3:$F149,"Stock",Transactions!$D$3:$D149,AH47)
-SUMIFS(Transactions!$I$3:$I149,Transactions!$H$3:$H149,"Transfer Send",Transactions!$F$3:$F149,"Stock",Transactions!$D$3:$D149,AH47)
-SUMIFS(Transactions!$I$3:$I149,Transactions!$H$3:$H149,"Sell",Transactions!$F$3:$F149,"ETF",Transactions!$D$3:$D149,AH47)
-SUMIFS(Transactions!$I$3:$I149,Transactions!$H$3:$H149,"Transfer Send",Transactions!$F$3:$F149,"ETF",Transactions!$D$3:$D149,AH47)
-SUMIFS(Transactions!$I$3:$I149,Transactions!$H$3:$H149,"Sell",Transactions!$F$3:$F149,"Commodity",Transactions!$D$3:$D149,AH47)
-SUMIFS(Transactions!$I$3:$I149,Transactions!$H$3:$H149,"Transfer Send",Transactions!$F$3:$F149,"Commodity",Transactions!$D$3:$D149,AH47)
-SUMIFS(Transactions!$I$3:$I149,Transactions!$H$3:$H149,"Sell",Transactions!$F$3:$F149,"Managed Fund",Transactions!$D$3:$D149,AH47)
-SUMIFS(Transactions!$I$3:$I149,Transactions!$H$3:$H149,"Transfer Send",Transactions!$F$3:$F149,"Managed Fund",Transactions!$D$3:$D149,AH47)
-SUMIFS(Transactions!$I$3:$I149,Transactions!$H$3:$H149,"Sell",Transactions!$F$3:$F149,"REIT",Transactions!$D$3:$D149,AH47)
-SUMIFS(Transactions!$I$3:$I149,Transactions!$H$3:$H149,"Transfer Send",Transactions!$F$3:$F149,"REIT",Transactions!$D$3:$D149,AH47)
+SUMIFS(Transactions!$I$3:$I149,Transactions!$H$3:$H149,"Buy",Transactions!$F$3:$F149,"Crypto",Transactions!$D$3:$D149,AH47)
+SUMIFS(Transactions!$I$3:$I149,Transactions!$H$3:$H149,"Crypto Interest",Transactions!$F$3:$F149,"Crypto",Transactions!$D$3:$D149,AH47)
+SUMIFS(Transactions!$I$3:$I149,Transactions!$H$3:$H149,"Transfer Deposit",Transactions!$F$3:$F149,"Crypto",Transactions!$D$3:$D149,AH47)
-SUMIFS(Transactions!$I$3:$I149,Transactions!$H$3:$H149,"Transfer Send",Transactions!$F$3:$F149,"Crypto",Transactions!$D$3:$D149,AH47)
-SUMIFS(Transactions!$I$3:$I149,Transactions!$H$3:$H149,"Sell",Transactions!$F$3:$F149,"Crypto",Transactions!$D$3:$D149,AH47)
+SUMIFS(Transactions!$I$3:$I149,Transactions!$H$3:$H149,"Buy",Transactions!$F$3:$F149,"Stablecoin",Transactions!$D$3:$D149,AH47)
+SUMIFS(Transactions!$I$3:$I149,Transactions!$H$3:$H149,"Crypto Interest",Transactions!$F$3:$F149,"Stablecoin",Transactions!$D$3:$D149,AH47)
+SUMIFS(Transactions!$I$3:$I149,Transactions!$H$3:$H149,"Transfer Deposit",Transactions!$F$3:$F149,"Stablecoin",Transactions!$D$3:$D149,AH47)
-SUMIFS(Transactions!$I$3:$I149,Transactions!$H$3:$H149,"Transfer Send",Transactions!$F$3:$F149,"Stablecoin",Transactions!$D$3:$D149,AH47)
-SUMIFS(Transactions!$I$3:$I149,Transactions!$H$3:$H149,"Sell",Transactions!$F$3:$F149,"Stablecoin",Transactions!$D$3:$D149,AH47)
-SUMIFS(Transactions!$M$3:$M149,Transactions!$H$3:$H149,"Buy",Transactions!$B$3:$B149,AH47)))</f>
        <v/>
      </c>
      <c r="AJ47" s="181" t="str">
        <f>IFERROR(__xludf.DUMMYFUNCTION("IF(ISBLANK(AH47),"""",VLOOKUP(9^99,FILTER({ROW(Transactions!P:P),Transactions!P:P},Transactions!D:D=AH47),2))"),"")</f>
        <v/>
      </c>
      <c r="AK47" s="181" t="str">
        <f>IFERROR(__xludf.DUMMYFUNCTION("IF(ISBLANK(AH47),"""",IFERROR(GOOGLEFINANCE(AH47,""price""),IFERROR(GOOGLEFINANCE(""CURRENCY:""&amp;AH47&amp;""""),IFERROR(INDEX(YAHOO_STOCK(TRIM(AH47), $G$2),0,1),INDEX(IMPORTHTML(CONCAT(""https://coinmarketcap.com/currencies/"",AG47),""table"",1),1,2)))))"),"")</f>
        <v/>
      </c>
      <c r="AL47" s="14" t="str">
        <f>IFERROR(__xludf.DUMMYFUNCTION("IF(ISBLANK(AH47),"""",IFERROR(SPARKLINE(INDEX(GOOGLEFINANCE(AH47,""price"",TODAY()-$AL$2,TODAY()),,2),{""charttype"",""column"";""color"",""17a7e0""}),""""))"),"")</f>
        <v/>
      </c>
      <c r="AM47" s="50" t="str">
        <f>IFERROR(__xludf.DUMMYFUNCTION("IFNA(IFERROR(IF(AH47="""","""",GOOGLEFINANCE(AH47,""changepct"")/100),(GOOGLEFINANCE(AH47)-(INDEX(GOOGLEFINANCE(""CURRENCY:""&amp;AH47&amp;"""",""price"",TODAY()-1),2,2)))/(INDEX(GOOGLEFINANCE(""CURRENCY:""&amp;AH47&amp;"""",""price"",TODAY()-1),2,2))),)"),"")</f>
        <v/>
      </c>
      <c r="AN47" s="96" t="str">
        <f>IFERROR(__xludf.DUMMYFUNCTION("IFNA(IFERROR(IF(AH47="""","""",GOOGLEFINANCE(AH47,""change"")*AI47),(GOOGLEFINANCE(AH47)-(INDEX(GOOGLEFINANCE(""CURRENCY:""&amp;AH47&amp;"""",""price"",TODAY()-1),2,2)))*AI47),"""")"),"")</f>
        <v/>
      </c>
      <c r="AO47" s="96" t="str">
        <f>IF(ISBLANK(AH47),"",IFERROR(((AI47-SUMIFS(Transactions!I:I,Transactions!H:H,"Crypto Interest",Transactions!D:D,AH47))*AJ47),""))</f>
        <v/>
      </c>
      <c r="AP47" s="96" t="str">
        <f t="shared" si="16"/>
        <v/>
      </c>
      <c r="AQ47" s="50" t="str">
        <f t="shared" si="17"/>
        <v/>
      </c>
      <c r="AR47" s="96" t="str">
        <f t="shared" si="18"/>
        <v/>
      </c>
      <c r="AS47" s="96" t="str">
        <f>IF(ISBLANK(AH47),"",SUMIFS(Transactions!$X$3:$X149,Transactions!$H$3:$H149,"Sell",Transactions!$D$3:$D149,AH47))</f>
        <v/>
      </c>
      <c r="AT47" s="96" t="str">
        <f t="shared" si="19"/>
        <v/>
      </c>
      <c r="AU47" s="50" t="str">
        <f>IFERROR(__xludf.DUMMYFUNCTION("IF(ISBLANK(AH47),"""",IFERROR((GOOGLEFINANCE(AH47,""price"")/INDEX(GOOGLEFINANCE(AH47,""price"",DATEVALUE(TODAY()-$AU$2) ),2,2)-1),""""))"),"")</f>
        <v/>
      </c>
      <c r="AW47" s="50" t="str">
        <f>IFERROR(__xludf.DUMMYFUNCTION("IF(ISBLANK(AH47),"""",IFERROR((GOOGLEFINANCE($AW$2,""price"")/INDEX(GOOGLEFINANCE($AW$2,""price"",DATEVALUE(TODAY()-$AU$2) ),2,2)-1),""""))"),"")</f>
        <v/>
      </c>
      <c r="AY47" s="50" t="str">
        <f t="shared" si="20"/>
        <v/>
      </c>
      <c r="AZ47" s="50" t="str">
        <f t="shared" si="21"/>
        <v/>
      </c>
      <c r="BA47" s="50">
        <f t="shared" si="22"/>
        <v>0</v>
      </c>
      <c r="BB47" s="14" t="str">
        <f t="shared" si="23"/>
        <v/>
      </c>
      <c r="BC47" s="14" t="str">
        <f>IF(ISBLANK(AH47),"",IFERROR(VLOOKUP(AH47,Transactions!D:F,3,0)))</f>
        <v/>
      </c>
      <c r="BD47" s="50" t="str">
        <f t="shared" si="24"/>
        <v/>
      </c>
      <c r="BE47" s="50" t="str">
        <f t="shared" si="25"/>
        <v/>
      </c>
      <c r="BF47" s="14" t="str">
        <f t="shared" si="26"/>
        <v/>
      </c>
      <c r="BG47" s="180" t="str">
        <f>IF(ISBLANK(AH47),"",IFERROR(VLOOKUP(AH47,Transactions!D:G,4,0)))</f>
        <v/>
      </c>
    </row>
    <row r="48">
      <c r="A48" s="14" t="str">
        <f t="shared" ref="A48:C48" si="71">AG48</f>
        <v/>
      </c>
      <c r="B48" s="14" t="str">
        <f t="shared" si="71"/>
        <v/>
      </c>
      <c r="C48" s="175" t="str">
        <f t="shared" si="71"/>
        <v/>
      </c>
      <c r="D48" s="176" t="str">
        <f>IFERROR(__xludf.DUMMYFUNCTION("IF(ISBLANK(B48),"""",IFERROR(IF(OR(AF48=""GPB"",AF48=""ZAR""),IF(AF48=Dashboard!$L$1,AJ48,(AJ48*GOOGLEFINANCE(""CURRENCY:""&amp;AF48&amp;""""&amp;Dashboard!$L$1&amp;""""))/100),IF(AF48=Dashboard!$L$1,AJ48,AJ48*GOOGLEFINANCE(""CURRENCY:""&amp;AF48&amp;""""&amp;Dashboard!$L$1&amp;""""))),"&amp;"AJ48))"),"")</f>
        <v/>
      </c>
      <c r="E48" s="177" t="str">
        <f>IFERROR(__xludf.DUMMYFUNCTION("IFERROR(IF(OR(AF48=""GBP"",AF48=""ZAR""),IF(B48="""","""",IF(AF48=Dashboard!$L$1,AK48,AK48*GOOGLEFINANCE(""CURRENCY:""&amp;AF48&amp;""""&amp;Dashboard!$L$1&amp;"""")))/100,If(B48="""","""",IF(AF48=Dashboard!$L$1,AK48,AK48*GOOGLEFINANCE(""CURRENCY:""&amp;AF48&amp;""""&amp;Dashboard!$"&amp;"L$1&amp;"""")))),AK48)"),"")</f>
        <v/>
      </c>
      <c r="F48" s="145" t="str">
        <f t="shared" si="65"/>
        <v/>
      </c>
      <c r="G48" s="96" t="str">
        <f>IFERROR(__xludf.DUMMYFUNCTION("IF(ISBLANK(B48),"""",IFERROR(SPARKLINE(INDEX(GOOGLEFINANCE(B48,""price"",TODAY()-$G$2,TODAY()),,2),{""charttype"",""column"";""color"",""17a7e0""}),""""))"),"")</f>
        <v/>
      </c>
      <c r="H48" s="50" t="str">
        <f t="shared" si="3"/>
        <v/>
      </c>
      <c r="I48" s="96" t="str">
        <f>IFERROR(__xludf.DUMMYFUNCTION("IF(ISBLANK(B48),"""",IFERROR(IF(OR(AF48=""GPB"",AF48=""ZAR""),IF(AF48=Dashboard!$L$1,AN48,(AN48*GOOGLEFINANCE(""CURRENCY:""&amp;AF48&amp;""""&amp;Dashboard!$L$1&amp;""""))/100),IF(AF48=Dashboard!$L$1,AN48,AN48*GOOGLEFINANCE(""CURRENCY:""&amp;AF48&amp;""""&amp;Dashboard!$L$1&amp;""""))),"&amp;"AN48))"),"")</f>
        <v/>
      </c>
      <c r="J48" s="178" t="str">
        <f>IF(ISBLANK(B48),"",IFERROR(((C48-SUMIFS(Transactions!I:I,Transactions!H:H,"Crypto Interest",Transactions!D:D,B48))*D48),""))</f>
        <v/>
      </c>
      <c r="K48" s="178" t="str">
        <f t="shared" si="4"/>
        <v/>
      </c>
      <c r="L48" s="145">
        <f>-SUMIFS(Transactions!$M$3:$M149,Transactions!$H$3:$H149,"Buy",Transactions!$D$3:$D149,B48)</f>
        <v>0</v>
      </c>
      <c r="M48" s="145">
        <f>IF(ISBLANK(AG48),"",SUMIFS(Transactions!$M$3:$M149,Transactions!$H$3:$H149,"Dividend",Transactions!$D$3:$D149,B48))</f>
        <v>0</v>
      </c>
      <c r="N48" s="145" t="str">
        <f>IF(ISBLANK(AH48),"",SUMIFS(Transactions!$M$3:$M149,Transactions!$H$3:$H149,"Sell",Transactions!$D$3:$D149,B48))</f>
        <v/>
      </c>
      <c r="O48" s="50" t="str">
        <f t="shared" si="5"/>
        <v/>
      </c>
      <c r="P48" s="178" t="str">
        <f t="shared" si="6"/>
        <v/>
      </c>
      <c r="Q48" s="178" t="str">
        <f>IFERROR(__xludf.DUMMYFUNCTION("IF(ISBLANK(B48),"""",IFERROR(IF(OR(AF48=""GPB"",AF48=""ZAR""),IF(AF48=Dashboard!$L$1,AS48,(AS48*GOOGLEFINANCE(""CURRENCY:""&amp;AF48&amp;""""&amp;Dashboard!$L$1&amp;""""))/100),IF(AF48=Dashboard!$L$1,AS48,AS48*GOOGLEFINANCE(""CURRENCY:""&amp;AF48&amp;""""&amp;Dashboard!$L$1&amp;""""))),"&amp;"AS48))"),"")</f>
        <v/>
      </c>
      <c r="R48" s="178" t="str">
        <f t="shared" si="7"/>
        <v/>
      </c>
      <c r="S48" s="50" t="str">
        <f>IFERROR(__xludf.DUMMYFUNCTION("IF(ISBLANK(B48),"""",IFERROR((GOOGLEFINANCE(B48,""price"")/INDEX(GOOGLEFINANCE(B48,""price"",DATEVALUE(TODAY()-$S$2) ),2,2)-1),""""))"),"")</f>
        <v/>
      </c>
      <c r="U48" s="50" t="str">
        <f>IFERROR(__xludf.DUMMYFUNCTION("IF(ISBLANK(B48),"""",IFERROR((GOOGLEFINANCE($U$2,""price"")/INDEX(GOOGLEFINANCE($U$2,""price"",DATEVALUE(TODAY()-$S$2) ),2,2)-1),""""))"),"")</f>
        <v/>
      </c>
      <c r="W48" s="50" t="str">
        <f t="shared" si="8"/>
        <v/>
      </c>
      <c r="X48" s="50" t="str">
        <f t="shared" si="9"/>
        <v/>
      </c>
      <c r="Y48" s="179">
        <v>0.0</v>
      </c>
      <c r="Z48" s="50" t="str">
        <f t="shared" si="10"/>
        <v/>
      </c>
      <c r="AA48" s="14" t="str">
        <f t="shared" si="11"/>
        <v/>
      </c>
      <c r="AB48" s="50" t="str">
        <f t="shared" si="12"/>
        <v/>
      </c>
      <c r="AC48" s="179" t="str">
        <f t="shared" si="13"/>
        <v/>
      </c>
      <c r="AD48" s="50" t="str">
        <f t="shared" si="14"/>
        <v/>
      </c>
      <c r="AE48" s="180" t="str">
        <f t="shared" si="15"/>
        <v/>
      </c>
      <c r="AF48" s="14" t="str">
        <f t="array" ref="AF48">IFERROR(IF(ISBLANK(AH48),"",IF(VLOOKUP(AH48,Transactions!D:F,3,0)="Stablecoin",AH48,INDEX(Transactions!$B$3:$B149,MATCH(AH48,Transactions!$D$3:$D149,0),0))))</f>
        <v/>
      </c>
      <c r="AG48" s="14" t="str">
        <f>IF(ISBLANK(AH48),"",VLOOKUP(AH48,Transactions!D:E,2,0))</f>
        <v/>
      </c>
      <c r="AH48" s="14"/>
      <c r="AI48" s="146" t="str">
        <f>IF(ISBLANK(AH48),"",IF(
SUMIFS(Transactions!$I$3:$I149,Transactions!$H$3:$H149,"Buy",Transactions!$F$3:$F149,"Stock",Transactions!$D$3:$D149,AH48)
+SUMIFS(Transactions!$I$3:$I149,Transactions!$H$3:$H149,"DRIP",Transactions!$F$3:$F149,"Stock",Transactions!$D$3:$D149,AH48)
+SUMIFS(Transactions!$I$3:$I149,Transactions!$H$3:$H149,"Transfer Deposit",Transactions!$F$3:$F149,"Stock",Transactions!$D$3:$D149,AH48)
+SUMIFS(Transactions!$I$3:$I149,Transactions!$H$3:$H149,"Buy",Transactions!$F$3:$F149,"ETF",Transactions!$D$3:$D149,AH48)
+SUMIFS(Transactions!$I$3:$I149,Transactions!$H$3:$H149,"DRIP",Transactions!$F$3:$F149,"ETF",Transactions!$D$3:$D149,AH48)
+SUMIFS(Transactions!$I$3:$I149,Transactions!$H$3:$H149,"Transfer Deposit",Transactions!$F$3:$F149,"ETF",Transactions!$D$3:$D149,AH48)
+SUMIFS(Transactions!$I$3:$I149,Transactions!$H$3:$H149,"Buy",Transactions!$F$3:$F149,"Commodity",Transactions!$D$3:$D149,AH48)
+SUMIFS(Transactions!$I$3:$I149,Transactions!$H$3:$H149,"DRIP",Transactions!$F$3:$F149,"Commodity",Transactions!$D$3:$D149,AH48)
+SUMIFS(Transactions!$I$3:$I149,Transactions!$H$3:$H149,"Transfer Deposit",Transactions!$F$3:$F149,"Commodity",Transactions!$D$3:$D149,AH48)
+SUMIFS(Transactions!$I$3:$I149,Transactions!$H$3:$H149,"Buy",Transactions!$F$3:$F149,"Managed Fund",Transactions!$D$3:$D149,AH48)
+SUMIFS(Transactions!$I$3:$I149,Transactions!$H$3:$H149,"DRIP",Transactions!$F$3:$F149,"Managed Fund",Transactions!$D$3:$D149,AH48)
+SUMIFS(Transactions!$I$3:$I149,Transactions!$H$3:$H149,"Transfer Deposit",Transactions!$F$3:$F149,"Managed Fund",Transactions!$D$3:$D149,AH48)
+SUMIFS(Transactions!$I$3:$I149,Transactions!$H$3:$H149,"Buy",Transactions!$F$3:$F149,"REIT",Transactions!$D$3:$D149,AH48)
+SUMIFS(Transactions!$I$3:$I149,Transactions!$H$3:$H149,"DRIP",Transactions!$F$3:$F149,"REIT",Transactions!$D$3:$D149,AH48)
+SUMIFS(Transactions!$I$3:$I149,Transactions!$H$3:$H149,"Transfer Deposit",Transactions!$F$3:$F149,"REIT",Transactions!$D$3:$D149,AH48)
-SUMIFS(Transactions!$I$3:$I149,Transactions!$H$3:$H149,"Sell",Transactions!$F$3:$F149,"Stock",Transactions!$D$3:$D149,AH48)
-SUMIFS(Transactions!$I$3:$I149,Transactions!$H$3:$H149,"Transfer Send",Transactions!$F$3:$F149,"Stock",Transactions!$D$3:$D149,AH48)
-SUMIFS(Transactions!$I$3:$I149,Transactions!$H$3:$H149,"Sell",Transactions!$F$3:$F149,"ETF",Transactions!$D$3:$D149,AH48)
-SUMIFS(Transactions!$I$3:$I149,Transactions!$H$3:$H149,"Transfer Send",Transactions!$F$3:$F149,"ETF",Transactions!$D$3:$D149,AH48)
-SUMIFS(Transactions!$I$3:$I149,Transactions!$H$3:$H149,"Sell",Transactions!$F$3:$F149,"Commodity",Transactions!$D$3:$D149,AH48)
-SUMIFS(Transactions!$I$3:$I149,Transactions!$H$3:$H149,"Transfer Send",Transactions!$F$3:$F149,"Commodity",Transactions!$D$3:$D149,AH48)
-SUMIFS(Transactions!$I$3:$I149,Transactions!$H$3:$H149,"Sell",Transactions!$F$3:$F149,"Managed Fund",Transactions!$D$3:$D149,AH48)
-SUMIFS(Transactions!$I$3:$I149,Transactions!$H$3:$H149,"Transfer Send",Transactions!$F$3:$F149,"Managed Fund",Transactions!$D$3:$D149,AH48)
-SUMIFS(Transactions!$I$3:$I149,Transactions!$H$3:$H149,"Sell",Transactions!$F$3:$F149,"REIT",Transactions!$D$3:$D149,AH48)
-SUMIFS(Transactions!$I$3:$I149,Transactions!$H$3:$H149,"Transfer Send",Transactions!$F$3:$F149,"REIT",Transactions!$D$3:$D149,AH48)
+SUMIFS(Transactions!$I$3:$I149,Transactions!$H$3:$H149,"Buy",Transactions!$F$3:$F149,"Crypto",Transactions!$D$3:$D149,AH48)
+SUMIFS(Transactions!$I$3:$I149,Transactions!$H$3:$H149,"Crypto Interest",Transactions!$F$3:$F149,"Crypto",Transactions!$D$3:$D149,AH48)
+SUMIFS(Transactions!$I$3:$I149,Transactions!$H$3:$H149,"Transfer Deposit",Transactions!$F$3:$F149,"Crypto",Transactions!$D$3:$D149,AH48)
-SUMIFS(Transactions!$I$3:$I149,Transactions!$H$3:$H149,"Transfer Send",Transactions!$F$3:$F149,"Crypto",Transactions!$D$3:$D149,AH48)
-SUMIFS(Transactions!$I$3:$I149,Transactions!$H$3:$H149,"Sell",Transactions!$F$3:$F149,"Crypto",Transactions!$D$3:$D149,AH48)
+SUMIFS(Transactions!$I$3:$I149,Transactions!$H$3:$H149,"Buy",Transactions!$F$3:$F149,"Stablecoin",Transactions!$D$3:$D149,AH48)
+SUMIFS(Transactions!$I$3:$I149,Transactions!$H$3:$H149,"Crypto Interest",Transactions!$F$3:$F149,"Stablecoin",Transactions!$D$3:$D149,AH48)
+SUMIFS(Transactions!$I$3:$I149,Transactions!$H$3:$H149,"Transfer Deposit",Transactions!$F$3:$F149,"Stablecoin",Transactions!$D$3:$D149,AH48)
-SUMIFS(Transactions!$I$3:$I149,Transactions!$H$3:$H149,"Transfer Send",Transactions!$F$3:$F149,"Stablecoin",Transactions!$D$3:$D149,AH48)
-SUMIFS(Transactions!$I$3:$I149,Transactions!$H$3:$H149,"Sell",Transactions!$F$3:$F149,"Stablecoin",Transactions!$D$3:$D149,AH48)
-SUMIFS(Transactions!$M$3:$M149,Transactions!$H$3:$H149,"Buy",Transactions!$B$3:$B149,AH48)=0,"Sold All",
SUMIFS(Transactions!$I$3:$I149,Transactions!$H$3:$H149,"Buy",Transactions!$F$3:$F149,"Stock",Transactions!$D$3:$D149,AH48)
+SUMIFS(Transactions!$I$3:$I149,Transactions!$H$3:$H149,"DRIP",Transactions!$F$3:$F149,"Stock",Transactions!$D$3:$D149,AH48)
+SUMIFS(Transactions!$I$3:$I149,Transactions!$H$3:$H149,"Transfer Deposit",Transactions!$F$3:$F149,"Stock",Transactions!$D$3:$D149,AH48)
+SUMIFS(Transactions!$I$3:$I149,Transactions!$H$3:$H149,"Buy",Transactions!$F$3:$F149,"ETF",Transactions!$D$3:$D149,AH48)
+SUMIFS(Transactions!$I$3:$I149,Transactions!$H$3:$H149,"DRIP",Transactions!$F$3:$F149,"ETF",Transactions!$D$3:$D149,AH48)
+SUMIFS(Transactions!$I$3:$I149,Transactions!$H$3:$H149,"Transfer Deposit",Transactions!$F$3:$F149,"ETF",Transactions!$D$3:$D149,AH48)
+SUMIFS(Transactions!$I$3:$I149,Transactions!$H$3:$H149,"Buy",Transactions!$F$3:$F149,"Commodity",Transactions!$D$3:$D149,AH48)
+SUMIFS(Transactions!$I$3:$I149,Transactions!$H$3:$H149,"DRIP",Transactions!$F$3:$F149,"Commodity",Transactions!$D$3:$D149,AH48)
+SUMIFS(Transactions!$I$3:$I149,Transactions!$H$3:$H149,"Transfer Deposit",Transactions!$F$3:$F149,"Commodity",Transactions!$D$3:$D149,AH48)
+SUMIFS(Transactions!$I$3:$I149,Transactions!$H$3:$H149,"Buy",Transactions!$F$3:$F149,"Managed Fund",Transactions!$D$3:$D149,AH48)
+SUMIFS(Transactions!$I$3:$I149,Transactions!$H$3:$H149,"DRIP",Transactions!$F$3:$F149,"Managed Fund",Transactions!$D$3:$D149,AH48)
+SUMIFS(Transactions!$I$3:$I149,Transactions!$H$3:$H149,"Transfer Deposit",Transactions!$F$3:$F149,"Managed Fund",Transactions!$D$3:$D149,AH48)
+SUMIFS(Transactions!$I$3:$I149,Transactions!$H$3:$H149,"Buy",Transactions!$F$3:$F149,"REIT",Transactions!$D$3:$D149,AH48)
+SUMIFS(Transactions!$I$3:$I149,Transactions!$H$3:$H149,"DRIP",Transactions!$F$3:$F149,"REIT",Transactions!$D$3:$D149,AH48)
+SUMIFS(Transactions!$I$3:$I149,Transactions!$H$3:$H149,"Transfer Deposit",Transactions!$F$3:$F149,"REIT",Transactions!$D$3:$D149,AH48)
-SUMIFS(Transactions!$I$3:$I149,Transactions!$H$3:$H149,"Sell",Transactions!$F$3:$F149,"Stock",Transactions!$D$3:$D149,AH48)
-SUMIFS(Transactions!$I$3:$I149,Transactions!$H$3:$H149,"Transfer Send",Transactions!$F$3:$F149,"Stock",Transactions!$D$3:$D149,AH48)
-SUMIFS(Transactions!$I$3:$I149,Transactions!$H$3:$H149,"Sell",Transactions!$F$3:$F149,"ETF",Transactions!$D$3:$D149,AH48)
-SUMIFS(Transactions!$I$3:$I149,Transactions!$H$3:$H149,"Transfer Send",Transactions!$F$3:$F149,"ETF",Transactions!$D$3:$D149,AH48)
-SUMIFS(Transactions!$I$3:$I149,Transactions!$H$3:$H149,"Sell",Transactions!$F$3:$F149,"Commodity",Transactions!$D$3:$D149,AH48)
-SUMIFS(Transactions!$I$3:$I149,Transactions!$H$3:$H149,"Transfer Send",Transactions!$F$3:$F149,"Commodity",Transactions!$D$3:$D149,AH48)
-SUMIFS(Transactions!$I$3:$I149,Transactions!$H$3:$H149,"Sell",Transactions!$F$3:$F149,"Managed Fund",Transactions!$D$3:$D149,AH48)
-SUMIFS(Transactions!$I$3:$I149,Transactions!$H$3:$H149,"Transfer Send",Transactions!$F$3:$F149,"Managed Fund",Transactions!$D$3:$D149,AH48)
-SUMIFS(Transactions!$I$3:$I149,Transactions!$H$3:$H149,"Sell",Transactions!$F$3:$F149,"REIT",Transactions!$D$3:$D149,AH48)
-SUMIFS(Transactions!$I$3:$I149,Transactions!$H$3:$H149,"Transfer Send",Transactions!$F$3:$F149,"REIT",Transactions!$D$3:$D149,AH48)
+SUMIFS(Transactions!$I$3:$I149,Transactions!$H$3:$H149,"Buy",Transactions!$F$3:$F149,"Crypto",Transactions!$D$3:$D149,AH48)
+SUMIFS(Transactions!$I$3:$I149,Transactions!$H$3:$H149,"Crypto Interest",Transactions!$F$3:$F149,"Crypto",Transactions!$D$3:$D149,AH48)
+SUMIFS(Transactions!$I$3:$I149,Transactions!$H$3:$H149,"Transfer Deposit",Transactions!$F$3:$F149,"Crypto",Transactions!$D$3:$D149,AH48)
-SUMIFS(Transactions!$I$3:$I149,Transactions!$H$3:$H149,"Transfer Send",Transactions!$F$3:$F149,"Crypto",Transactions!$D$3:$D149,AH48)
-SUMIFS(Transactions!$I$3:$I149,Transactions!$H$3:$H149,"Sell",Transactions!$F$3:$F149,"Crypto",Transactions!$D$3:$D149,AH48)
+SUMIFS(Transactions!$I$3:$I149,Transactions!$H$3:$H149,"Buy",Transactions!$F$3:$F149,"Stablecoin",Transactions!$D$3:$D149,AH48)
+SUMIFS(Transactions!$I$3:$I149,Transactions!$H$3:$H149,"Crypto Interest",Transactions!$F$3:$F149,"Stablecoin",Transactions!$D$3:$D149,AH48)
+SUMIFS(Transactions!$I$3:$I149,Transactions!$H$3:$H149,"Transfer Deposit",Transactions!$F$3:$F149,"Stablecoin",Transactions!$D$3:$D149,AH48)
-SUMIFS(Transactions!$I$3:$I149,Transactions!$H$3:$H149,"Transfer Send",Transactions!$F$3:$F149,"Stablecoin",Transactions!$D$3:$D149,AH48)
-SUMIFS(Transactions!$I$3:$I149,Transactions!$H$3:$H149,"Sell",Transactions!$F$3:$F149,"Stablecoin",Transactions!$D$3:$D149,AH48)
-SUMIFS(Transactions!$M$3:$M149,Transactions!$H$3:$H149,"Buy",Transactions!$B$3:$B149,AH48)))</f>
        <v/>
      </c>
      <c r="AJ48" s="181" t="str">
        <f>IFERROR(__xludf.DUMMYFUNCTION("IF(ISBLANK(AH48),"""",VLOOKUP(9^99,FILTER({ROW(Transactions!P:P),Transactions!P:P},Transactions!D:D=AH48),2))"),"")</f>
        <v/>
      </c>
      <c r="AK48" s="181" t="str">
        <f>IFERROR(__xludf.DUMMYFUNCTION("IF(ISBLANK(AH48),"""",IFERROR(GOOGLEFINANCE(AH48,""price""),IFERROR(GOOGLEFINANCE(""CURRENCY:""&amp;AH48&amp;""""),IFERROR(INDEX(YAHOO_STOCK(TRIM(AH48), $G$2),0,1),INDEX(IMPORTHTML(CONCAT(""https://coinmarketcap.com/currencies/"",AG48),""table"",1),1,2)))))"),"")</f>
        <v/>
      </c>
      <c r="AL48" s="14" t="str">
        <f>IFERROR(__xludf.DUMMYFUNCTION("IF(ISBLANK(AH48),"""",IFERROR(SPARKLINE(INDEX(GOOGLEFINANCE(AH48,""price"",TODAY()-$AL$2,TODAY()),,2),{""charttype"",""column"";""color"",""17a7e0""}),""""))"),"")</f>
        <v/>
      </c>
      <c r="AM48" s="50" t="str">
        <f>IFERROR(__xludf.DUMMYFUNCTION("IFNA(IFERROR(IF(AH48="""","""",GOOGLEFINANCE(AH48,""changepct"")/100),(GOOGLEFINANCE(AH48)-(INDEX(GOOGLEFINANCE(""CURRENCY:""&amp;AH48&amp;"""",""price"",TODAY()-1),2,2)))/(INDEX(GOOGLEFINANCE(""CURRENCY:""&amp;AH48&amp;"""",""price"",TODAY()-1),2,2))),)"),"")</f>
        <v/>
      </c>
      <c r="AN48" s="96" t="str">
        <f>IFERROR(__xludf.DUMMYFUNCTION("IFNA(IFERROR(IF(AH48="""","""",GOOGLEFINANCE(AH48,""change"")*AI48),(GOOGLEFINANCE(AH48)-(INDEX(GOOGLEFINANCE(""CURRENCY:""&amp;AH48&amp;"""",""price"",TODAY()-1),2,2)))*AI48),"""")"),"")</f>
        <v/>
      </c>
      <c r="AO48" s="96" t="str">
        <f>IF(ISBLANK(AH48),"",IFERROR(((AI48-SUMIFS(Transactions!I:I,Transactions!H:H,"Crypto Interest",Transactions!D:D,AH48))*AJ48),""))</f>
        <v/>
      </c>
      <c r="AP48" s="96" t="str">
        <f t="shared" si="16"/>
        <v/>
      </c>
      <c r="AQ48" s="50" t="str">
        <f t="shared" si="17"/>
        <v/>
      </c>
      <c r="AR48" s="96" t="str">
        <f t="shared" si="18"/>
        <v/>
      </c>
      <c r="AS48" s="96" t="str">
        <f>IF(ISBLANK(AH48),"",SUMIFS(Transactions!$X$3:$X149,Transactions!$H$3:$H149,"Sell",Transactions!$D$3:$D149,AH48))</f>
        <v/>
      </c>
      <c r="AT48" s="96" t="str">
        <f t="shared" si="19"/>
        <v/>
      </c>
      <c r="AU48" s="50" t="str">
        <f>IFERROR(__xludf.DUMMYFUNCTION("IF(ISBLANK(AH48),"""",IFERROR((GOOGLEFINANCE(AH48,""price"")/INDEX(GOOGLEFINANCE(AH48,""price"",DATEVALUE(TODAY()-$AU$2) ),2,2)-1),""""))"),"")</f>
        <v/>
      </c>
      <c r="AW48" s="50" t="str">
        <f>IFERROR(__xludf.DUMMYFUNCTION("IF(ISBLANK(AH48),"""",IFERROR((GOOGLEFINANCE($AW$2,""price"")/INDEX(GOOGLEFINANCE($AW$2,""price"",DATEVALUE(TODAY()-$AU$2) ),2,2)-1),""""))"),"")</f>
        <v/>
      </c>
      <c r="AY48" s="50" t="str">
        <f t="shared" si="20"/>
        <v/>
      </c>
      <c r="AZ48" s="50" t="str">
        <f t="shared" si="21"/>
        <v/>
      </c>
      <c r="BA48" s="50">
        <f t="shared" si="22"/>
        <v>0</v>
      </c>
      <c r="BB48" s="14" t="str">
        <f t="shared" si="23"/>
        <v/>
      </c>
      <c r="BC48" s="14" t="str">
        <f>IF(ISBLANK(AH48),"",IFERROR(VLOOKUP(AH48,Transactions!D:F,3,0)))</f>
        <v/>
      </c>
      <c r="BD48" s="50" t="str">
        <f t="shared" si="24"/>
        <v/>
      </c>
      <c r="BE48" s="50" t="str">
        <f t="shared" si="25"/>
        <v/>
      </c>
      <c r="BF48" s="14" t="str">
        <f t="shared" si="26"/>
        <v/>
      </c>
      <c r="BG48" s="180" t="str">
        <f>IF(ISBLANK(AH48),"",IFERROR(VLOOKUP(AH48,Transactions!D:G,4,0)))</f>
        <v/>
      </c>
    </row>
    <row r="49">
      <c r="A49" s="14" t="str">
        <f t="shared" ref="A49:C49" si="72">AG49</f>
        <v/>
      </c>
      <c r="B49" s="14" t="str">
        <f t="shared" si="72"/>
        <v/>
      </c>
      <c r="C49" s="175" t="str">
        <f t="shared" si="72"/>
        <v/>
      </c>
      <c r="D49" s="176" t="str">
        <f>IFERROR(__xludf.DUMMYFUNCTION("IF(ISBLANK(B49),"""",IFERROR(IF(OR(AF49=""GPB"",AF49=""ZAR""),IF(AF49=Dashboard!$L$1,AJ49,(AJ49*GOOGLEFINANCE(""CURRENCY:""&amp;AF49&amp;""""&amp;Dashboard!$L$1&amp;""""))/100),IF(AF49=Dashboard!$L$1,AJ49,AJ49*GOOGLEFINANCE(""CURRENCY:""&amp;AF49&amp;""""&amp;Dashboard!$L$1&amp;""""))),"&amp;"AJ49))"),"")</f>
        <v/>
      </c>
      <c r="E49" s="177" t="str">
        <f>IFERROR(__xludf.DUMMYFUNCTION("IFERROR(IF(OR(AF49=""GBP"",AF49=""ZAR""),IF(B49="""","""",IF(AF49=Dashboard!$L$1,AK49,AK49*GOOGLEFINANCE(""CURRENCY:""&amp;AF49&amp;""""&amp;Dashboard!$L$1&amp;"""")))/100,If(B49="""","""",IF(AF49=Dashboard!$L$1,AK49,AK49*GOOGLEFINANCE(""CURRENCY:""&amp;AF49&amp;""""&amp;Dashboard!$"&amp;"L$1&amp;"""")))),AK49)"),"")</f>
        <v/>
      </c>
      <c r="F49" s="145" t="str">
        <f t="shared" si="65"/>
        <v/>
      </c>
      <c r="G49" s="96" t="str">
        <f>IFERROR(__xludf.DUMMYFUNCTION("IF(ISBLANK(B49),"""",IFERROR(SPARKLINE(INDEX(GOOGLEFINANCE(B49,""price"",TODAY()-$G$2,TODAY()),,2),{""charttype"",""column"";""color"",""17a7e0""}),""""))"),"")</f>
        <v/>
      </c>
      <c r="H49" s="50" t="str">
        <f t="shared" si="3"/>
        <v/>
      </c>
      <c r="I49" s="96" t="str">
        <f>IFERROR(__xludf.DUMMYFUNCTION("IF(ISBLANK(B49),"""",IFERROR(IF(OR(AF49=""GPB"",AF49=""ZAR""),IF(AF49=Dashboard!$L$1,AN49,(AN49*GOOGLEFINANCE(""CURRENCY:""&amp;AF49&amp;""""&amp;Dashboard!$L$1&amp;""""))/100),IF(AF49=Dashboard!$L$1,AN49,AN49*GOOGLEFINANCE(""CURRENCY:""&amp;AF49&amp;""""&amp;Dashboard!$L$1&amp;""""))),"&amp;"AN49))"),"")</f>
        <v/>
      </c>
      <c r="J49" s="178" t="str">
        <f>IF(ISBLANK(B49),"",IFERROR(((C49-SUMIFS(Transactions!I:I,Transactions!H:H,"Crypto Interest",Transactions!D:D,B49))*D49),""))</f>
        <v/>
      </c>
      <c r="K49" s="178" t="str">
        <f t="shared" si="4"/>
        <v/>
      </c>
      <c r="L49" s="145">
        <f>-SUMIFS(Transactions!$M$3:$M149,Transactions!$H$3:$H149,"Buy",Transactions!$D$3:$D149,B49)</f>
        <v>0</v>
      </c>
      <c r="M49" s="145">
        <f>IF(ISBLANK(AG49),"",SUMIFS(Transactions!$M$3:$M149,Transactions!$H$3:$H149,"Dividend",Transactions!$D$3:$D149,B49))</f>
        <v>0</v>
      </c>
      <c r="N49" s="145" t="str">
        <f>IF(ISBLANK(AH49),"",SUMIFS(Transactions!$M$3:$M149,Transactions!$H$3:$H149,"Sell",Transactions!$D$3:$D149,B49))</f>
        <v/>
      </c>
      <c r="O49" s="50" t="str">
        <f t="shared" si="5"/>
        <v/>
      </c>
      <c r="P49" s="178" t="str">
        <f t="shared" si="6"/>
        <v/>
      </c>
      <c r="Q49" s="178" t="str">
        <f>IFERROR(__xludf.DUMMYFUNCTION("IF(ISBLANK(B49),"""",IFERROR(IF(OR(AF49=""GPB"",AF49=""ZAR""),IF(AF49=Dashboard!$L$1,AS49,(AS49*GOOGLEFINANCE(""CURRENCY:""&amp;AF49&amp;""""&amp;Dashboard!$L$1&amp;""""))/100),IF(AF49=Dashboard!$L$1,AS49,AS49*GOOGLEFINANCE(""CURRENCY:""&amp;AF49&amp;""""&amp;Dashboard!$L$1&amp;""""))),"&amp;"AS49))"),"")</f>
        <v/>
      </c>
      <c r="R49" s="178" t="str">
        <f t="shared" si="7"/>
        <v/>
      </c>
      <c r="S49" s="50" t="str">
        <f>IFERROR(__xludf.DUMMYFUNCTION("IF(ISBLANK(B49),"""",IFERROR((GOOGLEFINANCE(B49,""price"")/INDEX(GOOGLEFINANCE(B49,""price"",DATEVALUE(TODAY()-$S$2) ),2,2)-1),""""))"),"")</f>
        <v/>
      </c>
      <c r="U49" s="50" t="str">
        <f>IFERROR(__xludf.DUMMYFUNCTION("IF(ISBLANK(B49),"""",IFERROR((GOOGLEFINANCE($U$2,""price"")/INDEX(GOOGLEFINANCE($U$2,""price"",DATEVALUE(TODAY()-$S$2) ),2,2)-1),""""))"),"")</f>
        <v/>
      </c>
      <c r="W49" s="50" t="str">
        <f t="shared" si="8"/>
        <v/>
      </c>
      <c r="X49" s="50" t="str">
        <f t="shared" si="9"/>
        <v/>
      </c>
      <c r="Y49" s="179">
        <v>0.0</v>
      </c>
      <c r="Z49" s="50" t="str">
        <f t="shared" si="10"/>
        <v/>
      </c>
      <c r="AA49" s="14" t="str">
        <f t="shared" si="11"/>
        <v/>
      </c>
      <c r="AB49" s="50" t="str">
        <f t="shared" si="12"/>
        <v/>
      </c>
      <c r="AC49" s="179" t="str">
        <f t="shared" si="13"/>
        <v/>
      </c>
      <c r="AD49" s="50" t="str">
        <f t="shared" si="14"/>
        <v/>
      </c>
      <c r="AE49" s="180" t="str">
        <f t="shared" si="15"/>
        <v/>
      </c>
      <c r="AF49" s="14" t="str">
        <f t="array" ref="AF49">IFERROR(IF(ISBLANK(AH49),"",IF(VLOOKUP(AH49,Transactions!D:F,3,0)="Stablecoin",AH49,INDEX(Transactions!$B$3:$B149,MATCH(AH49,Transactions!$D$3:$D149,0),0))))</f>
        <v/>
      </c>
      <c r="AG49" s="14" t="str">
        <f>IF(ISBLANK(AH49),"",VLOOKUP(AH49,Transactions!D:E,2,0))</f>
        <v/>
      </c>
      <c r="AH49" s="14"/>
      <c r="AI49" s="146" t="str">
        <f>IF(ISBLANK(AH49),"",IF(
SUMIFS(Transactions!$I$3:$I149,Transactions!$H$3:$H149,"Buy",Transactions!$F$3:$F149,"Stock",Transactions!$D$3:$D149,AH49)
+SUMIFS(Transactions!$I$3:$I149,Transactions!$H$3:$H149,"DRIP",Transactions!$F$3:$F149,"Stock",Transactions!$D$3:$D149,AH49)
+SUMIFS(Transactions!$I$3:$I149,Transactions!$H$3:$H149,"Transfer Deposit",Transactions!$F$3:$F149,"Stock",Transactions!$D$3:$D149,AH49)
+SUMIFS(Transactions!$I$3:$I149,Transactions!$H$3:$H149,"Buy",Transactions!$F$3:$F149,"ETF",Transactions!$D$3:$D149,AH49)
+SUMIFS(Transactions!$I$3:$I149,Transactions!$H$3:$H149,"DRIP",Transactions!$F$3:$F149,"ETF",Transactions!$D$3:$D149,AH49)
+SUMIFS(Transactions!$I$3:$I149,Transactions!$H$3:$H149,"Transfer Deposit",Transactions!$F$3:$F149,"ETF",Transactions!$D$3:$D149,AH49)
+SUMIFS(Transactions!$I$3:$I149,Transactions!$H$3:$H149,"Buy",Transactions!$F$3:$F149,"Commodity",Transactions!$D$3:$D149,AH49)
+SUMIFS(Transactions!$I$3:$I149,Transactions!$H$3:$H149,"DRIP",Transactions!$F$3:$F149,"Commodity",Transactions!$D$3:$D149,AH49)
+SUMIFS(Transactions!$I$3:$I149,Transactions!$H$3:$H149,"Transfer Deposit",Transactions!$F$3:$F149,"Commodity",Transactions!$D$3:$D149,AH49)
+SUMIFS(Transactions!$I$3:$I149,Transactions!$H$3:$H149,"Buy",Transactions!$F$3:$F149,"Managed Fund",Transactions!$D$3:$D149,AH49)
+SUMIFS(Transactions!$I$3:$I149,Transactions!$H$3:$H149,"DRIP",Transactions!$F$3:$F149,"Managed Fund",Transactions!$D$3:$D149,AH49)
+SUMIFS(Transactions!$I$3:$I149,Transactions!$H$3:$H149,"Transfer Deposit",Transactions!$F$3:$F149,"Managed Fund",Transactions!$D$3:$D149,AH49)
+SUMIFS(Transactions!$I$3:$I149,Transactions!$H$3:$H149,"Buy",Transactions!$F$3:$F149,"REIT",Transactions!$D$3:$D149,AH49)
+SUMIFS(Transactions!$I$3:$I149,Transactions!$H$3:$H149,"DRIP",Transactions!$F$3:$F149,"REIT",Transactions!$D$3:$D149,AH49)
+SUMIFS(Transactions!$I$3:$I149,Transactions!$H$3:$H149,"Transfer Deposit",Transactions!$F$3:$F149,"REIT",Transactions!$D$3:$D149,AH49)
-SUMIFS(Transactions!$I$3:$I149,Transactions!$H$3:$H149,"Sell",Transactions!$F$3:$F149,"Stock",Transactions!$D$3:$D149,AH49)
-SUMIFS(Transactions!$I$3:$I149,Transactions!$H$3:$H149,"Transfer Send",Transactions!$F$3:$F149,"Stock",Transactions!$D$3:$D149,AH49)
-SUMIFS(Transactions!$I$3:$I149,Transactions!$H$3:$H149,"Sell",Transactions!$F$3:$F149,"ETF",Transactions!$D$3:$D149,AH49)
-SUMIFS(Transactions!$I$3:$I149,Transactions!$H$3:$H149,"Transfer Send",Transactions!$F$3:$F149,"ETF",Transactions!$D$3:$D149,AH49)
-SUMIFS(Transactions!$I$3:$I149,Transactions!$H$3:$H149,"Sell",Transactions!$F$3:$F149,"Commodity",Transactions!$D$3:$D149,AH49)
-SUMIFS(Transactions!$I$3:$I149,Transactions!$H$3:$H149,"Transfer Send",Transactions!$F$3:$F149,"Commodity",Transactions!$D$3:$D149,AH49)
-SUMIFS(Transactions!$I$3:$I149,Transactions!$H$3:$H149,"Sell",Transactions!$F$3:$F149,"Managed Fund",Transactions!$D$3:$D149,AH49)
-SUMIFS(Transactions!$I$3:$I149,Transactions!$H$3:$H149,"Transfer Send",Transactions!$F$3:$F149,"Managed Fund",Transactions!$D$3:$D149,AH49)
-SUMIFS(Transactions!$I$3:$I149,Transactions!$H$3:$H149,"Sell",Transactions!$F$3:$F149,"REIT",Transactions!$D$3:$D149,AH49)
-SUMIFS(Transactions!$I$3:$I149,Transactions!$H$3:$H149,"Transfer Send",Transactions!$F$3:$F149,"REIT",Transactions!$D$3:$D149,AH49)
+SUMIFS(Transactions!$I$3:$I149,Transactions!$H$3:$H149,"Buy",Transactions!$F$3:$F149,"Crypto",Transactions!$D$3:$D149,AH49)
+SUMIFS(Transactions!$I$3:$I149,Transactions!$H$3:$H149,"Crypto Interest",Transactions!$F$3:$F149,"Crypto",Transactions!$D$3:$D149,AH49)
+SUMIFS(Transactions!$I$3:$I149,Transactions!$H$3:$H149,"Transfer Deposit",Transactions!$F$3:$F149,"Crypto",Transactions!$D$3:$D149,AH49)
-SUMIFS(Transactions!$I$3:$I149,Transactions!$H$3:$H149,"Transfer Send",Transactions!$F$3:$F149,"Crypto",Transactions!$D$3:$D149,AH49)
-SUMIFS(Transactions!$I$3:$I149,Transactions!$H$3:$H149,"Sell",Transactions!$F$3:$F149,"Crypto",Transactions!$D$3:$D149,AH49)
+SUMIFS(Transactions!$I$3:$I149,Transactions!$H$3:$H149,"Buy",Transactions!$F$3:$F149,"Stablecoin",Transactions!$D$3:$D149,AH49)
+SUMIFS(Transactions!$I$3:$I149,Transactions!$H$3:$H149,"Crypto Interest",Transactions!$F$3:$F149,"Stablecoin",Transactions!$D$3:$D149,AH49)
+SUMIFS(Transactions!$I$3:$I149,Transactions!$H$3:$H149,"Transfer Deposit",Transactions!$F$3:$F149,"Stablecoin",Transactions!$D$3:$D149,AH49)
-SUMIFS(Transactions!$I$3:$I149,Transactions!$H$3:$H149,"Transfer Send",Transactions!$F$3:$F149,"Stablecoin",Transactions!$D$3:$D149,AH49)
-SUMIFS(Transactions!$I$3:$I149,Transactions!$H$3:$H149,"Sell",Transactions!$F$3:$F149,"Stablecoin",Transactions!$D$3:$D149,AH49)
-SUMIFS(Transactions!$M$3:$M149,Transactions!$H$3:$H149,"Buy",Transactions!$B$3:$B149,AH49)=0,"Sold All",
SUMIFS(Transactions!$I$3:$I149,Transactions!$H$3:$H149,"Buy",Transactions!$F$3:$F149,"Stock",Transactions!$D$3:$D149,AH49)
+SUMIFS(Transactions!$I$3:$I149,Transactions!$H$3:$H149,"DRIP",Transactions!$F$3:$F149,"Stock",Transactions!$D$3:$D149,AH49)
+SUMIFS(Transactions!$I$3:$I149,Transactions!$H$3:$H149,"Transfer Deposit",Transactions!$F$3:$F149,"Stock",Transactions!$D$3:$D149,AH49)
+SUMIFS(Transactions!$I$3:$I149,Transactions!$H$3:$H149,"Buy",Transactions!$F$3:$F149,"ETF",Transactions!$D$3:$D149,AH49)
+SUMIFS(Transactions!$I$3:$I149,Transactions!$H$3:$H149,"DRIP",Transactions!$F$3:$F149,"ETF",Transactions!$D$3:$D149,AH49)
+SUMIFS(Transactions!$I$3:$I149,Transactions!$H$3:$H149,"Transfer Deposit",Transactions!$F$3:$F149,"ETF",Transactions!$D$3:$D149,AH49)
+SUMIFS(Transactions!$I$3:$I149,Transactions!$H$3:$H149,"Buy",Transactions!$F$3:$F149,"Commodity",Transactions!$D$3:$D149,AH49)
+SUMIFS(Transactions!$I$3:$I149,Transactions!$H$3:$H149,"DRIP",Transactions!$F$3:$F149,"Commodity",Transactions!$D$3:$D149,AH49)
+SUMIFS(Transactions!$I$3:$I149,Transactions!$H$3:$H149,"Transfer Deposit",Transactions!$F$3:$F149,"Commodity",Transactions!$D$3:$D149,AH49)
+SUMIFS(Transactions!$I$3:$I149,Transactions!$H$3:$H149,"Buy",Transactions!$F$3:$F149,"Managed Fund",Transactions!$D$3:$D149,AH49)
+SUMIFS(Transactions!$I$3:$I149,Transactions!$H$3:$H149,"DRIP",Transactions!$F$3:$F149,"Managed Fund",Transactions!$D$3:$D149,AH49)
+SUMIFS(Transactions!$I$3:$I149,Transactions!$H$3:$H149,"Transfer Deposit",Transactions!$F$3:$F149,"Managed Fund",Transactions!$D$3:$D149,AH49)
+SUMIFS(Transactions!$I$3:$I149,Transactions!$H$3:$H149,"Buy",Transactions!$F$3:$F149,"REIT",Transactions!$D$3:$D149,AH49)
+SUMIFS(Transactions!$I$3:$I149,Transactions!$H$3:$H149,"DRIP",Transactions!$F$3:$F149,"REIT",Transactions!$D$3:$D149,AH49)
+SUMIFS(Transactions!$I$3:$I149,Transactions!$H$3:$H149,"Transfer Deposit",Transactions!$F$3:$F149,"REIT",Transactions!$D$3:$D149,AH49)
-SUMIFS(Transactions!$I$3:$I149,Transactions!$H$3:$H149,"Sell",Transactions!$F$3:$F149,"Stock",Transactions!$D$3:$D149,AH49)
-SUMIFS(Transactions!$I$3:$I149,Transactions!$H$3:$H149,"Transfer Send",Transactions!$F$3:$F149,"Stock",Transactions!$D$3:$D149,AH49)
-SUMIFS(Transactions!$I$3:$I149,Transactions!$H$3:$H149,"Sell",Transactions!$F$3:$F149,"ETF",Transactions!$D$3:$D149,AH49)
-SUMIFS(Transactions!$I$3:$I149,Transactions!$H$3:$H149,"Transfer Send",Transactions!$F$3:$F149,"ETF",Transactions!$D$3:$D149,AH49)
-SUMIFS(Transactions!$I$3:$I149,Transactions!$H$3:$H149,"Sell",Transactions!$F$3:$F149,"Commodity",Transactions!$D$3:$D149,AH49)
-SUMIFS(Transactions!$I$3:$I149,Transactions!$H$3:$H149,"Transfer Send",Transactions!$F$3:$F149,"Commodity",Transactions!$D$3:$D149,AH49)
-SUMIFS(Transactions!$I$3:$I149,Transactions!$H$3:$H149,"Sell",Transactions!$F$3:$F149,"Managed Fund",Transactions!$D$3:$D149,AH49)
-SUMIFS(Transactions!$I$3:$I149,Transactions!$H$3:$H149,"Transfer Send",Transactions!$F$3:$F149,"Managed Fund",Transactions!$D$3:$D149,AH49)
-SUMIFS(Transactions!$I$3:$I149,Transactions!$H$3:$H149,"Sell",Transactions!$F$3:$F149,"REIT",Transactions!$D$3:$D149,AH49)
-SUMIFS(Transactions!$I$3:$I149,Transactions!$H$3:$H149,"Transfer Send",Transactions!$F$3:$F149,"REIT",Transactions!$D$3:$D149,AH49)
+SUMIFS(Transactions!$I$3:$I149,Transactions!$H$3:$H149,"Buy",Transactions!$F$3:$F149,"Crypto",Transactions!$D$3:$D149,AH49)
+SUMIFS(Transactions!$I$3:$I149,Transactions!$H$3:$H149,"Crypto Interest",Transactions!$F$3:$F149,"Crypto",Transactions!$D$3:$D149,AH49)
+SUMIFS(Transactions!$I$3:$I149,Transactions!$H$3:$H149,"Transfer Deposit",Transactions!$F$3:$F149,"Crypto",Transactions!$D$3:$D149,AH49)
-SUMIFS(Transactions!$I$3:$I149,Transactions!$H$3:$H149,"Transfer Send",Transactions!$F$3:$F149,"Crypto",Transactions!$D$3:$D149,AH49)
-SUMIFS(Transactions!$I$3:$I149,Transactions!$H$3:$H149,"Sell",Transactions!$F$3:$F149,"Crypto",Transactions!$D$3:$D149,AH49)
+SUMIFS(Transactions!$I$3:$I149,Transactions!$H$3:$H149,"Buy",Transactions!$F$3:$F149,"Stablecoin",Transactions!$D$3:$D149,AH49)
+SUMIFS(Transactions!$I$3:$I149,Transactions!$H$3:$H149,"Crypto Interest",Transactions!$F$3:$F149,"Stablecoin",Transactions!$D$3:$D149,AH49)
+SUMIFS(Transactions!$I$3:$I149,Transactions!$H$3:$H149,"Transfer Deposit",Transactions!$F$3:$F149,"Stablecoin",Transactions!$D$3:$D149,AH49)
-SUMIFS(Transactions!$I$3:$I149,Transactions!$H$3:$H149,"Transfer Send",Transactions!$F$3:$F149,"Stablecoin",Transactions!$D$3:$D149,AH49)
-SUMIFS(Transactions!$I$3:$I149,Transactions!$H$3:$H149,"Sell",Transactions!$F$3:$F149,"Stablecoin",Transactions!$D$3:$D149,AH49)
-SUMIFS(Transactions!$M$3:$M149,Transactions!$H$3:$H149,"Buy",Transactions!$B$3:$B149,AH49)))</f>
        <v/>
      </c>
      <c r="AJ49" s="181" t="str">
        <f>IFERROR(__xludf.DUMMYFUNCTION("IF(ISBLANK(AH49),"""",VLOOKUP(9^99,FILTER({ROW(Transactions!P:P),Transactions!P:P},Transactions!D:D=AH49),2))"),"")</f>
        <v/>
      </c>
      <c r="AK49" s="181" t="str">
        <f>IFERROR(__xludf.DUMMYFUNCTION("IF(ISBLANK(AH49),"""",IFERROR(GOOGLEFINANCE(AH49,""price""),IFERROR(GOOGLEFINANCE(""CURRENCY:""&amp;AH49&amp;""""),IFERROR(INDEX(YAHOO_STOCK(TRIM(AH49), $G$2),0,1),INDEX(IMPORTHTML(CONCAT(""https://coinmarketcap.com/currencies/"",AG49),""table"",1),1,2)))))"),"")</f>
        <v/>
      </c>
      <c r="AL49" s="14" t="str">
        <f>IFERROR(__xludf.DUMMYFUNCTION("IF(ISBLANK(AH49),"""",IFERROR(SPARKLINE(INDEX(GOOGLEFINANCE(AH49,""price"",TODAY()-$AL$2,TODAY()),,2),{""charttype"",""column"";""color"",""17a7e0""}),""""))"),"")</f>
        <v/>
      </c>
      <c r="AM49" s="50" t="str">
        <f>IFERROR(__xludf.DUMMYFUNCTION("IFNA(IFERROR(IF(AH49="""","""",GOOGLEFINANCE(AH49,""changepct"")/100),(GOOGLEFINANCE(AH49)-(INDEX(GOOGLEFINANCE(""CURRENCY:""&amp;AH49&amp;"""",""price"",TODAY()-1),2,2)))/(INDEX(GOOGLEFINANCE(""CURRENCY:""&amp;AH49&amp;"""",""price"",TODAY()-1),2,2))),)"),"")</f>
        <v/>
      </c>
      <c r="AN49" s="96" t="str">
        <f>IFERROR(__xludf.DUMMYFUNCTION("IFNA(IFERROR(IF(AH49="""","""",GOOGLEFINANCE(AH49,""change"")*AI49),(GOOGLEFINANCE(AH49)-(INDEX(GOOGLEFINANCE(""CURRENCY:""&amp;AH49&amp;"""",""price"",TODAY()-1),2,2)))*AI49),"""")"),"")</f>
        <v/>
      </c>
      <c r="AO49" s="96" t="str">
        <f>IF(ISBLANK(AH49),"",IFERROR(((AI49-SUMIFS(Transactions!I:I,Transactions!H:H,"Crypto Interest",Transactions!D:D,AH49))*AJ49),""))</f>
        <v/>
      </c>
      <c r="AP49" s="96" t="str">
        <f t="shared" si="16"/>
        <v/>
      </c>
      <c r="AQ49" s="50" t="str">
        <f t="shared" si="17"/>
        <v/>
      </c>
      <c r="AR49" s="96" t="str">
        <f t="shared" si="18"/>
        <v/>
      </c>
      <c r="AS49" s="96" t="str">
        <f>IF(ISBLANK(AH49),"",SUMIFS(Transactions!$X$3:$X149,Transactions!$H$3:$H149,"Sell",Transactions!$D$3:$D149,AH49))</f>
        <v/>
      </c>
      <c r="AT49" s="96" t="str">
        <f t="shared" si="19"/>
        <v/>
      </c>
      <c r="AU49" s="50" t="str">
        <f>IFERROR(__xludf.DUMMYFUNCTION("IF(ISBLANK(AH49),"""",IFERROR((GOOGLEFINANCE(AH49,""price"")/INDEX(GOOGLEFINANCE(AH49,""price"",DATEVALUE(TODAY()-$AU$2) ),2,2)-1),""""))"),"")</f>
        <v/>
      </c>
      <c r="AW49" s="50" t="str">
        <f>IFERROR(__xludf.DUMMYFUNCTION("IF(ISBLANK(AH49),"""",IFERROR((GOOGLEFINANCE($AW$2,""price"")/INDEX(GOOGLEFINANCE($AW$2,""price"",DATEVALUE(TODAY()-$AU$2) ),2,2)-1),""""))"),"")</f>
        <v/>
      </c>
      <c r="AY49" s="50" t="str">
        <f t="shared" si="20"/>
        <v/>
      </c>
      <c r="AZ49" s="50" t="str">
        <f t="shared" si="21"/>
        <v/>
      </c>
      <c r="BA49" s="50">
        <f t="shared" si="22"/>
        <v>0</v>
      </c>
      <c r="BB49" s="14" t="str">
        <f t="shared" si="23"/>
        <v/>
      </c>
      <c r="BC49" s="14" t="str">
        <f>IF(ISBLANK(AH49),"",IFERROR(VLOOKUP(AH49,Transactions!D:F,3,0)))</f>
        <v/>
      </c>
      <c r="BD49" s="50" t="str">
        <f t="shared" si="24"/>
        <v/>
      </c>
      <c r="BE49" s="50" t="str">
        <f t="shared" si="25"/>
        <v/>
      </c>
      <c r="BF49" s="14" t="str">
        <f t="shared" si="26"/>
        <v/>
      </c>
      <c r="BG49" s="180" t="str">
        <f>IF(ISBLANK(AH49),"",IFERROR(VLOOKUP(AH49,Transactions!D:G,4,0)))</f>
        <v/>
      </c>
    </row>
    <row r="50">
      <c r="A50" s="14" t="str">
        <f t="shared" ref="A50:C50" si="73">AG50</f>
        <v/>
      </c>
      <c r="B50" s="14" t="str">
        <f t="shared" si="73"/>
        <v/>
      </c>
      <c r="C50" s="175" t="str">
        <f t="shared" si="73"/>
        <v/>
      </c>
      <c r="D50" s="176" t="str">
        <f>IFERROR(__xludf.DUMMYFUNCTION("IF(ISBLANK(B50),"""",IFERROR(IF(OR(AF50=""GPB"",AF50=""ZAR""),IF(AF50=Dashboard!$L$1,AJ50,(AJ50*GOOGLEFINANCE(""CURRENCY:""&amp;AF50&amp;""""&amp;Dashboard!$L$1&amp;""""))/100),IF(AF50=Dashboard!$L$1,AJ50,AJ50*GOOGLEFINANCE(""CURRENCY:""&amp;AF50&amp;""""&amp;Dashboard!$L$1&amp;""""))),"&amp;"AJ50))"),"")</f>
        <v/>
      </c>
      <c r="E50" s="177" t="str">
        <f>IFERROR(__xludf.DUMMYFUNCTION("IFERROR(IF(OR(AF50=""GBP"",AF50=""ZAR""),IF(B50="""","""",IF(AF50=Dashboard!$L$1,AK50,AK50*GOOGLEFINANCE(""CURRENCY:""&amp;AF50&amp;""""&amp;Dashboard!$L$1&amp;"""")))/100,If(B50="""","""",IF(AF50=Dashboard!$L$1,AK50,AK50*GOOGLEFINANCE(""CURRENCY:""&amp;AF50&amp;""""&amp;Dashboard!$"&amp;"L$1&amp;"""")))),AK50)"),"")</f>
        <v/>
      </c>
      <c r="F50" s="145" t="str">
        <f t="shared" si="65"/>
        <v/>
      </c>
      <c r="G50" s="96" t="str">
        <f>IFERROR(__xludf.DUMMYFUNCTION("IF(ISBLANK(B50),"""",IFERROR(SPARKLINE(INDEX(GOOGLEFINANCE(B50,""price"",TODAY()-$G$2,TODAY()),,2),{""charttype"",""column"";""color"",""17a7e0""}),""""))"),"")</f>
        <v/>
      </c>
      <c r="H50" s="50" t="str">
        <f t="shared" si="3"/>
        <v/>
      </c>
      <c r="I50" s="96" t="str">
        <f>IFERROR(__xludf.DUMMYFUNCTION("IF(ISBLANK(B50),"""",IFERROR(IF(OR(AF50=""GPB"",AF50=""ZAR""),IF(AF50=Dashboard!$L$1,AN50,(AN50*GOOGLEFINANCE(""CURRENCY:""&amp;AF50&amp;""""&amp;Dashboard!$L$1&amp;""""))/100),IF(AF50=Dashboard!$L$1,AN50,AN50*GOOGLEFINANCE(""CURRENCY:""&amp;AF50&amp;""""&amp;Dashboard!$L$1&amp;""""))),"&amp;"AN50))"),"")</f>
        <v/>
      </c>
      <c r="J50" s="178" t="str">
        <f>IF(ISBLANK(B50),"",IFERROR(((C50-SUMIFS(Transactions!I:I,Transactions!H:H,"Crypto Interest",Transactions!D:D,B50))*D50),""))</f>
        <v/>
      </c>
      <c r="K50" s="178" t="str">
        <f t="shared" si="4"/>
        <v/>
      </c>
      <c r="L50" s="145">
        <f>-SUMIFS(Transactions!$M$3:$M149,Transactions!$H$3:$H149,"Buy",Transactions!$D$3:$D149,B50)</f>
        <v>0</v>
      </c>
      <c r="M50" s="145">
        <f>IF(ISBLANK(AG50),"",SUMIFS(Transactions!$M$3:$M149,Transactions!$H$3:$H149,"Dividend",Transactions!$D$3:$D149,B50))</f>
        <v>0</v>
      </c>
      <c r="N50" s="145" t="str">
        <f>IF(ISBLANK(AH50),"",SUMIFS(Transactions!$M$3:$M149,Transactions!$H$3:$H149,"Sell",Transactions!$D$3:$D149,B50))</f>
        <v/>
      </c>
      <c r="O50" s="50" t="str">
        <f t="shared" si="5"/>
        <v/>
      </c>
      <c r="P50" s="178" t="str">
        <f t="shared" si="6"/>
        <v/>
      </c>
      <c r="Q50" s="178" t="str">
        <f>IFERROR(__xludf.DUMMYFUNCTION("IF(ISBLANK(B50),"""",IFERROR(IF(OR(AF50=""GPB"",AF50=""ZAR""),IF(AF50=Dashboard!$L$1,AS50,(AS50*GOOGLEFINANCE(""CURRENCY:""&amp;AF50&amp;""""&amp;Dashboard!$L$1&amp;""""))/100),IF(AF50=Dashboard!$L$1,AS50,AS50*GOOGLEFINANCE(""CURRENCY:""&amp;AF50&amp;""""&amp;Dashboard!$L$1&amp;""""))),"&amp;"AS50))"),"")</f>
        <v/>
      </c>
      <c r="R50" s="178" t="str">
        <f t="shared" si="7"/>
        <v/>
      </c>
      <c r="S50" s="50" t="str">
        <f>IFERROR(__xludf.DUMMYFUNCTION("IF(ISBLANK(B50),"""",IFERROR((GOOGLEFINANCE(B50,""price"")/INDEX(GOOGLEFINANCE(B50,""price"",DATEVALUE(TODAY()-$S$2) ),2,2)-1),""""))"),"")</f>
        <v/>
      </c>
      <c r="U50" s="50" t="str">
        <f>IFERROR(__xludf.DUMMYFUNCTION("IF(ISBLANK(B50),"""",IFERROR((GOOGLEFINANCE($U$2,""price"")/INDEX(GOOGLEFINANCE($U$2,""price"",DATEVALUE(TODAY()-$S$2) ),2,2)-1),""""))"),"")</f>
        <v/>
      </c>
      <c r="W50" s="50" t="str">
        <f t="shared" si="8"/>
        <v/>
      </c>
      <c r="X50" s="50" t="str">
        <f t="shared" si="9"/>
        <v/>
      </c>
      <c r="Y50" s="179">
        <v>0.0</v>
      </c>
      <c r="Z50" s="50" t="str">
        <f t="shared" si="10"/>
        <v/>
      </c>
      <c r="AA50" s="14" t="str">
        <f t="shared" si="11"/>
        <v/>
      </c>
      <c r="AB50" s="50" t="str">
        <f t="shared" si="12"/>
        <v/>
      </c>
      <c r="AC50" s="179" t="str">
        <f t="shared" si="13"/>
        <v/>
      </c>
      <c r="AD50" s="50" t="str">
        <f t="shared" si="14"/>
        <v/>
      </c>
      <c r="AE50" s="180" t="str">
        <f t="shared" si="15"/>
        <v/>
      </c>
      <c r="AF50" s="14" t="str">
        <f t="array" ref="AF50">IFERROR(IF(ISBLANK(AH50),"",IF(VLOOKUP(AH50,Transactions!D:F,3,0)="Stablecoin",AH50,INDEX(Transactions!$B$3:$B149,MATCH(AH50,Transactions!$D$3:$D149,0),0))))</f>
        <v/>
      </c>
      <c r="AG50" s="14" t="str">
        <f>IF(ISBLANK(AH50),"",VLOOKUP(AH50,Transactions!D:E,2,0))</f>
        <v/>
      </c>
      <c r="AH50" s="14"/>
      <c r="AI50" s="146" t="str">
        <f>IF(ISBLANK(AH50),"",IF(
SUMIFS(Transactions!$I$3:$I149,Transactions!$H$3:$H149,"Buy",Transactions!$F$3:$F149,"Stock",Transactions!$D$3:$D149,AH50)
+SUMIFS(Transactions!$I$3:$I149,Transactions!$H$3:$H149,"DRIP",Transactions!$F$3:$F149,"Stock",Transactions!$D$3:$D149,AH50)
+SUMIFS(Transactions!$I$3:$I149,Transactions!$H$3:$H149,"Transfer Deposit",Transactions!$F$3:$F149,"Stock",Transactions!$D$3:$D149,AH50)
+SUMIFS(Transactions!$I$3:$I149,Transactions!$H$3:$H149,"Buy",Transactions!$F$3:$F149,"ETF",Transactions!$D$3:$D149,AH50)
+SUMIFS(Transactions!$I$3:$I149,Transactions!$H$3:$H149,"DRIP",Transactions!$F$3:$F149,"ETF",Transactions!$D$3:$D149,AH50)
+SUMIFS(Transactions!$I$3:$I149,Transactions!$H$3:$H149,"Transfer Deposit",Transactions!$F$3:$F149,"ETF",Transactions!$D$3:$D149,AH50)
+SUMIFS(Transactions!$I$3:$I149,Transactions!$H$3:$H149,"Buy",Transactions!$F$3:$F149,"Commodity",Transactions!$D$3:$D149,AH50)
+SUMIFS(Transactions!$I$3:$I149,Transactions!$H$3:$H149,"DRIP",Transactions!$F$3:$F149,"Commodity",Transactions!$D$3:$D149,AH50)
+SUMIFS(Transactions!$I$3:$I149,Transactions!$H$3:$H149,"Transfer Deposit",Transactions!$F$3:$F149,"Commodity",Transactions!$D$3:$D149,AH50)
+SUMIFS(Transactions!$I$3:$I149,Transactions!$H$3:$H149,"Buy",Transactions!$F$3:$F149,"Managed Fund",Transactions!$D$3:$D149,AH50)
+SUMIFS(Transactions!$I$3:$I149,Transactions!$H$3:$H149,"DRIP",Transactions!$F$3:$F149,"Managed Fund",Transactions!$D$3:$D149,AH50)
+SUMIFS(Transactions!$I$3:$I149,Transactions!$H$3:$H149,"Transfer Deposit",Transactions!$F$3:$F149,"Managed Fund",Transactions!$D$3:$D149,AH50)
+SUMIFS(Transactions!$I$3:$I149,Transactions!$H$3:$H149,"Buy",Transactions!$F$3:$F149,"REIT",Transactions!$D$3:$D149,AH50)
+SUMIFS(Transactions!$I$3:$I149,Transactions!$H$3:$H149,"DRIP",Transactions!$F$3:$F149,"REIT",Transactions!$D$3:$D149,AH50)
+SUMIFS(Transactions!$I$3:$I149,Transactions!$H$3:$H149,"Transfer Deposit",Transactions!$F$3:$F149,"REIT",Transactions!$D$3:$D149,AH50)
-SUMIFS(Transactions!$I$3:$I149,Transactions!$H$3:$H149,"Sell",Transactions!$F$3:$F149,"Stock",Transactions!$D$3:$D149,AH50)
-SUMIFS(Transactions!$I$3:$I149,Transactions!$H$3:$H149,"Transfer Send",Transactions!$F$3:$F149,"Stock",Transactions!$D$3:$D149,AH50)
-SUMIFS(Transactions!$I$3:$I149,Transactions!$H$3:$H149,"Sell",Transactions!$F$3:$F149,"ETF",Transactions!$D$3:$D149,AH50)
-SUMIFS(Transactions!$I$3:$I149,Transactions!$H$3:$H149,"Transfer Send",Transactions!$F$3:$F149,"ETF",Transactions!$D$3:$D149,AH50)
-SUMIFS(Transactions!$I$3:$I149,Transactions!$H$3:$H149,"Sell",Transactions!$F$3:$F149,"Commodity",Transactions!$D$3:$D149,AH50)
-SUMIFS(Transactions!$I$3:$I149,Transactions!$H$3:$H149,"Transfer Send",Transactions!$F$3:$F149,"Commodity",Transactions!$D$3:$D149,AH50)
-SUMIFS(Transactions!$I$3:$I149,Transactions!$H$3:$H149,"Sell",Transactions!$F$3:$F149,"Managed Fund",Transactions!$D$3:$D149,AH50)
-SUMIFS(Transactions!$I$3:$I149,Transactions!$H$3:$H149,"Transfer Send",Transactions!$F$3:$F149,"Managed Fund",Transactions!$D$3:$D149,AH50)
-SUMIFS(Transactions!$I$3:$I149,Transactions!$H$3:$H149,"Sell",Transactions!$F$3:$F149,"REIT",Transactions!$D$3:$D149,AH50)
-SUMIFS(Transactions!$I$3:$I149,Transactions!$H$3:$H149,"Transfer Send",Transactions!$F$3:$F149,"REIT",Transactions!$D$3:$D149,AH50)
+SUMIFS(Transactions!$I$3:$I149,Transactions!$H$3:$H149,"Buy",Transactions!$F$3:$F149,"Crypto",Transactions!$D$3:$D149,AH50)
+SUMIFS(Transactions!$I$3:$I149,Transactions!$H$3:$H149,"Crypto Interest",Transactions!$F$3:$F149,"Crypto",Transactions!$D$3:$D149,AH50)
+SUMIFS(Transactions!$I$3:$I149,Transactions!$H$3:$H149,"Transfer Deposit",Transactions!$F$3:$F149,"Crypto",Transactions!$D$3:$D149,AH50)
-SUMIFS(Transactions!$I$3:$I149,Transactions!$H$3:$H149,"Transfer Send",Transactions!$F$3:$F149,"Crypto",Transactions!$D$3:$D149,AH50)
-SUMIFS(Transactions!$I$3:$I149,Transactions!$H$3:$H149,"Sell",Transactions!$F$3:$F149,"Crypto",Transactions!$D$3:$D149,AH50)
+SUMIFS(Transactions!$I$3:$I149,Transactions!$H$3:$H149,"Buy",Transactions!$F$3:$F149,"Stablecoin",Transactions!$D$3:$D149,AH50)
+SUMIFS(Transactions!$I$3:$I149,Transactions!$H$3:$H149,"Crypto Interest",Transactions!$F$3:$F149,"Stablecoin",Transactions!$D$3:$D149,AH50)
+SUMIFS(Transactions!$I$3:$I149,Transactions!$H$3:$H149,"Transfer Deposit",Transactions!$F$3:$F149,"Stablecoin",Transactions!$D$3:$D149,AH50)
-SUMIFS(Transactions!$I$3:$I149,Transactions!$H$3:$H149,"Transfer Send",Transactions!$F$3:$F149,"Stablecoin",Transactions!$D$3:$D149,AH50)
-SUMIFS(Transactions!$I$3:$I149,Transactions!$H$3:$H149,"Sell",Transactions!$F$3:$F149,"Stablecoin",Transactions!$D$3:$D149,AH50)
-SUMIFS(Transactions!$M$3:$M149,Transactions!$H$3:$H149,"Buy",Transactions!$B$3:$B149,AH50)=0,"Sold All",
SUMIFS(Transactions!$I$3:$I149,Transactions!$H$3:$H149,"Buy",Transactions!$F$3:$F149,"Stock",Transactions!$D$3:$D149,AH50)
+SUMIFS(Transactions!$I$3:$I149,Transactions!$H$3:$H149,"DRIP",Transactions!$F$3:$F149,"Stock",Transactions!$D$3:$D149,AH50)
+SUMIFS(Transactions!$I$3:$I149,Transactions!$H$3:$H149,"Transfer Deposit",Transactions!$F$3:$F149,"Stock",Transactions!$D$3:$D149,AH50)
+SUMIFS(Transactions!$I$3:$I149,Transactions!$H$3:$H149,"Buy",Transactions!$F$3:$F149,"ETF",Transactions!$D$3:$D149,AH50)
+SUMIFS(Transactions!$I$3:$I149,Transactions!$H$3:$H149,"DRIP",Transactions!$F$3:$F149,"ETF",Transactions!$D$3:$D149,AH50)
+SUMIFS(Transactions!$I$3:$I149,Transactions!$H$3:$H149,"Transfer Deposit",Transactions!$F$3:$F149,"ETF",Transactions!$D$3:$D149,AH50)
+SUMIFS(Transactions!$I$3:$I149,Transactions!$H$3:$H149,"Buy",Transactions!$F$3:$F149,"Commodity",Transactions!$D$3:$D149,AH50)
+SUMIFS(Transactions!$I$3:$I149,Transactions!$H$3:$H149,"DRIP",Transactions!$F$3:$F149,"Commodity",Transactions!$D$3:$D149,AH50)
+SUMIFS(Transactions!$I$3:$I149,Transactions!$H$3:$H149,"Transfer Deposit",Transactions!$F$3:$F149,"Commodity",Transactions!$D$3:$D149,AH50)
+SUMIFS(Transactions!$I$3:$I149,Transactions!$H$3:$H149,"Buy",Transactions!$F$3:$F149,"Managed Fund",Transactions!$D$3:$D149,AH50)
+SUMIFS(Transactions!$I$3:$I149,Transactions!$H$3:$H149,"DRIP",Transactions!$F$3:$F149,"Managed Fund",Transactions!$D$3:$D149,AH50)
+SUMIFS(Transactions!$I$3:$I149,Transactions!$H$3:$H149,"Transfer Deposit",Transactions!$F$3:$F149,"Managed Fund",Transactions!$D$3:$D149,AH50)
+SUMIFS(Transactions!$I$3:$I149,Transactions!$H$3:$H149,"Buy",Transactions!$F$3:$F149,"REIT",Transactions!$D$3:$D149,AH50)
+SUMIFS(Transactions!$I$3:$I149,Transactions!$H$3:$H149,"DRIP",Transactions!$F$3:$F149,"REIT",Transactions!$D$3:$D149,AH50)
+SUMIFS(Transactions!$I$3:$I149,Transactions!$H$3:$H149,"Transfer Deposit",Transactions!$F$3:$F149,"REIT",Transactions!$D$3:$D149,AH50)
-SUMIFS(Transactions!$I$3:$I149,Transactions!$H$3:$H149,"Sell",Transactions!$F$3:$F149,"Stock",Transactions!$D$3:$D149,AH50)
-SUMIFS(Transactions!$I$3:$I149,Transactions!$H$3:$H149,"Transfer Send",Transactions!$F$3:$F149,"Stock",Transactions!$D$3:$D149,AH50)
-SUMIFS(Transactions!$I$3:$I149,Transactions!$H$3:$H149,"Sell",Transactions!$F$3:$F149,"ETF",Transactions!$D$3:$D149,AH50)
-SUMIFS(Transactions!$I$3:$I149,Transactions!$H$3:$H149,"Transfer Send",Transactions!$F$3:$F149,"ETF",Transactions!$D$3:$D149,AH50)
-SUMIFS(Transactions!$I$3:$I149,Transactions!$H$3:$H149,"Sell",Transactions!$F$3:$F149,"Commodity",Transactions!$D$3:$D149,AH50)
-SUMIFS(Transactions!$I$3:$I149,Transactions!$H$3:$H149,"Transfer Send",Transactions!$F$3:$F149,"Commodity",Transactions!$D$3:$D149,AH50)
-SUMIFS(Transactions!$I$3:$I149,Transactions!$H$3:$H149,"Sell",Transactions!$F$3:$F149,"Managed Fund",Transactions!$D$3:$D149,AH50)
-SUMIFS(Transactions!$I$3:$I149,Transactions!$H$3:$H149,"Transfer Send",Transactions!$F$3:$F149,"Managed Fund",Transactions!$D$3:$D149,AH50)
-SUMIFS(Transactions!$I$3:$I149,Transactions!$H$3:$H149,"Sell",Transactions!$F$3:$F149,"REIT",Transactions!$D$3:$D149,AH50)
-SUMIFS(Transactions!$I$3:$I149,Transactions!$H$3:$H149,"Transfer Send",Transactions!$F$3:$F149,"REIT",Transactions!$D$3:$D149,AH50)
+SUMIFS(Transactions!$I$3:$I149,Transactions!$H$3:$H149,"Buy",Transactions!$F$3:$F149,"Crypto",Transactions!$D$3:$D149,AH50)
+SUMIFS(Transactions!$I$3:$I149,Transactions!$H$3:$H149,"Crypto Interest",Transactions!$F$3:$F149,"Crypto",Transactions!$D$3:$D149,AH50)
+SUMIFS(Transactions!$I$3:$I149,Transactions!$H$3:$H149,"Transfer Deposit",Transactions!$F$3:$F149,"Crypto",Transactions!$D$3:$D149,AH50)
-SUMIFS(Transactions!$I$3:$I149,Transactions!$H$3:$H149,"Transfer Send",Transactions!$F$3:$F149,"Crypto",Transactions!$D$3:$D149,AH50)
-SUMIFS(Transactions!$I$3:$I149,Transactions!$H$3:$H149,"Sell",Transactions!$F$3:$F149,"Crypto",Transactions!$D$3:$D149,AH50)
+SUMIFS(Transactions!$I$3:$I149,Transactions!$H$3:$H149,"Buy",Transactions!$F$3:$F149,"Stablecoin",Transactions!$D$3:$D149,AH50)
+SUMIFS(Transactions!$I$3:$I149,Transactions!$H$3:$H149,"Crypto Interest",Transactions!$F$3:$F149,"Stablecoin",Transactions!$D$3:$D149,AH50)
+SUMIFS(Transactions!$I$3:$I149,Transactions!$H$3:$H149,"Transfer Deposit",Transactions!$F$3:$F149,"Stablecoin",Transactions!$D$3:$D149,AH50)
-SUMIFS(Transactions!$I$3:$I149,Transactions!$H$3:$H149,"Transfer Send",Transactions!$F$3:$F149,"Stablecoin",Transactions!$D$3:$D149,AH50)
-SUMIFS(Transactions!$I$3:$I149,Transactions!$H$3:$H149,"Sell",Transactions!$F$3:$F149,"Stablecoin",Transactions!$D$3:$D149,AH50)
-SUMIFS(Transactions!$M$3:$M149,Transactions!$H$3:$H149,"Buy",Transactions!$B$3:$B149,AH50)))</f>
        <v/>
      </c>
      <c r="AJ50" s="181" t="str">
        <f>IFERROR(__xludf.DUMMYFUNCTION("IF(ISBLANK(AH50),"""",VLOOKUP(9^99,FILTER({ROW(Transactions!P:P),Transactions!P:P},Transactions!D:D=AH50),2))"),"")</f>
        <v/>
      </c>
      <c r="AK50" s="181" t="str">
        <f>IFERROR(__xludf.DUMMYFUNCTION("IF(ISBLANK(AH50),"""",IFERROR(GOOGLEFINANCE(AH50,""price""),IFERROR(GOOGLEFINANCE(""CURRENCY:""&amp;AH50&amp;""""),IFERROR(INDEX(YAHOO_STOCK(TRIM(AH50), $G$2),0,1),INDEX(IMPORTHTML(CONCAT(""https://coinmarketcap.com/currencies/"",AG50),""table"",1),1,2)))))"),"")</f>
        <v/>
      </c>
      <c r="AL50" s="14" t="str">
        <f>IFERROR(__xludf.DUMMYFUNCTION("IF(ISBLANK(AH50),"""",IFERROR(SPARKLINE(INDEX(GOOGLEFINANCE(AH50,""price"",TODAY()-$AL$2,TODAY()),,2),{""charttype"",""column"";""color"",""17a7e0""}),""""))"),"")</f>
        <v/>
      </c>
      <c r="AM50" s="50" t="str">
        <f>IFERROR(__xludf.DUMMYFUNCTION("IFNA(IFERROR(IF(AH50="""","""",GOOGLEFINANCE(AH50,""changepct"")/100),(GOOGLEFINANCE(AH50)-(INDEX(GOOGLEFINANCE(""CURRENCY:""&amp;AH50&amp;"""",""price"",TODAY()-1),2,2)))/(INDEX(GOOGLEFINANCE(""CURRENCY:""&amp;AH50&amp;"""",""price"",TODAY()-1),2,2))),)"),"")</f>
        <v/>
      </c>
      <c r="AN50" s="96" t="str">
        <f>IFERROR(__xludf.DUMMYFUNCTION("IFNA(IFERROR(IF(AH50="""","""",GOOGLEFINANCE(AH50,""change"")*AI50),(GOOGLEFINANCE(AH50)-(INDEX(GOOGLEFINANCE(""CURRENCY:""&amp;AH50&amp;"""",""price"",TODAY()-1),2,2)))*AI50),"""")"),"")</f>
        <v/>
      </c>
      <c r="AO50" s="96" t="str">
        <f>IF(ISBLANK(AH50),"",IFERROR(((AI50-SUMIFS(Transactions!I:I,Transactions!H:H,"Crypto Interest",Transactions!D:D,AH50))*AJ50),""))</f>
        <v/>
      </c>
      <c r="AP50" s="96" t="str">
        <f t="shared" si="16"/>
        <v/>
      </c>
      <c r="AQ50" s="50" t="str">
        <f t="shared" si="17"/>
        <v/>
      </c>
      <c r="AR50" s="96" t="str">
        <f t="shared" si="18"/>
        <v/>
      </c>
      <c r="AS50" s="96" t="str">
        <f>IF(ISBLANK(AH50),"",SUMIFS(Transactions!$X$3:$X149,Transactions!$H$3:$H149,"Sell",Transactions!$D$3:$D149,AH50))</f>
        <v/>
      </c>
      <c r="AT50" s="96" t="str">
        <f t="shared" si="19"/>
        <v/>
      </c>
      <c r="AU50" s="50" t="str">
        <f>IFERROR(__xludf.DUMMYFUNCTION("IF(ISBLANK(AH50),"""",IFERROR((GOOGLEFINANCE(AH50,""price"")/INDEX(GOOGLEFINANCE(AH50,""price"",DATEVALUE(TODAY()-$AU$2) ),2,2)-1),""""))"),"")</f>
        <v/>
      </c>
      <c r="AW50" s="50" t="str">
        <f>IFERROR(__xludf.DUMMYFUNCTION("IF(ISBLANK(AH50),"""",IFERROR((GOOGLEFINANCE($AW$2,""price"")/INDEX(GOOGLEFINANCE($AW$2,""price"",DATEVALUE(TODAY()-$AU$2) ),2,2)-1),""""))"),"")</f>
        <v/>
      </c>
      <c r="AY50" s="50" t="str">
        <f t="shared" si="20"/>
        <v/>
      </c>
      <c r="AZ50" s="50" t="str">
        <f t="shared" si="21"/>
        <v/>
      </c>
      <c r="BA50" s="50">
        <f t="shared" si="22"/>
        <v>0</v>
      </c>
      <c r="BB50" s="14" t="str">
        <f t="shared" si="23"/>
        <v/>
      </c>
      <c r="BC50" s="14" t="str">
        <f>IF(ISBLANK(AH50),"",IFERROR(VLOOKUP(AH50,Transactions!D:F,3,0)))</f>
        <v/>
      </c>
      <c r="BD50" s="50" t="str">
        <f t="shared" si="24"/>
        <v/>
      </c>
      <c r="BE50" s="50" t="str">
        <f t="shared" si="25"/>
        <v/>
      </c>
      <c r="BF50" s="14" t="str">
        <f t="shared" si="26"/>
        <v/>
      </c>
      <c r="BG50" s="180" t="str">
        <f>IF(ISBLANK(AH50),"",IFERROR(VLOOKUP(AH50,Transactions!D:G,4,0)))</f>
        <v/>
      </c>
    </row>
    <row r="51">
      <c r="A51" s="14" t="str">
        <f t="shared" ref="A51:C51" si="74">AG51</f>
        <v/>
      </c>
      <c r="B51" s="14" t="str">
        <f t="shared" si="74"/>
        <v/>
      </c>
      <c r="C51" s="175" t="str">
        <f t="shared" si="74"/>
        <v/>
      </c>
      <c r="D51" s="176" t="str">
        <f>IFERROR(__xludf.DUMMYFUNCTION("IF(ISBLANK(B51),"""",IFERROR(IF(OR(AF51=""GPB"",AF51=""ZAR""),IF(AF51=Dashboard!$L$1,AJ51,(AJ51*GOOGLEFINANCE(""CURRENCY:""&amp;AF51&amp;""""&amp;Dashboard!$L$1&amp;""""))/100),IF(AF51=Dashboard!$L$1,AJ51,AJ51*GOOGLEFINANCE(""CURRENCY:""&amp;AF51&amp;""""&amp;Dashboard!$L$1&amp;""""))),"&amp;"AJ51))"),"")</f>
        <v/>
      </c>
      <c r="E51" s="177" t="str">
        <f>IFERROR(__xludf.DUMMYFUNCTION("IFERROR(IF(OR(AF51=""GBP"",AF51=""ZAR""),IF(B51="""","""",IF(AF51=Dashboard!$L$1,AK51,AK51*GOOGLEFINANCE(""CURRENCY:""&amp;AF51&amp;""""&amp;Dashboard!$L$1&amp;"""")))/100,If(B51="""","""",IF(AF51=Dashboard!$L$1,AK51,AK51*GOOGLEFINANCE(""CURRENCY:""&amp;AF51&amp;""""&amp;Dashboard!$"&amp;"L$1&amp;"""")))),AK51)"),"")</f>
        <v/>
      </c>
      <c r="F51" s="145" t="str">
        <f t="shared" si="65"/>
        <v/>
      </c>
      <c r="G51" s="96" t="str">
        <f>IFERROR(__xludf.DUMMYFUNCTION("IF(ISBLANK(B51),"""",IFERROR(SPARKLINE(INDEX(GOOGLEFINANCE(B51,""price"",TODAY()-$G$2,TODAY()),,2),{""charttype"",""column"";""color"",""17a7e0""}),""""))"),"")</f>
        <v/>
      </c>
      <c r="H51" s="50" t="str">
        <f t="shared" si="3"/>
        <v/>
      </c>
      <c r="I51" s="96" t="str">
        <f>IFERROR(__xludf.DUMMYFUNCTION("IF(ISBLANK(B51),"""",IFERROR(IF(OR(AF51=""GPB"",AF51=""ZAR""),IF(AF51=Dashboard!$L$1,AN51,(AN51*GOOGLEFINANCE(""CURRENCY:""&amp;AF51&amp;""""&amp;Dashboard!$L$1&amp;""""))/100),IF(AF51=Dashboard!$L$1,AN51,AN51*GOOGLEFINANCE(""CURRENCY:""&amp;AF51&amp;""""&amp;Dashboard!$L$1&amp;""""))),"&amp;"AN51))"),"")</f>
        <v/>
      </c>
      <c r="J51" s="178" t="str">
        <f>IF(ISBLANK(B51),"",IFERROR(((C51-SUMIFS(Transactions!I:I,Transactions!H:H,"Crypto Interest",Transactions!D:D,B51))*D51),""))</f>
        <v/>
      </c>
      <c r="K51" s="178" t="str">
        <f t="shared" si="4"/>
        <v/>
      </c>
      <c r="L51" s="145">
        <f>-SUMIFS(Transactions!$M$3:$M149,Transactions!$H$3:$H149,"Buy",Transactions!$D$3:$D149,B51)</f>
        <v>0</v>
      </c>
      <c r="M51" s="145">
        <f>IF(ISBLANK(AG51),"",SUMIFS(Transactions!$M$3:$M149,Transactions!$H$3:$H149,"Dividend",Transactions!$D$3:$D149,B51))</f>
        <v>0</v>
      </c>
      <c r="N51" s="145" t="str">
        <f>IF(ISBLANK(AH51),"",SUMIFS(Transactions!$M$3:$M149,Transactions!$H$3:$H149,"Sell",Transactions!$D$3:$D149,B51))</f>
        <v/>
      </c>
      <c r="O51" s="50" t="str">
        <f t="shared" si="5"/>
        <v/>
      </c>
      <c r="P51" s="178" t="str">
        <f t="shared" si="6"/>
        <v/>
      </c>
      <c r="Q51" s="178" t="str">
        <f>IFERROR(__xludf.DUMMYFUNCTION("IF(ISBLANK(B51),"""",IFERROR(IF(OR(AF51=""GPB"",AF51=""ZAR""),IF(AF51=Dashboard!$L$1,AS51,(AS51*GOOGLEFINANCE(""CURRENCY:""&amp;AF51&amp;""""&amp;Dashboard!$L$1&amp;""""))/100),IF(AF51=Dashboard!$L$1,AS51,AS51*GOOGLEFINANCE(""CURRENCY:""&amp;AF51&amp;""""&amp;Dashboard!$L$1&amp;""""))),"&amp;"AS51))"),"")</f>
        <v/>
      </c>
      <c r="R51" s="178" t="str">
        <f t="shared" si="7"/>
        <v/>
      </c>
      <c r="S51" s="50" t="str">
        <f>IFERROR(__xludf.DUMMYFUNCTION("IF(ISBLANK(B51),"""",IFERROR((GOOGLEFINANCE(B51,""price"")/INDEX(GOOGLEFINANCE(B51,""price"",DATEVALUE(TODAY()-$S$2) ),2,2)-1),""""))"),"")</f>
        <v/>
      </c>
      <c r="U51" s="50" t="str">
        <f>IFERROR(__xludf.DUMMYFUNCTION("IF(ISBLANK(B51),"""",IFERROR((GOOGLEFINANCE($U$2,""price"")/INDEX(GOOGLEFINANCE($U$2,""price"",DATEVALUE(TODAY()-$S$2) ),2,2)-1),""""))"),"")</f>
        <v/>
      </c>
      <c r="W51" s="50" t="str">
        <f t="shared" si="8"/>
        <v/>
      </c>
      <c r="X51" s="50" t="str">
        <f t="shared" si="9"/>
        <v/>
      </c>
      <c r="Y51" s="179">
        <v>0.0</v>
      </c>
      <c r="Z51" s="50" t="str">
        <f t="shared" si="10"/>
        <v/>
      </c>
      <c r="AA51" s="14" t="str">
        <f t="shared" si="11"/>
        <v/>
      </c>
      <c r="AB51" s="50" t="str">
        <f t="shared" si="12"/>
        <v/>
      </c>
      <c r="AC51" s="179" t="str">
        <f t="shared" si="13"/>
        <v/>
      </c>
      <c r="AD51" s="50" t="str">
        <f t="shared" si="14"/>
        <v/>
      </c>
      <c r="AE51" s="180" t="str">
        <f t="shared" si="15"/>
        <v/>
      </c>
      <c r="AF51" s="14" t="str">
        <f t="array" ref="AF51">IFERROR(IF(ISBLANK(AH51),"",IF(VLOOKUP(AH51,Transactions!D:F,3,0)="Stablecoin",AH51,INDEX(Transactions!$B$3:$B149,MATCH(AH51,Transactions!$D$3:$D149,0),0))))</f>
        <v/>
      </c>
      <c r="AG51" s="14" t="str">
        <f>IF(ISBLANK(AH51),"",VLOOKUP(AH51,Transactions!D:E,2,0))</f>
        <v/>
      </c>
      <c r="AH51" s="14"/>
      <c r="AI51" s="146" t="str">
        <f>IF(ISBLANK(AH51),"",IF(
SUMIFS(Transactions!$I$3:$I149,Transactions!$H$3:$H149,"Buy",Transactions!$F$3:$F149,"Stock",Transactions!$D$3:$D149,AH51)
+SUMIFS(Transactions!$I$3:$I149,Transactions!$H$3:$H149,"DRIP",Transactions!$F$3:$F149,"Stock",Transactions!$D$3:$D149,AH51)
+SUMIFS(Transactions!$I$3:$I149,Transactions!$H$3:$H149,"Transfer Deposit",Transactions!$F$3:$F149,"Stock",Transactions!$D$3:$D149,AH51)
+SUMIFS(Transactions!$I$3:$I149,Transactions!$H$3:$H149,"Buy",Transactions!$F$3:$F149,"ETF",Transactions!$D$3:$D149,AH51)
+SUMIFS(Transactions!$I$3:$I149,Transactions!$H$3:$H149,"DRIP",Transactions!$F$3:$F149,"ETF",Transactions!$D$3:$D149,AH51)
+SUMIFS(Transactions!$I$3:$I149,Transactions!$H$3:$H149,"Transfer Deposit",Transactions!$F$3:$F149,"ETF",Transactions!$D$3:$D149,AH51)
+SUMIFS(Transactions!$I$3:$I149,Transactions!$H$3:$H149,"Buy",Transactions!$F$3:$F149,"Commodity",Transactions!$D$3:$D149,AH51)
+SUMIFS(Transactions!$I$3:$I149,Transactions!$H$3:$H149,"DRIP",Transactions!$F$3:$F149,"Commodity",Transactions!$D$3:$D149,AH51)
+SUMIFS(Transactions!$I$3:$I149,Transactions!$H$3:$H149,"Transfer Deposit",Transactions!$F$3:$F149,"Commodity",Transactions!$D$3:$D149,AH51)
+SUMIFS(Transactions!$I$3:$I149,Transactions!$H$3:$H149,"Buy",Transactions!$F$3:$F149,"Managed Fund",Transactions!$D$3:$D149,AH51)
+SUMIFS(Transactions!$I$3:$I149,Transactions!$H$3:$H149,"DRIP",Transactions!$F$3:$F149,"Managed Fund",Transactions!$D$3:$D149,AH51)
+SUMIFS(Transactions!$I$3:$I149,Transactions!$H$3:$H149,"Transfer Deposit",Transactions!$F$3:$F149,"Managed Fund",Transactions!$D$3:$D149,AH51)
+SUMIFS(Transactions!$I$3:$I149,Transactions!$H$3:$H149,"Buy",Transactions!$F$3:$F149,"REIT",Transactions!$D$3:$D149,AH51)
+SUMIFS(Transactions!$I$3:$I149,Transactions!$H$3:$H149,"DRIP",Transactions!$F$3:$F149,"REIT",Transactions!$D$3:$D149,AH51)
+SUMIFS(Transactions!$I$3:$I149,Transactions!$H$3:$H149,"Transfer Deposit",Transactions!$F$3:$F149,"REIT",Transactions!$D$3:$D149,AH51)
-SUMIFS(Transactions!$I$3:$I149,Transactions!$H$3:$H149,"Sell",Transactions!$F$3:$F149,"Stock",Transactions!$D$3:$D149,AH51)
-SUMIFS(Transactions!$I$3:$I149,Transactions!$H$3:$H149,"Transfer Send",Transactions!$F$3:$F149,"Stock",Transactions!$D$3:$D149,AH51)
-SUMIFS(Transactions!$I$3:$I149,Transactions!$H$3:$H149,"Sell",Transactions!$F$3:$F149,"ETF",Transactions!$D$3:$D149,AH51)
-SUMIFS(Transactions!$I$3:$I149,Transactions!$H$3:$H149,"Transfer Send",Transactions!$F$3:$F149,"ETF",Transactions!$D$3:$D149,AH51)
-SUMIFS(Transactions!$I$3:$I149,Transactions!$H$3:$H149,"Sell",Transactions!$F$3:$F149,"Commodity",Transactions!$D$3:$D149,AH51)
-SUMIFS(Transactions!$I$3:$I149,Transactions!$H$3:$H149,"Transfer Send",Transactions!$F$3:$F149,"Commodity",Transactions!$D$3:$D149,AH51)
-SUMIFS(Transactions!$I$3:$I149,Transactions!$H$3:$H149,"Sell",Transactions!$F$3:$F149,"Managed Fund",Transactions!$D$3:$D149,AH51)
-SUMIFS(Transactions!$I$3:$I149,Transactions!$H$3:$H149,"Transfer Send",Transactions!$F$3:$F149,"Managed Fund",Transactions!$D$3:$D149,AH51)
-SUMIFS(Transactions!$I$3:$I149,Transactions!$H$3:$H149,"Sell",Transactions!$F$3:$F149,"REIT",Transactions!$D$3:$D149,AH51)
-SUMIFS(Transactions!$I$3:$I149,Transactions!$H$3:$H149,"Transfer Send",Transactions!$F$3:$F149,"REIT",Transactions!$D$3:$D149,AH51)
+SUMIFS(Transactions!$I$3:$I149,Transactions!$H$3:$H149,"Buy",Transactions!$F$3:$F149,"Crypto",Transactions!$D$3:$D149,AH51)
+SUMIFS(Transactions!$I$3:$I149,Transactions!$H$3:$H149,"Crypto Interest",Transactions!$F$3:$F149,"Crypto",Transactions!$D$3:$D149,AH51)
+SUMIFS(Transactions!$I$3:$I149,Transactions!$H$3:$H149,"Transfer Deposit",Transactions!$F$3:$F149,"Crypto",Transactions!$D$3:$D149,AH51)
-SUMIFS(Transactions!$I$3:$I149,Transactions!$H$3:$H149,"Transfer Send",Transactions!$F$3:$F149,"Crypto",Transactions!$D$3:$D149,AH51)
-SUMIFS(Transactions!$I$3:$I149,Transactions!$H$3:$H149,"Sell",Transactions!$F$3:$F149,"Crypto",Transactions!$D$3:$D149,AH51)
+SUMIFS(Transactions!$I$3:$I149,Transactions!$H$3:$H149,"Buy",Transactions!$F$3:$F149,"Stablecoin",Transactions!$D$3:$D149,AH51)
+SUMIFS(Transactions!$I$3:$I149,Transactions!$H$3:$H149,"Crypto Interest",Transactions!$F$3:$F149,"Stablecoin",Transactions!$D$3:$D149,AH51)
+SUMIFS(Transactions!$I$3:$I149,Transactions!$H$3:$H149,"Transfer Deposit",Transactions!$F$3:$F149,"Stablecoin",Transactions!$D$3:$D149,AH51)
-SUMIFS(Transactions!$I$3:$I149,Transactions!$H$3:$H149,"Transfer Send",Transactions!$F$3:$F149,"Stablecoin",Transactions!$D$3:$D149,AH51)
-SUMIFS(Transactions!$I$3:$I149,Transactions!$H$3:$H149,"Sell",Transactions!$F$3:$F149,"Stablecoin",Transactions!$D$3:$D149,AH51)
-SUMIFS(Transactions!$M$3:$M149,Transactions!$H$3:$H149,"Buy",Transactions!$B$3:$B149,AH51)=0,"Sold All",
SUMIFS(Transactions!$I$3:$I149,Transactions!$H$3:$H149,"Buy",Transactions!$F$3:$F149,"Stock",Transactions!$D$3:$D149,AH51)
+SUMIFS(Transactions!$I$3:$I149,Transactions!$H$3:$H149,"DRIP",Transactions!$F$3:$F149,"Stock",Transactions!$D$3:$D149,AH51)
+SUMIFS(Transactions!$I$3:$I149,Transactions!$H$3:$H149,"Transfer Deposit",Transactions!$F$3:$F149,"Stock",Transactions!$D$3:$D149,AH51)
+SUMIFS(Transactions!$I$3:$I149,Transactions!$H$3:$H149,"Buy",Transactions!$F$3:$F149,"ETF",Transactions!$D$3:$D149,AH51)
+SUMIFS(Transactions!$I$3:$I149,Transactions!$H$3:$H149,"DRIP",Transactions!$F$3:$F149,"ETF",Transactions!$D$3:$D149,AH51)
+SUMIFS(Transactions!$I$3:$I149,Transactions!$H$3:$H149,"Transfer Deposit",Transactions!$F$3:$F149,"ETF",Transactions!$D$3:$D149,AH51)
+SUMIFS(Transactions!$I$3:$I149,Transactions!$H$3:$H149,"Buy",Transactions!$F$3:$F149,"Commodity",Transactions!$D$3:$D149,AH51)
+SUMIFS(Transactions!$I$3:$I149,Transactions!$H$3:$H149,"DRIP",Transactions!$F$3:$F149,"Commodity",Transactions!$D$3:$D149,AH51)
+SUMIFS(Transactions!$I$3:$I149,Transactions!$H$3:$H149,"Transfer Deposit",Transactions!$F$3:$F149,"Commodity",Transactions!$D$3:$D149,AH51)
+SUMIFS(Transactions!$I$3:$I149,Transactions!$H$3:$H149,"Buy",Transactions!$F$3:$F149,"Managed Fund",Transactions!$D$3:$D149,AH51)
+SUMIFS(Transactions!$I$3:$I149,Transactions!$H$3:$H149,"DRIP",Transactions!$F$3:$F149,"Managed Fund",Transactions!$D$3:$D149,AH51)
+SUMIFS(Transactions!$I$3:$I149,Transactions!$H$3:$H149,"Transfer Deposit",Transactions!$F$3:$F149,"Managed Fund",Transactions!$D$3:$D149,AH51)
+SUMIFS(Transactions!$I$3:$I149,Transactions!$H$3:$H149,"Buy",Transactions!$F$3:$F149,"REIT",Transactions!$D$3:$D149,AH51)
+SUMIFS(Transactions!$I$3:$I149,Transactions!$H$3:$H149,"DRIP",Transactions!$F$3:$F149,"REIT",Transactions!$D$3:$D149,AH51)
+SUMIFS(Transactions!$I$3:$I149,Transactions!$H$3:$H149,"Transfer Deposit",Transactions!$F$3:$F149,"REIT",Transactions!$D$3:$D149,AH51)
-SUMIFS(Transactions!$I$3:$I149,Transactions!$H$3:$H149,"Sell",Transactions!$F$3:$F149,"Stock",Transactions!$D$3:$D149,AH51)
-SUMIFS(Transactions!$I$3:$I149,Transactions!$H$3:$H149,"Transfer Send",Transactions!$F$3:$F149,"Stock",Transactions!$D$3:$D149,AH51)
-SUMIFS(Transactions!$I$3:$I149,Transactions!$H$3:$H149,"Sell",Transactions!$F$3:$F149,"ETF",Transactions!$D$3:$D149,AH51)
-SUMIFS(Transactions!$I$3:$I149,Transactions!$H$3:$H149,"Transfer Send",Transactions!$F$3:$F149,"ETF",Transactions!$D$3:$D149,AH51)
-SUMIFS(Transactions!$I$3:$I149,Transactions!$H$3:$H149,"Sell",Transactions!$F$3:$F149,"Commodity",Transactions!$D$3:$D149,AH51)
-SUMIFS(Transactions!$I$3:$I149,Transactions!$H$3:$H149,"Transfer Send",Transactions!$F$3:$F149,"Commodity",Transactions!$D$3:$D149,AH51)
-SUMIFS(Transactions!$I$3:$I149,Transactions!$H$3:$H149,"Sell",Transactions!$F$3:$F149,"Managed Fund",Transactions!$D$3:$D149,AH51)
-SUMIFS(Transactions!$I$3:$I149,Transactions!$H$3:$H149,"Transfer Send",Transactions!$F$3:$F149,"Managed Fund",Transactions!$D$3:$D149,AH51)
-SUMIFS(Transactions!$I$3:$I149,Transactions!$H$3:$H149,"Sell",Transactions!$F$3:$F149,"REIT",Transactions!$D$3:$D149,AH51)
-SUMIFS(Transactions!$I$3:$I149,Transactions!$H$3:$H149,"Transfer Send",Transactions!$F$3:$F149,"REIT",Transactions!$D$3:$D149,AH51)
+SUMIFS(Transactions!$I$3:$I149,Transactions!$H$3:$H149,"Buy",Transactions!$F$3:$F149,"Crypto",Transactions!$D$3:$D149,AH51)
+SUMIFS(Transactions!$I$3:$I149,Transactions!$H$3:$H149,"Crypto Interest",Transactions!$F$3:$F149,"Crypto",Transactions!$D$3:$D149,AH51)
+SUMIFS(Transactions!$I$3:$I149,Transactions!$H$3:$H149,"Transfer Deposit",Transactions!$F$3:$F149,"Crypto",Transactions!$D$3:$D149,AH51)
-SUMIFS(Transactions!$I$3:$I149,Transactions!$H$3:$H149,"Transfer Send",Transactions!$F$3:$F149,"Crypto",Transactions!$D$3:$D149,AH51)
-SUMIFS(Transactions!$I$3:$I149,Transactions!$H$3:$H149,"Sell",Transactions!$F$3:$F149,"Crypto",Transactions!$D$3:$D149,AH51)
+SUMIFS(Transactions!$I$3:$I149,Transactions!$H$3:$H149,"Buy",Transactions!$F$3:$F149,"Stablecoin",Transactions!$D$3:$D149,AH51)
+SUMIFS(Transactions!$I$3:$I149,Transactions!$H$3:$H149,"Crypto Interest",Transactions!$F$3:$F149,"Stablecoin",Transactions!$D$3:$D149,AH51)
+SUMIFS(Transactions!$I$3:$I149,Transactions!$H$3:$H149,"Transfer Deposit",Transactions!$F$3:$F149,"Stablecoin",Transactions!$D$3:$D149,AH51)
-SUMIFS(Transactions!$I$3:$I149,Transactions!$H$3:$H149,"Transfer Send",Transactions!$F$3:$F149,"Stablecoin",Transactions!$D$3:$D149,AH51)
-SUMIFS(Transactions!$I$3:$I149,Transactions!$H$3:$H149,"Sell",Transactions!$F$3:$F149,"Stablecoin",Transactions!$D$3:$D149,AH51)
-SUMIFS(Transactions!$M$3:$M149,Transactions!$H$3:$H149,"Buy",Transactions!$B$3:$B149,AH51)))</f>
        <v/>
      </c>
      <c r="AJ51" s="181" t="str">
        <f>IFERROR(__xludf.DUMMYFUNCTION("IF(ISBLANK(AH51),"""",VLOOKUP(9^99,FILTER({ROW(Transactions!P:P),Transactions!P:P},Transactions!D:D=AH51),2))"),"")</f>
        <v/>
      </c>
      <c r="AK51" s="181" t="str">
        <f>IFERROR(__xludf.DUMMYFUNCTION("IF(ISBLANK(AH51),"""",IFERROR(GOOGLEFINANCE(AH51,""price""),IFERROR(GOOGLEFINANCE(""CURRENCY:""&amp;AH51&amp;""""),IFERROR(INDEX(YAHOO_STOCK(TRIM(AH51), $G$2),0,1),INDEX(IMPORTHTML(CONCAT(""https://coinmarketcap.com/currencies/"",AG51),""table"",1),1,2)))))"),"")</f>
        <v/>
      </c>
      <c r="AL51" s="14" t="str">
        <f>IFERROR(__xludf.DUMMYFUNCTION("IF(ISBLANK(AH51),"""",IFERROR(SPARKLINE(INDEX(GOOGLEFINANCE(AH51,""price"",TODAY()-$AL$2,TODAY()),,2),{""charttype"",""column"";""color"",""17a7e0""}),""""))"),"")</f>
        <v/>
      </c>
      <c r="AM51" s="50" t="str">
        <f>IFERROR(__xludf.DUMMYFUNCTION("IFNA(IFERROR(IF(AH51="""","""",GOOGLEFINANCE(AH51,""changepct"")/100),(GOOGLEFINANCE(AH51)-(INDEX(GOOGLEFINANCE(""CURRENCY:""&amp;AH51&amp;"""",""price"",TODAY()-1),2,2)))/(INDEX(GOOGLEFINANCE(""CURRENCY:""&amp;AH51&amp;"""",""price"",TODAY()-1),2,2))),)"),"")</f>
        <v/>
      </c>
      <c r="AN51" s="96" t="str">
        <f>IFERROR(__xludf.DUMMYFUNCTION("IFNA(IFERROR(IF(AH51="""","""",GOOGLEFINANCE(AH51,""change"")*AI51),(GOOGLEFINANCE(AH51)-(INDEX(GOOGLEFINANCE(""CURRENCY:""&amp;AH51&amp;"""",""price"",TODAY()-1),2,2)))*AI51),"""")"),"")</f>
        <v/>
      </c>
      <c r="AO51" s="96" t="str">
        <f>IF(ISBLANK(AH51),"",IFERROR(((AI51-SUMIFS(Transactions!I:I,Transactions!H:H,"Crypto Interest",Transactions!D:D,AH51))*AJ51),""))</f>
        <v/>
      </c>
      <c r="AP51" s="96" t="str">
        <f t="shared" si="16"/>
        <v/>
      </c>
      <c r="AQ51" s="50" t="str">
        <f t="shared" si="17"/>
        <v/>
      </c>
      <c r="AR51" s="96" t="str">
        <f t="shared" si="18"/>
        <v/>
      </c>
      <c r="AS51" s="96" t="str">
        <f>IF(ISBLANK(AH51),"",SUMIFS(Transactions!$X$3:$X149,Transactions!$H$3:$H149,"Sell",Transactions!$D$3:$D149,AH51))</f>
        <v/>
      </c>
      <c r="AT51" s="96" t="str">
        <f t="shared" si="19"/>
        <v/>
      </c>
      <c r="AU51" s="50" t="str">
        <f>IFERROR(__xludf.DUMMYFUNCTION("IF(ISBLANK(AH51),"""",IFERROR((GOOGLEFINANCE(AH51,""price"")/INDEX(GOOGLEFINANCE(AH51,""price"",DATEVALUE(TODAY()-$AU$2) ),2,2)-1),""""))"),"")</f>
        <v/>
      </c>
      <c r="AW51" s="50" t="str">
        <f>IFERROR(__xludf.DUMMYFUNCTION("IF(ISBLANK(AH51),"""",IFERROR((GOOGLEFINANCE($AW$2,""price"")/INDEX(GOOGLEFINANCE($AW$2,""price"",DATEVALUE(TODAY()-$AU$2) ),2,2)-1),""""))"),"")</f>
        <v/>
      </c>
      <c r="AY51" s="50" t="str">
        <f t="shared" si="20"/>
        <v/>
      </c>
      <c r="AZ51" s="50" t="str">
        <f t="shared" si="21"/>
        <v/>
      </c>
      <c r="BA51" s="50">
        <f t="shared" si="22"/>
        <v>0</v>
      </c>
      <c r="BB51" s="14" t="str">
        <f t="shared" si="23"/>
        <v/>
      </c>
      <c r="BC51" s="14" t="str">
        <f>IF(ISBLANK(AH51),"",IFERROR(VLOOKUP(AH51,Transactions!D:F,3,0)))</f>
        <v/>
      </c>
      <c r="BD51" s="50" t="str">
        <f t="shared" si="24"/>
        <v/>
      </c>
      <c r="BE51" s="50" t="str">
        <f t="shared" si="25"/>
        <v/>
      </c>
      <c r="BF51" s="14" t="str">
        <f t="shared" si="26"/>
        <v/>
      </c>
      <c r="BG51" s="180" t="str">
        <f>IF(ISBLANK(AH51),"",IFERROR(VLOOKUP(AH51,Transactions!D:G,4,0)))</f>
        <v/>
      </c>
    </row>
    <row r="52">
      <c r="A52" s="14" t="str">
        <f t="shared" ref="A52:C52" si="75">AG52</f>
        <v/>
      </c>
      <c r="B52" s="14" t="str">
        <f t="shared" si="75"/>
        <v/>
      </c>
      <c r="C52" s="175" t="str">
        <f t="shared" si="75"/>
        <v/>
      </c>
      <c r="D52" s="176" t="str">
        <f>IFERROR(__xludf.DUMMYFUNCTION("IF(ISBLANK(B52),"""",IFERROR(IF(OR(AF52=""GPB"",AF52=""ZAR""),IF(AF52=Dashboard!$L$1,AJ52,(AJ52*GOOGLEFINANCE(""CURRENCY:""&amp;AF52&amp;""""&amp;Dashboard!$L$1&amp;""""))/100),IF(AF52=Dashboard!$L$1,AJ52,AJ52*GOOGLEFINANCE(""CURRENCY:""&amp;AF52&amp;""""&amp;Dashboard!$L$1&amp;""""))),"&amp;"AJ52))"),"")</f>
        <v/>
      </c>
      <c r="E52" s="177" t="str">
        <f>IFERROR(__xludf.DUMMYFUNCTION("IFERROR(IF(OR(AF52=""GBP"",AF52=""ZAR""),IF(B52="""","""",IF(AF52=Dashboard!$L$1,AK52,AK52*GOOGLEFINANCE(""CURRENCY:""&amp;AF52&amp;""""&amp;Dashboard!$L$1&amp;"""")))/100,If(B52="""","""",IF(AF52=Dashboard!$L$1,AK52,AK52*GOOGLEFINANCE(""CURRENCY:""&amp;AF52&amp;""""&amp;Dashboard!$"&amp;"L$1&amp;"""")))),AK52)"),"")</f>
        <v/>
      </c>
      <c r="F52" s="145" t="str">
        <f t="shared" si="65"/>
        <v/>
      </c>
      <c r="G52" s="96" t="str">
        <f>IFERROR(__xludf.DUMMYFUNCTION("IF(ISBLANK(B52),"""",IFERROR(SPARKLINE(INDEX(GOOGLEFINANCE(B52,""price"",TODAY()-$G$2,TODAY()),,2),{""charttype"",""column"";""color"",""17a7e0""}),""""))"),"")</f>
        <v/>
      </c>
      <c r="H52" s="50" t="str">
        <f t="shared" si="3"/>
        <v/>
      </c>
      <c r="I52" s="96" t="str">
        <f>IFERROR(__xludf.DUMMYFUNCTION("IF(ISBLANK(B52),"""",IFERROR(IF(OR(AF52=""GPB"",AF52=""ZAR""),IF(AF52=Dashboard!$L$1,AN52,(AN52*GOOGLEFINANCE(""CURRENCY:""&amp;AF52&amp;""""&amp;Dashboard!$L$1&amp;""""))/100),IF(AF52=Dashboard!$L$1,AN52,AN52*GOOGLEFINANCE(""CURRENCY:""&amp;AF52&amp;""""&amp;Dashboard!$L$1&amp;""""))),"&amp;"AN52))"),"")</f>
        <v/>
      </c>
      <c r="J52" s="178" t="str">
        <f>IF(ISBLANK(B52),"",IFERROR(((C52-SUMIFS(Transactions!I:I,Transactions!H:H,"Crypto Interest",Transactions!D:D,B52))*D52),""))</f>
        <v/>
      </c>
      <c r="K52" s="178" t="str">
        <f t="shared" si="4"/>
        <v/>
      </c>
      <c r="L52" s="145">
        <f>-SUMIFS(Transactions!$M$3:$M149,Transactions!$H$3:$H149,"Buy",Transactions!$D$3:$D149,B52)</f>
        <v>0</v>
      </c>
      <c r="M52" s="145">
        <f>IF(ISBLANK(AG52),"",SUMIFS(Transactions!$M$3:$M149,Transactions!$H$3:$H149,"Dividend",Transactions!$D$3:$D149,B52))</f>
        <v>0</v>
      </c>
      <c r="N52" s="145" t="str">
        <f>IF(ISBLANK(AH52),"",SUMIFS(Transactions!$M$3:$M149,Transactions!$H$3:$H149,"Sell",Transactions!$D$3:$D149,B52))</f>
        <v/>
      </c>
      <c r="O52" s="50" t="str">
        <f t="shared" si="5"/>
        <v/>
      </c>
      <c r="P52" s="178" t="str">
        <f t="shared" si="6"/>
        <v/>
      </c>
      <c r="Q52" s="178" t="str">
        <f>IFERROR(__xludf.DUMMYFUNCTION("IF(ISBLANK(B52),"""",IFERROR(IF(OR(AF52=""GPB"",AF52=""ZAR""),IF(AF52=Dashboard!$L$1,AS52,(AS52*GOOGLEFINANCE(""CURRENCY:""&amp;AF52&amp;""""&amp;Dashboard!$L$1&amp;""""))/100),IF(AF52=Dashboard!$L$1,AS52,AS52*GOOGLEFINANCE(""CURRENCY:""&amp;AF52&amp;""""&amp;Dashboard!$L$1&amp;""""))),"&amp;"AS52))"),"")</f>
        <v/>
      </c>
      <c r="R52" s="178" t="str">
        <f t="shared" si="7"/>
        <v/>
      </c>
      <c r="S52" s="50" t="str">
        <f>IFERROR(__xludf.DUMMYFUNCTION("IF(ISBLANK(B52),"""",IFERROR((GOOGLEFINANCE(B52,""price"")/INDEX(GOOGLEFINANCE(B52,""price"",DATEVALUE(TODAY()-$S$2) ),2,2)-1),""""))"),"")</f>
        <v/>
      </c>
      <c r="U52" s="50" t="str">
        <f>IFERROR(__xludf.DUMMYFUNCTION("IF(ISBLANK(B52),"""",IFERROR((GOOGLEFINANCE($U$2,""price"")/INDEX(GOOGLEFINANCE($U$2,""price"",DATEVALUE(TODAY()-$S$2) ),2,2)-1),""""))"),"")</f>
        <v/>
      </c>
      <c r="W52" s="50" t="str">
        <f t="shared" si="8"/>
        <v/>
      </c>
      <c r="X52" s="50" t="str">
        <f t="shared" si="9"/>
        <v/>
      </c>
      <c r="Y52" s="179">
        <v>0.0</v>
      </c>
      <c r="Z52" s="50" t="str">
        <f t="shared" si="10"/>
        <v/>
      </c>
      <c r="AA52" s="14" t="str">
        <f t="shared" si="11"/>
        <v/>
      </c>
      <c r="AB52" s="50" t="str">
        <f t="shared" si="12"/>
        <v/>
      </c>
      <c r="AC52" s="179" t="str">
        <f t="shared" si="13"/>
        <v/>
      </c>
      <c r="AD52" s="50" t="str">
        <f t="shared" si="14"/>
        <v/>
      </c>
      <c r="AE52" s="180" t="str">
        <f t="shared" si="15"/>
        <v/>
      </c>
      <c r="AF52" s="14" t="str">
        <f t="array" ref="AF52">IFERROR(IF(ISBLANK(AH52),"",IF(VLOOKUP(AH52,Transactions!D:F,3,0)="Stablecoin",AH52,INDEX(Transactions!$B$3:$B149,MATCH(AH52,Transactions!$D$3:$D149,0),0))))</f>
        <v/>
      </c>
      <c r="AG52" s="14" t="str">
        <f>IF(ISBLANK(AH52),"",VLOOKUP(AH52,Transactions!D:E,2,0))</f>
        <v/>
      </c>
      <c r="AH52" s="14"/>
      <c r="AI52" s="146" t="str">
        <f>IF(ISBLANK(AH52),"",IF(
SUMIFS(Transactions!$I$3:$I149,Transactions!$H$3:$H149,"Buy",Transactions!$F$3:$F149,"Stock",Transactions!$D$3:$D149,AH52)
+SUMIFS(Transactions!$I$3:$I149,Transactions!$H$3:$H149,"DRIP",Transactions!$F$3:$F149,"Stock",Transactions!$D$3:$D149,AH52)
+SUMIFS(Transactions!$I$3:$I149,Transactions!$H$3:$H149,"Transfer Deposit",Transactions!$F$3:$F149,"Stock",Transactions!$D$3:$D149,AH52)
+SUMIFS(Transactions!$I$3:$I149,Transactions!$H$3:$H149,"Buy",Transactions!$F$3:$F149,"ETF",Transactions!$D$3:$D149,AH52)
+SUMIFS(Transactions!$I$3:$I149,Transactions!$H$3:$H149,"DRIP",Transactions!$F$3:$F149,"ETF",Transactions!$D$3:$D149,AH52)
+SUMIFS(Transactions!$I$3:$I149,Transactions!$H$3:$H149,"Transfer Deposit",Transactions!$F$3:$F149,"ETF",Transactions!$D$3:$D149,AH52)
+SUMIFS(Transactions!$I$3:$I149,Transactions!$H$3:$H149,"Buy",Transactions!$F$3:$F149,"Commodity",Transactions!$D$3:$D149,AH52)
+SUMIFS(Transactions!$I$3:$I149,Transactions!$H$3:$H149,"DRIP",Transactions!$F$3:$F149,"Commodity",Transactions!$D$3:$D149,AH52)
+SUMIFS(Transactions!$I$3:$I149,Transactions!$H$3:$H149,"Transfer Deposit",Transactions!$F$3:$F149,"Commodity",Transactions!$D$3:$D149,AH52)
+SUMIFS(Transactions!$I$3:$I149,Transactions!$H$3:$H149,"Buy",Transactions!$F$3:$F149,"Managed Fund",Transactions!$D$3:$D149,AH52)
+SUMIFS(Transactions!$I$3:$I149,Transactions!$H$3:$H149,"DRIP",Transactions!$F$3:$F149,"Managed Fund",Transactions!$D$3:$D149,AH52)
+SUMIFS(Transactions!$I$3:$I149,Transactions!$H$3:$H149,"Transfer Deposit",Transactions!$F$3:$F149,"Managed Fund",Transactions!$D$3:$D149,AH52)
+SUMIFS(Transactions!$I$3:$I149,Transactions!$H$3:$H149,"Buy",Transactions!$F$3:$F149,"REIT",Transactions!$D$3:$D149,AH52)
+SUMIFS(Transactions!$I$3:$I149,Transactions!$H$3:$H149,"DRIP",Transactions!$F$3:$F149,"REIT",Transactions!$D$3:$D149,AH52)
+SUMIFS(Transactions!$I$3:$I149,Transactions!$H$3:$H149,"Transfer Deposit",Transactions!$F$3:$F149,"REIT",Transactions!$D$3:$D149,AH52)
-SUMIFS(Transactions!$I$3:$I149,Transactions!$H$3:$H149,"Sell",Transactions!$F$3:$F149,"Stock",Transactions!$D$3:$D149,AH52)
-SUMIFS(Transactions!$I$3:$I149,Transactions!$H$3:$H149,"Transfer Send",Transactions!$F$3:$F149,"Stock",Transactions!$D$3:$D149,AH52)
-SUMIFS(Transactions!$I$3:$I149,Transactions!$H$3:$H149,"Sell",Transactions!$F$3:$F149,"ETF",Transactions!$D$3:$D149,AH52)
-SUMIFS(Transactions!$I$3:$I149,Transactions!$H$3:$H149,"Transfer Send",Transactions!$F$3:$F149,"ETF",Transactions!$D$3:$D149,AH52)
-SUMIFS(Transactions!$I$3:$I149,Transactions!$H$3:$H149,"Sell",Transactions!$F$3:$F149,"Commodity",Transactions!$D$3:$D149,AH52)
-SUMIFS(Transactions!$I$3:$I149,Transactions!$H$3:$H149,"Transfer Send",Transactions!$F$3:$F149,"Commodity",Transactions!$D$3:$D149,AH52)
-SUMIFS(Transactions!$I$3:$I149,Transactions!$H$3:$H149,"Sell",Transactions!$F$3:$F149,"Managed Fund",Transactions!$D$3:$D149,AH52)
-SUMIFS(Transactions!$I$3:$I149,Transactions!$H$3:$H149,"Transfer Send",Transactions!$F$3:$F149,"Managed Fund",Transactions!$D$3:$D149,AH52)
-SUMIFS(Transactions!$I$3:$I149,Transactions!$H$3:$H149,"Sell",Transactions!$F$3:$F149,"REIT",Transactions!$D$3:$D149,AH52)
-SUMIFS(Transactions!$I$3:$I149,Transactions!$H$3:$H149,"Transfer Send",Transactions!$F$3:$F149,"REIT",Transactions!$D$3:$D149,AH52)
+SUMIFS(Transactions!$I$3:$I149,Transactions!$H$3:$H149,"Buy",Transactions!$F$3:$F149,"Crypto",Transactions!$D$3:$D149,AH52)
+SUMIFS(Transactions!$I$3:$I149,Transactions!$H$3:$H149,"Crypto Interest",Transactions!$F$3:$F149,"Crypto",Transactions!$D$3:$D149,AH52)
+SUMIFS(Transactions!$I$3:$I149,Transactions!$H$3:$H149,"Transfer Deposit",Transactions!$F$3:$F149,"Crypto",Transactions!$D$3:$D149,AH52)
-SUMIFS(Transactions!$I$3:$I149,Transactions!$H$3:$H149,"Transfer Send",Transactions!$F$3:$F149,"Crypto",Transactions!$D$3:$D149,AH52)
-SUMIFS(Transactions!$I$3:$I149,Transactions!$H$3:$H149,"Sell",Transactions!$F$3:$F149,"Crypto",Transactions!$D$3:$D149,AH52)
+SUMIFS(Transactions!$I$3:$I149,Transactions!$H$3:$H149,"Buy",Transactions!$F$3:$F149,"Stablecoin",Transactions!$D$3:$D149,AH52)
+SUMIFS(Transactions!$I$3:$I149,Transactions!$H$3:$H149,"Crypto Interest",Transactions!$F$3:$F149,"Stablecoin",Transactions!$D$3:$D149,AH52)
+SUMIFS(Transactions!$I$3:$I149,Transactions!$H$3:$H149,"Transfer Deposit",Transactions!$F$3:$F149,"Stablecoin",Transactions!$D$3:$D149,AH52)
-SUMIFS(Transactions!$I$3:$I149,Transactions!$H$3:$H149,"Transfer Send",Transactions!$F$3:$F149,"Stablecoin",Transactions!$D$3:$D149,AH52)
-SUMIFS(Transactions!$I$3:$I149,Transactions!$H$3:$H149,"Sell",Transactions!$F$3:$F149,"Stablecoin",Transactions!$D$3:$D149,AH52)
-SUMIFS(Transactions!$M$3:$M149,Transactions!$H$3:$H149,"Buy",Transactions!$B$3:$B149,AH52)=0,"Sold All",
SUMIFS(Transactions!$I$3:$I149,Transactions!$H$3:$H149,"Buy",Transactions!$F$3:$F149,"Stock",Transactions!$D$3:$D149,AH52)
+SUMIFS(Transactions!$I$3:$I149,Transactions!$H$3:$H149,"DRIP",Transactions!$F$3:$F149,"Stock",Transactions!$D$3:$D149,AH52)
+SUMIFS(Transactions!$I$3:$I149,Transactions!$H$3:$H149,"Transfer Deposit",Transactions!$F$3:$F149,"Stock",Transactions!$D$3:$D149,AH52)
+SUMIFS(Transactions!$I$3:$I149,Transactions!$H$3:$H149,"Buy",Transactions!$F$3:$F149,"ETF",Transactions!$D$3:$D149,AH52)
+SUMIFS(Transactions!$I$3:$I149,Transactions!$H$3:$H149,"DRIP",Transactions!$F$3:$F149,"ETF",Transactions!$D$3:$D149,AH52)
+SUMIFS(Transactions!$I$3:$I149,Transactions!$H$3:$H149,"Transfer Deposit",Transactions!$F$3:$F149,"ETF",Transactions!$D$3:$D149,AH52)
+SUMIFS(Transactions!$I$3:$I149,Transactions!$H$3:$H149,"Buy",Transactions!$F$3:$F149,"Commodity",Transactions!$D$3:$D149,AH52)
+SUMIFS(Transactions!$I$3:$I149,Transactions!$H$3:$H149,"DRIP",Transactions!$F$3:$F149,"Commodity",Transactions!$D$3:$D149,AH52)
+SUMIFS(Transactions!$I$3:$I149,Transactions!$H$3:$H149,"Transfer Deposit",Transactions!$F$3:$F149,"Commodity",Transactions!$D$3:$D149,AH52)
+SUMIFS(Transactions!$I$3:$I149,Transactions!$H$3:$H149,"Buy",Transactions!$F$3:$F149,"Managed Fund",Transactions!$D$3:$D149,AH52)
+SUMIFS(Transactions!$I$3:$I149,Transactions!$H$3:$H149,"DRIP",Transactions!$F$3:$F149,"Managed Fund",Transactions!$D$3:$D149,AH52)
+SUMIFS(Transactions!$I$3:$I149,Transactions!$H$3:$H149,"Transfer Deposit",Transactions!$F$3:$F149,"Managed Fund",Transactions!$D$3:$D149,AH52)
+SUMIFS(Transactions!$I$3:$I149,Transactions!$H$3:$H149,"Buy",Transactions!$F$3:$F149,"REIT",Transactions!$D$3:$D149,AH52)
+SUMIFS(Transactions!$I$3:$I149,Transactions!$H$3:$H149,"DRIP",Transactions!$F$3:$F149,"REIT",Transactions!$D$3:$D149,AH52)
+SUMIFS(Transactions!$I$3:$I149,Transactions!$H$3:$H149,"Transfer Deposit",Transactions!$F$3:$F149,"REIT",Transactions!$D$3:$D149,AH52)
-SUMIFS(Transactions!$I$3:$I149,Transactions!$H$3:$H149,"Sell",Transactions!$F$3:$F149,"Stock",Transactions!$D$3:$D149,AH52)
-SUMIFS(Transactions!$I$3:$I149,Transactions!$H$3:$H149,"Transfer Send",Transactions!$F$3:$F149,"Stock",Transactions!$D$3:$D149,AH52)
-SUMIFS(Transactions!$I$3:$I149,Transactions!$H$3:$H149,"Sell",Transactions!$F$3:$F149,"ETF",Transactions!$D$3:$D149,AH52)
-SUMIFS(Transactions!$I$3:$I149,Transactions!$H$3:$H149,"Transfer Send",Transactions!$F$3:$F149,"ETF",Transactions!$D$3:$D149,AH52)
-SUMIFS(Transactions!$I$3:$I149,Transactions!$H$3:$H149,"Sell",Transactions!$F$3:$F149,"Commodity",Transactions!$D$3:$D149,AH52)
-SUMIFS(Transactions!$I$3:$I149,Transactions!$H$3:$H149,"Transfer Send",Transactions!$F$3:$F149,"Commodity",Transactions!$D$3:$D149,AH52)
-SUMIFS(Transactions!$I$3:$I149,Transactions!$H$3:$H149,"Sell",Transactions!$F$3:$F149,"Managed Fund",Transactions!$D$3:$D149,AH52)
-SUMIFS(Transactions!$I$3:$I149,Transactions!$H$3:$H149,"Transfer Send",Transactions!$F$3:$F149,"Managed Fund",Transactions!$D$3:$D149,AH52)
-SUMIFS(Transactions!$I$3:$I149,Transactions!$H$3:$H149,"Sell",Transactions!$F$3:$F149,"REIT",Transactions!$D$3:$D149,AH52)
-SUMIFS(Transactions!$I$3:$I149,Transactions!$H$3:$H149,"Transfer Send",Transactions!$F$3:$F149,"REIT",Transactions!$D$3:$D149,AH52)
+SUMIFS(Transactions!$I$3:$I149,Transactions!$H$3:$H149,"Buy",Transactions!$F$3:$F149,"Crypto",Transactions!$D$3:$D149,AH52)
+SUMIFS(Transactions!$I$3:$I149,Transactions!$H$3:$H149,"Crypto Interest",Transactions!$F$3:$F149,"Crypto",Transactions!$D$3:$D149,AH52)
+SUMIFS(Transactions!$I$3:$I149,Transactions!$H$3:$H149,"Transfer Deposit",Transactions!$F$3:$F149,"Crypto",Transactions!$D$3:$D149,AH52)
-SUMIFS(Transactions!$I$3:$I149,Transactions!$H$3:$H149,"Transfer Send",Transactions!$F$3:$F149,"Crypto",Transactions!$D$3:$D149,AH52)
-SUMIFS(Transactions!$I$3:$I149,Transactions!$H$3:$H149,"Sell",Transactions!$F$3:$F149,"Crypto",Transactions!$D$3:$D149,AH52)
+SUMIFS(Transactions!$I$3:$I149,Transactions!$H$3:$H149,"Buy",Transactions!$F$3:$F149,"Stablecoin",Transactions!$D$3:$D149,AH52)
+SUMIFS(Transactions!$I$3:$I149,Transactions!$H$3:$H149,"Crypto Interest",Transactions!$F$3:$F149,"Stablecoin",Transactions!$D$3:$D149,AH52)
+SUMIFS(Transactions!$I$3:$I149,Transactions!$H$3:$H149,"Transfer Deposit",Transactions!$F$3:$F149,"Stablecoin",Transactions!$D$3:$D149,AH52)
-SUMIFS(Transactions!$I$3:$I149,Transactions!$H$3:$H149,"Transfer Send",Transactions!$F$3:$F149,"Stablecoin",Transactions!$D$3:$D149,AH52)
-SUMIFS(Transactions!$I$3:$I149,Transactions!$H$3:$H149,"Sell",Transactions!$F$3:$F149,"Stablecoin",Transactions!$D$3:$D149,AH52)
-SUMIFS(Transactions!$M$3:$M149,Transactions!$H$3:$H149,"Buy",Transactions!$B$3:$B149,AH52)))</f>
        <v/>
      </c>
      <c r="AJ52" s="181" t="str">
        <f>IFERROR(__xludf.DUMMYFUNCTION("IF(ISBLANK(AH52),"""",VLOOKUP(9^99,FILTER({ROW(Transactions!P:P),Transactions!P:P},Transactions!D:D=AH52),2))"),"")</f>
        <v/>
      </c>
      <c r="AK52" s="181" t="str">
        <f>IFERROR(__xludf.DUMMYFUNCTION("IF(ISBLANK(AH52),"""",IFERROR(GOOGLEFINANCE(AH52,""price""),IFERROR(GOOGLEFINANCE(""CURRENCY:""&amp;AH52&amp;""""),IFERROR(INDEX(YAHOO_STOCK(TRIM(AH52), $G$2),0,1),INDEX(IMPORTHTML(CONCAT(""https://coinmarketcap.com/currencies/"",AG52),""table"",1),1,2)))))"),"")</f>
        <v/>
      </c>
      <c r="AL52" s="14" t="str">
        <f>IFERROR(__xludf.DUMMYFUNCTION("IF(ISBLANK(AH52),"""",IFERROR(SPARKLINE(INDEX(GOOGLEFINANCE(AH52,""price"",TODAY()-$AL$2,TODAY()),,2),{""charttype"",""column"";""color"",""17a7e0""}),""""))"),"")</f>
        <v/>
      </c>
      <c r="AM52" s="50" t="str">
        <f>IFERROR(__xludf.DUMMYFUNCTION("IFNA(IFERROR(IF(AH52="""","""",GOOGLEFINANCE(AH52,""changepct"")/100),(GOOGLEFINANCE(AH52)-(INDEX(GOOGLEFINANCE(""CURRENCY:""&amp;AH52&amp;"""",""price"",TODAY()-1),2,2)))/(INDEX(GOOGLEFINANCE(""CURRENCY:""&amp;AH52&amp;"""",""price"",TODAY()-1),2,2))),)"),"")</f>
        <v/>
      </c>
      <c r="AN52" s="96" t="str">
        <f>IFERROR(__xludf.DUMMYFUNCTION("IFNA(IFERROR(IF(AH52="""","""",GOOGLEFINANCE(AH52,""change"")*AI52),(GOOGLEFINANCE(AH52)-(INDEX(GOOGLEFINANCE(""CURRENCY:""&amp;AH52&amp;"""",""price"",TODAY()-1),2,2)))*AI52),"""")"),"")</f>
        <v/>
      </c>
      <c r="AO52" s="96" t="str">
        <f>IF(ISBLANK(AH52),"",IFERROR(((AI52-SUMIFS(Transactions!I:I,Transactions!H:H,"Crypto Interest",Transactions!D:D,AH52))*AJ52),""))</f>
        <v/>
      </c>
      <c r="AP52" s="96" t="str">
        <f t="shared" si="16"/>
        <v/>
      </c>
      <c r="AQ52" s="50" t="str">
        <f t="shared" si="17"/>
        <v/>
      </c>
      <c r="AR52" s="96" t="str">
        <f t="shared" si="18"/>
        <v/>
      </c>
      <c r="AS52" s="96" t="str">
        <f>IF(ISBLANK(AH52),"",SUMIFS(Transactions!$X$3:$X149,Transactions!$H$3:$H149,"Sell",Transactions!$D$3:$D149,AH52))</f>
        <v/>
      </c>
      <c r="AT52" s="96" t="str">
        <f t="shared" si="19"/>
        <v/>
      </c>
      <c r="AU52" s="50" t="str">
        <f>IFERROR(__xludf.DUMMYFUNCTION("IF(ISBLANK(AH52),"""",IFERROR((GOOGLEFINANCE(AH52,""price"")/INDEX(GOOGLEFINANCE(AH52,""price"",DATEVALUE(TODAY()-$AU$2) ),2,2)-1),""""))"),"")</f>
        <v/>
      </c>
      <c r="AW52" s="50" t="str">
        <f>IFERROR(__xludf.DUMMYFUNCTION("IF(ISBLANK(AH52),"""",IFERROR((GOOGLEFINANCE($AW$2,""price"")/INDEX(GOOGLEFINANCE($AW$2,""price"",DATEVALUE(TODAY()-$AU$2) ),2,2)-1),""""))"),"")</f>
        <v/>
      </c>
      <c r="AY52" s="50" t="str">
        <f t="shared" si="20"/>
        <v/>
      </c>
      <c r="AZ52" s="50" t="str">
        <f t="shared" si="21"/>
        <v/>
      </c>
      <c r="BA52" s="50">
        <f t="shared" si="22"/>
        <v>0</v>
      </c>
      <c r="BB52" s="14" t="str">
        <f t="shared" si="23"/>
        <v/>
      </c>
      <c r="BC52" s="14" t="str">
        <f>IF(ISBLANK(AH52),"",IFERROR(VLOOKUP(AH52,Transactions!D:F,3,0)))</f>
        <v/>
      </c>
      <c r="BD52" s="50" t="str">
        <f t="shared" si="24"/>
        <v/>
      </c>
      <c r="BE52" s="50" t="str">
        <f t="shared" si="25"/>
        <v/>
      </c>
      <c r="BF52" s="14" t="str">
        <f t="shared" si="26"/>
        <v/>
      </c>
      <c r="BG52" s="180" t="str">
        <f>IF(ISBLANK(AH52),"",IFERROR(VLOOKUP(AH52,Transactions!D:G,4,0)))</f>
        <v/>
      </c>
    </row>
    <row r="53">
      <c r="A53" s="14" t="str">
        <f t="shared" ref="A53:C53" si="76">AG53</f>
        <v/>
      </c>
      <c r="B53" s="14" t="str">
        <f t="shared" si="76"/>
        <v/>
      </c>
      <c r="C53" s="175" t="str">
        <f t="shared" si="76"/>
        <v/>
      </c>
      <c r="D53" s="176" t="str">
        <f>IFERROR(__xludf.DUMMYFUNCTION("IF(ISBLANK(B53),"""",IFERROR(IF(OR(AF53=""GPB"",AF53=""ZAR""),IF(AF53=Dashboard!$L$1,AJ53,(AJ53*GOOGLEFINANCE(""CURRENCY:""&amp;AF53&amp;""""&amp;Dashboard!$L$1&amp;""""))/100),IF(AF53=Dashboard!$L$1,AJ53,AJ53*GOOGLEFINANCE(""CURRENCY:""&amp;AF53&amp;""""&amp;Dashboard!$L$1&amp;""""))),"&amp;"AJ53))"),"")</f>
        <v/>
      </c>
      <c r="E53" s="177" t="str">
        <f>IFERROR(__xludf.DUMMYFUNCTION("IFERROR(IF(OR(AF53=""GBP"",AF53=""ZAR""),IF(B53="""","""",IF(AF53=Dashboard!$L$1,AK53,AK53*GOOGLEFINANCE(""CURRENCY:""&amp;AF53&amp;""""&amp;Dashboard!$L$1&amp;"""")))/100,If(B53="""","""",IF(AF53=Dashboard!$L$1,AK53,AK53*GOOGLEFINANCE(""CURRENCY:""&amp;AF53&amp;""""&amp;Dashboard!$"&amp;"L$1&amp;"""")))),AK53)"),"")</f>
        <v/>
      </c>
      <c r="F53" s="145" t="str">
        <f t="shared" si="65"/>
        <v/>
      </c>
      <c r="G53" s="96" t="str">
        <f>IFERROR(__xludf.DUMMYFUNCTION("IF(ISBLANK(B53),"""",IFERROR(SPARKLINE(INDEX(GOOGLEFINANCE(B53,""price"",TODAY()-$G$2,TODAY()),,2),{""charttype"",""column"";""color"",""17a7e0""}),""""))"),"")</f>
        <v/>
      </c>
      <c r="H53" s="50" t="str">
        <f t="shared" si="3"/>
        <v/>
      </c>
      <c r="I53" s="96" t="str">
        <f>IFERROR(__xludf.DUMMYFUNCTION("IF(ISBLANK(B53),"""",IFERROR(IF(OR(AF53=""GPB"",AF53=""ZAR""),IF(AF53=Dashboard!$L$1,AN53,(AN53*GOOGLEFINANCE(""CURRENCY:""&amp;AF53&amp;""""&amp;Dashboard!$L$1&amp;""""))/100),IF(AF53=Dashboard!$L$1,AN53,AN53*GOOGLEFINANCE(""CURRENCY:""&amp;AF53&amp;""""&amp;Dashboard!$L$1&amp;""""))),"&amp;"AN53))"),"")</f>
        <v/>
      </c>
      <c r="J53" s="178" t="str">
        <f>IF(ISBLANK(B53),"",IFERROR(((C53-SUMIFS(Transactions!I:I,Transactions!H:H,"Crypto Interest",Transactions!D:D,B53))*D53),""))</f>
        <v/>
      </c>
      <c r="K53" s="178" t="str">
        <f t="shared" si="4"/>
        <v/>
      </c>
      <c r="L53" s="145">
        <f>-SUMIFS(Transactions!$M$3:$M149,Transactions!$H$3:$H149,"Buy",Transactions!$D$3:$D149,B53)</f>
        <v>0</v>
      </c>
      <c r="M53" s="145">
        <f>IF(ISBLANK(AG53),"",SUMIFS(Transactions!$M$3:$M149,Transactions!$H$3:$H149,"Dividend",Transactions!$D$3:$D149,B53))</f>
        <v>0</v>
      </c>
      <c r="N53" s="145" t="str">
        <f>IF(ISBLANK(AH53),"",SUMIFS(Transactions!$M$3:$M149,Transactions!$H$3:$H149,"Sell",Transactions!$D$3:$D149,B53))</f>
        <v/>
      </c>
      <c r="O53" s="50" t="str">
        <f t="shared" si="5"/>
        <v/>
      </c>
      <c r="P53" s="178" t="str">
        <f t="shared" si="6"/>
        <v/>
      </c>
      <c r="Q53" s="178" t="str">
        <f>IFERROR(__xludf.DUMMYFUNCTION("IF(ISBLANK(B53),"""",IFERROR(IF(OR(AF53=""GPB"",AF53=""ZAR""),IF(AF53=Dashboard!$L$1,AS53,(AS53*GOOGLEFINANCE(""CURRENCY:""&amp;AF53&amp;""""&amp;Dashboard!$L$1&amp;""""))/100),IF(AF53=Dashboard!$L$1,AS53,AS53*GOOGLEFINANCE(""CURRENCY:""&amp;AF53&amp;""""&amp;Dashboard!$L$1&amp;""""))),"&amp;"AS53))"),"")</f>
        <v/>
      </c>
      <c r="R53" s="178" t="str">
        <f t="shared" si="7"/>
        <v/>
      </c>
      <c r="S53" s="50" t="str">
        <f>IFERROR(__xludf.DUMMYFUNCTION("IF(ISBLANK(B53),"""",IFERROR((GOOGLEFINANCE(B53,""price"")/INDEX(GOOGLEFINANCE(B53,""price"",DATEVALUE(TODAY()-$S$2) ),2,2)-1),""""))"),"")</f>
        <v/>
      </c>
      <c r="U53" s="50" t="str">
        <f>IFERROR(__xludf.DUMMYFUNCTION("IF(ISBLANK(B53),"""",IFERROR((GOOGLEFINANCE($U$2,""price"")/INDEX(GOOGLEFINANCE($U$2,""price"",DATEVALUE(TODAY()-$S$2) ),2,2)-1),""""))"),"")</f>
        <v/>
      </c>
      <c r="W53" s="50" t="str">
        <f t="shared" si="8"/>
        <v/>
      </c>
      <c r="X53" s="50" t="str">
        <f t="shared" si="9"/>
        <v/>
      </c>
      <c r="Y53" s="179">
        <v>0.0</v>
      </c>
      <c r="Z53" s="50" t="str">
        <f t="shared" si="10"/>
        <v/>
      </c>
      <c r="AA53" s="14" t="str">
        <f t="shared" si="11"/>
        <v/>
      </c>
      <c r="AB53" s="50" t="str">
        <f t="shared" si="12"/>
        <v/>
      </c>
      <c r="AC53" s="179" t="str">
        <f t="shared" si="13"/>
        <v/>
      </c>
      <c r="AD53" s="50" t="str">
        <f t="shared" si="14"/>
        <v/>
      </c>
      <c r="AE53" s="180" t="str">
        <f t="shared" si="15"/>
        <v/>
      </c>
      <c r="AF53" s="14" t="str">
        <f t="array" ref="AF53">IFERROR(IF(ISBLANK(AH53),"",IF(VLOOKUP(AH53,Transactions!D:F,3,0)="Stablecoin",AH53,INDEX(Transactions!$B$3:$B149,MATCH(AH53,Transactions!$D$3:$D149,0),0))))</f>
        <v/>
      </c>
      <c r="AG53" s="14" t="str">
        <f>IF(ISBLANK(AH53),"",VLOOKUP(AH53,Transactions!D:E,2,0))</f>
        <v/>
      </c>
      <c r="AH53" s="14"/>
      <c r="AI53" s="146" t="str">
        <f>IF(ISBLANK(AH53),"",IF(
SUMIFS(Transactions!$I$3:$I149,Transactions!$H$3:$H149,"Buy",Transactions!$F$3:$F149,"Stock",Transactions!$D$3:$D149,AH53)
+SUMIFS(Transactions!$I$3:$I149,Transactions!$H$3:$H149,"DRIP",Transactions!$F$3:$F149,"Stock",Transactions!$D$3:$D149,AH53)
+SUMIFS(Transactions!$I$3:$I149,Transactions!$H$3:$H149,"Transfer Deposit",Transactions!$F$3:$F149,"Stock",Transactions!$D$3:$D149,AH53)
+SUMIFS(Transactions!$I$3:$I149,Transactions!$H$3:$H149,"Buy",Transactions!$F$3:$F149,"ETF",Transactions!$D$3:$D149,AH53)
+SUMIFS(Transactions!$I$3:$I149,Transactions!$H$3:$H149,"DRIP",Transactions!$F$3:$F149,"ETF",Transactions!$D$3:$D149,AH53)
+SUMIFS(Transactions!$I$3:$I149,Transactions!$H$3:$H149,"Transfer Deposit",Transactions!$F$3:$F149,"ETF",Transactions!$D$3:$D149,AH53)
+SUMIFS(Transactions!$I$3:$I149,Transactions!$H$3:$H149,"Buy",Transactions!$F$3:$F149,"Commodity",Transactions!$D$3:$D149,AH53)
+SUMIFS(Transactions!$I$3:$I149,Transactions!$H$3:$H149,"DRIP",Transactions!$F$3:$F149,"Commodity",Transactions!$D$3:$D149,AH53)
+SUMIFS(Transactions!$I$3:$I149,Transactions!$H$3:$H149,"Transfer Deposit",Transactions!$F$3:$F149,"Commodity",Transactions!$D$3:$D149,AH53)
+SUMIFS(Transactions!$I$3:$I149,Transactions!$H$3:$H149,"Buy",Transactions!$F$3:$F149,"Managed Fund",Transactions!$D$3:$D149,AH53)
+SUMIFS(Transactions!$I$3:$I149,Transactions!$H$3:$H149,"DRIP",Transactions!$F$3:$F149,"Managed Fund",Transactions!$D$3:$D149,AH53)
+SUMIFS(Transactions!$I$3:$I149,Transactions!$H$3:$H149,"Transfer Deposit",Transactions!$F$3:$F149,"Managed Fund",Transactions!$D$3:$D149,AH53)
+SUMIFS(Transactions!$I$3:$I149,Transactions!$H$3:$H149,"Buy",Transactions!$F$3:$F149,"REIT",Transactions!$D$3:$D149,AH53)
+SUMIFS(Transactions!$I$3:$I149,Transactions!$H$3:$H149,"DRIP",Transactions!$F$3:$F149,"REIT",Transactions!$D$3:$D149,AH53)
+SUMIFS(Transactions!$I$3:$I149,Transactions!$H$3:$H149,"Transfer Deposit",Transactions!$F$3:$F149,"REIT",Transactions!$D$3:$D149,AH53)
-SUMIFS(Transactions!$I$3:$I149,Transactions!$H$3:$H149,"Sell",Transactions!$F$3:$F149,"Stock",Transactions!$D$3:$D149,AH53)
-SUMIFS(Transactions!$I$3:$I149,Transactions!$H$3:$H149,"Transfer Send",Transactions!$F$3:$F149,"Stock",Transactions!$D$3:$D149,AH53)
-SUMIFS(Transactions!$I$3:$I149,Transactions!$H$3:$H149,"Sell",Transactions!$F$3:$F149,"ETF",Transactions!$D$3:$D149,AH53)
-SUMIFS(Transactions!$I$3:$I149,Transactions!$H$3:$H149,"Transfer Send",Transactions!$F$3:$F149,"ETF",Transactions!$D$3:$D149,AH53)
-SUMIFS(Transactions!$I$3:$I149,Transactions!$H$3:$H149,"Sell",Transactions!$F$3:$F149,"Commodity",Transactions!$D$3:$D149,AH53)
-SUMIFS(Transactions!$I$3:$I149,Transactions!$H$3:$H149,"Transfer Send",Transactions!$F$3:$F149,"Commodity",Transactions!$D$3:$D149,AH53)
-SUMIFS(Transactions!$I$3:$I149,Transactions!$H$3:$H149,"Sell",Transactions!$F$3:$F149,"Managed Fund",Transactions!$D$3:$D149,AH53)
-SUMIFS(Transactions!$I$3:$I149,Transactions!$H$3:$H149,"Transfer Send",Transactions!$F$3:$F149,"Managed Fund",Transactions!$D$3:$D149,AH53)
-SUMIFS(Transactions!$I$3:$I149,Transactions!$H$3:$H149,"Sell",Transactions!$F$3:$F149,"REIT",Transactions!$D$3:$D149,AH53)
-SUMIFS(Transactions!$I$3:$I149,Transactions!$H$3:$H149,"Transfer Send",Transactions!$F$3:$F149,"REIT",Transactions!$D$3:$D149,AH53)
+SUMIFS(Transactions!$I$3:$I149,Transactions!$H$3:$H149,"Buy",Transactions!$F$3:$F149,"Crypto",Transactions!$D$3:$D149,AH53)
+SUMIFS(Transactions!$I$3:$I149,Transactions!$H$3:$H149,"Crypto Interest",Transactions!$F$3:$F149,"Crypto",Transactions!$D$3:$D149,AH53)
+SUMIFS(Transactions!$I$3:$I149,Transactions!$H$3:$H149,"Transfer Deposit",Transactions!$F$3:$F149,"Crypto",Transactions!$D$3:$D149,AH53)
-SUMIFS(Transactions!$I$3:$I149,Transactions!$H$3:$H149,"Transfer Send",Transactions!$F$3:$F149,"Crypto",Transactions!$D$3:$D149,AH53)
-SUMIFS(Transactions!$I$3:$I149,Transactions!$H$3:$H149,"Sell",Transactions!$F$3:$F149,"Crypto",Transactions!$D$3:$D149,AH53)
+SUMIFS(Transactions!$I$3:$I149,Transactions!$H$3:$H149,"Buy",Transactions!$F$3:$F149,"Stablecoin",Transactions!$D$3:$D149,AH53)
+SUMIFS(Transactions!$I$3:$I149,Transactions!$H$3:$H149,"Crypto Interest",Transactions!$F$3:$F149,"Stablecoin",Transactions!$D$3:$D149,AH53)
+SUMIFS(Transactions!$I$3:$I149,Transactions!$H$3:$H149,"Transfer Deposit",Transactions!$F$3:$F149,"Stablecoin",Transactions!$D$3:$D149,AH53)
-SUMIFS(Transactions!$I$3:$I149,Transactions!$H$3:$H149,"Transfer Send",Transactions!$F$3:$F149,"Stablecoin",Transactions!$D$3:$D149,AH53)
-SUMIFS(Transactions!$I$3:$I149,Transactions!$H$3:$H149,"Sell",Transactions!$F$3:$F149,"Stablecoin",Transactions!$D$3:$D149,AH53)
-SUMIFS(Transactions!$M$3:$M149,Transactions!$H$3:$H149,"Buy",Transactions!$B$3:$B149,AH53)=0,"Sold All",
SUMIFS(Transactions!$I$3:$I149,Transactions!$H$3:$H149,"Buy",Transactions!$F$3:$F149,"Stock",Transactions!$D$3:$D149,AH53)
+SUMIFS(Transactions!$I$3:$I149,Transactions!$H$3:$H149,"DRIP",Transactions!$F$3:$F149,"Stock",Transactions!$D$3:$D149,AH53)
+SUMIFS(Transactions!$I$3:$I149,Transactions!$H$3:$H149,"Transfer Deposit",Transactions!$F$3:$F149,"Stock",Transactions!$D$3:$D149,AH53)
+SUMIFS(Transactions!$I$3:$I149,Transactions!$H$3:$H149,"Buy",Transactions!$F$3:$F149,"ETF",Transactions!$D$3:$D149,AH53)
+SUMIFS(Transactions!$I$3:$I149,Transactions!$H$3:$H149,"DRIP",Transactions!$F$3:$F149,"ETF",Transactions!$D$3:$D149,AH53)
+SUMIFS(Transactions!$I$3:$I149,Transactions!$H$3:$H149,"Transfer Deposit",Transactions!$F$3:$F149,"ETF",Transactions!$D$3:$D149,AH53)
+SUMIFS(Transactions!$I$3:$I149,Transactions!$H$3:$H149,"Buy",Transactions!$F$3:$F149,"Commodity",Transactions!$D$3:$D149,AH53)
+SUMIFS(Transactions!$I$3:$I149,Transactions!$H$3:$H149,"DRIP",Transactions!$F$3:$F149,"Commodity",Transactions!$D$3:$D149,AH53)
+SUMIFS(Transactions!$I$3:$I149,Transactions!$H$3:$H149,"Transfer Deposit",Transactions!$F$3:$F149,"Commodity",Transactions!$D$3:$D149,AH53)
+SUMIFS(Transactions!$I$3:$I149,Transactions!$H$3:$H149,"Buy",Transactions!$F$3:$F149,"Managed Fund",Transactions!$D$3:$D149,AH53)
+SUMIFS(Transactions!$I$3:$I149,Transactions!$H$3:$H149,"DRIP",Transactions!$F$3:$F149,"Managed Fund",Transactions!$D$3:$D149,AH53)
+SUMIFS(Transactions!$I$3:$I149,Transactions!$H$3:$H149,"Transfer Deposit",Transactions!$F$3:$F149,"Managed Fund",Transactions!$D$3:$D149,AH53)
+SUMIFS(Transactions!$I$3:$I149,Transactions!$H$3:$H149,"Buy",Transactions!$F$3:$F149,"REIT",Transactions!$D$3:$D149,AH53)
+SUMIFS(Transactions!$I$3:$I149,Transactions!$H$3:$H149,"DRIP",Transactions!$F$3:$F149,"REIT",Transactions!$D$3:$D149,AH53)
+SUMIFS(Transactions!$I$3:$I149,Transactions!$H$3:$H149,"Transfer Deposit",Transactions!$F$3:$F149,"REIT",Transactions!$D$3:$D149,AH53)
-SUMIFS(Transactions!$I$3:$I149,Transactions!$H$3:$H149,"Sell",Transactions!$F$3:$F149,"Stock",Transactions!$D$3:$D149,AH53)
-SUMIFS(Transactions!$I$3:$I149,Transactions!$H$3:$H149,"Transfer Send",Transactions!$F$3:$F149,"Stock",Transactions!$D$3:$D149,AH53)
-SUMIFS(Transactions!$I$3:$I149,Transactions!$H$3:$H149,"Sell",Transactions!$F$3:$F149,"ETF",Transactions!$D$3:$D149,AH53)
-SUMIFS(Transactions!$I$3:$I149,Transactions!$H$3:$H149,"Transfer Send",Transactions!$F$3:$F149,"ETF",Transactions!$D$3:$D149,AH53)
-SUMIFS(Transactions!$I$3:$I149,Transactions!$H$3:$H149,"Sell",Transactions!$F$3:$F149,"Commodity",Transactions!$D$3:$D149,AH53)
-SUMIFS(Transactions!$I$3:$I149,Transactions!$H$3:$H149,"Transfer Send",Transactions!$F$3:$F149,"Commodity",Transactions!$D$3:$D149,AH53)
-SUMIFS(Transactions!$I$3:$I149,Transactions!$H$3:$H149,"Sell",Transactions!$F$3:$F149,"Managed Fund",Transactions!$D$3:$D149,AH53)
-SUMIFS(Transactions!$I$3:$I149,Transactions!$H$3:$H149,"Transfer Send",Transactions!$F$3:$F149,"Managed Fund",Transactions!$D$3:$D149,AH53)
-SUMIFS(Transactions!$I$3:$I149,Transactions!$H$3:$H149,"Sell",Transactions!$F$3:$F149,"REIT",Transactions!$D$3:$D149,AH53)
-SUMIFS(Transactions!$I$3:$I149,Transactions!$H$3:$H149,"Transfer Send",Transactions!$F$3:$F149,"REIT",Transactions!$D$3:$D149,AH53)
+SUMIFS(Transactions!$I$3:$I149,Transactions!$H$3:$H149,"Buy",Transactions!$F$3:$F149,"Crypto",Transactions!$D$3:$D149,AH53)
+SUMIFS(Transactions!$I$3:$I149,Transactions!$H$3:$H149,"Crypto Interest",Transactions!$F$3:$F149,"Crypto",Transactions!$D$3:$D149,AH53)
+SUMIFS(Transactions!$I$3:$I149,Transactions!$H$3:$H149,"Transfer Deposit",Transactions!$F$3:$F149,"Crypto",Transactions!$D$3:$D149,AH53)
-SUMIFS(Transactions!$I$3:$I149,Transactions!$H$3:$H149,"Transfer Send",Transactions!$F$3:$F149,"Crypto",Transactions!$D$3:$D149,AH53)
-SUMIFS(Transactions!$I$3:$I149,Transactions!$H$3:$H149,"Sell",Transactions!$F$3:$F149,"Crypto",Transactions!$D$3:$D149,AH53)
+SUMIFS(Transactions!$I$3:$I149,Transactions!$H$3:$H149,"Buy",Transactions!$F$3:$F149,"Stablecoin",Transactions!$D$3:$D149,AH53)
+SUMIFS(Transactions!$I$3:$I149,Transactions!$H$3:$H149,"Crypto Interest",Transactions!$F$3:$F149,"Stablecoin",Transactions!$D$3:$D149,AH53)
+SUMIFS(Transactions!$I$3:$I149,Transactions!$H$3:$H149,"Transfer Deposit",Transactions!$F$3:$F149,"Stablecoin",Transactions!$D$3:$D149,AH53)
-SUMIFS(Transactions!$I$3:$I149,Transactions!$H$3:$H149,"Transfer Send",Transactions!$F$3:$F149,"Stablecoin",Transactions!$D$3:$D149,AH53)
-SUMIFS(Transactions!$I$3:$I149,Transactions!$H$3:$H149,"Sell",Transactions!$F$3:$F149,"Stablecoin",Transactions!$D$3:$D149,AH53)
-SUMIFS(Transactions!$M$3:$M149,Transactions!$H$3:$H149,"Buy",Transactions!$B$3:$B149,AH53)))</f>
        <v/>
      </c>
      <c r="AJ53" s="181" t="str">
        <f>IFERROR(__xludf.DUMMYFUNCTION("IF(ISBLANK(AH53),"""",VLOOKUP(9^99,FILTER({ROW(Transactions!P:P),Transactions!P:P},Transactions!D:D=AH53),2))"),"")</f>
        <v/>
      </c>
      <c r="AK53" s="181" t="str">
        <f>IFERROR(__xludf.DUMMYFUNCTION("IF(ISBLANK(AH53),"""",IFERROR(GOOGLEFINANCE(AH53,""price""),IFERROR(GOOGLEFINANCE(""CURRENCY:""&amp;AH53&amp;""""),IFERROR(INDEX(YAHOO_STOCK(TRIM(AH53), $G$2),0,1),INDEX(IMPORTHTML(CONCAT(""https://coinmarketcap.com/currencies/"",AG53),""table"",1),1,2)))))"),"")</f>
        <v/>
      </c>
      <c r="AL53" s="14" t="str">
        <f>IFERROR(__xludf.DUMMYFUNCTION("IF(ISBLANK(AH53),"""",IFERROR(SPARKLINE(INDEX(GOOGLEFINANCE(AH53,""price"",TODAY()-$AL$2,TODAY()),,2),{""charttype"",""column"";""color"",""17a7e0""}),""""))"),"")</f>
        <v/>
      </c>
      <c r="AM53" s="50" t="str">
        <f>IFERROR(__xludf.DUMMYFUNCTION("IFNA(IFERROR(IF(AH53="""","""",GOOGLEFINANCE(AH53,""changepct"")/100),(GOOGLEFINANCE(AH53)-(INDEX(GOOGLEFINANCE(""CURRENCY:""&amp;AH53&amp;"""",""price"",TODAY()-1),2,2)))/(INDEX(GOOGLEFINANCE(""CURRENCY:""&amp;AH53&amp;"""",""price"",TODAY()-1),2,2))),)"),"")</f>
        <v/>
      </c>
      <c r="AN53" s="96" t="str">
        <f>IFERROR(__xludf.DUMMYFUNCTION("IFNA(IFERROR(IF(AH53="""","""",GOOGLEFINANCE(AH53,""change"")*AI53),(GOOGLEFINANCE(AH53)-(INDEX(GOOGLEFINANCE(""CURRENCY:""&amp;AH53&amp;"""",""price"",TODAY()-1),2,2)))*AI53),"""")"),"")</f>
        <v/>
      </c>
      <c r="AO53" s="96" t="str">
        <f>IF(ISBLANK(AH53),"",IFERROR(((AI53-SUMIFS(Transactions!I:I,Transactions!H:H,"Crypto Interest",Transactions!D:D,AH53))*AJ53),""))</f>
        <v/>
      </c>
      <c r="AP53" s="96" t="str">
        <f t="shared" si="16"/>
        <v/>
      </c>
      <c r="AQ53" s="50" t="str">
        <f t="shared" si="17"/>
        <v/>
      </c>
      <c r="AR53" s="96" t="str">
        <f t="shared" si="18"/>
        <v/>
      </c>
      <c r="AS53" s="96" t="str">
        <f>IF(ISBLANK(AH53),"",SUMIFS(Transactions!$X$3:$X149,Transactions!$H$3:$H149,"Sell",Transactions!$D$3:$D149,AH53))</f>
        <v/>
      </c>
      <c r="AT53" s="96" t="str">
        <f t="shared" si="19"/>
        <v/>
      </c>
      <c r="AU53" s="50" t="str">
        <f>IFERROR(__xludf.DUMMYFUNCTION("IF(ISBLANK(AH53),"""",IFERROR((GOOGLEFINANCE(AH53,""price"")/INDEX(GOOGLEFINANCE(AH53,""price"",DATEVALUE(TODAY()-$AU$2) ),2,2)-1),""""))"),"")</f>
        <v/>
      </c>
      <c r="AW53" s="50" t="str">
        <f>IFERROR(__xludf.DUMMYFUNCTION("IF(ISBLANK(AH53),"""",IFERROR((GOOGLEFINANCE($AW$2,""price"")/INDEX(GOOGLEFINANCE($AW$2,""price"",DATEVALUE(TODAY()-$AU$2) ),2,2)-1),""""))"),"")</f>
        <v/>
      </c>
      <c r="AY53" s="50" t="str">
        <f t="shared" si="20"/>
        <v/>
      </c>
      <c r="AZ53" s="50" t="str">
        <f t="shared" si="21"/>
        <v/>
      </c>
      <c r="BA53" s="50">
        <f t="shared" si="22"/>
        <v>0</v>
      </c>
      <c r="BB53" s="14" t="str">
        <f t="shared" si="23"/>
        <v/>
      </c>
      <c r="BC53" s="14" t="str">
        <f>IF(ISBLANK(AH53),"",IFERROR(VLOOKUP(AH53,Transactions!D:F,3,0)))</f>
        <v/>
      </c>
      <c r="BD53" s="50" t="str">
        <f t="shared" si="24"/>
        <v/>
      </c>
      <c r="BE53" s="50" t="str">
        <f t="shared" si="25"/>
        <v/>
      </c>
      <c r="BF53" s="14" t="str">
        <f t="shared" si="26"/>
        <v/>
      </c>
      <c r="BG53" s="180" t="str">
        <f>IF(ISBLANK(AH53),"",IFERROR(VLOOKUP(AH53,Transactions!D:G,4,0)))</f>
        <v/>
      </c>
    </row>
    <row r="54">
      <c r="A54" s="14" t="str">
        <f t="shared" ref="A54:C54" si="77">AG54</f>
        <v/>
      </c>
      <c r="B54" s="14" t="str">
        <f t="shared" si="77"/>
        <v/>
      </c>
      <c r="C54" s="175" t="str">
        <f t="shared" si="77"/>
        <v/>
      </c>
      <c r="D54" s="176" t="str">
        <f>IFERROR(__xludf.DUMMYFUNCTION("IF(ISBLANK(B54),"""",IFERROR(IF(OR(AF54=""GPB"",AF54=""ZAR""),IF(AF54=Dashboard!$L$1,AJ54,(AJ54*GOOGLEFINANCE(""CURRENCY:""&amp;AF54&amp;""""&amp;Dashboard!$L$1&amp;""""))/100),IF(AF54=Dashboard!$L$1,AJ54,AJ54*GOOGLEFINANCE(""CURRENCY:""&amp;AF54&amp;""""&amp;Dashboard!$L$1&amp;""""))),"&amp;"AJ54))"),"")</f>
        <v/>
      </c>
      <c r="E54" s="177" t="str">
        <f>IFERROR(__xludf.DUMMYFUNCTION("IFERROR(IF(OR(AF54=""GBP"",AF54=""ZAR""),IF(B54="""","""",IF(AF54=Dashboard!$L$1,AK54,AK54*GOOGLEFINANCE(""CURRENCY:""&amp;AF54&amp;""""&amp;Dashboard!$L$1&amp;"""")))/100,If(B54="""","""",IF(AF54=Dashboard!$L$1,AK54,AK54*GOOGLEFINANCE(""CURRENCY:""&amp;AF54&amp;""""&amp;Dashboard!$"&amp;"L$1&amp;"""")))),AK54)"),"")</f>
        <v/>
      </c>
      <c r="F54" s="145" t="str">
        <f t="shared" si="65"/>
        <v/>
      </c>
      <c r="G54" s="96" t="str">
        <f>IFERROR(__xludf.DUMMYFUNCTION("IF(ISBLANK(B54),"""",IFERROR(SPARKLINE(INDEX(GOOGLEFINANCE(B54,""price"",TODAY()-$G$2,TODAY()),,2),{""charttype"",""column"";""color"",""17a7e0""}),""""))"),"")</f>
        <v/>
      </c>
      <c r="H54" s="50" t="str">
        <f t="shared" si="3"/>
        <v/>
      </c>
      <c r="I54" s="96" t="str">
        <f>IFERROR(__xludf.DUMMYFUNCTION("IF(ISBLANK(B54),"""",IFERROR(IF(OR(AF54=""GPB"",AF54=""ZAR""),IF(AF54=Dashboard!$L$1,AN54,(AN54*GOOGLEFINANCE(""CURRENCY:""&amp;AF54&amp;""""&amp;Dashboard!$L$1&amp;""""))/100),IF(AF54=Dashboard!$L$1,AN54,AN54*GOOGLEFINANCE(""CURRENCY:""&amp;AF54&amp;""""&amp;Dashboard!$L$1&amp;""""))),"&amp;"AN54))"),"")</f>
        <v/>
      </c>
      <c r="J54" s="178" t="str">
        <f>IF(ISBLANK(B54),"",IFERROR(((C54-SUMIFS(Transactions!I:I,Transactions!H:H,"Crypto Interest",Transactions!D:D,B54))*D54),""))</f>
        <v/>
      </c>
      <c r="K54" s="178" t="str">
        <f t="shared" si="4"/>
        <v/>
      </c>
      <c r="L54" s="145">
        <f>-SUMIFS(Transactions!$M$3:$M149,Transactions!$H$3:$H149,"Buy",Transactions!$D$3:$D149,B54)</f>
        <v>0</v>
      </c>
      <c r="M54" s="145">
        <f>IF(ISBLANK(AG54),"",SUMIFS(Transactions!$M$3:$M149,Transactions!$H$3:$H149,"Dividend",Transactions!$D$3:$D149,B54))</f>
        <v>0</v>
      </c>
      <c r="N54" s="145" t="str">
        <f>IF(ISBLANK(AH54),"",SUMIFS(Transactions!$M$3:$M149,Transactions!$H$3:$H149,"Sell",Transactions!$D$3:$D149,B54))</f>
        <v/>
      </c>
      <c r="O54" s="50" t="str">
        <f t="shared" si="5"/>
        <v/>
      </c>
      <c r="P54" s="178" t="str">
        <f t="shared" si="6"/>
        <v/>
      </c>
      <c r="Q54" s="178" t="str">
        <f>IFERROR(__xludf.DUMMYFUNCTION("IF(ISBLANK(B54),"""",IFERROR(IF(OR(AF54=""GPB"",AF54=""ZAR""),IF(AF54=Dashboard!$L$1,AS54,(AS54*GOOGLEFINANCE(""CURRENCY:""&amp;AF54&amp;""""&amp;Dashboard!$L$1&amp;""""))/100),IF(AF54=Dashboard!$L$1,AS54,AS54*GOOGLEFINANCE(""CURRENCY:""&amp;AF54&amp;""""&amp;Dashboard!$L$1&amp;""""))),"&amp;"AS54))"),"")</f>
        <v/>
      </c>
      <c r="R54" s="178" t="str">
        <f t="shared" si="7"/>
        <v/>
      </c>
      <c r="S54" s="50" t="str">
        <f>IFERROR(__xludf.DUMMYFUNCTION("IF(ISBLANK(B54),"""",IFERROR((GOOGLEFINANCE(B54,""price"")/INDEX(GOOGLEFINANCE(B54,""price"",DATEVALUE(TODAY()-$S$2) ),2,2)-1),""""))"),"")</f>
        <v/>
      </c>
      <c r="U54" s="50" t="str">
        <f>IFERROR(__xludf.DUMMYFUNCTION("IF(ISBLANK(B54),"""",IFERROR((GOOGLEFINANCE($U$2,""price"")/INDEX(GOOGLEFINANCE($U$2,""price"",DATEVALUE(TODAY()-$S$2) ),2,2)-1),""""))"),"")</f>
        <v/>
      </c>
      <c r="W54" s="50" t="str">
        <f t="shared" si="8"/>
        <v/>
      </c>
      <c r="X54" s="50" t="str">
        <f t="shared" si="9"/>
        <v/>
      </c>
      <c r="Y54" s="179">
        <v>0.0</v>
      </c>
      <c r="Z54" s="50" t="str">
        <f t="shared" si="10"/>
        <v/>
      </c>
      <c r="AA54" s="14" t="str">
        <f t="shared" si="11"/>
        <v/>
      </c>
      <c r="AB54" s="50" t="str">
        <f t="shared" si="12"/>
        <v/>
      </c>
      <c r="AC54" s="179" t="str">
        <f t="shared" si="13"/>
        <v/>
      </c>
      <c r="AD54" s="50" t="str">
        <f t="shared" si="14"/>
        <v/>
      </c>
      <c r="AE54" s="180" t="str">
        <f t="shared" si="15"/>
        <v/>
      </c>
      <c r="AF54" s="14" t="str">
        <f t="array" ref="AF54">IFERROR(IF(ISBLANK(AH54),"",IF(VLOOKUP(AH54,Transactions!D:F,3,0)="Stablecoin",AH54,INDEX(Transactions!$B$3:$B149,MATCH(AH54,Transactions!$D$3:$D149,0),0))))</f>
        <v/>
      </c>
      <c r="AG54" s="14" t="str">
        <f>IF(ISBLANK(AH54),"",VLOOKUP(AH54,Transactions!D:E,2,0))</f>
        <v/>
      </c>
      <c r="AH54" s="14"/>
      <c r="AI54" s="146" t="str">
        <f>IF(ISBLANK(AH54),"",IF(
SUMIFS(Transactions!$I$3:$I149,Transactions!$H$3:$H149,"Buy",Transactions!$F$3:$F149,"Stock",Transactions!$D$3:$D149,AH54)
+SUMIFS(Transactions!$I$3:$I149,Transactions!$H$3:$H149,"DRIP",Transactions!$F$3:$F149,"Stock",Transactions!$D$3:$D149,AH54)
+SUMIFS(Transactions!$I$3:$I149,Transactions!$H$3:$H149,"Transfer Deposit",Transactions!$F$3:$F149,"Stock",Transactions!$D$3:$D149,AH54)
+SUMIFS(Transactions!$I$3:$I149,Transactions!$H$3:$H149,"Buy",Transactions!$F$3:$F149,"ETF",Transactions!$D$3:$D149,AH54)
+SUMIFS(Transactions!$I$3:$I149,Transactions!$H$3:$H149,"DRIP",Transactions!$F$3:$F149,"ETF",Transactions!$D$3:$D149,AH54)
+SUMIFS(Transactions!$I$3:$I149,Transactions!$H$3:$H149,"Transfer Deposit",Transactions!$F$3:$F149,"ETF",Transactions!$D$3:$D149,AH54)
+SUMIFS(Transactions!$I$3:$I149,Transactions!$H$3:$H149,"Buy",Transactions!$F$3:$F149,"Commodity",Transactions!$D$3:$D149,AH54)
+SUMIFS(Transactions!$I$3:$I149,Transactions!$H$3:$H149,"DRIP",Transactions!$F$3:$F149,"Commodity",Transactions!$D$3:$D149,AH54)
+SUMIFS(Transactions!$I$3:$I149,Transactions!$H$3:$H149,"Transfer Deposit",Transactions!$F$3:$F149,"Commodity",Transactions!$D$3:$D149,AH54)
+SUMIFS(Transactions!$I$3:$I149,Transactions!$H$3:$H149,"Buy",Transactions!$F$3:$F149,"Managed Fund",Transactions!$D$3:$D149,AH54)
+SUMIFS(Transactions!$I$3:$I149,Transactions!$H$3:$H149,"DRIP",Transactions!$F$3:$F149,"Managed Fund",Transactions!$D$3:$D149,AH54)
+SUMIFS(Transactions!$I$3:$I149,Transactions!$H$3:$H149,"Transfer Deposit",Transactions!$F$3:$F149,"Managed Fund",Transactions!$D$3:$D149,AH54)
+SUMIFS(Transactions!$I$3:$I149,Transactions!$H$3:$H149,"Buy",Transactions!$F$3:$F149,"REIT",Transactions!$D$3:$D149,AH54)
+SUMIFS(Transactions!$I$3:$I149,Transactions!$H$3:$H149,"DRIP",Transactions!$F$3:$F149,"REIT",Transactions!$D$3:$D149,AH54)
+SUMIFS(Transactions!$I$3:$I149,Transactions!$H$3:$H149,"Transfer Deposit",Transactions!$F$3:$F149,"REIT",Transactions!$D$3:$D149,AH54)
-SUMIFS(Transactions!$I$3:$I149,Transactions!$H$3:$H149,"Sell",Transactions!$F$3:$F149,"Stock",Transactions!$D$3:$D149,AH54)
-SUMIFS(Transactions!$I$3:$I149,Transactions!$H$3:$H149,"Transfer Send",Transactions!$F$3:$F149,"Stock",Transactions!$D$3:$D149,AH54)
-SUMIFS(Transactions!$I$3:$I149,Transactions!$H$3:$H149,"Sell",Transactions!$F$3:$F149,"ETF",Transactions!$D$3:$D149,AH54)
-SUMIFS(Transactions!$I$3:$I149,Transactions!$H$3:$H149,"Transfer Send",Transactions!$F$3:$F149,"ETF",Transactions!$D$3:$D149,AH54)
-SUMIFS(Transactions!$I$3:$I149,Transactions!$H$3:$H149,"Sell",Transactions!$F$3:$F149,"Commodity",Transactions!$D$3:$D149,AH54)
-SUMIFS(Transactions!$I$3:$I149,Transactions!$H$3:$H149,"Transfer Send",Transactions!$F$3:$F149,"Commodity",Transactions!$D$3:$D149,AH54)
-SUMIFS(Transactions!$I$3:$I149,Transactions!$H$3:$H149,"Sell",Transactions!$F$3:$F149,"Managed Fund",Transactions!$D$3:$D149,AH54)
-SUMIFS(Transactions!$I$3:$I149,Transactions!$H$3:$H149,"Transfer Send",Transactions!$F$3:$F149,"Managed Fund",Transactions!$D$3:$D149,AH54)
-SUMIFS(Transactions!$I$3:$I149,Transactions!$H$3:$H149,"Sell",Transactions!$F$3:$F149,"REIT",Transactions!$D$3:$D149,AH54)
-SUMIFS(Transactions!$I$3:$I149,Transactions!$H$3:$H149,"Transfer Send",Transactions!$F$3:$F149,"REIT",Transactions!$D$3:$D149,AH54)
+SUMIFS(Transactions!$I$3:$I149,Transactions!$H$3:$H149,"Buy",Transactions!$F$3:$F149,"Crypto",Transactions!$D$3:$D149,AH54)
+SUMIFS(Transactions!$I$3:$I149,Transactions!$H$3:$H149,"Crypto Interest",Transactions!$F$3:$F149,"Crypto",Transactions!$D$3:$D149,AH54)
+SUMIFS(Transactions!$I$3:$I149,Transactions!$H$3:$H149,"Transfer Deposit",Transactions!$F$3:$F149,"Crypto",Transactions!$D$3:$D149,AH54)
-SUMIFS(Transactions!$I$3:$I149,Transactions!$H$3:$H149,"Transfer Send",Transactions!$F$3:$F149,"Crypto",Transactions!$D$3:$D149,AH54)
-SUMIFS(Transactions!$I$3:$I149,Transactions!$H$3:$H149,"Sell",Transactions!$F$3:$F149,"Crypto",Transactions!$D$3:$D149,AH54)
+SUMIFS(Transactions!$I$3:$I149,Transactions!$H$3:$H149,"Buy",Transactions!$F$3:$F149,"Stablecoin",Transactions!$D$3:$D149,AH54)
+SUMIFS(Transactions!$I$3:$I149,Transactions!$H$3:$H149,"Crypto Interest",Transactions!$F$3:$F149,"Stablecoin",Transactions!$D$3:$D149,AH54)
+SUMIFS(Transactions!$I$3:$I149,Transactions!$H$3:$H149,"Transfer Deposit",Transactions!$F$3:$F149,"Stablecoin",Transactions!$D$3:$D149,AH54)
-SUMIFS(Transactions!$I$3:$I149,Transactions!$H$3:$H149,"Transfer Send",Transactions!$F$3:$F149,"Stablecoin",Transactions!$D$3:$D149,AH54)
-SUMIFS(Transactions!$I$3:$I149,Transactions!$H$3:$H149,"Sell",Transactions!$F$3:$F149,"Stablecoin",Transactions!$D$3:$D149,AH54)
-SUMIFS(Transactions!$M$3:$M149,Transactions!$H$3:$H149,"Buy",Transactions!$B$3:$B149,AH54)=0,"Sold All",
SUMIFS(Transactions!$I$3:$I149,Transactions!$H$3:$H149,"Buy",Transactions!$F$3:$F149,"Stock",Transactions!$D$3:$D149,AH54)
+SUMIFS(Transactions!$I$3:$I149,Transactions!$H$3:$H149,"DRIP",Transactions!$F$3:$F149,"Stock",Transactions!$D$3:$D149,AH54)
+SUMIFS(Transactions!$I$3:$I149,Transactions!$H$3:$H149,"Transfer Deposit",Transactions!$F$3:$F149,"Stock",Transactions!$D$3:$D149,AH54)
+SUMIFS(Transactions!$I$3:$I149,Transactions!$H$3:$H149,"Buy",Transactions!$F$3:$F149,"ETF",Transactions!$D$3:$D149,AH54)
+SUMIFS(Transactions!$I$3:$I149,Transactions!$H$3:$H149,"DRIP",Transactions!$F$3:$F149,"ETF",Transactions!$D$3:$D149,AH54)
+SUMIFS(Transactions!$I$3:$I149,Transactions!$H$3:$H149,"Transfer Deposit",Transactions!$F$3:$F149,"ETF",Transactions!$D$3:$D149,AH54)
+SUMIFS(Transactions!$I$3:$I149,Transactions!$H$3:$H149,"Buy",Transactions!$F$3:$F149,"Commodity",Transactions!$D$3:$D149,AH54)
+SUMIFS(Transactions!$I$3:$I149,Transactions!$H$3:$H149,"DRIP",Transactions!$F$3:$F149,"Commodity",Transactions!$D$3:$D149,AH54)
+SUMIFS(Transactions!$I$3:$I149,Transactions!$H$3:$H149,"Transfer Deposit",Transactions!$F$3:$F149,"Commodity",Transactions!$D$3:$D149,AH54)
+SUMIFS(Transactions!$I$3:$I149,Transactions!$H$3:$H149,"Buy",Transactions!$F$3:$F149,"Managed Fund",Transactions!$D$3:$D149,AH54)
+SUMIFS(Transactions!$I$3:$I149,Transactions!$H$3:$H149,"DRIP",Transactions!$F$3:$F149,"Managed Fund",Transactions!$D$3:$D149,AH54)
+SUMIFS(Transactions!$I$3:$I149,Transactions!$H$3:$H149,"Transfer Deposit",Transactions!$F$3:$F149,"Managed Fund",Transactions!$D$3:$D149,AH54)
+SUMIFS(Transactions!$I$3:$I149,Transactions!$H$3:$H149,"Buy",Transactions!$F$3:$F149,"REIT",Transactions!$D$3:$D149,AH54)
+SUMIFS(Transactions!$I$3:$I149,Transactions!$H$3:$H149,"DRIP",Transactions!$F$3:$F149,"REIT",Transactions!$D$3:$D149,AH54)
+SUMIFS(Transactions!$I$3:$I149,Transactions!$H$3:$H149,"Transfer Deposit",Transactions!$F$3:$F149,"REIT",Transactions!$D$3:$D149,AH54)
-SUMIFS(Transactions!$I$3:$I149,Transactions!$H$3:$H149,"Sell",Transactions!$F$3:$F149,"Stock",Transactions!$D$3:$D149,AH54)
-SUMIFS(Transactions!$I$3:$I149,Transactions!$H$3:$H149,"Transfer Send",Transactions!$F$3:$F149,"Stock",Transactions!$D$3:$D149,AH54)
-SUMIFS(Transactions!$I$3:$I149,Transactions!$H$3:$H149,"Sell",Transactions!$F$3:$F149,"ETF",Transactions!$D$3:$D149,AH54)
-SUMIFS(Transactions!$I$3:$I149,Transactions!$H$3:$H149,"Transfer Send",Transactions!$F$3:$F149,"ETF",Transactions!$D$3:$D149,AH54)
-SUMIFS(Transactions!$I$3:$I149,Transactions!$H$3:$H149,"Sell",Transactions!$F$3:$F149,"Commodity",Transactions!$D$3:$D149,AH54)
-SUMIFS(Transactions!$I$3:$I149,Transactions!$H$3:$H149,"Transfer Send",Transactions!$F$3:$F149,"Commodity",Transactions!$D$3:$D149,AH54)
-SUMIFS(Transactions!$I$3:$I149,Transactions!$H$3:$H149,"Sell",Transactions!$F$3:$F149,"Managed Fund",Transactions!$D$3:$D149,AH54)
-SUMIFS(Transactions!$I$3:$I149,Transactions!$H$3:$H149,"Transfer Send",Transactions!$F$3:$F149,"Managed Fund",Transactions!$D$3:$D149,AH54)
-SUMIFS(Transactions!$I$3:$I149,Transactions!$H$3:$H149,"Sell",Transactions!$F$3:$F149,"REIT",Transactions!$D$3:$D149,AH54)
-SUMIFS(Transactions!$I$3:$I149,Transactions!$H$3:$H149,"Transfer Send",Transactions!$F$3:$F149,"REIT",Transactions!$D$3:$D149,AH54)
+SUMIFS(Transactions!$I$3:$I149,Transactions!$H$3:$H149,"Buy",Transactions!$F$3:$F149,"Crypto",Transactions!$D$3:$D149,AH54)
+SUMIFS(Transactions!$I$3:$I149,Transactions!$H$3:$H149,"Crypto Interest",Transactions!$F$3:$F149,"Crypto",Transactions!$D$3:$D149,AH54)
+SUMIFS(Transactions!$I$3:$I149,Transactions!$H$3:$H149,"Transfer Deposit",Transactions!$F$3:$F149,"Crypto",Transactions!$D$3:$D149,AH54)
-SUMIFS(Transactions!$I$3:$I149,Transactions!$H$3:$H149,"Transfer Send",Transactions!$F$3:$F149,"Crypto",Transactions!$D$3:$D149,AH54)
-SUMIFS(Transactions!$I$3:$I149,Transactions!$H$3:$H149,"Sell",Transactions!$F$3:$F149,"Crypto",Transactions!$D$3:$D149,AH54)
+SUMIFS(Transactions!$I$3:$I149,Transactions!$H$3:$H149,"Buy",Transactions!$F$3:$F149,"Stablecoin",Transactions!$D$3:$D149,AH54)
+SUMIFS(Transactions!$I$3:$I149,Transactions!$H$3:$H149,"Crypto Interest",Transactions!$F$3:$F149,"Stablecoin",Transactions!$D$3:$D149,AH54)
+SUMIFS(Transactions!$I$3:$I149,Transactions!$H$3:$H149,"Transfer Deposit",Transactions!$F$3:$F149,"Stablecoin",Transactions!$D$3:$D149,AH54)
-SUMIFS(Transactions!$I$3:$I149,Transactions!$H$3:$H149,"Transfer Send",Transactions!$F$3:$F149,"Stablecoin",Transactions!$D$3:$D149,AH54)
-SUMIFS(Transactions!$I$3:$I149,Transactions!$H$3:$H149,"Sell",Transactions!$F$3:$F149,"Stablecoin",Transactions!$D$3:$D149,AH54)
-SUMIFS(Transactions!$M$3:$M149,Transactions!$H$3:$H149,"Buy",Transactions!$B$3:$B149,AH54)))</f>
        <v/>
      </c>
      <c r="AJ54" s="181" t="str">
        <f>IFERROR(__xludf.DUMMYFUNCTION("IF(ISBLANK(AH54),"""",VLOOKUP(9^99,FILTER({ROW(Transactions!P:P),Transactions!P:P},Transactions!D:D=AH54),2))"),"")</f>
        <v/>
      </c>
      <c r="AK54" s="181" t="str">
        <f>IFERROR(__xludf.DUMMYFUNCTION("IF(ISBLANK(AH54),"""",IFERROR(GOOGLEFINANCE(AH54,""price""),IFERROR(GOOGLEFINANCE(""CURRENCY:""&amp;AH54&amp;""""),IFERROR(INDEX(YAHOO_STOCK(TRIM(AH54), $G$2),0,1),INDEX(IMPORTHTML(CONCAT(""https://coinmarketcap.com/currencies/"",AG54),""table"",1),1,2)))))"),"")</f>
        <v/>
      </c>
      <c r="AL54" s="14" t="str">
        <f>IFERROR(__xludf.DUMMYFUNCTION("IF(ISBLANK(AH54),"""",IFERROR(SPARKLINE(INDEX(GOOGLEFINANCE(AH54,""price"",TODAY()-$AL$2,TODAY()),,2),{""charttype"",""column"";""color"",""17a7e0""}),""""))"),"")</f>
        <v/>
      </c>
      <c r="AM54" s="50" t="str">
        <f>IFERROR(__xludf.DUMMYFUNCTION("IFNA(IFERROR(IF(AH54="""","""",GOOGLEFINANCE(AH54,""changepct"")/100),(GOOGLEFINANCE(AH54)-(INDEX(GOOGLEFINANCE(""CURRENCY:""&amp;AH54&amp;"""",""price"",TODAY()-1),2,2)))/(INDEX(GOOGLEFINANCE(""CURRENCY:""&amp;AH54&amp;"""",""price"",TODAY()-1),2,2))),)"),"")</f>
        <v/>
      </c>
      <c r="AN54" s="96" t="str">
        <f>IFERROR(__xludf.DUMMYFUNCTION("IFNA(IFERROR(IF(AH54="""","""",GOOGLEFINANCE(AH54,""change"")*AI54),(GOOGLEFINANCE(AH54)-(INDEX(GOOGLEFINANCE(""CURRENCY:""&amp;AH54&amp;"""",""price"",TODAY()-1),2,2)))*AI54),"""")"),"")</f>
        <v/>
      </c>
      <c r="AO54" s="96" t="str">
        <f>IF(ISBLANK(AH54),"",IFERROR(((AI54-SUMIFS(Transactions!I:I,Transactions!H:H,"Crypto Interest",Transactions!D:D,AH54))*AJ54),""))</f>
        <v/>
      </c>
      <c r="AP54" s="96" t="str">
        <f t="shared" si="16"/>
        <v/>
      </c>
      <c r="AQ54" s="50" t="str">
        <f t="shared" si="17"/>
        <v/>
      </c>
      <c r="AR54" s="96" t="str">
        <f t="shared" si="18"/>
        <v/>
      </c>
      <c r="AS54" s="96" t="str">
        <f>IF(ISBLANK(AH54),"",SUMIFS(Transactions!$X$3:$X149,Transactions!$H$3:$H149,"Sell",Transactions!$D$3:$D149,AH54))</f>
        <v/>
      </c>
      <c r="AT54" s="96" t="str">
        <f t="shared" si="19"/>
        <v/>
      </c>
      <c r="AU54" s="50" t="str">
        <f>IFERROR(__xludf.DUMMYFUNCTION("IF(ISBLANK(AH54),"""",IFERROR((GOOGLEFINANCE(AH54,""price"")/INDEX(GOOGLEFINANCE(AH54,""price"",DATEVALUE(TODAY()-$AU$2) ),2,2)-1),""""))"),"")</f>
        <v/>
      </c>
      <c r="AW54" s="50" t="str">
        <f>IFERROR(__xludf.DUMMYFUNCTION("IF(ISBLANK(AH54),"""",IFERROR((GOOGLEFINANCE($AW$2,""price"")/INDEX(GOOGLEFINANCE($AW$2,""price"",DATEVALUE(TODAY()-$AU$2) ),2,2)-1),""""))"),"")</f>
        <v/>
      </c>
      <c r="AY54" s="50" t="str">
        <f t="shared" si="20"/>
        <v/>
      </c>
      <c r="AZ54" s="50" t="str">
        <f t="shared" si="21"/>
        <v/>
      </c>
      <c r="BA54" s="50">
        <f t="shared" si="22"/>
        <v>0</v>
      </c>
      <c r="BB54" s="14" t="str">
        <f t="shared" si="23"/>
        <v/>
      </c>
      <c r="BC54" s="14" t="str">
        <f>IF(ISBLANK(AH54),"",IFERROR(VLOOKUP(AH54,Transactions!D:F,3,0)))</f>
        <v/>
      </c>
      <c r="BD54" s="50" t="str">
        <f t="shared" si="24"/>
        <v/>
      </c>
      <c r="BE54" s="50" t="str">
        <f t="shared" si="25"/>
        <v/>
      </c>
      <c r="BF54" s="14" t="str">
        <f t="shared" si="26"/>
        <v/>
      </c>
      <c r="BG54" s="180" t="str">
        <f>IF(ISBLANK(AH54),"",IFERROR(VLOOKUP(AH54,Transactions!D:G,4,0)))</f>
        <v/>
      </c>
    </row>
    <row r="55">
      <c r="A55" s="14" t="str">
        <f t="shared" ref="A55:C55" si="78">AG55</f>
        <v/>
      </c>
      <c r="B55" s="14" t="str">
        <f t="shared" si="78"/>
        <v/>
      </c>
      <c r="C55" s="175" t="str">
        <f t="shared" si="78"/>
        <v/>
      </c>
      <c r="D55" s="176" t="str">
        <f>IFERROR(__xludf.DUMMYFUNCTION("IF(ISBLANK(B55),"""",IFERROR(IF(OR(AF55=""GPB"",AF55=""ZAR""),IF(AF55=Dashboard!$L$1,AJ55,(AJ55*GOOGLEFINANCE(""CURRENCY:""&amp;AF55&amp;""""&amp;Dashboard!$L$1&amp;""""))/100),IF(AF55=Dashboard!$L$1,AJ55,AJ55*GOOGLEFINANCE(""CURRENCY:""&amp;AF55&amp;""""&amp;Dashboard!$L$1&amp;""""))),"&amp;"AJ55))"),"")</f>
        <v/>
      </c>
      <c r="E55" s="177" t="str">
        <f>IFERROR(__xludf.DUMMYFUNCTION("IFERROR(IF(OR(AF55=""GBP"",AF55=""ZAR""),IF(B55="""","""",IF(AF55=Dashboard!$L$1,AK55,AK55*GOOGLEFINANCE(""CURRENCY:""&amp;AF55&amp;""""&amp;Dashboard!$L$1&amp;"""")))/100,If(B55="""","""",IF(AF55=Dashboard!$L$1,AK55,AK55*GOOGLEFINANCE(""CURRENCY:""&amp;AF55&amp;""""&amp;Dashboard!$"&amp;"L$1&amp;"""")))),AK55)"),"")</f>
        <v/>
      </c>
      <c r="F55" s="145" t="str">
        <f t="shared" si="65"/>
        <v/>
      </c>
      <c r="G55" s="96" t="str">
        <f>IFERROR(__xludf.DUMMYFUNCTION("IF(ISBLANK(B55),"""",IFERROR(SPARKLINE(INDEX(GOOGLEFINANCE(B55,""price"",TODAY()-$G$2,TODAY()),,2),{""charttype"",""column"";""color"",""17a7e0""}),""""))"),"")</f>
        <v/>
      </c>
      <c r="H55" s="50" t="str">
        <f t="shared" si="3"/>
        <v/>
      </c>
      <c r="I55" s="96" t="str">
        <f>IFERROR(__xludf.DUMMYFUNCTION("IF(ISBLANK(B55),"""",IFERROR(IF(OR(AF55=""GPB"",AF55=""ZAR""),IF(AF55=Dashboard!$L$1,AN55,(AN55*GOOGLEFINANCE(""CURRENCY:""&amp;AF55&amp;""""&amp;Dashboard!$L$1&amp;""""))/100),IF(AF55=Dashboard!$L$1,AN55,AN55*GOOGLEFINANCE(""CURRENCY:""&amp;AF55&amp;""""&amp;Dashboard!$L$1&amp;""""))),"&amp;"AN55))"),"")</f>
        <v/>
      </c>
      <c r="J55" s="178" t="str">
        <f>IF(ISBLANK(B55),"",IFERROR(((C55-SUMIFS(Transactions!I:I,Transactions!H:H,"Crypto Interest",Transactions!D:D,B55))*D55),""))</f>
        <v/>
      </c>
      <c r="K55" s="178" t="str">
        <f t="shared" si="4"/>
        <v/>
      </c>
      <c r="L55" s="145">
        <f>-SUMIFS(Transactions!$M$3:$M149,Transactions!$H$3:$H149,"Buy",Transactions!$D$3:$D149,B55)</f>
        <v>0</v>
      </c>
      <c r="M55" s="145">
        <f>IF(ISBLANK(AG55),"",SUMIFS(Transactions!$M$3:$M149,Transactions!$H$3:$H149,"Dividend",Transactions!$D$3:$D149,B55))</f>
        <v>0</v>
      </c>
      <c r="N55" s="145" t="str">
        <f>IF(ISBLANK(AH55),"",SUMIFS(Transactions!$M$3:$M149,Transactions!$H$3:$H149,"Sell",Transactions!$D$3:$D149,B55))</f>
        <v/>
      </c>
      <c r="O55" s="50" t="str">
        <f t="shared" si="5"/>
        <v/>
      </c>
      <c r="P55" s="178" t="str">
        <f t="shared" si="6"/>
        <v/>
      </c>
      <c r="Q55" s="178" t="str">
        <f>IFERROR(__xludf.DUMMYFUNCTION("IF(ISBLANK(B55),"""",IFERROR(IF(OR(AF55=""GPB"",AF55=""ZAR""),IF(AF55=Dashboard!$L$1,AS55,(AS55*GOOGLEFINANCE(""CURRENCY:""&amp;AF55&amp;""""&amp;Dashboard!$L$1&amp;""""))/100),IF(AF55=Dashboard!$L$1,AS55,AS55*GOOGLEFINANCE(""CURRENCY:""&amp;AF55&amp;""""&amp;Dashboard!$L$1&amp;""""))),"&amp;"AS55))"),"")</f>
        <v/>
      </c>
      <c r="R55" s="178" t="str">
        <f t="shared" si="7"/>
        <v/>
      </c>
      <c r="S55" s="50" t="str">
        <f>IFERROR(__xludf.DUMMYFUNCTION("IF(ISBLANK(B55),"""",IFERROR((GOOGLEFINANCE(B55,""price"")/INDEX(GOOGLEFINANCE(B55,""price"",DATEVALUE(TODAY()-$S$2) ),2,2)-1),""""))"),"")</f>
        <v/>
      </c>
      <c r="U55" s="50" t="str">
        <f>IFERROR(__xludf.DUMMYFUNCTION("IF(ISBLANK(B55),"""",IFERROR((GOOGLEFINANCE($U$2,""price"")/INDEX(GOOGLEFINANCE($U$2,""price"",DATEVALUE(TODAY()-$S$2) ),2,2)-1),""""))"),"")</f>
        <v/>
      </c>
      <c r="W55" s="50" t="str">
        <f t="shared" si="8"/>
        <v/>
      </c>
      <c r="X55" s="50" t="str">
        <f t="shared" si="9"/>
        <v/>
      </c>
      <c r="Y55" s="179">
        <v>0.0</v>
      </c>
      <c r="Z55" s="50" t="str">
        <f t="shared" si="10"/>
        <v/>
      </c>
      <c r="AA55" s="14" t="str">
        <f t="shared" si="11"/>
        <v/>
      </c>
      <c r="AB55" s="50" t="str">
        <f t="shared" si="12"/>
        <v/>
      </c>
      <c r="AC55" s="179" t="str">
        <f t="shared" si="13"/>
        <v/>
      </c>
      <c r="AD55" s="50" t="str">
        <f t="shared" si="14"/>
        <v/>
      </c>
      <c r="AE55" s="180" t="str">
        <f t="shared" si="15"/>
        <v/>
      </c>
      <c r="AF55" s="14" t="str">
        <f t="array" ref="AF55">IFERROR(IF(ISBLANK(AH55),"",IF(VLOOKUP(AH55,Transactions!D:F,3,0)="Stablecoin",AH55,INDEX(Transactions!$B$3:$B149,MATCH(AH55,Transactions!$D$3:$D149,0),0))))</f>
        <v/>
      </c>
      <c r="AG55" s="14" t="str">
        <f>IF(ISBLANK(AH55),"",VLOOKUP(AH55,Transactions!D:E,2,0))</f>
        <v/>
      </c>
      <c r="AH55" s="14"/>
      <c r="AI55" s="146" t="str">
        <f>IF(ISBLANK(AH55),"",IF(
SUMIFS(Transactions!$I$3:$I149,Transactions!$H$3:$H149,"Buy",Transactions!$F$3:$F149,"Stock",Transactions!$D$3:$D149,AH55)
+SUMIFS(Transactions!$I$3:$I149,Transactions!$H$3:$H149,"DRIP",Transactions!$F$3:$F149,"Stock",Transactions!$D$3:$D149,AH55)
+SUMIFS(Transactions!$I$3:$I149,Transactions!$H$3:$H149,"Transfer Deposit",Transactions!$F$3:$F149,"Stock",Transactions!$D$3:$D149,AH55)
+SUMIFS(Transactions!$I$3:$I149,Transactions!$H$3:$H149,"Buy",Transactions!$F$3:$F149,"ETF",Transactions!$D$3:$D149,AH55)
+SUMIFS(Transactions!$I$3:$I149,Transactions!$H$3:$H149,"DRIP",Transactions!$F$3:$F149,"ETF",Transactions!$D$3:$D149,AH55)
+SUMIFS(Transactions!$I$3:$I149,Transactions!$H$3:$H149,"Transfer Deposit",Transactions!$F$3:$F149,"ETF",Transactions!$D$3:$D149,AH55)
+SUMIFS(Transactions!$I$3:$I149,Transactions!$H$3:$H149,"Buy",Transactions!$F$3:$F149,"Commodity",Transactions!$D$3:$D149,AH55)
+SUMIFS(Transactions!$I$3:$I149,Transactions!$H$3:$H149,"DRIP",Transactions!$F$3:$F149,"Commodity",Transactions!$D$3:$D149,AH55)
+SUMIFS(Transactions!$I$3:$I149,Transactions!$H$3:$H149,"Transfer Deposit",Transactions!$F$3:$F149,"Commodity",Transactions!$D$3:$D149,AH55)
+SUMIFS(Transactions!$I$3:$I149,Transactions!$H$3:$H149,"Buy",Transactions!$F$3:$F149,"Managed Fund",Transactions!$D$3:$D149,AH55)
+SUMIFS(Transactions!$I$3:$I149,Transactions!$H$3:$H149,"DRIP",Transactions!$F$3:$F149,"Managed Fund",Transactions!$D$3:$D149,AH55)
+SUMIFS(Transactions!$I$3:$I149,Transactions!$H$3:$H149,"Transfer Deposit",Transactions!$F$3:$F149,"Managed Fund",Transactions!$D$3:$D149,AH55)
+SUMIFS(Transactions!$I$3:$I149,Transactions!$H$3:$H149,"Buy",Transactions!$F$3:$F149,"REIT",Transactions!$D$3:$D149,AH55)
+SUMIFS(Transactions!$I$3:$I149,Transactions!$H$3:$H149,"DRIP",Transactions!$F$3:$F149,"REIT",Transactions!$D$3:$D149,AH55)
+SUMIFS(Transactions!$I$3:$I149,Transactions!$H$3:$H149,"Transfer Deposit",Transactions!$F$3:$F149,"REIT",Transactions!$D$3:$D149,AH55)
-SUMIFS(Transactions!$I$3:$I149,Transactions!$H$3:$H149,"Sell",Transactions!$F$3:$F149,"Stock",Transactions!$D$3:$D149,AH55)
-SUMIFS(Transactions!$I$3:$I149,Transactions!$H$3:$H149,"Transfer Send",Transactions!$F$3:$F149,"Stock",Transactions!$D$3:$D149,AH55)
-SUMIFS(Transactions!$I$3:$I149,Transactions!$H$3:$H149,"Sell",Transactions!$F$3:$F149,"ETF",Transactions!$D$3:$D149,AH55)
-SUMIFS(Transactions!$I$3:$I149,Transactions!$H$3:$H149,"Transfer Send",Transactions!$F$3:$F149,"ETF",Transactions!$D$3:$D149,AH55)
-SUMIFS(Transactions!$I$3:$I149,Transactions!$H$3:$H149,"Sell",Transactions!$F$3:$F149,"Commodity",Transactions!$D$3:$D149,AH55)
-SUMIFS(Transactions!$I$3:$I149,Transactions!$H$3:$H149,"Transfer Send",Transactions!$F$3:$F149,"Commodity",Transactions!$D$3:$D149,AH55)
-SUMIFS(Transactions!$I$3:$I149,Transactions!$H$3:$H149,"Sell",Transactions!$F$3:$F149,"Managed Fund",Transactions!$D$3:$D149,AH55)
-SUMIFS(Transactions!$I$3:$I149,Transactions!$H$3:$H149,"Transfer Send",Transactions!$F$3:$F149,"Managed Fund",Transactions!$D$3:$D149,AH55)
-SUMIFS(Transactions!$I$3:$I149,Transactions!$H$3:$H149,"Sell",Transactions!$F$3:$F149,"REIT",Transactions!$D$3:$D149,AH55)
-SUMIFS(Transactions!$I$3:$I149,Transactions!$H$3:$H149,"Transfer Send",Transactions!$F$3:$F149,"REIT",Transactions!$D$3:$D149,AH55)
+SUMIFS(Transactions!$I$3:$I149,Transactions!$H$3:$H149,"Buy",Transactions!$F$3:$F149,"Crypto",Transactions!$D$3:$D149,AH55)
+SUMIFS(Transactions!$I$3:$I149,Transactions!$H$3:$H149,"Crypto Interest",Transactions!$F$3:$F149,"Crypto",Transactions!$D$3:$D149,AH55)
+SUMIFS(Transactions!$I$3:$I149,Transactions!$H$3:$H149,"Transfer Deposit",Transactions!$F$3:$F149,"Crypto",Transactions!$D$3:$D149,AH55)
-SUMIFS(Transactions!$I$3:$I149,Transactions!$H$3:$H149,"Transfer Send",Transactions!$F$3:$F149,"Crypto",Transactions!$D$3:$D149,AH55)
-SUMIFS(Transactions!$I$3:$I149,Transactions!$H$3:$H149,"Sell",Transactions!$F$3:$F149,"Crypto",Transactions!$D$3:$D149,AH55)
+SUMIFS(Transactions!$I$3:$I149,Transactions!$H$3:$H149,"Buy",Transactions!$F$3:$F149,"Stablecoin",Transactions!$D$3:$D149,AH55)
+SUMIFS(Transactions!$I$3:$I149,Transactions!$H$3:$H149,"Crypto Interest",Transactions!$F$3:$F149,"Stablecoin",Transactions!$D$3:$D149,AH55)
+SUMIFS(Transactions!$I$3:$I149,Transactions!$H$3:$H149,"Transfer Deposit",Transactions!$F$3:$F149,"Stablecoin",Transactions!$D$3:$D149,AH55)
-SUMIFS(Transactions!$I$3:$I149,Transactions!$H$3:$H149,"Transfer Send",Transactions!$F$3:$F149,"Stablecoin",Transactions!$D$3:$D149,AH55)
-SUMIFS(Transactions!$I$3:$I149,Transactions!$H$3:$H149,"Sell",Transactions!$F$3:$F149,"Stablecoin",Transactions!$D$3:$D149,AH55)
-SUMIFS(Transactions!$M$3:$M149,Transactions!$H$3:$H149,"Buy",Transactions!$B$3:$B149,AH55)=0,"Sold All",
SUMIFS(Transactions!$I$3:$I149,Transactions!$H$3:$H149,"Buy",Transactions!$F$3:$F149,"Stock",Transactions!$D$3:$D149,AH55)
+SUMIFS(Transactions!$I$3:$I149,Transactions!$H$3:$H149,"DRIP",Transactions!$F$3:$F149,"Stock",Transactions!$D$3:$D149,AH55)
+SUMIFS(Transactions!$I$3:$I149,Transactions!$H$3:$H149,"Transfer Deposit",Transactions!$F$3:$F149,"Stock",Transactions!$D$3:$D149,AH55)
+SUMIFS(Transactions!$I$3:$I149,Transactions!$H$3:$H149,"Buy",Transactions!$F$3:$F149,"ETF",Transactions!$D$3:$D149,AH55)
+SUMIFS(Transactions!$I$3:$I149,Transactions!$H$3:$H149,"DRIP",Transactions!$F$3:$F149,"ETF",Transactions!$D$3:$D149,AH55)
+SUMIFS(Transactions!$I$3:$I149,Transactions!$H$3:$H149,"Transfer Deposit",Transactions!$F$3:$F149,"ETF",Transactions!$D$3:$D149,AH55)
+SUMIFS(Transactions!$I$3:$I149,Transactions!$H$3:$H149,"Buy",Transactions!$F$3:$F149,"Commodity",Transactions!$D$3:$D149,AH55)
+SUMIFS(Transactions!$I$3:$I149,Transactions!$H$3:$H149,"DRIP",Transactions!$F$3:$F149,"Commodity",Transactions!$D$3:$D149,AH55)
+SUMIFS(Transactions!$I$3:$I149,Transactions!$H$3:$H149,"Transfer Deposit",Transactions!$F$3:$F149,"Commodity",Transactions!$D$3:$D149,AH55)
+SUMIFS(Transactions!$I$3:$I149,Transactions!$H$3:$H149,"Buy",Transactions!$F$3:$F149,"Managed Fund",Transactions!$D$3:$D149,AH55)
+SUMIFS(Transactions!$I$3:$I149,Transactions!$H$3:$H149,"DRIP",Transactions!$F$3:$F149,"Managed Fund",Transactions!$D$3:$D149,AH55)
+SUMIFS(Transactions!$I$3:$I149,Transactions!$H$3:$H149,"Transfer Deposit",Transactions!$F$3:$F149,"Managed Fund",Transactions!$D$3:$D149,AH55)
+SUMIFS(Transactions!$I$3:$I149,Transactions!$H$3:$H149,"Buy",Transactions!$F$3:$F149,"REIT",Transactions!$D$3:$D149,AH55)
+SUMIFS(Transactions!$I$3:$I149,Transactions!$H$3:$H149,"DRIP",Transactions!$F$3:$F149,"REIT",Transactions!$D$3:$D149,AH55)
+SUMIFS(Transactions!$I$3:$I149,Transactions!$H$3:$H149,"Transfer Deposit",Transactions!$F$3:$F149,"REIT",Transactions!$D$3:$D149,AH55)
-SUMIFS(Transactions!$I$3:$I149,Transactions!$H$3:$H149,"Sell",Transactions!$F$3:$F149,"Stock",Transactions!$D$3:$D149,AH55)
-SUMIFS(Transactions!$I$3:$I149,Transactions!$H$3:$H149,"Transfer Send",Transactions!$F$3:$F149,"Stock",Transactions!$D$3:$D149,AH55)
-SUMIFS(Transactions!$I$3:$I149,Transactions!$H$3:$H149,"Sell",Transactions!$F$3:$F149,"ETF",Transactions!$D$3:$D149,AH55)
-SUMIFS(Transactions!$I$3:$I149,Transactions!$H$3:$H149,"Transfer Send",Transactions!$F$3:$F149,"ETF",Transactions!$D$3:$D149,AH55)
-SUMIFS(Transactions!$I$3:$I149,Transactions!$H$3:$H149,"Sell",Transactions!$F$3:$F149,"Commodity",Transactions!$D$3:$D149,AH55)
-SUMIFS(Transactions!$I$3:$I149,Transactions!$H$3:$H149,"Transfer Send",Transactions!$F$3:$F149,"Commodity",Transactions!$D$3:$D149,AH55)
-SUMIFS(Transactions!$I$3:$I149,Transactions!$H$3:$H149,"Sell",Transactions!$F$3:$F149,"Managed Fund",Transactions!$D$3:$D149,AH55)
-SUMIFS(Transactions!$I$3:$I149,Transactions!$H$3:$H149,"Transfer Send",Transactions!$F$3:$F149,"Managed Fund",Transactions!$D$3:$D149,AH55)
-SUMIFS(Transactions!$I$3:$I149,Transactions!$H$3:$H149,"Sell",Transactions!$F$3:$F149,"REIT",Transactions!$D$3:$D149,AH55)
-SUMIFS(Transactions!$I$3:$I149,Transactions!$H$3:$H149,"Transfer Send",Transactions!$F$3:$F149,"REIT",Transactions!$D$3:$D149,AH55)
+SUMIFS(Transactions!$I$3:$I149,Transactions!$H$3:$H149,"Buy",Transactions!$F$3:$F149,"Crypto",Transactions!$D$3:$D149,AH55)
+SUMIFS(Transactions!$I$3:$I149,Transactions!$H$3:$H149,"Crypto Interest",Transactions!$F$3:$F149,"Crypto",Transactions!$D$3:$D149,AH55)
+SUMIFS(Transactions!$I$3:$I149,Transactions!$H$3:$H149,"Transfer Deposit",Transactions!$F$3:$F149,"Crypto",Transactions!$D$3:$D149,AH55)
-SUMIFS(Transactions!$I$3:$I149,Transactions!$H$3:$H149,"Transfer Send",Transactions!$F$3:$F149,"Crypto",Transactions!$D$3:$D149,AH55)
-SUMIFS(Transactions!$I$3:$I149,Transactions!$H$3:$H149,"Sell",Transactions!$F$3:$F149,"Crypto",Transactions!$D$3:$D149,AH55)
+SUMIFS(Transactions!$I$3:$I149,Transactions!$H$3:$H149,"Buy",Transactions!$F$3:$F149,"Stablecoin",Transactions!$D$3:$D149,AH55)
+SUMIFS(Transactions!$I$3:$I149,Transactions!$H$3:$H149,"Crypto Interest",Transactions!$F$3:$F149,"Stablecoin",Transactions!$D$3:$D149,AH55)
+SUMIFS(Transactions!$I$3:$I149,Transactions!$H$3:$H149,"Transfer Deposit",Transactions!$F$3:$F149,"Stablecoin",Transactions!$D$3:$D149,AH55)
-SUMIFS(Transactions!$I$3:$I149,Transactions!$H$3:$H149,"Transfer Send",Transactions!$F$3:$F149,"Stablecoin",Transactions!$D$3:$D149,AH55)
-SUMIFS(Transactions!$I$3:$I149,Transactions!$H$3:$H149,"Sell",Transactions!$F$3:$F149,"Stablecoin",Transactions!$D$3:$D149,AH55)
-SUMIFS(Transactions!$M$3:$M149,Transactions!$H$3:$H149,"Buy",Transactions!$B$3:$B149,AH55)))</f>
        <v/>
      </c>
      <c r="AJ55" s="181" t="str">
        <f>IFERROR(__xludf.DUMMYFUNCTION("IF(ISBLANK(AH55),"""",VLOOKUP(9^99,FILTER({ROW(Transactions!P:P),Transactions!P:P},Transactions!D:D=AH55),2))"),"")</f>
        <v/>
      </c>
      <c r="AK55" s="181" t="str">
        <f>IFERROR(__xludf.DUMMYFUNCTION("IF(ISBLANK(AH55),"""",IFERROR(GOOGLEFINANCE(AH55,""price""),IFERROR(GOOGLEFINANCE(""CURRENCY:""&amp;AH55&amp;""""),IFERROR(INDEX(YAHOO_STOCK(TRIM(AH55), $G$2),0,1),INDEX(IMPORTHTML(CONCAT(""https://coinmarketcap.com/currencies/"",AG55),""table"",1),1,2)))))"),"")</f>
        <v/>
      </c>
      <c r="AL55" s="14" t="str">
        <f>IFERROR(__xludf.DUMMYFUNCTION("IF(ISBLANK(AH55),"""",IFERROR(SPARKLINE(INDEX(GOOGLEFINANCE(AH55,""price"",TODAY()-$AL$2,TODAY()),,2),{""charttype"",""column"";""color"",""17a7e0""}),""""))"),"")</f>
        <v/>
      </c>
      <c r="AM55" s="50" t="str">
        <f>IFERROR(__xludf.DUMMYFUNCTION("IFNA(IFERROR(IF(AH55="""","""",GOOGLEFINANCE(AH55,""changepct"")/100),(GOOGLEFINANCE(AH55)-(INDEX(GOOGLEFINANCE(""CURRENCY:""&amp;AH55&amp;"""",""price"",TODAY()-1),2,2)))/(INDEX(GOOGLEFINANCE(""CURRENCY:""&amp;AH55&amp;"""",""price"",TODAY()-1),2,2))),)"),"")</f>
        <v/>
      </c>
      <c r="AN55" s="96" t="str">
        <f>IFERROR(__xludf.DUMMYFUNCTION("IFNA(IFERROR(IF(AH55="""","""",GOOGLEFINANCE(AH55,""change"")*AI55),(GOOGLEFINANCE(AH55)-(INDEX(GOOGLEFINANCE(""CURRENCY:""&amp;AH55&amp;"""",""price"",TODAY()-1),2,2)))*AI55),"""")"),"")</f>
        <v/>
      </c>
      <c r="AO55" s="96" t="str">
        <f>IF(ISBLANK(AH55),"",IFERROR(((AI55-SUMIFS(Transactions!I:I,Transactions!H:H,"Crypto Interest",Transactions!D:D,AH55))*AJ55),""))</f>
        <v/>
      </c>
      <c r="AP55" s="96" t="str">
        <f t="shared" si="16"/>
        <v/>
      </c>
      <c r="AQ55" s="50" t="str">
        <f t="shared" si="17"/>
        <v/>
      </c>
      <c r="AR55" s="96" t="str">
        <f t="shared" si="18"/>
        <v/>
      </c>
      <c r="AS55" s="96" t="str">
        <f>IF(ISBLANK(AH55),"",SUMIFS(Transactions!$X$3:$X149,Transactions!$H$3:$H149,"Sell",Transactions!$D$3:$D149,AH55))</f>
        <v/>
      </c>
      <c r="AT55" s="96" t="str">
        <f t="shared" si="19"/>
        <v/>
      </c>
      <c r="AU55" s="50" t="str">
        <f>IFERROR(__xludf.DUMMYFUNCTION("IF(ISBLANK(AH55),"""",IFERROR((GOOGLEFINANCE(AH55,""price"")/INDEX(GOOGLEFINANCE(AH55,""price"",DATEVALUE(TODAY()-$AU$2) ),2,2)-1),""""))"),"")</f>
        <v/>
      </c>
      <c r="AW55" s="50" t="str">
        <f>IFERROR(__xludf.DUMMYFUNCTION("IF(ISBLANK(AH55),"""",IFERROR((GOOGLEFINANCE($AW$2,""price"")/INDEX(GOOGLEFINANCE($AW$2,""price"",DATEVALUE(TODAY()-$AU$2) ),2,2)-1),""""))"),"")</f>
        <v/>
      </c>
      <c r="AY55" s="50" t="str">
        <f t="shared" si="20"/>
        <v/>
      </c>
      <c r="AZ55" s="50" t="str">
        <f t="shared" si="21"/>
        <v/>
      </c>
      <c r="BA55" s="50">
        <f t="shared" si="22"/>
        <v>0</v>
      </c>
      <c r="BB55" s="14" t="str">
        <f t="shared" si="23"/>
        <v/>
      </c>
      <c r="BC55" s="14" t="str">
        <f>IF(ISBLANK(AH55),"",IFERROR(VLOOKUP(AH55,Transactions!D:F,3,0)))</f>
        <v/>
      </c>
      <c r="BD55" s="50" t="str">
        <f t="shared" si="24"/>
        <v/>
      </c>
      <c r="BE55" s="50" t="str">
        <f t="shared" si="25"/>
        <v/>
      </c>
      <c r="BF55" s="14" t="str">
        <f t="shared" si="26"/>
        <v/>
      </c>
      <c r="BG55" s="180" t="str">
        <f>IF(ISBLANK(AH55),"",IFERROR(VLOOKUP(AH55,Transactions!D:G,4,0)))</f>
        <v/>
      </c>
    </row>
    <row r="56">
      <c r="A56" s="14" t="str">
        <f t="shared" ref="A56:C56" si="79">AG56</f>
        <v/>
      </c>
      <c r="B56" s="14" t="str">
        <f t="shared" si="79"/>
        <v/>
      </c>
      <c r="C56" s="175" t="str">
        <f t="shared" si="79"/>
        <v/>
      </c>
      <c r="D56" s="176" t="str">
        <f>IFERROR(__xludf.DUMMYFUNCTION("IF(ISBLANK(B56),"""",IFERROR(IF(OR(AF56=""GPB"",AF56=""ZAR""),IF(AF56=Dashboard!$L$1,AJ56,(AJ56*GOOGLEFINANCE(""CURRENCY:""&amp;AF56&amp;""""&amp;Dashboard!$L$1&amp;""""))/100),IF(AF56=Dashboard!$L$1,AJ56,AJ56*GOOGLEFINANCE(""CURRENCY:""&amp;AF56&amp;""""&amp;Dashboard!$L$1&amp;""""))),"&amp;"AJ56))"),"")</f>
        <v/>
      </c>
      <c r="E56" s="177" t="str">
        <f>IFERROR(__xludf.DUMMYFUNCTION("IFERROR(IF(OR(AF56=""GBP"",AF56=""ZAR""),IF(B56="""","""",IF(AF56=Dashboard!$L$1,AK56,AK56*GOOGLEFINANCE(""CURRENCY:""&amp;AF56&amp;""""&amp;Dashboard!$L$1&amp;"""")))/100,If(B56="""","""",IF(AF56=Dashboard!$L$1,AK56,AK56*GOOGLEFINANCE(""CURRENCY:""&amp;AF56&amp;""""&amp;Dashboard!$"&amp;"L$1&amp;"""")))),AK56)"),"")</f>
        <v/>
      </c>
      <c r="F56" s="145" t="str">
        <f t="shared" si="65"/>
        <v/>
      </c>
      <c r="G56" s="96" t="str">
        <f>IFERROR(__xludf.DUMMYFUNCTION("IF(ISBLANK(B56),"""",IFERROR(SPARKLINE(INDEX(GOOGLEFINANCE(B56,""price"",TODAY()-$G$2,TODAY()),,2),{""charttype"",""column"";""color"",""17a7e0""}),""""))"),"")</f>
        <v/>
      </c>
      <c r="H56" s="50" t="str">
        <f t="shared" si="3"/>
        <v/>
      </c>
      <c r="I56" s="96" t="str">
        <f>IFERROR(__xludf.DUMMYFUNCTION("IF(ISBLANK(B56),"""",IFERROR(IF(OR(AF56=""GPB"",AF56=""ZAR""),IF(AF56=Dashboard!$L$1,AN56,(AN56*GOOGLEFINANCE(""CURRENCY:""&amp;AF56&amp;""""&amp;Dashboard!$L$1&amp;""""))/100),IF(AF56=Dashboard!$L$1,AN56,AN56*GOOGLEFINANCE(""CURRENCY:""&amp;AF56&amp;""""&amp;Dashboard!$L$1&amp;""""))),"&amp;"AN56))"),"")</f>
        <v/>
      </c>
      <c r="J56" s="178" t="str">
        <f>IF(ISBLANK(B56),"",IFERROR(((C56-SUMIFS(Transactions!I:I,Transactions!H:H,"Crypto Interest",Transactions!D:D,B56))*D56),""))</f>
        <v/>
      </c>
      <c r="K56" s="178" t="str">
        <f t="shared" si="4"/>
        <v/>
      </c>
      <c r="L56" s="145">
        <f>-SUMIFS(Transactions!$M$3:$M149,Transactions!$H$3:$H149,"Buy",Transactions!$D$3:$D149,B56)</f>
        <v>0</v>
      </c>
      <c r="M56" s="145">
        <f>IF(ISBLANK(AG56),"",SUMIFS(Transactions!$M$3:$M149,Transactions!$H$3:$H149,"Dividend",Transactions!$D$3:$D149,B56))</f>
        <v>0</v>
      </c>
      <c r="N56" s="145" t="str">
        <f>IF(ISBLANK(AH56),"",SUMIFS(Transactions!$M$3:$M149,Transactions!$H$3:$H149,"Sell",Transactions!$D$3:$D149,B56))</f>
        <v/>
      </c>
      <c r="O56" s="50" t="str">
        <f t="shared" si="5"/>
        <v/>
      </c>
      <c r="P56" s="178" t="str">
        <f t="shared" si="6"/>
        <v/>
      </c>
      <c r="Q56" s="178" t="str">
        <f>IFERROR(__xludf.DUMMYFUNCTION("IF(ISBLANK(B56),"""",IFERROR(IF(OR(AF56=""GPB"",AF56=""ZAR""),IF(AF56=Dashboard!$L$1,AS56,(AS56*GOOGLEFINANCE(""CURRENCY:""&amp;AF56&amp;""""&amp;Dashboard!$L$1&amp;""""))/100),IF(AF56=Dashboard!$L$1,AS56,AS56*GOOGLEFINANCE(""CURRENCY:""&amp;AF56&amp;""""&amp;Dashboard!$L$1&amp;""""))),"&amp;"AS56))"),"")</f>
        <v/>
      </c>
      <c r="R56" s="178" t="str">
        <f t="shared" si="7"/>
        <v/>
      </c>
      <c r="S56" s="50" t="str">
        <f>IFERROR(__xludf.DUMMYFUNCTION("IF(ISBLANK(B56),"""",IFERROR((GOOGLEFINANCE(B56,""price"")/INDEX(GOOGLEFINANCE(B56,""price"",DATEVALUE(TODAY()-$S$2) ),2,2)-1),""""))"),"")</f>
        <v/>
      </c>
      <c r="U56" s="50" t="str">
        <f>IFERROR(__xludf.DUMMYFUNCTION("IF(ISBLANK(B56),"""",IFERROR((GOOGLEFINANCE($U$2,""price"")/INDEX(GOOGLEFINANCE($U$2,""price"",DATEVALUE(TODAY()-$S$2) ),2,2)-1),""""))"),"")</f>
        <v/>
      </c>
      <c r="W56" s="50" t="str">
        <f t="shared" si="8"/>
        <v/>
      </c>
      <c r="X56" s="50" t="str">
        <f t="shared" si="9"/>
        <v/>
      </c>
      <c r="Y56" s="179">
        <v>0.0</v>
      </c>
      <c r="Z56" s="50" t="str">
        <f t="shared" si="10"/>
        <v/>
      </c>
      <c r="AA56" s="14" t="str">
        <f t="shared" si="11"/>
        <v/>
      </c>
      <c r="AB56" s="50" t="str">
        <f t="shared" si="12"/>
        <v/>
      </c>
      <c r="AC56" s="179" t="str">
        <f t="shared" si="13"/>
        <v/>
      </c>
      <c r="AD56" s="50" t="str">
        <f t="shared" si="14"/>
        <v/>
      </c>
      <c r="AE56" s="180" t="str">
        <f t="shared" si="15"/>
        <v/>
      </c>
      <c r="AF56" s="14" t="str">
        <f t="array" ref="AF56">IFERROR(IF(ISBLANK(AH56),"",IF(VLOOKUP(AH56,Transactions!D:F,3,0)="Stablecoin",AH56,INDEX(Transactions!$B$3:$B149,MATCH(AH56,Transactions!$D$3:$D149,0),0))))</f>
        <v/>
      </c>
      <c r="AG56" s="14" t="str">
        <f>IF(ISBLANK(AH56),"",VLOOKUP(AH56,Transactions!D:E,2,0))</f>
        <v/>
      </c>
      <c r="AH56" s="14"/>
      <c r="AI56" s="146" t="str">
        <f>IF(ISBLANK(AH56),"",IF(
SUMIFS(Transactions!$I$3:$I149,Transactions!$H$3:$H149,"Buy",Transactions!$F$3:$F149,"Stock",Transactions!$D$3:$D149,AH56)
+SUMIFS(Transactions!$I$3:$I149,Transactions!$H$3:$H149,"DRIP",Transactions!$F$3:$F149,"Stock",Transactions!$D$3:$D149,AH56)
+SUMIFS(Transactions!$I$3:$I149,Transactions!$H$3:$H149,"Transfer Deposit",Transactions!$F$3:$F149,"Stock",Transactions!$D$3:$D149,AH56)
+SUMIFS(Transactions!$I$3:$I149,Transactions!$H$3:$H149,"Buy",Transactions!$F$3:$F149,"ETF",Transactions!$D$3:$D149,AH56)
+SUMIFS(Transactions!$I$3:$I149,Transactions!$H$3:$H149,"DRIP",Transactions!$F$3:$F149,"ETF",Transactions!$D$3:$D149,AH56)
+SUMIFS(Transactions!$I$3:$I149,Transactions!$H$3:$H149,"Transfer Deposit",Transactions!$F$3:$F149,"ETF",Transactions!$D$3:$D149,AH56)
+SUMIFS(Transactions!$I$3:$I149,Transactions!$H$3:$H149,"Buy",Transactions!$F$3:$F149,"Commodity",Transactions!$D$3:$D149,AH56)
+SUMIFS(Transactions!$I$3:$I149,Transactions!$H$3:$H149,"DRIP",Transactions!$F$3:$F149,"Commodity",Transactions!$D$3:$D149,AH56)
+SUMIFS(Transactions!$I$3:$I149,Transactions!$H$3:$H149,"Transfer Deposit",Transactions!$F$3:$F149,"Commodity",Transactions!$D$3:$D149,AH56)
+SUMIFS(Transactions!$I$3:$I149,Transactions!$H$3:$H149,"Buy",Transactions!$F$3:$F149,"Managed Fund",Transactions!$D$3:$D149,AH56)
+SUMIFS(Transactions!$I$3:$I149,Transactions!$H$3:$H149,"DRIP",Transactions!$F$3:$F149,"Managed Fund",Transactions!$D$3:$D149,AH56)
+SUMIFS(Transactions!$I$3:$I149,Transactions!$H$3:$H149,"Transfer Deposit",Transactions!$F$3:$F149,"Managed Fund",Transactions!$D$3:$D149,AH56)
+SUMIFS(Transactions!$I$3:$I149,Transactions!$H$3:$H149,"Buy",Transactions!$F$3:$F149,"REIT",Transactions!$D$3:$D149,AH56)
+SUMIFS(Transactions!$I$3:$I149,Transactions!$H$3:$H149,"DRIP",Transactions!$F$3:$F149,"REIT",Transactions!$D$3:$D149,AH56)
+SUMIFS(Transactions!$I$3:$I149,Transactions!$H$3:$H149,"Transfer Deposit",Transactions!$F$3:$F149,"REIT",Transactions!$D$3:$D149,AH56)
-SUMIFS(Transactions!$I$3:$I149,Transactions!$H$3:$H149,"Sell",Transactions!$F$3:$F149,"Stock",Transactions!$D$3:$D149,AH56)
-SUMIFS(Transactions!$I$3:$I149,Transactions!$H$3:$H149,"Transfer Send",Transactions!$F$3:$F149,"Stock",Transactions!$D$3:$D149,AH56)
-SUMIFS(Transactions!$I$3:$I149,Transactions!$H$3:$H149,"Sell",Transactions!$F$3:$F149,"ETF",Transactions!$D$3:$D149,AH56)
-SUMIFS(Transactions!$I$3:$I149,Transactions!$H$3:$H149,"Transfer Send",Transactions!$F$3:$F149,"ETF",Transactions!$D$3:$D149,AH56)
-SUMIFS(Transactions!$I$3:$I149,Transactions!$H$3:$H149,"Sell",Transactions!$F$3:$F149,"Commodity",Transactions!$D$3:$D149,AH56)
-SUMIFS(Transactions!$I$3:$I149,Transactions!$H$3:$H149,"Transfer Send",Transactions!$F$3:$F149,"Commodity",Transactions!$D$3:$D149,AH56)
-SUMIFS(Transactions!$I$3:$I149,Transactions!$H$3:$H149,"Sell",Transactions!$F$3:$F149,"Managed Fund",Transactions!$D$3:$D149,AH56)
-SUMIFS(Transactions!$I$3:$I149,Transactions!$H$3:$H149,"Transfer Send",Transactions!$F$3:$F149,"Managed Fund",Transactions!$D$3:$D149,AH56)
-SUMIFS(Transactions!$I$3:$I149,Transactions!$H$3:$H149,"Sell",Transactions!$F$3:$F149,"REIT",Transactions!$D$3:$D149,AH56)
-SUMIFS(Transactions!$I$3:$I149,Transactions!$H$3:$H149,"Transfer Send",Transactions!$F$3:$F149,"REIT",Transactions!$D$3:$D149,AH56)
+SUMIFS(Transactions!$I$3:$I149,Transactions!$H$3:$H149,"Buy",Transactions!$F$3:$F149,"Crypto",Transactions!$D$3:$D149,AH56)
+SUMIFS(Transactions!$I$3:$I149,Transactions!$H$3:$H149,"Crypto Interest",Transactions!$F$3:$F149,"Crypto",Transactions!$D$3:$D149,AH56)
+SUMIFS(Transactions!$I$3:$I149,Transactions!$H$3:$H149,"Transfer Deposit",Transactions!$F$3:$F149,"Crypto",Transactions!$D$3:$D149,AH56)
-SUMIFS(Transactions!$I$3:$I149,Transactions!$H$3:$H149,"Transfer Send",Transactions!$F$3:$F149,"Crypto",Transactions!$D$3:$D149,AH56)
-SUMIFS(Transactions!$I$3:$I149,Transactions!$H$3:$H149,"Sell",Transactions!$F$3:$F149,"Crypto",Transactions!$D$3:$D149,AH56)
+SUMIFS(Transactions!$I$3:$I149,Transactions!$H$3:$H149,"Buy",Transactions!$F$3:$F149,"Stablecoin",Transactions!$D$3:$D149,AH56)
+SUMIFS(Transactions!$I$3:$I149,Transactions!$H$3:$H149,"Crypto Interest",Transactions!$F$3:$F149,"Stablecoin",Transactions!$D$3:$D149,AH56)
+SUMIFS(Transactions!$I$3:$I149,Transactions!$H$3:$H149,"Transfer Deposit",Transactions!$F$3:$F149,"Stablecoin",Transactions!$D$3:$D149,AH56)
-SUMIFS(Transactions!$I$3:$I149,Transactions!$H$3:$H149,"Transfer Send",Transactions!$F$3:$F149,"Stablecoin",Transactions!$D$3:$D149,AH56)
-SUMIFS(Transactions!$I$3:$I149,Transactions!$H$3:$H149,"Sell",Transactions!$F$3:$F149,"Stablecoin",Transactions!$D$3:$D149,AH56)
-SUMIFS(Transactions!$M$3:$M149,Transactions!$H$3:$H149,"Buy",Transactions!$B$3:$B149,AH56)=0,"Sold All",
SUMIFS(Transactions!$I$3:$I149,Transactions!$H$3:$H149,"Buy",Transactions!$F$3:$F149,"Stock",Transactions!$D$3:$D149,AH56)
+SUMIFS(Transactions!$I$3:$I149,Transactions!$H$3:$H149,"DRIP",Transactions!$F$3:$F149,"Stock",Transactions!$D$3:$D149,AH56)
+SUMIFS(Transactions!$I$3:$I149,Transactions!$H$3:$H149,"Transfer Deposit",Transactions!$F$3:$F149,"Stock",Transactions!$D$3:$D149,AH56)
+SUMIFS(Transactions!$I$3:$I149,Transactions!$H$3:$H149,"Buy",Transactions!$F$3:$F149,"ETF",Transactions!$D$3:$D149,AH56)
+SUMIFS(Transactions!$I$3:$I149,Transactions!$H$3:$H149,"DRIP",Transactions!$F$3:$F149,"ETF",Transactions!$D$3:$D149,AH56)
+SUMIFS(Transactions!$I$3:$I149,Transactions!$H$3:$H149,"Transfer Deposit",Transactions!$F$3:$F149,"ETF",Transactions!$D$3:$D149,AH56)
+SUMIFS(Transactions!$I$3:$I149,Transactions!$H$3:$H149,"Buy",Transactions!$F$3:$F149,"Commodity",Transactions!$D$3:$D149,AH56)
+SUMIFS(Transactions!$I$3:$I149,Transactions!$H$3:$H149,"DRIP",Transactions!$F$3:$F149,"Commodity",Transactions!$D$3:$D149,AH56)
+SUMIFS(Transactions!$I$3:$I149,Transactions!$H$3:$H149,"Transfer Deposit",Transactions!$F$3:$F149,"Commodity",Transactions!$D$3:$D149,AH56)
+SUMIFS(Transactions!$I$3:$I149,Transactions!$H$3:$H149,"Buy",Transactions!$F$3:$F149,"Managed Fund",Transactions!$D$3:$D149,AH56)
+SUMIFS(Transactions!$I$3:$I149,Transactions!$H$3:$H149,"DRIP",Transactions!$F$3:$F149,"Managed Fund",Transactions!$D$3:$D149,AH56)
+SUMIFS(Transactions!$I$3:$I149,Transactions!$H$3:$H149,"Transfer Deposit",Transactions!$F$3:$F149,"Managed Fund",Transactions!$D$3:$D149,AH56)
+SUMIFS(Transactions!$I$3:$I149,Transactions!$H$3:$H149,"Buy",Transactions!$F$3:$F149,"REIT",Transactions!$D$3:$D149,AH56)
+SUMIFS(Transactions!$I$3:$I149,Transactions!$H$3:$H149,"DRIP",Transactions!$F$3:$F149,"REIT",Transactions!$D$3:$D149,AH56)
+SUMIFS(Transactions!$I$3:$I149,Transactions!$H$3:$H149,"Transfer Deposit",Transactions!$F$3:$F149,"REIT",Transactions!$D$3:$D149,AH56)
-SUMIFS(Transactions!$I$3:$I149,Transactions!$H$3:$H149,"Sell",Transactions!$F$3:$F149,"Stock",Transactions!$D$3:$D149,AH56)
-SUMIFS(Transactions!$I$3:$I149,Transactions!$H$3:$H149,"Transfer Send",Transactions!$F$3:$F149,"Stock",Transactions!$D$3:$D149,AH56)
-SUMIFS(Transactions!$I$3:$I149,Transactions!$H$3:$H149,"Sell",Transactions!$F$3:$F149,"ETF",Transactions!$D$3:$D149,AH56)
-SUMIFS(Transactions!$I$3:$I149,Transactions!$H$3:$H149,"Transfer Send",Transactions!$F$3:$F149,"ETF",Transactions!$D$3:$D149,AH56)
-SUMIFS(Transactions!$I$3:$I149,Transactions!$H$3:$H149,"Sell",Transactions!$F$3:$F149,"Commodity",Transactions!$D$3:$D149,AH56)
-SUMIFS(Transactions!$I$3:$I149,Transactions!$H$3:$H149,"Transfer Send",Transactions!$F$3:$F149,"Commodity",Transactions!$D$3:$D149,AH56)
-SUMIFS(Transactions!$I$3:$I149,Transactions!$H$3:$H149,"Sell",Transactions!$F$3:$F149,"Managed Fund",Transactions!$D$3:$D149,AH56)
-SUMIFS(Transactions!$I$3:$I149,Transactions!$H$3:$H149,"Transfer Send",Transactions!$F$3:$F149,"Managed Fund",Transactions!$D$3:$D149,AH56)
-SUMIFS(Transactions!$I$3:$I149,Transactions!$H$3:$H149,"Sell",Transactions!$F$3:$F149,"REIT",Transactions!$D$3:$D149,AH56)
-SUMIFS(Transactions!$I$3:$I149,Transactions!$H$3:$H149,"Transfer Send",Transactions!$F$3:$F149,"REIT",Transactions!$D$3:$D149,AH56)
+SUMIFS(Transactions!$I$3:$I149,Transactions!$H$3:$H149,"Buy",Transactions!$F$3:$F149,"Crypto",Transactions!$D$3:$D149,AH56)
+SUMIFS(Transactions!$I$3:$I149,Transactions!$H$3:$H149,"Crypto Interest",Transactions!$F$3:$F149,"Crypto",Transactions!$D$3:$D149,AH56)
+SUMIFS(Transactions!$I$3:$I149,Transactions!$H$3:$H149,"Transfer Deposit",Transactions!$F$3:$F149,"Crypto",Transactions!$D$3:$D149,AH56)
-SUMIFS(Transactions!$I$3:$I149,Transactions!$H$3:$H149,"Transfer Send",Transactions!$F$3:$F149,"Crypto",Transactions!$D$3:$D149,AH56)
-SUMIFS(Transactions!$I$3:$I149,Transactions!$H$3:$H149,"Sell",Transactions!$F$3:$F149,"Crypto",Transactions!$D$3:$D149,AH56)
+SUMIFS(Transactions!$I$3:$I149,Transactions!$H$3:$H149,"Buy",Transactions!$F$3:$F149,"Stablecoin",Transactions!$D$3:$D149,AH56)
+SUMIFS(Transactions!$I$3:$I149,Transactions!$H$3:$H149,"Crypto Interest",Transactions!$F$3:$F149,"Stablecoin",Transactions!$D$3:$D149,AH56)
+SUMIFS(Transactions!$I$3:$I149,Transactions!$H$3:$H149,"Transfer Deposit",Transactions!$F$3:$F149,"Stablecoin",Transactions!$D$3:$D149,AH56)
-SUMIFS(Transactions!$I$3:$I149,Transactions!$H$3:$H149,"Transfer Send",Transactions!$F$3:$F149,"Stablecoin",Transactions!$D$3:$D149,AH56)
-SUMIFS(Transactions!$I$3:$I149,Transactions!$H$3:$H149,"Sell",Transactions!$F$3:$F149,"Stablecoin",Transactions!$D$3:$D149,AH56)
-SUMIFS(Transactions!$M$3:$M149,Transactions!$H$3:$H149,"Buy",Transactions!$B$3:$B149,AH56)))</f>
        <v/>
      </c>
      <c r="AJ56" s="181" t="str">
        <f>IFERROR(__xludf.DUMMYFUNCTION("IF(ISBLANK(AH56),"""",VLOOKUP(9^99,FILTER({ROW(Transactions!P:P),Transactions!P:P},Transactions!D:D=AH56),2))"),"")</f>
        <v/>
      </c>
      <c r="AK56" s="181" t="str">
        <f>IFERROR(__xludf.DUMMYFUNCTION("IF(ISBLANK(AH56),"""",IFERROR(GOOGLEFINANCE(AH56,""price""),IFERROR(GOOGLEFINANCE(""CURRENCY:""&amp;AH56&amp;""""),IFERROR(INDEX(YAHOO_STOCK(TRIM(AH56), $G$2),0,1),INDEX(IMPORTHTML(CONCAT(""https://coinmarketcap.com/currencies/"",AG56),""table"",1),1,2)))))"),"")</f>
        <v/>
      </c>
      <c r="AL56" s="14" t="str">
        <f>IFERROR(__xludf.DUMMYFUNCTION("IF(ISBLANK(AH56),"""",IFERROR(SPARKLINE(INDEX(GOOGLEFINANCE(AH56,""price"",TODAY()-$AL$2,TODAY()),,2),{""charttype"",""column"";""color"",""17a7e0""}),""""))"),"")</f>
        <v/>
      </c>
      <c r="AM56" s="50" t="str">
        <f>IFERROR(__xludf.DUMMYFUNCTION("IFNA(IFERROR(IF(AH56="""","""",GOOGLEFINANCE(AH56,""changepct"")/100),(GOOGLEFINANCE(AH56)-(INDEX(GOOGLEFINANCE(""CURRENCY:""&amp;AH56&amp;"""",""price"",TODAY()-1),2,2)))/(INDEX(GOOGLEFINANCE(""CURRENCY:""&amp;AH56&amp;"""",""price"",TODAY()-1),2,2))),)"),"")</f>
        <v/>
      </c>
      <c r="AN56" s="96" t="str">
        <f>IFERROR(__xludf.DUMMYFUNCTION("IFNA(IFERROR(IF(AH56="""","""",GOOGLEFINANCE(AH56,""change"")*AI56),(GOOGLEFINANCE(AH56)-(INDEX(GOOGLEFINANCE(""CURRENCY:""&amp;AH56&amp;"""",""price"",TODAY()-1),2,2)))*AI56),"""")"),"")</f>
        <v/>
      </c>
      <c r="AO56" s="96" t="str">
        <f>IF(ISBLANK(AH56),"",IFERROR(((AI56-SUMIFS(Transactions!I:I,Transactions!H:H,"Crypto Interest",Transactions!D:D,AH56))*AJ56),""))</f>
        <v/>
      </c>
      <c r="AP56" s="96" t="str">
        <f t="shared" si="16"/>
        <v/>
      </c>
      <c r="AQ56" s="50" t="str">
        <f t="shared" si="17"/>
        <v/>
      </c>
      <c r="AR56" s="96" t="str">
        <f t="shared" si="18"/>
        <v/>
      </c>
      <c r="AS56" s="96" t="str">
        <f>IF(ISBLANK(AH56),"",SUMIFS(Transactions!$X$3:$X149,Transactions!$H$3:$H149,"Sell",Transactions!$D$3:$D149,AH56))</f>
        <v/>
      </c>
      <c r="AT56" s="96" t="str">
        <f t="shared" si="19"/>
        <v/>
      </c>
      <c r="AU56" s="50" t="str">
        <f>IFERROR(__xludf.DUMMYFUNCTION("IF(ISBLANK(AH56),"""",IFERROR((GOOGLEFINANCE(AH56,""price"")/INDEX(GOOGLEFINANCE(AH56,""price"",DATEVALUE(TODAY()-$AU$2) ),2,2)-1),""""))"),"")</f>
        <v/>
      </c>
      <c r="AW56" s="50" t="str">
        <f>IFERROR(__xludf.DUMMYFUNCTION("IF(ISBLANK(AH56),"""",IFERROR((GOOGLEFINANCE($AW$2,""price"")/INDEX(GOOGLEFINANCE($AW$2,""price"",DATEVALUE(TODAY()-$AU$2) ),2,2)-1),""""))"),"")</f>
        <v/>
      </c>
      <c r="AY56" s="50" t="str">
        <f t="shared" si="20"/>
        <v/>
      </c>
      <c r="AZ56" s="50" t="str">
        <f t="shared" si="21"/>
        <v/>
      </c>
      <c r="BA56" s="50">
        <f t="shared" si="22"/>
        <v>0</v>
      </c>
      <c r="BB56" s="14" t="str">
        <f t="shared" si="23"/>
        <v/>
      </c>
      <c r="BC56" s="14" t="str">
        <f>IF(ISBLANK(AH56),"",IFERROR(VLOOKUP(AH56,Transactions!D:F,3,0)))</f>
        <v/>
      </c>
      <c r="BD56" s="50" t="str">
        <f t="shared" si="24"/>
        <v/>
      </c>
      <c r="BE56" s="50" t="str">
        <f t="shared" si="25"/>
        <v/>
      </c>
      <c r="BF56" s="14" t="str">
        <f t="shared" si="26"/>
        <v/>
      </c>
      <c r="BG56" s="180" t="str">
        <f>IF(ISBLANK(AH56),"",IFERROR(VLOOKUP(AH56,Transactions!D:G,4,0)))</f>
        <v/>
      </c>
    </row>
    <row r="57">
      <c r="A57" s="14" t="str">
        <f t="shared" ref="A57:C57" si="80">AG57</f>
        <v/>
      </c>
      <c r="B57" s="14" t="str">
        <f t="shared" si="80"/>
        <v/>
      </c>
      <c r="C57" s="175" t="str">
        <f t="shared" si="80"/>
        <v/>
      </c>
      <c r="D57" s="176" t="str">
        <f>IFERROR(__xludf.DUMMYFUNCTION("IF(ISBLANK(B57),"""",IFERROR(IF(OR(AF57=""GPB"",AF57=""ZAR""),IF(AF57=Dashboard!$L$1,AJ57,(AJ57*GOOGLEFINANCE(""CURRENCY:""&amp;AF57&amp;""""&amp;Dashboard!$L$1&amp;""""))/100),IF(AF57=Dashboard!$L$1,AJ57,AJ57*GOOGLEFINANCE(""CURRENCY:""&amp;AF57&amp;""""&amp;Dashboard!$L$1&amp;""""))),"&amp;"AJ57))"),"")</f>
        <v/>
      </c>
      <c r="E57" s="177" t="str">
        <f>IFERROR(__xludf.DUMMYFUNCTION("IFERROR(IF(OR(AF57=""GBP"",AF57=""ZAR""),IF(B57="""","""",IF(AF57=Dashboard!$L$1,AK57,AK57*GOOGLEFINANCE(""CURRENCY:""&amp;AF57&amp;""""&amp;Dashboard!$L$1&amp;"""")))/100,If(B57="""","""",IF(AF57=Dashboard!$L$1,AK57,AK57*GOOGLEFINANCE(""CURRENCY:""&amp;AF57&amp;""""&amp;Dashboard!$"&amp;"L$1&amp;"""")))),AK57)"),"")</f>
        <v/>
      </c>
      <c r="F57" s="145" t="str">
        <f t="shared" si="65"/>
        <v/>
      </c>
      <c r="G57" s="96" t="str">
        <f>IFERROR(__xludf.DUMMYFUNCTION("IF(ISBLANK(B57),"""",IFERROR(SPARKLINE(INDEX(GOOGLEFINANCE(B57,""price"",TODAY()-$G$2,TODAY()),,2),{""charttype"",""column"";""color"",""17a7e0""}),""""))"),"")</f>
        <v/>
      </c>
      <c r="H57" s="50" t="str">
        <f t="shared" si="3"/>
        <v/>
      </c>
      <c r="I57" s="96" t="str">
        <f>IFERROR(__xludf.DUMMYFUNCTION("IF(ISBLANK(B57),"""",IFERROR(IF(OR(AF57=""GPB"",AF57=""ZAR""),IF(AF57=Dashboard!$L$1,AN57,(AN57*GOOGLEFINANCE(""CURRENCY:""&amp;AF57&amp;""""&amp;Dashboard!$L$1&amp;""""))/100),IF(AF57=Dashboard!$L$1,AN57,AN57*GOOGLEFINANCE(""CURRENCY:""&amp;AF57&amp;""""&amp;Dashboard!$L$1&amp;""""))),"&amp;"AN57))"),"")</f>
        <v/>
      </c>
      <c r="J57" s="178" t="str">
        <f>IF(ISBLANK(B57),"",IFERROR(((C57-SUMIFS(Transactions!I:I,Transactions!H:H,"Crypto Interest",Transactions!D:D,B57))*D57),""))</f>
        <v/>
      </c>
      <c r="K57" s="178" t="str">
        <f t="shared" si="4"/>
        <v/>
      </c>
      <c r="L57" s="145">
        <f>-SUMIFS(Transactions!$M$3:$M149,Transactions!$H$3:$H149,"Buy",Transactions!$D$3:$D149,B57)</f>
        <v>0</v>
      </c>
      <c r="M57" s="145">
        <f>IF(ISBLANK(AG57),"",SUMIFS(Transactions!$M$3:$M149,Transactions!$H$3:$H149,"Dividend",Transactions!$D$3:$D149,B57))</f>
        <v>0</v>
      </c>
      <c r="N57" s="145" t="str">
        <f>IF(ISBLANK(AH57),"",SUMIFS(Transactions!$M$3:$M149,Transactions!$H$3:$H149,"Sell",Transactions!$D$3:$D149,B57))</f>
        <v/>
      </c>
      <c r="O57" s="50" t="str">
        <f t="shared" si="5"/>
        <v/>
      </c>
      <c r="P57" s="178" t="str">
        <f t="shared" si="6"/>
        <v/>
      </c>
      <c r="Q57" s="178" t="str">
        <f>IFERROR(__xludf.DUMMYFUNCTION("IF(ISBLANK(B57),"""",IFERROR(IF(OR(AF57=""GPB"",AF57=""ZAR""),IF(AF57=Dashboard!$L$1,AS57,(AS57*GOOGLEFINANCE(""CURRENCY:""&amp;AF57&amp;""""&amp;Dashboard!$L$1&amp;""""))/100),IF(AF57=Dashboard!$L$1,AS57,AS57*GOOGLEFINANCE(""CURRENCY:""&amp;AF57&amp;""""&amp;Dashboard!$L$1&amp;""""))),"&amp;"AS57))"),"")</f>
        <v/>
      </c>
      <c r="R57" s="178" t="str">
        <f t="shared" si="7"/>
        <v/>
      </c>
      <c r="S57" s="50" t="str">
        <f>IFERROR(__xludf.DUMMYFUNCTION("IF(ISBLANK(B57),"""",IFERROR((GOOGLEFINANCE(B57,""price"")/INDEX(GOOGLEFINANCE(B57,""price"",DATEVALUE(TODAY()-$S$2) ),2,2)-1),""""))"),"")</f>
        <v/>
      </c>
      <c r="U57" s="50" t="str">
        <f>IFERROR(__xludf.DUMMYFUNCTION("IF(ISBLANK(B57),"""",IFERROR((GOOGLEFINANCE($U$2,""price"")/INDEX(GOOGLEFINANCE($U$2,""price"",DATEVALUE(TODAY()-$S$2) ),2,2)-1),""""))"),"")</f>
        <v/>
      </c>
      <c r="W57" s="50" t="str">
        <f t="shared" si="8"/>
        <v/>
      </c>
      <c r="X57" s="50" t="str">
        <f t="shared" si="9"/>
        <v/>
      </c>
      <c r="Y57" s="179">
        <v>0.0</v>
      </c>
      <c r="Z57" s="50" t="str">
        <f t="shared" si="10"/>
        <v/>
      </c>
      <c r="AA57" s="14" t="str">
        <f t="shared" si="11"/>
        <v/>
      </c>
      <c r="AB57" s="50" t="str">
        <f t="shared" si="12"/>
        <v/>
      </c>
      <c r="AC57" s="179" t="str">
        <f t="shared" si="13"/>
        <v/>
      </c>
      <c r="AD57" s="50" t="str">
        <f t="shared" si="14"/>
        <v/>
      </c>
      <c r="AE57" s="180" t="str">
        <f t="shared" si="15"/>
        <v/>
      </c>
      <c r="AF57" s="14" t="str">
        <f t="array" ref="AF57">IFERROR(IF(ISBLANK(AH57),"",IF(VLOOKUP(AH57,Transactions!D:F,3,0)="Stablecoin",AH57,INDEX(Transactions!$B$3:$B149,MATCH(AH57,Transactions!$D$3:$D149,0),0))))</f>
        <v/>
      </c>
      <c r="AG57" s="14" t="str">
        <f>IF(ISBLANK(AH57),"",VLOOKUP(AH57,Transactions!D:E,2,0))</f>
        <v/>
      </c>
      <c r="AH57" s="14"/>
      <c r="AI57" s="146" t="str">
        <f>IF(ISBLANK(AH57),"",IF(
SUMIFS(Transactions!$I$3:$I149,Transactions!$H$3:$H149,"Buy",Transactions!$F$3:$F149,"Stock",Transactions!$D$3:$D149,AH57)
+SUMIFS(Transactions!$I$3:$I149,Transactions!$H$3:$H149,"DRIP",Transactions!$F$3:$F149,"Stock",Transactions!$D$3:$D149,AH57)
+SUMIFS(Transactions!$I$3:$I149,Transactions!$H$3:$H149,"Transfer Deposit",Transactions!$F$3:$F149,"Stock",Transactions!$D$3:$D149,AH57)
+SUMIFS(Transactions!$I$3:$I149,Transactions!$H$3:$H149,"Buy",Transactions!$F$3:$F149,"ETF",Transactions!$D$3:$D149,AH57)
+SUMIFS(Transactions!$I$3:$I149,Transactions!$H$3:$H149,"DRIP",Transactions!$F$3:$F149,"ETF",Transactions!$D$3:$D149,AH57)
+SUMIFS(Transactions!$I$3:$I149,Transactions!$H$3:$H149,"Transfer Deposit",Transactions!$F$3:$F149,"ETF",Transactions!$D$3:$D149,AH57)
+SUMIFS(Transactions!$I$3:$I149,Transactions!$H$3:$H149,"Buy",Transactions!$F$3:$F149,"Commodity",Transactions!$D$3:$D149,AH57)
+SUMIFS(Transactions!$I$3:$I149,Transactions!$H$3:$H149,"DRIP",Transactions!$F$3:$F149,"Commodity",Transactions!$D$3:$D149,AH57)
+SUMIFS(Transactions!$I$3:$I149,Transactions!$H$3:$H149,"Transfer Deposit",Transactions!$F$3:$F149,"Commodity",Transactions!$D$3:$D149,AH57)
+SUMIFS(Transactions!$I$3:$I149,Transactions!$H$3:$H149,"Buy",Transactions!$F$3:$F149,"Managed Fund",Transactions!$D$3:$D149,AH57)
+SUMIFS(Transactions!$I$3:$I149,Transactions!$H$3:$H149,"DRIP",Transactions!$F$3:$F149,"Managed Fund",Transactions!$D$3:$D149,AH57)
+SUMIFS(Transactions!$I$3:$I149,Transactions!$H$3:$H149,"Transfer Deposit",Transactions!$F$3:$F149,"Managed Fund",Transactions!$D$3:$D149,AH57)
+SUMIFS(Transactions!$I$3:$I149,Transactions!$H$3:$H149,"Buy",Transactions!$F$3:$F149,"REIT",Transactions!$D$3:$D149,AH57)
+SUMIFS(Transactions!$I$3:$I149,Transactions!$H$3:$H149,"DRIP",Transactions!$F$3:$F149,"REIT",Transactions!$D$3:$D149,AH57)
+SUMIFS(Transactions!$I$3:$I149,Transactions!$H$3:$H149,"Transfer Deposit",Transactions!$F$3:$F149,"REIT",Transactions!$D$3:$D149,AH57)
-SUMIFS(Transactions!$I$3:$I149,Transactions!$H$3:$H149,"Sell",Transactions!$F$3:$F149,"Stock",Transactions!$D$3:$D149,AH57)
-SUMIFS(Transactions!$I$3:$I149,Transactions!$H$3:$H149,"Transfer Send",Transactions!$F$3:$F149,"Stock",Transactions!$D$3:$D149,AH57)
-SUMIFS(Transactions!$I$3:$I149,Transactions!$H$3:$H149,"Sell",Transactions!$F$3:$F149,"ETF",Transactions!$D$3:$D149,AH57)
-SUMIFS(Transactions!$I$3:$I149,Transactions!$H$3:$H149,"Transfer Send",Transactions!$F$3:$F149,"ETF",Transactions!$D$3:$D149,AH57)
-SUMIFS(Transactions!$I$3:$I149,Transactions!$H$3:$H149,"Sell",Transactions!$F$3:$F149,"Commodity",Transactions!$D$3:$D149,AH57)
-SUMIFS(Transactions!$I$3:$I149,Transactions!$H$3:$H149,"Transfer Send",Transactions!$F$3:$F149,"Commodity",Transactions!$D$3:$D149,AH57)
-SUMIFS(Transactions!$I$3:$I149,Transactions!$H$3:$H149,"Sell",Transactions!$F$3:$F149,"Managed Fund",Transactions!$D$3:$D149,AH57)
-SUMIFS(Transactions!$I$3:$I149,Transactions!$H$3:$H149,"Transfer Send",Transactions!$F$3:$F149,"Managed Fund",Transactions!$D$3:$D149,AH57)
-SUMIFS(Transactions!$I$3:$I149,Transactions!$H$3:$H149,"Sell",Transactions!$F$3:$F149,"REIT",Transactions!$D$3:$D149,AH57)
-SUMIFS(Transactions!$I$3:$I149,Transactions!$H$3:$H149,"Transfer Send",Transactions!$F$3:$F149,"REIT",Transactions!$D$3:$D149,AH57)
+SUMIFS(Transactions!$I$3:$I149,Transactions!$H$3:$H149,"Buy",Transactions!$F$3:$F149,"Crypto",Transactions!$D$3:$D149,AH57)
+SUMIFS(Transactions!$I$3:$I149,Transactions!$H$3:$H149,"Crypto Interest",Transactions!$F$3:$F149,"Crypto",Transactions!$D$3:$D149,AH57)
+SUMIFS(Transactions!$I$3:$I149,Transactions!$H$3:$H149,"Transfer Deposit",Transactions!$F$3:$F149,"Crypto",Transactions!$D$3:$D149,AH57)
-SUMIFS(Transactions!$I$3:$I149,Transactions!$H$3:$H149,"Transfer Send",Transactions!$F$3:$F149,"Crypto",Transactions!$D$3:$D149,AH57)
-SUMIFS(Transactions!$I$3:$I149,Transactions!$H$3:$H149,"Sell",Transactions!$F$3:$F149,"Crypto",Transactions!$D$3:$D149,AH57)
+SUMIFS(Transactions!$I$3:$I149,Transactions!$H$3:$H149,"Buy",Transactions!$F$3:$F149,"Stablecoin",Transactions!$D$3:$D149,AH57)
+SUMIFS(Transactions!$I$3:$I149,Transactions!$H$3:$H149,"Crypto Interest",Transactions!$F$3:$F149,"Stablecoin",Transactions!$D$3:$D149,AH57)
+SUMIFS(Transactions!$I$3:$I149,Transactions!$H$3:$H149,"Transfer Deposit",Transactions!$F$3:$F149,"Stablecoin",Transactions!$D$3:$D149,AH57)
-SUMIFS(Transactions!$I$3:$I149,Transactions!$H$3:$H149,"Transfer Send",Transactions!$F$3:$F149,"Stablecoin",Transactions!$D$3:$D149,AH57)
-SUMIFS(Transactions!$I$3:$I149,Transactions!$H$3:$H149,"Sell",Transactions!$F$3:$F149,"Stablecoin",Transactions!$D$3:$D149,AH57)
-SUMIFS(Transactions!$M$3:$M149,Transactions!$H$3:$H149,"Buy",Transactions!$B$3:$B149,AH57)=0,"Sold All",
SUMIFS(Transactions!$I$3:$I149,Transactions!$H$3:$H149,"Buy",Transactions!$F$3:$F149,"Stock",Transactions!$D$3:$D149,AH57)
+SUMIFS(Transactions!$I$3:$I149,Transactions!$H$3:$H149,"DRIP",Transactions!$F$3:$F149,"Stock",Transactions!$D$3:$D149,AH57)
+SUMIFS(Transactions!$I$3:$I149,Transactions!$H$3:$H149,"Transfer Deposit",Transactions!$F$3:$F149,"Stock",Transactions!$D$3:$D149,AH57)
+SUMIFS(Transactions!$I$3:$I149,Transactions!$H$3:$H149,"Buy",Transactions!$F$3:$F149,"ETF",Transactions!$D$3:$D149,AH57)
+SUMIFS(Transactions!$I$3:$I149,Transactions!$H$3:$H149,"DRIP",Transactions!$F$3:$F149,"ETF",Transactions!$D$3:$D149,AH57)
+SUMIFS(Transactions!$I$3:$I149,Transactions!$H$3:$H149,"Transfer Deposit",Transactions!$F$3:$F149,"ETF",Transactions!$D$3:$D149,AH57)
+SUMIFS(Transactions!$I$3:$I149,Transactions!$H$3:$H149,"Buy",Transactions!$F$3:$F149,"Commodity",Transactions!$D$3:$D149,AH57)
+SUMIFS(Transactions!$I$3:$I149,Transactions!$H$3:$H149,"DRIP",Transactions!$F$3:$F149,"Commodity",Transactions!$D$3:$D149,AH57)
+SUMIFS(Transactions!$I$3:$I149,Transactions!$H$3:$H149,"Transfer Deposit",Transactions!$F$3:$F149,"Commodity",Transactions!$D$3:$D149,AH57)
+SUMIFS(Transactions!$I$3:$I149,Transactions!$H$3:$H149,"Buy",Transactions!$F$3:$F149,"Managed Fund",Transactions!$D$3:$D149,AH57)
+SUMIFS(Transactions!$I$3:$I149,Transactions!$H$3:$H149,"DRIP",Transactions!$F$3:$F149,"Managed Fund",Transactions!$D$3:$D149,AH57)
+SUMIFS(Transactions!$I$3:$I149,Transactions!$H$3:$H149,"Transfer Deposit",Transactions!$F$3:$F149,"Managed Fund",Transactions!$D$3:$D149,AH57)
+SUMIFS(Transactions!$I$3:$I149,Transactions!$H$3:$H149,"Buy",Transactions!$F$3:$F149,"REIT",Transactions!$D$3:$D149,AH57)
+SUMIFS(Transactions!$I$3:$I149,Transactions!$H$3:$H149,"DRIP",Transactions!$F$3:$F149,"REIT",Transactions!$D$3:$D149,AH57)
+SUMIFS(Transactions!$I$3:$I149,Transactions!$H$3:$H149,"Transfer Deposit",Transactions!$F$3:$F149,"REIT",Transactions!$D$3:$D149,AH57)
-SUMIFS(Transactions!$I$3:$I149,Transactions!$H$3:$H149,"Sell",Transactions!$F$3:$F149,"Stock",Transactions!$D$3:$D149,AH57)
-SUMIFS(Transactions!$I$3:$I149,Transactions!$H$3:$H149,"Transfer Send",Transactions!$F$3:$F149,"Stock",Transactions!$D$3:$D149,AH57)
-SUMIFS(Transactions!$I$3:$I149,Transactions!$H$3:$H149,"Sell",Transactions!$F$3:$F149,"ETF",Transactions!$D$3:$D149,AH57)
-SUMIFS(Transactions!$I$3:$I149,Transactions!$H$3:$H149,"Transfer Send",Transactions!$F$3:$F149,"ETF",Transactions!$D$3:$D149,AH57)
-SUMIFS(Transactions!$I$3:$I149,Transactions!$H$3:$H149,"Sell",Transactions!$F$3:$F149,"Commodity",Transactions!$D$3:$D149,AH57)
-SUMIFS(Transactions!$I$3:$I149,Transactions!$H$3:$H149,"Transfer Send",Transactions!$F$3:$F149,"Commodity",Transactions!$D$3:$D149,AH57)
-SUMIFS(Transactions!$I$3:$I149,Transactions!$H$3:$H149,"Sell",Transactions!$F$3:$F149,"Managed Fund",Transactions!$D$3:$D149,AH57)
-SUMIFS(Transactions!$I$3:$I149,Transactions!$H$3:$H149,"Transfer Send",Transactions!$F$3:$F149,"Managed Fund",Transactions!$D$3:$D149,AH57)
-SUMIFS(Transactions!$I$3:$I149,Transactions!$H$3:$H149,"Sell",Transactions!$F$3:$F149,"REIT",Transactions!$D$3:$D149,AH57)
-SUMIFS(Transactions!$I$3:$I149,Transactions!$H$3:$H149,"Transfer Send",Transactions!$F$3:$F149,"REIT",Transactions!$D$3:$D149,AH57)
+SUMIFS(Transactions!$I$3:$I149,Transactions!$H$3:$H149,"Buy",Transactions!$F$3:$F149,"Crypto",Transactions!$D$3:$D149,AH57)
+SUMIFS(Transactions!$I$3:$I149,Transactions!$H$3:$H149,"Crypto Interest",Transactions!$F$3:$F149,"Crypto",Transactions!$D$3:$D149,AH57)
+SUMIFS(Transactions!$I$3:$I149,Transactions!$H$3:$H149,"Transfer Deposit",Transactions!$F$3:$F149,"Crypto",Transactions!$D$3:$D149,AH57)
-SUMIFS(Transactions!$I$3:$I149,Transactions!$H$3:$H149,"Transfer Send",Transactions!$F$3:$F149,"Crypto",Transactions!$D$3:$D149,AH57)
-SUMIFS(Transactions!$I$3:$I149,Transactions!$H$3:$H149,"Sell",Transactions!$F$3:$F149,"Crypto",Transactions!$D$3:$D149,AH57)
+SUMIFS(Transactions!$I$3:$I149,Transactions!$H$3:$H149,"Buy",Transactions!$F$3:$F149,"Stablecoin",Transactions!$D$3:$D149,AH57)
+SUMIFS(Transactions!$I$3:$I149,Transactions!$H$3:$H149,"Crypto Interest",Transactions!$F$3:$F149,"Stablecoin",Transactions!$D$3:$D149,AH57)
+SUMIFS(Transactions!$I$3:$I149,Transactions!$H$3:$H149,"Transfer Deposit",Transactions!$F$3:$F149,"Stablecoin",Transactions!$D$3:$D149,AH57)
-SUMIFS(Transactions!$I$3:$I149,Transactions!$H$3:$H149,"Transfer Send",Transactions!$F$3:$F149,"Stablecoin",Transactions!$D$3:$D149,AH57)
-SUMIFS(Transactions!$I$3:$I149,Transactions!$H$3:$H149,"Sell",Transactions!$F$3:$F149,"Stablecoin",Transactions!$D$3:$D149,AH57)
-SUMIFS(Transactions!$M$3:$M149,Transactions!$H$3:$H149,"Buy",Transactions!$B$3:$B149,AH57)))</f>
        <v/>
      </c>
      <c r="AJ57" s="181" t="str">
        <f>IFERROR(__xludf.DUMMYFUNCTION("IF(ISBLANK(AH57),"""",VLOOKUP(9^99,FILTER({ROW(Transactions!P:P),Transactions!P:P},Transactions!D:D=AH57),2))"),"")</f>
        <v/>
      </c>
      <c r="AK57" s="181" t="str">
        <f>IFERROR(__xludf.DUMMYFUNCTION("IF(ISBLANK(AH57),"""",IFERROR(GOOGLEFINANCE(AH57,""price""),IFERROR(GOOGLEFINANCE(""CURRENCY:""&amp;AH57&amp;""""),IFERROR(INDEX(YAHOO_STOCK(TRIM(AH57), $G$2),0,1),INDEX(IMPORTHTML(CONCAT(""https://coinmarketcap.com/currencies/"",AG57),""table"",1),1,2)))))"),"")</f>
        <v/>
      </c>
      <c r="AL57" s="14" t="str">
        <f>IFERROR(__xludf.DUMMYFUNCTION("IF(ISBLANK(AH57),"""",IFERROR(SPARKLINE(INDEX(GOOGLEFINANCE(AH57,""price"",TODAY()-$AL$2,TODAY()),,2),{""charttype"",""column"";""color"",""17a7e0""}),""""))"),"")</f>
        <v/>
      </c>
      <c r="AM57" s="50" t="str">
        <f>IFERROR(__xludf.DUMMYFUNCTION("IFNA(IFERROR(IF(AH57="""","""",GOOGLEFINANCE(AH57,""changepct"")/100),(GOOGLEFINANCE(AH57)-(INDEX(GOOGLEFINANCE(""CURRENCY:""&amp;AH57&amp;"""",""price"",TODAY()-1),2,2)))/(INDEX(GOOGLEFINANCE(""CURRENCY:""&amp;AH57&amp;"""",""price"",TODAY()-1),2,2))),)"),"")</f>
        <v/>
      </c>
      <c r="AN57" s="96" t="str">
        <f>IFERROR(__xludf.DUMMYFUNCTION("IFNA(IFERROR(IF(AH57="""","""",GOOGLEFINANCE(AH57,""change"")*AI57),(GOOGLEFINANCE(AH57)-(INDEX(GOOGLEFINANCE(""CURRENCY:""&amp;AH57&amp;"""",""price"",TODAY()-1),2,2)))*AI57),"""")"),"")</f>
        <v/>
      </c>
      <c r="AO57" s="96" t="str">
        <f>IF(ISBLANK(AH57),"",IFERROR(((AI57-SUMIFS(Transactions!I:I,Transactions!H:H,"Crypto Interest",Transactions!D:D,AH57))*AJ57),""))</f>
        <v/>
      </c>
      <c r="AP57" s="96" t="str">
        <f t="shared" si="16"/>
        <v/>
      </c>
      <c r="AQ57" s="50" t="str">
        <f t="shared" si="17"/>
        <v/>
      </c>
      <c r="AR57" s="96" t="str">
        <f t="shared" si="18"/>
        <v/>
      </c>
      <c r="AS57" s="96" t="str">
        <f>IF(ISBLANK(AH57),"",SUMIFS(Transactions!$X$3:$X149,Transactions!$H$3:$H149,"Sell",Transactions!$D$3:$D149,AH57))</f>
        <v/>
      </c>
      <c r="AT57" s="96" t="str">
        <f t="shared" si="19"/>
        <v/>
      </c>
      <c r="AU57" s="50" t="str">
        <f>IFERROR(__xludf.DUMMYFUNCTION("IF(ISBLANK(AH57),"""",IFERROR((GOOGLEFINANCE(AH57,""price"")/INDEX(GOOGLEFINANCE(AH57,""price"",DATEVALUE(TODAY()-$AU$2) ),2,2)-1),""""))"),"")</f>
        <v/>
      </c>
      <c r="AW57" s="50" t="str">
        <f>IFERROR(__xludf.DUMMYFUNCTION("IF(ISBLANK(AH57),"""",IFERROR((GOOGLEFINANCE($AW$2,""price"")/INDEX(GOOGLEFINANCE($AW$2,""price"",DATEVALUE(TODAY()-$AU$2) ),2,2)-1),""""))"),"")</f>
        <v/>
      </c>
      <c r="AY57" s="50" t="str">
        <f t="shared" si="20"/>
        <v/>
      </c>
      <c r="AZ57" s="50" t="str">
        <f t="shared" si="21"/>
        <v/>
      </c>
      <c r="BA57" s="50">
        <f t="shared" si="22"/>
        <v>0</v>
      </c>
      <c r="BB57" s="14" t="str">
        <f t="shared" si="23"/>
        <v/>
      </c>
      <c r="BC57" s="14" t="str">
        <f>IF(ISBLANK(AH57),"",IFERROR(VLOOKUP(AH57,Transactions!D:F,3,0)))</f>
        <v/>
      </c>
      <c r="BD57" s="50" t="str">
        <f t="shared" si="24"/>
        <v/>
      </c>
      <c r="BE57" s="50" t="str">
        <f t="shared" si="25"/>
        <v/>
      </c>
      <c r="BF57" s="14" t="str">
        <f t="shared" si="26"/>
        <v/>
      </c>
      <c r="BG57" s="180" t="str">
        <f>IF(ISBLANK(AH57),"",IFERROR(VLOOKUP(AH57,Transactions!D:G,4,0)))</f>
        <v/>
      </c>
    </row>
    <row r="58">
      <c r="A58" s="14" t="str">
        <f t="shared" ref="A58:C58" si="81">AG58</f>
        <v/>
      </c>
      <c r="B58" s="14" t="str">
        <f t="shared" si="81"/>
        <v/>
      </c>
      <c r="C58" s="175" t="str">
        <f t="shared" si="81"/>
        <v/>
      </c>
      <c r="D58" s="176" t="str">
        <f>IFERROR(__xludf.DUMMYFUNCTION("IF(ISBLANK(B58),"""",IFERROR(IF(OR(AF58=""GPB"",AF58=""ZAR""),IF(AF58=Dashboard!$L$1,AJ58,(AJ58*GOOGLEFINANCE(""CURRENCY:""&amp;AF58&amp;""""&amp;Dashboard!$L$1&amp;""""))/100),IF(AF58=Dashboard!$L$1,AJ58,AJ58*GOOGLEFINANCE(""CURRENCY:""&amp;AF58&amp;""""&amp;Dashboard!$L$1&amp;""""))),"&amp;"AJ58))"),"")</f>
        <v/>
      </c>
      <c r="E58" s="177" t="str">
        <f>IFERROR(__xludf.DUMMYFUNCTION("IFERROR(IF(OR(AF58=""GBP"",AF58=""ZAR""),IF(B58="""","""",IF(AF58=Dashboard!$L$1,AK58,AK58*GOOGLEFINANCE(""CURRENCY:""&amp;AF58&amp;""""&amp;Dashboard!$L$1&amp;"""")))/100,If(B58="""","""",IF(AF58=Dashboard!$L$1,AK58,AK58*GOOGLEFINANCE(""CURRENCY:""&amp;AF58&amp;""""&amp;Dashboard!$"&amp;"L$1&amp;"""")))),AK58)"),"")</f>
        <v/>
      </c>
      <c r="F58" s="145" t="str">
        <f t="shared" si="65"/>
        <v/>
      </c>
      <c r="G58" s="96" t="str">
        <f>IFERROR(__xludf.DUMMYFUNCTION("IF(ISBLANK(B58),"""",IFERROR(SPARKLINE(INDEX(GOOGLEFINANCE(B58,""price"",TODAY()-$G$2,TODAY()),,2),{""charttype"",""column"";""color"",""17a7e0""}),""""))"),"")</f>
        <v/>
      </c>
      <c r="H58" s="50" t="str">
        <f t="shared" si="3"/>
        <v/>
      </c>
      <c r="I58" s="96" t="str">
        <f>IFERROR(__xludf.DUMMYFUNCTION("IF(ISBLANK(B58),"""",IFERROR(IF(OR(AF58=""GPB"",AF58=""ZAR""),IF(AF58=Dashboard!$L$1,AN58,(AN58*GOOGLEFINANCE(""CURRENCY:""&amp;AF58&amp;""""&amp;Dashboard!$L$1&amp;""""))/100),IF(AF58=Dashboard!$L$1,AN58,AN58*GOOGLEFINANCE(""CURRENCY:""&amp;AF58&amp;""""&amp;Dashboard!$L$1&amp;""""))),"&amp;"AN58))"),"")</f>
        <v/>
      </c>
      <c r="J58" s="178" t="str">
        <f>IF(ISBLANK(B58),"",IFERROR(((C58-SUMIFS(Transactions!I:I,Transactions!H:H,"Crypto Interest",Transactions!D:D,B58))*D58),""))</f>
        <v/>
      </c>
      <c r="K58" s="178" t="str">
        <f t="shared" si="4"/>
        <v/>
      </c>
      <c r="L58" s="145">
        <f>-SUMIFS(Transactions!$M$3:$M149,Transactions!$H$3:$H149,"Buy",Transactions!$D$3:$D149,B58)</f>
        <v>0</v>
      </c>
      <c r="M58" s="145">
        <f>IF(ISBLANK(AG58),"",SUMIFS(Transactions!$M$3:$M149,Transactions!$H$3:$H149,"Dividend",Transactions!$D$3:$D149,B58))</f>
        <v>0</v>
      </c>
      <c r="N58" s="145" t="str">
        <f>IF(ISBLANK(AH58),"",SUMIFS(Transactions!$M$3:$M149,Transactions!$H$3:$H149,"Sell",Transactions!$D$3:$D149,B58))</f>
        <v/>
      </c>
      <c r="O58" s="50" t="str">
        <f t="shared" si="5"/>
        <v/>
      </c>
      <c r="P58" s="178" t="str">
        <f t="shared" si="6"/>
        <v/>
      </c>
      <c r="Q58" s="178" t="str">
        <f>IFERROR(__xludf.DUMMYFUNCTION("IF(ISBLANK(B58),"""",IFERROR(IF(OR(AF58=""GPB"",AF58=""ZAR""),IF(AF58=Dashboard!$L$1,AS58,(AS58*GOOGLEFINANCE(""CURRENCY:""&amp;AF58&amp;""""&amp;Dashboard!$L$1&amp;""""))/100),IF(AF58=Dashboard!$L$1,AS58,AS58*GOOGLEFINANCE(""CURRENCY:""&amp;AF58&amp;""""&amp;Dashboard!$L$1&amp;""""))),"&amp;"AS58))"),"")</f>
        <v/>
      </c>
      <c r="R58" s="178" t="str">
        <f t="shared" si="7"/>
        <v/>
      </c>
      <c r="S58" s="50" t="str">
        <f>IFERROR(__xludf.DUMMYFUNCTION("IF(ISBLANK(B58),"""",IFERROR((GOOGLEFINANCE(B58,""price"")/INDEX(GOOGLEFINANCE(B58,""price"",DATEVALUE(TODAY()-$S$2) ),2,2)-1),""""))"),"")</f>
        <v/>
      </c>
      <c r="U58" s="50" t="str">
        <f>IFERROR(__xludf.DUMMYFUNCTION("IF(ISBLANK(B58),"""",IFERROR((GOOGLEFINANCE($U$2,""price"")/INDEX(GOOGLEFINANCE($U$2,""price"",DATEVALUE(TODAY()-$S$2) ),2,2)-1),""""))"),"")</f>
        <v/>
      </c>
      <c r="W58" s="50" t="str">
        <f t="shared" si="8"/>
        <v/>
      </c>
      <c r="X58" s="50" t="str">
        <f t="shared" si="9"/>
        <v/>
      </c>
      <c r="Y58" s="179">
        <v>0.0</v>
      </c>
      <c r="Z58" s="50" t="str">
        <f t="shared" si="10"/>
        <v/>
      </c>
      <c r="AA58" s="14" t="str">
        <f t="shared" si="11"/>
        <v/>
      </c>
      <c r="AB58" s="50" t="str">
        <f t="shared" si="12"/>
        <v/>
      </c>
      <c r="AC58" s="179" t="str">
        <f t="shared" si="13"/>
        <v/>
      </c>
      <c r="AD58" s="50" t="str">
        <f t="shared" si="14"/>
        <v/>
      </c>
      <c r="AE58" s="180" t="str">
        <f t="shared" si="15"/>
        <v/>
      </c>
      <c r="AF58" s="14" t="str">
        <f t="array" ref="AF58">IFERROR(IF(ISBLANK(AH58),"",IF(VLOOKUP(AH58,Transactions!D:F,3,0)="Stablecoin",AH58,INDEX(Transactions!$B$3:$B149,MATCH(AH58,Transactions!$D$3:$D149,0),0))))</f>
        <v/>
      </c>
      <c r="AG58" s="14" t="str">
        <f>IF(ISBLANK(AH58),"",VLOOKUP(AH58,Transactions!D:E,2,0))</f>
        <v/>
      </c>
      <c r="AH58" s="14"/>
      <c r="AI58" s="146" t="str">
        <f>IF(ISBLANK(AH58),"",IF(
SUMIFS(Transactions!$I$3:$I149,Transactions!$H$3:$H149,"Buy",Transactions!$F$3:$F149,"Stock",Transactions!$D$3:$D149,AH58)
+SUMIFS(Transactions!$I$3:$I149,Transactions!$H$3:$H149,"DRIP",Transactions!$F$3:$F149,"Stock",Transactions!$D$3:$D149,AH58)
+SUMIFS(Transactions!$I$3:$I149,Transactions!$H$3:$H149,"Transfer Deposit",Transactions!$F$3:$F149,"Stock",Transactions!$D$3:$D149,AH58)
+SUMIFS(Transactions!$I$3:$I149,Transactions!$H$3:$H149,"Buy",Transactions!$F$3:$F149,"ETF",Transactions!$D$3:$D149,AH58)
+SUMIFS(Transactions!$I$3:$I149,Transactions!$H$3:$H149,"DRIP",Transactions!$F$3:$F149,"ETF",Transactions!$D$3:$D149,AH58)
+SUMIFS(Transactions!$I$3:$I149,Transactions!$H$3:$H149,"Transfer Deposit",Transactions!$F$3:$F149,"ETF",Transactions!$D$3:$D149,AH58)
+SUMIFS(Transactions!$I$3:$I149,Transactions!$H$3:$H149,"Buy",Transactions!$F$3:$F149,"Commodity",Transactions!$D$3:$D149,AH58)
+SUMIFS(Transactions!$I$3:$I149,Transactions!$H$3:$H149,"DRIP",Transactions!$F$3:$F149,"Commodity",Transactions!$D$3:$D149,AH58)
+SUMIFS(Transactions!$I$3:$I149,Transactions!$H$3:$H149,"Transfer Deposit",Transactions!$F$3:$F149,"Commodity",Transactions!$D$3:$D149,AH58)
+SUMIFS(Transactions!$I$3:$I149,Transactions!$H$3:$H149,"Buy",Transactions!$F$3:$F149,"Managed Fund",Transactions!$D$3:$D149,AH58)
+SUMIFS(Transactions!$I$3:$I149,Transactions!$H$3:$H149,"DRIP",Transactions!$F$3:$F149,"Managed Fund",Transactions!$D$3:$D149,AH58)
+SUMIFS(Transactions!$I$3:$I149,Transactions!$H$3:$H149,"Transfer Deposit",Transactions!$F$3:$F149,"Managed Fund",Transactions!$D$3:$D149,AH58)
+SUMIFS(Transactions!$I$3:$I149,Transactions!$H$3:$H149,"Buy",Transactions!$F$3:$F149,"REIT",Transactions!$D$3:$D149,AH58)
+SUMIFS(Transactions!$I$3:$I149,Transactions!$H$3:$H149,"DRIP",Transactions!$F$3:$F149,"REIT",Transactions!$D$3:$D149,AH58)
+SUMIFS(Transactions!$I$3:$I149,Transactions!$H$3:$H149,"Transfer Deposit",Transactions!$F$3:$F149,"REIT",Transactions!$D$3:$D149,AH58)
-SUMIFS(Transactions!$I$3:$I149,Transactions!$H$3:$H149,"Sell",Transactions!$F$3:$F149,"Stock",Transactions!$D$3:$D149,AH58)
-SUMIFS(Transactions!$I$3:$I149,Transactions!$H$3:$H149,"Transfer Send",Transactions!$F$3:$F149,"Stock",Transactions!$D$3:$D149,AH58)
-SUMIFS(Transactions!$I$3:$I149,Transactions!$H$3:$H149,"Sell",Transactions!$F$3:$F149,"ETF",Transactions!$D$3:$D149,AH58)
-SUMIFS(Transactions!$I$3:$I149,Transactions!$H$3:$H149,"Transfer Send",Transactions!$F$3:$F149,"ETF",Transactions!$D$3:$D149,AH58)
-SUMIFS(Transactions!$I$3:$I149,Transactions!$H$3:$H149,"Sell",Transactions!$F$3:$F149,"Commodity",Transactions!$D$3:$D149,AH58)
-SUMIFS(Transactions!$I$3:$I149,Transactions!$H$3:$H149,"Transfer Send",Transactions!$F$3:$F149,"Commodity",Transactions!$D$3:$D149,AH58)
-SUMIFS(Transactions!$I$3:$I149,Transactions!$H$3:$H149,"Sell",Transactions!$F$3:$F149,"Managed Fund",Transactions!$D$3:$D149,AH58)
-SUMIFS(Transactions!$I$3:$I149,Transactions!$H$3:$H149,"Transfer Send",Transactions!$F$3:$F149,"Managed Fund",Transactions!$D$3:$D149,AH58)
-SUMIFS(Transactions!$I$3:$I149,Transactions!$H$3:$H149,"Sell",Transactions!$F$3:$F149,"REIT",Transactions!$D$3:$D149,AH58)
-SUMIFS(Transactions!$I$3:$I149,Transactions!$H$3:$H149,"Transfer Send",Transactions!$F$3:$F149,"REIT",Transactions!$D$3:$D149,AH58)
+SUMIFS(Transactions!$I$3:$I149,Transactions!$H$3:$H149,"Buy",Transactions!$F$3:$F149,"Crypto",Transactions!$D$3:$D149,AH58)
+SUMIFS(Transactions!$I$3:$I149,Transactions!$H$3:$H149,"Crypto Interest",Transactions!$F$3:$F149,"Crypto",Transactions!$D$3:$D149,AH58)
+SUMIFS(Transactions!$I$3:$I149,Transactions!$H$3:$H149,"Transfer Deposit",Transactions!$F$3:$F149,"Crypto",Transactions!$D$3:$D149,AH58)
-SUMIFS(Transactions!$I$3:$I149,Transactions!$H$3:$H149,"Transfer Send",Transactions!$F$3:$F149,"Crypto",Transactions!$D$3:$D149,AH58)
-SUMIFS(Transactions!$I$3:$I149,Transactions!$H$3:$H149,"Sell",Transactions!$F$3:$F149,"Crypto",Transactions!$D$3:$D149,AH58)
+SUMIFS(Transactions!$I$3:$I149,Transactions!$H$3:$H149,"Buy",Transactions!$F$3:$F149,"Stablecoin",Transactions!$D$3:$D149,AH58)
+SUMIFS(Transactions!$I$3:$I149,Transactions!$H$3:$H149,"Crypto Interest",Transactions!$F$3:$F149,"Stablecoin",Transactions!$D$3:$D149,AH58)
+SUMIFS(Transactions!$I$3:$I149,Transactions!$H$3:$H149,"Transfer Deposit",Transactions!$F$3:$F149,"Stablecoin",Transactions!$D$3:$D149,AH58)
-SUMIFS(Transactions!$I$3:$I149,Transactions!$H$3:$H149,"Transfer Send",Transactions!$F$3:$F149,"Stablecoin",Transactions!$D$3:$D149,AH58)
-SUMIFS(Transactions!$I$3:$I149,Transactions!$H$3:$H149,"Sell",Transactions!$F$3:$F149,"Stablecoin",Transactions!$D$3:$D149,AH58)
-SUMIFS(Transactions!$M$3:$M149,Transactions!$H$3:$H149,"Buy",Transactions!$B$3:$B149,AH58)=0,"Sold All",
SUMIFS(Transactions!$I$3:$I149,Transactions!$H$3:$H149,"Buy",Transactions!$F$3:$F149,"Stock",Transactions!$D$3:$D149,AH58)
+SUMIFS(Transactions!$I$3:$I149,Transactions!$H$3:$H149,"DRIP",Transactions!$F$3:$F149,"Stock",Transactions!$D$3:$D149,AH58)
+SUMIFS(Transactions!$I$3:$I149,Transactions!$H$3:$H149,"Transfer Deposit",Transactions!$F$3:$F149,"Stock",Transactions!$D$3:$D149,AH58)
+SUMIFS(Transactions!$I$3:$I149,Transactions!$H$3:$H149,"Buy",Transactions!$F$3:$F149,"ETF",Transactions!$D$3:$D149,AH58)
+SUMIFS(Transactions!$I$3:$I149,Transactions!$H$3:$H149,"DRIP",Transactions!$F$3:$F149,"ETF",Transactions!$D$3:$D149,AH58)
+SUMIFS(Transactions!$I$3:$I149,Transactions!$H$3:$H149,"Transfer Deposit",Transactions!$F$3:$F149,"ETF",Transactions!$D$3:$D149,AH58)
+SUMIFS(Transactions!$I$3:$I149,Transactions!$H$3:$H149,"Buy",Transactions!$F$3:$F149,"Commodity",Transactions!$D$3:$D149,AH58)
+SUMIFS(Transactions!$I$3:$I149,Transactions!$H$3:$H149,"DRIP",Transactions!$F$3:$F149,"Commodity",Transactions!$D$3:$D149,AH58)
+SUMIFS(Transactions!$I$3:$I149,Transactions!$H$3:$H149,"Transfer Deposit",Transactions!$F$3:$F149,"Commodity",Transactions!$D$3:$D149,AH58)
+SUMIFS(Transactions!$I$3:$I149,Transactions!$H$3:$H149,"Buy",Transactions!$F$3:$F149,"Managed Fund",Transactions!$D$3:$D149,AH58)
+SUMIFS(Transactions!$I$3:$I149,Transactions!$H$3:$H149,"DRIP",Transactions!$F$3:$F149,"Managed Fund",Transactions!$D$3:$D149,AH58)
+SUMIFS(Transactions!$I$3:$I149,Transactions!$H$3:$H149,"Transfer Deposit",Transactions!$F$3:$F149,"Managed Fund",Transactions!$D$3:$D149,AH58)
+SUMIFS(Transactions!$I$3:$I149,Transactions!$H$3:$H149,"Buy",Transactions!$F$3:$F149,"REIT",Transactions!$D$3:$D149,AH58)
+SUMIFS(Transactions!$I$3:$I149,Transactions!$H$3:$H149,"DRIP",Transactions!$F$3:$F149,"REIT",Transactions!$D$3:$D149,AH58)
+SUMIFS(Transactions!$I$3:$I149,Transactions!$H$3:$H149,"Transfer Deposit",Transactions!$F$3:$F149,"REIT",Transactions!$D$3:$D149,AH58)
-SUMIFS(Transactions!$I$3:$I149,Transactions!$H$3:$H149,"Sell",Transactions!$F$3:$F149,"Stock",Transactions!$D$3:$D149,AH58)
-SUMIFS(Transactions!$I$3:$I149,Transactions!$H$3:$H149,"Transfer Send",Transactions!$F$3:$F149,"Stock",Transactions!$D$3:$D149,AH58)
-SUMIFS(Transactions!$I$3:$I149,Transactions!$H$3:$H149,"Sell",Transactions!$F$3:$F149,"ETF",Transactions!$D$3:$D149,AH58)
-SUMIFS(Transactions!$I$3:$I149,Transactions!$H$3:$H149,"Transfer Send",Transactions!$F$3:$F149,"ETF",Transactions!$D$3:$D149,AH58)
-SUMIFS(Transactions!$I$3:$I149,Transactions!$H$3:$H149,"Sell",Transactions!$F$3:$F149,"Commodity",Transactions!$D$3:$D149,AH58)
-SUMIFS(Transactions!$I$3:$I149,Transactions!$H$3:$H149,"Transfer Send",Transactions!$F$3:$F149,"Commodity",Transactions!$D$3:$D149,AH58)
-SUMIFS(Transactions!$I$3:$I149,Transactions!$H$3:$H149,"Sell",Transactions!$F$3:$F149,"Managed Fund",Transactions!$D$3:$D149,AH58)
-SUMIFS(Transactions!$I$3:$I149,Transactions!$H$3:$H149,"Transfer Send",Transactions!$F$3:$F149,"Managed Fund",Transactions!$D$3:$D149,AH58)
-SUMIFS(Transactions!$I$3:$I149,Transactions!$H$3:$H149,"Sell",Transactions!$F$3:$F149,"REIT",Transactions!$D$3:$D149,AH58)
-SUMIFS(Transactions!$I$3:$I149,Transactions!$H$3:$H149,"Transfer Send",Transactions!$F$3:$F149,"REIT",Transactions!$D$3:$D149,AH58)
+SUMIFS(Transactions!$I$3:$I149,Transactions!$H$3:$H149,"Buy",Transactions!$F$3:$F149,"Crypto",Transactions!$D$3:$D149,AH58)
+SUMIFS(Transactions!$I$3:$I149,Transactions!$H$3:$H149,"Crypto Interest",Transactions!$F$3:$F149,"Crypto",Transactions!$D$3:$D149,AH58)
+SUMIFS(Transactions!$I$3:$I149,Transactions!$H$3:$H149,"Transfer Deposit",Transactions!$F$3:$F149,"Crypto",Transactions!$D$3:$D149,AH58)
-SUMIFS(Transactions!$I$3:$I149,Transactions!$H$3:$H149,"Transfer Send",Transactions!$F$3:$F149,"Crypto",Transactions!$D$3:$D149,AH58)
-SUMIFS(Transactions!$I$3:$I149,Transactions!$H$3:$H149,"Sell",Transactions!$F$3:$F149,"Crypto",Transactions!$D$3:$D149,AH58)
+SUMIFS(Transactions!$I$3:$I149,Transactions!$H$3:$H149,"Buy",Transactions!$F$3:$F149,"Stablecoin",Transactions!$D$3:$D149,AH58)
+SUMIFS(Transactions!$I$3:$I149,Transactions!$H$3:$H149,"Crypto Interest",Transactions!$F$3:$F149,"Stablecoin",Transactions!$D$3:$D149,AH58)
+SUMIFS(Transactions!$I$3:$I149,Transactions!$H$3:$H149,"Transfer Deposit",Transactions!$F$3:$F149,"Stablecoin",Transactions!$D$3:$D149,AH58)
-SUMIFS(Transactions!$I$3:$I149,Transactions!$H$3:$H149,"Transfer Send",Transactions!$F$3:$F149,"Stablecoin",Transactions!$D$3:$D149,AH58)
-SUMIFS(Transactions!$I$3:$I149,Transactions!$H$3:$H149,"Sell",Transactions!$F$3:$F149,"Stablecoin",Transactions!$D$3:$D149,AH58)
-SUMIFS(Transactions!$M$3:$M149,Transactions!$H$3:$H149,"Buy",Transactions!$B$3:$B149,AH58)))</f>
        <v/>
      </c>
      <c r="AJ58" s="181" t="str">
        <f>IFERROR(__xludf.DUMMYFUNCTION("IF(ISBLANK(AH58),"""",VLOOKUP(9^99,FILTER({ROW(Transactions!P:P),Transactions!P:P},Transactions!D:D=AH58),2))"),"")</f>
        <v/>
      </c>
      <c r="AK58" s="181" t="str">
        <f>IFERROR(__xludf.DUMMYFUNCTION("IF(ISBLANK(AH58),"""",IFERROR(GOOGLEFINANCE(AH58,""price""),IFERROR(GOOGLEFINANCE(""CURRENCY:""&amp;AH58&amp;""""),IFERROR(INDEX(YAHOO_STOCK(TRIM(AH58), $G$2),0,1),INDEX(IMPORTHTML(CONCAT(""https://coinmarketcap.com/currencies/"",AG58),""table"",1),1,2)))))"),"")</f>
        <v/>
      </c>
      <c r="AL58" s="14" t="str">
        <f>IFERROR(__xludf.DUMMYFUNCTION("IF(ISBLANK(AH58),"""",IFERROR(SPARKLINE(INDEX(GOOGLEFINANCE(AH58,""price"",TODAY()-$AL$2,TODAY()),,2),{""charttype"",""column"";""color"",""17a7e0""}),""""))"),"")</f>
        <v/>
      </c>
      <c r="AM58" s="50" t="str">
        <f>IFERROR(__xludf.DUMMYFUNCTION("IFNA(IFERROR(IF(AH58="""","""",GOOGLEFINANCE(AH58,""changepct"")/100),(GOOGLEFINANCE(AH58)-(INDEX(GOOGLEFINANCE(""CURRENCY:""&amp;AH58&amp;"""",""price"",TODAY()-1),2,2)))/(INDEX(GOOGLEFINANCE(""CURRENCY:""&amp;AH58&amp;"""",""price"",TODAY()-1),2,2))),)"),"")</f>
        <v/>
      </c>
      <c r="AN58" s="96" t="str">
        <f>IFERROR(__xludf.DUMMYFUNCTION("IFNA(IFERROR(IF(AH58="""","""",GOOGLEFINANCE(AH58,""change"")*AI58),(GOOGLEFINANCE(AH58)-(INDEX(GOOGLEFINANCE(""CURRENCY:""&amp;AH58&amp;"""",""price"",TODAY()-1),2,2)))*AI58),"""")"),"")</f>
        <v/>
      </c>
      <c r="AO58" s="96" t="str">
        <f>IF(ISBLANK(AH58),"",IFERROR(((AI58-SUMIFS(Transactions!I:I,Transactions!H:H,"Crypto Interest",Transactions!D:D,AH58))*AJ58),""))</f>
        <v/>
      </c>
      <c r="AP58" s="96" t="str">
        <f t="shared" si="16"/>
        <v/>
      </c>
      <c r="AQ58" s="50" t="str">
        <f t="shared" si="17"/>
        <v/>
      </c>
      <c r="AR58" s="96" t="str">
        <f t="shared" si="18"/>
        <v/>
      </c>
      <c r="AS58" s="96" t="str">
        <f>IF(ISBLANK(AH58),"",SUMIFS(Transactions!$X$3:$X149,Transactions!$H$3:$H149,"Sell",Transactions!$D$3:$D149,AH58))</f>
        <v/>
      </c>
      <c r="AT58" s="96" t="str">
        <f t="shared" si="19"/>
        <v/>
      </c>
      <c r="AU58" s="50" t="str">
        <f>IFERROR(__xludf.DUMMYFUNCTION("IF(ISBLANK(AH58),"""",IFERROR((GOOGLEFINANCE(AH58,""price"")/INDEX(GOOGLEFINANCE(AH58,""price"",DATEVALUE(TODAY()-$AU$2) ),2,2)-1),""""))"),"")</f>
        <v/>
      </c>
      <c r="AW58" s="50" t="str">
        <f>IFERROR(__xludf.DUMMYFUNCTION("IF(ISBLANK(AH58),"""",IFERROR((GOOGLEFINANCE($AW$2,""price"")/INDEX(GOOGLEFINANCE($AW$2,""price"",DATEVALUE(TODAY()-$AU$2) ),2,2)-1),""""))"),"")</f>
        <v/>
      </c>
      <c r="AY58" s="50" t="str">
        <f t="shared" si="20"/>
        <v/>
      </c>
      <c r="AZ58" s="50" t="str">
        <f t="shared" si="21"/>
        <v/>
      </c>
      <c r="BA58" s="50">
        <f t="shared" si="22"/>
        <v>0</v>
      </c>
      <c r="BB58" s="14" t="str">
        <f t="shared" si="23"/>
        <v/>
      </c>
      <c r="BC58" s="14" t="str">
        <f>IF(ISBLANK(AH58),"",IFERROR(VLOOKUP(AH58,Transactions!D:F,3,0)))</f>
        <v/>
      </c>
      <c r="BD58" s="50" t="str">
        <f t="shared" si="24"/>
        <v/>
      </c>
      <c r="BE58" s="50" t="str">
        <f t="shared" si="25"/>
        <v/>
      </c>
      <c r="BF58" s="14" t="str">
        <f t="shared" si="26"/>
        <v/>
      </c>
      <c r="BG58" s="180" t="str">
        <f>IF(ISBLANK(AH58),"",IFERROR(VLOOKUP(AH58,Transactions!D:G,4,0)))</f>
        <v/>
      </c>
    </row>
    <row r="59">
      <c r="A59" s="14" t="str">
        <f t="shared" ref="A59:C59" si="82">AG59</f>
        <v/>
      </c>
      <c r="B59" s="14" t="str">
        <f t="shared" si="82"/>
        <v/>
      </c>
      <c r="C59" s="175" t="str">
        <f t="shared" si="82"/>
        <v/>
      </c>
      <c r="D59" s="176" t="str">
        <f>IFERROR(__xludf.DUMMYFUNCTION("IF(ISBLANK(B59),"""",IFERROR(IF(OR(AF59=""GPB"",AF59=""ZAR""),IF(AF59=Dashboard!$L$1,AJ59,(AJ59*GOOGLEFINANCE(""CURRENCY:""&amp;AF59&amp;""""&amp;Dashboard!$L$1&amp;""""))/100),IF(AF59=Dashboard!$L$1,AJ59,AJ59*GOOGLEFINANCE(""CURRENCY:""&amp;AF59&amp;""""&amp;Dashboard!$L$1&amp;""""))),"&amp;"AJ59))"),"")</f>
        <v/>
      </c>
      <c r="E59" s="177" t="str">
        <f>IFERROR(__xludf.DUMMYFUNCTION("IFERROR(IF(OR(AF59=""GBP"",AF59=""ZAR""),IF(B59="""","""",IF(AF59=Dashboard!$L$1,AK59,AK59*GOOGLEFINANCE(""CURRENCY:""&amp;AF59&amp;""""&amp;Dashboard!$L$1&amp;"""")))/100,If(B59="""","""",IF(AF59=Dashboard!$L$1,AK59,AK59*GOOGLEFINANCE(""CURRENCY:""&amp;AF59&amp;""""&amp;Dashboard!$"&amp;"L$1&amp;"""")))),AK59)"),"")</f>
        <v/>
      </c>
      <c r="F59" s="145" t="str">
        <f t="shared" si="65"/>
        <v/>
      </c>
      <c r="G59" s="96" t="str">
        <f>IFERROR(__xludf.DUMMYFUNCTION("IF(ISBLANK(B59),"""",IFERROR(SPARKLINE(INDEX(GOOGLEFINANCE(B59,""price"",TODAY()-$G$2,TODAY()),,2),{""charttype"",""column"";""color"",""17a7e0""}),""""))"),"")</f>
        <v/>
      </c>
      <c r="H59" s="50" t="str">
        <f t="shared" si="3"/>
        <v/>
      </c>
      <c r="I59" s="96" t="str">
        <f>IFERROR(__xludf.DUMMYFUNCTION("IF(ISBLANK(B59),"""",IFERROR(IF(OR(AF59=""GPB"",AF59=""ZAR""),IF(AF59=Dashboard!$L$1,AN59,(AN59*GOOGLEFINANCE(""CURRENCY:""&amp;AF59&amp;""""&amp;Dashboard!$L$1&amp;""""))/100),IF(AF59=Dashboard!$L$1,AN59,AN59*GOOGLEFINANCE(""CURRENCY:""&amp;AF59&amp;""""&amp;Dashboard!$L$1&amp;""""))),"&amp;"AN59))"),"")</f>
        <v/>
      </c>
      <c r="J59" s="178" t="str">
        <f>IF(ISBLANK(B59),"",IFERROR(((C59-SUMIFS(Transactions!I:I,Transactions!H:H,"Crypto Interest",Transactions!D:D,B59))*D59),""))</f>
        <v/>
      </c>
      <c r="K59" s="178" t="str">
        <f t="shared" si="4"/>
        <v/>
      </c>
      <c r="L59" s="145">
        <f>-SUMIFS(Transactions!$M$3:$M149,Transactions!$H$3:$H149,"Buy",Transactions!$D$3:$D149,B59)</f>
        <v>0</v>
      </c>
      <c r="M59" s="145">
        <f>IF(ISBLANK(AG59),"",SUMIFS(Transactions!$M$3:$M149,Transactions!$H$3:$H149,"Dividend",Transactions!$D$3:$D149,B59))</f>
        <v>0</v>
      </c>
      <c r="N59" s="145" t="str">
        <f>IF(ISBLANK(AH59),"",SUMIFS(Transactions!$M$3:$M149,Transactions!$H$3:$H149,"Sell",Transactions!$D$3:$D149,B59))</f>
        <v/>
      </c>
      <c r="O59" s="50" t="str">
        <f t="shared" si="5"/>
        <v/>
      </c>
      <c r="P59" s="178" t="str">
        <f t="shared" si="6"/>
        <v/>
      </c>
      <c r="Q59" s="178" t="str">
        <f>IFERROR(__xludf.DUMMYFUNCTION("IF(ISBLANK(B59),"""",IFERROR(IF(OR(AF59=""GPB"",AF59=""ZAR""),IF(AF59=Dashboard!$L$1,AS59,(AS59*GOOGLEFINANCE(""CURRENCY:""&amp;AF59&amp;""""&amp;Dashboard!$L$1&amp;""""))/100),IF(AF59=Dashboard!$L$1,AS59,AS59*GOOGLEFINANCE(""CURRENCY:""&amp;AF59&amp;""""&amp;Dashboard!$L$1&amp;""""))),"&amp;"AS59))"),"")</f>
        <v/>
      </c>
      <c r="R59" s="178" t="str">
        <f t="shared" si="7"/>
        <v/>
      </c>
      <c r="S59" s="50" t="str">
        <f>IFERROR(__xludf.DUMMYFUNCTION("IF(ISBLANK(B59),"""",IFERROR((GOOGLEFINANCE(B59,""price"")/INDEX(GOOGLEFINANCE(B59,""price"",DATEVALUE(TODAY()-$S$2) ),2,2)-1),""""))"),"")</f>
        <v/>
      </c>
      <c r="U59" s="50" t="str">
        <f>IFERROR(__xludf.DUMMYFUNCTION("IF(ISBLANK(B59),"""",IFERROR((GOOGLEFINANCE($U$2,""price"")/INDEX(GOOGLEFINANCE($U$2,""price"",DATEVALUE(TODAY()-$S$2) ),2,2)-1),""""))"),"")</f>
        <v/>
      </c>
      <c r="W59" s="50" t="str">
        <f t="shared" si="8"/>
        <v/>
      </c>
      <c r="X59" s="50" t="str">
        <f t="shared" si="9"/>
        <v/>
      </c>
      <c r="Y59" s="179">
        <v>0.0</v>
      </c>
      <c r="Z59" s="50" t="str">
        <f t="shared" si="10"/>
        <v/>
      </c>
      <c r="AA59" s="14" t="str">
        <f t="shared" si="11"/>
        <v/>
      </c>
      <c r="AB59" s="50" t="str">
        <f t="shared" si="12"/>
        <v/>
      </c>
      <c r="AC59" s="179" t="str">
        <f t="shared" si="13"/>
        <v/>
      </c>
      <c r="AD59" s="50" t="str">
        <f t="shared" si="14"/>
        <v/>
      </c>
      <c r="AE59" s="180" t="str">
        <f t="shared" si="15"/>
        <v/>
      </c>
      <c r="AF59" s="14" t="str">
        <f t="array" ref="AF59">IFERROR(IF(ISBLANK(AH59),"",IF(VLOOKUP(AH59,Transactions!D:F,3,0)="Stablecoin",AH59,INDEX(Transactions!$B$3:$B149,MATCH(AH59,Transactions!$D$3:$D149,0),0))))</f>
        <v/>
      </c>
      <c r="AG59" s="14" t="str">
        <f>IF(ISBLANK(AH59),"",VLOOKUP(AH59,Transactions!D:E,2,0))</f>
        <v/>
      </c>
      <c r="AH59" s="14"/>
      <c r="AI59" s="146" t="str">
        <f>IF(ISBLANK(AH59),"",IF(
SUMIFS(Transactions!$I$3:$I149,Transactions!$H$3:$H149,"Buy",Transactions!$F$3:$F149,"Stock",Transactions!$D$3:$D149,AH59)
+SUMIFS(Transactions!$I$3:$I149,Transactions!$H$3:$H149,"DRIP",Transactions!$F$3:$F149,"Stock",Transactions!$D$3:$D149,AH59)
+SUMIFS(Transactions!$I$3:$I149,Transactions!$H$3:$H149,"Transfer Deposit",Transactions!$F$3:$F149,"Stock",Transactions!$D$3:$D149,AH59)
+SUMIFS(Transactions!$I$3:$I149,Transactions!$H$3:$H149,"Buy",Transactions!$F$3:$F149,"ETF",Transactions!$D$3:$D149,AH59)
+SUMIFS(Transactions!$I$3:$I149,Transactions!$H$3:$H149,"DRIP",Transactions!$F$3:$F149,"ETF",Transactions!$D$3:$D149,AH59)
+SUMIFS(Transactions!$I$3:$I149,Transactions!$H$3:$H149,"Transfer Deposit",Transactions!$F$3:$F149,"ETF",Transactions!$D$3:$D149,AH59)
+SUMIFS(Transactions!$I$3:$I149,Transactions!$H$3:$H149,"Buy",Transactions!$F$3:$F149,"Commodity",Transactions!$D$3:$D149,AH59)
+SUMIFS(Transactions!$I$3:$I149,Transactions!$H$3:$H149,"DRIP",Transactions!$F$3:$F149,"Commodity",Transactions!$D$3:$D149,AH59)
+SUMIFS(Transactions!$I$3:$I149,Transactions!$H$3:$H149,"Transfer Deposit",Transactions!$F$3:$F149,"Commodity",Transactions!$D$3:$D149,AH59)
+SUMIFS(Transactions!$I$3:$I149,Transactions!$H$3:$H149,"Buy",Transactions!$F$3:$F149,"Managed Fund",Transactions!$D$3:$D149,AH59)
+SUMIFS(Transactions!$I$3:$I149,Transactions!$H$3:$H149,"DRIP",Transactions!$F$3:$F149,"Managed Fund",Transactions!$D$3:$D149,AH59)
+SUMIFS(Transactions!$I$3:$I149,Transactions!$H$3:$H149,"Transfer Deposit",Transactions!$F$3:$F149,"Managed Fund",Transactions!$D$3:$D149,AH59)
+SUMIFS(Transactions!$I$3:$I149,Transactions!$H$3:$H149,"Buy",Transactions!$F$3:$F149,"REIT",Transactions!$D$3:$D149,AH59)
+SUMIFS(Transactions!$I$3:$I149,Transactions!$H$3:$H149,"DRIP",Transactions!$F$3:$F149,"REIT",Transactions!$D$3:$D149,AH59)
+SUMIFS(Transactions!$I$3:$I149,Transactions!$H$3:$H149,"Transfer Deposit",Transactions!$F$3:$F149,"REIT",Transactions!$D$3:$D149,AH59)
-SUMIFS(Transactions!$I$3:$I149,Transactions!$H$3:$H149,"Sell",Transactions!$F$3:$F149,"Stock",Transactions!$D$3:$D149,AH59)
-SUMIFS(Transactions!$I$3:$I149,Transactions!$H$3:$H149,"Transfer Send",Transactions!$F$3:$F149,"Stock",Transactions!$D$3:$D149,AH59)
-SUMIFS(Transactions!$I$3:$I149,Transactions!$H$3:$H149,"Sell",Transactions!$F$3:$F149,"ETF",Transactions!$D$3:$D149,AH59)
-SUMIFS(Transactions!$I$3:$I149,Transactions!$H$3:$H149,"Transfer Send",Transactions!$F$3:$F149,"ETF",Transactions!$D$3:$D149,AH59)
-SUMIFS(Transactions!$I$3:$I149,Transactions!$H$3:$H149,"Sell",Transactions!$F$3:$F149,"Commodity",Transactions!$D$3:$D149,AH59)
-SUMIFS(Transactions!$I$3:$I149,Transactions!$H$3:$H149,"Transfer Send",Transactions!$F$3:$F149,"Commodity",Transactions!$D$3:$D149,AH59)
-SUMIFS(Transactions!$I$3:$I149,Transactions!$H$3:$H149,"Sell",Transactions!$F$3:$F149,"Managed Fund",Transactions!$D$3:$D149,AH59)
-SUMIFS(Transactions!$I$3:$I149,Transactions!$H$3:$H149,"Transfer Send",Transactions!$F$3:$F149,"Managed Fund",Transactions!$D$3:$D149,AH59)
-SUMIFS(Transactions!$I$3:$I149,Transactions!$H$3:$H149,"Sell",Transactions!$F$3:$F149,"REIT",Transactions!$D$3:$D149,AH59)
-SUMIFS(Transactions!$I$3:$I149,Transactions!$H$3:$H149,"Transfer Send",Transactions!$F$3:$F149,"REIT",Transactions!$D$3:$D149,AH59)
+SUMIFS(Transactions!$I$3:$I149,Transactions!$H$3:$H149,"Buy",Transactions!$F$3:$F149,"Crypto",Transactions!$D$3:$D149,AH59)
+SUMIFS(Transactions!$I$3:$I149,Transactions!$H$3:$H149,"Crypto Interest",Transactions!$F$3:$F149,"Crypto",Transactions!$D$3:$D149,AH59)
+SUMIFS(Transactions!$I$3:$I149,Transactions!$H$3:$H149,"Transfer Deposit",Transactions!$F$3:$F149,"Crypto",Transactions!$D$3:$D149,AH59)
-SUMIFS(Transactions!$I$3:$I149,Transactions!$H$3:$H149,"Transfer Send",Transactions!$F$3:$F149,"Crypto",Transactions!$D$3:$D149,AH59)
-SUMIFS(Transactions!$I$3:$I149,Transactions!$H$3:$H149,"Sell",Transactions!$F$3:$F149,"Crypto",Transactions!$D$3:$D149,AH59)
+SUMIFS(Transactions!$I$3:$I149,Transactions!$H$3:$H149,"Buy",Transactions!$F$3:$F149,"Stablecoin",Transactions!$D$3:$D149,AH59)
+SUMIFS(Transactions!$I$3:$I149,Transactions!$H$3:$H149,"Crypto Interest",Transactions!$F$3:$F149,"Stablecoin",Transactions!$D$3:$D149,AH59)
+SUMIFS(Transactions!$I$3:$I149,Transactions!$H$3:$H149,"Transfer Deposit",Transactions!$F$3:$F149,"Stablecoin",Transactions!$D$3:$D149,AH59)
-SUMIFS(Transactions!$I$3:$I149,Transactions!$H$3:$H149,"Transfer Send",Transactions!$F$3:$F149,"Stablecoin",Transactions!$D$3:$D149,AH59)
-SUMIFS(Transactions!$I$3:$I149,Transactions!$H$3:$H149,"Sell",Transactions!$F$3:$F149,"Stablecoin",Transactions!$D$3:$D149,AH59)
-SUMIFS(Transactions!$M$3:$M149,Transactions!$H$3:$H149,"Buy",Transactions!$B$3:$B149,AH59)=0,"Sold All",
SUMIFS(Transactions!$I$3:$I149,Transactions!$H$3:$H149,"Buy",Transactions!$F$3:$F149,"Stock",Transactions!$D$3:$D149,AH59)
+SUMIFS(Transactions!$I$3:$I149,Transactions!$H$3:$H149,"DRIP",Transactions!$F$3:$F149,"Stock",Transactions!$D$3:$D149,AH59)
+SUMIFS(Transactions!$I$3:$I149,Transactions!$H$3:$H149,"Transfer Deposit",Transactions!$F$3:$F149,"Stock",Transactions!$D$3:$D149,AH59)
+SUMIFS(Transactions!$I$3:$I149,Transactions!$H$3:$H149,"Buy",Transactions!$F$3:$F149,"ETF",Transactions!$D$3:$D149,AH59)
+SUMIFS(Transactions!$I$3:$I149,Transactions!$H$3:$H149,"DRIP",Transactions!$F$3:$F149,"ETF",Transactions!$D$3:$D149,AH59)
+SUMIFS(Transactions!$I$3:$I149,Transactions!$H$3:$H149,"Transfer Deposit",Transactions!$F$3:$F149,"ETF",Transactions!$D$3:$D149,AH59)
+SUMIFS(Transactions!$I$3:$I149,Transactions!$H$3:$H149,"Buy",Transactions!$F$3:$F149,"Commodity",Transactions!$D$3:$D149,AH59)
+SUMIFS(Transactions!$I$3:$I149,Transactions!$H$3:$H149,"DRIP",Transactions!$F$3:$F149,"Commodity",Transactions!$D$3:$D149,AH59)
+SUMIFS(Transactions!$I$3:$I149,Transactions!$H$3:$H149,"Transfer Deposit",Transactions!$F$3:$F149,"Commodity",Transactions!$D$3:$D149,AH59)
+SUMIFS(Transactions!$I$3:$I149,Transactions!$H$3:$H149,"Buy",Transactions!$F$3:$F149,"Managed Fund",Transactions!$D$3:$D149,AH59)
+SUMIFS(Transactions!$I$3:$I149,Transactions!$H$3:$H149,"DRIP",Transactions!$F$3:$F149,"Managed Fund",Transactions!$D$3:$D149,AH59)
+SUMIFS(Transactions!$I$3:$I149,Transactions!$H$3:$H149,"Transfer Deposit",Transactions!$F$3:$F149,"Managed Fund",Transactions!$D$3:$D149,AH59)
+SUMIFS(Transactions!$I$3:$I149,Transactions!$H$3:$H149,"Buy",Transactions!$F$3:$F149,"REIT",Transactions!$D$3:$D149,AH59)
+SUMIFS(Transactions!$I$3:$I149,Transactions!$H$3:$H149,"DRIP",Transactions!$F$3:$F149,"REIT",Transactions!$D$3:$D149,AH59)
+SUMIFS(Transactions!$I$3:$I149,Transactions!$H$3:$H149,"Transfer Deposit",Transactions!$F$3:$F149,"REIT",Transactions!$D$3:$D149,AH59)
-SUMIFS(Transactions!$I$3:$I149,Transactions!$H$3:$H149,"Sell",Transactions!$F$3:$F149,"Stock",Transactions!$D$3:$D149,AH59)
-SUMIFS(Transactions!$I$3:$I149,Transactions!$H$3:$H149,"Transfer Send",Transactions!$F$3:$F149,"Stock",Transactions!$D$3:$D149,AH59)
-SUMIFS(Transactions!$I$3:$I149,Transactions!$H$3:$H149,"Sell",Transactions!$F$3:$F149,"ETF",Transactions!$D$3:$D149,AH59)
-SUMIFS(Transactions!$I$3:$I149,Transactions!$H$3:$H149,"Transfer Send",Transactions!$F$3:$F149,"ETF",Transactions!$D$3:$D149,AH59)
-SUMIFS(Transactions!$I$3:$I149,Transactions!$H$3:$H149,"Sell",Transactions!$F$3:$F149,"Commodity",Transactions!$D$3:$D149,AH59)
-SUMIFS(Transactions!$I$3:$I149,Transactions!$H$3:$H149,"Transfer Send",Transactions!$F$3:$F149,"Commodity",Transactions!$D$3:$D149,AH59)
-SUMIFS(Transactions!$I$3:$I149,Transactions!$H$3:$H149,"Sell",Transactions!$F$3:$F149,"Managed Fund",Transactions!$D$3:$D149,AH59)
-SUMIFS(Transactions!$I$3:$I149,Transactions!$H$3:$H149,"Transfer Send",Transactions!$F$3:$F149,"Managed Fund",Transactions!$D$3:$D149,AH59)
-SUMIFS(Transactions!$I$3:$I149,Transactions!$H$3:$H149,"Sell",Transactions!$F$3:$F149,"REIT",Transactions!$D$3:$D149,AH59)
-SUMIFS(Transactions!$I$3:$I149,Transactions!$H$3:$H149,"Transfer Send",Transactions!$F$3:$F149,"REIT",Transactions!$D$3:$D149,AH59)
+SUMIFS(Transactions!$I$3:$I149,Transactions!$H$3:$H149,"Buy",Transactions!$F$3:$F149,"Crypto",Transactions!$D$3:$D149,AH59)
+SUMIFS(Transactions!$I$3:$I149,Transactions!$H$3:$H149,"Crypto Interest",Transactions!$F$3:$F149,"Crypto",Transactions!$D$3:$D149,AH59)
+SUMIFS(Transactions!$I$3:$I149,Transactions!$H$3:$H149,"Transfer Deposit",Transactions!$F$3:$F149,"Crypto",Transactions!$D$3:$D149,AH59)
-SUMIFS(Transactions!$I$3:$I149,Transactions!$H$3:$H149,"Transfer Send",Transactions!$F$3:$F149,"Crypto",Transactions!$D$3:$D149,AH59)
-SUMIFS(Transactions!$I$3:$I149,Transactions!$H$3:$H149,"Sell",Transactions!$F$3:$F149,"Crypto",Transactions!$D$3:$D149,AH59)
+SUMIFS(Transactions!$I$3:$I149,Transactions!$H$3:$H149,"Buy",Transactions!$F$3:$F149,"Stablecoin",Transactions!$D$3:$D149,AH59)
+SUMIFS(Transactions!$I$3:$I149,Transactions!$H$3:$H149,"Crypto Interest",Transactions!$F$3:$F149,"Stablecoin",Transactions!$D$3:$D149,AH59)
+SUMIFS(Transactions!$I$3:$I149,Transactions!$H$3:$H149,"Transfer Deposit",Transactions!$F$3:$F149,"Stablecoin",Transactions!$D$3:$D149,AH59)
-SUMIFS(Transactions!$I$3:$I149,Transactions!$H$3:$H149,"Transfer Send",Transactions!$F$3:$F149,"Stablecoin",Transactions!$D$3:$D149,AH59)
-SUMIFS(Transactions!$I$3:$I149,Transactions!$H$3:$H149,"Sell",Transactions!$F$3:$F149,"Stablecoin",Transactions!$D$3:$D149,AH59)
-SUMIFS(Transactions!$M$3:$M149,Transactions!$H$3:$H149,"Buy",Transactions!$B$3:$B149,AH59)))</f>
        <v/>
      </c>
      <c r="AJ59" s="181" t="str">
        <f>IFERROR(__xludf.DUMMYFUNCTION("IF(ISBLANK(AH59),"""",VLOOKUP(9^99,FILTER({ROW(Transactions!P:P),Transactions!P:P},Transactions!D:D=AH59),2))"),"")</f>
        <v/>
      </c>
      <c r="AK59" s="181" t="str">
        <f>IFERROR(__xludf.DUMMYFUNCTION("IF(ISBLANK(AH59),"""",IFERROR(GOOGLEFINANCE(AH59,""price""),IFERROR(GOOGLEFINANCE(""CURRENCY:""&amp;AH59&amp;""""),IFERROR(INDEX(YAHOO_STOCK(TRIM(AH59), $G$2),0,1),INDEX(IMPORTHTML(CONCAT(""https://coinmarketcap.com/currencies/"",AG59),""table"",1),1,2)))))"),"")</f>
        <v/>
      </c>
      <c r="AL59" s="14" t="str">
        <f>IFERROR(__xludf.DUMMYFUNCTION("IF(ISBLANK(AH59),"""",IFERROR(SPARKLINE(INDEX(GOOGLEFINANCE(AH59,""price"",TODAY()-$AL$2,TODAY()),,2),{""charttype"",""column"";""color"",""17a7e0""}),""""))"),"")</f>
        <v/>
      </c>
      <c r="AM59" s="50" t="str">
        <f>IFERROR(__xludf.DUMMYFUNCTION("IFNA(IFERROR(IF(AH59="""","""",GOOGLEFINANCE(AH59,""changepct"")/100),(GOOGLEFINANCE(AH59)-(INDEX(GOOGLEFINANCE(""CURRENCY:""&amp;AH59&amp;"""",""price"",TODAY()-1),2,2)))/(INDEX(GOOGLEFINANCE(""CURRENCY:""&amp;AH59&amp;"""",""price"",TODAY()-1),2,2))),)"),"")</f>
        <v/>
      </c>
      <c r="AN59" s="96" t="str">
        <f>IFERROR(__xludf.DUMMYFUNCTION("IFNA(IFERROR(IF(AH59="""","""",GOOGLEFINANCE(AH59,""change"")*AI59),(GOOGLEFINANCE(AH59)-(INDEX(GOOGLEFINANCE(""CURRENCY:""&amp;AH59&amp;"""",""price"",TODAY()-1),2,2)))*AI59),"""")"),"")</f>
        <v/>
      </c>
      <c r="AO59" s="96" t="str">
        <f>IF(ISBLANK(AH59),"",IFERROR(((AI59-SUMIFS(Transactions!I:I,Transactions!H:H,"Crypto Interest",Transactions!D:D,AH59))*AJ59),""))</f>
        <v/>
      </c>
      <c r="AP59" s="96" t="str">
        <f t="shared" si="16"/>
        <v/>
      </c>
      <c r="AQ59" s="50" t="str">
        <f t="shared" si="17"/>
        <v/>
      </c>
      <c r="AR59" s="96" t="str">
        <f t="shared" si="18"/>
        <v/>
      </c>
      <c r="AS59" s="96" t="str">
        <f>IF(ISBLANK(AH59),"",SUMIFS(Transactions!$X$3:$X149,Transactions!$H$3:$H149,"Sell",Transactions!$D$3:$D149,AH59))</f>
        <v/>
      </c>
      <c r="AT59" s="96" t="str">
        <f t="shared" si="19"/>
        <v/>
      </c>
      <c r="AU59" s="50" t="str">
        <f>IFERROR(__xludf.DUMMYFUNCTION("IF(ISBLANK(AH59),"""",IFERROR((GOOGLEFINANCE(AH59,""price"")/INDEX(GOOGLEFINANCE(AH59,""price"",DATEVALUE(TODAY()-$AU$2) ),2,2)-1),""""))"),"")</f>
        <v/>
      </c>
      <c r="AW59" s="50" t="str">
        <f>IFERROR(__xludf.DUMMYFUNCTION("IF(ISBLANK(AH59),"""",IFERROR((GOOGLEFINANCE($AW$2,""price"")/INDEX(GOOGLEFINANCE($AW$2,""price"",DATEVALUE(TODAY()-$AU$2) ),2,2)-1),""""))"),"")</f>
        <v/>
      </c>
      <c r="AY59" s="50" t="str">
        <f t="shared" si="20"/>
        <v/>
      </c>
      <c r="AZ59" s="50" t="str">
        <f t="shared" si="21"/>
        <v/>
      </c>
      <c r="BA59" s="50">
        <f t="shared" si="22"/>
        <v>0</v>
      </c>
      <c r="BB59" s="14" t="str">
        <f t="shared" si="23"/>
        <v/>
      </c>
      <c r="BC59" s="14" t="str">
        <f>IF(ISBLANK(AH59),"",IFERROR(VLOOKUP(AH59,Transactions!D:F,3,0)))</f>
        <v/>
      </c>
      <c r="BD59" s="50" t="str">
        <f t="shared" si="24"/>
        <v/>
      </c>
      <c r="BE59" s="50" t="str">
        <f t="shared" si="25"/>
        <v/>
      </c>
      <c r="BF59" s="14" t="str">
        <f t="shared" si="26"/>
        <v/>
      </c>
      <c r="BG59" s="180" t="str">
        <f>IF(ISBLANK(AH59),"",IFERROR(VLOOKUP(AH59,Transactions!D:G,4,0)))</f>
        <v/>
      </c>
    </row>
    <row r="60">
      <c r="A60" s="14" t="str">
        <f t="shared" ref="A60:C60" si="83">AG60</f>
        <v/>
      </c>
      <c r="B60" s="14" t="str">
        <f t="shared" si="83"/>
        <v/>
      </c>
      <c r="C60" s="175" t="str">
        <f t="shared" si="83"/>
        <v/>
      </c>
      <c r="D60" s="176" t="str">
        <f>IFERROR(__xludf.DUMMYFUNCTION("IF(ISBLANK(B60),"""",IFERROR(IF(OR(AF60=""GPB"",AF60=""ZAR""),IF(AF60=Dashboard!$L$1,AJ60,(AJ60*GOOGLEFINANCE(""CURRENCY:""&amp;AF60&amp;""""&amp;Dashboard!$L$1&amp;""""))/100),IF(AF60=Dashboard!$L$1,AJ60,AJ60*GOOGLEFINANCE(""CURRENCY:""&amp;AF60&amp;""""&amp;Dashboard!$L$1&amp;""""))),"&amp;"AJ60))"),"")</f>
        <v/>
      </c>
      <c r="E60" s="177" t="str">
        <f>IFERROR(__xludf.DUMMYFUNCTION("IFERROR(IF(OR(AF60=""GBP"",AF60=""ZAR""),IF(B60="""","""",IF(AF60=Dashboard!$L$1,AK60,AK60*GOOGLEFINANCE(""CURRENCY:""&amp;AF60&amp;""""&amp;Dashboard!$L$1&amp;"""")))/100,If(B60="""","""",IF(AF60=Dashboard!$L$1,AK60,AK60*GOOGLEFINANCE(""CURRENCY:""&amp;AF60&amp;""""&amp;Dashboard!$"&amp;"L$1&amp;"""")))),AK60)"),"")</f>
        <v/>
      </c>
      <c r="F60" s="145" t="str">
        <f t="shared" si="65"/>
        <v/>
      </c>
      <c r="G60" s="96" t="str">
        <f>IFERROR(__xludf.DUMMYFUNCTION("IF(ISBLANK(B60),"""",IFERROR(SPARKLINE(INDEX(GOOGLEFINANCE(B60,""price"",TODAY()-$G$2,TODAY()),,2),{""charttype"",""column"";""color"",""17a7e0""}),""""))"),"")</f>
        <v/>
      </c>
      <c r="H60" s="50" t="str">
        <f t="shared" si="3"/>
        <v/>
      </c>
      <c r="I60" s="96" t="str">
        <f>IFERROR(__xludf.DUMMYFUNCTION("IF(ISBLANK(B60),"""",IFERROR(IF(OR(AF60=""GPB"",AF60=""ZAR""),IF(AF60=Dashboard!$L$1,AN60,(AN60*GOOGLEFINANCE(""CURRENCY:""&amp;AF60&amp;""""&amp;Dashboard!$L$1&amp;""""))/100),IF(AF60=Dashboard!$L$1,AN60,AN60*GOOGLEFINANCE(""CURRENCY:""&amp;AF60&amp;""""&amp;Dashboard!$L$1&amp;""""))),"&amp;"AN60))"),"")</f>
        <v/>
      </c>
      <c r="J60" s="178" t="str">
        <f>IF(ISBLANK(B60),"",IFERROR(((C60-SUMIFS(Transactions!I:I,Transactions!H:H,"Crypto Interest",Transactions!D:D,B60))*D60),""))</f>
        <v/>
      </c>
      <c r="K60" s="178" t="str">
        <f t="shared" si="4"/>
        <v/>
      </c>
      <c r="L60" s="145">
        <f>-SUMIFS(Transactions!$M$3:$M149,Transactions!$H$3:$H149,"Buy",Transactions!$D$3:$D149,B60)</f>
        <v>0</v>
      </c>
      <c r="M60" s="145">
        <f>IF(ISBLANK(AG60),"",SUMIFS(Transactions!$M$3:$M149,Transactions!$H$3:$H149,"Dividend",Transactions!$D$3:$D149,B60))</f>
        <v>0</v>
      </c>
      <c r="N60" s="145" t="str">
        <f>IF(ISBLANK(AH60),"",SUMIFS(Transactions!$M$3:$M149,Transactions!$H$3:$H149,"Sell",Transactions!$D$3:$D149,B60))</f>
        <v/>
      </c>
      <c r="O60" s="50" t="str">
        <f t="shared" si="5"/>
        <v/>
      </c>
      <c r="P60" s="178" t="str">
        <f t="shared" si="6"/>
        <v/>
      </c>
      <c r="Q60" s="178" t="str">
        <f>IFERROR(__xludf.DUMMYFUNCTION("IF(ISBLANK(B60),"""",IFERROR(IF(OR(AF60=""GPB"",AF60=""ZAR""),IF(AF60=Dashboard!$L$1,AS60,(AS60*GOOGLEFINANCE(""CURRENCY:""&amp;AF60&amp;""""&amp;Dashboard!$L$1&amp;""""))/100),IF(AF60=Dashboard!$L$1,AS60,AS60*GOOGLEFINANCE(""CURRENCY:""&amp;AF60&amp;""""&amp;Dashboard!$L$1&amp;""""))),"&amp;"AS60))"),"")</f>
        <v/>
      </c>
      <c r="R60" s="178" t="str">
        <f t="shared" si="7"/>
        <v/>
      </c>
      <c r="S60" s="50" t="str">
        <f>IFERROR(__xludf.DUMMYFUNCTION("IF(ISBLANK(B60),"""",IFERROR((GOOGLEFINANCE(B60,""price"")/INDEX(GOOGLEFINANCE(B60,""price"",DATEVALUE(TODAY()-$S$2) ),2,2)-1),""""))"),"")</f>
        <v/>
      </c>
      <c r="U60" s="50" t="str">
        <f>IFERROR(__xludf.DUMMYFUNCTION("IF(ISBLANK(B60),"""",IFERROR((GOOGLEFINANCE($U$2,""price"")/INDEX(GOOGLEFINANCE($U$2,""price"",DATEVALUE(TODAY()-$S$2) ),2,2)-1),""""))"),"")</f>
        <v/>
      </c>
      <c r="W60" s="50" t="str">
        <f t="shared" si="8"/>
        <v/>
      </c>
      <c r="X60" s="50" t="str">
        <f t="shared" si="9"/>
        <v/>
      </c>
      <c r="Y60" s="179">
        <v>0.0</v>
      </c>
      <c r="Z60" s="50" t="str">
        <f t="shared" si="10"/>
        <v/>
      </c>
      <c r="AA60" s="14" t="str">
        <f t="shared" si="11"/>
        <v/>
      </c>
      <c r="AB60" s="50" t="str">
        <f t="shared" si="12"/>
        <v/>
      </c>
      <c r="AC60" s="179" t="str">
        <f t="shared" si="13"/>
        <v/>
      </c>
      <c r="AD60" s="50" t="str">
        <f t="shared" si="14"/>
        <v/>
      </c>
      <c r="AE60" s="180" t="str">
        <f t="shared" si="15"/>
        <v/>
      </c>
      <c r="AF60" s="14" t="str">
        <f t="array" ref="AF60">IFERROR(IF(ISBLANK(AH60),"",IF(VLOOKUP(AH60,Transactions!D:F,3,0)="Stablecoin",AH60,INDEX(Transactions!$B$3:$B149,MATCH(AH60,Transactions!$D$3:$D149,0),0))))</f>
        <v/>
      </c>
      <c r="AG60" s="14" t="str">
        <f>IF(ISBLANK(AH60),"",VLOOKUP(AH60,Transactions!D:E,2,0))</f>
        <v/>
      </c>
      <c r="AH60" s="14"/>
      <c r="AI60" s="146" t="str">
        <f>IF(ISBLANK(AH60),"",IF(
SUMIFS(Transactions!$I$3:$I149,Transactions!$H$3:$H149,"Buy",Transactions!$F$3:$F149,"Stock",Transactions!$D$3:$D149,AH60)
+SUMIFS(Transactions!$I$3:$I149,Transactions!$H$3:$H149,"DRIP",Transactions!$F$3:$F149,"Stock",Transactions!$D$3:$D149,AH60)
+SUMIFS(Transactions!$I$3:$I149,Transactions!$H$3:$H149,"Transfer Deposit",Transactions!$F$3:$F149,"Stock",Transactions!$D$3:$D149,AH60)
+SUMIFS(Transactions!$I$3:$I149,Transactions!$H$3:$H149,"Buy",Transactions!$F$3:$F149,"ETF",Transactions!$D$3:$D149,AH60)
+SUMIFS(Transactions!$I$3:$I149,Transactions!$H$3:$H149,"DRIP",Transactions!$F$3:$F149,"ETF",Transactions!$D$3:$D149,AH60)
+SUMIFS(Transactions!$I$3:$I149,Transactions!$H$3:$H149,"Transfer Deposit",Transactions!$F$3:$F149,"ETF",Transactions!$D$3:$D149,AH60)
+SUMIFS(Transactions!$I$3:$I149,Transactions!$H$3:$H149,"Buy",Transactions!$F$3:$F149,"Commodity",Transactions!$D$3:$D149,AH60)
+SUMIFS(Transactions!$I$3:$I149,Transactions!$H$3:$H149,"DRIP",Transactions!$F$3:$F149,"Commodity",Transactions!$D$3:$D149,AH60)
+SUMIFS(Transactions!$I$3:$I149,Transactions!$H$3:$H149,"Transfer Deposit",Transactions!$F$3:$F149,"Commodity",Transactions!$D$3:$D149,AH60)
+SUMIFS(Transactions!$I$3:$I149,Transactions!$H$3:$H149,"Buy",Transactions!$F$3:$F149,"Managed Fund",Transactions!$D$3:$D149,AH60)
+SUMIFS(Transactions!$I$3:$I149,Transactions!$H$3:$H149,"DRIP",Transactions!$F$3:$F149,"Managed Fund",Transactions!$D$3:$D149,AH60)
+SUMIFS(Transactions!$I$3:$I149,Transactions!$H$3:$H149,"Transfer Deposit",Transactions!$F$3:$F149,"Managed Fund",Transactions!$D$3:$D149,AH60)
+SUMIFS(Transactions!$I$3:$I149,Transactions!$H$3:$H149,"Buy",Transactions!$F$3:$F149,"REIT",Transactions!$D$3:$D149,AH60)
+SUMIFS(Transactions!$I$3:$I149,Transactions!$H$3:$H149,"DRIP",Transactions!$F$3:$F149,"REIT",Transactions!$D$3:$D149,AH60)
+SUMIFS(Transactions!$I$3:$I149,Transactions!$H$3:$H149,"Transfer Deposit",Transactions!$F$3:$F149,"REIT",Transactions!$D$3:$D149,AH60)
-SUMIFS(Transactions!$I$3:$I149,Transactions!$H$3:$H149,"Sell",Transactions!$F$3:$F149,"Stock",Transactions!$D$3:$D149,AH60)
-SUMIFS(Transactions!$I$3:$I149,Transactions!$H$3:$H149,"Transfer Send",Transactions!$F$3:$F149,"Stock",Transactions!$D$3:$D149,AH60)
-SUMIFS(Transactions!$I$3:$I149,Transactions!$H$3:$H149,"Sell",Transactions!$F$3:$F149,"ETF",Transactions!$D$3:$D149,AH60)
-SUMIFS(Transactions!$I$3:$I149,Transactions!$H$3:$H149,"Transfer Send",Transactions!$F$3:$F149,"ETF",Transactions!$D$3:$D149,AH60)
-SUMIFS(Transactions!$I$3:$I149,Transactions!$H$3:$H149,"Sell",Transactions!$F$3:$F149,"Commodity",Transactions!$D$3:$D149,AH60)
-SUMIFS(Transactions!$I$3:$I149,Transactions!$H$3:$H149,"Transfer Send",Transactions!$F$3:$F149,"Commodity",Transactions!$D$3:$D149,AH60)
-SUMIFS(Transactions!$I$3:$I149,Transactions!$H$3:$H149,"Sell",Transactions!$F$3:$F149,"Managed Fund",Transactions!$D$3:$D149,AH60)
-SUMIFS(Transactions!$I$3:$I149,Transactions!$H$3:$H149,"Transfer Send",Transactions!$F$3:$F149,"Managed Fund",Transactions!$D$3:$D149,AH60)
-SUMIFS(Transactions!$I$3:$I149,Transactions!$H$3:$H149,"Sell",Transactions!$F$3:$F149,"REIT",Transactions!$D$3:$D149,AH60)
-SUMIFS(Transactions!$I$3:$I149,Transactions!$H$3:$H149,"Transfer Send",Transactions!$F$3:$F149,"REIT",Transactions!$D$3:$D149,AH60)
+SUMIFS(Transactions!$I$3:$I149,Transactions!$H$3:$H149,"Buy",Transactions!$F$3:$F149,"Crypto",Transactions!$D$3:$D149,AH60)
+SUMIFS(Transactions!$I$3:$I149,Transactions!$H$3:$H149,"Crypto Interest",Transactions!$F$3:$F149,"Crypto",Transactions!$D$3:$D149,AH60)
+SUMIFS(Transactions!$I$3:$I149,Transactions!$H$3:$H149,"Transfer Deposit",Transactions!$F$3:$F149,"Crypto",Transactions!$D$3:$D149,AH60)
-SUMIFS(Transactions!$I$3:$I149,Transactions!$H$3:$H149,"Transfer Send",Transactions!$F$3:$F149,"Crypto",Transactions!$D$3:$D149,AH60)
-SUMIFS(Transactions!$I$3:$I149,Transactions!$H$3:$H149,"Sell",Transactions!$F$3:$F149,"Crypto",Transactions!$D$3:$D149,AH60)
+SUMIFS(Transactions!$I$3:$I149,Transactions!$H$3:$H149,"Buy",Transactions!$F$3:$F149,"Stablecoin",Transactions!$D$3:$D149,AH60)
+SUMIFS(Transactions!$I$3:$I149,Transactions!$H$3:$H149,"Crypto Interest",Transactions!$F$3:$F149,"Stablecoin",Transactions!$D$3:$D149,AH60)
+SUMIFS(Transactions!$I$3:$I149,Transactions!$H$3:$H149,"Transfer Deposit",Transactions!$F$3:$F149,"Stablecoin",Transactions!$D$3:$D149,AH60)
-SUMIFS(Transactions!$I$3:$I149,Transactions!$H$3:$H149,"Transfer Send",Transactions!$F$3:$F149,"Stablecoin",Transactions!$D$3:$D149,AH60)
-SUMIFS(Transactions!$I$3:$I149,Transactions!$H$3:$H149,"Sell",Transactions!$F$3:$F149,"Stablecoin",Transactions!$D$3:$D149,AH60)
-SUMIFS(Transactions!$M$3:$M149,Transactions!$H$3:$H149,"Buy",Transactions!$B$3:$B149,AH60)=0,"Sold All",
SUMIFS(Transactions!$I$3:$I149,Transactions!$H$3:$H149,"Buy",Transactions!$F$3:$F149,"Stock",Transactions!$D$3:$D149,AH60)
+SUMIFS(Transactions!$I$3:$I149,Transactions!$H$3:$H149,"DRIP",Transactions!$F$3:$F149,"Stock",Transactions!$D$3:$D149,AH60)
+SUMIFS(Transactions!$I$3:$I149,Transactions!$H$3:$H149,"Transfer Deposit",Transactions!$F$3:$F149,"Stock",Transactions!$D$3:$D149,AH60)
+SUMIFS(Transactions!$I$3:$I149,Transactions!$H$3:$H149,"Buy",Transactions!$F$3:$F149,"ETF",Transactions!$D$3:$D149,AH60)
+SUMIFS(Transactions!$I$3:$I149,Transactions!$H$3:$H149,"DRIP",Transactions!$F$3:$F149,"ETF",Transactions!$D$3:$D149,AH60)
+SUMIFS(Transactions!$I$3:$I149,Transactions!$H$3:$H149,"Transfer Deposit",Transactions!$F$3:$F149,"ETF",Transactions!$D$3:$D149,AH60)
+SUMIFS(Transactions!$I$3:$I149,Transactions!$H$3:$H149,"Buy",Transactions!$F$3:$F149,"Commodity",Transactions!$D$3:$D149,AH60)
+SUMIFS(Transactions!$I$3:$I149,Transactions!$H$3:$H149,"DRIP",Transactions!$F$3:$F149,"Commodity",Transactions!$D$3:$D149,AH60)
+SUMIFS(Transactions!$I$3:$I149,Transactions!$H$3:$H149,"Transfer Deposit",Transactions!$F$3:$F149,"Commodity",Transactions!$D$3:$D149,AH60)
+SUMIFS(Transactions!$I$3:$I149,Transactions!$H$3:$H149,"Buy",Transactions!$F$3:$F149,"Managed Fund",Transactions!$D$3:$D149,AH60)
+SUMIFS(Transactions!$I$3:$I149,Transactions!$H$3:$H149,"DRIP",Transactions!$F$3:$F149,"Managed Fund",Transactions!$D$3:$D149,AH60)
+SUMIFS(Transactions!$I$3:$I149,Transactions!$H$3:$H149,"Transfer Deposit",Transactions!$F$3:$F149,"Managed Fund",Transactions!$D$3:$D149,AH60)
+SUMIFS(Transactions!$I$3:$I149,Transactions!$H$3:$H149,"Buy",Transactions!$F$3:$F149,"REIT",Transactions!$D$3:$D149,AH60)
+SUMIFS(Transactions!$I$3:$I149,Transactions!$H$3:$H149,"DRIP",Transactions!$F$3:$F149,"REIT",Transactions!$D$3:$D149,AH60)
+SUMIFS(Transactions!$I$3:$I149,Transactions!$H$3:$H149,"Transfer Deposit",Transactions!$F$3:$F149,"REIT",Transactions!$D$3:$D149,AH60)
-SUMIFS(Transactions!$I$3:$I149,Transactions!$H$3:$H149,"Sell",Transactions!$F$3:$F149,"Stock",Transactions!$D$3:$D149,AH60)
-SUMIFS(Transactions!$I$3:$I149,Transactions!$H$3:$H149,"Transfer Send",Transactions!$F$3:$F149,"Stock",Transactions!$D$3:$D149,AH60)
-SUMIFS(Transactions!$I$3:$I149,Transactions!$H$3:$H149,"Sell",Transactions!$F$3:$F149,"ETF",Transactions!$D$3:$D149,AH60)
-SUMIFS(Transactions!$I$3:$I149,Transactions!$H$3:$H149,"Transfer Send",Transactions!$F$3:$F149,"ETF",Transactions!$D$3:$D149,AH60)
-SUMIFS(Transactions!$I$3:$I149,Transactions!$H$3:$H149,"Sell",Transactions!$F$3:$F149,"Commodity",Transactions!$D$3:$D149,AH60)
-SUMIFS(Transactions!$I$3:$I149,Transactions!$H$3:$H149,"Transfer Send",Transactions!$F$3:$F149,"Commodity",Transactions!$D$3:$D149,AH60)
-SUMIFS(Transactions!$I$3:$I149,Transactions!$H$3:$H149,"Sell",Transactions!$F$3:$F149,"Managed Fund",Transactions!$D$3:$D149,AH60)
-SUMIFS(Transactions!$I$3:$I149,Transactions!$H$3:$H149,"Transfer Send",Transactions!$F$3:$F149,"Managed Fund",Transactions!$D$3:$D149,AH60)
-SUMIFS(Transactions!$I$3:$I149,Transactions!$H$3:$H149,"Sell",Transactions!$F$3:$F149,"REIT",Transactions!$D$3:$D149,AH60)
-SUMIFS(Transactions!$I$3:$I149,Transactions!$H$3:$H149,"Transfer Send",Transactions!$F$3:$F149,"REIT",Transactions!$D$3:$D149,AH60)
+SUMIFS(Transactions!$I$3:$I149,Transactions!$H$3:$H149,"Buy",Transactions!$F$3:$F149,"Crypto",Transactions!$D$3:$D149,AH60)
+SUMIFS(Transactions!$I$3:$I149,Transactions!$H$3:$H149,"Crypto Interest",Transactions!$F$3:$F149,"Crypto",Transactions!$D$3:$D149,AH60)
+SUMIFS(Transactions!$I$3:$I149,Transactions!$H$3:$H149,"Transfer Deposit",Transactions!$F$3:$F149,"Crypto",Transactions!$D$3:$D149,AH60)
-SUMIFS(Transactions!$I$3:$I149,Transactions!$H$3:$H149,"Transfer Send",Transactions!$F$3:$F149,"Crypto",Transactions!$D$3:$D149,AH60)
-SUMIFS(Transactions!$I$3:$I149,Transactions!$H$3:$H149,"Sell",Transactions!$F$3:$F149,"Crypto",Transactions!$D$3:$D149,AH60)
+SUMIFS(Transactions!$I$3:$I149,Transactions!$H$3:$H149,"Buy",Transactions!$F$3:$F149,"Stablecoin",Transactions!$D$3:$D149,AH60)
+SUMIFS(Transactions!$I$3:$I149,Transactions!$H$3:$H149,"Crypto Interest",Transactions!$F$3:$F149,"Stablecoin",Transactions!$D$3:$D149,AH60)
+SUMIFS(Transactions!$I$3:$I149,Transactions!$H$3:$H149,"Transfer Deposit",Transactions!$F$3:$F149,"Stablecoin",Transactions!$D$3:$D149,AH60)
-SUMIFS(Transactions!$I$3:$I149,Transactions!$H$3:$H149,"Transfer Send",Transactions!$F$3:$F149,"Stablecoin",Transactions!$D$3:$D149,AH60)
-SUMIFS(Transactions!$I$3:$I149,Transactions!$H$3:$H149,"Sell",Transactions!$F$3:$F149,"Stablecoin",Transactions!$D$3:$D149,AH60)
-SUMIFS(Transactions!$M$3:$M149,Transactions!$H$3:$H149,"Buy",Transactions!$B$3:$B149,AH60)))</f>
        <v/>
      </c>
      <c r="AJ60" s="181" t="str">
        <f>IFERROR(__xludf.DUMMYFUNCTION("IF(ISBLANK(AH60),"""",VLOOKUP(9^99,FILTER({ROW(Transactions!P:P),Transactions!P:P},Transactions!D:D=AH60),2))"),"")</f>
        <v/>
      </c>
      <c r="AK60" s="181" t="str">
        <f>IFERROR(__xludf.DUMMYFUNCTION("IF(ISBLANK(AH60),"""",IFERROR(GOOGLEFINANCE(AH60,""price""),IFERROR(GOOGLEFINANCE(""CURRENCY:""&amp;AH60&amp;""""),IFERROR(INDEX(YAHOO_STOCK(TRIM(AH60), $G$2),0,1),INDEX(IMPORTHTML(CONCAT(""https://coinmarketcap.com/currencies/"",AG60),""table"",1),1,2)))))"),"")</f>
        <v/>
      </c>
      <c r="AL60" s="14" t="str">
        <f>IFERROR(__xludf.DUMMYFUNCTION("IF(ISBLANK(AH60),"""",IFERROR(SPARKLINE(INDEX(GOOGLEFINANCE(AH60,""price"",TODAY()-$AL$2,TODAY()),,2),{""charttype"",""column"";""color"",""17a7e0""}),""""))"),"")</f>
        <v/>
      </c>
      <c r="AM60" s="50" t="str">
        <f>IFERROR(__xludf.DUMMYFUNCTION("IFNA(IFERROR(IF(AH60="""","""",GOOGLEFINANCE(AH60,""changepct"")/100),(GOOGLEFINANCE(AH60)-(INDEX(GOOGLEFINANCE(""CURRENCY:""&amp;AH60&amp;"""",""price"",TODAY()-1),2,2)))/(INDEX(GOOGLEFINANCE(""CURRENCY:""&amp;AH60&amp;"""",""price"",TODAY()-1),2,2))),)"),"")</f>
        <v/>
      </c>
      <c r="AN60" s="96" t="str">
        <f>IFERROR(__xludf.DUMMYFUNCTION("IFNA(IFERROR(IF(AH60="""","""",GOOGLEFINANCE(AH60,""change"")*AI60),(GOOGLEFINANCE(AH60)-(INDEX(GOOGLEFINANCE(""CURRENCY:""&amp;AH60&amp;"""",""price"",TODAY()-1),2,2)))*AI60),"""")"),"")</f>
        <v/>
      </c>
      <c r="AO60" s="96" t="str">
        <f>IF(ISBLANK(AH60),"",IFERROR(((AI60-SUMIFS(Transactions!I:I,Transactions!H:H,"Crypto Interest",Transactions!D:D,AH60))*AJ60),""))</f>
        <v/>
      </c>
      <c r="AP60" s="96" t="str">
        <f t="shared" si="16"/>
        <v/>
      </c>
      <c r="AQ60" s="50" t="str">
        <f t="shared" si="17"/>
        <v/>
      </c>
      <c r="AR60" s="96" t="str">
        <f t="shared" si="18"/>
        <v/>
      </c>
      <c r="AS60" s="96" t="str">
        <f>IF(ISBLANK(AH60),"",SUMIFS(Transactions!$X$3:$X149,Transactions!$H$3:$H149,"Sell",Transactions!$D$3:$D149,AH60))</f>
        <v/>
      </c>
      <c r="AT60" s="96" t="str">
        <f t="shared" si="19"/>
        <v/>
      </c>
      <c r="AU60" s="50" t="str">
        <f>IFERROR(__xludf.DUMMYFUNCTION("IF(ISBLANK(AH60),"""",IFERROR((GOOGLEFINANCE(AH60,""price"")/INDEX(GOOGLEFINANCE(AH60,""price"",DATEVALUE(TODAY()-$AU$2) ),2,2)-1),""""))"),"")</f>
        <v/>
      </c>
      <c r="AW60" s="50" t="str">
        <f>IFERROR(__xludf.DUMMYFUNCTION("IF(ISBLANK(AH60),"""",IFERROR((GOOGLEFINANCE($AW$2,""price"")/INDEX(GOOGLEFINANCE($AW$2,""price"",DATEVALUE(TODAY()-$AU$2) ),2,2)-1),""""))"),"")</f>
        <v/>
      </c>
      <c r="AY60" s="50" t="str">
        <f t="shared" si="20"/>
        <v/>
      </c>
      <c r="AZ60" s="50" t="str">
        <f t="shared" si="21"/>
        <v/>
      </c>
      <c r="BA60" s="50">
        <f t="shared" si="22"/>
        <v>0</v>
      </c>
      <c r="BB60" s="14" t="str">
        <f t="shared" si="23"/>
        <v/>
      </c>
      <c r="BC60" s="14" t="str">
        <f>IF(ISBLANK(AH60),"",IFERROR(VLOOKUP(AH60,Transactions!D:F,3,0)))</f>
        <v/>
      </c>
      <c r="BD60" s="50" t="str">
        <f t="shared" si="24"/>
        <v/>
      </c>
      <c r="BE60" s="50" t="str">
        <f t="shared" si="25"/>
        <v/>
      </c>
      <c r="BF60" s="14" t="str">
        <f t="shared" si="26"/>
        <v/>
      </c>
      <c r="BG60" s="180" t="str">
        <f>IF(ISBLANK(AH60),"",IFERROR(VLOOKUP(AH60,Transactions!D:G,4,0)))</f>
        <v/>
      </c>
    </row>
    <row r="61">
      <c r="A61" s="14" t="str">
        <f t="shared" ref="A61:C61" si="84">AG61</f>
        <v/>
      </c>
      <c r="B61" s="14" t="str">
        <f t="shared" si="84"/>
        <v/>
      </c>
      <c r="C61" s="175" t="str">
        <f t="shared" si="84"/>
        <v/>
      </c>
      <c r="D61" s="176" t="str">
        <f>IFERROR(__xludf.DUMMYFUNCTION("IF(ISBLANK(B61),"""",IFERROR(IF(OR(AF61=""GPB"",AF61=""ZAR""),IF(AF61=Dashboard!$L$1,AJ61,(AJ61*GOOGLEFINANCE(""CURRENCY:""&amp;AF61&amp;""""&amp;Dashboard!$L$1&amp;""""))/100),IF(AF61=Dashboard!$L$1,AJ61,AJ61*GOOGLEFINANCE(""CURRENCY:""&amp;AF61&amp;""""&amp;Dashboard!$L$1&amp;""""))),"&amp;"AJ61))"),"")</f>
        <v/>
      </c>
      <c r="E61" s="177" t="str">
        <f>IFERROR(__xludf.DUMMYFUNCTION("IFERROR(IF(OR(AF61=""GBP"",AF61=""ZAR""),IF(B61="""","""",IF(AF61=Dashboard!$L$1,AK61,AK61*GOOGLEFINANCE(""CURRENCY:""&amp;AF61&amp;""""&amp;Dashboard!$L$1&amp;"""")))/100,If(B61="""","""",IF(AF61=Dashboard!$L$1,AK61,AK61*GOOGLEFINANCE(""CURRENCY:""&amp;AF61&amp;""""&amp;Dashboard!$"&amp;"L$1&amp;"""")))),AK61)"),"")</f>
        <v/>
      </c>
      <c r="F61" s="145" t="str">
        <f t="shared" si="65"/>
        <v/>
      </c>
      <c r="G61" s="96" t="str">
        <f>IFERROR(__xludf.DUMMYFUNCTION("IF(ISBLANK(B61),"""",IFERROR(SPARKLINE(INDEX(GOOGLEFINANCE(B61,""price"",TODAY()-$G$2,TODAY()),,2),{""charttype"",""column"";""color"",""17a7e0""}),""""))"),"")</f>
        <v/>
      </c>
      <c r="H61" s="50" t="str">
        <f t="shared" si="3"/>
        <v/>
      </c>
      <c r="I61" s="96" t="str">
        <f>IFERROR(__xludf.DUMMYFUNCTION("IF(ISBLANK(B61),"""",IFERROR(IF(OR(AF61=""GPB"",AF61=""ZAR""),IF(AF61=Dashboard!$L$1,AN61,(AN61*GOOGLEFINANCE(""CURRENCY:""&amp;AF61&amp;""""&amp;Dashboard!$L$1&amp;""""))/100),IF(AF61=Dashboard!$L$1,AN61,AN61*GOOGLEFINANCE(""CURRENCY:""&amp;AF61&amp;""""&amp;Dashboard!$L$1&amp;""""))),"&amp;"AN61))"),"")</f>
        <v/>
      </c>
      <c r="J61" s="178" t="str">
        <f>IF(ISBLANK(B61),"",IFERROR(((C61-SUMIFS(Transactions!I:I,Transactions!H:H,"Crypto Interest",Transactions!D:D,B61))*D61),""))</f>
        <v/>
      </c>
      <c r="K61" s="178" t="str">
        <f t="shared" si="4"/>
        <v/>
      </c>
      <c r="L61" s="145">
        <f>-SUMIFS(Transactions!$M$3:$M149,Transactions!$H$3:$H149,"Buy",Transactions!$D$3:$D149,B61)</f>
        <v>0</v>
      </c>
      <c r="M61" s="145">
        <f>IF(ISBLANK(AG61),"",SUMIFS(Transactions!$M$3:$M149,Transactions!$H$3:$H149,"Dividend",Transactions!$D$3:$D149,B61))</f>
        <v>0</v>
      </c>
      <c r="N61" s="145" t="str">
        <f>IF(ISBLANK(AH61),"",SUMIFS(Transactions!$M$3:$M149,Transactions!$H$3:$H149,"Sell",Transactions!$D$3:$D149,B61))</f>
        <v/>
      </c>
      <c r="O61" s="50" t="str">
        <f t="shared" si="5"/>
        <v/>
      </c>
      <c r="P61" s="178" t="str">
        <f t="shared" si="6"/>
        <v/>
      </c>
      <c r="Q61" s="178" t="str">
        <f>IFERROR(__xludf.DUMMYFUNCTION("IF(ISBLANK(B61),"""",IFERROR(IF(OR(AF61=""GPB"",AF61=""ZAR""),IF(AF61=Dashboard!$L$1,AS61,(AS61*GOOGLEFINANCE(""CURRENCY:""&amp;AF61&amp;""""&amp;Dashboard!$L$1&amp;""""))/100),IF(AF61=Dashboard!$L$1,AS61,AS61*GOOGLEFINANCE(""CURRENCY:""&amp;AF61&amp;""""&amp;Dashboard!$L$1&amp;""""))),"&amp;"AS61))"),"")</f>
        <v/>
      </c>
      <c r="R61" s="178" t="str">
        <f t="shared" si="7"/>
        <v/>
      </c>
      <c r="S61" s="50" t="str">
        <f>IFERROR(__xludf.DUMMYFUNCTION("IF(ISBLANK(B61),"""",IFERROR((GOOGLEFINANCE(B61,""price"")/INDEX(GOOGLEFINANCE(B61,""price"",DATEVALUE(TODAY()-$S$2) ),2,2)-1),""""))"),"")</f>
        <v/>
      </c>
      <c r="U61" s="50" t="str">
        <f>IFERROR(__xludf.DUMMYFUNCTION("IF(ISBLANK(B61),"""",IFERROR((GOOGLEFINANCE($U$2,""price"")/INDEX(GOOGLEFINANCE($U$2,""price"",DATEVALUE(TODAY()-$S$2) ),2,2)-1),""""))"),"")</f>
        <v/>
      </c>
      <c r="W61" s="50" t="str">
        <f t="shared" si="8"/>
        <v/>
      </c>
      <c r="X61" s="50" t="str">
        <f t="shared" si="9"/>
        <v/>
      </c>
      <c r="Y61" s="179">
        <v>0.0</v>
      </c>
      <c r="Z61" s="50" t="str">
        <f t="shared" si="10"/>
        <v/>
      </c>
      <c r="AA61" s="14" t="str">
        <f t="shared" si="11"/>
        <v/>
      </c>
      <c r="AB61" s="50" t="str">
        <f t="shared" si="12"/>
        <v/>
      </c>
      <c r="AC61" s="179" t="str">
        <f t="shared" si="13"/>
        <v/>
      </c>
      <c r="AD61" s="50" t="str">
        <f t="shared" si="14"/>
        <v/>
      </c>
      <c r="AE61" s="180" t="str">
        <f t="shared" si="15"/>
        <v/>
      </c>
      <c r="AF61" s="14" t="str">
        <f t="array" ref="AF61">IFERROR(IF(ISBLANK(AH61),"",IF(VLOOKUP(AH61,Transactions!D:F,3,0)="Stablecoin",AH61,INDEX(Transactions!$B$3:$B149,MATCH(AH61,Transactions!$D$3:$D149,0),0))))</f>
        <v/>
      </c>
      <c r="AG61" s="14" t="str">
        <f>IF(ISBLANK(AH61),"",VLOOKUP(AH61,Transactions!D:E,2,0))</f>
        <v/>
      </c>
      <c r="AH61" s="14"/>
      <c r="AI61" s="146" t="str">
        <f>IF(ISBLANK(AH61),"",IF(
SUMIFS(Transactions!$I$3:$I149,Transactions!$H$3:$H149,"Buy",Transactions!$F$3:$F149,"Stock",Transactions!$D$3:$D149,AH61)
+SUMIFS(Transactions!$I$3:$I149,Transactions!$H$3:$H149,"DRIP",Transactions!$F$3:$F149,"Stock",Transactions!$D$3:$D149,AH61)
+SUMIFS(Transactions!$I$3:$I149,Transactions!$H$3:$H149,"Transfer Deposit",Transactions!$F$3:$F149,"Stock",Transactions!$D$3:$D149,AH61)
+SUMIFS(Transactions!$I$3:$I149,Transactions!$H$3:$H149,"Buy",Transactions!$F$3:$F149,"ETF",Transactions!$D$3:$D149,AH61)
+SUMIFS(Transactions!$I$3:$I149,Transactions!$H$3:$H149,"DRIP",Transactions!$F$3:$F149,"ETF",Transactions!$D$3:$D149,AH61)
+SUMIFS(Transactions!$I$3:$I149,Transactions!$H$3:$H149,"Transfer Deposit",Transactions!$F$3:$F149,"ETF",Transactions!$D$3:$D149,AH61)
+SUMIFS(Transactions!$I$3:$I149,Transactions!$H$3:$H149,"Buy",Transactions!$F$3:$F149,"Commodity",Transactions!$D$3:$D149,AH61)
+SUMIFS(Transactions!$I$3:$I149,Transactions!$H$3:$H149,"DRIP",Transactions!$F$3:$F149,"Commodity",Transactions!$D$3:$D149,AH61)
+SUMIFS(Transactions!$I$3:$I149,Transactions!$H$3:$H149,"Transfer Deposit",Transactions!$F$3:$F149,"Commodity",Transactions!$D$3:$D149,AH61)
+SUMIFS(Transactions!$I$3:$I149,Transactions!$H$3:$H149,"Buy",Transactions!$F$3:$F149,"Managed Fund",Transactions!$D$3:$D149,AH61)
+SUMIFS(Transactions!$I$3:$I149,Transactions!$H$3:$H149,"DRIP",Transactions!$F$3:$F149,"Managed Fund",Transactions!$D$3:$D149,AH61)
+SUMIFS(Transactions!$I$3:$I149,Transactions!$H$3:$H149,"Transfer Deposit",Transactions!$F$3:$F149,"Managed Fund",Transactions!$D$3:$D149,AH61)
+SUMIFS(Transactions!$I$3:$I149,Transactions!$H$3:$H149,"Buy",Transactions!$F$3:$F149,"REIT",Transactions!$D$3:$D149,AH61)
+SUMIFS(Transactions!$I$3:$I149,Transactions!$H$3:$H149,"DRIP",Transactions!$F$3:$F149,"REIT",Transactions!$D$3:$D149,AH61)
+SUMIFS(Transactions!$I$3:$I149,Transactions!$H$3:$H149,"Transfer Deposit",Transactions!$F$3:$F149,"REIT",Transactions!$D$3:$D149,AH61)
-SUMIFS(Transactions!$I$3:$I149,Transactions!$H$3:$H149,"Sell",Transactions!$F$3:$F149,"Stock",Transactions!$D$3:$D149,AH61)
-SUMIFS(Transactions!$I$3:$I149,Transactions!$H$3:$H149,"Transfer Send",Transactions!$F$3:$F149,"Stock",Transactions!$D$3:$D149,AH61)
-SUMIFS(Transactions!$I$3:$I149,Transactions!$H$3:$H149,"Sell",Transactions!$F$3:$F149,"ETF",Transactions!$D$3:$D149,AH61)
-SUMIFS(Transactions!$I$3:$I149,Transactions!$H$3:$H149,"Transfer Send",Transactions!$F$3:$F149,"ETF",Transactions!$D$3:$D149,AH61)
-SUMIFS(Transactions!$I$3:$I149,Transactions!$H$3:$H149,"Sell",Transactions!$F$3:$F149,"Commodity",Transactions!$D$3:$D149,AH61)
-SUMIFS(Transactions!$I$3:$I149,Transactions!$H$3:$H149,"Transfer Send",Transactions!$F$3:$F149,"Commodity",Transactions!$D$3:$D149,AH61)
-SUMIFS(Transactions!$I$3:$I149,Transactions!$H$3:$H149,"Sell",Transactions!$F$3:$F149,"Managed Fund",Transactions!$D$3:$D149,AH61)
-SUMIFS(Transactions!$I$3:$I149,Transactions!$H$3:$H149,"Transfer Send",Transactions!$F$3:$F149,"Managed Fund",Transactions!$D$3:$D149,AH61)
-SUMIFS(Transactions!$I$3:$I149,Transactions!$H$3:$H149,"Sell",Transactions!$F$3:$F149,"REIT",Transactions!$D$3:$D149,AH61)
-SUMIFS(Transactions!$I$3:$I149,Transactions!$H$3:$H149,"Transfer Send",Transactions!$F$3:$F149,"REIT",Transactions!$D$3:$D149,AH61)
+SUMIFS(Transactions!$I$3:$I149,Transactions!$H$3:$H149,"Buy",Transactions!$F$3:$F149,"Crypto",Transactions!$D$3:$D149,AH61)
+SUMIFS(Transactions!$I$3:$I149,Transactions!$H$3:$H149,"Crypto Interest",Transactions!$F$3:$F149,"Crypto",Transactions!$D$3:$D149,AH61)
+SUMIFS(Transactions!$I$3:$I149,Transactions!$H$3:$H149,"Transfer Deposit",Transactions!$F$3:$F149,"Crypto",Transactions!$D$3:$D149,AH61)
-SUMIFS(Transactions!$I$3:$I149,Transactions!$H$3:$H149,"Transfer Send",Transactions!$F$3:$F149,"Crypto",Transactions!$D$3:$D149,AH61)
-SUMIFS(Transactions!$I$3:$I149,Transactions!$H$3:$H149,"Sell",Transactions!$F$3:$F149,"Crypto",Transactions!$D$3:$D149,AH61)
+SUMIFS(Transactions!$I$3:$I149,Transactions!$H$3:$H149,"Buy",Transactions!$F$3:$F149,"Stablecoin",Transactions!$D$3:$D149,AH61)
+SUMIFS(Transactions!$I$3:$I149,Transactions!$H$3:$H149,"Crypto Interest",Transactions!$F$3:$F149,"Stablecoin",Transactions!$D$3:$D149,AH61)
+SUMIFS(Transactions!$I$3:$I149,Transactions!$H$3:$H149,"Transfer Deposit",Transactions!$F$3:$F149,"Stablecoin",Transactions!$D$3:$D149,AH61)
-SUMIFS(Transactions!$I$3:$I149,Transactions!$H$3:$H149,"Transfer Send",Transactions!$F$3:$F149,"Stablecoin",Transactions!$D$3:$D149,AH61)
-SUMIFS(Transactions!$I$3:$I149,Transactions!$H$3:$H149,"Sell",Transactions!$F$3:$F149,"Stablecoin",Transactions!$D$3:$D149,AH61)
-SUMIFS(Transactions!$M$3:$M149,Transactions!$H$3:$H149,"Buy",Transactions!$B$3:$B149,AH61)=0,"Sold All",
SUMIFS(Transactions!$I$3:$I149,Transactions!$H$3:$H149,"Buy",Transactions!$F$3:$F149,"Stock",Transactions!$D$3:$D149,AH61)
+SUMIFS(Transactions!$I$3:$I149,Transactions!$H$3:$H149,"DRIP",Transactions!$F$3:$F149,"Stock",Transactions!$D$3:$D149,AH61)
+SUMIFS(Transactions!$I$3:$I149,Transactions!$H$3:$H149,"Transfer Deposit",Transactions!$F$3:$F149,"Stock",Transactions!$D$3:$D149,AH61)
+SUMIFS(Transactions!$I$3:$I149,Transactions!$H$3:$H149,"Buy",Transactions!$F$3:$F149,"ETF",Transactions!$D$3:$D149,AH61)
+SUMIFS(Transactions!$I$3:$I149,Transactions!$H$3:$H149,"DRIP",Transactions!$F$3:$F149,"ETF",Transactions!$D$3:$D149,AH61)
+SUMIFS(Transactions!$I$3:$I149,Transactions!$H$3:$H149,"Transfer Deposit",Transactions!$F$3:$F149,"ETF",Transactions!$D$3:$D149,AH61)
+SUMIFS(Transactions!$I$3:$I149,Transactions!$H$3:$H149,"Buy",Transactions!$F$3:$F149,"Commodity",Transactions!$D$3:$D149,AH61)
+SUMIFS(Transactions!$I$3:$I149,Transactions!$H$3:$H149,"DRIP",Transactions!$F$3:$F149,"Commodity",Transactions!$D$3:$D149,AH61)
+SUMIFS(Transactions!$I$3:$I149,Transactions!$H$3:$H149,"Transfer Deposit",Transactions!$F$3:$F149,"Commodity",Transactions!$D$3:$D149,AH61)
+SUMIFS(Transactions!$I$3:$I149,Transactions!$H$3:$H149,"Buy",Transactions!$F$3:$F149,"Managed Fund",Transactions!$D$3:$D149,AH61)
+SUMIFS(Transactions!$I$3:$I149,Transactions!$H$3:$H149,"DRIP",Transactions!$F$3:$F149,"Managed Fund",Transactions!$D$3:$D149,AH61)
+SUMIFS(Transactions!$I$3:$I149,Transactions!$H$3:$H149,"Transfer Deposit",Transactions!$F$3:$F149,"Managed Fund",Transactions!$D$3:$D149,AH61)
+SUMIFS(Transactions!$I$3:$I149,Transactions!$H$3:$H149,"Buy",Transactions!$F$3:$F149,"REIT",Transactions!$D$3:$D149,AH61)
+SUMIFS(Transactions!$I$3:$I149,Transactions!$H$3:$H149,"DRIP",Transactions!$F$3:$F149,"REIT",Transactions!$D$3:$D149,AH61)
+SUMIFS(Transactions!$I$3:$I149,Transactions!$H$3:$H149,"Transfer Deposit",Transactions!$F$3:$F149,"REIT",Transactions!$D$3:$D149,AH61)
-SUMIFS(Transactions!$I$3:$I149,Transactions!$H$3:$H149,"Sell",Transactions!$F$3:$F149,"Stock",Transactions!$D$3:$D149,AH61)
-SUMIFS(Transactions!$I$3:$I149,Transactions!$H$3:$H149,"Transfer Send",Transactions!$F$3:$F149,"Stock",Transactions!$D$3:$D149,AH61)
-SUMIFS(Transactions!$I$3:$I149,Transactions!$H$3:$H149,"Sell",Transactions!$F$3:$F149,"ETF",Transactions!$D$3:$D149,AH61)
-SUMIFS(Transactions!$I$3:$I149,Transactions!$H$3:$H149,"Transfer Send",Transactions!$F$3:$F149,"ETF",Transactions!$D$3:$D149,AH61)
-SUMIFS(Transactions!$I$3:$I149,Transactions!$H$3:$H149,"Sell",Transactions!$F$3:$F149,"Commodity",Transactions!$D$3:$D149,AH61)
-SUMIFS(Transactions!$I$3:$I149,Transactions!$H$3:$H149,"Transfer Send",Transactions!$F$3:$F149,"Commodity",Transactions!$D$3:$D149,AH61)
-SUMIFS(Transactions!$I$3:$I149,Transactions!$H$3:$H149,"Sell",Transactions!$F$3:$F149,"Managed Fund",Transactions!$D$3:$D149,AH61)
-SUMIFS(Transactions!$I$3:$I149,Transactions!$H$3:$H149,"Transfer Send",Transactions!$F$3:$F149,"Managed Fund",Transactions!$D$3:$D149,AH61)
-SUMIFS(Transactions!$I$3:$I149,Transactions!$H$3:$H149,"Sell",Transactions!$F$3:$F149,"REIT",Transactions!$D$3:$D149,AH61)
-SUMIFS(Transactions!$I$3:$I149,Transactions!$H$3:$H149,"Transfer Send",Transactions!$F$3:$F149,"REIT",Transactions!$D$3:$D149,AH61)
+SUMIFS(Transactions!$I$3:$I149,Transactions!$H$3:$H149,"Buy",Transactions!$F$3:$F149,"Crypto",Transactions!$D$3:$D149,AH61)
+SUMIFS(Transactions!$I$3:$I149,Transactions!$H$3:$H149,"Crypto Interest",Transactions!$F$3:$F149,"Crypto",Transactions!$D$3:$D149,AH61)
+SUMIFS(Transactions!$I$3:$I149,Transactions!$H$3:$H149,"Transfer Deposit",Transactions!$F$3:$F149,"Crypto",Transactions!$D$3:$D149,AH61)
-SUMIFS(Transactions!$I$3:$I149,Transactions!$H$3:$H149,"Transfer Send",Transactions!$F$3:$F149,"Crypto",Transactions!$D$3:$D149,AH61)
-SUMIFS(Transactions!$I$3:$I149,Transactions!$H$3:$H149,"Sell",Transactions!$F$3:$F149,"Crypto",Transactions!$D$3:$D149,AH61)
+SUMIFS(Transactions!$I$3:$I149,Transactions!$H$3:$H149,"Buy",Transactions!$F$3:$F149,"Stablecoin",Transactions!$D$3:$D149,AH61)
+SUMIFS(Transactions!$I$3:$I149,Transactions!$H$3:$H149,"Crypto Interest",Transactions!$F$3:$F149,"Stablecoin",Transactions!$D$3:$D149,AH61)
+SUMIFS(Transactions!$I$3:$I149,Transactions!$H$3:$H149,"Transfer Deposit",Transactions!$F$3:$F149,"Stablecoin",Transactions!$D$3:$D149,AH61)
-SUMIFS(Transactions!$I$3:$I149,Transactions!$H$3:$H149,"Transfer Send",Transactions!$F$3:$F149,"Stablecoin",Transactions!$D$3:$D149,AH61)
-SUMIFS(Transactions!$I$3:$I149,Transactions!$H$3:$H149,"Sell",Transactions!$F$3:$F149,"Stablecoin",Transactions!$D$3:$D149,AH61)
-SUMIFS(Transactions!$M$3:$M149,Transactions!$H$3:$H149,"Buy",Transactions!$B$3:$B149,AH61)))</f>
        <v/>
      </c>
      <c r="AJ61" s="181" t="str">
        <f>IFERROR(__xludf.DUMMYFUNCTION("IF(ISBLANK(AH61),"""",VLOOKUP(9^99,FILTER({ROW(Transactions!P:P),Transactions!P:P},Transactions!D:D=AH61),2))"),"")</f>
        <v/>
      </c>
      <c r="AK61" s="181" t="str">
        <f>IFERROR(__xludf.DUMMYFUNCTION("IF(ISBLANK(AH61),"""",IFERROR(GOOGLEFINANCE(AH61,""price""),IFERROR(GOOGLEFINANCE(""CURRENCY:""&amp;AH61&amp;""""),IFERROR(INDEX(YAHOO_STOCK(TRIM(AH61), $G$2),0,1),INDEX(IMPORTHTML(CONCAT(""https://coinmarketcap.com/currencies/"",AG61),""table"",1),1,2)))))"),"")</f>
        <v/>
      </c>
      <c r="AL61" s="14" t="str">
        <f>IFERROR(__xludf.DUMMYFUNCTION("IF(ISBLANK(AH61),"""",IFERROR(SPARKLINE(INDEX(GOOGLEFINANCE(AH61,""price"",TODAY()-$AL$2,TODAY()),,2),{""charttype"",""column"";""color"",""17a7e0""}),""""))"),"")</f>
        <v/>
      </c>
      <c r="AM61" s="50" t="str">
        <f>IFERROR(__xludf.DUMMYFUNCTION("IFNA(IFERROR(IF(AH61="""","""",GOOGLEFINANCE(AH61,""changepct"")/100),(GOOGLEFINANCE(AH61)-(INDEX(GOOGLEFINANCE(""CURRENCY:""&amp;AH61&amp;"""",""price"",TODAY()-1),2,2)))/(INDEX(GOOGLEFINANCE(""CURRENCY:""&amp;AH61&amp;"""",""price"",TODAY()-1),2,2))),)"),"")</f>
        <v/>
      </c>
      <c r="AN61" s="96" t="str">
        <f>IFERROR(__xludf.DUMMYFUNCTION("IFNA(IFERROR(IF(AH61="""","""",GOOGLEFINANCE(AH61,""change"")*AI61),(GOOGLEFINANCE(AH61)-(INDEX(GOOGLEFINANCE(""CURRENCY:""&amp;AH61&amp;"""",""price"",TODAY()-1),2,2)))*AI61),"""")"),"")</f>
        <v/>
      </c>
      <c r="AO61" s="96" t="str">
        <f>IF(ISBLANK(AH61),"",IFERROR(((AI61-SUMIFS(Transactions!I:I,Transactions!H:H,"Crypto Interest",Transactions!D:D,AH61))*AJ61),""))</f>
        <v/>
      </c>
      <c r="AP61" s="96" t="str">
        <f t="shared" si="16"/>
        <v/>
      </c>
      <c r="AQ61" s="50" t="str">
        <f t="shared" si="17"/>
        <v/>
      </c>
      <c r="AR61" s="96" t="str">
        <f t="shared" si="18"/>
        <v/>
      </c>
      <c r="AS61" s="96" t="str">
        <f>IF(ISBLANK(AH61),"",SUMIFS(Transactions!$X$3:$X149,Transactions!$H$3:$H149,"Sell",Transactions!$D$3:$D149,AH61))</f>
        <v/>
      </c>
      <c r="AT61" s="96" t="str">
        <f t="shared" si="19"/>
        <v/>
      </c>
      <c r="AU61" s="50" t="str">
        <f>IFERROR(__xludf.DUMMYFUNCTION("IF(ISBLANK(AH61),"""",IFERROR((GOOGLEFINANCE(AH61,""price"")/INDEX(GOOGLEFINANCE(AH61,""price"",DATEVALUE(TODAY()-$AU$2) ),2,2)-1),""""))"),"")</f>
        <v/>
      </c>
      <c r="AW61" s="50" t="str">
        <f>IFERROR(__xludf.DUMMYFUNCTION("IF(ISBLANK(AH61),"""",IFERROR((GOOGLEFINANCE($AW$2,""price"")/INDEX(GOOGLEFINANCE($AW$2,""price"",DATEVALUE(TODAY()-$AU$2) ),2,2)-1),""""))"),"")</f>
        <v/>
      </c>
      <c r="AY61" s="50" t="str">
        <f t="shared" si="20"/>
        <v/>
      </c>
      <c r="AZ61" s="50" t="str">
        <f t="shared" si="21"/>
        <v/>
      </c>
      <c r="BA61" s="50">
        <f t="shared" si="22"/>
        <v>0</v>
      </c>
      <c r="BB61" s="14" t="str">
        <f t="shared" si="23"/>
        <v/>
      </c>
      <c r="BC61" s="14" t="str">
        <f>IF(ISBLANK(AH61),"",IFERROR(VLOOKUP(AH61,Transactions!D:F,3,0)))</f>
        <v/>
      </c>
      <c r="BD61" s="50" t="str">
        <f t="shared" si="24"/>
        <v/>
      </c>
      <c r="BE61" s="50" t="str">
        <f t="shared" si="25"/>
        <v/>
      </c>
      <c r="BF61" s="14" t="str">
        <f t="shared" si="26"/>
        <v/>
      </c>
      <c r="BG61" s="180" t="str">
        <f>IF(ISBLANK(AH61),"",IFERROR(VLOOKUP(AH61,Transactions!D:G,4,0)))</f>
        <v/>
      </c>
    </row>
    <row r="62">
      <c r="A62" s="14" t="str">
        <f t="shared" ref="A62:C62" si="85">AG62</f>
        <v/>
      </c>
      <c r="B62" s="14" t="str">
        <f t="shared" si="85"/>
        <v/>
      </c>
      <c r="C62" s="175" t="str">
        <f t="shared" si="85"/>
        <v/>
      </c>
      <c r="D62" s="176" t="str">
        <f>IFERROR(__xludf.DUMMYFUNCTION("IF(ISBLANK(B62),"""",IFERROR(IF(OR(AF62=""GPB"",AF62=""ZAR""),IF(AF62=Dashboard!$L$1,AJ62,(AJ62*GOOGLEFINANCE(""CURRENCY:""&amp;AF62&amp;""""&amp;Dashboard!$L$1&amp;""""))/100),IF(AF62=Dashboard!$L$1,AJ62,AJ62*GOOGLEFINANCE(""CURRENCY:""&amp;AF62&amp;""""&amp;Dashboard!$L$1&amp;""""))),"&amp;"AJ62))"),"")</f>
        <v/>
      </c>
      <c r="E62" s="177" t="str">
        <f>IFERROR(__xludf.DUMMYFUNCTION("IFERROR(IF(OR(AF62=""GBP"",AF62=""ZAR""),IF(B62="""","""",IF(AF62=Dashboard!$L$1,AK62,AK62*GOOGLEFINANCE(""CURRENCY:""&amp;AF62&amp;""""&amp;Dashboard!$L$1&amp;"""")))/100,If(B62="""","""",IF(AF62=Dashboard!$L$1,AK62,AK62*GOOGLEFINANCE(""CURRENCY:""&amp;AF62&amp;""""&amp;Dashboard!$"&amp;"L$1&amp;"""")))),AK62)"),"")</f>
        <v/>
      </c>
      <c r="F62" s="145" t="str">
        <f t="shared" si="65"/>
        <v/>
      </c>
      <c r="G62" s="96" t="str">
        <f>IFERROR(__xludf.DUMMYFUNCTION("IF(ISBLANK(B62),"""",IFERROR(SPARKLINE(INDEX(GOOGLEFINANCE(B62,""price"",TODAY()-$G$2,TODAY()),,2),{""charttype"",""column"";""color"",""17a7e0""}),""""))"),"")</f>
        <v/>
      </c>
      <c r="H62" s="50" t="str">
        <f t="shared" si="3"/>
        <v/>
      </c>
      <c r="I62" s="96" t="str">
        <f>IFERROR(__xludf.DUMMYFUNCTION("IF(ISBLANK(B62),"""",IFERROR(IF(OR(AF62=""GPB"",AF62=""ZAR""),IF(AF62=Dashboard!$L$1,AN62,(AN62*GOOGLEFINANCE(""CURRENCY:""&amp;AF62&amp;""""&amp;Dashboard!$L$1&amp;""""))/100),IF(AF62=Dashboard!$L$1,AN62,AN62*GOOGLEFINANCE(""CURRENCY:""&amp;AF62&amp;""""&amp;Dashboard!$L$1&amp;""""))),"&amp;"AN62))"),"")</f>
        <v/>
      </c>
      <c r="J62" s="178" t="str">
        <f>IF(ISBLANK(B62),"",IFERROR(((C62-SUMIFS(Transactions!I:I,Transactions!H:H,"Crypto Interest",Transactions!D:D,B62))*D62),""))</f>
        <v/>
      </c>
      <c r="K62" s="178" t="str">
        <f t="shared" si="4"/>
        <v/>
      </c>
      <c r="L62" s="145">
        <f>-SUMIFS(Transactions!$M$3:$M149,Transactions!$H$3:$H149,"Buy",Transactions!$D$3:$D149,B62)</f>
        <v>0</v>
      </c>
      <c r="M62" s="145">
        <f>IF(ISBLANK(AG62),"",SUMIFS(Transactions!$M$3:$M149,Transactions!$H$3:$H149,"Dividend",Transactions!$D$3:$D149,B62))</f>
        <v>0</v>
      </c>
      <c r="N62" s="145" t="str">
        <f>IF(ISBLANK(AH62),"",SUMIFS(Transactions!$M$3:$M149,Transactions!$H$3:$H149,"Sell",Transactions!$D$3:$D149,B62))</f>
        <v/>
      </c>
      <c r="O62" s="50" t="str">
        <f t="shared" si="5"/>
        <v/>
      </c>
      <c r="P62" s="178" t="str">
        <f t="shared" si="6"/>
        <v/>
      </c>
      <c r="Q62" s="178" t="str">
        <f>IFERROR(__xludf.DUMMYFUNCTION("IF(ISBLANK(B62),"""",IFERROR(IF(OR(AF62=""GPB"",AF62=""ZAR""),IF(AF62=Dashboard!$L$1,AS62,(AS62*GOOGLEFINANCE(""CURRENCY:""&amp;AF62&amp;""""&amp;Dashboard!$L$1&amp;""""))/100),IF(AF62=Dashboard!$L$1,AS62,AS62*GOOGLEFINANCE(""CURRENCY:""&amp;AF62&amp;""""&amp;Dashboard!$L$1&amp;""""))),"&amp;"AS62))"),"")</f>
        <v/>
      </c>
      <c r="R62" s="178" t="str">
        <f t="shared" si="7"/>
        <v/>
      </c>
      <c r="S62" s="50" t="str">
        <f>IFERROR(__xludf.DUMMYFUNCTION("IF(ISBLANK(B62),"""",IFERROR((GOOGLEFINANCE(B62,""price"")/INDEX(GOOGLEFINANCE(B62,""price"",DATEVALUE(TODAY()-$S$2) ),2,2)-1),""""))"),"")</f>
        <v/>
      </c>
      <c r="U62" s="50" t="str">
        <f>IFERROR(__xludf.DUMMYFUNCTION("IF(ISBLANK(B62),"""",IFERROR((GOOGLEFINANCE($U$2,""price"")/INDEX(GOOGLEFINANCE($U$2,""price"",DATEVALUE(TODAY()-$S$2) ),2,2)-1),""""))"),"")</f>
        <v/>
      </c>
      <c r="W62" s="50" t="str">
        <f t="shared" si="8"/>
        <v/>
      </c>
      <c r="X62" s="50" t="str">
        <f t="shared" si="9"/>
        <v/>
      </c>
      <c r="Y62" s="179">
        <v>0.0</v>
      </c>
      <c r="Z62" s="50" t="str">
        <f t="shared" si="10"/>
        <v/>
      </c>
      <c r="AA62" s="14" t="str">
        <f t="shared" si="11"/>
        <v/>
      </c>
      <c r="AB62" s="50" t="str">
        <f t="shared" si="12"/>
        <v/>
      </c>
      <c r="AC62" s="179" t="str">
        <f t="shared" si="13"/>
        <v/>
      </c>
      <c r="AD62" s="50" t="str">
        <f t="shared" si="14"/>
        <v/>
      </c>
      <c r="AE62" s="180" t="str">
        <f t="shared" si="15"/>
        <v/>
      </c>
      <c r="AF62" s="14" t="str">
        <f t="array" ref="AF62">IFERROR(IF(ISBLANK(AH62),"",IF(VLOOKUP(AH62,Transactions!D:F,3,0)="Stablecoin",AH62,INDEX(Transactions!$B$3:$B149,MATCH(AH62,Transactions!$D$3:$D149,0),0))))</f>
        <v/>
      </c>
      <c r="AG62" s="14" t="str">
        <f>IF(ISBLANK(AH62),"",VLOOKUP(AH62,Transactions!D:E,2,0))</f>
        <v/>
      </c>
      <c r="AH62" s="14"/>
      <c r="AI62" s="146" t="str">
        <f>IF(ISBLANK(AH62),"",IF(
SUMIFS(Transactions!$I$3:$I149,Transactions!$H$3:$H149,"Buy",Transactions!$F$3:$F149,"Stock",Transactions!$D$3:$D149,AH62)
+SUMIFS(Transactions!$I$3:$I149,Transactions!$H$3:$H149,"DRIP",Transactions!$F$3:$F149,"Stock",Transactions!$D$3:$D149,AH62)
+SUMIFS(Transactions!$I$3:$I149,Transactions!$H$3:$H149,"Transfer Deposit",Transactions!$F$3:$F149,"Stock",Transactions!$D$3:$D149,AH62)
+SUMIFS(Transactions!$I$3:$I149,Transactions!$H$3:$H149,"Buy",Transactions!$F$3:$F149,"ETF",Transactions!$D$3:$D149,AH62)
+SUMIFS(Transactions!$I$3:$I149,Transactions!$H$3:$H149,"DRIP",Transactions!$F$3:$F149,"ETF",Transactions!$D$3:$D149,AH62)
+SUMIFS(Transactions!$I$3:$I149,Transactions!$H$3:$H149,"Transfer Deposit",Transactions!$F$3:$F149,"ETF",Transactions!$D$3:$D149,AH62)
+SUMIFS(Transactions!$I$3:$I149,Transactions!$H$3:$H149,"Buy",Transactions!$F$3:$F149,"Commodity",Transactions!$D$3:$D149,AH62)
+SUMIFS(Transactions!$I$3:$I149,Transactions!$H$3:$H149,"DRIP",Transactions!$F$3:$F149,"Commodity",Transactions!$D$3:$D149,AH62)
+SUMIFS(Transactions!$I$3:$I149,Transactions!$H$3:$H149,"Transfer Deposit",Transactions!$F$3:$F149,"Commodity",Transactions!$D$3:$D149,AH62)
+SUMIFS(Transactions!$I$3:$I149,Transactions!$H$3:$H149,"Buy",Transactions!$F$3:$F149,"Managed Fund",Transactions!$D$3:$D149,AH62)
+SUMIFS(Transactions!$I$3:$I149,Transactions!$H$3:$H149,"DRIP",Transactions!$F$3:$F149,"Managed Fund",Transactions!$D$3:$D149,AH62)
+SUMIFS(Transactions!$I$3:$I149,Transactions!$H$3:$H149,"Transfer Deposit",Transactions!$F$3:$F149,"Managed Fund",Transactions!$D$3:$D149,AH62)
+SUMIFS(Transactions!$I$3:$I149,Transactions!$H$3:$H149,"Buy",Transactions!$F$3:$F149,"REIT",Transactions!$D$3:$D149,AH62)
+SUMIFS(Transactions!$I$3:$I149,Transactions!$H$3:$H149,"DRIP",Transactions!$F$3:$F149,"REIT",Transactions!$D$3:$D149,AH62)
+SUMIFS(Transactions!$I$3:$I149,Transactions!$H$3:$H149,"Transfer Deposit",Transactions!$F$3:$F149,"REIT",Transactions!$D$3:$D149,AH62)
-SUMIFS(Transactions!$I$3:$I149,Transactions!$H$3:$H149,"Sell",Transactions!$F$3:$F149,"Stock",Transactions!$D$3:$D149,AH62)
-SUMIFS(Transactions!$I$3:$I149,Transactions!$H$3:$H149,"Transfer Send",Transactions!$F$3:$F149,"Stock",Transactions!$D$3:$D149,AH62)
-SUMIFS(Transactions!$I$3:$I149,Transactions!$H$3:$H149,"Sell",Transactions!$F$3:$F149,"ETF",Transactions!$D$3:$D149,AH62)
-SUMIFS(Transactions!$I$3:$I149,Transactions!$H$3:$H149,"Transfer Send",Transactions!$F$3:$F149,"ETF",Transactions!$D$3:$D149,AH62)
-SUMIFS(Transactions!$I$3:$I149,Transactions!$H$3:$H149,"Sell",Transactions!$F$3:$F149,"Commodity",Transactions!$D$3:$D149,AH62)
-SUMIFS(Transactions!$I$3:$I149,Transactions!$H$3:$H149,"Transfer Send",Transactions!$F$3:$F149,"Commodity",Transactions!$D$3:$D149,AH62)
-SUMIFS(Transactions!$I$3:$I149,Transactions!$H$3:$H149,"Sell",Transactions!$F$3:$F149,"Managed Fund",Transactions!$D$3:$D149,AH62)
-SUMIFS(Transactions!$I$3:$I149,Transactions!$H$3:$H149,"Transfer Send",Transactions!$F$3:$F149,"Managed Fund",Transactions!$D$3:$D149,AH62)
-SUMIFS(Transactions!$I$3:$I149,Transactions!$H$3:$H149,"Sell",Transactions!$F$3:$F149,"REIT",Transactions!$D$3:$D149,AH62)
-SUMIFS(Transactions!$I$3:$I149,Transactions!$H$3:$H149,"Transfer Send",Transactions!$F$3:$F149,"REIT",Transactions!$D$3:$D149,AH62)
+SUMIFS(Transactions!$I$3:$I149,Transactions!$H$3:$H149,"Buy",Transactions!$F$3:$F149,"Crypto",Transactions!$D$3:$D149,AH62)
+SUMIFS(Transactions!$I$3:$I149,Transactions!$H$3:$H149,"Crypto Interest",Transactions!$F$3:$F149,"Crypto",Transactions!$D$3:$D149,AH62)
+SUMIFS(Transactions!$I$3:$I149,Transactions!$H$3:$H149,"Transfer Deposit",Transactions!$F$3:$F149,"Crypto",Transactions!$D$3:$D149,AH62)
-SUMIFS(Transactions!$I$3:$I149,Transactions!$H$3:$H149,"Transfer Send",Transactions!$F$3:$F149,"Crypto",Transactions!$D$3:$D149,AH62)
-SUMIFS(Transactions!$I$3:$I149,Transactions!$H$3:$H149,"Sell",Transactions!$F$3:$F149,"Crypto",Transactions!$D$3:$D149,AH62)
+SUMIFS(Transactions!$I$3:$I149,Transactions!$H$3:$H149,"Buy",Transactions!$F$3:$F149,"Stablecoin",Transactions!$D$3:$D149,AH62)
+SUMIFS(Transactions!$I$3:$I149,Transactions!$H$3:$H149,"Crypto Interest",Transactions!$F$3:$F149,"Stablecoin",Transactions!$D$3:$D149,AH62)
+SUMIFS(Transactions!$I$3:$I149,Transactions!$H$3:$H149,"Transfer Deposit",Transactions!$F$3:$F149,"Stablecoin",Transactions!$D$3:$D149,AH62)
-SUMIFS(Transactions!$I$3:$I149,Transactions!$H$3:$H149,"Transfer Send",Transactions!$F$3:$F149,"Stablecoin",Transactions!$D$3:$D149,AH62)
-SUMIFS(Transactions!$I$3:$I149,Transactions!$H$3:$H149,"Sell",Transactions!$F$3:$F149,"Stablecoin",Transactions!$D$3:$D149,AH62)
-SUMIFS(Transactions!$M$3:$M149,Transactions!$H$3:$H149,"Buy",Transactions!$B$3:$B149,AH62)=0,"Sold All",
SUMIFS(Transactions!$I$3:$I149,Transactions!$H$3:$H149,"Buy",Transactions!$F$3:$F149,"Stock",Transactions!$D$3:$D149,AH62)
+SUMIFS(Transactions!$I$3:$I149,Transactions!$H$3:$H149,"DRIP",Transactions!$F$3:$F149,"Stock",Transactions!$D$3:$D149,AH62)
+SUMIFS(Transactions!$I$3:$I149,Transactions!$H$3:$H149,"Transfer Deposit",Transactions!$F$3:$F149,"Stock",Transactions!$D$3:$D149,AH62)
+SUMIFS(Transactions!$I$3:$I149,Transactions!$H$3:$H149,"Buy",Transactions!$F$3:$F149,"ETF",Transactions!$D$3:$D149,AH62)
+SUMIFS(Transactions!$I$3:$I149,Transactions!$H$3:$H149,"DRIP",Transactions!$F$3:$F149,"ETF",Transactions!$D$3:$D149,AH62)
+SUMIFS(Transactions!$I$3:$I149,Transactions!$H$3:$H149,"Transfer Deposit",Transactions!$F$3:$F149,"ETF",Transactions!$D$3:$D149,AH62)
+SUMIFS(Transactions!$I$3:$I149,Transactions!$H$3:$H149,"Buy",Transactions!$F$3:$F149,"Commodity",Transactions!$D$3:$D149,AH62)
+SUMIFS(Transactions!$I$3:$I149,Transactions!$H$3:$H149,"DRIP",Transactions!$F$3:$F149,"Commodity",Transactions!$D$3:$D149,AH62)
+SUMIFS(Transactions!$I$3:$I149,Transactions!$H$3:$H149,"Transfer Deposit",Transactions!$F$3:$F149,"Commodity",Transactions!$D$3:$D149,AH62)
+SUMIFS(Transactions!$I$3:$I149,Transactions!$H$3:$H149,"Buy",Transactions!$F$3:$F149,"Managed Fund",Transactions!$D$3:$D149,AH62)
+SUMIFS(Transactions!$I$3:$I149,Transactions!$H$3:$H149,"DRIP",Transactions!$F$3:$F149,"Managed Fund",Transactions!$D$3:$D149,AH62)
+SUMIFS(Transactions!$I$3:$I149,Transactions!$H$3:$H149,"Transfer Deposit",Transactions!$F$3:$F149,"Managed Fund",Transactions!$D$3:$D149,AH62)
+SUMIFS(Transactions!$I$3:$I149,Transactions!$H$3:$H149,"Buy",Transactions!$F$3:$F149,"REIT",Transactions!$D$3:$D149,AH62)
+SUMIFS(Transactions!$I$3:$I149,Transactions!$H$3:$H149,"DRIP",Transactions!$F$3:$F149,"REIT",Transactions!$D$3:$D149,AH62)
+SUMIFS(Transactions!$I$3:$I149,Transactions!$H$3:$H149,"Transfer Deposit",Transactions!$F$3:$F149,"REIT",Transactions!$D$3:$D149,AH62)
-SUMIFS(Transactions!$I$3:$I149,Transactions!$H$3:$H149,"Sell",Transactions!$F$3:$F149,"Stock",Transactions!$D$3:$D149,AH62)
-SUMIFS(Transactions!$I$3:$I149,Transactions!$H$3:$H149,"Transfer Send",Transactions!$F$3:$F149,"Stock",Transactions!$D$3:$D149,AH62)
-SUMIFS(Transactions!$I$3:$I149,Transactions!$H$3:$H149,"Sell",Transactions!$F$3:$F149,"ETF",Transactions!$D$3:$D149,AH62)
-SUMIFS(Transactions!$I$3:$I149,Transactions!$H$3:$H149,"Transfer Send",Transactions!$F$3:$F149,"ETF",Transactions!$D$3:$D149,AH62)
-SUMIFS(Transactions!$I$3:$I149,Transactions!$H$3:$H149,"Sell",Transactions!$F$3:$F149,"Commodity",Transactions!$D$3:$D149,AH62)
-SUMIFS(Transactions!$I$3:$I149,Transactions!$H$3:$H149,"Transfer Send",Transactions!$F$3:$F149,"Commodity",Transactions!$D$3:$D149,AH62)
-SUMIFS(Transactions!$I$3:$I149,Transactions!$H$3:$H149,"Sell",Transactions!$F$3:$F149,"Managed Fund",Transactions!$D$3:$D149,AH62)
-SUMIFS(Transactions!$I$3:$I149,Transactions!$H$3:$H149,"Transfer Send",Transactions!$F$3:$F149,"Managed Fund",Transactions!$D$3:$D149,AH62)
-SUMIFS(Transactions!$I$3:$I149,Transactions!$H$3:$H149,"Sell",Transactions!$F$3:$F149,"REIT",Transactions!$D$3:$D149,AH62)
-SUMIFS(Transactions!$I$3:$I149,Transactions!$H$3:$H149,"Transfer Send",Transactions!$F$3:$F149,"REIT",Transactions!$D$3:$D149,AH62)
+SUMIFS(Transactions!$I$3:$I149,Transactions!$H$3:$H149,"Buy",Transactions!$F$3:$F149,"Crypto",Transactions!$D$3:$D149,AH62)
+SUMIFS(Transactions!$I$3:$I149,Transactions!$H$3:$H149,"Crypto Interest",Transactions!$F$3:$F149,"Crypto",Transactions!$D$3:$D149,AH62)
+SUMIFS(Transactions!$I$3:$I149,Transactions!$H$3:$H149,"Transfer Deposit",Transactions!$F$3:$F149,"Crypto",Transactions!$D$3:$D149,AH62)
-SUMIFS(Transactions!$I$3:$I149,Transactions!$H$3:$H149,"Transfer Send",Transactions!$F$3:$F149,"Crypto",Transactions!$D$3:$D149,AH62)
-SUMIFS(Transactions!$I$3:$I149,Transactions!$H$3:$H149,"Sell",Transactions!$F$3:$F149,"Crypto",Transactions!$D$3:$D149,AH62)
+SUMIFS(Transactions!$I$3:$I149,Transactions!$H$3:$H149,"Buy",Transactions!$F$3:$F149,"Stablecoin",Transactions!$D$3:$D149,AH62)
+SUMIFS(Transactions!$I$3:$I149,Transactions!$H$3:$H149,"Crypto Interest",Transactions!$F$3:$F149,"Stablecoin",Transactions!$D$3:$D149,AH62)
+SUMIFS(Transactions!$I$3:$I149,Transactions!$H$3:$H149,"Transfer Deposit",Transactions!$F$3:$F149,"Stablecoin",Transactions!$D$3:$D149,AH62)
-SUMIFS(Transactions!$I$3:$I149,Transactions!$H$3:$H149,"Transfer Send",Transactions!$F$3:$F149,"Stablecoin",Transactions!$D$3:$D149,AH62)
-SUMIFS(Transactions!$I$3:$I149,Transactions!$H$3:$H149,"Sell",Transactions!$F$3:$F149,"Stablecoin",Transactions!$D$3:$D149,AH62)
-SUMIFS(Transactions!$M$3:$M149,Transactions!$H$3:$H149,"Buy",Transactions!$B$3:$B149,AH62)))</f>
        <v/>
      </c>
      <c r="AJ62" s="181" t="str">
        <f>IFERROR(__xludf.DUMMYFUNCTION("IF(ISBLANK(AH62),"""",VLOOKUP(9^99,FILTER({ROW(Transactions!P:P),Transactions!P:P},Transactions!D:D=AH62),2))"),"")</f>
        <v/>
      </c>
      <c r="AK62" s="181" t="str">
        <f>IFERROR(__xludf.DUMMYFUNCTION("IF(ISBLANK(AH62),"""",IFERROR(GOOGLEFINANCE(AH62,""price""),IFERROR(GOOGLEFINANCE(""CURRENCY:""&amp;AH62&amp;""""),IFERROR(INDEX(YAHOO_STOCK(TRIM(AH62), $G$2),0,1),INDEX(IMPORTHTML(CONCAT(""https://coinmarketcap.com/currencies/"",AG62),""table"",1),1,2)))))"),"")</f>
        <v/>
      </c>
      <c r="AL62" s="14" t="str">
        <f>IFERROR(__xludf.DUMMYFUNCTION("IF(ISBLANK(AH62),"""",IFERROR(SPARKLINE(INDEX(GOOGLEFINANCE(AH62,""price"",TODAY()-$AL$2,TODAY()),,2),{""charttype"",""column"";""color"",""17a7e0""}),""""))"),"")</f>
        <v/>
      </c>
      <c r="AM62" s="50" t="str">
        <f>IFERROR(__xludf.DUMMYFUNCTION("IFNA(IFERROR(IF(AH62="""","""",GOOGLEFINANCE(AH62,""changepct"")/100),(GOOGLEFINANCE(AH62)-(INDEX(GOOGLEFINANCE(""CURRENCY:""&amp;AH62&amp;"""",""price"",TODAY()-1),2,2)))/(INDEX(GOOGLEFINANCE(""CURRENCY:""&amp;AH62&amp;"""",""price"",TODAY()-1),2,2))),)"),"")</f>
        <v/>
      </c>
      <c r="AN62" s="96" t="str">
        <f>IFERROR(__xludf.DUMMYFUNCTION("IFNA(IFERROR(IF(AH62="""","""",GOOGLEFINANCE(AH62,""change"")*AI62),(GOOGLEFINANCE(AH62)-(INDEX(GOOGLEFINANCE(""CURRENCY:""&amp;AH62&amp;"""",""price"",TODAY()-1),2,2)))*AI62),"""")"),"")</f>
        <v/>
      </c>
      <c r="AO62" s="96" t="str">
        <f>IF(ISBLANK(AH62),"",IFERROR(((AI62-SUMIFS(Transactions!I:I,Transactions!H:H,"Crypto Interest",Transactions!D:D,AH62))*AJ62),""))</f>
        <v/>
      </c>
      <c r="AP62" s="96" t="str">
        <f t="shared" si="16"/>
        <v/>
      </c>
      <c r="AQ62" s="50" t="str">
        <f t="shared" si="17"/>
        <v/>
      </c>
      <c r="AR62" s="96" t="str">
        <f t="shared" si="18"/>
        <v/>
      </c>
      <c r="AS62" s="96" t="str">
        <f>IF(ISBLANK(AH62),"",SUMIFS(Transactions!$X$3:$X149,Transactions!$H$3:$H149,"Sell",Transactions!$D$3:$D149,AH62))</f>
        <v/>
      </c>
      <c r="AT62" s="96" t="str">
        <f t="shared" si="19"/>
        <v/>
      </c>
      <c r="AU62" s="50" t="str">
        <f>IFERROR(__xludf.DUMMYFUNCTION("IF(ISBLANK(AH62),"""",IFERROR((GOOGLEFINANCE(AH62,""price"")/INDEX(GOOGLEFINANCE(AH62,""price"",DATEVALUE(TODAY()-$AU$2) ),2,2)-1),""""))"),"")</f>
        <v/>
      </c>
      <c r="AW62" s="50" t="str">
        <f>IFERROR(__xludf.DUMMYFUNCTION("IF(ISBLANK(AH62),"""",IFERROR((GOOGLEFINANCE($AW$2,""price"")/INDEX(GOOGLEFINANCE($AW$2,""price"",DATEVALUE(TODAY()-$AU$2) ),2,2)-1),""""))"),"")</f>
        <v/>
      </c>
      <c r="AY62" s="50" t="str">
        <f t="shared" si="20"/>
        <v/>
      </c>
      <c r="AZ62" s="50" t="str">
        <f t="shared" si="21"/>
        <v/>
      </c>
      <c r="BA62" s="50">
        <f t="shared" si="22"/>
        <v>0</v>
      </c>
      <c r="BB62" s="14" t="str">
        <f t="shared" si="23"/>
        <v/>
      </c>
      <c r="BC62" s="14" t="str">
        <f>IF(ISBLANK(AH62),"",IFERROR(VLOOKUP(AH62,Transactions!D:F,3,0)))</f>
        <v/>
      </c>
      <c r="BD62" s="50" t="str">
        <f t="shared" si="24"/>
        <v/>
      </c>
      <c r="BE62" s="50" t="str">
        <f t="shared" si="25"/>
        <v/>
      </c>
      <c r="BF62" s="14" t="str">
        <f t="shared" si="26"/>
        <v/>
      </c>
      <c r="BG62" s="180" t="str">
        <f>IF(ISBLANK(AH62),"",IFERROR(VLOOKUP(AH62,Transactions!D:G,4,0)))</f>
        <v/>
      </c>
    </row>
    <row r="63">
      <c r="A63" s="14" t="str">
        <f t="shared" ref="A63:C63" si="86">AG63</f>
        <v/>
      </c>
      <c r="B63" s="14" t="str">
        <f t="shared" si="86"/>
        <v/>
      </c>
      <c r="C63" s="175" t="str">
        <f t="shared" si="86"/>
        <v/>
      </c>
      <c r="D63" s="176" t="str">
        <f>IFERROR(__xludf.DUMMYFUNCTION("IF(ISBLANK(B63),"""",IFERROR(IF(OR(AF63=""GPB"",AF63=""ZAR""),IF(AF63=Dashboard!$L$1,AJ63,(AJ63*GOOGLEFINANCE(""CURRENCY:""&amp;AF63&amp;""""&amp;Dashboard!$L$1&amp;""""))/100),IF(AF63=Dashboard!$L$1,AJ63,AJ63*GOOGLEFINANCE(""CURRENCY:""&amp;AF63&amp;""""&amp;Dashboard!$L$1&amp;""""))),"&amp;"AJ63))"),"")</f>
        <v/>
      </c>
      <c r="E63" s="177" t="str">
        <f>IFERROR(__xludf.DUMMYFUNCTION("IFERROR(IF(OR(AF63=""GBP"",AF63=""ZAR""),IF(B63="""","""",IF(AF63=Dashboard!$L$1,AK63,AK63*GOOGLEFINANCE(""CURRENCY:""&amp;AF63&amp;""""&amp;Dashboard!$L$1&amp;"""")))/100,If(B63="""","""",IF(AF63=Dashboard!$L$1,AK63,AK63*GOOGLEFINANCE(""CURRENCY:""&amp;AF63&amp;""""&amp;Dashboard!$"&amp;"L$1&amp;"""")))),AK63)"),"")</f>
        <v/>
      </c>
      <c r="F63" s="145" t="str">
        <f t="shared" si="65"/>
        <v/>
      </c>
      <c r="G63" s="96" t="str">
        <f>IFERROR(__xludf.DUMMYFUNCTION("IF(ISBLANK(B63),"""",IFERROR(SPARKLINE(INDEX(GOOGLEFINANCE(B63,""price"",TODAY()-$G$2,TODAY()),,2),{""charttype"",""column"";""color"",""17a7e0""}),""""))"),"")</f>
        <v/>
      </c>
      <c r="H63" s="50" t="str">
        <f t="shared" si="3"/>
        <v/>
      </c>
      <c r="I63" s="96" t="str">
        <f>IFERROR(__xludf.DUMMYFUNCTION("IF(ISBLANK(B63),"""",IFERROR(IF(OR(AF63=""GPB"",AF63=""ZAR""),IF(AF63=Dashboard!$L$1,AN63,(AN63*GOOGLEFINANCE(""CURRENCY:""&amp;AF63&amp;""""&amp;Dashboard!$L$1&amp;""""))/100),IF(AF63=Dashboard!$L$1,AN63,AN63*GOOGLEFINANCE(""CURRENCY:""&amp;AF63&amp;""""&amp;Dashboard!$L$1&amp;""""))),"&amp;"AN63))"),"")</f>
        <v/>
      </c>
      <c r="J63" s="178" t="str">
        <f>IF(ISBLANK(B63),"",IFERROR(((C63-SUMIFS(Transactions!I:I,Transactions!H:H,"Crypto Interest",Transactions!D:D,B63))*D63),""))</f>
        <v/>
      </c>
      <c r="K63" s="178" t="str">
        <f t="shared" si="4"/>
        <v/>
      </c>
      <c r="L63" s="145">
        <f>-SUMIFS(Transactions!$M$3:$M149,Transactions!$H$3:$H149,"Buy",Transactions!$D$3:$D149,B63)</f>
        <v>0</v>
      </c>
      <c r="M63" s="145">
        <f>IF(ISBLANK(AG63),"",SUMIFS(Transactions!$M$3:$M149,Transactions!$H$3:$H149,"Dividend",Transactions!$D$3:$D149,B63))</f>
        <v>0</v>
      </c>
      <c r="N63" s="145" t="str">
        <f>IF(ISBLANK(AH63),"",SUMIFS(Transactions!$M$3:$M149,Transactions!$H$3:$H149,"Sell",Transactions!$D$3:$D149,B63))</f>
        <v/>
      </c>
      <c r="O63" s="50" t="str">
        <f t="shared" si="5"/>
        <v/>
      </c>
      <c r="P63" s="178" t="str">
        <f t="shared" si="6"/>
        <v/>
      </c>
      <c r="Q63" s="178" t="str">
        <f>IFERROR(__xludf.DUMMYFUNCTION("IF(ISBLANK(B63),"""",IFERROR(IF(OR(AF63=""GPB"",AF63=""ZAR""),IF(AF63=Dashboard!$L$1,AS63,(AS63*GOOGLEFINANCE(""CURRENCY:""&amp;AF63&amp;""""&amp;Dashboard!$L$1&amp;""""))/100),IF(AF63=Dashboard!$L$1,AS63,AS63*GOOGLEFINANCE(""CURRENCY:""&amp;AF63&amp;""""&amp;Dashboard!$L$1&amp;""""))),"&amp;"AS63))"),"")</f>
        <v/>
      </c>
      <c r="R63" s="178" t="str">
        <f t="shared" si="7"/>
        <v/>
      </c>
      <c r="S63" s="50" t="str">
        <f>IFERROR(__xludf.DUMMYFUNCTION("IF(ISBLANK(B63),"""",IFERROR((GOOGLEFINANCE(B63,""price"")/INDEX(GOOGLEFINANCE(B63,""price"",DATEVALUE(TODAY()-$S$2) ),2,2)-1),""""))"),"")</f>
        <v/>
      </c>
      <c r="U63" s="50" t="str">
        <f>IFERROR(__xludf.DUMMYFUNCTION("IF(ISBLANK(B63),"""",IFERROR((GOOGLEFINANCE($U$2,""price"")/INDEX(GOOGLEFINANCE($U$2,""price"",DATEVALUE(TODAY()-$S$2) ),2,2)-1),""""))"),"")</f>
        <v/>
      </c>
      <c r="W63" s="50" t="str">
        <f t="shared" si="8"/>
        <v/>
      </c>
      <c r="X63" s="50" t="str">
        <f t="shared" si="9"/>
        <v/>
      </c>
      <c r="Y63" s="179">
        <v>0.0</v>
      </c>
      <c r="Z63" s="50" t="str">
        <f t="shared" si="10"/>
        <v/>
      </c>
      <c r="AA63" s="14" t="str">
        <f t="shared" si="11"/>
        <v/>
      </c>
      <c r="AB63" s="50" t="str">
        <f t="shared" si="12"/>
        <v/>
      </c>
      <c r="AC63" s="179" t="str">
        <f t="shared" si="13"/>
        <v/>
      </c>
      <c r="AD63" s="50" t="str">
        <f t="shared" si="14"/>
        <v/>
      </c>
      <c r="AE63" s="180" t="str">
        <f t="shared" si="15"/>
        <v/>
      </c>
      <c r="AF63" s="14" t="str">
        <f t="array" ref="AF63">IFERROR(IF(ISBLANK(AH63),"",IF(VLOOKUP(AH63,Transactions!D:F,3,0)="Stablecoin",AH63,INDEX(Transactions!$B$3:$B149,MATCH(AH63,Transactions!$D$3:$D149,0),0))))</f>
        <v/>
      </c>
      <c r="AG63" s="14" t="str">
        <f>IF(ISBLANK(AH63),"",VLOOKUP(AH63,Transactions!D:E,2,0))</f>
        <v/>
      </c>
      <c r="AH63" s="14"/>
      <c r="AI63" s="146" t="str">
        <f>IF(ISBLANK(AH63),"",IF(
SUMIFS(Transactions!$I$3:$I149,Transactions!$H$3:$H149,"Buy",Transactions!$F$3:$F149,"Stock",Transactions!$D$3:$D149,AH63)
+SUMIFS(Transactions!$I$3:$I149,Transactions!$H$3:$H149,"DRIP",Transactions!$F$3:$F149,"Stock",Transactions!$D$3:$D149,AH63)
+SUMIFS(Transactions!$I$3:$I149,Transactions!$H$3:$H149,"Transfer Deposit",Transactions!$F$3:$F149,"Stock",Transactions!$D$3:$D149,AH63)
+SUMIFS(Transactions!$I$3:$I149,Transactions!$H$3:$H149,"Buy",Transactions!$F$3:$F149,"ETF",Transactions!$D$3:$D149,AH63)
+SUMIFS(Transactions!$I$3:$I149,Transactions!$H$3:$H149,"DRIP",Transactions!$F$3:$F149,"ETF",Transactions!$D$3:$D149,AH63)
+SUMIFS(Transactions!$I$3:$I149,Transactions!$H$3:$H149,"Transfer Deposit",Transactions!$F$3:$F149,"ETF",Transactions!$D$3:$D149,AH63)
+SUMIFS(Transactions!$I$3:$I149,Transactions!$H$3:$H149,"Buy",Transactions!$F$3:$F149,"Commodity",Transactions!$D$3:$D149,AH63)
+SUMIFS(Transactions!$I$3:$I149,Transactions!$H$3:$H149,"DRIP",Transactions!$F$3:$F149,"Commodity",Transactions!$D$3:$D149,AH63)
+SUMIFS(Transactions!$I$3:$I149,Transactions!$H$3:$H149,"Transfer Deposit",Transactions!$F$3:$F149,"Commodity",Transactions!$D$3:$D149,AH63)
+SUMIFS(Transactions!$I$3:$I149,Transactions!$H$3:$H149,"Buy",Transactions!$F$3:$F149,"Managed Fund",Transactions!$D$3:$D149,AH63)
+SUMIFS(Transactions!$I$3:$I149,Transactions!$H$3:$H149,"DRIP",Transactions!$F$3:$F149,"Managed Fund",Transactions!$D$3:$D149,AH63)
+SUMIFS(Transactions!$I$3:$I149,Transactions!$H$3:$H149,"Transfer Deposit",Transactions!$F$3:$F149,"Managed Fund",Transactions!$D$3:$D149,AH63)
+SUMIFS(Transactions!$I$3:$I149,Transactions!$H$3:$H149,"Buy",Transactions!$F$3:$F149,"REIT",Transactions!$D$3:$D149,AH63)
+SUMIFS(Transactions!$I$3:$I149,Transactions!$H$3:$H149,"DRIP",Transactions!$F$3:$F149,"REIT",Transactions!$D$3:$D149,AH63)
+SUMIFS(Transactions!$I$3:$I149,Transactions!$H$3:$H149,"Transfer Deposit",Transactions!$F$3:$F149,"REIT",Transactions!$D$3:$D149,AH63)
-SUMIFS(Transactions!$I$3:$I149,Transactions!$H$3:$H149,"Sell",Transactions!$F$3:$F149,"Stock",Transactions!$D$3:$D149,AH63)
-SUMIFS(Transactions!$I$3:$I149,Transactions!$H$3:$H149,"Transfer Send",Transactions!$F$3:$F149,"Stock",Transactions!$D$3:$D149,AH63)
-SUMIFS(Transactions!$I$3:$I149,Transactions!$H$3:$H149,"Sell",Transactions!$F$3:$F149,"ETF",Transactions!$D$3:$D149,AH63)
-SUMIFS(Transactions!$I$3:$I149,Transactions!$H$3:$H149,"Transfer Send",Transactions!$F$3:$F149,"ETF",Transactions!$D$3:$D149,AH63)
-SUMIFS(Transactions!$I$3:$I149,Transactions!$H$3:$H149,"Sell",Transactions!$F$3:$F149,"Commodity",Transactions!$D$3:$D149,AH63)
-SUMIFS(Transactions!$I$3:$I149,Transactions!$H$3:$H149,"Transfer Send",Transactions!$F$3:$F149,"Commodity",Transactions!$D$3:$D149,AH63)
-SUMIFS(Transactions!$I$3:$I149,Transactions!$H$3:$H149,"Sell",Transactions!$F$3:$F149,"Managed Fund",Transactions!$D$3:$D149,AH63)
-SUMIFS(Transactions!$I$3:$I149,Transactions!$H$3:$H149,"Transfer Send",Transactions!$F$3:$F149,"Managed Fund",Transactions!$D$3:$D149,AH63)
-SUMIFS(Transactions!$I$3:$I149,Transactions!$H$3:$H149,"Sell",Transactions!$F$3:$F149,"REIT",Transactions!$D$3:$D149,AH63)
-SUMIFS(Transactions!$I$3:$I149,Transactions!$H$3:$H149,"Transfer Send",Transactions!$F$3:$F149,"REIT",Transactions!$D$3:$D149,AH63)
+SUMIFS(Transactions!$I$3:$I149,Transactions!$H$3:$H149,"Buy",Transactions!$F$3:$F149,"Crypto",Transactions!$D$3:$D149,AH63)
+SUMIFS(Transactions!$I$3:$I149,Transactions!$H$3:$H149,"Crypto Interest",Transactions!$F$3:$F149,"Crypto",Transactions!$D$3:$D149,AH63)
+SUMIFS(Transactions!$I$3:$I149,Transactions!$H$3:$H149,"Transfer Deposit",Transactions!$F$3:$F149,"Crypto",Transactions!$D$3:$D149,AH63)
-SUMIFS(Transactions!$I$3:$I149,Transactions!$H$3:$H149,"Transfer Send",Transactions!$F$3:$F149,"Crypto",Transactions!$D$3:$D149,AH63)
-SUMIFS(Transactions!$I$3:$I149,Transactions!$H$3:$H149,"Sell",Transactions!$F$3:$F149,"Crypto",Transactions!$D$3:$D149,AH63)
+SUMIFS(Transactions!$I$3:$I149,Transactions!$H$3:$H149,"Buy",Transactions!$F$3:$F149,"Stablecoin",Transactions!$D$3:$D149,AH63)
+SUMIFS(Transactions!$I$3:$I149,Transactions!$H$3:$H149,"Crypto Interest",Transactions!$F$3:$F149,"Stablecoin",Transactions!$D$3:$D149,AH63)
+SUMIFS(Transactions!$I$3:$I149,Transactions!$H$3:$H149,"Transfer Deposit",Transactions!$F$3:$F149,"Stablecoin",Transactions!$D$3:$D149,AH63)
-SUMIFS(Transactions!$I$3:$I149,Transactions!$H$3:$H149,"Transfer Send",Transactions!$F$3:$F149,"Stablecoin",Transactions!$D$3:$D149,AH63)
-SUMIFS(Transactions!$I$3:$I149,Transactions!$H$3:$H149,"Sell",Transactions!$F$3:$F149,"Stablecoin",Transactions!$D$3:$D149,AH63)
-SUMIFS(Transactions!$M$3:$M149,Transactions!$H$3:$H149,"Buy",Transactions!$B$3:$B149,AH63)=0,"Sold All",
SUMIFS(Transactions!$I$3:$I149,Transactions!$H$3:$H149,"Buy",Transactions!$F$3:$F149,"Stock",Transactions!$D$3:$D149,AH63)
+SUMIFS(Transactions!$I$3:$I149,Transactions!$H$3:$H149,"DRIP",Transactions!$F$3:$F149,"Stock",Transactions!$D$3:$D149,AH63)
+SUMIFS(Transactions!$I$3:$I149,Transactions!$H$3:$H149,"Transfer Deposit",Transactions!$F$3:$F149,"Stock",Transactions!$D$3:$D149,AH63)
+SUMIFS(Transactions!$I$3:$I149,Transactions!$H$3:$H149,"Buy",Transactions!$F$3:$F149,"ETF",Transactions!$D$3:$D149,AH63)
+SUMIFS(Transactions!$I$3:$I149,Transactions!$H$3:$H149,"DRIP",Transactions!$F$3:$F149,"ETF",Transactions!$D$3:$D149,AH63)
+SUMIFS(Transactions!$I$3:$I149,Transactions!$H$3:$H149,"Transfer Deposit",Transactions!$F$3:$F149,"ETF",Transactions!$D$3:$D149,AH63)
+SUMIFS(Transactions!$I$3:$I149,Transactions!$H$3:$H149,"Buy",Transactions!$F$3:$F149,"Commodity",Transactions!$D$3:$D149,AH63)
+SUMIFS(Transactions!$I$3:$I149,Transactions!$H$3:$H149,"DRIP",Transactions!$F$3:$F149,"Commodity",Transactions!$D$3:$D149,AH63)
+SUMIFS(Transactions!$I$3:$I149,Transactions!$H$3:$H149,"Transfer Deposit",Transactions!$F$3:$F149,"Commodity",Transactions!$D$3:$D149,AH63)
+SUMIFS(Transactions!$I$3:$I149,Transactions!$H$3:$H149,"Buy",Transactions!$F$3:$F149,"Managed Fund",Transactions!$D$3:$D149,AH63)
+SUMIFS(Transactions!$I$3:$I149,Transactions!$H$3:$H149,"DRIP",Transactions!$F$3:$F149,"Managed Fund",Transactions!$D$3:$D149,AH63)
+SUMIFS(Transactions!$I$3:$I149,Transactions!$H$3:$H149,"Transfer Deposit",Transactions!$F$3:$F149,"Managed Fund",Transactions!$D$3:$D149,AH63)
+SUMIFS(Transactions!$I$3:$I149,Transactions!$H$3:$H149,"Buy",Transactions!$F$3:$F149,"REIT",Transactions!$D$3:$D149,AH63)
+SUMIFS(Transactions!$I$3:$I149,Transactions!$H$3:$H149,"DRIP",Transactions!$F$3:$F149,"REIT",Transactions!$D$3:$D149,AH63)
+SUMIFS(Transactions!$I$3:$I149,Transactions!$H$3:$H149,"Transfer Deposit",Transactions!$F$3:$F149,"REIT",Transactions!$D$3:$D149,AH63)
-SUMIFS(Transactions!$I$3:$I149,Transactions!$H$3:$H149,"Sell",Transactions!$F$3:$F149,"Stock",Transactions!$D$3:$D149,AH63)
-SUMIFS(Transactions!$I$3:$I149,Transactions!$H$3:$H149,"Transfer Send",Transactions!$F$3:$F149,"Stock",Transactions!$D$3:$D149,AH63)
-SUMIFS(Transactions!$I$3:$I149,Transactions!$H$3:$H149,"Sell",Transactions!$F$3:$F149,"ETF",Transactions!$D$3:$D149,AH63)
-SUMIFS(Transactions!$I$3:$I149,Transactions!$H$3:$H149,"Transfer Send",Transactions!$F$3:$F149,"ETF",Transactions!$D$3:$D149,AH63)
-SUMIFS(Transactions!$I$3:$I149,Transactions!$H$3:$H149,"Sell",Transactions!$F$3:$F149,"Commodity",Transactions!$D$3:$D149,AH63)
-SUMIFS(Transactions!$I$3:$I149,Transactions!$H$3:$H149,"Transfer Send",Transactions!$F$3:$F149,"Commodity",Transactions!$D$3:$D149,AH63)
-SUMIFS(Transactions!$I$3:$I149,Transactions!$H$3:$H149,"Sell",Transactions!$F$3:$F149,"Managed Fund",Transactions!$D$3:$D149,AH63)
-SUMIFS(Transactions!$I$3:$I149,Transactions!$H$3:$H149,"Transfer Send",Transactions!$F$3:$F149,"Managed Fund",Transactions!$D$3:$D149,AH63)
-SUMIFS(Transactions!$I$3:$I149,Transactions!$H$3:$H149,"Sell",Transactions!$F$3:$F149,"REIT",Transactions!$D$3:$D149,AH63)
-SUMIFS(Transactions!$I$3:$I149,Transactions!$H$3:$H149,"Transfer Send",Transactions!$F$3:$F149,"REIT",Transactions!$D$3:$D149,AH63)
+SUMIFS(Transactions!$I$3:$I149,Transactions!$H$3:$H149,"Buy",Transactions!$F$3:$F149,"Crypto",Transactions!$D$3:$D149,AH63)
+SUMIFS(Transactions!$I$3:$I149,Transactions!$H$3:$H149,"Crypto Interest",Transactions!$F$3:$F149,"Crypto",Transactions!$D$3:$D149,AH63)
+SUMIFS(Transactions!$I$3:$I149,Transactions!$H$3:$H149,"Transfer Deposit",Transactions!$F$3:$F149,"Crypto",Transactions!$D$3:$D149,AH63)
-SUMIFS(Transactions!$I$3:$I149,Transactions!$H$3:$H149,"Transfer Send",Transactions!$F$3:$F149,"Crypto",Transactions!$D$3:$D149,AH63)
-SUMIFS(Transactions!$I$3:$I149,Transactions!$H$3:$H149,"Sell",Transactions!$F$3:$F149,"Crypto",Transactions!$D$3:$D149,AH63)
+SUMIFS(Transactions!$I$3:$I149,Transactions!$H$3:$H149,"Buy",Transactions!$F$3:$F149,"Stablecoin",Transactions!$D$3:$D149,AH63)
+SUMIFS(Transactions!$I$3:$I149,Transactions!$H$3:$H149,"Crypto Interest",Transactions!$F$3:$F149,"Stablecoin",Transactions!$D$3:$D149,AH63)
+SUMIFS(Transactions!$I$3:$I149,Transactions!$H$3:$H149,"Transfer Deposit",Transactions!$F$3:$F149,"Stablecoin",Transactions!$D$3:$D149,AH63)
-SUMIFS(Transactions!$I$3:$I149,Transactions!$H$3:$H149,"Transfer Send",Transactions!$F$3:$F149,"Stablecoin",Transactions!$D$3:$D149,AH63)
-SUMIFS(Transactions!$I$3:$I149,Transactions!$H$3:$H149,"Sell",Transactions!$F$3:$F149,"Stablecoin",Transactions!$D$3:$D149,AH63)
-SUMIFS(Transactions!$M$3:$M149,Transactions!$H$3:$H149,"Buy",Transactions!$B$3:$B149,AH63)))</f>
        <v/>
      </c>
      <c r="AJ63" s="181" t="str">
        <f>IFERROR(__xludf.DUMMYFUNCTION("IF(ISBLANK(AH63),"""",VLOOKUP(9^99,FILTER({ROW(Transactions!P:P),Transactions!P:P},Transactions!D:D=AH63),2))"),"")</f>
        <v/>
      </c>
      <c r="AK63" s="181" t="str">
        <f>IFERROR(__xludf.DUMMYFUNCTION("IF(ISBLANK(AH63),"""",IFERROR(GOOGLEFINANCE(AH63,""price""),IFERROR(GOOGLEFINANCE(""CURRENCY:""&amp;AH63&amp;""""),IFERROR(INDEX(YAHOO_STOCK(TRIM(AH63), $G$2),0,1),INDEX(IMPORTHTML(CONCAT(""https://coinmarketcap.com/currencies/"",AG63),""table"",1),1,2)))))"),"")</f>
        <v/>
      </c>
      <c r="AL63" s="14" t="str">
        <f>IFERROR(__xludf.DUMMYFUNCTION("IF(ISBLANK(AH63),"""",IFERROR(SPARKLINE(INDEX(GOOGLEFINANCE(AH63,""price"",TODAY()-$AL$2,TODAY()),,2),{""charttype"",""column"";""color"",""17a7e0""}),""""))"),"")</f>
        <v/>
      </c>
      <c r="AM63" s="50" t="str">
        <f>IFERROR(__xludf.DUMMYFUNCTION("IFNA(IFERROR(IF(AH63="""","""",GOOGLEFINANCE(AH63,""changepct"")/100),(GOOGLEFINANCE(AH63)-(INDEX(GOOGLEFINANCE(""CURRENCY:""&amp;AH63&amp;"""",""price"",TODAY()-1),2,2)))/(INDEX(GOOGLEFINANCE(""CURRENCY:""&amp;AH63&amp;"""",""price"",TODAY()-1),2,2))),)"),"")</f>
        <v/>
      </c>
      <c r="AN63" s="96" t="str">
        <f>IFERROR(__xludf.DUMMYFUNCTION("IFNA(IFERROR(IF(AH63="""","""",GOOGLEFINANCE(AH63,""change"")*AI63),(GOOGLEFINANCE(AH63)-(INDEX(GOOGLEFINANCE(""CURRENCY:""&amp;AH63&amp;"""",""price"",TODAY()-1),2,2)))*AI63),"""")"),"")</f>
        <v/>
      </c>
      <c r="AO63" s="96" t="str">
        <f>IF(ISBLANK(AH63),"",IFERROR(((AI63-SUMIFS(Transactions!I:I,Transactions!H:H,"Crypto Interest",Transactions!D:D,AH63))*AJ63),""))</f>
        <v/>
      </c>
      <c r="AP63" s="96" t="str">
        <f t="shared" si="16"/>
        <v/>
      </c>
      <c r="AQ63" s="50" t="str">
        <f t="shared" si="17"/>
        <v/>
      </c>
      <c r="AR63" s="96" t="str">
        <f t="shared" si="18"/>
        <v/>
      </c>
      <c r="AS63" s="96" t="str">
        <f>IF(ISBLANK(AH63),"",SUMIFS(Transactions!$X$3:$X149,Transactions!$H$3:$H149,"Sell",Transactions!$D$3:$D149,AH63))</f>
        <v/>
      </c>
      <c r="AT63" s="96" t="str">
        <f t="shared" si="19"/>
        <v/>
      </c>
      <c r="AU63" s="50" t="str">
        <f>IFERROR(__xludf.DUMMYFUNCTION("IF(ISBLANK(AH63),"""",IFERROR((GOOGLEFINANCE(AH63,""price"")/INDEX(GOOGLEFINANCE(AH63,""price"",DATEVALUE(TODAY()-$AU$2) ),2,2)-1),""""))"),"")</f>
        <v/>
      </c>
      <c r="AW63" s="50" t="str">
        <f>IFERROR(__xludf.DUMMYFUNCTION("IF(ISBLANK(AH63),"""",IFERROR((GOOGLEFINANCE($AW$2,""price"")/INDEX(GOOGLEFINANCE($AW$2,""price"",DATEVALUE(TODAY()-$AU$2) ),2,2)-1),""""))"),"")</f>
        <v/>
      </c>
      <c r="AY63" s="50" t="str">
        <f t="shared" si="20"/>
        <v/>
      </c>
      <c r="AZ63" s="50" t="str">
        <f t="shared" si="21"/>
        <v/>
      </c>
      <c r="BA63" s="50">
        <f t="shared" si="22"/>
        <v>0</v>
      </c>
      <c r="BB63" s="14" t="str">
        <f t="shared" si="23"/>
        <v/>
      </c>
      <c r="BC63" s="14" t="str">
        <f>IF(ISBLANK(AH63),"",IFERROR(VLOOKUP(AH63,Transactions!D:F,3,0)))</f>
        <v/>
      </c>
      <c r="BD63" s="50" t="str">
        <f t="shared" si="24"/>
        <v/>
      </c>
      <c r="BE63" s="50" t="str">
        <f t="shared" si="25"/>
        <v/>
      </c>
      <c r="BF63" s="14" t="str">
        <f t="shared" si="26"/>
        <v/>
      </c>
      <c r="BG63" s="180" t="str">
        <f>IF(ISBLANK(AH63),"",IFERROR(VLOOKUP(AH63,Transactions!D:G,4,0)))</f>
        <v/>
      </c>
    </row>
    <row r="64">
      <c r="A64" s="14" t="str">
        <f t="shared" ref="A64:C64" si="87">AG64</f>
        <v/>
      </c>
      <c r="B64" s="14" t="str">
        <f t="shared" si="87"/>
        <v/>
      </c>
      <c r="C64" s="175" t="str">
        <f t="shared" si="87"/>
        <v/>
      </c>
      <c r="D64" s="176" t="str">
        <f>IFERROR(__xludf.DUMMYFUNCTION("IF(ISBLANK(B64),"""",IFERROR(IF(OR(AF64=""GPB"",AF64=""ZAR""),IF(AF64=Dashboard!$L$1,AJ64,(AJ64*GOOGLEFINANCE(""CURRENCY:""&amp;AF64&amp;""""&amp;Dashboard!$L$1&amp;""""))/100),IF(AF64=Dashboard!$L$1,AJ64,AJ64*GOOGLEFINANCE(""CURRENCY:""&amp;AF64&amp;""""&amp;Dashboard!$L$1&amp;""""))),"&amp;"AJ64))"),"")</f>
        <v/>
      </c>
      <c r="E64" s="177" t="str">
        <f>IFERROR(__xludf.DUMMYFUNCTION("IFERROR(IF(OR(AF64=""GBP"",AF64=""ZAR""),IF(B64="""","""",IF(AF64=Dashboard!$L$1,AK64,AK64*GOOGLEFINANCE(""CURRENCY:""&amp;AF64&amp;""""&amp;Dashboard!$L$1&amp;"""")))/100,If(B64="""","""",IF(AF64=Dashboard!$L$1,AK64,AK64*GOOGLEFINANCE(""CURRENCY:""&amp;AF64&amp;""""&amp;Dashboard!$"&amp;"L$1&amp;"""")))),AK64)"),"")</f>
        <v/>
      </c>
      <c r="F64" s="145" t="str">
        <f t="shared" si="65"/>
        <v/>
      </c>
      <c r="G64" s="96" t="str">
        <f>IFERROR(__xludf.DUMMYFUNCTION("IF(ISBLANK(B64),"""",IFERROR(SPARKLINE(INDEX(GOOGLEFINANCE(B64,""price"",TODAY()-$G$2,TODAY()),,2),{""charttype"",""column"";""color"",""17a7e0""}),""""))"),"")</f>
        <v/>
      </c>
      <c r="H64" s="50" t="str">
        <f t="shared" si="3"/>
        <v/>
      </c>
      <c r="I64" s="96" t="str">
        <f>IFERROR(__xludf.DUMMYFUNCTION("IF(ISBLANK(B64),"""",IFERROR(IF(OR(AF64=""GPB"",AF64=""ZAR""),IF(AF64=Dashboard!$L$1,AN64,(AN64*GOOGLEFINANCE(""CURRENCY:""&amp;AF64&amp;""""&amp;Dashboard!$L$1&amp;""""))/100),IF(AF64=Dashboard!$L$1,AN64,AN64*GOOGLEFINANCE(""CURRENCY:""&amp;AF64&amp;""""&amp;Dashboard!$L$1&amp;""""))),"&amp;"AN64))"),"")</f>
        <v/>
      </c>
      <c r="J64" s="178" t="str">
        <f>IF(ISBLANK(B64),"",IFERROR(((C64-SUMIFS(Transactions!I:I,Transactions!H:H,"Crypto Interest",Transactions!D:D,B64))*D64),""))</f>
        <v/>
      </c>
      <c r="K64" s="178" t="str">
        <f t="shared" si="4"/>
        <v/>
      </c>
      <c r="L64" s="145">
        <f>-SUMIFS(Transactions!$M$3:$M149,Transactions!$H$3:$H149,"Buy",Transactions!$D$3:$D149,B64)</f>
        <v>0</v>
      </c>
      <c r="M64" s="145">
        <f>IF(ISBLANK(AG64),"",SUMIFS(Transactions!$M$3:$M149,Transactions!$H$3:$H149,"Dividend",Transactions!$D$3:$D149,B64))</f>
        <v>0</v>
      </c>
      <c r="N64" s="145" t="str">
        <f>IF(ISBLANK(AH64),"",SUMIFS(Transactions!$M$3:$M149,Transactions!$H$3:$H149,"Sell",Transactions!$D$3:$D149,B64))</f>
        <v/>
      </c>
      <c r="O64" s="50" t="str">
        <f t="shared" si="5"/>
        <v/>
      </c>
      <c r="P64" s="178" t="str">
        <f t="shared" si="6"/>
        <v/>
      </c>
      <c r="Q64" s="178" t="str">
        <f>IFERROR(__xludf.DUMMYFUNCTION("IF(ISBLANK(B64),"""",IFERROR(IF(OR(AF64=""GPB"",AF64=""ZAR""),IF(AF64=Dashboard!$L$1,AS64,(AS64*GOOGLEFINANCE(""CURRENCY:""&amp;AF64&amp;""""&amp;Dashboard!$L$1&amp;""""))/100),IF(AF64=Dashboard!$L$1,AS64,AS64*GOOGLEFINANCE(""CURRENCY:""&amp;AF64&amp;""""&amp;Dashboard!$L$1&amp;""""))),"&amp;"AS64))"),"")</f>
        <v/>
      </c>
      <c r="R64" s="178" t="str">
        <f t="shared" si="7"/>
        <v/>
      </c>
      <c r="S64" s="50" t="str">
        <f>IFERROR(__xludf.DUMMYFUNCTION("IF(ISBLANK(B64),"""",IFERROR((GOOGLEFINANCE(B64,""price"")/INDEX(GOOGLEFINANCE(B64,""price"",DATEVALUE(TODAY()-$S$2) ),2,2)-1),""""))"),"")</f>
        <v/>
      </c>
      <c r="U64" s="50" t="str">
        <f>IFERROR(__xludf.DUMMYFUNCTION("IF(ISBLANK(B64),"""",IFERROR((GOOGLEFINANCE($U$2,""price"")/INDEX(GOOGLEFINANCE($U$2,""price"",DATEVALUE(TODAY()-$S$2) ),2,2)-1),""""))"),"")</f>
        <v/>
      </c>
      <c r="W64" s="50" t="str">
        <f t="shared" si="8"/>
        <v/>
      </c>
      <c r="X64" s="50" t="str">
        <f t="shared" si="9"/>
        <v/>
      </c>
      <c r="Y64" s="179">
        <v>0.0</v>
      </c>
      <c r="Z64" s="50" t="str">
        <f t="shared" si="10"/>
        <v/>
      </c>
      <c r="AA64" s="14" t="str">
        <f t="shared" si="11"/>
        <v/>
      </c>
      <c r="AB64" s="50" t="str">
        <f t="shared" si="12"/>
        <v/>
      </c>
      <c r="AC64" s="179" t="str">
        <f t="shared" si="13"/>
        <v/>
      </c>
      <c r="AD64" s="50" t="str">
        <f t="shared" si="14"/>
        <v/>
      </c>
      <c r="AE64" s="180" t="str">
        <f t="shared" si="15"/>
        <v/>
      </c>
      <c r="AF64" s="14" t="str">
        <f t="array" ref="AF64">IFERROR(IF(ISBLANK(AH64),"",IF(VLOOKUP(AH64,Transactions!D:F,3,0)="Stablecoin",AH64,INDEX(Transactions!$B$3:$B149,MATCH(AH64,Transactions!$D$3:$D149,0),0))))</f>
        <v/>
      </c>
      <c r="AG64" s="14" t="str">
        <f>IF(ISBLANK(AH64),"",VLOOKUP(AH64,Transactions!D:E,2,0))</f>
        <v/>
      </c>
      <c r="AH64" s="14"/>
      <c r="AI64" s="146" t="str">
        <f>IF(ISBLANK(AH64),"",IF(
SUMIFS(Transactions!$I$3:$I149,Transactions!$H$3:$H149,"Buy",Transactions!$F$3:$F149,"Stock",Transactions!$D$3:$D149,AH64)
+SUMIFS(Transactions!$I$3:$I149,Transactions!$H$3:$H149,"DRIP",Transactions!$F$3:$F149,"Stock",Transactions!$D$3:$D149,AH64)
+SUMIFS(Transactions!$I$3:$I149,Transactions!$H$3:$H149,"Transfer Deposit",Transactions!$F$3:$F149,"Stock",Transactions!$D$3:$D149,AH64)
+SUMIFS(Transactions!$I$3:$I149,Transactions!$H$3:$H149,"Buy",Transactions!$F$3:$F149,"ETF",Transactions!$D$3:$D149,AH64)
+SUMIFS(Transactions!$I$3:$I149,Transactions!$H$3:$H149,"DRIP",Transactions!$F$3:$F149,"ETF",Transactions!$D$3:$D149,AH64)
+SUMIFS(Transactions!$I$3:$I149,Transactions!$H$3:$H149,"Transfer Deposit",Transactions!$F$3:$F149,"ETF",Transactions!$D$3:$D149,AH64)
+SUMIFS(Transactions!$I$3:$I149,Transactions!$H$3:$H149,"Buy",Transactions!$F$3:$F149,"Commodity",Transactions!$D$3:$D149,AH64)
+SUMIFS(Transactions!$I$3:$I149,Transactions!$H$3:$H149,"DRIP",Transactions!$F$3:$F149,"Commodity",Transactions!$D$3:$D149,AH64)
+SUMIFS(Transactions!$I$3:$I149,Transactions!$H$3:$H149,"Transfer Deposit",Transactions!$F$3:$F149,"Commodity",Transactions!$D$3:$D149,AH64)
+SUMIFS(Transactions!$I$3:$I149,Transactions!$H$3:$H149,"Buy",Transactions!$F$3:$F149,"Managed Fund",Transactions!$D$3:$D149,AH64)
+SUMIFS(Transactions!$I$3:$I149,Transactions!$H$3:$H149,"DRIP",Transactions!$F$3:$F149,"Managed Fund",Transactions!$D$3:$D149,AH64)
+SUMIFS(Transactions!$I$3:$I149,Transactions!$H$3:$H149,"Transfer Deposit",Transactions!$F$3:$F149,"Managed Fund",Transactions!$D$3:$D149,AH64)
+SUMIFS(Transactions!$I$3:$I149,Transactions!$H$3:$H149,"Buy",Transactions!$F$3:$F149,"REIT",Transactions!$D$3:$D149,AH64)
+SUMIFS(Transactions!$I$3:$I149,Transactions!$H$3:$H149,"DRIP",Transactions!$F$3:$F149,"REIT",Transactions!$D$3:$D149,AH64)
+SUMIFS(Transactions!$I$3:$I149,Transactions!$H$3:$H149,"Transfer Deposit",Transactions!$F$3:$F149,"REIT",Transactions!$D$3:$D149,AH64)
-SUMIFS(Transactions!$I$3:$I149,Transactions!$H$3:$H149,"Sell",Transactions!$F$3:$F149,"Stock",Transactions!$D$3:$D149,AH64)
-SUMIFS(Transactions!$I$3:$I149,Transactions!$H$3:$H149,"Transfer Send",Transactions!$F$3:$F149,"Stock",Transactions!$D$3:$D149,AH64)
-SUMIFS(Transactions!$I$3:$I149,Transactions!$H$3:$H149,"Sell",Transactions!$F$3:$F149,"ETF",Transactions!$D$3:$D149,AH64)
-SUMIFS(Transactions!$I$3:$I149,Transactions!$H$3:$H149,"Transfer Send",Transactions!$F$3:$F149,"ETF",Transactions!$D$3:$D149,AH64)
-SUMIFS(Transactions!$I$3:$I149,Transactions!$H$3:$H149,"Sell",Transactions!$F$3:$F149,"Commodity",Transactions!$D$3:$D149,AH64)
-SUMIFS(Transactions!$I$3:$I149,Transactions!$H$3:$H149,"Transfer Send",Transactions!$F$3:$F149,"Commodity",Transactions!$D$3:$D149,AH64)
-SUMIFS(Transactions!$I$3:$I149,Transactions!$H$3:$H149,"Sell",Transactions!$F$3:$F149,"Managed Fund",Transactions!$D$3:$D149,AH64)
-SUMIFS(Transactions!$I$3:$I149,Transactions!$H$3:$H149,"Transfer Send",Transactions!$F$3:$F149,"Managed Fund",Transactions!$D$3:$D149,AH64)
-SUMIFS(Transactions!$I$3:$I149,Transactions!$H$3:$H149,"Sell",Transactions!$F$3:$F149,"REIT",Transactions!$D$3:$D149,AH64)
-SUMIFS(Transactions!$I$3:$I149,Transactions!$H$3:$H149,"Transfer Send",Transactions!$F$3:$F149,"REIT",Transactions!$D$3:$D149,AH64)
+SUMIFS(Transactions!$I$3:$I149,Transactions!$H$3:$H149,"Buy",Transactions!$F$3:$F149,"Crypto",Transactions!$D$3:$D149,AH64)
+SUMIFS(Transactions!$I$3:$I149,Transactions!$H$3:$H149,"Crypto Interest",Transactions!$F$3:$F149,"Crypto",Transactions!$D$3:$D149,AH64)
+SUMIFS(Transactions!$I$3:$I149,Transactions!$H$3:$H149,"Transfer Deposit",Transactions!$F$3:$F149,"Crypto",Transactions!$D$3:$D149,AH64)
-SUMIFS(Transactions!$I$3:$I149,Transactions!$H$3:$H149,"Transfer Send",Transactions!$F$3:$F149,"Crypto",Transactions!$D$3:$D149,AH64)
-SUMIFS(Transactions!$I$3:$I149,Transactions!$H$3:$H149,"Sell",Transactions!$F$3:$F149,"Crypto",Transactions!$D$3:$D149,AH64)
+SUMIFS(Transactions!$I$3:$I149,Transactions!$H$3:$H149,"Buy",Transactions!$F$3:$F149,"Stablecoin",Transactions!$D$3:$D149,AH64)
+SUMIFS(Transactions!$I$3:$I149,Transactions!$H$3:$H149,"Crypto Interest",Transactions!$F$3:$F149,"Stablecoin",Transactions!$D$3:$D149,AH64)
+SUMIFS(Transactions!$I$3:$I149,Transactions!$H$3:$H149,"Transfer Deposit",Transactions!$F$3:$F149,"Stablecoin",Transactions!$D$3:$D149,AH64)
-SUMIFS(Transactions!$I$3:$I149,Transactions!$H$3:$H149,"Transfer Send",Transactions!$F$3:$F149,"Stablecoin",Transactions!$D$3:$D149,AH64)
-SUMIFS(Transactions!$I$3:$I149,Transactions!$H$3:$H149,"Sell",Transactions!$F$3:$F149,"Stablecoin",Transactions!$D$3:$D149,AH64)
-SUMIFS(Transactions!$M$3:$M149,Transactions!$H$3:$H149,"Buy",Transactions!$B$3:$B149,AH64)=0,"Sold All",
SUMIFS(Transactions!$I$3:$I149,Transactions!$H$3:$H149,"Buy",Transactions!$F$3:$F149,"Stock",Transactions!$D$3:$D149,AH64)
+SUMIFS(Transactions!$I$3:$I149,Transactions!$H$3:$H149,"DRIP",Transactions!$F$3:$F149,"Stock",Transactions!$D$3:$D149,AH64)
+SUMIFS(Transactions!$I$3:$I149,Transactions!$H$3:$H149,"Transfer Deposit",Transactions!$F$3:$F149,"Stock",Transactions!$D$3:$D149,AH64)
+SUMIFS(Transactions!$I$3:$I149,Transactions!$H$3:$H149,"Buy",Transactions!$F$3:$F149,"ETF",Transactions!$D$3:$D149,AH64)
+SUMIFS(Transactions!$I$3:$I149,Transactions!$H$3:$H149,"DRIP",Transactions!$F$3:$F149,"ETF",Transactions!$D$3:$D149,AH64)
+SUMIFS(Transactions!$I$3:$I149,Transactions!$H$3:$H149,"Transfer Deposit",Transactions!$F$3:$F149,"ETF",Transactions!$D$3:$D149,AH64)
+SUMIFS(Transactions!$I$3:$I149,Transactions!$H$3:$H149,"Buy",Transactions!$F$3:$F149,"Commodity",Transactions!$D$3:$D149,AH64)
+SUMIFS(Transactions!$I$3:$I149,Transactions!$H$3:$H149,"DRIP",Transactions!$F$3:$F149,"Commodity",Transactions!$D$3:$D149,AH64)
+SUMIFS(Transactions!$I$3:$I149,Transactions!$H$3:$H149,"Transfer Deposit",Transactions!$F$3:$F149,"Commodity",Transactions!$D$3:$D149,AH64)
+SUMIFS(Transactions!$I$3:$I149,Transactions!$H$3:$H149,"Buy",Transactions!$F$3:$F149,"Managed Fund",Transactions!$D$3:$D149,AH64)
+SUMIFS(Transactions!$I$3:$I149,Transactions!$H$3:$H149,"DRIP",Transactions!$F$3:$F149,"Managed Fund",Transactions!$D$3:$D149,AH64)
+SUMIFS(Transactions!$I$3:$I149,Transactions!$H$3:$H149,"Transfer Deposit",Transactions!$F$3:$F149,"Managed Fund",Transactions!$D$3:$D149,AH64)
+SUMIFS(Transactions!$I$3:$I149,Transactions!$H$3:$H149,"Buy",Transactions!$F$3:$F149,"REIT",Transactions!$D$3:$D149,AH64)
+SUMIFS(Transactions!$I$3:$I149,Transactions!$H$3:$H149,"DRIP",Transactions!$F$3:$F149,"REIT",Transactions!$D$3:$D149,AH64)
+SUMIFS(Transactions!$I$3:$I149,Transactions!$H$3:$H149,"Transfer Deposit",Transactions!$F$3:$F149,"REIT",Transactions!$D$3:$D149,AH64)
-SUMIFS(Transactions!$I$3:$I149,Transactions!$H$3:$H149,"Sell",Transactions!$F$3:$F149,"Stock",Transactions!$D$3:$D149,AH64)
-SUMIFS(Transactions!$I$3:$I149,Transactions!$H$3:$H149,"Transfer Send",Transactions!$F$3:$F149,"Stock",Transactions!$D$3:$D149,AH64)
-SUMIFS(Transactions!$I$3:$I149,Transactions!$H$3:$H149,"Sell",Transactions!$F$3:$F149,"ETF",Transactions!$D$3:$D149,AH64)
-SUMIFS(Transactions!$I$3:$I149,Transactions!$H$3:$H149,"Transfer Send",Transactions!$F$3:$F149,"ETF",Transactions!$D$3:$D149,AH64)
-SUMIFS(Transactions!$I$3:$I149,Transactions!$H$3:$H149,"Sell",Transactions!$F$3:$F149,"Commodity",Transactions!$D$3:$D149,AH64)
-SUMIFS(Transactions!$I$3:$I149,Transactions!$H$3:$H149,"Transfer Send",Transactions!$F$3:$F149,"Commodity",Transactions!$D$3:$D149,AH64)
-SUMIFS(Transactions!$I$3:$I149,Transactions!$H$3:$H149,"Sell",Transactions!$F$3:$F149,"Managed Fund",Transactions!$D$3:$D149,AH64)
-SUMIFS(Transactions!$I$3:$I149,Transactions!$H$3:$H149,"Transfer Send",Transactions!$F$3:$F149,"Managed Fund",Transactions!$D$3:$D149,AH64)
-SUMIFS(Transactions!$I$3:$I149,Transactions!$H$3:$H149,"Sell",Transactions!$F$3:$F149,"REIT",Transactions!$D$3:$D149,AH64)
-SUMIFS(Transactions!$I$3:$I149,Transactions!$H$3:$H149,"Transfer Send",Transactions!$F$3:$F149,"REIT",Transactions!$D$3:$D149,AH64)
+SUMIFS(Transactions!$I$3:$I149,Transactions!$H$3:$H149,"Buy",Transactions!$F$3:$F149,"Crypto",Transactions!$D$3:$D149,AH64)
+SUMIFS(Transactions!$I$3:$I149,Transactions!$H$3:$H149,"Crypto Interest",Transactions!$F$3:$F149,"Crypto",Transactions!$D$3:$D149,AH64)
+SUMIFS(Transactions!$I$3:$I149,Transactions!$H$3:$H149,"Transfer Deposit",Transactions!$F$3:$F149,"Crypto",Transactions!$D$3:$D149,AH64)
-SUMIFS(Transactions!$I$3:$I149,Transactions!$H$3:$H149,"Transfer Send",Transactions!$F$3:$F149,"Crypto",Transactions!$D$3:$D149,AH64)
-SUMIFS(Transactions!$I$3:$I149,Transactions!$H$3:$H149,"Sell",Transactions!$F$3:$F149,"Crypto",Transactions!$D$3:$D149,AH64)
+SUMIFS(Transactions!$I$3:$I149,Transactions!$H$3:$H149,"Buy",Transactions!$F$3:$F149,"Stablecoin",Transactions!$D$3:$D149,AH64)
+SUMIFS(Transactions!$I$3:$I149,Transactions!$H$3:$H149,"Crypto Interest",Transactions!$F$3:$F149,"Stablecoin",Transactions!$D$3:$D149,AH64)
+SUMIFS(Transactions!$I$3:$I149,Transactions!$H$3:$H149,"Transfer Deposit",Transactions!$F$3:$F149,"Stablecoin",Transactions!$D$3:$D149,AH64)
-SUMIFS(Transactions!$I$3:$I149,Transactions!$H$3:$H149,"Transfer Send",Transactions!$F$3:$F149,"Stablecoin",Transactions!$D$3:$D149,AH64)
-SUMIFS(Transactions!$I$3:$I149,Transactions!$H$3:$H149,"Sell",Transactions!$F$3:$F149,"Stablecoin",Transactions!$D$3:$D149,AH64)
-SUMIFS(Transactions!$M$3:$M149,Transactions!$H$3:$H149,"Buy",Transactions!$B$3:$B149,AH64)))</f>
        <v/>
      </c>
      <c r="AJ64" s="181" t="str">
        <f>IFERROR(__xludf.DUMMYFUNCTION("IF(ISBLANK(AH64),"""",VLOOKUP(9^99,FILTER({ROW(Transactions!P:P),Transactions!P:P},Transactions!D:D=AH64),2))"),"")</f>
        <v/>
      </c>
      <c r="AK64" s="181" t="str">
        <f>IFERROR(__xludf.DUMMYFUNCTION("IF(ISBLANK(AH64),"""",IFERROR(GOOGLEFINANCE(AH64,""price""),IFERROR(GOOGLEFINANCE(""CURRENCY:""&amp;AH64&amp;""""),IFERROR(INDEX(YAHOO_STOCK(TRIM(AH64), $G$2),0,1),INDEX(IMPORTHTML(CONCAT(""https://coinmarketcap.com/currencies/"",AG64),""table"",1),1,2)))))"),"")</f>
        <v/>
      </c>
      <c r="AL64" s="14" t="str">
        <f>IFERROR(__xludf.DUMMYFUNCTION("IF(ISBLANK(AH64),"""",IFERROR(SPARKLINE(INDEX(GOOGLEFINANCE(AH64,""price"",TODAY()-$AL$2,TODAY()),,2),{""charttype"",""column"";""color"",""17a7e0""}),""""))"),"")</f>
        <v/>
      </c>
      <c r="AM64" s="50" t="str">
        <f>IFERROR(__xludf.DUMMYFUNCTION("IFNA(IFERROR(IF(AH64="""","""",GOOGLEFINANCE(AH64,""changepct"")/100),(GOOGLEFINANCE(AH64)-(INDEX(GOOGLEFINANCE(""CURRENCY:""&amp;AH64&amp;"""",""price"",TODAY()-1),2,2)))/(INDEX(GOOGLEFINANCE(""CURRENCY:""&amp;AH64&amp;"""",""price"",TODAY()-1),2,2))),)"),"")</f>
        <v/>
      </c>
      <c r="AN64" s="96" t="str">
        <f>IFERROR(__xludf.DUMMYFUNCTION("IFNA(IFERROR(IF(AH64="""","""",GOOGLEFINANCE(AH64,""change"")*AI64),(GOOGLEFINANCE(AH64)-(INDEX(GOOGLEFINANCE(""CURRENCY:""&amp;AH64&amp;"""",""price"",TODAY()-1),2,2)))*AI64),"""")"),"")</f>
        <v/>
      </c>
      <c r="AO64" s="96" t="str">
        <f>IF(ISBLANK(AH64),"",IFERROR(((AI64-SUMIFS(Transactions!I:I,Transactions!H:H,"Crypto Interest",Transactions!D:D,AH64))*AJ64),""))</f>
        <v/>
      </c>
      <c r="AP64" s="96" t="str">
        <f t="shared" si="16"/>
        <v/>
      </c>
      <c r="AQ64" s="50" t="str">
        <f t="shared" si="17"/>
        <v/>
      </c>
      <c r="AR64" s="96" t="str">
        <f t="shared" si="18"/>
        <v/>
      </c>
      <c r="AS64" s="96" t="str">
        <f>IF(ISBLANK(AH64),"",SUMIFS(Transactions!$X$3:$X149,Transactions!$H$3:$H149,"Sell",Transactions!$D$3:$D149,AH64))</f>
        <v/>
      </c>
      <c r="AT64" s="96" t="str">
        <f t="shared" si="19"/>
        <v/>
      </c>
      <c r="AU64" s="50" t="str">
        <f>IFERROR(__xludf.DUMMYFUNCTION("IF(ISBLANK(AH64),"""",IFERROR((GOOGLEFINANCE(AH64,""price"")/INDEX(GOOGLEFINANCE(AH64,""price"",DATEVALUE(TODAY()-$AU$2) ),2,2)-1),""""))"),"")</f>
        <v/>
      </c>
      <c r="AW64" s="50" t="str">
        <f>IFERROR(__xludf.DUMMYFUNCTION("IF(ISBLANK(AH64),"""",IFERROR((GOOGLEFINANCE($AW$2,""price"")/INDEX(GOOGLEFINANCE($AW$2,""price"",DATEVALUE(TODAY()-$AU$2) ),2,2)-1),""""))"),"")</f>
        <v/>
      </c>
      <c r="AY64" s="50" t="str">
        <f t="shared" si="20"/>
        <v/>
      </c>
      <c r="AZ64" s="50" t="str">
        <f t="shared" si="21"/>
        <v/>
      </c>
      <c r="BA64" s="50">
        <f t="shared" si="22"/>
        <v>0</v>
      </c>
      <c r="BB64" s="14" t="str">
        <f t="shared" si="23"/>
        <v/>
      </c>
      <c r="BC64" s="14" t="str">
        <f>IF(ISBLANK(AH64),"",IFERROR(VLOOKUP(AH64,Transactions!D:F,3,0)))</f>
        <v/>
      </c>
      <c r="BD64" s="50" t="str">
        <f t="shared" si="24"/>
        <v/>
      </c>
      <c r="BE64" s="50" t="str">
        <f t="shared" si="25"/>
        <v/>
      </c>
      <c r="BF64" s="14" t="str">
        <f t="shared" si="26"/>
        <v/>
      </c>
      <c r="BG64" s="180" t="str">
        <f>IF(ISBLANK(AH64),"",IFERROR(VLOOKUP(AH64,Transactions!D:G,4,0)))</f>
        <v/>
      </c>
    </row>
    <row r="65">
      <c r="A65" s="14" t="str">
        <f t="shared" ref="A65:C65" si="88">AG65</f>
        <v/>
      </c>
      <c r="B65" s="14" t="str">
        <f t="shared" si="88"/>
        <v/>
      </c>
      <c r="C65" s="175" t="str">
        <f t="shared" si="88"/>
        <v/>
      </c>
      <c r="D65" s="176" t="str">
        <f>IFERROR(__xludf.DUMMYFUNCTION("IF(ISBLANK(B65),"""",IFERROR(IF(OR(AF65=""GPB"",AF65=""ZAR""),IF(AF65=Dashboard!$L$1,AJ65,(AJ65*GOOGLEFINANCE(""CURRENCY:""&amp;AF65&amp;""""&amp;Dashboard!$L$1&amp;""""))/100),IF(AF65=Dashboard!$L$1,AJ65,AJ65*GOOGLEFINANCE(""CURRENCY:""&amp;AF65&amp;""""&amp;Dashboard!$L$1&amp;""""))),"&amp;"AJ65))"),"")</f>
        <v/>
      </c>
      <c r="E65" s="177" t="str">
        <f>IFERROR(__xludf.DUMMYFUNCTION("IFERROR(IF(OR(AF65=""GBP"",AF65=""ZAR""),IF(B65="""","""",IF(AF65=Dashboard!$L$1,AK65,AK65*GOOGLEFINANCE(""CURRENCY:""&amp;AF65&amp;""""&amp;Dashboard!$L$1&amp;"""")))/100,If(B65="""","""",IF(AF65=Dashboard!$L$1,AK65,AK65*GOOGLEFINANCE(""CURRENCY:""&amp;AF65&amp;""""&amp;Dashboard!$"&amp;"L$1&amp;"""")))),AK65)"),"")</f>
        <v/>
      </c>
      <c r="F65" s="145" t="str">
        <f t="shared" si="65"/>
        <v/>
      </c>
      <c r="G65" s="96" t="str">
        <f>IFERROR(__xludf.DUMMYFUNCTION("IF(ISBLANK(B65),"""",IFERROR(SPARKLINE(INDEX(GOOGLEFINANCE(B65,""price"",TODAY()-$G$2,TODAY()),,2),{""charttype"",""column"";""color"",""17a7e0""}),""""))"),"")</f>
        <v/>
      </c>
      <c r="H65" s="50" t="str">
        <f t="shared" si="3"/>
        <v/>
      </c>
      <c r="I65" s="96" t="str">
        <f>IFERROR(__xludf.DUMMYFUNCTION("IF(ISBLANK(B65),"""",IFERROR(IF(OR(AF65=""GPB"",AF65=""ZAR""),IF(AF65=Dashboard!$L$1,AN65,(AN65*GOOGLEFINANCE(""CURRENCY:""&amp;AF65&amp;""""&amp;Dashboard!$L$1&amp;""""))/100),IF(AF65=Dashboard!$L$1,AN65,AN65*GOOGLEFINANCE(""CURRENCY:""&amp;AF65&amp;""""&amp;Dashboard!$L$1&amp;""""))),"&amp;"AN65))"),"")</f>
        <v/>
      </c>
      <c r="J65" s="178" t="str">
        <f>IF(ISBLANK(B65),"",IFERROR(((C65-SUMIFS(Transactions!I:I,Transactions!H:H,"Crypto Interest",Transactions!D:D,B65))*D65),""))</f>
        <v/>
      </c>
      <c r="K65" s="178" t="str">
        <f t="shared" si="4"/>
        <v/>
      </c>
      <c r="L65" s="145">
        <f>IF(ISBLANK(AF65),"",SUMIFS(Transactions!$M$3:$M149,Transactions!$H$3:$H149,"Buy",Transactions!$D$3:$D149,AF65))</f>
        <v>0</v>
      </c>
      <c r="M65" s="145">
        <f>IF(ISBLANK(AG65),"",SUMIFS(Transactions!$M$3:$M149,Transactions!$H$3:$H149,"Dividend",Transactions!$D$3:$D149,AG65))</f>
        <v>0</v>
      </c>
      <c r="N65" s="145" t="str">
        <f>IF(ISBLANK(AH65),"",SUMIFS(Transactions!$M$3:$M149,Transactions!$H$3:$H149,"Sell",Transactions!$D$3:$D149,AH65))</f>
        <v/>
      </c>
      <c r="O65" s="50" t="str">
        <f t="shared" si="5"/>
        <v/>
      </c>
      <c r="P65" s="178" t="str">
        <f t="shared" si="6"/>
        <v/>
      </c>
      <c r="Q65" s="178" t="str">
        <f>IFERROR(__xludf.DUMMYFUNCTION("IF(ISBLANK(B65),"""",IFERROR(IF(OR(AF65=""GPB"",AF65=""ZAR""),IF(AF65=Dashboard!$L$1,AS65,(AS65*GOOGLEFINANCE(""CURRENCY:""&amp;AF65&amp;""""&amp;Dashboard!$L$1&amp;""""))/100),IF(AF65=Dashboard!$L$1,AS65,AS65*GOOGLEFINANCE(""CURRENCY:""&amp;AF65&amp;""""&amp;Dashboard!$L$1&amp;""""))),"&amp;"AS65))"),"")</f>
        <v/>
      </c>
      <c r="R65" s="178" t="str">
        <f t="shared" si="7"/>
        <v/>
      </c>
      <c r="S65" s="50" t="str">
        <f>IFERROR(__xludf.DUMMYFUNCTION("IF(ISBLANK(B65),"""",IFERROR((GOOGLEFINANCE(B65,""price"")/INDEX(GOOGLEFINANCE(B65,""price"",DATEVALUE(TODAY()-$S$2) ),2,2)-1),""""))"),"")</f>
        <v/>
      </c>
      <c r="U65" s="50" t="str">
        <f>IFERROR(__xludf.DUMMYFUNCTION("IF(ISBLANK(B65),"""",IFERROR((GOOGLEFINANCE($U$2,""price"")/INDEX(GOOGLEFINANCE($U$2,""price"",DATEVALUE(TODAY()-$S$2) ),2,2)-1),""""))"),"")</f>
        <v/>
      </c>
      <c r="W65" s="50" t="str">
        <f t="shared" si="8"/>
        <v/>
      </c>
      <c r="X65" s="50" t="str">
        <f t="shared" si="9"/>
        <v/>
      </c>
      <c r="Y65" s="179">
        <v>0.0</v>
      </c>
      <c r="Z65" s="50" t="str">
        <f t="shared" si="10"/>
        <v/>
      </c>
      <c r="AA65" s="14" t="str">
        <f t="shared" si="11"/>
        <v/>
      </c>
      <c r="AB65" s="50" t="str">
        <f t="shared" si="12"/>
        <v/>
      </c>
      <c r="AC65" s="179" t="str">
        <f t="shared" si="13"/>
        <v/>
      </c>
      <c r="AD65" s="50" t="str">
        <f t="shared" si="14"/>
        <v/>
      </c>
      <c r="AE65" s="180" t="str">
        <f t="shared" si="15"/>
        <v/>
      </c>
      <c r="AF65" s="14" t="str">
        <f t="array" ref="AF65">IFERROR(IF(ISBLANK(AH65),"",IF(VLOOKUP(AH65,Transactions!D:F,3,0)="Stablecoin",AH65,INDEX(Transactions!$B$3:$B149,MATCH(AH65,Transactions!$D$3:$D149,0),0))))</f>
        <v/>
      </c>
      <c r="AG65" s="14" t="str">
        <f>IF(ISBLANK(AH65),"",VLOOKUP(AH65,Transactions!D:E,2,0))</f>
        <v/>
      </c>
      <c r="AH65" s="14"/>
      <c r="AI65" s="146" t="str">
        <f>IF(ISBLANK(AH65),"",IF(
SUMIFS(Transactions!$I$3:$I149,Transactions!$H$3:$H149,"Buy",Transactions!$F$3:$F149,"Stock",Transactions!$D$3:$D149,AH65)
+SUMIFS(Transactions!$I$3:$I149,Transactions!$H$3:$H149,"DRIP",Transactions!$F$3:$F149,"Stock",Transactions!$D$3:$D149,AH65)
+SUMIFS(Transactions!$I$3:$I149,Transactions!$H$3:$H149,"Transfer Deposit",Transactions!$F$3:$F149,"Stock",Transactions!$D$3:$D149,AH65)
+SUMIFS(Transactions!$I$3:$I149,Transactions!$H$3:$H149,"Buy",Transactions!$F$3:$F149,"ETF",Transactions!$D$3:$D149,AH65)
+SUMIFS(Transactions!$I$3:$I149,Transactions!$H$3:$H149,"DRIP",Transactions!$F$3:$F149,"ETF",Transactions!$D$3:$D149,AH65)
+SUMIFS(Transactions!$I$3:$I149,Transactions!$H$3:$H149,"Transfer Deposit",Transactions!$F$3:$F149,"ETF",Transactions!$D$3:$D149,AH65)
+SUMIFS(Transactions!$I$3:$I149,Transactions!$H$3:$H149,"Buy",Transactions!$F$3:$F149,"Commodity",Transactions!$D$3:$D149,AH65)
+SUMIFS(Transactions!$I$3:$I149,Transactions!$H$3:$H149,"DRIP",Transactions!$F$3:$F149,"Commodity",Transactions!$D$3:$D149,AH65)
+SUMIFS(Transactions!$I$3:$I149,Transactions!$H$3:$H149,"Transfer Deposit",Transactions!$F$3:$F149,"Commodity",Transactions!$D$3:$D149,AH65)
+SUMIFS(Transactions!$I$3:$I149,Transactions!$H$3:$H149,"Buy",Transactions!$F$3:$F149,"Managed Fund",Transactions!$D$3:$D149,AH65)
+SUMIFS(Transactions!$I$3:$I149,Transactions!$H$3:$H149,"DRIP",Transactions!$F$3:$F149,"Managed Fund",Transactions!$D$3:$D149,AH65)
+SUMIFS(Transactions!$I$3:$I149,Transactions!$H$3:$H149,"Transfer Deposit",Transactions!$F$3:$F149,"Managed Fund",Transactions!$D$3:$D149,AH65)
+SUMIFS(Transactions!$I$3:$I149,Transactions!$H$3:$H149,"Buy",Transactions!$F$3:$F149,"REIT",Transactions!$D$3:$D149,AH65)
+SUMIFS(Transactions!$I$3:$I149,Transactions!$H$3:$H149,"DRIP",Transactions!$F$3:$F149,"REIT",Transactions!$D$3:$D149,AH65)
+SUMIFS(Transactions!$I$3:$I149,Transactions!$H$3:$H149,"Transfer Deposit",Transactions!$F$3:$F149,"REIT",Transactions!$D$3:$D149,AH65)
-SUMIFS(Transactions!$I$3:$I149,Transactions!$H$3:$H149,"Sell",Transactions!$F$3:$F149,"Stock",Transactions!$D$3:$D149,AH65)
-SUMIFS(Transactions!$I$3:$I149,Transactions!$H$3:$H149,"Transfer Send",Transactions!$F$3:$F149,"Stock",Transactions!$D$3:$D149,AH65)
-SUMIFS(Transactions!$I$3:$I149,Transactions!$H$3:$H149,"Sell",Transactions!$F$3:$F149,"ETF",Transactions!$D$3:$D149,AH65)
-SUMIFS(Transactions!$I$3:$I149,Transactions!$H$3:$H149,"Transfer Send",Transactions!$F$3:$F149,"ETF",Transactions!$D$3:$D149,AH65)
-SUMIFS(Transactions!$I$3:$I149,Transactions!$H$3:$H149,"Sell",Transactions!$F$3:$F149,"Commodity",Transactions!$D$3:$D149,AH65)
-SUMIFS(Transactions!$I$3:$I149,Transactions!$H$3:$H149,"Transfer Send",Transactions!$F$3:$F149,"Commodity",Transactions!$D$3:$D149,AH65)
-SUMIFS(Transactions!$I$3:$I149,Transactions!$H$3:$H149,"Sell",Transactions!$F$3:$F149,"Managed Fund",Transactions!$D$3:$D149,AH65)
-SUMIFS(Transactions!$I$3:$I149,Transactions!$H$3:$H149,"Transfer Send",Transactions!$F$3:$F149,"Managed Fund",Transactions!$D$3:$D149,AH65)
-SUMIFS(Transactions!$I$3:$I149,Transactions!$H$3:$H149,"Sell",Transactions!$F$3:$F149,"REIT",Transactions!$D$3:$D149,AH65)
-SUMIFS(Transactions!$I$3:$I149,Transactions!$H$3:$H149,"Transfer Send",Transactions!$F$3:$F149,"REIT",Transactions!$D$3:$D149,AH65)
+SUMIFS(Transactions!$I$3:$I149,Transactions!$H$3:$H149,"Buy",Transactions!$F$3:$F149,"Crypto",Transactions!$D$3:$D149,AH65)
+SUMIFS(Transactions!$I$3:$I149,Transactions!$H$3:$H149,"Crypto Interest",Transactions!$F$3:$F149,"Crypto",Transactions!$D$3:$D149,AH65)
+SUMIFS(Transactions!$I$3:$I149,Transactions!$H$3:$H149,"Transfer Deposit",Transactions!$F$3:$F149,"Crypto",Transactions!$D$3:$D149,AH65)
-SUMIFS(Transactions!$I$3:$I149,Transactions!$H$3:$H149,"Transfer Send",Transactions!$F$3:$F149,"Crypto",Transactions!$D$3:$D149,AH65)
-SUMIFS(Transactions!$I$3:$I149,Transactions!$H$3:$H149,"Sell",Transactions!$F$3:$F149,"Crypto",Transactions!$D$3:$D149,AH65)
+SUMIFS(Transactions!$I$3:$I149,Transactions!$H$3:$H149,"Buy",Transactions!$F$3:$F149,"Stablecoin",Transactions!$D$3:$D149,AH65)
+SUMIFS(Transactions!$I$3:$I149,Transactions!$H$3:$H149,"Crypto Interest",Transactions!$F$3:$F149,"Stablecoin",Transactions!$D$3:$D149,AH65)
+SUMIFS(Transactions!$I$3:$I149,Transactions!$H$3:$H149,"Transfer Deposit",Transactions!$F$3:$F149,"Stablecoin",Transactions!$D$3:$D149,AH65)
-SUMIFS(Transactions!$I$3:$I149,Transactions!$H$3:$H149,"Transfer Send",Transactions!$F$3:$F149,"Stablecoin",Transactions!$D$3:$D149,AH65)
-SUMIFS(Transactions!$I$3:$I149,Transactions!$H$3:$H149,"Sell",Transactions!$F$3:$F149,"Stablecoin",Transactions!$D$3:$D149,AH65)
-SUMIFS(Transactions!$M$3:$M149,Transactions!$H$3:$H149,"Buy",Transactions!$B$3:$B149,AH65)=0,"Sold All",
SUMIFS(Transactions!$I$3:$I149,Transactions!$H$3:$H149,"Buy",Transactions!$F$3:$F149,"Stock",Transactions!$D$3:$D149,AH65)
+SUMIFS(Transactions!$I$3:$I149,Transactions!$H$3:$H149,"DRIP",Transactions!$F$3:$F149,"Stock",Transactions!$D$3:$D149,AH65)
+SUMIFS(Transactions!$I$3:$I149,Transactions!$H$3:$H149,"Transfer Deposit",Transactions!$F$3:$F149,"Stock",Transactions!$D$3:$D149,AH65)
+SUMIFS(Transactions!$I$3:$I149,Transactions!$H$3:$H149,"Buy",Transactions!$F$3:$F149,"ETF",Transactions!$D$3:$D149,AH65)
+SUMIFS(Transactions!$I$3:$I149,Transactions!$H$3:$H149,"DRIP",Transactions!$F$3:$F149,"ETF",Transactions!$D$3:$D149,AH65)
+SUMIFS(Transactions!$I$3:$I149,Transactions!$H$3:$H149,"Transfer Deposit",Transactions!$F$3:$F149,"ETF",Transactions!$D$3:$D149,AH65)
+SUMIFS(Transactions!$I$3:$I149,Transactions!$H$3:$H149,"Buy",Transactions!$F$3:$F149,"Commodity",Transactions!$D$3:$D149,AH65)
+SUMIFS(Transactions!$I$3:$I149,Transactions!$H$3:$H149,"DRIP",Transactions!$F$3:$F149,"Commodity",Transactions!$D$3:$D149,AH65)
+SUMIFS(Transactions!$I$3:$I149,Transactions!$H$3:$H149,"Transfer Deposit",Transactions!$F$3:$F149,"Commodity",Transactions!$D$3:$D149,AH65)
+SUMIFS(Transactions!$I$3:$I149,Transactions!$H$3:$H149,"Buy",Transactions!$F$3:$F149,"Managed Fund",Transactions!$D$3:$D149,AH65)
+SUMIFS(Transactions!$I$3:$I149,Transactions!$H$3:$H149,"DRIP",Transactions!$F$3:$F149,"Managed Fund",Transactions!$D$3:$D149,AH65)
+SUMIFS(Transactions!$I$3:$I149,Transactions!$H$3:$H149,"Transfer Deposit",Transactions!$F$3:$F149,"Managed Fund",Transactions!$D$3:$D149,AH65)
+SUMIFS(Transactions!$I$3:$I149,Transactions!$H$3:$H149,"Buy",Transactions!$F$3:$F149,"REIT",Transactions!$D$3:$D149,AH65)
+SUMIFS(Transactions!$I$3:$I149,Transactions!$H$3:$H149,"DRIP",Transactions!$F$3:$F149,"REIT",Transactions!$D$3:$D149,AH65)
+SUMIFS(Transactions!$I$3:$I149,Transactions!$H$3:$H149,"Transfer Deposit",Transactions!$F$3:$F149,"REIT",Transactions!$D$3:$D149,AH65)
-SUMIFS(Transactions!$I$3:$I149,Transactions!$H$3:$H149,"Sell",Transactions!$F$3:$F149,"Stock",Transactions!$D$3:$D149,AH65)
-SUMIFS(Transactions!$I$3:$I149,Transactions!$H$3:$H149,"Transfer Send",Transactions!$F$3:$F149,"Stock",Transactions!$D$3:$D149,AH65)
-SUMIFS(Transactions!$I$3:$I149,Transactions!$H$3:$H149,"Sell",Transactions!$F$3:$F149,"ETF",Transactions!$D$3:$D149,AH65)
-SUMIFS(Transactions!$I$3:$I149,Transactions!$H$3:$H149,"Transfer Send",Transactions!$F$3:$F149,"ETF",Transactions!$D$3:$D149,AH65)
-SUMIFS(Transactions!$I$3:$I149,Transactions!$H$3:$H149,"Sell",Transactions!$F$3:$F149,"Commodity",Transactions!$D$3:$D149,AH65)
-SUMIFS(Transactions!$I$3:$I149,Transactions!$H$3:$H149,"Transfer Send",Transactions!$F$3:$F149,"Commodity",Transactions!$D$3:$D149,AH65)
-SUMIFS(Transactions!$I$3:$I149,Transactions!$H$3:$H149,"Sell",Transactions!$F$3:$F149,"Managed Fund",Transactions!$D$3:$D149,AH65)
-SUMIFS(Transactions!$I$3:$I149,Transactions!$H$3:$H149,"Transfer Send",Transactions!$F$3:$F149,"Managed Fund",Transactions!$D$3:$D149,AH65)
-SUMIFS(Transactions!$I$3:$I149,Transactions!$H$3:$H149,"Sell",Transactions!$F$3:$F149,"REIT",Transactions!$D$3:$D149,AH65)
-SUMIFS(Transactions!$I$3:$I149,Transactions!$H$3:$H149,"Transfer Send",Transactions!$F$3:$F149,"REIT",Transactions!$D$3:$D149,AH65)
+SUMIFS(Transactions!$I$3:$I149,Transactions!$H$3:$H149,"Buy",Transactions!$F$3:$F149,"Crypto",Transactions!$D$3:$D149,AH65)
+SUMIFS(Transactions!$I$3:$I149,Transactions!$H$3:$H149,"Crypto Interest",Transactions!$F$3:$F149,"Crypto",Transactions!$D$3:$D149,AH65)
+SUMIFS(Transactions!$I$3:$I149,Transactions!$H$3:$H149,"Transfer Deposit",Transactions!$F$3:$F149,"Crypto",Transactions!$D$3:$D149,AH65)
-SUMIFS(Transactions!$I$3:$I149,Transactions!$H$3:$H149,"Transfer Send",Transactions!$F$3:$F149,"Crypto",Transactions!$D$3:$D149,AH65)
-SUMIFS(Transactions!$I$3:$I149,Transactions!$H$3:$H149,"Sell",Transactions!$F$3:$F149,"Crypto",Transactions!$D$3:$D149,AH65)
+SUMIFS(Transactions!$I$3:$I149,Transactions!$H$3:$H149,"Buy",Transactions!$F$3:$F149,"Stablecoin",Transactions!$D$3:$D149,AH65)
+SUMIFS(Transactions!$I$3:$I149,Transactions!$H$3:$H149,"Crypto Interest",Transactions!$F$3:$F149,"Stablecoin",Transactions!$D$3:$D149,AH65)
+SUMIFS(Transactions!$I$3:$I149,Transactions!$H$3:$H149,"Transfer Deposit",Transactions!$F$3:$F149,"Stablecoin",Transactions!$D$3:$D149,AH65)
-SUMIFS(Transactions!$I$3:$I149,Transactions!$H$3:$H149,"Transfer Send",Transactions!$F$3:$F149,"Stablecoin",Transactions!$D$3:$D149,AH65)
-SUMIFS(Transactions!$I$3:$I149,Transactions!$H$3:$H149,"Sell",Transactions!$F$3:$F149,"Stablecoin",Transactions!$D$3:$D149,AH65)
-SUMIFS(Transactions!$M$3:$M149,Transactions!$H$3:$H149,"Buy",Transactions!$B$3:$B149,AH65)))</f>
        <v/>
      </c>
      <c r="AJ65" s="181" t="str">
        <f>IFERROR(__xludf.DUMMYFUNCTION("IF(ISBLANK(AH65),"""",VLOOKUP(9^99,FILTER({ROW(Transactions!P:P),Transactions!P:P},Transactions!D:D=AH65),2))"),"")</f>
        <v/>
      </c>
      <c r="AK65" s="181" t="str">
        <f>IFERROR(__xludf.DUMMYFUNCTION("IF(ISBLANK(AH65),"""",IFERROR(GOOGLEFINANCE(AH65,""price""),IFERROR(GOOGLEFINANCE(""CURRENCY:""&amp;AH65&amp;""""),IFERROR(INDEX(YAHOO_STOCK(TRIM(AH65), $G$2),0,1),INDEX(IMPORTHTML(CONCAT(""https://coinmarketcap.com/currencies/"",AG65),""table"",1),1,2)))))"),"")</f>
        <v/>
      </c>
      <c r="AL65" s="14" t="str">
        <f>IFERROR(__xludf.DUMMYFUNCTION("IF(ISBLANK(AH65),"""",IFERROR(SPARKLINE(INDEX(GOOGLEFINANCE(AH65,""price"",TODAY()-$AL$2,TODAY()),,2),{""charttype"",""column"";""color"",""17a7e0""}),""""))"),"")</f>
        <v/>
      </c>
      <c r="AM65" s="50" t="str">
        <f>IFERROR(__xludf.DUMMYFUNCTION("IFNA(IFERROR(IF(AH65="""","""",GOOGLEFINANCE(AH65,""changepct"")/100),(GOOGLEFINANCE(AH65)-(INDEX(GOOGLEFINANCE(""CURRENCY:""&amp;AH65&amp;"""",""price"",TODAY()-1),2,2)))/(INDEX(GOOGLEFINANCE(""CURRENCY:""&amp;AH65&amp;"""",""price"",TODAY()-1),2,2))),)"),"")</f>
        <v/>
      </c>
      <c r="AN65" s="96" t="str">
        <f>IFERROR(__xludf.DUMMYFUNCTION("IFNA(IFERROR(IF(AH65="""","""",GOOGLEFINANCE(AH65,""change"")*AI65),(GOOGLEFINANCE(AH65)-(INDEX(GOOGLEFINANCE(""CURRENCY:""&amp;AH65&amp;"""",""price"",TODAY()-1),2,2)))*AI65),"""")"),"")</f>
        <v/>
      </c>
      <c r="AO65" s="96" t="str">
        <f>IF(ISBLANK(AH65),"",IFERROR(((AI65-SUMIFS(Transactions!I:I,Transactions!H:H,"Crypto Interest",Transactions!D:D,AH65))*AJ65),""))</f>
        <v/>
      </c>
      <c r="AP65" s="96" t="str">
        <f t="shared" si="16"/>
        <v/>
      </c>
      <c r="AQ65" s="50" t="str">
        <f t="shared" si="17"/>
        <v/>
      </c>
      <c r="AR65" s="96" t="str">
        <f t="shared" si="18"/>
        <v/>
      </c>
      <c r="AS65" s="96" t="str">
        <f>IF(ISBLANK(AH65),"",SUMIFS(Transactions!$X$3:$X149,Transactions!$H$3:$H149,"Sell",Transactions!$D$3:$D149,AH65))</f>
        <v/>
      </c>
      <c r="AT65" s="96" t="str">
        <f t="shared" si="19"/>
        <v/>
      </c>
      <c r="AU65" s="50" t="str">
        <f>IFERROR(__xludf.DUMMYFUNCTION("IF(ISBLANK(AH65),"""",IFERROR((GOOGLEFINANCE(AH65,""price"")/INDEX(GOOGLEFINANCE(AH65,""price"",DATEVALUE(TODAY()-$AU$2) ),2,2)-1),""""))"),"")</f>
        <v/>
      </c>
      <c r="AW65" s="50" t="str">
        <f>IFERROR(__xludf.DUMMYFUNCTION("IF(ISBLANK(AH65),"""",IFERROR((GOOGLEFINANCE($AW$2,""price"")/INDEX(GOOGLEFINANCE($AW$2,""price"",DATEVALUE(TODAY()-$AU$2) ),2,2)-1),""""))"),"")</f>
        <v/>
      </c>
      <c r="AY65" s="50" t="str">
        <f t="shared" si="20"/>
        <v/>
      </c>
      <c r="AZ65" s="50" t="str">
        <f t="shared" si="21"/>
        <v/>
      </c>
      <c r="BA65" s="50">
        <f t="shared" si="22"/>
        <v>0</v>
      </c>
      <c r="BB65" s="14" t="str">
        <f t="shared" si="23"/>
        <v/>
      </c>
      <c r="BC65" s="14" t="str">
        <f>IF(ISBLANK(AH65),"",IFERROR(VLOOKUP(AH65,Transactions!D:F,3,0)))</f>
        <v/>
      </c>
      <c r="BD65" s="50" t="str">
        <f t="shared" si="24"/>
        <v/>
      </c>
      <c r="BE65" s="50" t="str">
        <f t="shared" si="25"/>
        <v/>
      </c>
      <c r="BF65" s="14" t="str">
        <f t="shared" si="26"/>
        <v/>
      </c>
      <c r="BG65" s="180" t="str">
        <f>IF(ISBLANK(AH65),"",IFERROR(VLOOKUP(AH65,Transactions!D:G,4,0)))</f>
        <v/>
      </c>
    </row>
    <row r="66">
      <c r="A66" s="14" t="str">
        <f t="shared" ref="A66:C66" si="89">AG66</f>
        <v/>
      </c>
      <c r="B66" s="14" t="str">
        <f t="shared" si="89"/>
        <v/>
      </c>
      <c r="C66" s="175" t="str">
        <f t="shared" si="89"/>
        <v/>
      </c>
      <c r="D66" s="176" t="str">
        <f>IFERROR(__xludf.DUMMYFUNCTION("IF(ISBLANK(B66),"""",IFERROR(IF(OR(AF66=""GPB"",AF66=""ZAR""),IF(AF66=Dashboard!$L$1,AJ66,(AJ66*GOOGLEFINANCE(""CURRENCY:""&amp;AF66&amp;""""&amp;Dashboard!$L$1&amp;""""))/100),IF(AF66=Dashboard!$L$1,AJ66,AJ66*GOOGLEFINANCE(""CURRENCY:""&amp;AF66&amp;""""&amp;Dashboard!$L$1&amp;""""))),"&amp;"AJ66))"),"")</f>
        <v/>
      </c>
      <c r="E66" s="177" t="str">
        <f>IFERROR(__xludf.DUMMYFUNCTION("IFERROR(IF(OR(AF66=""GBP"",AF66=""ZAR""),IF(B66="""","""",IF(AF66=Dashboard!$L$1,AK66,AK66*GOOGLEFINANCE(""CURRENCY:""&amp;AF66&amp;""""&amp;Dashboard!$L$1&amp;"""")))/100,If(B66="""","""",IF(AF66=Dashboard!$L$1,AK66,AK66*GOOGLEFINANCE(""CURRENCY:""&amp;AF66&amp;""""&amp;Dashboard!$"&amp;"L$1&amp;"""")))),AK66)"),"")</f>
        <v/>
      </c>
      <c r="F66" s="145" t="str">
        <f t="shared" si="65"/>
        <v/>
      </c>
      <c r="G66" s="96" t="str">
        <f>IFERROR(__xludf.DUMMYFUNCTION("IF(ISBLANK(B66),"""",IFERROR(SPARKLINE(INDEX(GOOGLEFINANCE(B66,""price"",TODAY()-$G$2,TODAY()),,2),{""charttype"",""column"";""color"",""17a7e0""}),""""))"),"")</f>
        <v/>
      </c>
      <c r="H66" s="50" t="str">
        <f t="shared" si="3"/>
        <v/>
      </c>
      <c r="I66" s="96" t="str">
        <f>IFERROR(__xludf.DUMMYFUNCTION("IF(ISBLANK(B66),"""",IFERROR(IF(OR(AF66=""GPB"",AF66=""ZAR""),IF(AF66=Dashboard!$L$1,AN66,(AN66*GOOGLEFINANCE(""CURRENCY:""&amp;AF66&amp;""""&amp;Dashboard!$L$1&amp;""""))/100),IF(AF66=Dashboard!$L$1,AN66,AN66*GOOGLEFINANCE(""CURRENCY:""&amp;AF66&amp;""""&amp;Dashboard!$L$1&amp;""""))),"&amp;"AN66))"),"")</f>
        <v/>
      </c>
      <c r="J66" s="178" t="str">
        <f>IF(ISBLANK(B66),"",IFERROR(((C66-SUMIFS(Transactions!I:I,Transactions!H:H,"Crypto Interest",Transactions!D:D,B66))*D66),""))</f>
        <v/>
      </c>
      <c r="K66" s="178" t="str">
        <f t="shared" si="4"/>
        <v/>
      </c>
      <c r="L66" s="145">
        <f>IF(ISBLANK(AF66),"",SUMIFS(Transactions!$M$3:$M149,Transactions!$H$3:$H149,"Buy",Transactions!$D$3:$D149,AF66))</f>
        <v>0</v>
      </c>
      <c r="M66" s="145">
        <f>IF(ISBLANK(AG66),"",SUMIFS(Transactions!$M$3:$M149,Transactions!$H$3:$H149,"Dividend",Transactions!$D$3:$D149,AG66))</f>
        <v>0</v>
      </c>
      <c r="N66" s="145" t="str">
        <f>IF(ISBLANK(AH66),"",SUMIFS(Transactions!$M$3:$M149,Transactions!$H$3:$H149,"Sell",Transactions!$D$3:$D149,AH66))</f>
        <v/>
      </c>
      <c r="O66" s="50" t="str">
        <f t="shared" si="5"/>
        <v/>
      </c>
      <c r="P66" s="178" t="str">
        <f t="shared" si="6"/>
        <v/>
      </c>
      <c r="Q66" s="178" t="str">
        <f>IFERROR(__xludf.DUMMYFUNCTION("IF(ISBLANK(B66),"""",IFERROR(IF(OR(AF66=""GPB"",AF66=""ZAR""),IF(AF66=Dashboard!$L$1,AS66,(AS66*GOOGLEFINANCE(""CURRENCY:""&amp;AF66&amp;""""&amp;Dashboard!$L$1&amp;""""))/100),IF(AF66=Dashboard!$L$1,AS66,AS66*GOOGLEFINANCE(""CURRENCY:""&amp;AF66&amp;""""&amp;Dashboard!$L$1&amp;""""))),"&amp;"AS66))"),"")</f>
        <v/>
      </c>
      <c r="R66" s="178" t="str">
        <f t="shared" si="7"/>
        <v/>
      </c>
      <c r="S66" s="50" t="str">
        <f>IFERROR(__xludf.DUMMYFUNCTION("IF(ISBLANK(B66),"""",IFERROR((GOOGLEFINANCE(B66,""price"")/INDEX(GOOGLEFINANCE(B66,""price"",DATEVALUE(TODAY()-$S$2) ),2,2)-1),""""))"),"")</f>
        <v/>
      </c>
      <c r="U66" s="50" t="str">
        <f>IFERROR(__xludf.DUMMYFUNCTION("IF(ISBLANK(B66),"""",IFERROR((GOOGLEFINANCE($U$2,""price"")/INDEX(GOOGLEFINANCE($U$2,""price"",DATEVALUE(TODAY()-$S$2) ),2,2)-1),""""))"),"")</f>
        <v/>
      </c>
      <c r="W66" s="50" t="str">
        <f t="shared" si="8"/>
        <v/>
      </c>
      <c r="X66" s="50" t="str">
        <f t="shared" si="9"/>
        <v/>
      </c>
      <c r="Y66" s="179">
        <v>0.0</v>
      </c>
      <c r="Z66" s="50" t="str">
        <f t="shared" si="10"/>
        <v/>
      </c>
      <c r="AA66" s="14" t="str">
        <f t="shared" si="11"/>
        <v/>
      </c>
      <c r="AB66" s="50" t="str">
        <f t="shared" si="12"/>
        <v/>
      </c>
      <c r="AC66" s="179" t="str">
        <f t="shared" si="13"/>
        <v/>
      </c>
      <c r="AD66" s="50" t="str">
        <f t="shared" si="14"/>
        <v/>
      </c>
      <c r="AE66" s="180" t="str">
        <f t="shared" si="15"/>
        <v/>
      </c>
      <c r="AF66" s="14" t="str">
        <f t="array" ref="AF66">IFERROR(IF(ISBLANK(AH66),"",IF(VLOOKUP(AH66,Transactions!D:F,3,0)="Stablecoin",AH66,INDEX(Transactions!$B$3:$B149,MATCH(AH66,Transactions!$D$3:$D149,0),0))))</f>
        <v/>
      </c>
      <c r="AG66" s="14" t="str">
        <f>IF(ISBLANK(AH66),"",VLOOKUP(AH66,Transactions!D:E,2,0))</f>
        <v/>
      </c>
      <c r="AH66" s="14"/>
      <c r="AI66" s="146" t="str">
        <f>IF(ISBLANK(AH66),"",IF(
SUMIFS(Transactions!$I$3:$I149,Transactions!$H$3:$H149,"Buy",Transactions!$F$3:$F149,"Stock",Transactions!$D$3:$D149,AH66)
+SUMIFS(Transactions!$I$3:$I149,Transactions!$H$3:$H149,"DRIP",Transactions!$F$3:$F149,"Stock",Transactions!$D$3:$D149,AH66)
+SUMIFS(Transactions!$I$3:$I149,Transactions!$H$3:$H149,"Transfer Deposit",Transactions!$F$3:$F149,"Stock",Transactions!$D$3:$D149,AH66)
+SUMIFS(Transactions!$I$3:$I149,Transactions!$H$3:$H149,"Buy",Transactions!$F$3:$F149,"ETF",Transactions!$D$3:$D149,AH66)
+SUMIFS(Transactions!$I$3:$I149,Transactions!$H$3:$H149,"DRIP",Transactions!$F$3:$F149,"ETF",Transactions!$D$3:$D149,AH66)
+SUMIFS(Transactions!$I$3:$I149,Transactions!$H$3:$H149,"Transfer Deposit",Transactions!$F$3:$F149,"ETF",Transactions!$D$3:$D149,AH66)
+SUMIFS(Transactions!$I$3:$I149,Transactions!$H$3:$H149,"Buy",Transactions!$F$3:$F149,"Commodity",Transactions!$D$3:$D149,AH66)
+SUMIFS(Transactions!$I$3:$I149,Transactions!$H$3:$H149,"DRIP",Transactions!$F$3:$F149,"Commodity",Transactions!$D$3:$D149,AH66)
+SUMIFS(Transactions!$I$3:$I149,Transactions!$H$3:$H149,"Transfer Deposit",Transactions!$F$3:$F149,"Commodity",Transactions!$D$3:$D149,AH66)
+SUMIFS(Transactions!$I$3:$I149,Transactions!$H$3:$H149,"Buy",Transactions!$F$3:$F149,"Managed Fund",Transactions!$D$3:$D149,AH66)
+SUMIFS(Transactions!$I$3:$I149,Transactions!$H$3:$H149,"DRIP",Transactions!$F$3:$F149,"Managed Fund",Transactions!$D$3:$D149,AH66)
+SUMIFS(Transactions!$I$3:$I149,Transactions!$H$3:$H149,"Transfer Deposit",Transactions!$F$3:$F149,"Managed Fund",Transactions!$D$3:$D149,AH66)
+SUMIFS(Transactions!$I$3:$I149,Transactions!$H$3:$H149,"Buy",Transactions!$F$3:$F149,"REIT",Transactions!$D$3:$D149,AH66)
+SUMIFS(Transactions!$I$3:$I149,Transactions!$H$3:$H149,"DRIP",Transactions!$F$3:$F149,"REIT",Transactions!$D$3:$D149,AH66)
+SUMIFS(Transactions!$I$3:$I149,Transactions!$H$3:$H149,"Transfer Deposit",Transactions!$F$3:$F149,"REIT",Transactions!$D$3:$D149,AH66)
-SUMIFS(Transactions!$I$3:$I149,Transactions!$H$3:$H149,"Sell",Transactions!$F$3:$F149,"Stock",Transactions!$D$3:$D149,AH66)
-SUMIFS(Transactions!$I$3:$I149,Transactions!$H$3:$H149,"Transfer Send",Transactions!$F$3:$F149,"Stock",Transactions!$D$3:$D149,AH66)
-SUMIFS(Transactions!$I$3:$I149,Transactions!$H$3:$H149,"Sell",Transactions!$F$3:$F149,"ETF",Transactions!$D$3:$D149,AH66)
-SUMIFS(Transactions!$I$3:$I149,Transactions!$H$3:$H149,"Transfer Send",Transactions!$F$3:$F149,"ETF",Transactions!$D$3:$D149,AH66)
-SUMIFS(Transactions!$I$3:$I149,Transactions!$H$3:$H149,"Sell",Transactions!$F$3:$F149,"Commodity",Transactions!$D$3:$D149,AH66)
-SUMIFS(Transactions!$I$3:$I149,Transactions!$H$3:$H149,"Transfer Send",Transactions!$F$3:$F149,"Commodity",Transactions!$D$3:$D149,AH66)
-SUMIFS(Transactions!$I$3:$I149,Transactions!$H$3:$H149,"Sell",Transactions!$F$3:$F149,"Managed Fund",Transactions!$D$3:$D149,AH66)
-SUMIFS(Transactions!$I$3:$I149,Transactions!$H$3:$H149,"Transfer Send",Transactions!$F$3:$F149,"Managed Fund",Transactions!$D$3:$D149,AH66)
-SUMIFS(Transactions!$I$3:$I149,Transactions!$H$3:$H149,"Sell",Transactions!$F$3:$F149,"REIT",Transactions!$D$3:$D149,AH66)
-SUMIFS(Transactions!$I$3:$I149,Transactions!$H$3:$H149,"Transfer Send",Transactions!$F$3:$F149,"REIT",Transactions!$D$3:$D149,AH66)
+SUMIFS(Transactions!$I$3:$I149,Transactions!$H$3:$H149,"Buy",Transactions!$F$3:$F149,"Crypto",Transactions!$D$3:$D149,AH66)
+SUMIFS(Transactions!$I$3:$I149,Transactions!$H$3:$H149,"Crypto Interest",Transactions!$F$3:$F149,"Crypto",Transactions!$D$3:$D149,AH66)
+SUMIFS(Transactions!$I$3:$I149,Transactions!$H$3:$H149,"Transfer Deposit",Transactions!$F$3:$F149,"Crypto",Transactions!$D$3:$D149,AH66)
-SUMIFS(Transactions!$I$3:$I149,Transactions!$H$3:$H149,"Transfer Send",Transactions!$F$3:$F149,"Crypto",Transactions!$D$3:$D149,AH66)
-SUMIFS(Transactions!$I$3:$I149,Transactions!$H$3:$H149,"Sell",Transactions!$F$3:$F149,"Crypto",Transactions!$D$3:$D149,AH66)
+SUMIFS(Transactions!$I$3:$I149,Transactions!$H$3:$H149,"Buy",Transactions!$F$3:$F149,"Stablecoin",Transactions!$D$3:$D149,AH66)
+SUMIFS(Transactions!$I$3:$I149,Transactions!$H$3:$H149,"Crypto Interest",Transactions!$F$3:$F149,"Stablecoin",Transactions!$D$3:$D149,AH66)
+SUMIFS(Transactions!$I$3:$I149,Transactions!$H$3:$H149,"Transfer Deposit",Transactions!$F$3:$F149,"Stablecoin",Transactions!$D$3:$D149,AH66)
-SUMIFS(Transactions!$I$3:$I149,Transactions!$H$3:$H149,"Transfer Send",Transactions!$F$3:$F149,"Stablecoin",Transactions!$D$3:$D149,AH66)
-SUMIFS(Transactions!$I$3:$I149,Transactions!$H$3:$H149,"Sell",Transactions!$F$3:$F149,"Stablecoin",Transactions!$D$3:$D149,AH66)
-SUMIFS(Transactions!$M$3:$M149,Transactions!$H$3:$H149,"Buy",Transactions!$B$3:$B149,AH66)=0,"Sold All",
SUMIFS(Transactions!$I$3:$I149,Transactions!$H$3:$H149,"Buy",Transactions!$F$3:$F149,"Stock",Transactions!$D$3:$D149,AH66)
+SUMIFS(Transactions!$I$3:$I149,Transactions!$H$3:$H149,"DRIP",Transactions!$F$3:$F149,"Stock",Transactions!$D$3:$D149,AH66)
+SUMIFS(Transactions!$I$3:$I149,Transactions!$H$3:$H149,"Transfer Deposit",Transactions!$F$3:$F149,"Stock",Transactions!$D$3:$D149,AH66)
+SUMIFS(Transactions!$I$3:$I149,Transactions!$H$3:$H149,"Buy",Transactions!$F$3:$F149,"ETF",Transactions!$D$3:$D149,AH66)
+SUMIFS(Transactions!$I$3:$I149,Transactions!$H$3:$H149,"DRIP",Transactions!$F$3:$F149,"ETF",Transactions!$D$3:$D149,AH66)
+SUMIFS(Transactions!$I$3:$I149,Transactions!$H$3:$H149,"Transfer Deposit",Transactions!$F$3:$F149,"ETF",Transactions!$D$3:$D149,AH66)
+SUMIFS(Transactions!$I$3:$I149,Transactions!$H$3:$H149,"Buy",Transactions!$F$3:$F149,"Commodity",Transactions!$D$3:$D149,AH66)
+SUMIFS(Transactions!$I$3:$I149,Transactions!$H$3:$H149,"DRIP",Transactions!$F$3:$F149,"Commodity",Transactions!$D$3:$D149,AH66)
+SUMIFS(Transactions!$I$3:$I149,Transactions!$H$3:$H149,"Transfer Deposit",Transactions!$F$3:$F149,"Commodity",Transactions!$D$3:$D149,AH66)
+SUMIFS(Transactions!$I$3:$I149,Transactions!$H$3:$H149,"Buy",Transactions!$F$3:$F149,"Managed Fund",Transactions!$D$3:$D149,AH66)
+SUMIFS(Transactions!$I$3:$I149,Transactions!$H$3:$H149,"DRIP",Transactions!$F$3:$F149,"Managed Fund",Transactions!$D$3:$D149,AH66)
+SUMIFS(Transactions!$I$3:$I149,Transactions!$H$3:$H149,"Transfer Deposit",Transactions!$F$3:$F149,"Managed Fund",Transactions!$D$3:$D149,AH66)
+SUMIFS(Transactions!$I$3:$I149,Transactions!$H$3:$H149,"Buy",Transactions!$F$3:$F149,"REIT",Transactions!$D$3:$D149,AH66)
+SUMIFS(Transactions!$I$3:$I149,Transactions!$H$3:$H149,"DRIP",Transactions!$F$3:$F149,"REIT",Transactions!$D$3:$D149,AH66)
+SUMIFS(Transactions!$I$3:$I149,Transactions!$H$3:$H149,"Transfer Deposit",Transactions!$F$3:$F149,"REIT",Transactions!$D$3:$D149,AH66)
-SUMIFS(Transactions!$I$3:$I149,Transactions!$H$3:$H149,"Sell",Transactions!$F$3:$F149,"Stock",Transactions!$D$3:$D149,AH66)
-SUMIFS(Transactions!$I$3:$I149,Transactions!$H$3:$H149,"Transfer Send",Transactions!$F$3:$F149,"Stock",Transactions!$D$3:$D149,AH66)
-SUMIFS(Transactions!$I$3:$I149,Transactions!$H$3:$H149,"Sell",Transactions!$F$3:$F149,"ETF",Transactions!$D$3:$D149,AH66)
-SUMIFS(Transactions!$I$3:$I149,Transactions!$H$3:$H149,"Transfer Send",Transactions!$F$3:$F149,"ETF",Transactions!$D$3:$D149,AH66)
-SUMIFS(Transactions!$I$3:$I149,Transactions!$H$3:$H149,"Sell",Transactions!$F$3:$F149,"Commodity",Transactions!$D$3:$D149,AH66)
-SUMIFS(Transactions!$I$3:$I149,Transactions!$H$3:$H149,"Transfer Send",Transactions!$F$3:$F149,"Commodity",Transactions!$D$3:$D149,AH66)
-SUMIFS(Transactions!$I$3:$I149,Transactions!$H$3:$H149,"Sell",Transactions!$F$3:$F149,"Managed Fund",Transactions!$D$3:$D149,AH66)
-SUMIFS(Transactions!$I$3:$I149,Transactions!$H$3:$H149,"Transfer Send",Transactions!$F$3:$F149,"Managed Fund",Transactions!$D$3:$D149,AH66)
-SUMIFS(Transactions!$I$3:$I149,Transactions!$H$3:$H149,"Sell",Transactions!$F$3:$F149,"REIT",Transactions!$D$3:$D149,AH66)
-SUMIFS(Transactions!$I$3:$I149,Transactions!$H$3:$H149,"Transfer Send",Transactions!$F$3:$F149,"REIT",Transactions!$D$3:$D149,AH66)
+SUMIFS(Transactions!$I$3:$I149,Transactions!$H$3:$H149,"Buy",Transactions!$F$3:$F149,"Crypto",Transactions!$D$3:$D149,AH66)
+SUMIFS(Transactions!$I$3:$I149,Transactions!$H$3:$H149,"Crypto Interest",Transactions!$F$3:$F149,"Crypto",Transactions!$D$3:$D149,AH66)
+SUMIFS(Transactions!$I$3:$I149,Transactions!$H$3:$H149,"Transfer Deposit",Transactions!$F$3:$F149,"Crypto",Transactions!$D$3:$D149,AH66)
-SUMIFS(Transactions!$I$3:$I149,Transactions!$H$3:$H149,"Transfer Send",Transactions!$F$3:$F149,"Crypto",Transactions!$D$3:$D149,AH66)
-SUMIFS(Transactions!$I$3:$I149,Transactions!$H$3:$H149,"Sell",Transactions!$F$3:$F149,"Crypto",Transactions!$D$3:$D149,AH66)
+SUMIFS(Transactions!$I$3:$I149,Transactions!$H$3:$H149,"Buy",Transactions!$F$3:$F149,"Stablecoin",Transactions!$D$3:$D149,AH66)
+SUMIFS(Transactions!$I$3:$I149,Transactions!$H$3:$H149,"Crypto Interest",Transactions!$F$3:$F149,"Stablecoin",Transactions!$D$3:$D149,AH66)
+SUMIFS(Transactions!$I$3:$I149,Transactions!$H$3:$H149,"Transfer Deposit",Transactions!$F$3:$F149,"Stablecoin",Transactions!$D$3:$D149,AH66)
-SUMIFS(Transactions!$I$3:$I149,Transactions!$H$3:$H149,"Transfer Send",Transactions!$F$3:$F149,"Stablecoin",Transactions!$D$3:$D149,AH66)
-SUMIFS(Transactions!$I$3:$I149,Transactions!$H$3:$H149,"Sell",Transactions!$F$3:$F149,"Stablecoin",Transactions!$D$3:$D149,AH66)
-SUMIFS(Transactions!$M$3:$M149,Transactions!$H$3:$H149,"Buy",Transactions!$B$3:$B149,AH66)))</f>
        <v/>
      </c>
      <c r="AJ66" s="181" t="str">
        <f>IFERROR(__xludf.DUMMYFUNCTION("IF(ISBLANK(AH66),"""",VLOOKUP(9^99,FILTER({ROW(Transactions!P:P),Transactions!P:P},Transactions!D:D=AH66),2))"),"")</f>
        <v/>
      </c>
      <c r="AK66" s="181" t="str">
        <f>IFERROR(__xludf.DUMMYFUNCTION("IF(ISBLANK(AH66),"""",IFERROR(GOOGLEFINANCE(AH66,""price""),IFERROR(GOOGLEFINANCE(""CURRENCY:""&amp;AH66&amp;""""),IFERROR(INDEX(YAHOO_STOCK(TRIM(AH66), $G$2),0,1),INDEX(IMPORTHTML(CONCAT(""https://coinmarketcap.com/currencies/"",AG66),""table"",1),1,2)))))"),"")</f>
        <v/>
      </c>
      <c r="AL66" s="14" t="str">
        <f>IFERROR(__xludf.DUMMYFUNCTION("IF(ISBLANK(AH66),"""",IFERROR(SPARKLINE(INDEX(GOOGLEFINANCE(AH66,""price"",TODAY()-$AL$2,TODAY()),,2),{""charttype"",""column"";""color"",""17a7e0""}),""""))"),"")</f>
        <v/>
      </c>
      <c r="AM66" s="50" t="str">
        <f>IFERROR(__xludf.DUMMYFUNCTION("IFNA(IFERROR(IF(AH66="""","""",GOOGLEFINANCE(AH66,""changepct"")/100),(GOOGLEFINANCE(AH66)-(INDEX(GOOGLEFINANCE(""CURRENCY:""&amp;AH66&amp;"""",""price"",TODAY()-1),2,2)))/(INDEX(GOOGLEFINANCE(""CURRENCY:""&amp;AH66&amp;"""",""price"",TODAY()-1),2,2))),)"),"")</f>
        <v/>
      </c>
      <c r="AN66" s="96" t="str">
        <f>IFERROR(__xludf.DUMMYFUNCTION("IFNA(IFERROR(IF(AH66="""","""",GOOGLEFINANCE(AH66,""change"")*AI66),(GOOGLEFINANCE(AH66)-(INDEX(GOOGLEFINANCE(""CURRENCY:""&amp;AH66&amp;"""",""price"",TODAY()-1),2,2)))*AI66),"""")"),"")</f>
        <v/>
      </c>
      <c r="AO66" s="96" t="str">
        <f>IF(ISBLANK(AH66),"",IFERROR(((AI66-SUMIFS(Transactions!I:I,Transactions!H:H,"Crypto Interest",Transactions!D:D,AH66))*AJ66),""))</f>
        <v/>
      </c>
      <c r="AP66" s="96" t="str">
        <f t="shared" si="16"/>
        <v/>
      </c>
      <c r="AQ66" s="50" t="str">
        <f t="shared" si="17"/>
        <v/>
      </c>
      <c r="AR66" s="96" t="str">
        <f t="shared" si="18"/>
        <v/>
      </c>
      <c r="AS66" s="96" t="str">
        <f>IF(ISBLANK(AH66),"",SUMIFS(Transactions!$X$3:$X149,Transactions!$H$3:$H149,"Sell",Transactions!$D$3:$D149,AH66))</f>
        <v/>
      </c>
      <c r="AT66" s="96" t="str">
        <f t="shared" si="19"/>
        <v/>
      </c>
      <c r="AU66" s="50" t="str">
        <f>IFERROR(__xludf.DUMMYFUNCTION("IF(ISBLANK(AH66),"""",IFERROR((GOOGLEFINANCE(AH66,""price"")/INDEX(GOOGLEFINANCE(AH66,""price"",DATEVALUE(TODAY()-$AU$2) ),2,2)-1),""""))"),"")</f>
        <v/>
      </c>
      <c r="AW66" s="50" t="str">
        <f>IFERROR(__xludf.DUMMYFUNCTION("IF(ISBLANK(AH66),"""",IFERROR((GOOGLEFINANCE($AW$2,""price"")/INDEX(GOOGLEFINANCE($AW$2,""price"",DATEVALUE(TODAY()-$AU$2) ),2,2)-1),""""))"),"")</f>
        <v/>
      </c>
      <c r="AY66" s="50" t="str">
        <f t="shared" si="20"/>
        <v/>
      </c>
      <c r="AZ66" s="50" t="str">
        <f t="shared" si="21"/>
        <v/>
      </c>
      <c r="BA66" s="50">
        <f t="shared" si="22"/>
        <v>0</v>
      </c>
      <c r="BB66" s="14" t="str">
        <f t="shared" si="23"/>
        <v/>
      </c>
      <c r="BC66" s="14" t="str">
        <f>IF(ISBLANK(AH66),"",IFERROR(VLOOKUP(AH66,Transactions!D:F,3,0)))</f>
        <v/>
      </c>
      <c r="BD66" s="50" t="str">
        <f t="shared" si="24"/>
        <v/>
      </c>
      <c r="BE66" s="50" t="str">
        <f t="shared" si="25"/>
        <v/>
      </c>
      <c r="BF66" s="14" t="str">
        <f t="shared" si="26"/>
        <v/>
      </c>
      <c r="BG66" s="180" t="str">
        <f>IF(ISBLANK(AH66),"",IFERROR(VLOOKUP(AH66,Transactions!D:G,4,0)))</f>
        <v/>
      </c>
    </row>
    <row r="67">
      <c r="A67" s="14" t="str">
        <f t="shared" ref="A67:C67" si="90">AG67</f>
        <v/>
      </c>
      <c r="B67" s="14" t="str">
        <f t="shared" si="90"/>
        <v/>
      </c>
      <c r="C67" s="175" t="str">
        <f t="shared" si="90"/>
        <v/>
      </c>
      <c r="D67" s="176" t="str">
        <f>IFERROR(__xludf.DUMMYFUNCTION("IF(ISBLANK(B67),"""",IFERROR(IF(OR(AF67=""GPB"",AF67=""ZAR""),IF(AF67=Dashboard!$L$1,AJ67,(AJ67*GOOGLEFINANCE(""CURRENCY:""&amp;AF67&amp;""""&amp;Dashboard!$L$1&amp;""""))/100),IF(AF67=Dashboard!$L$1,AJ67,AJ67*GOOGLEFINANCE(""CURRENCY:""&amp;AF67&amp;""""&amp;Dashboard!$L$1&amp;""""))),"&amp;"AJ67))"),"")</f>
        <v/>
      </c>
      <c r="E67" s="177" t="str">
        <f>IFERROR(__xludf.DUMMYFUNCTION("IFERROR(IF(OR(AF67=""GBP"",AF67=""ZAR""),IF(B67="""","""",IF(AF67=Dashboard!$L$1,AK67,AK67*GOOGLEFINANCE(""CURRENCY:""&amp;AF67&amp;""""&amp;Dashboard!$L$1&amp;"""")))/100,If(B67="""","""",IF(AF67=Dashboard!$L$1,AK67,AK67*GOOGLEFINANCE(""CURRENCY:""&amp;AF67&amp;""""&amp;Dashboard!$"&amp;"L$1&amp;"""")))),AK67)"),"")</f>
        <v/>
      </c>
      <c r="F67" s="145" t="str">
        <f t="shared" si="65"/>
        <v/>
      </c>
      <c r="G67" s="96" t="str">
        <f>IFERROR(__xludf.DUMMYFUNCTION("IF(ISBLANK(B67),"""",IFERROR(SPARKLINE(INDEX(GOOGLEFINANCE(B67,""price"",TODAY()-$G$2,TODAY()),,2),{""charttype"",""column"";""color"",""17a7e0""}),""""))"),"")</f>
        <v/>
      </c>
      <c r="H67" s="50" t="str">
        <f t="shared" si="3"/>
        <v/>
      </c>
      <c r="I67" s="96" t="str">
        <f>IFERROR(__xludf.DUMMYFUNCTION("IF(ISBLANK(B67),"""",IFERROR(IF(OR(AF67=""GPB"",AF67=""ZAR""),IF(AF67=Dashboard!$L$1,AN67,(AN67*GOOGLEFINANCE(""CURRENCY:""&amp;AF67&amp;""""&amp;Dashboard!$L$1&amp;""""))/100),IF(AF67=Dashboard!$L$1,AN67,AN67*GOOGLEFINANCE(""CURRENCY:""&amp;AF67&amp;""""&amp;Dashboard!$L$1&amp;""""))),"&amp;"AN67))"),"")</f>
        <v/>
      </c>
      <c r="J67" s="178" t="str">
        <f>IF(ISBLANK(B67),"",IFERROR(((C67-SUMIFS(Transactions!I:I,Transactions!H:H,"Crypto Interest",Transactions!D:D,B67))*D67),""))</f>
        <v/>
      </c>
      <c r="K67" s="178" t="str">
        <f t="shared" si="4"/>
        <v/>
      </c>
      <c r="L67" s="145">
        <f>IF(ISBLANK(AF67),"",SUMIFS(Transactions!$M$3:$M149,Transactions!$H$3:$H149,"Buy",Transactions!$D$3:$D149,AF67))</f>
        <v>0</v>
      </c>
      <c r="M67" s="145">
        <f>IF(ISBLANK(AG67),"",SUMIFS(Transactions!$M$3:$M149,Transactions!$H$3:$H149,"Dividend",Transactions!$D$3:$D149,AG67))</f>
        <v>0</v>
      </c>
      <c r="N67" s="145" t="str">
        <f>IF(ISBLANK(AH67),"",SUMIFS(Transactions!$M$3:$M149,Transactions!$H$3:$H149,"Sell",Transactions!$D$3:$D149,AH67))</f>
        <v/>
      </c>
      <c r="O67" s="50" t="str">
        <f t="shared" si="5"/>
        <v/>
      </c>
      <c r="P67" s="178" t="str">
        <f t="shared" si="6"/>
        <v/>
      </c>
      <c r="Q67" s="178" t="str">
        <f>IFERROR(__xludf.DUMMYFUNCTION("IF(ISBLANK(B67),"""",IFERROR(IF(OR(AF67=""GPB"",AF67=""ZAR""),IF(AF67=Dashboard!$L$1,AS67,(AS67*GOOGLEFINANCE(""CURRENCY:""&amp;AF67&amp;""""&amp;Dashboard!$L$1&amp;""""))/100),IF(AF67=Dashboard!$L$1,AS67,AS67*GOOGLEFINANCE(""CURRENCY:""&amp;AF67&amp;""""&amp;Dashboard!$L$1&amp;""""))),"&amp;"AS67))"),"")</f>
        <v/>
      </c>
      <c r="R67" s="178" t="str">
        <f t="shared" si="7"/>
        <v/>
      </c>
      <c r="S67" s="50" t="str">
        <f>IFERROR(__xludf.DUMMYFUNCTION("IF(ISBLANK(B67),"""",IFERROR((GOOGLEFINANCE(B67,""price"")/INDEX(GOOGLEFINANCE(B67,""price"",DATEVALUE(TODAY()-$S$2) ),2,2)-1),""""))"),"")</f>
        <v/>
      </c>
      <c r="U67" s="50" t="str">
        <f>IFERROR(__xludf.DUMMYFUNCTION("IF(ISBLANK(B67),"""",IFERROR((GOOGLEFINANCE($U$2,""price"")/INDEX(GOOGLEFINANCE($U$2,""price"",DATEVALUE(TODAY()-$S$2) ),2,2)-1),""""))"),"")</f>
        <v/>
      </c>
      <c r="W67" s="50" t="str">
        <f t="shared" si="8"/>
        <v/>
      </c>
      <c r="X67" s="50" t="str">
        <f t="shared" si="9"/>
        <v/>
      </c>
      <c r="Y67" s="179">
        <v>0.0</v>
      </c>
      <c r="Z67" s="50" t="str">
        <f t="shared" si="10"/>
        <v/>
      </c>
      <c r="AA67" s="14" t="str">
        <f t="shared" si="11"/>
        <v/>
      </c>
      <c r="AB67" s="50" t="str">
        <f t="shared" si="12"/>
        <v/>
      </c>
      <c r="AC67" s="179" t="str">
        <f t="shared" si="13"/>
        <v/>
      </c>
      <c r="AD67" s="50" t="str">
        <f t="shared" si="14"/>
        <v/>
      </c>
      <c r="AE67" s="180" t="str">
        <f t="shared" si="15"/>
        <v/>
      </c>
      <c r="AF67" s="14" t="str">
        <f t="array" ref="AF67">IFERROR(IF(ISBLANK(AH67),"",IF(VLOOKUP(AH67,Transactions!D:F,3,0)="Stablecoin",AH67,INDEX(Transactions!$B$3:$B149,MATCH(AH67,Transactions!$D$3:$D149,0),0))))</f>
        <v/>
      </c>
      <c r="AG67" s="14" t="str">
        <f>IF(ISBLANK(AH67),"",VLOOKUP(AH67,Transactions!D:E,2,0))</f>
        <v/>
      </c>
      <c r="AH67" s="14"/>
      <c r="AI67" s="146" t="str">
        <f>IF(ISBLANK(AH67),"",IF(
SUMIFS(Transactions!$I$3:$I149,Transactions!$H$3:$H149,"Buy",Transactions!$F$3:$F149,"Stock",Transactions!$D$3:$D149,AH67)
+SUMIFS(Transactions!$I$3:$I149,Transactions!$H$3:$H149,"DRIP",Transactions!$F$3:$F149,"Stock",Transactions!$D$3:$D149,AH67)
+SUMIFS(Transactions!$I$3:$I149,Transactions!$H$3:$H149,"Transfer Deposit",Transactions!$F$3:$F149,"Stock",Transactions!$D$3:$D149,AH67)
+SUMIFS(Transactions!$I$3:$I149,Transactions!$H$3:$H149,"Buy",Transactions!$F$3:$F149,"ETF",Transactions!$D$3:$D149,AH67)
+SUMIFS(Transactions!$I$3:$I149,Transactions!$H$3:$H149,"DRIP",Transactions!$F$3:$F149,"ETF",Transactions!$D$3:$D149,AH67)
+SUMIFS(Transactions!$I$3:$I149,Transactions!$H$3:$H149,"Transfer Deposit",Transactions!$F$3:$F149,"ETF",Transactions!$D$3:$D149,AH67)
+SUMIFS(Transactions!$I$3:$I149,Transactions!$H$3:$H149,"Buy",Transactions!$F$3:$F149,"Commodity",Transactions!$D$3:$D149,AH67)
+SUMIFS(Transactions!$I$3:$I149,Transactions!$H$3:$H149,"DRIP",Transactions!$F$3:$F149,"Commodity",Transactions!$D$3:$D149,AH67)
+SUMIFS(Transactions!$I$3:$I149,Transactions!$H$3:$H149,"Transfer Deposit",Transactions!$F$3:$F149,"Commodity",Transactions!$D$3:$D149,AH67)
+SUMIFS(Transactions!$I$3:$I149,Transactions!$H$3:$H149,"Buy",Transactions!$F$3:$F149,"Managed Fund",Transactions!$D$3:$D149,AH67)
+SUMIFS(Transactions!$I$3:$I149,Transactions!$H$3:$H149,"DRIP",Transactions!$F$3:$F149,"Managed Fund",Transactions!$D$3:$D149,AH67)
+SUMIFS(Transactions!$I$3:$I149,Transactions!$H$3:$H149,"Transfer Deposit",Transactions!$F$3:$F149,"Managed Fund",Transactions!$D$3:$D149,AH67)
+SUMIFS(Transactions!$I$3:$I149,Transactions!$H$3:$H149,"Buy",Transactions!$F$3:$F149,"REIT",Transactions!$D$3:$D149,AH67)
+SUMIFS(Transactions!$I$3:$I149,Transactions!$H$3:$H149,"DRIP",Transactions!$F$3:$F149,"REIT",Transactions!$D$3:$D149,AH67)
+SUMIFS(Transactions!$I$3:$I149,Transactions!$H$3:$H149,"Transfer Deposit",Transactions!$F$3:$F149,"REIT",Transactions!$D$3:$D149,AH67)
-SUMIFS(Transactions!$I$3:$I149,Transactions!$H$3:$H149,"Sell",Transactions!$F$3:$F149,"Stock",Transactions!$D$3:$D149,AH67)
-SUMIFS(Transactions!$I$3:$I149,Transactions!$H$3:$H149,"Transfer Send",Transactions!$F$3:$F149,"Stock",Transactions!$D$3:$D149,AH67)
-SUMIFS(Transactions!$I$3:$I149,Transactions!$H$3:$H149,"Sell",Transactions!$F$3:$F149,"ETF",Transactions!$D$3:$D149,AH67)
-SUMIFS(Transactions!$I$3:$I149,Transactions!$H$3:$H149,"Transfer Send",Transactions!$F$3:$F149,"ETF",Transactions!$D$3:$D149,AH67)
-SUMIFS(Transactions!$I$3:$I149,Transactions!$H$3:$H149,"Sell",Transactions!$F$3:$F149,"Commodity",Transactions!$D$3:$D149,AH67)
-SUMIFS(Transactions!$I$3:$I149,Transactions!$H$3:$H149,"Transfer Send",Transactions!$F$3:$F149,"Commodity",Transactions!$D$3:$D149,AH67)
-SUMIFS(Transactions!$I$3:$I149,Transactions!$H$3:$H149,"Sell",Transactions!$F$3:$F149,"Managed Fund",Transactions!$D$3:$D149,AH67)
-SUMIFS(Transactions!$I$3:$I149,Transactions!$H$3:$H149,"Transfer Send",Transactions!$F$3:$F149,"Managed Fund",Transactions!$D$3:$D149,AH67)
-SUMIFS(Transactions!$I$3:$I149,Transactions!$H$3:$H149,"Sell",Transactions!$F$3:$F149,"REIT",Transactions!$D$3:$D149,AH67)
-SUMIFS(Transactions!$I$3:$I149,Transactions!$H$3:$H149,"Transfer Send",Transactions!$F$3:$F149,"REIT",Transactions!$D$3:$D149,AH67)
+SUMIFS(Transactions!$I$3:$I149,Transactions!$H$3:$H149,"Buy",Transactions!$F$3:$F149,"Crypto",Transactions!$D$3:$D149,AH67)
+SUMIFS(Transactions!$I$3:$I149,Transactions!$H$3:$H149,"Crypto Interest",Transactions!$F$3:$F149,"Crypto",Transactions!$D$3:$D149,AH67)
+SUMIFS(Transactions!$I$3:$I149,Transactions!$H$3:$H149,"Transfer Deposit",Transactions!$F$3:$F149,"Crypto",Transactions!$D$3:$D149,AH67)
-SUMIFS(Transactions!$I$3:$I149,Transactions!$H$3:$H149,"Transfer Send",Transactions!$F$3:$F149,"Crypto",Transactions!$D$3:$D149,AH67)
-SUMIFS(Transactions!$I$3:$I149,Transactions!$H$3:$H149,"Sell",Transactions!$F$3:$F149,"Crypto",Transactions!$D$3:$D149,AH67)
+SUMIFS(Transactions!$I$3:$I149,Transactions!$H$3:$H149,"Buy",Transactions!$F$3:$F149,"Stablecoin",Transactions!$D$3:$D149,AH67)
+SUMIFS(Transactions!$I$3:$I149,Transactions!$H$3:$H149,"Crypto Interest",Transactions!$F$3:$F149,"Stablecoin",Transactions!$D$3:$D149,AH67)
+SUMIFS(Transactions!$I$3:$I149,Transactions!$H$3:$H149,"Transfer Deposit",Transactions!$F$3:$F149,"Stablecoin",Transactions!$D$3:$D149,AH67)
-SUMIFS(Transactions!$I$3:$I149,Transactions!$H$3:$H149,"Transfer Send",Transactions!$F$3:$F149,"Stablecoin",Transactions!$D$3:$D149,AH67)
-SUMIFS(Transactions!$I$3:$I149,Transactions!$H$3:$H149,"Sell",Transactions!$F$3:$F149,"Stablecoin",Transactions!$D$3:$D149,AH67)
-SUMIFS(Transactions!$M$3:$M149,Transactions!$H$3:$H149,"Buy",Transactions!$B$3:$B149,AH67)=0,"Sold All",
SUMIFS(Transactions!$I$3:$I149,Transactions!$H$3:$H149,"Buy",Transactions!$F$3:$F149,"Stock",Transactions!$D$3:$D149,AH67)
+SUMIFS(Transactions!$I$3:$I149,Transactions!$H$3:$H149,"DRIP",Transactions!$F$3:$F149,"Stock",Transactions!$D$3:$D149,AH67)
+SUMIFS(Transactions!$I$3:$I149,Transactions!$H$3:$H149,"Transfer Deposit",Transactions!$F$3:$F149,"Stock",Transactions!$D$3:$D149,AH67)
+SUMIFS(Transactions!$I$3:$I149,Transactions!$H$3:$H149,"Buy",Transactions!$F$3:$F149,"ETF",Transactions!$D$3:$D149,AH67)
+SUMIFS(Transactions!$I$3:$I149,Transactions!$H$3:$H149,"DRIP",Transactions!$F$3:$F149,"ETF",Transactions!$D$3:$D149,AH67)
+SUMIFS(Transactions!$I$3:$I149,Transactions!$H$3:$H149,"Transfer Deposit",Transactions!$F$3:$F149,"ETF",Transactions!$D$3:$D149,AH67)
+SUMIFS(Transactions!$I$3:$I149,Transactions!$H$3:$H149,"Buy",Transactions!$F$3:$F149,"Commodity",Transactions!$D$3:$D149,AH67)
+SUMIFS(Transactions!$I$3:$I149,Transactions!$H$3:$H149,"DRIP",Transactions!$F$3:$F149,"Commodity",Transactions!$D$3:$D149,AH67)
+SUMIFS(Transactions!$I$3:$I149,Transactions!$H$3:$H149,"Transfer Deposit",Transactions!$F$3:$F149,"Commodity",Transactions!$D$3:$D149,AH67)
+SUMIFS(Transactions!$I$3:$I149,Transactions!$H$3:$H149,"Buy",Transactions!$F$3:$F149,"Managed Fund",Transactions!$D$3:$D149,AH67)
+SUMIFS(Transactions!$I$3:$I149,Transactions!$H$3:$H149,"DRIP",Transactions!$F$3:$F149,"Managed Fund",Transactions!$D$3:$D149,AH67)
+SUMIFS(Transactions!$I$3:$I149,Transactions!$H$3:$H149,"Transfer Deposit",Transactions!$F$3:$F149,"Managed Fund",Transactions!$D$3:$D149,AH67)
+SUMIFS(Transactions!$I$3:$I149,Transactions!$H$3:$H149,"Buy",Transactions!$F$3:$F149,"REIT",Transactions!$D$3:$D149,AH67)
+SUMIFS(Transactions!$I$3:$I149,Transactions!$H$3:$H149,"DRIP",Transactions!$F$3:$F149,"REIT",Transactions!$D$3:$D149,AH67)
+SUMIFS(Transactions!$I$3:$I149,Transactions!$H$3:$H149,"Transfer Deposit",Transactions!$F$3:$F149,"REIT",Transactions!$D$3:$D149,AH67)
-SUMIFS(Transactions!$I$3:$I149,Transactions!$H$3:$H149,"Sell",Transactions!$F$3:$F149,"Stock",Transactions!$D$3:$D149,AH67)
-SUMIFS(Transactions!$I$3:$I149,Transactions!$H$3:$H149,"Transfer Send",Transactions!$F$3:$F149,"Stock",Transactions!$D$3:$D149,AH67)
-SUMIFS(Transactions!$I$3:$I149,Transactions!$H$3:$H149,"Sell",Transactions!$F$3:$F149,"ETF",Transactions!$D$3:$D149,AH67)
-SUMIFS(Transactions!$I$3:$I149,Transactions!$H$3:$H149,"Transfer Send",Transactions!$F$3:$F149,"ETF",Transactions!$D$3:$D149,AH67)
-SUMIFS(Transactions!$I$3:$I149,Transactions!$H$3:$H149,"Sell",Transactions!$F$3:$F149,"Commodity",Transactions!$D$3:$D149,AH67)
-SUMIFS(Transactions!$I$3:$I149,Transactions!$H$3:$H149,"Transfer Send",Transactions!$F$3:$F149,"Commodity",Transactions!$D$3:$D149,AH67)
-SUMIFS(Transactions!$I$3:$I149,Transactions!$H$3:$H149,"Sell",Transactions!$F$3:$F149,"Managed Fund",Transactions!$D$3:$D149,AH67)
-SUMIFS(Transactions!$I$3:$I149,Transactions!$H$3:$H149,"Transfer Send",Transactions!$F$3:$F149,"Managed Fund",Transactions!$D$3:$D149,AH67)
-SUMIFS(Transactions!$I$3:$I149,Transactions!$H$3:$H149,"Sell",Transactions!$F$3:$F149,"REIT",Transactions!$D$3:$D149,AH67)
-SUMIFS(Transactions!$I$3:$I149,Transactions!$H$3:$H149,"Transfer Send",Transactions!$F$3:$F149,"REIT",Transactions!$D$3:$D149,AH67)
+SUMIFS(Transactions!$I$3:$I149,Transactions!$H$3:$H149,"Buy",Transactions!$F$3:$F149,"Crypto",Transactions!$D$3:$D149,AH67)
+SUMIFS(Transactions!$I$3:$I149,Transactions!$H$3:$H149,"Crypto Interest",Transactions!$F$3:$F149,"Crypto",Transactions!$D$3:$D149,AH67)
+SUMIFS(Transactions!$I$3:$I149,Transactions!$H$3:$H149,"Transfer Deposit",Transactions!$F$3:$F149,"Crypto",Transactions!$D$3:$D149,AH67)
-SUMIFS(Transactions!$I$3:$I149,Transactions!$H$3:$H149,"Transfer Send",Transactions!$F$3:$F149,"Crypto",Transactions!$D$3:$D149,AH67)
-SUMIFS(Transactions!$I$3:$I149,Transactions!$H$3:$H149,"Sell",Transactions!$F$3:$F149,"Crypto",Transactions!$D$3:$D149,AH67)
+SUMIFS(Transactions!$I$3:$I149,Transactions!$H$3:$H149,"Buy",Transactions!$F$3:$F149,"Stablecoin",Transactions!$D$3:$D149,AH67)
+SUMIFS(Transactions!$I$3:$I149,Transactions!$H$3:$H149,"Crypto Interest",Transactions!$F$3:$F149,"Stablecoin",Transactions!$D$3:$D149,AH67)
+SUMIFS(Transactions!$I$3:$I149,Transactions!$H$3:$H149,"Transfer Deposit",Transactions!$F$3:$F149,"Stablecoin",Transactions!$D$3:$D149,AH67)
-SUMIFS(Transactions!$I$3:$I149,Transactions!$H$3:$H149,"Transfer Send",Transactions!$F$3:$F149,"Stablecoin",Transactions!$D$3:$D149,AH67)
-SUMIFS(Transactions!$I$3:$I149,Transactions!$H$3:$H149,"Sell",Transactions!$F$3:$F149,"Stablecoin",Transactions!$D$3:$D149,AH67)
-SUMIFS(Transactions!$M$3:$M149,Transactions!$H$3:$H149,"Buy",Transactions!$B$3:$B149,AH67)))</f>
        <v/>
      </c>
      <c r="AJ67" s="181" t="str">
        <f>IFERROR(__xludf.DUMMYFUNCTION("IF(ISBLANK(AH67),"""",VLOOKUP(9^99,FILTER({ROW(Transactions!P:P),Transactions!P:P},Transactions!D:D=AH67),2))"),"")</f>
        <v/>
      </c>
      <c r="AK67" s="181" t="str">
        <f>IFERROR(__xludf.DUMMYFUNCTION("IF(ISBLANK(AH67),"""",IFERROR(GOOGLEFINANCE(AH67,""price""),IFERROR(GOOGLEFINANCE(""CURRENCY:""&amp;AH67&amp;""""),IFERROR(INDEX(YAHOO_STOCK(TRIM(AH67), $G$2),0,1),INDEX(IMPORTHTML(CONCAT(""https://coinmarketcap.com/currencies/"",AG67),""table"",1),1,2)))))"),"")</f>
        <v/>
      </c>
      <c r="AL67" s="14" t="str">
        <f>IFERROR(__xludf.DUMMYFUNCTION("IF(ISBLANK(AH67),"""",IFERROR(SPARKLINE(INDEX(GOOGLEFINANCE(AH67,""price"",TODAY()-$AL$2,TODAY()),,2),{""charttype"",""column"";""color"",""17a7e0""}),""""))"),"")</f>
        <v/>
      </c>
      <c r="AM67" s="50" t="str">
        <f>IFERROR(__xludf.DUMMYFUNCTION("IFNA(IFERROR(IF(AH67="""","""",GOOGLEFINANCE(AH67,""changepct"")/100),(GOOGLEFINANCE(AH67)-(INDEX(GOOGLEFINANCE(""CURRENCY:""&amp;AH67&amp;"""",""price"",TODAY()-1),2,2)))/(INDEX(GOOGLEFINANCE(""CURRENCY:""&amp;AH67&amp;"""",""price"",TODAY()-1),2,2))),)"),"")</f>
        <v/>
      </c>
      <c r="AN67" s="96" t="str">
        <f>IFERROR(__xludf.DUMMYFUNCTION("IFNA(IFERROR(IF(AH67="""","""",GOOGLEFINANCE(AH67,""change"")*AI67),(GOOGLEFINANCE(AH67)-(INDEX(GOOGLEFINANCE(""CURRENCY:""&amp;AH67&amp;"""",""price"",TODAY()-1),2,2)))*AI67),"""")"),"")</f>
        <v/>
      </c>
      <c r="AO67" s="96" t="str">
        <f>IF(ISBLANK(AH67),"",IFERROR(((AI67-SUMIFS(Transactions!I:I,Transactions!H:H,"Crypto Interest",Transactions!D:D,AH67))*AJ67),""))</f>
        <v/>
      </c>
      <c r="AP67" s="96" t="str">
        <f t="shared" si="16"/>
        <v/>
      </c>
      <c r="AQ67" s="50" t="str">
        <f t="shared" si="17"/>
        <v/>
      </c>
      <c r="AR67" s="96" t="str">
        <f t="shared" si="18"/>
        <v/>
      </c>
      <c r="AS67" s="96" t="str">
        <f>IF(ISBLANK(AH67),"",SUMIFS(Transactions!$X$3:$X149,Transactions!$H$3:$H149,"Sell",Transactions!$D$3:$D149,AH67))</f>
        <v/>
      </c>
      <c r="AT67" s="96" t="str">
        <f t="shared" si="19"/>
        <v/>
      </c>
      <c r="AU67" s="50" t="str">
        <f>IFERROR(__xludf.DUMMYFUNCTION("IF(ISBLANK(AH67),"""",IFERROR((GOOGLEFINANCE(AH67,""price"")/INDEX(GOOGLEFINANCE(AH67,""price"",DATEVALUE(TODAY()-$AU$2) ),2,2)-1),""""))"),"")</f>
        <v/>
      </c>
      <c r="AW67" s="50" t="str">
        <f>IFERROR(__xludf.DUMMYFUNCTION("IF(ISBLANK(AH67),"""",IFERROR((GOOGLEFINANCE($AW$2,""price"")/INDEX(GOOGLEFINANCE($AW$2,""price"",DATEVALUE(TODAY()-$AU$2) ),2,2)-1),""""))"),"")</f>
        <v/>
      </c>
      <c r="AY67" s="50" t="str">
        <f t="shared" si="20"/>
        <v/>
      </c>
      <c r="AZ67" s="50" t="str">
        <f t="shared" si="21"/>
        <v/>
      </c>
      <c r="BA67" s="50">
        <f t="shared" si="22"/>
        <v>0</v>
      </c>
      <c r="BB67" s="14" t="str">
        <f t="shared" si="23"/>
        <v/>
      </c>
      <c r="BC67" s="14" t="str">
        <f>IF(ISBLANK(AH67),"",IFERROR(VLOOKUP(AH67,Transactions!D:F,3,0)))</f>
        <v/>
      </c>
      <c r="BD67" s="50" t="str">
        <f t="shared" si="24"/>
        <v/>
      </c>
      <c r="BE67" s="50" t="str">
        <f t="shared" si="25"/>
        <v/>
      </c>
      <c r="BF67" s="14" t="str">
        <f t="shared" si="26"/>
        <v/>
      </c>
      <c r="BG67" s="180" t="str">
        <f>IF(ISBLANK(AH67),"",IFERROR(VLOOKUP(AH67,Transactions!D:G,4,0)))</f>
        <v/>
      </c>
    </row>
    <row r="68">
      <c r="A68" s="14" t="str">
        <f t="shared" ref="A68:C68" si="91">AG68</f>
        <v/>
      </c>
      <c r="B68" s="14" t="str">
        <f t="shared" si="91"/>
        <v/>
      </c>
      <c r="C68" s="175" t="str">
        <f t="shared" si="91"/>
        <v/>
      </c>
      <c r="D68" s="176" t="str">
        <f>IFERROR(__xludf.DUMMYFUNCTION("IF(ISBLANK(B68),"""",IFERROR(IF(OR(AF68=""GPB"",AF68=""ZAR""),IF(AF68=Dashboard!$L$1,AJ68,(AJ68*GOOGLEFINANCE(""CURRENCY:""&amp;AF68&amp;""""&amp;Dashboard!$L$1&amp;""""))/100),IF(AF68=Dashboard!$L$1,AJ68,AJ68*GOOGLEFINANCE(""CURRENCY:""&amp;AF68&amp;""""&amp;Dashboard!$L$1&amp;""""))),"&amp;"AJ68))"),"")</f>
        <v/>
      </c>
      <c r="E68" s="177" t="str">
        <f>IFERROR(__xludf.DUMMYFUNCTION("IFERROR(IF(OR(AF68=""GBP"",AF68=""ZAR""),IF(B68="""","""",IF(AF68=Dashboard!$L$1,AK68,AK68*GOOGLEFINANCE(""CURRENCY:""&amp;AF68&amp;""""&amp;Dashboard!$L$1&amp;"""")))/100,If(B68="""","""",IF(AF68=Dashboard!$L$1,AK68,AK68*GOOGLEFINANCE(""CURRENCY:""&amp;AF68&amp;""""&amp;Dashboard!$"&amp;"L$1&amp;"""")))),AK68)"),"")</f>
        <v/>
      </c>
      <c r="F68" s="145" t="str">
        <f t="shared" si="65"/>
        <v/>
      </c>
      <c r="G68" s="96" t="str">
        <f>IFERROR(__xludf.DUMMYFUNCTION("IF(ISBLANK(B68),"""",IFERROR(SPARKLINE(INDEX(GOOGLEFINANCE(B68,""price"",TODAY()-$G$2,TODAY()),,2),{""charttype"",""column"";""color"",""17a7e0""}),""""))"),"")</f>
        <v/>
      </c>
      <c r="H68" s="50" t="str">
        <f t="shared" si="3"/>
        <v/>
      </c>
      <c r="I68" s="96" t="str">
        <f>IFERROR(__xludf.DUMMYFUNCTION("IF(ISBLANK(B68),"""",IFERROR(IF(OR(AF68=""GPB"",AF68=""ZAR""),IF(AF68=Dashboard!$L$1,AN68,(AN68*GOOGLEFINANCE(""CURRENCY:""&amp;AF68&amp;""""&amp;Dashboard!$L$1&amp;""""))/100),IF(AF68=Dashboard!$L$1,AN68,AN68*GOOGLEFINANCE(""CURRENCY:""&amp;AF68&amp;""""&amp;Dashboard!$L$1&amp;""""))),"&amp;"AN68))"),"")</f>
        <v/>
      </c>
      <c r="J68" s="178" t="str">
        <f>IF(ISBLANK(B68),"",IFERROR(((C68-SUMIFS(Transactions!I:I,Transactions!H:H,"Crypto Interest",Transactions!D:D,B68))*D68),""))</f>
        <v/>
      </c>
      <c r="K68" s="178" t="str">
        <f t="shared" si="4"/>
        <v/>
      </c>
      <c r="L68" s="145">
        <f>IF(ISBLANK(AF68),"",SUMIFS(Transactions!$M$3:$M149,Transactions!$H$3:$H149,"Buy",Transactions!$D$3:$D149,AF68))</f>
        <v>0</v>
      </c>
      <c r="M68" s="145">
        <f>IF(ISBLANK(AG68),"",SUMIFS(Transactions!$M$3:$M149,Transactions!$H$3:$H149,"Dividend",Transactions!$D$3:$D149,AG68))</f>
        <v>0</v>
      </c>
      <c r="N68" s="145" t="str">
        <f>IF(ISBLANK(AH68),"",SUMIFS(Transactions!$M$3:$M149,Transactions!$H$3:$H149,"Sell",Transactions!$D$3:$D149,AH68))</f>
        <v/>
      </c>
      <c r="O68" s="50" t="str">
        <f t="shared" si="5"/>
        <v/>
      </c>
      <c r="P68" s="178" t="str">
        <f t="shared" si="6"/>
        <v/>
      </c>
      <c r="Q68" s="178" t="str">
        <f>IFERROR(__xludf.DUMMYFUNCTION("IF(ISBLANK(B68),"""",IFERROR(IF(OR(AF68=""GPB"",AF68=""ZAR""),IF(AF68=Dashboard!$L$1,AS68,(AS68*GOOGLEFINANCE(""CURRENCY:""&amp;AF68&amp;""""&amp;Dashboard!$L$1&amp;""""))/100),IF(AF68=Dashboard!$L$1,AS68,AS68*GOOGLEFINANCE(""CURRENCY:""&amp;AF68&amp;""""&amp;Dashboard!$L$1&amp;""""))),"&amp;"AS68))"),"")</f>
        <v/>
      </c>
      <c r="R68" s="178" t="str">
        <f t="shared" si="7"/>
        <v/>
      </c>
      <c r="S68" s="50" t="str">
        <f>IFERROR(__xludf.DUMMYFUNCTION("IF(ISBLANK(B68),"""",IFERROR((GOOGLEFINANCE(B68,""price"")/INDEX(GOOGLEFINANCE(B68,""price"",DATEVALUE(TODAY()-$S$2) ),2,2)-1),""""))"),"")</f>
        <v/>
      </c>
      <c r="U68" s="50" t="str">
        <f>IFERROR(__xludf.DUMMYFUNCTION("IF(ISBLANK(B68),"""",IFERROR((GOOGLEFINANCE($U$2,""price"")/INDEX(GOOGLEFINANCE($U$2,""price"",DATEVALUE(TODAY()-$S$2) ),2,2)-1),""""))"),"")</f>
        <v/>
      </c>
      <c r="W68" s="50" t="str">
        <f t="shared" si="8"/>
        <v/>
      </c>
      <c r="X68" s="50" t="str">
        <f t="shared" si="9"/>
        <v/>
      </c>
      <c r="Y68" s="179">
        <v>0.0</v>
      </c>
      <c r="Z68" s="50" t="str">
        <f t="shared" si="10"/>
        <v/>
      </c>
      <c r="AA68" s="14" t="str">
        <f t="shared" si="11"/>
        <v/>
      </c>
      <c r="AB68" s="50" t="str">
        <f t="shared" si="12"/>
        <v/>
      </c>
      <c r="AC68" s="179" t="str">
        <f t="shared" si="13"/>
        <v/>
      </c>
      <c r="AD68" s="50" t="str">
        <f t="shared" si="14"/>
        <v/>
      </c>
      <c r="AE68" s="180" t="str">
        <f t="shared" si="15"/>
        <v/>
      </c>
      <c r="AF68" s="14" t="str">
        <f t="array" ref="AF68">IFERROR(IF(ISBLANK(AH68),"",IF(VLOOKUP(AH68,Transactions!D:F,3,0)="Stablecoin",AH68,INDEX(Transactions!$B$3:$B149,MATCH(AH68,Transactions!$D$3:$D149,0),0))))</f>
        <v/>
      </c>
      <c r="AG68" s="14" t="str">
        <f>IF(ISBLANK(AH68),"",VLOOKUP(AH68,Transactions!D:E,2,0))</f>
        <v/>
      </c>
      <c r="AH68" s="14"/>
      <c r="AI68" s="146" t="str">
        <f>IF(ISBLANK(AH68),"",IF(
SUMIFS(Transactions!$I$3:$I149,Transactions!$H$3:$H149,"Buy",Transactions!$F$3:$F149,"Stock",Transactions!$D$3:$D149,AH68)
+SUMIFS(Transactions!$I$3:$I149,Transactions!$H$3:$H149,"DRIP",Transactions!$F$3:$F149,"Stock",Transactions!$D$3:$D149,AH68)
+SUMIFS(Transactions!$I$3:$I149,Transactions!$H$3:$H149,"Transfer Deposit",Transactions!$F$3:$F149,"Stock",Transactions!$D$3:$D149,AH68)
+SUMIFS(Transactions!$I$3:$I149,Transactions!$H$3:$H149,"Buy",Transactions!$F$3:$F149,"ETF",Transactions!$D$3:$D149,AH68)
+SUMIFS(Transactions!$I$3:$I149,Transactions!$H$3:$H149,"DRIP",Transactions!$F$3:$F149,"ETF",Transactions!$D$3:$D149,AH68)
+SUMIFS(Transactions!$I$3:$I149,Transactions!$H$3:$H149,"Transfer Deposit",Transactions!$F$3:$F149,"ETF",Transactions!$D$3:$D149,AH68)
+SUMIFS(Transactions!$I$3:$I149,Transactions!$H$3:$H149,"Buy",Transactions!$F$3:$F149,"Commodity",Transactions!$D$3:$D149,AH68)
+SUMIFS(Transactions!$I$3:$I149,Transactions!$H$3:$H149,"DRIP",Transactions!$F$3:$F149,"Commodity",Transactions!$D$3:$D149,AH68)
+SUMIFS(Transactions!$I$3:$I149,Transactions!$H$3:$H149,"Transfer Deposit",Transactions!$F$3:$F149,"Commodity",Transactions!$D$3:$D149,AH68)
+SUMIFS(Transactions!$I$3:$I149,Transactions!$H$3:$H149,"Buy",Transactions!$F$3:$F149,"Managed Fund",Transactions!$D$3:$D149,AH68)
+SUMIFS(Transactions!$I$3:$I149,Transactions!$H$3:$H149,"DRIP",Transactions!$F$3:$F149,"Managed Fund",Transactions!$D$3:$D149,AH68)
+SUMIFS(Transactions!$I$3:$I149,Transactions!$H$3:$H149,"Transfer Deposit",Transactions!$F$3:$F149,"Managed Fund",Transactions!$D$3:$D149,AH68)
+SUMIFS(Transactions!$I$3:$I149,Transactions!$H$3:$H149,"Buy",Transactions!$F$3:$F149,"REIT",Transactions!$D$3:$D149,AH68)
+SUMIFS(Transactions!$I$3:$I149,Transactions!$H$3:$H149,"DRIP",Transactions!$F$3:$F149,"REIT",Transactions!$D$3:$D149,AH68)
+SUMIFS(Transactions!$I$3:$I149,Transactions!$H$3:$H149,"Transfer Deposit",Transactions!$F$3:$F149,"REIT",Transactions!$D$3:$D149,AH68)
-SUMIFS(Transactions!$I$3:$I149,Transactions!$H$3:$H149,"Sell",Transactions!$F$3:$F149,"Stock",Transactions!$D$3:$D149,AH68)
-SUMIFS(Transactions!$I$3:$I149,Transactions!$H$3:$H149,"Transfer Send",Transactions!$F$3:$F149,"Stock",Transactions!$D$3:$D149,AH68)
-SUMIFS(Transactions!$I$3:$I149,Transactions!$H$3:$H149,"Sell",Transactions!$F$3:$F149,"ETF",Transactions!$D$3:$D149,AH68)
-SUMIFS(Transactions!$I$3:$I149,Transactions!$H$3:$H149,"Transfer Send",Transactions!$F$3:$F149,"ETF",Transactions!$D$3:$D149,AH68)
-SUMIFS(Transactions!$I$3:$I149,Transactions!$H$3:$H149,"Sell",Transactions!$F$3:$F149,"Commodity",Transactions!$D$3:$D149,AH68)
-SUMIFS(Transactions!$I$3:$I149,Transactions!$H$3:$H149,"Transfer Send",Transactions!$F$3:$F149,"Commodity",Transactions!$D$3:$D149,AH68)
-SUMIFS(Transactions!$I$3:$I149,Transactions!$H$3:$H149,"Sell",Transactions!$F$3:$F149,"Managed Fund",Transactions!$D$3:$D149,AH68)
-SUMIFS(Transactions!$I$3:$I149,Transactions!$H$3:$H149,"Transfer Send",Transactions!$F$3:$F149,"Managed Fund",Transactions!$D$3:$D149,AH68)
-SUMIFS(Transactions!$I$3:$I149,Transactions!$H$3:$H149,"Sell",Transactions!$F$3:$F149,"REIT",Transactions!$D$3:$D149,AH68)
-SUMIFS(Transactions!$I$3:$I149,Transactions!$H$3:$H149,"Transfer Send",Transactions!$F$3:$F149,"REIT",Transactions!$D$3:$D149,AH68)
+SUMIFS(Transactions!$I$3:$I149,Transactions!$H$3:$H149,"Buy",Transactions!$F$3:$F149,"Crypto",Transactions!$D$3:$D149,AH68)
+SUMIFS(Transactions!$I$3:$I149,Transactions!$H$3:$H149,"Crypto Interest",Transactions!$F$3:$F149,"Crypto",Transactions!$D$3:$D149,AH68)
+SUMIFS(Transactions!$I$3:$I149,Transactions!$H$3:$H149,"Transfer Deposit",Transactions!$F$3:$F149,"Crypto",Transactions!$D$3:$D149,AH68)
-SUMIFS(Transactions!$I$3:$I149,Transactions!$H$3:$H149,"Transfer Send",Transactions!$F$3:$F149,"Crypto",Transactions!$D$3:$D149,AH68)
-SUMIFS(Transactions!$I$3:$I149,Transactions!$H$3:$H149,"Sell",Transactions!$F$3:$F149,"Crypto",Transactions!$D$3:$D149,AH68)
+SUMIFS(Transactions!$I$3:$I149,Transactions!$H$3:$H149,"Buy",Transactions!$F$3:$F149,"Stablecoin",Transactions!$D$3:$D149,AH68)
+SUMIFS(Transactions!$I$3:$I149,Transactions!$H$3:$H149,"Crypto Interest",Transactions!$F$3:$F149,"Stablecoin",Transactions!$D$3:$D149,AH68)
+SUMIFS(Transactions!$I$3:$I149,Transactions!$H$3:$H149,"Transfer Deposit",Transactions!$F$3:$F149,"Stablecoin",Transactions!$D$3:$D149,AH68)
-SUMIFS(Transactions!$I$3:$I149,Transactions!$H$3:$H149,"Transfer Send",Transactions!$F$3:$F149,"Stablecoin",Transactions!$D$3:$D149,AH68)
-SUMIFS(Transactions!$I$3:$I149,Transactions!$H$3:$H149,"Sell",Transactions!$F$3:$F149,"Stablecoin",Transactions!$D$3:$D149,AH68)
-SUMIFS(Transactions!$M$3:$M149,Transactions!$H$3:$H149,"Buy",Transactions!$B$3:$B149,AH68)=0,"Sold All",
SUMIFS(Transactions!$I$3:$I149,Transactions!$H$3:$H149,"Buy",Transactions!$F$3:$F149,"Stock",Transactions!$D$3:$D149,AH68)
+SUMIFS(Transactions!$I$3:$I149,Transactions!$H$3:$H149,"DRIP",Transactions!$F$3:$F149,"Stock",Transactions!$D$3:$D149,AH68)
+SUMIFS(Transactions!$I$3:$I149,Transactions!$H$3:$H149,"Transfer Deposit",Transactions!$F$3:$F149,"Stock",Transactions!$D$3:$D149,AH68)
+SUMIFS(Transactions!$I$3:$I149,Transactions!$H$3:$H149,"Buy",Transactions!$F$3:$F149,"ETF",Transactions!$D$3:$D149,AH68)
+SUMIFS(Transactions!$I$3:$I149,Transactions!$H$3:$H149,"DRIP",Transactions!$F$3:$F149,"ETF",Transactions!$D$3:$D149,AH68)
+SUMIFS(Transactions!$I$3:$I149,Transactions!$H$3:$H149,"Transfer Deposit",Transactions!$F$3:$F149,"ETF",Transactions!$D$3:$D149,AH68)
+SUMIFS(Transactions!$I$3:$I149,Transactions!$H$3:$H149,"Buy",Transactions!$F$3:$F149,"Commodity",Transactions!$D$3:$D149,AH68)
+SUMIFS(Transactions!$I$3:$I149,Transactions!$H$3:$H149,"DRIP",Transactions!$F$3:$F149,"Commodity",Transactions!$D$3:$D149,AH68)
+SUMIFS(Transactions!$I$3:$I149,Transactions!$H$3:$H149,"Transfer Deposit",Transactions!$F$3:$F149,"Commodity",Transactions!$D$3:$D149,AH68)
+SUMIFS(Transactions!$I$3:$I149,Transactions!$H$3:$H149,"Buy",Transactions!$F$3:$F149,"Managed Fund",Transactions!$D$3:$D149,AH68)
+SUMIFS(Transactions!$I$3:$I149,Transactions!$H$3:$H149,"DRIP",Transactions!$F$3:$F149,"Managed Fund",Transactions!$D$3:$D149,AH68)
+SUMIFS(Transactions!$I$3:$I149,Transactions!$H$3:$H149,"Transfer Deposit",Transactions!$F$3:$F149,"Managed Fund",Transactions!$D$3:$D149,AH68)
+SUMIFS(Transactions!$I$3:$I149,Transactions!$H$3:$H149,"Buy",Transactions!$F$3:$F149,"REIT",Transactions!$D$3:$D149,AH68)
+SUMIFS(Transactions!$I$3:$I149,Transactions!$H$3:$H149,"DRIP",Transactions!$F$3:$F149,"REIT",Transactions!$D$3:$D149,AH68)
+SUMIFS(Transactions!$I$3:$I149,Transactions!$H$3:$H149,"Transfer Deposit",Transactions!$F$3:$F149,"REIT",Transactions!$D$3:$D149,AH68)
-SUMIFS(Transactions!$I$3:$I149,Transactions!$H$3:$H149,"Sell",Transactions!$F$3:$F149,"Stock",Transactions!$D$3:$D149,AH68)
-SUMIFS(Transactions!$I$3:$I149,Transactions!$H$3:$H149,"Transfer Send",Transactions!$F$3:$F149,"Stock",Transactions!$D$3:$D149,AH68)
-SUMIFS(Transactions!$I$3:$I149,Transactions!$H$3:$H149,"Sell",Transactions!$F$3:$F149,"ETF",Transactions!$D$3:$D149,AH68)
-SUMIFS(Transactions!$I$3:$I149,Transactions!$H$3:$H149,"Transfer Send",Transactions!$F$3:$F149,"ETF",Transactions!$D$3:$D149,AH68)
-SUMIFS(Transactions!$I$3:$I149,Transactions!$H$3:$H149,"Sell",Transactions!$F$3:$F149,"Commodity",Transactions!$D$3:$D149,AH68)
-SUMIFS(Transactions!$I$3:$I149,Transactions!$H$3:$H149,"Transfer Send",Transactions!$F$3:$F149,"Commodity",Transactions!$D$3:$D149,AH68)
-SUMIFS(Transactions!$I$3:$I149,Transactions!$H$3:$H149,"Sell",Transactions!$F$3:$F149,"Managed Fund",Transactions!$D$3:$D149,AH68)
-SUMIFS(Transactions!$I$3:$I149,Transactions!$H$3:$H149,"Transfer Send",Transactions!$F$3:$F149,"Managed Fund",Transactions!$D$3:$D149,AH68)
-SUMIFS(Transactions!$I$3:$I149,Transactions!$H$3:$H149,"Sell",Transactions!$F$3:$F149,"REIT",Transactions!$D$3:$D149,AH68)
-SUMIFS(Transactions!$I$3:$I149,Transactions!$H$3:$H149,"Transfer Send",Transactions!$F$3:$F149,"REIT",Transactions!$D$3:$D149,AH68)
+SUMIFS(Transactions!$I$3:$I149,Transactions!$H$3:$H149,"Buy",Transactions!$F$3:$F149,"Crypto",Transactions!$D$3:$D149,AH68)
+SUMIFS(Transactions!$I$3:$I149,Transactions!$H$3:$H149,"Crypto Interest",Transactions!$F$3:$F149,"Crypto",Transactions!$D$3:$D149,AH68)
+SUMIFS(Transactions!$I$3:$I149,Transactions!$H$3:$H149,"Transfer Deposit",Transactions!$F$3:$F149,"Crypto",Transactions!$D$3:$D149,AH68)
-SUMIFS(Transactions!$I$3:$I149,Transactions!$H$3:$H149,"Transfer Send",Transactions!$F$3:$F149,"Crypto",Transactions!$D$3:$D149,AH68)
-SUMIFS(Transactions!$I$3:$I149,Transactions!$H$3:$H149,"Sell",Transactions!$F$3:$F149,"Crypto",Transactions!$D$3:$D149,AH68)
+SUMIFS(Transactions!$I$3:$I149,Transactions!$H$3:$H149,"Buy",Transactions!$F$3:$F149,"Stablecoin",Transactions!$D$3:$D149,AH68)
+SUMIFS(Transactions!$I$3:$I149,Transactions!$H$3:$H149,"Crypto Interest",Transactions!$F$3:$F149,"Stablecoin",Transactions!$D$3:$D149,AH68)
+SUMIFS(Transactions!$I$3:$I149,Transactions!$H$3:$H149,"Transfer Deposit",Transactions!$F$3:$F149,"Stablecoin",Transactions!$D$3:$D149,AH68)
-SUMIFS(Transactions!$I$3:$I149,Transactions!$H$3:$H149,"Transfer Send",Transactions!$F$3:$F149,"Stablecoin",Transactions!$D$3:$D149,AH68)
-SUMIFS(Transactions!$I$3:$I149,Transactions!$H$3:$H149,"Sell",Transactions!$F$3:$F149,"Stablecoin",Transactions!$D$3:$D149,AH68)
-SUMIFS(Transactions!$M$3:$M149,Transactions!$H$3:$H149,"Buy",Transactions!$B$3:$B149,AH68)))</f>
        <v/>
      </c>
      <c r="AJ68" s="181" t="str">
        <f>IFERROR(__xludf.DUMMYFUNCTION("IF(ISBLANK(AH68),"""",VLOOKUP(9^99,FILTER({ROW(Transactions!P:P),Transactions!P:P},Transactions!D:D=AH68),2))"),"")</f>
        <v/>
      </c>
      <c r="AK68" s="181" t="str">
        <f>IFERROR(__xludf.DUMMYFUNCTION("IF(ISBLANK(AH68),"""",IFERROR(GOOGLEFINANCE(AH68,""price""),IFERROR(GOOGLEFINANCE(""CURRENCY:""&amp;AH68&amp;""""),IFERROR(INDEX(YAHOO_STOCK(TRIM(AH68), $G$2),0,1),INDEX(IMPORTHTML(CONCAT(""https://coinmarketcap.com/currencies/"",AG68),""table"",1),1,2)))))"),"")</f>
        <v/>
      </c>
      <c r="AL68" s="14" t="str">
        <f>IFERROR(__xludf.DUMMYFUNCTION("IF(ISBLANK(AH68),"""",IFERROR(SPARKLINE(INDEX(GOOGLEFINANCE(AH68,""price"",TODAY()-$AL$2,TODAY()),,2),{""charttype"",""column"";""color"",""17a7e0""}),""""))"),"")</f>
        <v/>
      </c>
      <c r="AM68" s="50" t="str">
        <f>IFERROR(__xludf.DUMMYFUNCTION("IFNA(IFERROR(IF(AH68="""","""",GOOGLEFINANCE(AH68,""changepct"")/100),(GOOGLEFINANCE(AH68)-(INDEX(GOOGLEFINANCE(""CURRENCY:""&amp;AH68&amp;"""",""price"",TODAY()-1),2,2)))/(INDEX(GOOGLEFINANCE(""CURRENCY:""&amp;AH68&amp;"""",""price"",TODAY()-1),2,2))),)"),"")</f>
        <v/>
      </c>
      <c r="AN68" s="96" t="str">
        <f>IFERROR(__xludf.DUMMYFUNCTION("IFNA(IFERROR(IF(AH68="""","""",GOOGLEFINANCE(AH68,""change"")*AI68),(GOOGLEFINANCE(AH68)-(INDEX(GOOGLEFINANCE(""CURRENCY:""&amp;AH68&amp;"""",""price"",TODAY()-1),2,2)))*AI68),"""")"),"")</f>
        <v/>
      </c>
      <c r="AO68" s="96" t="str">
        <f>IF(ISBLANK(AH68),"",IFERROR(((AI68-SUMIFS(Transactions!I:I,Transactions!H:H,"Crypto Interest",Transactions!D:D,AH68))*AJ68),""))</f>
        <v/>
      </c>
      <c r="AP68" s="96" t="str">
        <f t="shared" si="16"/>
        <v/>
      </c>
      <c r="AQ68" s="50" t="str">
        <f t="shared" si="17"/>
        <v/>
      </c>
      <c r="AR68" s="96" t="str">
        <f t="shared" si="18"/>
        <v/>
      </c>
      <c r="AS68" s="96" t="str">
        <f>IF(ISBLANK(AH68),"",SUMIFS(Transactions!$X$3:$X149,Transactions!$H$3:$H149,"Sell",Transactions!$D$3:$D149,AH68))</f>
        <v/>
      </c>
      <c r="AT68" s="96" t="str">
        <f t="shared" si="19"/>
        <v/>
      </c>
      <c r="AU68" s="50" t="str">
        <f>IFERROR(__xludf.DUMMYFUNCTION("IF(ISBLANK(AH68),"""",IFERROR((GOOGLEFINANCE(AH68,""price"")/INDEX(GOOGLEFINANCE(AH68,""price"",DATEVALUE(TODAY()-$AU$2) ),2,2)-1),""""))"),"")</f>
        <v/>
      </c>
      <c r="AW68" s="50" t="str">
        <f>IFERROR(__xludf.DUMMYFUNCTION("IF(ISBLANK(AH68),"""",IFERROR((GOOGLEFINANCE($AW$2,""price"")/INDEX(GOOGLEFINANCE($AW$2,""price"",DATEVALUE(TODAY()-$AU$2) ),2,2)-1),""""))"),"")</f>
        <v/>
      </c>
      <c r="AY68" s="50" t="str">
        <f t="shared" si="20"/>
        <v/>
      </c>
      <c r="AZ68" s="50" t="str">
        <f t="shared" si="21"/>
        <v/>
      </c>
      <c r="BA68" s="50">
        <f t="shared" si="22"/>
        <v>0</v>
      </c>
      <c r="BB68" s="14" t="str">
        <f t="shared" si="23"/>
        <v/>
      </c>
      <c r="BC68" s="14" t="str">
        <f>IF(ISBLANK(AH68),"",IFERROR(VLOOKUP(AH68,Transactions!D:F,3,0)))</f>
        <v/>
      </c>
      <c r="BD68" s="50" t="str">
        <f t="shared" si="24"/>
        <v/>
      </c>
      <c r="BE68" s="50" t="str">
        <f t="shared" si="25"/>
        <v/>
      </c>
      <c r="BF68" s="14" t="str">
        <f t="shared" si="26"/>
        <v/>
      </c>
      <c r="BG68" s="180" t="str">
        <f>IF(ISBLANK(AH68),"",IFERROR(VLOOKUP(AH68,Transactions!D:G,4,0)))</f>
        <v/>
      </c>
    </row>
    <row r="69">
      <c r="A69" s="14" t="str">
        <f t="shared" ref="A69:C69" si="92">AG69</f>
        <v/>
      </c>
      <c r="B69" s="14" t="str">
        <f t="shared" si="92"/>
        <v/>
      </c>
      <c r="C69" s="175" t="str">
        <f t="shared" si="92"/>
        <v/>
      </c>
      <c r="D69" s="176" t="str">
        <f>IFERROR(__xludf.DUMMYFUNCTION("IF(ISBLANK(B69),"""",IFERROR(IF(OR(AF69=""GPB"",AF69=""ZAR""),IF(AF69=Dashboard!$L$1,AJ69,(AJ69*GOOGLEFINANCE(""CURRENCY:""&amp;AF69&amp;""""&amp;Dashboard!$L$1&amp;""""))/100),IF(AF69=Dashboard!$L$1,AJ69,AJ69*GOOGLEFINANCE(""CURRENCY:""&amp;AF69&amp;""""&amp;Dashboard!$L$1&amp;""""))),"&amp;"AJ69))"),"")</f>
        <v/>
      </c>
      <c r="E69" s="177" t="str">
        <f>IFERROR(__xludf.DUMMYFUNCTION("IFERROR(IF(OR(AF69=""GBP"",AF69=""ZAR""),IF(B69="""","""",IF(AF69=Dashboard!$L$1,AK69,AK69*GOOGLEFINANCE(""CURRENCY:""&amp;AF69&amp;""""&amp;Dashboard!$L$1&amp;"""")))/100,If(B69="""","""",IF(AF69=Dashboard!$L$1,AK69,AK69*GOOGLEFINANCE(""CURRENCY:""&amp;AF69&amp;""""&amp;Dashboard!$"&amp;"L$1&amp;"""")))),AK69)"),"")</f>
        <v/>
      </c>
      <c r="F69" s="145" t="str">
        <f t="shared" si="65"/>
        <v/>
      </c>
      <c r="G69" s="96" t="str">
        <f>IFERROR(__xludf.DUMMYFUNCTION("IF(ISBLANK(B69),"""",IFERROR(SPARKLINE(INDEX(GOOGLEFINANCE(B69,""price"",TODAY()-$G$2,TODAY()),,2),{""charttype"",""column"";""color"",""17a7e0""}),""""))"),"")</f>
        <v/>
      </c>
      <c r="H69" s="50" t="str">
        <f t="shared" si="3"/>
        <v/>
      </c>
      <c r="I69" s="96" t="str">
        <f>IFERROR(__xludf.DUMMYFUNCTION("IF(ISBLANK(B69),"""",IFERROR(IF(OR(AF69=""GPB"",AF69=""ZAR""),IF(AF69=Dashboard!$L$1,AN69,(AN69*GOOGLEFINANCE(""CURRENCY:""&amp;AF69&amp;""""&amp;Dashboard!$L$1&amp;""""))/100),IF(AF69=Dashboard!$L$1,AN69,AN69*GOOGLEFINANCE(""CURRENCY:""&amp;AF69&amp;""""&amp;Dashboard!$L$1&amp;""""))),"&amp;"AN69))"),"")</f>
        <v/>
      </c>
      <c r="J69" s="178" t="str">
        <f>IF(ISBLANK(B69),"",IFERROR(((C69-SUMIFS(Transactions!I:I,Transactions!H:H,"Crypto Interest",Transactions!D:D,B69))*D69),""))</f>
        <v/>
      </c>
      <c r="K69" s="178" t="str">
        <f t="shared" si="4"/>
        <v/>
      </c>
      <c r="L69" s="145">
        <f>IF(ISBLANK(AF69),"",SUMIFS(Transactions!$M$3:$M149,Transactions!$H$3:$H149,"Buy",Transactions!$D$3:$D149,AF69))</f>
        <v>0</v>
      </c>
      <c r="M69" s="145">
        <f>IF(ISBLANK(AG69),"",SUMIFS(Transactions!$M$3:$M149,Transactions!$H$3:$H149,"Dividend",Transactions!$D$3:$D149,AG69))</f>
        <v>0</v>
      </c>
      <c r="N69" s="145" t="str">
        <f>IF(ISBLANK(AH69),"",SUMIFS(Transactions!$M$3:$M149,Transactions!$H$3:$H149,"Sell",Transactions!$D$3:$D149,AH69))</f>
        <v/>
      </c>
      <c r="O69" s="50" t="str">
        <f t="shared" si="5"/>
        <v/>
      </c>
      <c r="P69" s="178" t="str">
        <f t="shared" si="6"/>
        <v/>
      </c>
      <c r="Q69" s="178" t="str">
        <f>IFERROR(__xludf.DUMMYFUNCTION("IF(ISBLANK(B69),"""",IFERROR(IF(OR(AF69=""GPB"",AF69=""ZAR""),IF(AF69=Dashboard!$L$1,AS69,(AS69*GOOGLEFINANCE(""CURRENCY:""&amp;AF69&amp;""""&amp;Dashboard!$L$1&amp;""""))/100),IF(AF69=Dashboard!$L$1,AS69,AS69*GOOGLEFINANCE(""CURRENCY:""&amp;AF69&amp;""""&amp;Dashboard!$L$1&amp;""""))),"&amp;"AS69))"),"")</f>
        <v/>
      </c>
      <c r="R69" s="178" t="str">
        <f t="shared" si="7"/>
        <v/>
      </c>
      <c r="S69" s="50" t="str">
        <f>IFERROR(__xludf.DUMMYFUNCTION("IF(ISBLANK(B69),"""",IFERROR((GOOGLEFINANCE(B69,""price"")/INDEX(GOOGLEFINANCE(B69,""price"",DATEVALUE(TODAY()-$S$2) ),2,2)-1),""""))"),"")</f>
        <v/>
      </c>
      <c r="U69" s="50" t="str">
        <f>IFERROR(__xludf.DUMMYFUNCTION("IF(ISBLANK(B69),"""",IFERROR((GOOGLEFINANCE($U$2,""price"")/INDEX(GOOGLEFINANCE($U$2,""price"",DATEVALUE(TODAY()-$S$2) ),2,2)-1),""""))"),"")</f>
        <v/>
      </c>
      <c r="W69" s="50" t="str">
        <f t="shared" si="8"/>
        <v/>
      </c>
      <c r="X69" s="50" t="str">
        <f t="shared" si="9"/>
        <v/>
      </c>
      <c r="Y69" s="179">
        <v>0.0</v>
      </c>
      <c r="Z69" s="50" t="str">
        <f t="shared" si="10"/>
        <v/>
      </c>
      <c r="AA69" s="14" t="str">
        <f t="shared" si="11"/>
        <v/>
      </c>
      <c r="AB69" s="50" t="str">
        <f t="shared" si="12"/>
        <v/>
      </c>
      <c r="AC69" s="179" t="str">
        <f t="shared" si="13"/>
        <v/>
      </c>
      <c r="AD69" s="50" t="str">
        <f t="shared" si="14"/>
        <v/>
      </c>
      <c r="AE69" s="180" t="str">
        <f t="shared" si="15"/>
        <v/>
      </c>
      <c r="AF69" s="14" t="str">
        <f t="array" ref="AF69">IFERROR(IF(ISBLANK(AH69),"",IF(VLOOKUP(AH69,Transactions!D:F,3,0)="Stablecoin",AH69,INDEX(Transactions!$B$3:$B149,MATCH(AH69,Transactions!$D$3:$D149,0),0))))</f>
        <v/>
      </c>
      <c r="AG69" s="14" t="str">
        <f>IF(ISBLANK(AH69),"",VLOOKUP(AH69,Transactions!D:E,2,0))</f>
        <v/>
      </c>
      <c r="AH69" s="14"/>
      <c r="AI69" s="146" t="str">
        <f>IF(ISBLANK(AH69),"",IF(
SUMIFS(Transactions!$I$3:$I149,Transactions!$H$3:$H149,"Buy",Transactions!$F$3:$F149,"Stock",Transactions!$D$3:$D149,AH69)
+SUMIFS(Transactions!$I$3:$I149,Transactions!$H$3:$H149,"DRIP",Transactions!$F$3:$F149,"Stock",Transactions!$D$3:$D149,AH69)
+SUMIFS(Transactions!$I$3:$I149,Transactions!$H$3:$H149,"Transfer Deposit",Transactions!$F$3:$F149,"Stock",Transactions!$D$3:$D149,AH69)
+SUMIFS(Transactions!$I$3:$I149,Transactions!$H$3:$H149,"Buy",Transactions!$F$3:$F149,"ETF",Transactions!$D$3:$D149,AH69)
+SUMIFS(Transactions!$I$3:$I149,Transactions!$H$3:$H149,"DRIP",Transactions!$F$3:$F149,"ETF",Transactions!$D$3:$D149,AH69)
+SUMIFS(Transactions!$I$3:$I149,Transactions!$H$3:$H149,"Transfer Deposit",Transactions!$F$3:$F149,"ETF",Transactions!$D$3:$D149,AH69)
+SUMIFS(Transactions!$I$3:$I149,Transactions!$H$3:$H149,"Buy",Transactions!$F$3:$F149,"Commodity",Transactions!$D$3:$D149,AH69)
+SUMIFS(Transactions!$I$3:$I149,Transactions!$H$3:$H149,"DRIP",Transactions!$F$3:$F149,"Commodity",Transactions!$D$3:$D149,AH69)
+SUMIFS(Transactions!$I$3:$I149,Transactions!$H$3:$H149,"Transfer Deposit",Transactions!$F$3:$F149,"Commodity",Transactions!$D$3:$D149,AH69)
+SUMIFS(Transactions!$I$3:$I149,Transactions!$H$3:$H149,"Buy",Transactions!$F$3:$F149,"Managed Fund",Transactions!$D$3:$D149,AH69)
+SUMIFS(Transactions!$I$3:$I149,Transactions!$H$3:$H149,"DRIP",Transactions!$F$3:$F149,"Managed Fund",Transactions!$D$3:$D149,AH69)
+SUMIFS(Transactions!$I$3:$I149,Transactions!$H$3:$H149,"Transfer Deposit",Transactions!$F$3:$F149,"Managed Fund",Transactions!$D$3:$D149,AH69)
+SUMIFS(Transactions!$I$3:$I149,Transactions!$H$3:$H149,"Buy",Transactions!$F$3:$F149,"REIT",Transactions!$D$3:$D149,AH69)
+SUMIFS(Transactions!$I$3:$I149,Transactions!$H$3:$H149,"DRIP",Transactions!$F$3:$F149,"REIT",Transactions!$D$3:$D149,AH69)
+SUMIFS(Transactions!$I$3:$I149,Transactions!$H$3:$H149,"Transfer Deposit",Transactions!$F$3:$F149,"REIT",Transactions!$D$3:$D149,AH69)
-SUMIFS(Transactions!$I$3:$I149,Transactions!$H$3:$H149,"Sell",Transactions!$F$3:$F149,"Stock",Transactions!$D$3:$D149,AH69)
-SUMIFS(Transactions!$I$3:$I149,Transactions!$H$3:$H149,"Transfer Send",Transactions!$F$3:$F149,"Stock",Transactions!$D$3:$D149,AH69)
-SUMIFS(Transactions!$I$3:$I149,Transactions!$H$3:$H149,"Sell",Transactions!$F$3:$F149,"ETF",Transactions!$D$3:$D149,AH69)
-SUMIFS(Transactions!$I$3:$I149,Transactions!$H$3:$H149,"Transfer Send",Transactions!$F$3:$F149,"ETF",Transactions!$D$3:$D149,AH69)
-SUMIFS(Transactions!$I$3:$I149,Transactions!$H$3:$H149,"Sell",Transactions!$F$3:$F149,"Commodity",Transactions!$D$3:$D149,AH69)
-SUMIFS(Transactions!$I$3:$I149,Transactions!$H$3:$H149,"Transfer Send",Transactions!$F$3:$F149,"Commodity",Transactions!$D$3:$D149,AH69)
-SUMIFS(Transactions!$I$3:$I149,Transactions!$H$3:$H149,"Sell",Transactions!$F$3:$F149,"Managed Fund",Transactions!$D$3:$D149,AH69)
-SUMIFS(Transactions!$I$3:$I149,Transactions!$H$3:$H149,"Transfer Send",Transactions!$F$3:$F149,"Managed Fund",Transactions!$D$3:$D149,AH69)
-SUMIFS(Transactions!$I$3:$I149,Transactions!$H$3:$H149,"Sell",Transactions!$F$3:$F149,"REIT",Transactions!$D$3:$D149,AH69)
-SUMIFS(Transactions!$I$3:$I149,Transactions!$H$3:$H149,"Transfer Send",Transactions!$F$3:$F149,"REIT",Transactions!$D$3:$D149,AH69)
+SUMIFS(Transactions!$I$3:$I149,Transactions!$H$3:$H149,"Buy",Transactions!$F$3:$F149,"Crypto",Transactions!$D$3:$D149,AH69)
+SUMIFS(Transactions!$I$3:$I149,Transactions!$H$3:$H149,"Crypto Interest",Transactions!$F$3:$F149,"Crypto",Transactions!$D$3:$D149,AH69)
+SUMIFS(Transactions!$I$3:$I149,Transactions!$H$3:$H149,"Transfer Deposit",Transactions!$F$3:$F149,"Crypto",Transactions!$D$3:$D149,AH69)
-SUMIFS(Transactions!$I$3:$I149,Transactions!$H$3:$H149,"Transfer Send",Transactions!$F$3:$F149,"Crypto",Transactions!$D$3:$D149,AH69)
-SUMIFS(Transactions!$I$3:$I149,Transactions!$H$3:$H149,"Sell",Transactions!$F$3:$F149,"Crypto",Transactions!$D$3:$D149,AH69)
+SUMIFS(Transactions!$I$3:$I149,Transactions!$H$3:$H149,"Buy",Transactions!$F$3:$F149,"Stablecoin",Transactions!$D$3:$D149,AH69)
+SUMIFS(Transactions!$I$3:$I149,Transactions!$H$3:$H149,"Crypto Interest",Transactions!$F$3:$F149,"Stablecoin",Transactions!$D$3:$D149,AH69)
+SUMIFS(Transactions!$I$3:$I149,Transactions!$H$3:$H149,"Transfer Deposit",Transactions!$F$3:$F149,"Stablecoin",Transactions!$D$3:$D149,AH69)
-SUMIFS(Transactions!$I$3:$I149,Transactions!$H$3:$H149,"Transfer Send",Transactions!$F$3:$F149,"Stablecoin",Transactions!$D$3:$D149,AH69)
-SUMIFS(Transactions!$I$3:$I149,Transactions!$H$3:$H149,"Sell",Transactions!$F$3:$F149,"Stablecoin",Transactions!$D$3:$D149,AH69)
-SUMIFS(Transactions!$M$3:$M149,Transactions!$H$3:$H149,"Buy",Transactions!$B$3:$B149,AH69)=0,"Sold All",
SUMIFS(Transactions!$I$3:$I149,Transactions!$H$3:$H149,"Buy",Transactions!$F$3:$F149,"Stock",Transactions!$D$3:$D149,AH69)
+SUMIFS(Transactions!$I$3:$I149,Transactions!$H$3:$H149,"DRIP",Transactions!$F$3:$F149,"Stock",Transactions!$D$3:$D149,AH69)
+SUMIFS(Transactions!$I$3:$I149,Transactions!$H$3:$H149,"Transfer Deposit",Transactions!$F$3:$F149,"Stock",Transactions!$D$3:$D149,AH69)
+SUMIFS(Transactions!$I$3:$I149,Transactions!$H$3:$H149,"Buy",Transactions!$F$3:$F149,"ETF",Transactions!$D$3:$D149,AH69)
+SUMIFS(Transactions!$I$3:$I149,Transactions!$H$3:$H149,"DRIP",Transactions!$F$3:$F149,"ETF",Transactions!$D$3:$D149,AH69)
+SUMIFS(Transactions!$I$3:$I149,Transactions!$H$3:$H149,"Transfer Deposit",Transactions!$F$3:$F149,"ETF",Transactions!$D$3:$D149,AH69)
+SUMIFS(Transactions!$I$3:$I149,Transactions!$H$3:$H149,"Buy",Transactions!$F$3:$F149,"Commodity",Transactions!$D$3:$D149,AH69)
+SUMIFS(Transactions!$I$3:$I149,Transactions!$H$3:$H149,"DRIP",Transactions!$F$3:$F149,"Commodity",Transactions!$D$3:$D149,AH69)
+SUMIFS(Transactions!$I$3:$I149,Transactions!$H$3:$H149,"Transfer Deposit",Transactions!$F$3:$F149,"Commodity",Transactions!$D$3:$D149,AH69)
+SUMIFS(Transactions!$I$3:$I149,Transactions!$H$3:$H149,"Buy",Transactions!$F$3:$F149,"Managed Fund",Transactions!$D$3:$D149,AH69)
+SUMIFS(Transactions!$I$3:$I149,Transactions!$H$3:$H149,"DRIP",Transactions!$F$3:$F149,"Managed Fund",Transactions!$D$3:$D149,AH69)
+SUMIFS(Transactions!$I$3:$I149,Transactions!$H$3:$H149,"Transfer Deposit",Transactions!$F$3:$F149,"Managed Fund",Transactions!$D$3:$D149,AH69)
+SUMIFS(Transactions!$I$3:$I149,Transactions!$H$3:$H149,"Buy",Transactions!$F$3:$F149,"REIT",Transactions!$D$3:$D149,AH69)
+SUMIFS(Transactions!$I$3:$I149,Transactions!$H$3:$H149,"DRIP",Transactions!$F$3:$F149,"REIT",Transactions!$D$3:$D149,AH69)
+SUMIFS(Transactions!$I$3:$I149,Transactions!$H$3:$H149,"Transfer Deposit",Transactions!$F$3:$F149,"REIT",Transactions!$D$3:$D149,AH69)
-SUMIFS(Transactions!$I$3:$I149,Transactions!$H$3:$H149,"Sell",Transactions!$F$3:$F149,"Stock",Transactions!$D$3:$D149,AH69)
-SUMIFS(Transactions!$I$3:$I149,Transactions!$H$3:$H149,"Transfer Send",Transactions!$F$3:$F149,"Stock",Transactions!$D$3:$D149,AH69)
-SUMIFS(Transactions!$I$3:$I149,Transactions!$H$3:$H149,"Sell",Transactions!$F$3:$F149,"ETF",Transactions!$D$3:$D149,AH69)
-SUMIFS(Transactions!$I$3:$I149,Transactions!$H$3:$H149,"Transfer Send",Transactions!$F$3:$F149,"ETF",Transactions!$D$3:$D149,AH69)
-SUMIFS(Transactions!$I$3:$I149,Transactions!$H$3:$H149,"Sell",Transactions!$F$3:$F149,"Commodity",Transactions!$D$3:$D149,AH69)
-SUMIFS(Transactions!$I$3:$I149,Transactions!$H$3:$H149,"Transfer Send",Transactions!$F$3:$F149,"Commodity",Transactions!$D$3:$D149,AH69)
-SUMIFS(Transactions!$I$3:$I149,Transactions!$H$3:$H149,"Sell",Transactions!$F$3:$F149,"Managed Fund",Transactions!$D$3:$D149,AH69)
-SUMIFS(Transactions!$I$3:$I149,Transactions!$H$3:$H149,"Transfer Send",Transactions!$F$3:$F149,"Managed Fund",Transactions!$D$3:$D149,AH69)
-SUMIFS(Transactions!$I$3:$I149,Transactions!$H$3:$H149,"Sell",Transactions!$F$3:$F149,"REIT",Transactions!$D$3:$D149,AH69)
-SUMIFS(Transactions!$I$3:$I149,Transactions!$H$3:$H149,"Transfer Send",Transactions!$F$3:$F149,"REIT",Transactions!$D$3:$D149,AH69)
+SUMIFS(Transactions!$I$3:$I149,Transactions!$H$3:$H149,"Buy",Transactions!$F$3:$F149,"Crypto",Transactions!$D$3:$D149,AH69)
+SUMIFS(Transactions!$I$3:$I149,Transactions!$H$3:$H149,"Crypto Interest",Transactions!$F$3:$F149,"Crypto",Transactions!$D$3:$D149,AH69)
+SUMIFS(Transactions!$I$3:$I149,Transactions!$H$3:$H149,"Transfer Deposit",Transactions!$F$3:$F149,"Crypto",Transactions!$D$3:$D149,AH69)
-SUMIFS(Transactions!$I$3:$I149,Transactions!$H$3:$H149,"Transfer Send",Transactions!$F$3:$F149,"Crypto",Transactions!$D$3:$D149,AH69)
-SUMIFS(Transactions!$I$3:$I149,Transactions!$H$3:$H149,"Sell",Transactions!$F$3:$F149,"Crypto",Transactions!$D$3:$D149,AH69)
+SUMIFS(Transactions!$I$3:$I149,Transactions!$H$3:$H149,"Buy",Transactions!$F$3:$F149,"Stablecoin",Transactions!$D$3:$D149,AH69)
+SUMIFS(Transactions!$I$3:$I149,Transactions!$H$3:$H149,"Crypto Interest",Transactions!$F$3:$F149,"Stablecoin",Transactions!$D$3:$D149,AH69)
+SUMIFS(Transactions!$I$3:$I149,Transactions!$H$3:$H149,"Transfer Deposit",Transactions!$F$3:$F149,"Stablecoin",Transactions!$D$3:$D149,AH69)
-SUMIFS(Transactions!$I$3:$I149,Transactions!$H$3:$H149,"Transfer Send",Transactions!$F$3:$F149,"Stablecoin",Transactions!$D$3:$D149,AH69)
-SUMIFS(Transactions!$I$3:$I149,Transactions!$H$3:$H149,"Sell",Transactions!$F$3:$F149,"Stablecoin",Transactions!$D$3:$D149,AH69)
-SUMIFS(Transactions!$M$3:$M149,Transactions!$H$3:$H149,"Buy",Transactions!$B$3:$B149,AH69)))</f>
        <v/>
      </c>
      <c r="AJ69" s="181" t="str">
        <f>IFERROR(__xludf.DUMMYFUNCTION("IF(ISBLANK(AH69),"""",VLOOKUP(9^99,FILTER({ROW(Transactions!P:P),Transactions!P:P},Transactions!D:D=AH69),2))"),"")</f>
        <v/>
      </c>
      <c r="AK69" s="181" t="str">
        <f>IFERROR(__xludf.DUMMYFUNCTION("IF(ISBLANK(AH69),"""",IFERROR(GOOGLEFINANCE(AH69,""price""),IFERROR(GOOGLEFINANCE(""CURRENCY:""&amp;AH69&amp;""""),IFERROR(INDEX(YAHOO_STOCK(TRIM(AH69), $G$2),0,1),INDEX(IMPORTHTML(CONCAT(""https://coinmarketcap.com/currencies/"",AG69),""table"",1),1,2)))))"),"")</f>
        <v/>
      </c>
      <c r="AL69" s="14" t="str">
        <f>IFERROR(__xludf.DUMMYFUNCTION("IF(ISBLANK(AH69),"""",IFERROR(SPARKLINE(INDEX(GOOGLEFINANCE(AH69,""price"",TODAY()-$AL$2,TODAY()),,2),{""charttype"",""column"";""color"",""17a7e0""}),""""))"),"")</f>
        <v/>
      </c>
      <c r="AM69" s="50" t="str">
        <f>IFERROR(__xludf.DUMMYFUNCTION("IFNA(IFERROR(IF(AH69="""","""",GOOGLEFINANCE(AH69,""changepct"")/100),(GOOGLEFINANCE(AH69)-(INDEX(GOOGLEFINANCE(""CURRENCY:""&amp;AH69&amp;"""",""price"",TODAY()-1),2,2)))/(INDEX(GOOGLEFINANCE(""CURRENCY:""&amp;AH69&amp;"""",""price"",TODAY()-1),2,2))),)"),"")</f>
        <v/>
      </c>
      <c r="AN69" s="96" t="str">
        <f>IFERROR(__xludf.DUMMYFUNCTION("IFNA(IFERROR(IF(AH69="""","""",GOOGLEFINANCE(AH69,""change"")*AI69),(GOOGLEFINANCE(AH69)-(INDEX(GOOGLEFINANCE(""CURRENCY:""&amp;AH69&amp;"""",""price"",TODAY()-1),2,2)))*AI69),"""")"),"")</f>
        <v/>
      </c>
      <c r="AO69" s="96" t="str">
        <f>IF(ISBLANK(AH69),"",IFERROR(((AI69-SUMIFS(Transactions!I:I,Transactions!H:H,"Crypto Interest",Transactions!D:D,AH69))*AJ69),""))</f>
        <v/>
      </c>
      <c r="AP69" s="96" t="str">
        <f t="shared" si="16"/>
        <v/>
      </c>
      <c r="AQ69" s="50" t="str">
        <f t="shared" si="17"/>
        <v/>
      </c>
      <c r="AR69" s="96" t="str">
        <f t="shared" si="18"/>
        <v/>
      </c>
      <c r="AS69" s="96" t="str">
        <f>IF(ISBLANK(AH69),"",SUMIFS(Transactions!$X$3:$X149,Transactions!$H$3:$H149,"Sell",Transactions!$D$3:$D149,AH69))</f>
        <v/>
      </c>
      <c r="AT69" s="96" t="str">
        <f t="shared" si="19"/>
        <v/>
      </c>
      <c r="AU69" s="50" t="str">
        <f>IFERROR(__xludf.DUMMYFUNCTION("IF(ISBLANK(AH69),"""",IFERROR((GOOGLEFINANCE(AH69,""price"")/INDEX(GOOGLEFINANCE(AH69,""price"",DATEVALUE(TODAY()-$AU$2) ),2,2)-1),""""))"),"")</f>
        <v/>
      </c>
      <c r="AW69" s="50" t="str">
        <f>IFERROR(__xludf.DUMMYFUNCTION("IF(ISBLANK(AH69),"""",IFERROR((GOOGLEFINANCE($AW$2,""price"")/INDEX(GOOGLEFINANCE($AW$2,""price"",DATEVALUE(TODAY()-$AU$2) ),2,2)-1),""""))"),"")</f>
        <v/>
      </c>
      <c r="AY69" s="50" t="str">
        <f t="shared" si="20"/>
        <v/>
      </c>
      <c r="AZ69" s="50" t="str">
        <f t="shared" si="21"/>
        <v/>
      </c>
      <c r="BA69" s="50">
        <f t="shared" si="22"/>
        <v>0</v>
      </c>
      <c r="BB69" s="14" t="str">
        <f t="shared" si="23"/>
        <v/>
      </c>
      <c r="BC69" s="14" t="str">
        <f>IF(ISBLANK(AH69),"",IFERROR(VLOOKUP(AH69,Transactions!D:F,3,0)))</f>
        <v/>
      </c>
      <c r="BD69" s="50" t="str">
        <f t="shared" si="24"/>
        <v/>
      </c>
      <c r="BE69" s="50" t="str">
        <f t="shared" si="25"/>
        <v/>
      </c>
      <c r="BF69" s="14" t="str">
        <f t="shared" si="26"/>
        <v/>
      </c>
      <c r="BG69" s="180" t="str">
        <f>IF(ISBLANK(AH69),"",IFERROR(VLOOKUP(AH69,Transactions!D:G,4,0)))</f>
        <v/>
      </c>
    </row>
    <row r="70">
      <c r="A70" s="14" t="str">
        <f t="shared" ref="A70:C70" si="93">AG70</f>
        <v/>
      </c>
      <c r="B70" s="14" t="str">
        <f t="shared" si="93"/>
        <v/>
      </c>
      <c r="C70" s="175" t="str">
        <f t="shared" si="93"/>
        <v/>
      </c>
      <c r="D70" s="176" t="str">
        <f>IFERROR(__xludf.DUMMYFUNCTION("IF(ISBLANK(B70),"""",IFERROR(IF(OR(AF70=""GPB"",AF70=""ZAR""),IF(AF70=Dashboard!$L$1,AJ70,(AJ70*GOOGLEFINANCE(""CURRENCY:""&amp;AF70&amp;""""&amp;Dashboard!$L$1&amp;""""))/100),IF(AF70=Dashboard!$L$1,AJ70,AJ70*GOOGLEFINANCE(""CURRENCY:""&amp;AF70&amp;""""&amp;Dashboard!$L$1&amp;""""))),"&amp;"AJ70))"),"")</f>
        <v/>
      </c>
      <c r="E70" s="177" t="str">
        <f>IFERROR(__xludf.DUMMYFUNCTION("IFERROR(IF(OR(AF70=""GBP"",AF70=""ZAR""),IF(B70="""","""",IF(AF70=Dashboard!$L$1,AK70,AK70*GOOGLEFINANCE(""CURRENCY:""&amp;AF70&amp;""""&amp;Dashboard!$L$1&amp;"""")))/100,If(B70="""","""",IF(AF70=Dashboard!$L$1,AK70,AK70*GOOGLEFINANCE(""CURRENCY:""&amp;AF70&amp;""""&amp;Dashboard!$"&amp;"L$1&amp;"""")))),AK70)"),"")</f>
        <v/>
      </c>
      <c r="F70" s="145" t="str">
        <f t="shared" si="65"/>
        <v/>
      </c>
      <c r="G70" s="96" t="str">
        <f>IFERROR(__xludf.DUMMYFUNCTION("IF(ISBLANK(B70),"""",IFERROR(SPARKLINE(INDEX(GOOGLEFINANCE(B70,""price"",TODAY()-$G$2,TODAY()),,2),{""charttype"",""column"";""color"",""17a7e0""}),""""))"),"")</f>
        <v/>
      </c>
      <c r="H70" s="50" t="str">
        <f t="shared" si="3"/>
        <v/>
      </c>
      <c r="I70" s="96" t="str">
        <f>IFERROR(__xludf.DUMMYFUNCTION("IF(ISBLANK(B70),"""",IFERROR(IF(OR(AF70=""GPB"",AF70=""ZAR""),IF(AF70=Dashboard!$L$1,AN70,(AN70*GOOGLEFINANCE(""CURRENCY:""&amp;AF70&amp;""""&amp;Dashboard!$L$1&amp;""""))/100),IF(AF70=Dashboard!$L$1,AN70,AN70*GOOGLEFINANCE(""CURRENCY:""&amp;AF70&amp;""""&amp;Dashboard!$L$1&amp;""""))),"&amp;"AN70))"),"")</f>
        <v/>
      </c>
      <c r="J70" s="178" t="str">
        <f>IF(ISBLANK(B70),"",IFERROR(((C70-SUMIFS(Transactions!I:I,Transactions!H:H,"Crypto Interest",Transactions!D:D,B70))*D70),""))</f>
        <v/>
      </c>
      <c r="K70" s="178" t="str">
        <f t="shared" si="4"/>
        <v/>
      </c>
      <c r="L70" s="145">
        <f>IF(ISBLANK(AF70),"",SUMIFS(Transactions!$M$3:$M149,Transactions!$H$3:$H149,"Buy",Transactions!$D$3:$D149,AF70))</f>
        <v>0</v>
      </c>
      <c r="M70" s="145">
        <f>IF(ISBLANK(AG70),"",SUMIFS(Transactions!$M$3:$M149,Transactions!$H$3:$H149,"Dividend",Transactions!$D$3:$D149,AG70))</f>
        <v>0</v>
      </c>
      <c r="N70" s="145" t="str">
        <f>IF(ISBLANK(AH70),"",SUMIFS(Transactions!$M$3:$M149,Transactions!$H$3:$H149,"Sell",Transactions!$D$3:$D149,AH70))</f>
        <v/>
      </c>
      <c r="O70" s="50" t="str">
        <f t="shared" si="5"/>
        <v/>
      </c>
      <c r="P70" s="178" t="str">
        <f t="shared" si="6"/>
        <v/>
      </c>
      <c r="Q70" s="178" t="str">
        <f>IFERROR(__xludf.DUMMYFUNCTION("IF(ISBLANK(B70),"""",IFERROR(IF(OR(AF70=""GPB"",AF70=""ZAR""),IF(AF70=Dashboard!$L$1,AS70,(AS70*GOOGLEFINANCE(""CURRENCY:""&amp;AF70&amp;""""&amp;Dashboard!$L$1&amp;""""))/100),IF(AF70=Dashboard!$L$1,AS70,AS70*GOOGLEFINANCE(""CURRENCY:""&amp;AF70&amp;""""&amp;Dashboard!$L$1&amp;""""))),"&amp;"AS70))"),"")</f>
        <v/>
      </c>
      <c r="R70" s="178" t="str">
        <f t="shared" si="7"/>
        <v/>
      </c>
      <c r="S70" s="50" t="str">
        <f>IFERROR(__xludf.DUMMYFUNCTION("IF(ISBLANK(B70),"""",IFERROR((GOOGLEFINANCE(B70,""price"")/INDEX(GOOGLEFINANCE(B70,""price"",DATEVALUE(TODAY()-$S$2) ),2,2)-1),""""))"),"")</f>
        <v/>
      </c>
      <c r="U70" s="50" t="str">
        <f>IFERROR(__xludf.DUMMYFUNCTION("IF(ISBLANK(B70),"""",IFERROR((GOOGLEFINANCE($U$2,""price"")/INDEX(GOOGLEFINANCE($U$2,""price"",DATEVALUE(TODAY()-$S$2) ),2,2)-1),""""))"),"")</f>
        <v/>
      </c>
      <c r="W70" s="50" t="str">
        <f t="shared" si="8"/>
        <v/>
      </c>
      <c r="X70" s="50" t="str">
        <f t="shared" si="9"/>
        <v/>
      </c>
      <c r="Y70" s="179">
        <v>0.0</v>
      </c>
      <c r="Z70" s="50" t="str">
        <f t="shared" si="10"/>
        <v/>
      </c>
      <c r="AA70" s="14" t="str">
        <f t="shared" si="11"/>
        <v/>
      </c>
      <c r="AB70" s="50" t="str">
        <f t="shared" si="12"/>
        <v/>
      </c>
      <c r="AC70" s="179" t="str">
        <f t="shared" si="13"/>
        <v/>
      </c>
      <c r="AD70" s="50" t="str">
        <f t="shared" si="14"/>
        <v/>
      </c>
      <c r="AE70" s="180" t="str">
        <f t="shared" si="15"/>
        <v/>
      </c>
      <c r="AF70" s="14" t="str">
        <f t="array" ref="AF70">IFERROR(IF(ISBLANK(AH70),"",IF(VLOOKUP(AH70,Transactions!D:F,3,0)="Stablecoin",AH70,INDEX(Transactions!$B$3:$B149,MATCH(AH70,Transactions!$D$3:$D149,0),0))))</f>
        <v/>
      </c>
      <c r="AG70" s="14" t="str">
        <f>IF(ISBLANK(AH70),"",VLOOKUP(AH70,Transactions!D:E,2,0))</f>
        <v/>
      </c>
      <c r="AH70" s="14"/>
      <c r="AI70" s="146" t="str">
        <f>IF(ISBLANK(AH70),"",IF(
SUMIFS(Transactions!$I$3:$I149,Transactions!$H$3:$H149,"Buy",Transactions!$F$3:$F149,"Stock",Transactions!$D$3:$D149,AH70)
+SUMIFS(Transactions!$I$3:$I149,Transactions!$H$3:$H149,"DRIP",Transactions!$F$3:$F149,"Stock",Transactions!$D$3:$D149,AH70)
+SUMIFS(Transactions!$I$3:$I149,Transactions!$H$3:$H149,"Transfer Deposit",Transactions!$F$3:$F149,"Stock",Transactions!$D$3:$D149,AH70)
+SUMIFS(Transactions!$I$3:$I149,Transactions!$H$3:$H149,"Buy",Transactions!$F$3:$F149,"ETF",Transactions!$D$3:$D149,AH70)
+SUMIFS(Transactions!$I$3:$I149,Transactions!$H$3:$H149,"DRIP",Transactions!$F$3:$F149,"ETF",Transactions!$D$3:$D149,AH70)
+SUMIFS(Transactions!$I$3:$I149,Transactions!$H$3:$H149,"Transfer Deposit",Transactions!$F$3:$F149,"ETF",Transactions!$D$3:$D149,AH70)
+SUMIFS(Transactions!$I$3:$I149,Transactions!$H$3:$H149,"Buy",Transactions!$F$3:$F149,"Commodity",Transactions!$D$3:$D149,AH70)
+SUMIFS(Transactions!$I$3:$I149,Transactions!$H$3:$H149,"DRIP",Transactions!$F$3:$F149,"Commodity",Transactions!$D$3:$D149,AH70)
+SUMIFS(Transactions!$I$3:$I149,Transactions!$H$3:$H149,"Transfer Deposit",Transactions!$F$3:$F149,"Commodity",Transactions!$D$3:$D149,AH70)
+SUMIFS(Transactions!$I$3:$I149,Transactions!$H$3:$H149,"Buy",Transactions!$F$3:$F149,"Managed Fund",Transactions!$D$3:$D149,AH70)
+SUMIFS(Transactions!$I$3:$I149,Transactions!$H$3:$H149,"DRIP",Transactions!$F$3:$F149,"Managed Fund",Transactions!$D$3:$D149,AH70)
+SUMIFS(Transactions!$I$3:$I149,Transactions!$H$3:$H149,"Transfer Deposit",Transactions!$F$3:$F149,"Managed Fund",Transactions!$D$3:$D149,AH70)
+SUMIFS(Transactions!$I$3:$I149,Transactions!$H$3:$H149,"Buy",Transactions!$F$3:$F149,"REIT",Transactions!$D$3:$D149,AH70)
+SUMIFS(Transactions!$I$3:$I149,Transactions!$H$3:$H149,"DRIP",Transactions!$F$3:$F149,"REIT",Transactions!$D$3:$D149,AH70)
+SUMIFS(Transactions!$I$3:$I149,Transactions!$H$3:$H149,"Transfer Deposit",Transactions!$F$3:$F149,"REIT",Transactions!$D$3:$D149,AH70)
-SUMIFS(Transactions!$I$3:$I149,Transactions!$H$3:$H149,"Sell",Transactions!$F$3:$F149,"Stock",Transactions!$D$3:$D149,AH70)
-SUMIFS(Transactions!$I$3:$I149,Transactions!$H$3:$H149,"Transfer Send",Transactions!$F$3:$F149,"Stock",Transactions!$D$3:$D149,AH70)
-SUMIFS(Transactions!$I$3:$I149,Transactions!$H$3:$H149,"Sell",Transactions!$F$3:$F149,"ETF",Transactions!$D$3:$D149,AH70)
-SUMIFS(Transactions!$I$3:$I149,Transactions!$H$3:$H149,"Transfer Send",Transactions!$F$3:$F149,"ETF",Transactions!$D$3:$D149,AH70)
-SUMIFS(Transactions!$I$3:$I149,Transactions!$H$3:$H149,"Sell",Transactions!$F$3:$F149,"Commodity",Transactions!$D$3:$D149,AH70)
-SUMIFS(Transactions!$I$3:$I149,Transactions!$H$3:$H149,"Transfer Send",Transactions!$F$3:$F149,"Commodity",Transactions!$D$3:$D149,AH70)
-SUMIFS(Transactions!$I$3:$I149,Transactions!$H$3:$H149,"Sell",Transactions!$F$3:$F149,"Managed Fund",Transactions!$D$3:$D149,AH70)
-SUMIFS(Transactions!$I$3:$I149,Transactions!$H$3:$H149,"Transfer Send",Transactions!$F$3:$F149,"Managed Fund",Transactions!$D$3:$D149,AH70)
-SUMIFS(Transactions!$I$3:$I149,Transactions!$H$3:$H149,"Sell",Transactions!$F$3:$F149,"REIT",Transactions!$D$3:$D149,AH70)
-SUMIFS(Transactions!$I$3:$I149,Transactions!$H$3:$H149,"Transfer Send",Transactions!$F$3:$F149,"REIT",Transactions!$D$3:$D149,AH70)
+SUMIFS(Transactions!$I$3:$I149,Transactions!$H$3:$H149,"Buy",Transactions!$F$3:$F149,"Crypto",Transactions!$D$3:$D149,AH70)
+SUMIFS(Transactions!$I$3:$I149,Transactions!$H$3:$H149,"Crypto Interest",Transactions!$F$3:$F149,"Crypto",Transactions!$D$3:$D149,AH70)
+SUMIFS(Transactions!$I$3:$I149,Transactions!$H$3:$H149,"Transfer Deposit",Transactions!$F$3:$F149,"Crypto",Transactions!$D$3:$D149,AH70)
-SUMIFS(Transactions!$I$3:$I149,Transactions!$H$3:$H149,"Transfer Send",Transactions!$F$3:$F149,"Crypto",Transactions!$D$3:$D149,AH70)
-SUMIFS(Transactions!$I$3:$I149,Transactions!$H$3:$H149,"Sell",Transactions!$F$3:$F149,"Crypto",Transactions!$D$3:$D149,AH70)
+SUMIFS(Transactions!$I$3:$I149,Transactions!$H$3:$H149,"Buy",Transactions!$F$3:$F149,"Stablecoin",Transactions!$D$3:$D149,AH70)
+SUMIFS(Transactions!$I$3:$I149,Transactions!$H$3:$H149,"Crypto Interest",Transactions!$F$3:$F149,"Stablecoin",Transactions!$D$3:$D149,AH70)
+SUMIFS(Transactions!$I$3:$I149,Transactions!$H$3:$H149,"Transfer Deposit",Transactions!$F$3:$F149,"Stablecoin",Transactions!$D$3:$D149,AH70)
-SUMIFS(Transactions!$I$3:$I149,Transactions!$H$3:$H149,"Transfer Send",Transactions!$F$3:$F149,"Stablecoin",Transactions!$D$3:$D149,AH70)
-SUMIFS(Transactions!$I$3:$I149,Transactions!$H$3:$H149,"Sell",Transactions!$F$3:$F149,"Stablecoin",Transactions!$D$3:$D149,AH70)
-SUMIFS(Transactions!$M$3:$M149,Transactions!$H$3:$H149,"Buy",Transactions!$B$3:$B149,AH70)=0,"Sold All",
SUMIFS(Transactions!$I$3:$I149,Transactions!$H$3:$H149,"Buy",Transactions!$F$3:$F149,"Stock",Transactions!$D$3:$D149,AH70)
+SUMIFS(Transactions!$I$3:$I149,Transactions!$H$3:$H149,"DRIP",Transactions!$F$3:$F149,"Stock",Transactions!$D$3:$D149,AH70)
+SUMIFS(Transactions!$I$3:$I149,Transactions!$H$3:$H149,"Transfer Deposit",Transactions!$F$3:$F149,"Stock",Transactions!$D$3:$D149,AH70)
+SUMIFS(Transactions!$I$3:$I149,Transactions!$H$3:$H149,"Buy",Transactions!$F$3:$F149,"ETF",Transactions!$D$3:$D149,AH70)
+SUMIFS(Transactions!$I$3:$I149,Transactions!$H$3:$H149,"DRIP",Transactions!$F$3:$F149,"ETF",Transactions!$D$3:$D149,AH70)
+SUMIFS(Transactions!$I$3:$I149,Transactions!$H$3:$H149,"Transfer Deposit",Transactions!$F$3:$F149,"ETF",Transactions!$D$3:$D149,AH70)
+SUMIFS(Transactions!$I$3:$I149,Transactions!$H$3:$H149,"Buy",Transactions!$F$3:$F149,"Commodity",Transactions!$D$3:$D149,AH70)
+SUMIFS(Transactions!$I$3:$I149,Transactions!$H$3:$H149,"DRIP",Transactions!$F$3:$F149,"Commodity",Transactions!$D$3:$D149,AH70)
+SUMIFS(Transactions!$I$3:$I149,Transactions!$H$3:$H149,"Transfer Deposit",Transactions!$F$3:$F149,"Commodity",Transactions!$D$3:$D149,AH70)
+SUMIFS(Transactions!$I$3:$I149,Transactions!$H$3:$H149,"Buy",Transactions!$F$3:$F149,"Managed Fund",Transactions!$D$3:$D149,AH70)
+SUMIFS(Transactions!$I$3:$I149,Transactions!$H$3:$H149,"DRIP",Transactions!$F$3:$F149,"Managed Fund",Transactions!$D$3:$D149,AH70)
+SUMIFS(Transactions!$I$3:$I149,Transactions!$H$3:$H149,"Transfer Deposit",Transactions!$F$3:$F149,"Managed Fund",Transactions!$D$3:$D149,AH70)
+SUMIFS(Transactions!$I$3:$I149,Transactions!$H$3:$H149,"Buy",Transactions!$F$3:$F149,"REIT",Transactions!$D$3:$D149,AH70)
+SUMIFS(Transactions!$I$3:$I149,Transactions!$H$3:$H149,"DRIP",Transactions!$F$3:$F149,"REIT",Transactions!$D$3:$D149,AH70)
+SUMIFS(Transactions!$I$3:$I149,Transactions!$H$3:$H149,"Transfer Deposit",Transactions!$F$3:$F149,"REIT",Transactions!$D$3:$D149,AH70)
-SUMIFS(Transactions!$I$3:$I149,Transactions!$H$3:$H149,"Sell",Transactions!$F$3:$F149,"Stock",Transactions!$D$3:$D149,AH70)
-SUMIFS(Transactions!$I$3:$I149,Transactions!$H$3:$H149,"Transfer Send",Transactions!$F$3:$F149,"Stock",Transactions!$D$3:$D149,AH70)
-SUMIFS(Transactions!$I$3:$I149,Transactions!$H$3:$H149,"Sell",Transactions!$F$3:$F149,"ETF",Transactions!$D$3:$D149,AH70)
-SUMIFS(Transactions!$I$3:$I149,Transactions!$H$3:$H149,"Transfer Send",Transactions!$F$3:$F149,"ETF",Transactions!$D$3:$D149,AH70)
-SUMIFS(Transactions!$I$3:$I149,Transactions!$H$3:$H149,"Sell",Transactions!$F$3:$F149,"Commodity",Transactions!$D$3:$D149,AH70)
-SUMIFS(Transactions!$I$3:$I149,Transactions!$H$3:$H149,"Transfer Send",Transactions!$F$3:$F149,"Commodity",Transactions!$D$3:$D149,AH70)
-SUMIFS(Transactions!$I$3:$I149,Transactions!$H$3:$H149,"Sell",Transactions!$F$3:$F149,"Managed Fund",Transactions!$D$3:$D149,AH70)
-SUMIFS(Transactions!$I$3:$I149,Transactions!$H$3:$H149,"Transfer Send",Transactions!$F$3:$F149,"Managed Fund",Transactions!$D$3:$D149,AH70)
-SUMIFS(Transactions!$I$3:$I149,Transactions!$H$3:$H149,"Sell",Transactions!$F$3:$F149,"REIT",Transactions!$D$3:$D149,AH70)
-SUMIFS(Transactions!$I$3:$I149,Transactions!$H$3:$H149,"Transfer Send",Transactions!$F$3:$F149,"REIT",Transactions!$D$3:$D149,AH70)
+SUMIFS(Transactions!$I$3:$I149,Transactions!$H$3:$H149,"Buy",Transactions!$F$3:$F149,"Crypto",Transactions!$D$3:$D149,AH70)
+SUMIFS(Transactions!$I$3:$I149,Transactions!$H$3:$H149,"Crypto Interest",Transactions!$F$3:$F149,"Crypto",Transactions!$D$3:$D149,AH70)
+SUMIFS(Transactions!$I$3:$I149,Transactions!$H$3:$H149,"Transfer Deposit",Transactions!$F$3:$F149,"Crypto",Transactions!$D$3:$D149,AH70)
-SUMIFS(Transactions!$I$3:$I149,Transactions!$H$3:$H149,"Transfer Send",Transactions!$F$3:$F149,"Crypto",Transactions!$D$3:$D149,AH70)
-SUMIFS(Transactions!$I$3:$I149,Transactions!$H$3:$H149,"Sell",Transactions!$F$3:$F149,"Crypto",Transactions!$D$3:$D149,AH70)
+SUMIFS(Transactions!$I$3:$I149,Transactions!$H$3:$H149,"Buy",Transactions!$F$3:$F149,"Stablecoin",Transactions!$D$3:$D149,AH70)
+SUMIFS(Transactions!$I$3:$I149,Transactions!$H$3:$H149,"Crypto Interest",Transactions!$F$3:$F149,"Stablecoin",Transactions!$D$3:$D149,AH70)
+SUMIFS(Transactions!$I$3:$I149,Transactions!$H$3:$H149,"Transfer Deposit",Transactions!$F$3:$F149,"Stablecoin",Transactions!$D$3:$D149,AH70)
-SUMIFS(Transactions!$I$3:$I149,Transactions!$H$3:$H149,"Transfer Send",Transactions!$F$3:$F149,"Stablecoin",Transactions!$D$3:$D149,AH70)
-SUMIFS(Transactions!$I$3:$I149,Transactions!$H$3:$H149,"Sell",Transactions!$F$3:$F149,"Stablecoin",Transactions!$D$3:$D149,AH70)
-SUMIFS(Transactions!$M$3:$M149,Transactions!$H$3:$H149,"Buy",Transactions!$B$3:$B149,AH70)))</f>
        <v/>
      </c>
      <c r="AJ70" s="181" t="str">
        <f>IFERROR(__xludf.DUMMYFUNCTION("IF(ISBLANK(AH70),"""",VLOOKUP(9^99,FILTER({ROW(Transactions!P:P),Transactions!P:P},Transactions!D:D=AH70),2))"),"")</f>
        <v/>
      </c>
      <c r="AK70" s="181" t="str">
        <f>IFERROR(__xludf.DUMMYFUNCTION("IF(ISBLANK(AH70),"""",IFERROR(GOOGLEFINANCE(AH70,""price""),IFERROR(GOOGLEFINANCE(""CURRENCY:""&amp;AH70&amp;""""),IFERROR(INDEX(YAHOO_STOCK(TRIM(AH70), $G$2),0,1),INDEX(IMPORTHTML(CONCAT(""https://coinmarketcap.com/currencies/"",AG70),""table"",1),1,2)))))"),"")</f>
        <v/>
      </c>
      <c r="AL70" s="14" t="str">
        <f>IFERROR(__xludf.DUMMYFUNCTION("IF(ISBLANK(AH70),"""",IFERROR(SPARKLINE(INDEX(GOOGLEFINANCE(AH70,""price"",TODAY()-$AL$2,TODAY()),,2),{""charttype"",""column"";""color"",""17a7e0""}),""""))"),"")</f>
        <v/>
      </c>
      <c r="AM70" s="50" t="str">
        <f>IFERROR(__xludf.DUMMYFUNCTION("IFNA(IFERROR(IF(AH70="""","""",GOOGLEFINANCE(AH70,""changepct"")/100),(GOOGLEFINANCE(AH70)-(INDEX(GOOGLEFINANCE(""CURRENCY:""&amp;AH70&amp;"""",""price"",TODAY()-1),2,2)))/(INDEX(GOOGLEFINANCE(""CURRENCY:""&amp;AH70&amp;"""",""price"",TODAY()-1),2,2))),)"),"")</f>
        <v/>
      </c>
      <c r="AN70" s="96" t="str">
        <f>IFERROR(__xludf.DUMMYFUNCTION("IFNA(IFERROR(IF(AH70="""","""",GOOGLEFINANCE(AH70,""change"")*AI70),(GOOGLEFINANCE(AH70)-(INDEX(GOOGLEFINANCE(""CURRENCY:""&amp;AH70&amp;"""",""price"",TODAY()-1),2,2)))*AI70),"""")"),"")</f>
        <v/>
      </c>
      <c r="AO70" s="96" t="str">
        <f>IF(ISBLANK(AH70),"",IFERROR(((AI70-SUMIFS(Transactions!I:I,Transactions!H:H,"Crypto Interest",Transactions!D:D,AH70))*AJ70),""))</f>
        <v/>
      </c>
      <c r="AP70" s="96" t="str">
        <f t="shared" si="16"/>
        <v/>
      </c>
      <c r="AQ70" s="50" t="str">
        <f t="shared" si="17"/>
        <v/>
      </c>
      <c r="AR70" s="96" t="str">
        <f t="shared" si="18"/>
        <v/>
      </c>
      <c r="AS70" s="96" t="str">
        <f>IF(ISBLANK(AH70),"",SUMIFS(Transactions!$X$3:$X149,Transactions!$H$3:$H149,"Sell",Transactions!$D$3:$D149,AH70))</f>
        <v/>
      </c>
      <c r="AT70" s="96" t="str">
        <f t="shared" si="19"/>
        <v/>
      </c>
      <c r="AU70" s="50" t="str">
        <f>IFERROR(__xludf.DUMMYFUNCTION("IF(ISBLANK(AH70),"""",IFERROR((GOOGLEFINANCE(AH70,""price"")/INDEX(GOOGLEFINANCE(AH70,""price"",DATEVALUE(TODAY()-$AU$2) ),2,2)-1),""""))"),"")</f>
        <v/>
      </c>
      <c r="AW70" s="50" t="str">
        <f>IFERROR(__xludf.DUMMYFUNCTION("IF(ISBLANK(AH70),"""",IFERROR((GOOGLEFINANCE($AW$2,""price"")/INDEX(GOOGLEFINANCE($AW$2,""price"",DATEVALUE(TODAY()-$AU$2) ),2,2)-1),""""))"),"")</f>
        <v/>
      </c>
      <c r="AY70" s="50" t="str">
        <f t="shared" si="20"/>
        <v/>
      </c>
      <c r="AZ70" s="50" t="str">
        <f t="shared" si="21"/>
        <v/>
      </c>
      <c r="BA70" s="50">
        <f t="shared" si="22"/>
        <v>0</v>
      </c>
      <c r="BB70" s="14" t="str">
        <f t="shared" si="23"/>
        <v/>
      </c>
      <c r="BC70" s="14" t="str">
        <f>IF(ISBLANK(AH70),"",IFERROR(VLOOKUP(AH70,Transactions!D:F,3,0)))</f>
        <v/>
      </c>
      <c r="BD70" s="50" t="str">
        <f t="shared" si="24"/>
        <v/>
      </c>
      <c r="BE70" s="50" t="str">
        <f t="shared" si="25"/>
        <v/>
      </c>
      <c r="BF70" s="14" t="str">
        <f t="shared" si="26"/>
        <v/>
      </c>
      <c r="BG70" s="180" t="str">
        <f>IF(ISBLANK(AH70),"",IFERROR(VLOOKUP(AH70,Transactions!D:G,4,0)))</f>
        <v/>
      </c>
    </row>
    <row r="71">
      <c r="A71" s="14" t="str">
        <f t="shared" ref="A71:C71" si="94">AG71</f>
        <v/>
      </c>
      <c r="B71" s="14" t="str">
        <f t="shared" si="94"/>
        <v/>
      </c>
      <c r="C71" s="175" t="str">
        <f t="shared" si="94"/>
        <v/>
      </c>
      <c r="D71" s="176" t="str">
        <f>IFERROR(__xludf.DUMMYFUNCTION("IF(ISBLANK(B71),"""",IFERROR(IF(OR(AF71=""GPB"",AF71=""ZAR""),IF(AF71=Dashboard!$L$1,AJ71,(AJ71*GOOGLEFINANCE(""CURRENCY:""&amp;AF71&amp;""""&amp;Dashboard!$L$1&amp;""""))/100),IF(AF71=Dashboard!$L$1,AJ71,AJ71*GOOGLEFINANCE(""CURRENCY:""&amp;AF71&amp;""""&amp;Dashboard!$L$1&amp;""""))),"&amp;"AJ71))"),"")</f>
        <v/>
      </c>
      <c r="E71" s="177" t="str">
        <f>IFERROR(__xludf.DUMMYFUNCTION("IFERROR(IF(OR(AF71=""GBP"",AF71=""ZAR""),IF(B71="""","""",IF(AF71=Dashboard!$L$1,AK71,AK71*GOOGLEFINANCE(""CURRENCY:""&amp;AF71&amp;""""&amp;Dashboard!$L$1&amp;"""")))/100,If(B71="""","""",IF(AF71=Dashboard!$L$1,AK71,AK71*GOOGLEFINANCE(""CURRENCY:""&amp;AF71&amp;""""&amp;Dashboard!$"&amp;"L$1&amp;"""")))),AK71)"),"")</f>
        <v/>
      </c>
      <c r="F71" s="145" t="str">
        <f t="shared" si="65"/>
        <v/>
      </c>
      <c r="G71" s="96" t="str">
        <f>IFERROR(__xludf.DUMMYFUNCTION("IF(ISBLANK(B71),"""",IFERROR(SPARKLINE(INDEX(GOOGLEFINANCE(B71,""price"",TODAY()-$G$2,TODAY()),,2),{""charttype"",""column"";""color"",""17a7e0""}),""""))"),"")</f>
        <v/>
      </c>
      <c r="H71" s="50" t="str">
        <f t="shared" si="3"/>
        <v/>
      </c>
      <c r="I71" s="96" t="str">
        <f>IFERROR(__xludf.DUMMYFUNCTION("IF(ISBLANK(B71),"""",IFERROR(IF(OR(AF71=""GPB"",AF71=""ZAR""),IF(AF71=Dashboard!$L$1,AN71,(AN71*GOOGLEFINANCE(""CURRENCY:""&amp;AF71&amp;""""&amp;Dashboard!$L$1&amp;""""))/100),IF(AF71=Dashboard!$L$1,AN71,AN71*GOOGLEFINANCE(""CURRENCY:""&amp;AF71&amp;""""&amp;Dashboard!$L$1&amp;""""))),"&amp;"AN71))"),"")</f>
        <v/>
      </c>
      <c r="J71" s="178" t="str">
        <f>IF(ISBLANK(B71),"",IFERROR(((C71-SUMIFS(Transactions!I:I,Transactions!H:H,"Crypto Interest",Transactions!D:D,B71))*D71),""))</f>
        <v/>
      </c>
      <c r="K71" s="178" t="str">
        <f t="shared" si="4"/>
        <v/>
      </c>
      <c r="L71" s="145">
        <f>IF(ISBLANK(AF71),"",SUMIFS(Transactions!$M$3:$M149,Transactions!$H$3:$H149,"Buy",Transactions!$D$3:$D149,AF71))</f>
        <v>0</v>
      </c>
      <c r="M71" s="145">
        <f>IF(ISBLANK(AG71),"",SUMIFS(Transactions!$M$3:$M149,Transactions!$H$3:$H149,"Dividend",Transactions!$D$3:$D149,AG71))</f>
        <v>0</v>
      </c>
      <c r="N71" s="145" t="str">
        <f>IF(ISBLANK(AH71),"",SUMIFS(Transactions!$M$3:$M149,Transactions!$H$3:$H149,"Sell",Transactions!$D$3:$D149,AH71))</f>
        <v/>
      </c>
      <c r="O71" s="50" t="str">
        <f t="shared" si="5"/>
        <v/>
      </c>
      <c r="P71" s="178" t="str">
        <f t="shared" si="6"/>
        <v/>
      </c>
      <c r="Q71" s="178" t="str">
        <f>IFERROR(__xludf.DUMMYFUNCTION("IF(ISBLANK(B71),"""",IFERROR(IF(OR(AF71=""GPB"",AF71=""ZAR""),IF(AF71=Dashboard!$L$1,AS71,(AS71*GOOGLEFINANCE(""CURRENCY:""&amp;AF71&amp;""""&amp;Dashboard!$L$1&amp;""""))/100),IF(AF71=Dashboard!$L$1,AS71,AS71*GOOGLEFINANCE(""CURRENCY:""&amp;AF71&amp;""""&amp;Dashboard!$L$1&amp;""""))),"&amp;"AS71))"),"")</f>
        <v/>
      </c>
      <c r="R71" s="178" t="str">
        <f t="shared" si="7"/>
        <v/>
      </c>
      <c r="S71" s="50" t="str">
        <f>IFERROR(__xludf.DUMMYFUNCTION("IF(ISBLANK(B71),"""",IFERROR((GOOGLEFINANCE(B71,""price"")/INDEX(GOOGLEFINANCE(B71,""price"",DATEVALUE(TODAY()-$S$2) ),2,2)-1),""""))"),"")</f>
        <v/>
      </c>
      <c r="U71" s="50" t="str">
        <f>IFERROR(__xludf.DUMMYFUNCTION("IF(ISBLANK(B71),"""",IFERROR((GOOGLEFINANCE($U$2,""price"")/INDEX(GOOGLEFINANCE($U$2,""price"",DATEVALUE(TODAY()-$S$2) ),2,2)-1),""""))"),"")</f>
        <v/>
      </c>
      <c r="W71" s="50" t="str">
        <f t="shared" si="8"/>
        <v/>
      </c>
      <c r="X71" s="50" t="str">
        <f t="shared" si="9"/>
        <v/>
      </c>
      <c r="Y71" s="179">
        <v>0.0</v>
      </c>
      <c r="Z71" s="50" t="str">
        <f t="shared" si="10"/>
        <v/>
      </c>
      <c r="AA71" s="14" t="str">
        <f t="shared" si="11"/>
        <v/>
      </c>
      <c r="AB71" s="50" t="str">
        <f t="shared" si="12"/>
        <v/>
      </c>
      <c r="AC71" s="179" t="str">
        <f t="shared" si="13"/>
        <v/>
      </c>
      <c r="AD71" s="50" t="str">
        <f t="shared" si="14"/>
        <v/>
      </c>
      <c r="AE71" s="180" t="str">
        <f t="shared" si="15"/>
        <v/>
      </c>
      <c r="AF71" s="14" t="str">
        <f t="array" ref="AF71">IFERROR(IF(ISBLANK(AH71),"",IF(VLOOKUP(AH71,Transactions!D:F,3,0)="Stablecoin",AH71,INDEX(Transactions!$B$3:$B149,MATCH(AH71,Transactions!$D$3:$D149,0),0))))</f>
        <v/>
      </c>
      <c r="AG71" s="14" t="str">
        <f>IF(ISBLANK(AH71),"",VLOOKUP(AH71,Transactions!D:E,2,0))</f>
        <v/>
      </c>
      <c r="AH71" s="14"/>
      <c r="AI71" s="146" t="str">
        <f>IF(ISBLANK(AH71),"",IF(
SUMIFS(Transactions!$I$3:$I149,Transactions!$H$3:$H149,"Buy",Transactions!$F$3:$F149,"Stock",Transactions!$D$3:$D149,AH71)
+SUMIFS(Transactions!$I$3:$I149,Transactions!$H$3:$H149,"DRIP",Transactions!$F$3:$F149,"Stock",Transactions!$D$3:$D149,AH71)
+SUMIFS(Transactions!$I$3:$I149,Transactions!$H$3:$H149,"Transfer Deposit",Transactions!$F$3:$F149,"Stock",Transactions!$D$3:$D149,AH71)
+SUMIFS(Transactions!$I$3:$I149,Transactions!$H$3:$H149,"Buy",Transactions!$F$3:$F149,"ETF",Transactions!$D$3:$D149,AH71)
+SUMIFS(Transactions!$I$3:$I149,Transactions!$H$3:$H149,"DRIP",Transactions!$F$3:$F149,"ETF",Transactions!$D$3:$D149,AH71)
+SUMIFS(Transactions!$I$3:$I149,Transactions!$H$3:$H149,"Transfer Deposit",Transactions!$F$3:$F149,"ETF",Transactions!$D$3:$D149,AH71)
+SUMIFS(Transactions!$I$3:$I149,Transactions!$H$3:$H149,"Buy",Transactions!$F$3:$F149,"Commodity",Transactions!$D$3:$D149,AH71)
+SUMIFS(Transactions!$I$3:$I149,Transactions!$H$3:$H149,"DRIP",Transactions!$F$3:$F149,"Commodity",Transactions!$D$3:$D149,AH71)
+SUMIFS(Transactions!$I$3:$I149,Transactions!$H$3:$H149,"Transfer Deposit",Transactions!$F$3:$F149,"Commodity",Transactions!$D$3:$D149,AH71)
+SUMIFS(Transactions!$I$3:$I149,Transactions!$H$3:$H149,"Buy",Transactions!$F$3:$F149,"Managed Fund",Transactions!$D$3:$D149,AH71)
+SUMIFS(Transactions!$I$3:$I149,Transactions!$H$3:$H149,"DRIP",Transactions!$F$3:$F149,"Managed Fund",Transactions!$D$3:$D149,AH71)
+SUMIFS(Transactions!$I$3:$I149,Transactions!$H$3:$H149,"Transfer Deposit",Transactions!$F$3:$F149,"Managed Fund",Transactions!$D$3:$D149,AH71)
+SUMIFS(Transactions!$I$3:$I149,Transactions!$H$3:$H149,"Buy",Transactions!$F$3:$F149,"REIT",Transactions!$D$3:$D149,AH71)
+SUMIFS(Transactions!$I$3:$I149,Transactions!$H$3:$H149,"DRIP",Transactions!$F$3:$F149,"REIT",Transactions!$D$3:$D149,AH71)
+SUMIFS(Transactions!$I$3:$I149,Transactions!$H$3:$H149,"Transfer Deposit",Transactions!$F$3:$F149,"REIT",Transactions!$D$3:$D149,AH71)
-SUMIFS(Transactions!$I$3:$I149,Transactions!$H$3:$H149,"Sell",Transactions!$F$3:$F149,"Stock",Transactions!$D$3:$D149,AH71)
-SUMIFS(Transactions!$I$3:$I149,Transactions!$H$3:$H149,"Transfer Send",Transactions!$F$3:$F149,"Stock",Transactions!$D$3:$D149,AH71)
-SUMIFS(Transactions!$I$3:$I149,Transactions!$H$3:$H149,"Sell",Transactions!$F$3:$F149,"ETF",Transactions!$D$3:$D149,AH71)
-SUMIFS(Transactions!$I$3:$I149,Transactions!$H$3:$H149,"Transfer Send",Transactions!$F$3:$F149,"ETF",Transactions!$D$3:$D149,AH71)
-SUMIFS(Transactions!$I$3:$I149,Transactions!$H$3:$H149,"Sell",Transactions!$F$3:$F149,"Commodity",Transactions!$D$3:$D149,AH71)
-SUMIFS(Transactions!$I$3:$I149,Transactions!$H$3:$H149,"Transfer Send",Transactions!$F$3:$F149,"Commodity",Transactions!$D$3:$D149,AH71)
-SUMIFS(Transactions!$I$3:$I149,Transactions!$H$3:$H149,"Sell",Transactions!$F$3:$F149,"Managed Fund",Transactions!$D$3:$D149,AH71)
-SUMIFS(Transactions!$I$3:$I149,Transactions!$H$3:$H149,"Transfer Send",Transactions!$F$3:$F149,"Managed Fund",Transactions!$D$3:$D149,AH71)
-SUMIFS(Transactions!$I$3:$I149,Transactions!$H$3:$H149,"Sell",Transactions!$F$3:$F149,"REIT",Transactions!$D$3:$D149,AH71)
-SUMIFS(Transactions!$I$3:$I149,Transactions!$H$3:$H149,"Transfer Send",Transactions!$F$3:$F149,"REIT",Transactions!$D$3:$D149,AH71)
+SUMIFS(Transactions!$I$3:$I149,Transactions!$H$3:$H149,"Buy",Transactions!$F$3:$F149,"Crypto",Transactions!$D$3:$D149,AH71)
+SUMIFS(Transactions!$I$3:$I149,Transactions!$H$3:$H149,"Crypto Interest",Transactions!$F$3:$F149,"Crypto",Transactions!$D$3:$D149,AH71)
+SUMIFS(Transactions!$I$3:$I149,Transactions!$H$3:$H149,"Transfer Deposit",Transactions!$F$3:$F149,"Crypto",Transactions!$D$3:$D149,AH71)
-SUMIFS(Transactions!$I$3:$I149,Transactions!$H$3:$H149,"Transfer Send",Transactions!$F$3:$F149,"Crypto",Transactions!$D$3:$D149,AH71)
-SUMIFS(Transactions!$I$3:$I149,Transactions!$H$3:$H149,"Sell",Transactions!$F$3:$F149,"Crypto",Transactions!$D$3:$D149,AH71)
+SUMIFS(Transactions!$I$3:$I149,Transactions!$H$3:$H149,"Buy",Transactions!$F$3:$F149,"Stablecoin",Transactions!$D$3:$D149,AH71)
+SUMIFS(Transactions!$I$3:$I149,Transactions!$H$3:$H149,"Crypto Interest",Transactions!$F$3:$F149,"Stablecoin",Transactions!$D$3:$D149,AH71)
+SUMIFS(Transactions!$I$3:$I149,Transactions!$H$3:$H149,"Transfer Deposit",Transactions!$F$3:$F149,"Stablecoin",Transactions!$D$3:$D149,AH71)
-SUMIFS(Transactions!$I$3:$I149,Transactions!$H$3:$H149,"Transfer Send",Transactions!$F$3:$F149,"Stablecoin",Transactions!$D$3:$D149,AH71)
-SUMIFS(Transactions!$I$3:$I149,Transactions!$H$3:$H149,"Sell",Transactions!$F$3:$F149,"Stablecoin",Transactions!$D$3:$D149,AH71)
-SUMIFS(Transactions!$M$3:$M149,Transactions!$H$3:$H149,"Buy",Transactions!$B$3:$B149,AH71)=0,"Sold All",
SUMIFS(Transactions!$I$3:$I149,Transactions!$H$3:$H149,"Buy",Transactions!$F$3:$F149,"Stock",Transactions!$D$3:$D149,AH71)
+SUMIFS(Transactions!$I$3:$I149,Transactions!$H$3:$H149,"DRIP",Transactions!$F$3:$F149,"Stock",Transactions!$D$3:$D149,AH71)
+SUMIFS(Transactions!$I$3:$I149,Transactions!$H$3:$H149,"Transfer Deposit",Transactions!$F$3:$F149,"Stock",Transactions!$D$3:$D149,AH71)
+SUMIFS(Transactions!$I$3:$I149,Transactions!$H$3:$H149,"Buy",Transactions!$F$3:$F149,"ETF",Transactions!$D$3:$D149,AH71)
+SUMIFS(Transactions!$I$3:$I149,Transactions!$H$3:$H149,"DRIP",Transactions!$F$3:$F149,"ETF",Transactions!$D$3:$D149,AH71)
+SUMIFS(Transactions!$I$3:$I149,Transactions!$H$3:$H149,"Transfer Deposit",Transactions!$F$3:$F149,"ETF",Transactions!$D$3:$D149,AH71)
+SUMIFS(Transactions!$I$3:$I149,Transactions!$H$3:$H149,"Buy",Transactions!$F$3:$F149,"Commodity",Transactions!$D$3:$D149,AH71)
+SUMIFS(Transactions!$I$3:$I149,Transactions!$H$3:$H149,"DRIP",Transactions!$F$3:$F149,"Commodity",Transactions!$D$3:$D149,AH71)
+SUMIFS(Transactions!$I$3:$I149,Transactions!$H$3:$H149,"Transfer Deposit",Transactions!$F$3:$F149,"Commodity",Transactions!$D$3:$D149,AH71)
+SUMIFS(Transactions!$I$3:$I149,Transactions!$H$3:$H149,"Buy",Transactions!$F$3:$F149,"Managed Fund",Transactions!$D$3:$D149,AH71)
+SUMIFS(Transactions!$I$3:$I149,Transactions!$H$3:$H149,"DRIP",Transactions!$F$3:$F149,"Managed Fund",Transactions!$D$3:$D149,AH71)
+SUMIFS(Transactions!$I$3:$I149,Transactions!$H$3:$H149,"Transfer Deposit",Transactions!$F$3:$F149,"Managed Fund",Transactions!$D$3:$D149,AH71)
+SUMIFS(Transactions!$I$3:$I149,Transactions!$H$3:$H149,"Buy",Transactions!$F$3:$F149,"REIT",Transactions!$D$3:$D149,AH71)
+SUMIFS(Transactions!$I$3:$I149,Transactions!$H$3:$H149,"DRIP",Transactions!$F$3:$F149,"REIT",Transactions!$D$3:$D149,AH71)
+SUMIFS(Transactions!$I$3:$I149,Transactions!$H$3:$H149,"Transfer Deposit",Transactions!$F$3:$F149,"REIT",Transactions!$D$3:$D149,AH71)
-SUMIFS(Transactions!$I$3:$I149,Transactions!$H$3:$H149,"Sell",Transactions!$F$3:$F149,"Stock",Transactions!$D$3:$D149,AH71)
-SUMIFS(Transactions!$I$3:$I149,Transactions!$H$3:$H149,"Transfer Send",Transactions!$F$3:$F149,"Stock",Transactions!$D$3:$D149,AH71)
-SUMIFS(Transactions!$I$3:$I149,Transactions!$H$3:$H149,"Sell",Transactions!$F$3:$F149,"ETF",Transactions!$D$3:$D149,AH71)
-SUMIFS(Transactions!$I$3:$I149,Transactions!$H$3:$H149,"Transfer Send",Transactions!$F$3:$F149,"ETF",Transactions!$D$3:$D149,AH71)
-SUMIFS(Transactions!$I$3:$I149,Transactions!$H$3:$H149,"Sell",Transactions!$F$3:$F149,"Commodity",Transactions!$D$3:$D149,AH71)
-SUMIFS(Transactions!$I$3:$I149,Transactions!$H$3:$H149,"Transfer Send",Transactions!$F$3:$F149,"Commodity",Transactions!$D$3:$D149,AH71)
-SUMIFS(Transactions!$I$3:$I149,Transactions!$H$3:$H149,"Sell",Transactions!$F$3:$F149,"Managed Fund",Transactions!$D$3:$D149,AH71)
-SUMIFS(Transactions!$I$3:$I149,Transactions!$H$3:$H149,"Transfer Send",Transactions!$F$3:$F149,"Managed Fund",Transactions!$D$3:$D149,AH71)
-SUMIFS(Transactions!$I$3:$I149,Transactions!$H$3:$H149,"Sell",Transactions!$F$3:$F149,"REIT",Transactions!$D$3:$D149,AH71)
-SUMIFS(Transactions!$I$3:$I149,Transactions!$H$3:$H149,"Transfer Send",Transactions!$F$3:$F149,"REIT",Transactions!$D$3:$D149,AH71)
+SUMIFS(Transactions!$I$3:$I149,Transactions!$H$3:$H149,"Buy",Transactions!$F$3:$F149,"Crypto",Transactions!$D$3:$D149,AH71)
+SUMIFS(Transactions!$I$3:$I149,Transactions!$H$3:$H149,"Crypto Interest",Transactions!$F$3:$F149,"Crypto",Transactions!$D$3:$D149,AH71)
+SUMIFS(Transactions!$I$3:$I149,Transactions!$H$3:$H149,"Transfer Deposit",Transactions!$F$3:$F149,"Crypto",Transactions!$D$3:$D149,AH71)
-SUMIFS(Transactions!$I$3:$I149,Transactions!$H$3:$H149,"Transfer Send",Transactions!$F$3:$F149,"Crypto",Transactions!$D$3:$D149,AH71)
-SUMIFS(Transactions!$I$3:$I149,Transactions!$H$3:$H149,"Sell",Transactions!$F$3:$F149,"Crypto",Transactions!$D$3:$D149,AH71)
+SUMIFS(Transactions!$I$3:$I149,Transactions!$H$3:$H149,"Buy",Transactions!$F$3:$F149,"Stablecoin",Transactions!$D$3:$D149,AH71)
+SUMIFS(Transactions!$I$3:$I149,Transactions!$H$3:$H149,"Crypto Interest",Transactions!$F$3:$F149,"Stablecoin",Transactions!$D$3:$D149,AH71)
+SUMIFS(Transactions!$I$3:$I149,Transactions!$H$3:$H149,"Transfer Deposit",Transactions!$F$3:$F149,"Stablecoin",Transactions!$D$3:$D149,AH71)
-SUMIFS(Transactions!$I$3:$I149,Transactions!$H$3:$H149,"Transfer Send",Transactions!$F$3:$F149,"Stablecoin",Transactions!$D$3:$D149,AH71)
-SUMIFS(Transactions!$I$3:$I149,Transactions!$H$3:$H149,"Sell",Transactions!$F$3:$F149,"Stablecoin",Transactions!$D$3:$D149,AH71)
-SUMIFS(Transactions!$M$3:$M149,Transactions!$H$3:$H149,"Buy",Transactions!$B$3:$B149,AH71)))</f>
        <v/>
      </c>
      <c r="AJ71" s="181" t="str">
        <f>IFERROR(__xludf.DUMMYFUNCTION("IF(ISBLANK(AH71),"""",VLOOKUP(9^99,FILTER({ROW(Transactions!P:P),Transactions!P:P},Transactions!D:D=AH71),2))"),"")</f>
        <v/>
      </c>
      <c r="AK71" s="181" t="str">
        <f>IFERROR(__xludf.DUMMYFUNCTION("IF(ISBLANK(AH71),"""",IFERROR(GOOGLEFINANCE(AH71,""price""),IFERROR(GOOGLEFINANCE(""CURRENCY:""&amp;AH71&amp;""""),IFERROR(INDEX(YAHOO_STOCK(TRIM(AH71), $G$2),0,1),INDEX(IMPORTHTML(CONCAT(""https://coinmarketcap.com/currencies/"",AG71),""table"",1),1,2)))))"),"")</f>
        <v/>
      </c>
      <c r="AL71" s="14" t="str">
        <f>IFERROR(__xludf.DUMMYFUNCTION("IF(ISBLANK(AH71),"""",IFERROR(SPARKLINE(INDEX(GOOGLEFINANCE(AH71,""price"",TODAY()-$AL$2,TODAY()),,2),{""charttype"",""column"";""color"",""17a7e0""}),""""))"),"")</f>
        <v/>
      </c>
      <c r="AM71" s="50" t="str">
        <f>IFERROR(__xludf.DUMMYFUNCTION("IFNA(IFERROR(IF(AH71="""","""",GOOGLEFINANCE(AH71,""changepct"")/100),(GOOGLEFINANCE(AH71)-(INDEX(GOOGLEFINANCE(""CURRENCY:""&amp;AH71&amp;"""",""price"",TODAY()-1),2,2)))/(INDEX(GOOGLEFINANCE(""CURRENCY:""&amp;AH71&amp;"""",""price"",TODAY()-1),2,2))),)"),"")</f>
        <v/>
      </c>
      <c r="AN71" s="96" t="str">
        <f>IFERROR(__xludf.DUMMYFUNCTION("IFNA(IFERROR(IF(AH71="""","""",GOOGLEFINANCE(AH71,""change"")*AI71),(GOOGLEFINANCE(AH71)-(INDEX(GOOGLEFINANCE(""CURRENCY:""&amp;AH71&amp;"""",""price"",TODAY()-1),2,2)))*AI71),"""")"),"")</f>
        <v/>
      </c>
      <c r="AO71" s="96" t="str">
        <f>IF(ISBLANK(AH71),"",IFERROR(((AI71-SUMIFS(Transactions!I:I,Transactions!H:H,"Crypto Interest",Transactions!D:D,AH71))*AJ71),""))</f>
        <v/>
      </c>
      <c r="AP71" s="96" t="str">
        <f t="shared" si="16"/>
        <v/>
      </c>
      <c r="AQ71" s="50" t="str">
        <f t="shared" si="17"/>
        <v/>
      </c>
      <c r="AR71" s="96" t="str">
        <f t="shared" si="18"/>
        <v/>
      </c>
      <c r="AS71" s="96" t="str">
        <f>IF(ISBLANK(AH71),"",SUMIFS(Transactions!$X$3:$X149,Transactions!$H$3:$H149,"Sell",Transactions!$D$3:$D149,AH71))</f>
        <v/>
      </c>
      <c r="AT71" s="96" t="str">
        <f t="shared" si="19"/>
        <v/>
      </c>
      <c r="AU71" s="50" t="str">
        <f>IFERROR(__xludf.DUMMYFUNCTION("IF(ISBLANK(AH71),"""",IFERROR((GOOGLEFINANCE(AH71,""price"")/INDEX(GOOGLEFINANCE(AH71,""price"",DATEVALUE(TODAY()-$AU$2) ),2,2)-1),""""))"),"")</f>
        <v/>
      </c>
      <c r="AW71" s="50" t="str">
        <f>IFERROR(__xludf.DUMMYFUNCTION("IF(ISBLANK(AH71),"""",IFERROR((GOOGLEFINANCE($AW$2,""price"")/INDEX(GOOGLEFINANCE($AW$2,""price"",DATEVALUE(TODAY()-$AU$2) ),2,2)-1),""""))"),"")</f>
        <v/>
      </c>
      <c r="AY71" s="50" t="str">
        <f t="shared" si="20"/>
        <v/>
      </c>
      <c r="AZ71" s="50" t="str">
        <f t="shared" si="21"/>
        <v/>
      </c>
      <c r="BA71" s="50">
        <f t="shared" si="22"/>
        <v>0</v>
      </c>
      <c r="BB71" s="14" t="str">
        <f t="shared" si="23"/>
        <v/>
      </c>
      <c r="BC71" s="14" t="str">
        <f>IF(ISBLANK(AH71),"",IFERROR(VLOOKUP(AH71,Transactions!D:F,3,0)))</f>
        <v/>
      </c>
      <c r="BD71" s="50" t="str">
        <f t="shared" si="24"/>
        <v/>
      </c>
      <c r="BE71" s="50" t="str">
        <f t="shared" si="25"/>
        <v/>
      </c>
      <c r="BF71" s="14" t="str">
        <f t="shared" si="26"/>
        <v/>
      </c>
      <c r="BG71" s="180" t="str">
        <f>IF(ISBLANK(AH71),"",IFERROR(VLOOKUP(AH71,Transactions!D:G,4,0)))</f>
        <v/>
      </c>
    </row>
    <row r="72">
      <c r="A72" s="14" t="str">
        <f t="shared" ref="A72:C72" si="95">AG72</f>
        <v/>
      </c>
      <c r="B72" s="14" t="str">
        <f t="shared" si="95"/>
        <v/>
      </c>
      <c r="C72" s="175" t="str">
        <f t="shared" si="95"/>
        <v/>
      </c>
      <c r="D72" s="176" t="str">
        <f>IFERROR(__xludf.DUMMYFUNCTION("IF(ISBLANK(B72),"""",IFERROR(IF(OR(AF72=""GPB"",AF72=""ZAR""),IF(AF72=Dashboard!$L$1,AJ72,(AJ72*GOOGLEFINANCE(""CURRENCY:""&amp;AF72&amp;""""&amp;Dashboard!$L$1&amp;""""))/100),IF(AF72=Dashboard!$L$1,AJ72,AJ72*GOOGLEFINANCE(""CURRENCY:""&amp;AF72&amp;""""&amp;Dashboard!$L$1&amp;""""))),"&amp;"AJ72))"),"")</f>
        <v/>
      </c>
      <c r="E72" s="177" t="str">
        <f>IFERROR(__xludf.DUMMYFUNCTION("IFERROR(IF(OR(AF72=""GBP"",AF72=""ZAR""),IF(B72="""","""",IF(AF72=Dashboard!$L$1,AK72,AK72*GOOGLEFINANCE(""CURRENCY:""&amp;AF72&amp;""""&amp;Dashboard!$L$1&amp;"""")))/100,If(B72="""","""",IF(AF72=Dashboard!$L$1,AK72,AK72*GOOGLEFINANCE(""CURRENCY:""&amp;AF72&amp;""""&amp;Dashboard!$"&amp;"L$1&amp;"""")))),AK72)"),"")</f>
        <v/>
      </c>
      <c r="F72" s="145" t="str">
        <f t="shared" si="65"/>
        <v/>
      </c>
      <c r="G72" s="96" t="str">
        <f>IFERROR(__xludf.DUMMYFUNCTION("IF(ISBLANK(B72),"""",IFERROR(SPARKLINE(INDEX(GOOGLEFINANCE(B72,""price"",TODAY()-$G$2,TODAY()),,2),{""charttype"",""column"";""color"",""17a7e0""}),""""))"),"")</f>
        <v/>
      </c>
      <c r="H72" s="50" t="str">
        <f t="shared" si="3"/>
        <v/>
      </c>
      <c r="I72" s="96" t="str">
        <f>IFERROR(__xludf.DUMMYFUNCTION("IF(ISBLANK(B72),"""",IFERROR(IF(OR(AF72=""GPB"",AF72=""ZAR""),IF(AF72=Dashboard!$L$1,AN72,(AN72*GOOGLEFINANCE(""CURRENCY:""&amp;AF72&amp;""""&amp;Dashboard!$L$1&amp;""""))/100),IF(AF72=Dashboard!$L$1,AN72,AN72*GOOGLEFINANCE(""CURRENCY:""&amp;AF72&amp;""""&amp;Dashboard!$L$1&amp;""""))),"&amp;"AN72))"),"")</f>
        <v/>
      </c>
      <c r="J72" s="178" t="str">
        <f>IF(ISBLANK(B72),"",IFERROR(((C72-SUMIFS(Transactions!I:I,Transactions!H:H,"Crypto Interest",Transactions!D:D,B72))*D72),""))</f>
        <v/>
      </c>
      <c r="K72" s="178" t="str">
        <f t="shared" si="4"/>
        <v/>
      </c>
      <c r="L72" s="145">
        <f>IF(ISBLANK(AF72),"",SUMIFS(Transactions!$M$3:$M149,Transactions!$H$3:$H149,"Buy",Transactions!$D$3:$D149,AF72))</f>
        <v>0</v>
      </c>
      <c r="M72" s="145">
        <f>IF(ISBLANK(AG72),"",SUMIFS(Transactions!$M$3:$M149,Transactions!$H$3:$H149,"Dividend",Transactions!$D$3:$D149,AG72))</f>
        <v>0</v>
      </c>
      <c r="N72" s="145" t="str">
        <f>IF(ISBLANK(AH72),"",SUMIFS(Transactions!$M$3:$M149,Transactions!$H$3:$H149,"Sell",Transactions!$D$3:$D149,AH72))</f>
        <v/>
      </c>
      <c r="O72" s="50" t="str">
        <f t="shared" si="5"/>
        <v/>
      </c>
      <c r="P72" s="178" t="str">
        <f t="shared" si="6"/>
        <v/>
      </c>
      <c r="Q72" s="178" t="str">
        <f>IFERROR(__xludf.DUMMYFUNCTION("IF(ISBLANK(B72),"""",IFERROR(IF(OR(AF72=""GPB"",AF72=""ZAR""),IF(AF72=Dashboard!$L$1,AS72,(AS72*GOOGLEFINANCE(""CURRENCY:""&amp;AF72&amp;""""&amp;Dashboard!$L$1&amp;""""))/100),IF(AF72=Dashboard!$L$1,AS72,AS72*GOOGLEFINANCE(""CURRENCY:""&amp;AF72&amp;""""&amp;Dashboard!$L$1&amp;""""))),"&amp;"AS72))"),"")</f>
        <v/>
      </c>
      <c r="R72" s="178" t="str">
        <f t="shared" si="7"/>
        <v/>
      </c>
      <c r="S72" s="50" t="str">
        <f>IFERROR(__xludf.DUMMYFUNCTION("IF(ISBLANK(B72),"""",IFERROR((GOOGLEFINANCE(B72,""price"")/INDEX(GOOGLEFINANCE(B72,""price"",DATEVALUE(TODAY()-$S$2) ),2,2)-1),""""))"),"")</f>
        <v/>
      </c>
      <c r="U72" s="50" t="str">
        <f>IFERROR(__xludf.DUMMYFUNCTION("IF(ISBLANK(B72),"""",IFERROR((GOOGLEFINANCE($U$2,""price"")/INDEX(GOOGLEFINANCE($U$2,""price"",DATEVALUE(TODAY()-$S$2) ),2,2)-1),""""))"),"")</f>
        <v/>
      </c>
      <c r="W72" s="50" t="str">
        <f t="shared" si="8"/>
        <v/>
      </c>
      <c r="X72" s="50" t="str">
        <f t="shared" si="9"/>
        <v/>
      </c>
      <c r="Y72" s="179">
        <v>0.0</v>
      </c>
      <c r="Z72" s="50" t="str">
        <f t="shared" si="10"/>
        <v/>
      </c>
      <c r="AA72" s="14" t="str">
        <f t="shared" si="11"/>
        <v/>
      </c>
      <c r="AB72" s="50" t="str">
        <f t="shared" si="12"/>
        <v/>
      </c>
      <c r="AC72" s="179" t="str">
        <f t="shared" si="13"/>
        <v/>
      </c>
      <c r="AD72" s="50" t="str">
        <f t="shared" si="14"/>
        <v/>
      </c>
      <c r="AE72" s="180" t="str">
        <f t="shared" si="15"/>
        <v/>
      </c>
      <c r="AF72" s="14" t="str">
        <f t="array" ref="AF72">IFERROR(IF(ISBLANK(AH72),"",IF(VLOOKUP(AH72,Transactions!D:F,3,0)="Stablecoin",AH72,INDEX(Transactions!$B$3:$B149,MATCH(AH72,Transactions!$D$3:$D149,0),0))))</f>
        <v/>
      </c>
      <c r="AG72" s="14" t="str">
        <f>IF(ISBLANK(AH72),"",VLOOKUP(AH72,Transactions!D:E,2,0))</f>
        <v/>
      </c>
      <c r="AH72" s="14"/>
      <c r="AI72" s="146" t="str">
        <f>IF(ISBLANK(AH72),"",IF(
SUMIFS(Transactions!$I$3:$I149,Transactions!$H$3:$H149,"Buy",Transactions!$F$3:$F149,"Stock",Transactions!$D$3:$D149,AH72)
+SUMIFS(Transactions!$I$3:$I149,Transactions!$H$3:$H149,"DRIP",Transactions!$F$3:$F149,"Stock",Transactions!$D$3:$D149,AH72)
+SUMIFS(Transactions!$I$3:$I149,Transactions!$H$3:$H149,"Transfer Deposit",Transactions!$F$3:$F149,"Stock",Transactions!$D$3:$D149,AH72)
+SUMIFS(Transactions!$I$3:$I149,Transactions!$H$3:$H149,"Buy",Transactions!$F$3:$F149,"ETF",Transactions!$D$3:$D149,AH72)
+SUMIFS(Transactions!$I$3:$I149,Transactions!$H$3:$H149,"DRIP",Transactions!$F$3:$F149,"ETF",Transactions!$D$3:$D149,AH72)
+SUMIFS(Transactions!$I$3:$I149,Transactions!$H$3:$H149,"Transfer Deposit",Transactions!$F$3:$F149,"ETF",Transactions!$D$3:$D149,AH72)
+SUMIFS(Transactions!$I$3:$I149,Transactions!$H$3:$H149,"Buy",Transactions!$F$3:$F149,"Commodity",Transactions!$D$3:$D149,AH72)
+SUMIFS(Transactions!$I$3:$I149,Transactions!$H$3:$H149,"DRIP",Transactions!$F$3:$F149,"Commodity",Transactions!$D$3:$D149,AH72)
+SUMIFS(Transactions!$I$3:$I149,Transactions!$H$3:$H149,"Transfer Deposit",Transactions!$F$3:$F149,"Commodity",Transactions!$D$3:$D149,AH72)
+SUMIFS(Transactions!$I$3:$I149,Transactions!$H$3:$H149,"Buy",Transactions!$F$3:$F149,"Managed Fund",Transactions!$D$3:$D149,AH72)
+SUMIFS(Transactions!$I$3:$I149,Transactions!$H$3:$H149,"DRIP",Transactions!$F$3:$F149,"Managed Fund",Transactions!$D$3:$D149,AH72)
+SUMIFS(Transactions!$I$3:$I149,Transactions!$H$3:$H149,"Transfer Deposit",Transactions!$F$3:$F149,"Managed Fund",Transactions!$D$3:$D149,AH72)
+SUMIFS(Transactions!$I$3:$I149,Transactions!$H$3:$H149,"Buy",Transactions!$F$3:$F149,"REIT",Transactions!$D$3:$D149,AH72)
+SUMIFS(Transactions!$I$3:$I149,Transactions!$H$3:$H149,"DRIP",Transactions!$F$3:$F149,"REIT",Transactions!$D$3:$D149,AH72)
+SUMIFS(Transactions!$I$3:$I149,Transactions!$H$3:$H149,"Transfer Deposit",Transactions!$F$3:$F149,"REIT",Transactions!$D$3:$D149,AH72)
-SUMIFS(Transactions!$I$3:$I149,Transactions!$H$3:$H149,"Sell",Transactions!$F$3:$F149,"Stock",Transactions!$D$3:$D149,AH72)
-SUMIFS(Transactions!$I$3:$I149,Transactions!$H$3:$H149,"Transfer Send",Transactions!$F$3:$F149,"Stock",Transactions!$D$3:$D149,AH72)
-SUMIFS(Transactions!$I$3:$I149,Transactions!$H$3:$H149,"Sell",Transactions!$F$3:$F149,"ETF",Transactions!$D$3:$D149,AH72)
-SUMIFS(Transactions!$I$3:$I149,Transactions!$H$3:$H149,"Transfer Send",Transactions!$F$3:$F149,"ETF",Transactions!$D$3:$D149,AH72)
-SUMIFS(Transactions!$I$3:$I149,Transactions!$H$3:$H149,"Sell",Transactions!$F$3:$F149,"Commodity",Transactions!$D$3:$D149,AH72)
-SUMIFS(Transactions!$I$3:$I149,Transactions!$H$3:$H149,"Transfer Send",Transactions!$F$3:$F149,"Commodity",Transactions!$D$3:$D149,AH72)
-SUMIFS(Transactions!$I$3:$I149,Transactions!$H$3:$H149,"Sell",Transactions!$F$3:$F149,"Managed Fund",Transactions!$D$3:$D149,AH72)
-SUMIFS(Transactions!$I$3:$I149,Transactions!$H$3:$H149,"Transfer Send",Transactions!$F$3:$F149,"Managed Fund",Transactions!$D$3:$D149,AH72)
-SUMIFS(Transactions!$I$3:$I149,Transactions!$H$3:$H149,"Sell",Transactions!$F$3:$F149,"REIT",Transactions!$D$3:$D149,AH72)
-SUMIFS(Transactions!$I$3:$I149,Transactions!$H$3:$H149,"Transfer Send",Transactions!$F$3:$F149,"REIT",Transactions!$D$3:$D149,AH72)
+SUMIFS(Transactions!$I$3:$I149,Transactions!$H$3:$H149,"Buy",Transactions!$F$3:$F149,"Crypto",Transactions!$D$3:$D149,AH72)
+SUMIFS(Transactions!$I$3:$I149,Transactions!$H$3:$H149,"Crypto Interest",Transactions!$F$3:$F149,"Crypto",Transactions!$D$3:$D149,AH72)
+SUMIFS(Transactions!$I$3:$I149,Transactions!$H$3:$H149,"Transfer Deposit",Transactions!$F$3:$F149,"Crypto",Transactions!$D$3:$D149,AH72)
-SUMIFS(Transactions!$I$3:$I149,Transactions!$H$3:$H149,"Transfer Send",Transactions!$F$3:$F149,"Crypto",Transactions!$D$3:$D149,AH72)
-SUMIFS(Transactions!$I$3:$I149,Transactions!$H$3:$H149,"Sell",Transactions!$F$3:$F149,"Crypto",Transactions!$D$3:$D149,AH72)
+SUMIFS(Transactions!$I$3:$I149,Transactions!$H$3:$H149,"Buy",Transactions!$F$3:$F149,"Stablecoin",Transactions!$D$3:$D149,AH72)
+SUMIFS(Transactions!$I$3:$I149,Transactions!$H$3:$H149,"Crypto Interest",Transactions!$F$3:$F149,"Stablecoin",Transactions!$D$3:$D149,AH72)
+SUMIFS(Transactions!$I$3:$I149,Transactions!$H$3:$H149,"Transfer Deposit",Transactions!$F$3:$F149,"Stablecoin",Transactions!$D$3:$D149,AH72)
-SUMIFS(Transactions!$I$3:$I149,Transactions!$H$3:$H149,"Transfer Send",Transactions!$F$3:$F149,"Stablecoin",Transactions!$D$3:$D149,AH72)
-SUMIFS(Transactions!$I$3:$I149,Transactions!$H$3:$H149,"Sell",Transactions!$F$3:$F149,"Stablecoin",Transactions!$D$3:$D149,AH72)
-SUMIFS(Transactions!$M$3:$M149,Transactions!$H$3:$H149,"Buy",Transactions!$B$3:$B149,AH72)=0,"Sold All",
SUMIFS(Transactions!$I$3:$I149,Transactions!$H$3:$H149,"Buy",Transactions!$F$3:$F149,"Stock",Transactions!$D$3:$D149,AH72)
+SUMIFS(Transactions!$I$3:$I149,Transactions!$H$3:$H149,"DRIP",Transactions!$F$3:$F149,"Stock",Transactions!$D$3:$D149,AH72)
+SUMIFS(Transactions!$I$3:$I149,Transactions!$H$3:$H149,"Transfer Deposit",Transactions!$F$3:$F149,"Stock",Transactions!$D$3:$D149,AH72)
+SUMIFS(Transactions!$I$3:$I149,Transactions!$H$3:$H149,"Buy",Transactions!$F$3:$F149,"ETF",Transactions!$D$3:$D149,AH72)
+SUMIFS(Transactions!$I$3:$I149,Transactions!$H$3:$H149,"DRIP",Transactions!$F$3:$F149,"ETF",Transactions!$D$3:$D149,AH72)
+SUMIFS(Transactions!$I$3:$I149,Transactions!$H$3:$H149,"Transfer Deposit",Transactions!$F$3:$F149,"ETF",Transactions!$D$3:$D149,AH72)
+SUMIFS(Transactions!$I$3:$I149,Transactions!$H$3:$H149,"Buy",Transactions!$F$3:$F149,"Commodity",Transactions!$D$3:$D149,AH72)
+SUMIFS(Transactions!$I$3:$I149,Transactions!$H$3:$H149,"DRIP",Transactions!$F$3:$F149,"Commodity",Transactions!$D$3:$D149,AH72)
+SUMIFS(Transactions!$I$3:$I149,Transactions!$H$3:$H149,"Transfer Deposit",Transactions!$F$3:$F149,"Commodity",Transactions!$D$3:$D149,AH72)
+SUMIFS(Transactions!$I$3:$I149,Transactions!$H$3:$H149,"Buy",Transactions!$F$3:$F149,"Managed Fund",Transactions!$D$3:$D149,AH72)
+SUMIFS(Transactions!$I$3:$I149,Transactions!$H$3:$H149,"DRIP",Transactions!$F$3:$F149,"Managed Fund",Transactions!$D$3:$D149,AH72)
+SUMIFS(Transactions!$I$3:$I149,Transactions!$H$3:$H149,"Transfer Deposit",Transactions!$F$3:$F149,"Managed Fund",Transactions!$D$3:$D149,AH72)
+SUMIFS(Transactions!$I$3:$I149,Transactions!$H$3:$H149,"Buy",Transactions!$F$3:$F149,"REIT",Transactions!$D$3:$D149,AH72)
+SUMIFS(Transactions!$I$3:$I149,Transactions!$H$3:$H149,"DRIP",Transactions!$F$3:$F149,"REIT",Transactions!$D$3:$D149,AH72)
+SUMIFS(Transactions!$I$3:$I149,Transactions!$H$3:$H149,"Transfer Deposit",Transactions!$F$3:$F149,"REIT",Transactions!$D$3:$D149,AH72)
-SUMIFS(Transactions!$I$3:$I149,Transactions!$H$3:$H149,"Sell",Transactions!$F$3:$F149,"Stock",Transactions!$D$3:$D149,AH72)
-SUMIFS(Transactions!$I$3:$I149,Transactions!$H$3:$H149,"Transfer Send",Transactions!$F$3:$F149,"Stock",Transactions!$D$3:$D149,AH72)
-SUMIFS(Transactions!$I$3:$I149,Transactions!$H$3:$H149,"Sell",Transactions!$F$3:$F149,"ETF",Transactions!$D$3:$D149,AH72)
-SUMIFS(Transactions!$I$3:$I149,Transactions!$H$3:$H149,"Transfer Send",Transactions!$F$3:$F149,"ETF",Transactions!$D$3:$D149,AH72)
-SUMIFS(Transactions!$I$3:$I149,Transactions!$H$3:$H149,"Sell",Transactions!$F$3:$F149,"Commodity",Transactions!$D$3:$D149,AH72)
-SUMIFS(Transactions!$I$3:$I149,Transactions!$H$3:$H149,"Transfer Send",Transactions!$F$3:$F149,"Commodity",Transactions!$D$3:$D149,AH72)
-SUMIFS(Transactions!$I$3:$I149,Transactions!$H$3:$H149,"Sell",Transactions!$F$3:$F149,"Managed Fund",Transactions!$D$3:$D149,AH72)
-SUMIFS(Transactions!$I$3:$I149,Transactions!$H$3:$H149,"Transfer Send",Transactions!$F$3:$F149,"Managed Fund",Transactions!$D$3:$D149,AH72)
-SUMIFS(Transactions!$I$3:$I149,Transactions!$H$3:$H149,"Sell",Transactions!$F$3:$F149,"REIT",Transactions!$D$3:$D149,AH72)
-SUMIFS(Transactions!$I$3:$I149,Transactions!$H$3:$H149,"Transfer Send",Transactions!$F$3:$F149,"REIT",Transactions!$D$3:$D149,AH72)
+SUMIFS(Transactions!$I$3:$I149,Transactions!$H$3:$H149,"Buy",Transactions!$F$3:$F149,"Crypto",Transactions!$D$3:$D149,AH72)
+SUMIFS(Transactions!$I$3:$I149,Transactions!$H$3:$H149,"Crypto Interest",Transactions!$F$3:$F149,"Crypto",Transactions!$D$3:$D149,AH72)
+SUMIFS(Transactions!$I$3:$I149,Transactions!$H$3:$H149,"Transfer Deposit",Transactions!$F$3:$F149,"Crypto",Transactions!$D$3:$D149,AH72)
-SUMIFS(Transactions!$I$3:$I149,Transactions!$H$3:$H149,"Transfer Send",Transactions!$F$3:$F149,"Crypto",Transactions!$D$3:$D149,AH72)
-SUMIFS(Transactions!$I$3:$I149,Transactions!$H$3:$H149,"Sell",Transactions!$F$3:$F149,"Crypto",Transactions!$D$3:$D149,AH72)
+SUMIFS(Transactions!$I$3:$I149,Transactions!$H$3:$H149,"Buy",Transactions!$F$3:$F149,"Stablecoin",Transactions!$D$3:$D149,AH72)
+SUMIFS(Transactions!$I$3:$I149,Transactions!$H$3:$H149,"Crypto Interest",Transactions!$F$3:$F149,"Stablecoin",Transactions!$D$3:$D149,AH72)
+SUMIFS(Transactions!$I$3:$I149,Transactions!$H$3:$H149,"Transfer Deposit",Transactions!$F$3:$F149,"Stablecoin",Transactions!$D$3:$D149,AH72)
-SUMIFS(Transactions!$I$3:$I149,Transactions!$H$3:$H149,"Transfer Send",Transactions!$F$3:$F149,"Stablecoin",Transactions!$D$3:$D149,AH72)
-SUMIFS(Transactions!$I$3:$I149,Transactions!$H$3:$H149,"Sell",Transactions!$F$3:$F149,"Stablecoin",Transactions!$D$3:$D149,AH72)
-SUMIFS(Transactions!$M$3:$M149,Transactions!$H$3:$H149,"Buy",Transactions!$B$3:$B149,AH72)))</f>
        <v/>
      </c>
      <c r="AJ72" s="181" t="str">
        <f>IFERROR(__xludf.DUMMYFUNCTION("IF(ISBLANK(AH72),"""",VLOOKUP(9^99,FILTER({ROW(Transactions!P:P),Transactions!P:P},Transactions!D:D=AH72),2))"),"")</f>
        <v/>
      </c>
      <c r="AK72" s="181" t="str">
        <f>IFERROR(__xludf.DUMMYFUNCTION("IF(ISBLANK(AH72),"""",IFERROR(GOOGLEFINANCE(AH72,""price""),IFERROR(GOOGLEFINANCE(""CURRENCY:""&amp;AH72&amp;""""),IFERROR(INDEX(YAHOO_STOCK(TRIM(AH72), $G$2),0,1),INDEX(IMPORTHTML(CONCAT(""https://coinmarketcap.com/currencies/"",AG72),""table"",1),1,2)))))"),"")</f>
        <v/>
      </c>
      <c r="AL72" s="14" t="str">
        <f>IFERROR(__xludf.DUMMYFUNCTION("IF(ISBLANK(AH72),"""",IFERROR(SPARKLINE(INDEX(GOOGLEFINANCE(AH72,""price"",TODAY()-$AL$2,TODAY()),,2),{""charttype"",""column"";""color"",""17a7e0""}),""""))"),"")</f>
        <v/>
      </c>
      <c r="AM72" s="50" t="str">
        <f>IFERROR(__xludf.DUMMYFUNCTION("IFNA(IFERROR(IF(AH72="""","""",GOOGLEFINANCE(AH72,""changepct"")/100),(GOOGLEFINANCE(AH72)-(INDEX(GOOGLEFINANCE(""CURRENCY:""&amp;AH72&amp;"""",""price"",TODAY()-1),2,2)))/(INDEX(GOOGLEFINANCE(""CURRENCY:""&amp;AH72&amp;"""",""price"",TODAY()-1),2,2))),)"),"")</f>
        <v/>
      </c>
      <c r="AN72" s="96" t="str">
        <f>IFERROR(__xludf.DUMMYFUNCTION("IFNA(IFERROR(IF(AH72="""","""",GOOGLEFINANCE(AH72,""change"")*AI72),(GOOGLEFINANCE(AH72)-(INDEX(GOOGLEFINANCE(""CURRENCY:""&amp;AH72&amp;"""",""price"",TODAY()-1),2,2)))*AI72),"""")"),"")</f>
        <v/>
      </c>
      <c r="AO72" s="96" t="str">
        <f>IF(ISBLANK(AH72),"",IFERROR(((AI72-SUMIFS(Transactions!I:I,Transactions!H:H,"Crypto Interest",Transactions!D:D,AH72))*AJ72),""))</f>
        <v/>
      </c>
      <c r="AP72" s="96" t="str">
        <f t="shared" si="16"/>
        <v/>
      </c>
      <c r="AQ72" s="50" t="str">
        <f t="shared" si="17"/>
        <v/>
      </c>
      <c r="AR72" s="96" t="str">
        <f t="shared" si="18"/>
        <v/>
      </c>
      <c r="AS72" s="96" t="str">
        <f>IF(ISBLANK(AH72),"",SUMIFS(Transactions!$X$3:$X149,Transactions!$H$3:$H149,"Sell",Transactions!$D$3:$D149,AH72))</f>
        <v/>
      </c>
      <c r="AT72" s="96" t="str">
        <f t="shared" si="19"/>
        <v/>
      </c>
      <c r="AU72" s="50" t="str">
        <f>IFERROR(__xludf.DUMMYFUNCTION("IF(ISBLANK(AH72),"""",IFERROR((GOOGLEFINANCE(AH72,""price"")/INDEX(GOOGLEFINANCE(AH72,""price"",DATEVALUE(TODAY()-$AU$2) ),2,2)-1),""""))"),"")</f>
        <v/>
      </c>
      <c r="AW72" s="50" t="str">
        <f>IFERROR(__xludf.DUMMYFUNCTION("IF(ISBLANK(AH72),"""",IFERROR((GOOGLEFINANCE($AW$2,""price"")/INDEX(GOOGLEFINANCE($AW$2,""price"",DATEVALUE(TODAY()-$AU$2) ),2,2)-1),""""))"),"")</f>
        <v/>
      </c>
      <c r="AY72" s="50" t="str">
        <f t="shared" si="20"/>
        <v/>
      </c>
      <c r="AZ72" s="50" t="str">
        <f t="shared" si="21"/>
        <v/>
      </c>
      <c r="BA72" s="50">
        <f t="shared" si="22"/>
        <v>0</v>
      </c>
      <c r="BB72" s="14" t="str">
        <f t="shared" si="23"/>
        <v/>
      </c>
      <c r="BC72" s="14" t="str">
        <f>IF(ISBLANK(AH72),"",IFERROR(VLOOKUP(AH72,Transactions!D:F,3,0)))</f>
        <v/>
      </c>
      <c r="BD72" s="50" t="str">
        <f t="shared" si="24"/>
        <v/>
      </c>
      <c r="BE72" s="50" t="str">
        <f t="shared" si="25"/>
        <v/>
      </c>
      <c r="BF72" s="14" t="str">
        <f t="shared" si="26"/>
        <v/>
      </c>
      <c r="BG72" s="180" t="str">
        <f>IF(ISBLANK(AH72),"",IFERROR(VLOOKUP(AH72,Transactions!D:G,4,0)))</f>
        <v/>
      </c>
    </row>
    <row r="73">
      <c r="A73" s="14" t="str">
        <f t="shared" ref="A73:C73" si="96">AG73</f>
        <v/>
      </c>
      <c r="B73" s="14" t="str">
        <f t="shared" si="96"/>
        <v/>
      </c>
      <c r="C73" s="175" t="str">
        <f t="shared" si="96"/>
        <v/>
      </c>
      <c r="D73" s="176" t="str">
        <f>IFERROR(__xludf.DUMMYFUNCTION("IF(ISBLANK(B73),"""",IFERROR(IF(OR(AF73=""GPB"",AF73=""ZAR""),IF(AF73=Dashboard!$L$1,AJ73,(AJ73*GOOGLEFINANCE(""CURRENCY:""&amp;AF73&amp;""""&amp;Dashboard!$L$1&amp;""""))/100),IF(AF73=Dashboard!$L$1,AJ73,AJ73*GOOGLEFINANCE(""CURRENCY:""&amp;AF73&amp;""""&amp;Dashboard!$L$1&amp;""""))),"&amp;"AJ73))"),"")</f>
        <v/>
      </c>
      <c r="E73" s="177" t="str">
        <f>IFERROR(__xludf.DUMMYFUNCTION("IFERROR(IF(OR(AF73=""GBP"",AF73=""ZAR""),IF(B73="""","""",IF(AF73=Dashboard!$L$1,AK73,AK73*GOOGLEFINANCE(""CURRENCY:""&amp;AF73&amp;""""&amp;Dashboard!$L$1&amp;"""")))/100,If(B73="""","""",IF(AF73=Dashboard!$L$1,AK73,AK73*GOOGLEFINANCE(""CURRENCY:""&amp;AF73&amp;""""&amp;Dashboard!$"&amp;"L$1&amp;"""")))),AK73)"),"")</f>
        <v/>
      </c>
      <c r="F73" s="145" t="str">
        <f t="shared" si="65"/>
        <v/>
      </c>
      <c r="G73" s="96" t="str">
        <f>IFERROR(__xludf.DUMMYFUNCTION("IF(ISBLANK(B73),"""",IFERROR(SPARKLINE(INDEX(GOOGLEFINANCE(B73,""price"",TODAY()-$G$2,TODAY()),,2),{""charttype"",""column"";""color"",""17a7e0""}),""""))"),"")</f>
        <v/>
      </c>
      <c r="H73" s="50" t="str">
        <f t="shared" si="3"/>
        <v/>
      </c>
      <c r="I73" s="96" t="str">
        <f>IFERROR(__xludf.DUMMYFUNCTION("IF(ISBLANK(B73),"""",IFERROR(IF(OR(AF73=""GPB"",AF73=""ZAR""),IF(AF73=Dashboard!$L$1,AN73,(AN73*GOOGLEFINANCE(""CURRENCY:""&amp;AF73&amp;""""&amp;Dashboard!$L$1&amp;""""))/100),IF(AF73=Dashboard!$L$1,AN73,AN73*GOOGLEFINANCE(""CURRENCY:""&amp;AF73&amp;""""&amp;Dashboard!$L$1&amp;""""))),"&amp;"AN73))"),"")</f>
        <v/>
      </c>
      <c r="J73" s="178" t="str">
        <f>IF(ISBLANK(B73),"",IFERROR(((C73-SUMIFS(Transactions!I:I,Transactions!H:H,"Crypto Interest",Transactions!D:D,B73))*D73),""))</f>
        <v/>
      </c>
      <c r="K73" s="178" t="str">
        <f t="shared" si="4"/>
        <v/>
      </c>
      <c r="L73" s="145">
        <f>IF(ISBLANK(AF73),"",SUMIFS(Transactions!$M$3:$M149,Transactions!$H$3:$H149,"Buy",Transactions!$D$3:$D149,AF73))</f>
        <v>0</v>
      </c>
      <c r="M73" s="145">
        <f>IF(ISBLANK(AG73),"",SUMIFS(Transactions!$M$3:$M149,Transactions!$H$3:$H149,"Dividend",Transactions!$D$3:$D149,AG73))</f>
        <v>0</v>
      </c>
      <c r="N73" s="145" t="str">
        <f>IF(ISBLANK(AH73),"",SUMIFS(Transactions!$M$3:$M149,Transactions!$H$3:$H149,"Sell",Transactions!$D$3:$D149,AH73))</f>
        <v/>
      </c>
      <c r="O73" s="50" t="str">
        <f t="shared" si="5"/>
        <v/>
      </c>
      <c r="P73" s="178" t="str">
        <f t="shared" si="6"/>
        <v/>
      </c>
      <c r="Q73" s="178" t="str">
        <f>IFERROR(__xludf.DUMMYFUNCTION("IF(ISBLANK(B73),"""",IFERROR(IF(OR(AF73=""GPB"",AF73=""ZAR""),IF(AF73=Dashboard!$L$1,AS73,(AS73*GOOGLEFINANCE(""CURRENCY:""&amp;AF73&amp;""""&amp;Dashboard!$L$1&amp;""""))/100),IF(AF73=Dashboard!$L$1,AS73,AS73*GOOGLEFINANCE(""CURRENCY:""&amp;AF73&amp;""""&amp;Dashboard!$L$1&amp;""""))),"&amp;"AS73))"),"")</f>
        <v/>
      </c>
      <c r="R73" s="178" t="str">
        <f t="shared" si="7"/>
        <v/>
      </c>
      <c r="S73" s="50" t="str">
        <f>IFERROR(__xludf.DUMMYFUNCTION("IF(ISBLANK(B73),"""",IFERROR((GOOGLEFINANCE(B73,""price"")/INDEX(GOOGLEFINANCE(B73,""price"",DATEVALUE(TODAY()-$S$2) ),2,2)-1),""""))"),"")</f>
        <v/>
      </c>
      <c r="U73" s="50" t="str">
        <f>IFERROR(__xludf.DUMMYFUNCTION("IF(ISBLANK(B73),"""",IFERROR((GOOGLEFINANCE($U$2,""price"")/INDEX(GOOGLEFINANCE($U$2,""price"",DATEVALUE(TODAY()-$S$2) ),2,2)-1),""""))"),"")</f>
        <v/>
      </c>
      <c r="W73" s="50" t="str">
        <f t="shared" si="8"/>
        <v/>
      </c>
      <c r="X73" s="50" t="str">
        <f t="shared" si="9"/>
        <v/>
      </c>
      <c r="Y73" s="179">
        <v>0.0</v>
      </c>
      <c r="Z73" s="50" t="str">
        <f t="shared" si="10"/>
        <v/>
      </c>
      <c r="AA73" s="14" t="str">
        <f t="shared" si="11"/>
        <v/>
      </c>
      <c r="AB73" s="50" t="str">
        <f t="shared" si="12"/>
        <v/>
      </c>
      <c r="AC73" s="179" t="str">
        <f t="shared" si="13"/>
        <v/>
      </c>
      <c r="AD73" s="50" t="str">
        <f t="shared" si="14"/>
        <v/>
      </c>
      <c r="AE73" s="180" t="str">
        <f t="shared" si="15"/>
        <v/>
      </c>
      <c r="AF73" s="14" t="str">
        <f t="array" ref="AF73">IFERROR(IF(ISBLANK(AH73),"",IF(VLOOKUP(AH73,Transactions!D:F,3,0)="Stablecoin",AH73,INDEX(Transactions!$B$3:$B149,MATCH(AH73,Transactions!$D$3:$D149,0),0))))</f>
        <v/>
      </c>
      <c r="AG73" s="14" t="str">
        <f>IF(ISBLANK(AH73),"",VLOOKUP(AH73,Transactions!D:E,2,0))</f>
        <v/>
      </c>
      <c r="AH73" s="14"/>
      <c r="AI73" s="146" t="str">
        <f>IF(ISBLANK(AH73),"",IF(
SUMIFS(Transactions!$I$3:$I149,Transactions!$H$3:$H149,"Buy",Transactions!$F$3:$F149,"Stock",Transactions!$D$3:$D149,AH73)
+SUMIFS(Transactions!$I$3:$I149,Transactions!$H$3:$H149,"DRIP",Transactions!$F$3:$F149,"Stock",Transactions!$D$3:$D149,AH73)
+SUMIFS(Transactions!$I$3:$I149,Transactions!$H$3:$H149,"Transfer Deposit",Transactions!$F$3:$F149,"Stock",Transactions!$D$3:$D149,AH73)
+SUMIFS(Transactions!$I$3:$I149,Transactions!$H$3:$H149,"Buy",Transactions!$F$3:$F149,"ETF",Transactions!$D$3:$D149,AH73)
+SUMIFS(Transactions!$I$3:$I149,Transactions!$H$3:$H149,"DRIP",Transactions!$F$3:$F149,"ETF",Transactions!$D$3:$D149,AH73)
+SUMIFS(Transactions!$I$3:$I149,Transactions!$H$3:$H149,"Transfer Deposit",Transactions!$F$3:$F149,"ETF",Transactions!$D$3:$D149,AH73)
+SUMIFS(Transactions!$I$3:$I149,Transactions!$H$3:$H149,"Buy",Transactions!$F$3:$F149,"Commodity",Transactions!$D$3:$D149,AH73)
+SUMIFS(Transactions!$I$3:$I149,Transactions!$H$3:$H149,"DRIP",Transactions!$F$3:$F149,"Commodity",Transactions!$D$3:$D149,AH73)
+SUMIFS(Transactions!$I$3:$I149,Transactions!$H$3:$H149,"Transfer Deposit",Transactions!$F$3:$F149,"Commodity",Transactions!$D$3:$D149,AH73)
+SUMIFS(Transactions!$I$3:$I149,Transactions!$H$3:$H149,"Buy",Transactions!$F$3:$F149,"Managed Fund",Transactions!$D$3:$D149,AH73)
+SUMIFS(Transactions!$I$3:$I149,Transactions!$H$3:$H149,"DRIP",Transactions!$F$3:$F149,"Managed Fund",Transactions!$D$3:$D149,AH73)
+SUMIFS(Transactions!$I$3:$I149,Transactions!$H$3:$H149,"Transfer Deposit",Transactions!$F$3:$F149,"Managed Fund",Transactions!$D$3:$D149,AH73)
+SUMIFS(Transactions!$I$3:$I149,Transactions!$H$3:$H149,"Buy",Transactions!$F$3:$F149,"REIT",Transactions!$D$3:$D149,AH73)
+SUMIFS(Transactions!$I$3:$I149,Transactions!$H$3:$H149,"DRIP",Transactions!$F$3:$F149,"REIT",Transactions!$D$3:$D149,AH73)
+SUMIFS(Transactions!$I$3:$I149,Transactions!$H$3:$H149,"Transfer Deposit",Transactions!$F$3:$F149,"REIT",Transactions!$D$3:$D149,AH73)
-SUMIFS(Transactions!$I$3:$I149,Transactions!$H$3:$H149,"Sell",Transactions!$F$3:$F149,"Stock",Transactions!$D$3:$D149,AH73)
-SUMIFS(Transactions!$I$3:$I149,Transactions!$H$3:$H149,"Transfer Send",Transactions!$F$3:$F149,"Stock",Transactions!$D$3:$D149,AH73)
-SUMIFS(Transactions!$I$3:$I149,Transactions!$H$3:$H149,"Sell",Transactions!$F$3:$F149,"ETF",Transactions!$D$3:$D149,AH73)
-SUMIFS(Transactions!$I$3:$I149,Transactions!$H$3:$H149,"Transfer Send",Transactions!$F$3:$F149,"ETF",Transactions!$D$3:$D149,AH73)
-SUMIFS(Transactions!$I$3:$I149,Transactions!$H$3:$H149,"Sell",Transactions!$F$3:$F149,"Commodity",Transactions!$D$3:$D149,AH73)
-SUMIFS(Transactions!$I$3:$I149,Transactions!$H$3:$H149,"Transfer Send",Transactions!$F$3:$F149,"Commodity",Transactions!$D$3:$D149,AH73)
-SUMIFS(Transactions!$I$3:$I149,Transactions!$H$3:$H149,"Sell",Transactions!$F$3:$F149,"Managed Fund",Transactions!$D$3:$D149,AH73)
-SUMIFS(Transactions!$I$3:$I149,Transactions!$H$3:$H149,"Transfer Send",Transactions!$F$3:$F149,"Managed Fund",Transactions!$D$3:$D149,AH73)
-SUMIFS(Transactions!$I$3:$I149,Transactions!$H$3:$H149,"Sell",Transactions!$F$3:$F149,"REIT",Transactions!$D$3:$D149,AH73)
-SUMIFS(Transactions!$I$3:$I149,Transactions!$H$3:$H149,"Transfer Send",Transactions!$F$3:$F149,"REIT",Transactions!$D$3:$D149,AH73)
+SUMIFS(Transactions!$I$3:$I149,Transactions!$H$3:$H149,"Buy",Transactions!$F$3:$F149,"Crypto",Transactions!$D$3:$D149,AH73)
+SUMIFS(Transactions!$I$3:$I149,Transactions!$H$3:$H149,"Crypto Interest",Transactions!$F$3:$F149,"Crypto",Transactions!$D$3:$D149,AH73)
+SUMIFS(Transactions!$I$3:$I149,Transactions!$H$3:$H149,"Transfer Deposit",Transactions!$F$3:$F149,"Crypto",Transactions!$D$3:$D149,AH73)
-SUMIFS(Transactions!$I$3:$I149,Transactions!$H$3:$H149,"Transfer Send",Transactions!$F$3:$F149,"Crypto",Transactions!$D$3:$D149,AH73)
-SUMIFS(Transactions!$I$3:$I149,Transactions!$H$3:$H149,"Sell",Transactions!$F$3:$F149,"Crypto",Transactions!$D$3:$D149,AH73)
+SUMIFS(Transactions!$I$3:$I149,Transactions!$H$3:$H149,"Buy",Transactions!$F$3:$F149,"Stablecoin",Transactions!$D$3:$D149,AH73)
+SUMIFS(Transactions!$I$3:$I149,Transactions!$H$3:$H149,"Crypto Interest",Transactions!$F$3:$F149,"Stablecoin",Transactions!$D$3:$D149,AH73)
+SUMIFS(Transactions!$I$3:$I149,Transactions!$H$3:$H149,"Transfer Deposit",Transactions!$F$3:$F149,"Stablecoin",Transactions!$D$3:$D149,AH73)
-SUMIFS(Transactions!$I$3:$I149,Transactions!$H$3:$H149,"Transfer Send",Transactions!$F$3:$F149,"Stablecoin",Transactions!$D$3:$D149,AH73)
-SUMIFS(Transactions!$I$3:$I149,Transactions!$H$3:$H149,"Sell",Transactions!$F$3:$F149,"Stablecoin",Transactions!$D$3:$D149,AH73)
-SUMIFS(Transactions!$M$3:$M149,Transactions!$H$3:$H149,"Buy",Transactions!$B$3:$B149,AH73)=0,"Sold All",
SUMIFS(Transactions!$I$3:$I149,Transactions!$H$3:$H149,"Buy",Transactions!$F$3:$F149,"Stock",Transactions!$D$3:$D149,AH73)
+SUMIFS(Transactions!$I$3:$I149,Transactions!$H$3:$H149,"DRIP",Transactions!$F$3:$F149,"Stock",Transactions!$D$3:$D149,AH73)
+SUMIFS(Transactions!$I$3:$I149,Transactions!$H$3:$H149,"Transfer Deposit",Transactions!$F$3:$F149,"Stock",Transactions!$D$3:$D149,AH73)
+SUMIFS(Transactions!$I$3:$I149,Transactions!$H$3:$H149,"Buy",Transactions!$F$3:$F149,"ETF",Transactions!$D$3:$D149,AH73)
+SUMIFS(Transactions!$I$3:$I149,Transactions!$H$3:$H149,"DRIP",Transactions!$F$3:$F149,"ETF",Transactions!$D$3:$D149,AH73)
+SUMIFS(Transactions!$I$3:$I149,Transactions!$H$3:$H149,"Transfer Deposit",Transactions!$F$3:$F149,"ETF",Transactions!$D$3:$D149,AH73)
+SUMIFS(Transactions!$I$3:$I149,Transactions!$H$3:$H149,"Buy",Transactions!$F$3:$F149,"Commodity",Transactions!$D$3:$D149,AH73)
+SUMIFS(Transactions!$I$3:$I149,Transactions!$H$3:$H149,"DRIP",Transactions!$F$3:$F149,"Commodity",Transactions!$D$3:$D149,AH73)
+SUMIFS(Transactions!$I$3:$I149,Transactions!$H$3:$H149,"Transfer Deposit",Transactions!$F$3:$F149,"Commodity",Transactions!$D$3:$D149,AH73)
+SUMIFS(Transactions!$I$3:$I149,Transactions!$H$3:$H149,"Buy",Transactions!$F$3:$F149,"Managed Fund",Transactions!$D$3:$D149,AH73)
+SUMIFS(Transactions!$I$3:$I149,Transactions!$H$3:$H149,"DRIP",Transactions!$F$3:$F149,"Managed Fund",Transactions!$D$3:$D149,AH73)
+SUMIFS(Transactions!$I$3:$I149,Transactions!$H$3:$H149,"Transfer Deposit",Transactions!$F$3:$F149,"Managed Fund",Transactions!$D$3:$D149,AH73)
+SUMIFS(Transactions!$I$3:$I149,Transactions!$H$3:$H149,"Buy",Transactions!$F$3:$F149,"REIT",Transactions!$D$3:$D149,AH73)
+SUMIFS(Transactions!$I$3:$I149,Transactions!$H$3:$H149,"DRIP",Transactions!$F$3:$F149,"REIT",Transactions!$D$3:$D149,AH73)
+SUMIFS(Transactions!$I$3:$I149,Transactions!$H$3:$H149,"Transfer Deposit",Transactions!$F$3:$F149,"REIT",Transactions!$D$3:$D149,AH73)
-SUMIFS(Transactions!$I$3:$I149,Transactions!$H$3:$H149,"Sell",Transactions!$F$3:$F149,"Stock",Transactions!$D$3:$D149,AH73)
-SUMIFS(Transactions!$I$3:$I149,Transactions!$H$3:$H149,"Transfer Send",Transactions!$F$3:$F149,"Stock",Transactions!$D$3:$D149,AH73)
-SUMIFS(Transactions!$I$3:$I149,Transactions!$H$3:$H149,"Sell",Transactions!$F$3:$F149,"ETF",Transactions!$D$3:$D149,AH73)
-SUMIFS(Transactions!$I$3:$I149,Transactions!$H$3:$H149,"Transfer Send",Transactions!$F$3:$F149,"ETF",Transactions!$D$3:$D149,AH73)
-SUMIFS(Transactions!$I$3:$I149,Transactions!$H$3:$H149,"Sell",Transactions!$F$3:$F149,"Commodity",Transactions!$D$3:$D149,AH73)
-SUMIFS(Transactions!$I$3:$I149,Transactions!$H$3:$H149,"Transfer Send",Transactions!$F$3:$F149,"Commodity",Transactions!$D$3:$D149,AH73)
-SUMIFS(Transactions!$I$3:$I149,Transactions!$H$3:$H149,"Sell",Transactions!$F$3:$F149,"Managed Fund",Transactions!$D$3:$D149,AH73)
-SUMIFS(Transactions!$I$3:$I149,Transactions!$H$3:$H149,"Transfer Send",Transactions!$F$3:$F149,"Managed Fund",Transactions!$D$3:$D149,AH73)
-SUMIFS(Transactions!$I$3:$I149,Transactions!$H$3:$H149,"Sell",Transactions!$F$3:$F149,"REIT",Transactions!$D$3:$D149,AH73)
-SUMIFS(Transactions!$I$3:$I149,Transactions!$H$3:$H149,"Transfer Send",Transactions!$F$3:$F149,"REIT",Transactions!$D$3:$D149,AH73)
+SUMIFS(Transactions!$I$3:$I149,Transactions!$H$3:$H149,"Buy",Transactions!$F$3:$F149,"Crypto",Transactions!$D$3:$D149,AH73)
+SUMIFS(Transactions!$I$3:$I149,Transactions!$H$3:$H149,"Crypto Interest",Transactions!$F$3:$F149,"Crypto",Transactions!$D$3:$D149,AH73)
+SUMIFS(Transactions!$I$3:$I149,Transactions!$H$3:$H149,"Transfer Deposit",Transactions!$F$3:$F149,"Crypto",Transactions!$D$3:$D149,AH73)
-SUMIFS(Transactions!$I$3:$I149,Transactions!$H$3:$H149,"Transfer Send",Transactions!$F$3:$F149,"Crypto",Transactions!$D$3:$D149,AH73)
-SUMIFS(Transactions!$I$3:$I149,Transactions!$H$3:$H149,"Sell",Transactions!$F$3:$F149,"Crypto",Transactions!$D$3:$D149,AH73)
+SUMIFS(Transactions!$I$3:$I149,Transactions!$H$3:$H149,"Buy",Transactions!$F$3:$F149,"Stablecoin",Transactions!$D$3:$D149,AH73)
+SUMIFS(Transactions!$I$3:$I149,Transactions!$H$3:$H149,"Crypto Interest",Transactions!$F$3:$F149,"Stablecoin",Transactions!$D$3:$D149,AH73)
+SUMIFS(Transactions!$I$3:$I149,Transactions!$H$3:$H149,"Transfer Deposit",Transactions!$F$3:$F149,"Stablecoin",Transactions!$D$3:$D149,AH73)
-SUMIFS(Transactions!$I$3:$I149,Transactions!$H$3:$H149,"Transfer Send",Transactions!$F$3:$F149,"Stablecoin",Transactions!$D$3:$D149,AH73)
-SUMIFS(Transactions!$I$3:$I149,Transactions!$H$3:$H149,"Sell",Transactions!$F$3:$F149,"Stablecoin",Transactions!$D$3:$D149,AH73)
-SUMIFS(Transactions!$M$3:$M149,Transactions!$H$3:$H149,"Buy",Transactions!$B$3:$B149,AH73)))</f>
        <v/>
      </c>
      <c r="AJ73" s="181" t="str">
        <f>IFERROR(__xludf.DUMMYFUNCTION("IF(ISBLANK(AH73),"""",VLOOKUP(9^99,FILTER({ROW(Transactions!P:P),Transactions!P:P},Transactions!D:D=AH73),2))"),"")</f>
        <v/>
      </c>
      <c r="AK73" s="181" t="str">
        <f>IFERROR(__xludf.DUMMYFUNCTION("IF(ISBLANK(AH73),"""",IFERROR(GOOGLEFINANCE(AH73,""price""),IFERROR(GOOGLEFINANCE(""CURRENCY:""&amp;AH73&amp;""""),IFERROR(INDEX(YAHOO_STOCK(TRIM(AH73), $G$2),0,1),INDEX(IMPORTHTML(CONCAT(""https://coinmarketcap.com/currencies/"",AG73),""table"",1),1,2)))))"),"")</f>
        <v/>
      </c>
      <c r="AL73" s="14" t="str">
        <f>IFERROR(__xludf.DUMMYFUNCTION("IF(ISBLANK(AH73),"""",IFERROR(SPARKLINE(INDEX(GOOGLEFINANCE(AH73,""price"",TODAY()-$AL$2,TODAY()),,2),{""charttype"",""column"";""color"",""17a7e0""}),""""))"),"")</f>
        <v/>
      </c>
      <c r="AM73" s="50" t="str">
        <f>IFERROR(__xludf.DUMMYFUNCTION("IFNA(IFERROR(IF(AH73="""","""",GOOGLEFINANCE(AH73,""changepct"")/100),(GOOGLEFINANCE(AH73)-(INDEX(GOOGLEFINANCE(""CURRENCY:""&amp;AH73&amp;"""",""price"",TODAY()-1),2,2)))/(INDEX(GOOGLEFINANCE(""CURRENCY:""&amp;AH73&amp;"""",""price"",TODAY()-1),2,2))),)"),"")</f>
        <v/>
      </c>
      <c r="AN73" s="96" t="str">
        <f>IFERROR(__xludf.DUMMYFUNCTION("IFNA(IFERROR(IF(AH73="""","""",GOOGLEFINANCE(AH73,""change"")*AI73),(GOOGLEFINANCE(AH73)-(INDEX(GOOGLEFINANCE(""CURRENCY:""&amp;AH73&amp;"""",""price"",TODAY()-1),2,2)))*AI73),"""")"),"")</f>
        <v/>
      </c>
      <c r="AO73" s="96" t="str">
        <f>IF(ISBLANK(AH73),"",IFERROR(((AI73-SUMIFS(Transactions!I:I,Transactions!H:H,"Crypto Interest",Transactions!D:D,AH73))*AJ73),""))</f>
        <v/>
      </c>
      <c r="AP73" s="96" t="str">
        <f t="shared" si="16"/>
        <v/>
      </c>
      <c r="AQ73" s="50" t="str">
        <f t="shared" si="17"/>
        <v/>
      </c>
      <c r="AR73" s="96" t="str">
        <f t="shared" si="18"/>
        <v/>
      </c>
      <c r="AS73" s="96" t="str">
        <f>IF(ISBLANK(AH73),"",SUMIFS(Transactions!$X$3:$X149,Transactions!$H$3:$H149,"Sell",Transactions!$D$3:$D149,AH73))</f>
        <v/>
      </c>
      <c r="AT73" s="96" t="str">
        <f t="shared" si="19"/>
        <v/>
      </c>
      <c r="AU73" s="50" t="str">
        <f>IFERROR(__xludf.DUMMYFUNCTION("IF(ISBLANK(AH73),"""",IFERROR((GOOGLEFINANCE(AH73,""price"")/INDEX(GOOGLEFINANCE(AH73,""price"",DATEVALUE(TODAY()-$AU$2) ),2,2)-1),""""))"),"")</f>
        <v/>
      </c>
      <c r="AW73" s="50" t="str">
        <f>IFERROR(__xludf.DUMMYFUNCTION("IF(ISBLANK(AH73),"""",IFERROR((GOOGLEFINANCE($AW$2,""price"")/INDEX(GOOGLEFINANCE($AW$2,""price"",DATEVALUE(TODAY()-$AU$2) ),2,2)-1),""""))"),"")</f>
        <v/>
      </c>
      <c r="AY73" s="50" t="str">
        <f t="shared" si="20"/>
        <v/>
      </c>
      <c r="AZ73" s="50" t="str">
        <f t="shared" si="21"/>
        <v/>
      </c>
      <c r="BA73" s="50">
        <f t="shared" si="22"/>
        <v>0</v>
      </c>
      <c r="BB73" s="14" t="str">
        <f t="shared" si="23"/>
        <v/>
      </c>
      <c r="BC73" s="14" t="str">
        <f>IF(ISBLANK(AH73),"",IFERROR(VLOOKUP(AH73,Transactions!D:F,3,0)))</f>
        <v/>
      </c>
      <c r="BD73" s="50" t="str">
        <f t="shared" si="24"/>
        <v/>
      </c>
      <c r="BE73" s="50" t="str">
        <f t="shared" si="25"/>
        <v/>
      </c>
      <c r="BF73" s="14" t="str">
        <f t="shared" si="26"/>
        <v/>
      </c>
      <c r="BG73" s="180" t="str">
        <f>IF(ISBLANK(AH73),"",IFERROR(VLOOKUP(AH73,Transactions!D:G,4,0)))</f>
        <v/>
      </c>
    </row>
    <row r="74">
      <c r="A74" s="14" t="str">
        <f t="shared" ref="A74:C74" si="97">AG74</f>
        <v/>
      </c>
      <c r="B74" s="14" t="str">
        <f t="shared" si="97"/>
        <v/>
      </c>
      <c r="C74" s="175" t="str">
        <f t="shared" si="97"/>
        <v/>
      </c>
      <c r="D74" s="176" t="str">
        <f>IFERROR(__xludf.DUMMYFUNCTION("IF(ISBLANK(B74),"""",IFERROR(IF(OR(AF74=""GPB"",AF74=""ZAR""),IF(AF74=Dashboard!$L$1,AJ74,(AJ74*GOOGLEFINANCE(""CURRENCY:""&amp;AF74&amp;""""&amp;Dashboard!$L$1&amp;""""))/100),IF(AF74=Dashboard!$L$1,AJ74,AJ74*GOOGLEFINANCE(""CURRENCY:""&amp;AF74&amp;""""&amp;Dashboard!$L$1&amp;""""))),"&amp;"AJ74))"),"")</f>
        <v/>
      </c>
      <c r="E74" s="177" t="str">
        <f>IFERROR(__xludf.DUMMYFUNCTION("IFERROR(IF(OR(AF74=""GBP"",AF74=""ZAR""),IF(B74="""","""",IF(AF74=Dashboard!$L$1,AK74,AK74*GOOGLEFINANCE(""CURRENCY:""&amp;AF74&amp;""""&amp;Dashboard!$L$1&amp;"""")))/100,If(B74="""","""",IF(AF74=Dashboard!$L$1,AK74,AK74*GOOGLEFINANCE(""CURRENCY:""&amp;AF74&amp;""""&amp;Dashboard!$"&amp;"L$1&amp;"""")))),AK74)"),"")</f>
        <v/>
      </c>
      <c r="F74" s="145" t="str">
        <f t="shared" si="65"/>
        <v/>
      </c>
      <c r="G74" s="96" t="str">
        <f>IFERROR(__xludf.DUMMYFUNCTION("IF(ISBLANK(B74),"""",IFERROR(SPARKLINE(INDEX(GOOGLEFINANCE(B74,""price"",TODAY()-$G$2,TODAY()),,2),{""charttype"",""column"";""color"",""17a7e0""}),""""))"),"")</f>
        <v/>
      </c>
      <c r="H74" s="50" t="str">
        <f t="shared" si="3"/>
        <v/>
      </c>
      <c r="I74" s="96" t="str">
        <f>IFERROR(__xludf.DUMMYFUNCTION("IF(ISBLANK(B74),"""",IFERROR(IF(OR(AF74=""GPB"",AF74=""ZAR""),IF(AF74=Dashboard!$L$1,AN74,(AN74*GOOGLEFINANCE(""CURRENCY:""&amp;AF74&amp;""""&amp;Dashboard!$L$1&amp;""""))/100),IF(AF74=Dashboard!$L$1,AN74,AN74*GOOGLEFINANCE(""CURRENCY:""&amp;AF74&amp;""""&amp;Dashboard!$L$1&amp;""""))),"&amp;"AN74))"),"")</f>
        <v/>
      </c>
      <c r="J74" s="178" t="str">
        <f>IF(ISBLANK(B74),"",IFERROR(((C74-SUMIFS(Transactions!I:I,Transactions!H:H,"Crypto Interest",Transactions!D:D,B74))*D74),""))</f>
        <v/>
      </c>
      <c r="K74" s="178" t="str">
        <f t="shared" si="4"/>
        <v/>
      </c>
      <c r="L74" s="145">
        <f>IF(ISBLANK(AF74),"",SUMIFS(Transactions!$M$3:$M149,Transactions!$H$3:$H149,"Buy",Transactions!$D$3:$D149,AF74))</f>
        <v>0</v>
      </c>
      <c r="M74" s="145">
        <f>IF(ISBLANK(AG74),"",SUMIFS(Transactions!$M$3:$M149,Transactions!$H$3:$H149,"Dividend",Transactions!$D$3:$D149,AG74))</f>
        <v>0</v>
      </c>
      <c r="N74" s="145" t="str">
        <f>IF(ISBLANK(AH74),"",SUMIFS(Transactions!$M$3:$M149,Transactions!$H$3:$H149,"Sell",Transactions!$D$3:$D149,AH74))</f>
        <v/>
      </c>
      <c r="O74" s="50" t="str">
        <f t="shared" si="5"/>
        <v/>
      </c>
      <c r="P74" s="178" t="str">
        <f t="shared" si="6"/>
        <v/>
      </c>
      <c r="Q74" s="178" t="str">
        <f>IFERROR(__xludf.DUMMYFUNCTION("IF(ISBLANK(B74),"""",IFERROR(IF(OR(AF74=""GPB"",AF74=""ZAR""),IF(AF74=Dashboard!$L$1,AS74,(AS74*GOOGLEFINANCE(""CURRENCY:""&amp;AF74&amp;""""&amp;Dashboard!$L$1&amp;""""))/100),IF(AF74=Dashboard!$L$1,AS74,AS74*GOOGLEFINANCE(""CURRENCY:""&amp;AF74&amp;""""&amp;Dashboard!$L$1&amp;""""))),"&amp;"AS74))"),"")</f>
        <v/>
      </c>
      <c r="R74" s="178" t="str">
        <f t="shared" si="7"/>
        <v/>
      </c>
      <c r="S74" s="50" t="str">
        <f>IFERROR(__xludf.DUMMYFUNCTION("IF(ISBLANK(B74),"""",IFERROR((GOOGLEFINANCE(B74,""price"")/INDEX(GOOGLEFINANCE(B74,""price"",DATEVALUE(TODAY()-$S$2) ),2,2)-1),""""))"),"")</f>
        <v/>
      </c>
      <c r="U74" s="50" t="str">
        <f>IFERROR(__xludf.DUMMYFUNCTION("IF(ISBLANK(B74),"""",IFERROR((GOOGLEFINANCE($U$2,""price"")/INDEX(GOOGLEFINANCE($U$2,""price"",DATEVALUE(TODAY()-$S$2) ),2,2)-1),""""))"),"")</f>
        <v/>
      </c>
      <c r="W74" s="50" t="str">
        <f t="shared" si="8"/>
        <v/>
      </c>
      <c r="X74" s="50" t="str">
        <f t="shared" si="9"/>
        <v/>
      </c>
      <c r="Y74" s="179">
        <v>0.0</v>
      </c>
      <c r="Z74" s="50" t="str">
        <f t="shared" si="10"/>
        <v/>
      </c>
      <c r="AA74" s="14" t="str">
        <f t="shared" si="11"/>
        <v/>
      </c>
      <c r="AB74" s="50" t="str">
        <f t="shared" si="12"/>
        <v/>
      </c>
      <c r="AC74" s="179" t="str">
        <f t="shared" si="13"/>
        <v/>
      </c>
      <c r="AD74" s="50" t="str">
        <f t="shared" si="14"/>
        <v/>
      </c>
      <c r="AE74" s="180" t="str">
        <f t="shared" si="15"/>
        <v/>
      </c>
      <c r="AF74" s="14" t="str">
        <f t="array" ref="AF74">IFERROR(IF(ISBLANK(AH74),"",IF(VLOOKUP(AH74,Transactions!D:F,3,0)="Stablecoin",AH74,INDEX(Transactions!$B$3:$B149,MATCH(AH74,Transactions!$D$3:$D149,0),0))))</f>
        <v/>
      </c>
      <c r="AG74" s="14" t="str">
        <f>IF(ISBLANK(AH74),"",VLOOKUP(AH74,Transactions!D:E,2,0))</f>
        <v/>
      </c>
      <c r="AH74" s="14"/>
      <c r="AI74" s="146" t="str">
        <f>IF(ISBLANK(AH74),"",IF(
SUMIFS(Transactions!$I$3:$I149,Transactions!$H$3:$H149,"Buy",Transactions!$F$3:$F149,"Stock",Transactions!$D$3:$D149,AH74)
+SUMIFS(Transactions!$I$3:$I149,Transactions!$H$3:$H149,"DRIP",Transactions!$F$3:$F149,"Stock",Transactions!$D$3:$D149,AH74)
+SUMIFS(Transactions!$I$3:$I149,Transactions!$H$3:$H149,"Transfer Deposit",Transactions!$F$3:$F149,"Stock",Transactions!$D$3:$D149,AH74)
+SUMIFS(Transactions!$I$3:$I149,Transactions!$H$3:$H149,"Buy",Transactions!$F$3:$F149,"ETF",Transactions!$D$3:$D149,AH74)
+SUMIFS(Transactions!$I$3:$I149,Transactions!$H$3:$H149,"DRIP",Transactions!$F$3:$F149,"ETF",Transactions!$D$3:$D149,AH74)
+SUMIFS(Transactions!$I$3:$I149,Transactions!$H$3:$H149,"Transfer Deposit",Transactions!$F$3:$F149,"ETF",Transactions!$D$3:$D149,AH74)
+SUMIFS(Transactions!$I$3:$I149,Transactions!$H$3:$H149,"Buy",Transactions!$F$3:$F149,"Commodity",Transactions!$D$3:$D149,AH74)
+SUMIFS(Transactions!$I$3:$I149,Transactions!$H$3:$H149,"DRIP",Transactions!$F$3:$F149,"Commodity",Transactions!$D$3:$D149,AH74)
+SUMIFS(Transactions!$I$3:$I149,Transactions!$H$3:$H149,"Transfer Deposit",Transactions!$F$3:$F149,"Commodity",Transactions!$D$3:$D149,AH74)
+SUMIFS(Transactions!$I$3:$I149,Transactions!$H$3:$H149,"Buy",Transactions!$F$3:$F149,"Managed Fund",Transactions!$D$3:$D149,AH74)
+SUMIFS(Transactions!$I$3:$I149,Transactions!$H$3:$H149,"DRIP",Transactions!$F$3:$F149,"Managed Fund",Transactions!$D$3:$D149,AH74)
+SUMIFS(Transactions!$I$3:$I149,Transactions!$H$3:$H149,"Transfer Deposit",Transactions!$F$3:$F149,"Managed Fund",Transactions!$D$3:$D149,AH74)
+SUMIFS(Transactions!$I$3:$I149,Transactions!$H$3:$H149,"Buy",Transactions!$F$3:$F149,"REIT",Transactions!$D$3:$D149,AH74)
+SUMIFS(Transactions!$I$3:$I149,Transactions!$H$3:$H149,"DRIP",Transactions!$F$3:$F149,"REIT",Transactions!$D$3:$D149,AH74)
+SUMIFS(Transactions!$I$3:$I149,Transactions!$H$3:$H149,"Transfer Deposit",Transactions!$F$3:$F149,"REIT",Transactions!$D$3:$D149,AH74)
-SUMIFS(Transactions!$I$3:$I149,Transactions!$H$3:$H149,"Sell",Transactions!$F$3:$F149,"Stock",Transactions!$D$3:$D149,AH74)
-SUMIFS(Transactions!$I$3:$I149,Transactions!$H$3:$H149,"Transfer Send",Transactions!$F$3:$F149,"Stock",Transactions!$D$3:$D149,AH74)
-SUMIFS(Transactions!$I$3:$I149,Transactions!$H$3:$H149,"Sell",Transactions!$F$3:$F149,"ETF",Transactions!$D$3:$D149,AH74)
-SUMIFS(Transactions!$I$3:$I149,Transactions!$H$3:$H149,"Transfer Send",Transactions!$F$3:$F149,"ETF",Transactions!$D$3:$D149,AH74)
-SUMIFS(Transactions!$I$3:$I149,Transactions!$H$3:$H149,"Sell",Transactions!$F$3:$F149,"Commodity",Transactions!$D$3:$D149,AH74)
-SUMIFS(Transactions!$I$3:$I149,Transactions!$H$3:$H149,"Transfer Send",Transactions!$F$3:$F149,"Commodity",Transactions!$D$3:$D149,AH74)
-SUMIFS(Transactions!$I$3:$I149,Transactions!$H$3:$H149,"Sell",Transactions!$F$3:$F149,"Managed Fund",Transactions!$D$3:$D149,AH74)
-SUMIFS(Transactions!$I$3:$I149,Transactions!$H$3:$H149,"Transfer Send",Transactions!$F$3:$F149,"Managed Fund",Transactions!$D$3:$D149,AH74)
-SUMIFS(Transactions!$I$3:$I149,Transactions!$H$3:$H149,"Sell",Transactions!$F$3:$F149,"REIT",Transactions!$D$3:$D149,AH74)
-SUMIFS(Transactions!$I$3:$I149,Transactions!$H$3:$H149,"Transfer Send",Transactions!$F$3:$F149,"REIT",Transactions!$D$3:$D149,AH74)
+SUMIFS(Transactions!$I$3:$I149,Transactions!$H$3:$H149,"Buy",Transactions!$F$3:$F149,"Crypto",Transactions!$D$3:$D149,AH74)
+SUMIFS(Transactions!$I$3:$I149,Transactions!$H$3:$H149,"Crypto Interest",Transactions!$F$3:$F149,"Crypto",Transactions!$D$3:$D149,AH74)
+SUMIFS(Transactions!$I$3:$I149,Transactions!$H$3:$H149,"Transfer Deposit",Transactions!$F$3:$F149,"Crypto",Transactions!$D$3:$D149,AH74)
-SUMIFS(Transactions!$I$3:$I149,Transactions!$H$3:$H149,"Transfer Send",Transactions!$F$3:$F149,"Crypto",Transactions!$D$3:$D149,AH74)
-SUMIFS(Transactions!$I$3:$I149,Transactions!$H$3:$H149,"Sell",Transactions!$F$3:$F149,"Crypto",Transactions!$D$3:$D149,AH74)
+SUMIFS(Transactions!$I$3:$I149,Transactions!$H$3:$H149,"Buy",Transactions!$F$3:$F149,"Stablecoin",Transactions!$D$3:$D149,AH74)
+SUMIFS(Transactions!$I$3:$I149,Transactions!$H$3:$H149,"Crypto Interest",Transactions!$F$3:$F149,"Stablecoin",Transactions!$D$3:$D149,AH74)
+SUMIFS(Transactions!$I$3:$I149,Transactions!$H$3:$H149,"Transfer Deposit",Transactions!$F$3:$F149,"Stablecoin",Transactions!$D$3:$D149,AH74)
-SUMIFS(Transactions!$I$3:$I149,Transactions!$H$3:$H149,"Transfer Send",Transactions!$F$3:$F149,"Stablecoin",Transactions!$D$3:$D149,AH74)
-SUMIFS(Transactions!$I$3:$I149,Transactions!$H$3:$H149,"Sell",Transactions!$F$3:$F149,"Stablecoin",Transactions!$D$3:$D149,AH74)
-SUMIFS(Transactions!$M$3:$M149,Transactions!$H$3:$H149,"Buy",Transactions!$B$3:$B149,AH74)=0,"Sold All",
SUMIFS(Transactions!$I$3:$I149,Transactions!$H$3:$H149,"Buy",Transactions!$F$3:$F149,"Stock",Transactions!$D$3:$D149,AH74)
+SUMIFS(Transactions!$I$3:$I149,Transactions!$H$3:$H149,"DRIP",Transactions!$F$3:$F149,"Stock",Transactions!$D$3:$D149,AH74)
+SUMIFS(Transactions!$I$3:$I149,Transactions!$H$3:$H149,"Transfer Deposit",Transactions!$F$3:$F149,"Stock",Transactions!$D$3:$D149,AH74)
+SUMIFS(Transactions!$I$3:$I149,Transactions!$H$3:$H149,"Buy",Transactions!$F$3:$F149,"ETF",Transactions!$D$3:$D149,AH74)
+SUMIFS(Transactions!$I$3:$I149,Transactions!$H$3:$H149,"DRIP",Transactions!$F$3:$F149,"ETF",Transactions!$D$3:$D149,AH74)
+SUMIFS(Transactions!$I$3:$I149,Transactions!$H$3:$H149,"Transfer Deposit",Transactions!$F$3:$F149,"ETF",Transactions!$D$3:$D149,AH74)
+SUMIFS(Transactions!$I$3:$I149,Transactions!$H$3:$H149,"Buy",Transactions!$F$3:$F149,"Commodity",Transactions!$D$3:$D149,AH74)
+SUMIFS(Transactions!$I$3:$I149,Transactions!$H$3:$H149,"DRIP",Transactions!$F$3:$F149,"Commodity",Transactions!$D$3:$D149,AH74)
+SUMIFS(Transactions!$I$3:$I149,Transactions!$H$3:$H149,"Transfer Deposit",Transactions!$F$3:$F149,"Commodity",Transactions!$D$3:$D149,AH74)
+SUMIFS(Transactions!$I$3:$I149,Transactions!$H$3:$H149,"Buy",Transactions!$F$3:$F149,"Managed Fund",Transactions!$D$3:$D149,AH74)
+SUMIFS(Transactions!$I$3:$I149,Transactions!$H$3:$H149,"DRIP",Transactions!$F$3:$F149,"Managed Fund",Transactions!$D$3:$D149,AH74)
+SUMIFS(Transactions!$I$3:$I149,Transactions!$H$3:$H149,"Transfer Deposit",Transactions!$F$3:$F149,"Managed Fund",Transactions!$D$3:$D149,AH74)
+SUMIFS(Transactions!$I$3:$I149,Transactions!$H$3:$H149,"Buy",Transactions!$F$3:$F149,"REIT",Transactions!$D$3:$D149,AH74)
+SUMIFS(Transactions!$I$3:$I149,Transactions!$H$3:$H149,"DRIP",Transactions!$F$3:$F149,"REIT",Transactions!$D$3:$D149,AH74)
+SUMIFS(Transactions!$I$3:$I149,Transactions!$H$3:$H149,"Transfer Deposit",Transactions!$F$3:$F149,"REIT",Transactions!$D$3:$D149,AH74)
-SUMIFS(Transactions!$I$3:$I149,Transactions!$H$3:$H149,"Sell",Transactions!$F$3:$F149,"Stock",Transactions!$D$3:$D149,AH74)
-SUMIFS(Transactions!$I$3:$I149,Transactions!$H$3:$H149,"Transfer Send",Transactions!$F$3:$F149,"Stock",Transactions!$D$3:$D149,AH74)
-SUMIFS(Transactions!$I$3:$I149,Transactions!$H$3:$H149,"Sell",Transactions!$F$3:$F149,"ETF",Transactions!$D$3:$D149,AH74)
-SUMIFS(Transactions!$I$3:$I149,Transactions!$H$3:$H149,"Transfer Send",Transactions!$F$3:$F149,"ETF",Transactions!$D$3:$D149,AH74)
-SUMIFS(Transactions!$I$3:$I149,Transactions!$H$3:$H149,"Sell",Transactions!$F$3:$F149,"Commodity",Transactions!$D$3:$D149,AH74)
-SUMIFS(Transactions!$I$3:$I149,Transactions!$H$3:$H149,"Transfer Send",Transactions!$F$3:$F149,"Commodity",Transactions!$D$3:$D149,AH74)
-SUMIFS(Transactions!$I$3:$I149,Transactions!$H$3:$H149,"Sell",Transactions!$F$3:$F149,"Managed Fund",Transactions!$D$3:$D149,AH74)
-SUMIFS(Transactions!$I$3:$I149,Transactions!$H$3:$H149,"Transfer Send",Transactions!$F$3:$F149,"Managed Fund",Transactions!$D$3:$D149,AH74)
-SUMIFS(Transactions!$I$3:$I149,Transactions!$H$3:$H149,"Sell",Transactions!$F$3:$F149,"REIT",Transactions!$D$3:$D149,AH74)
-SUMIFS(Transactions!$I$3:$I149,Transactions!$H$3:$H149,"Transfer Send",Transactions!$F$3:$F149,"REIT",Transactions!$D$3:$D149,AH74)
+SUMIFS(Transactions!$I$3:$I149,Transactions!$H$3:$H149,"Buy",Transactions!$F$3:$F149,"Crypto",Transactions!$D$3:$D149,AH74)
+SUMIFS(Transactions!$I$3:$I149,Transactions!$H$3:$H149,"Crypto Interest",Transactions!$F$3:$F149,"Crypto",Transactions!$D$3:$D149,AH74)
+SUMIFS(Transactions!$I$3:$I149,Transactions!$H$3:$H149,"Transfer Deposit",Transactions!$F$3:$F149,"Crypto",Transactions!$D$3:$D149,AH74)
-SUMIFS(Transactions!$I$3:$I149,Transactions!$H$3:$H149,"Transfer Send",Transactions!$F$3:$F149,"Crypto",Transactions!$D$3:$D149,AH74)
-SUMIFS(Transactions!$I$3:$I149,Transactions!$H$3:$H149,"Sell",Transactions!$F$3:$F149,"Crypto",Transactions!$D$3:$D149,AH74)
+SUMIFS(Transactions!$I$3:$I149,Transactions!$H$3:$H149,"Buy",Transactions!$F$3:$F149,"Stablecoin",Transactions!$D$3:$D149,AH74)
+SUMIFS(Transactions!$I$3:$I149,Transactions!$H$3:$H149,"Crypto Interest",Transactions!$F$3:$F149,"Stablecoin",Transactions!$D$3:$D149,AH74)
+SUMIFS(Transactions!$I$3:$I149,Transactions!$H$3:$H149,"Transfer Deposit",Transactions!$F$3:$F149,"Stablecoin",Transactions!$D$3:$D149,AH74)
-SUMIFS(Transactions!$I$3:$I149,Transactions!$H$3:$H149,"Transfer Send",Transactions!$F$3:$F149,"Stablecoin",Transactions!$D$3:$D149,AH74)
-SUMIFS(Transactions!$I$3:$I149,Transactions!$H$3:$H149,"Sell",Transactions!$F$3:$F149,"Stablecoin",Transactions!$D$3:$D149,AH74)
-SUMIFS(Transactions!$M$3:$M149,Transactions!$H$3:$H149,"Buy",Transactions!$B$3:$B149,AH74)))</f>
        <v/>
      </c>
      <c r="AJ74" s="181" t="str">
        <f>IFERROR(__xludf.DUMMYFUNCTION("IF(ISBLANK(AH74),"""",VLOOKUP(9^99,FILTER({ROW(Transactions!P:P),Transactions!P:P},Transactions!D:D=AH74),2))"),"")</f>
        <v/>
      </c>
      <c r="AK74" s="181" t="str">
        <f>IFERROR(__xludf.DUMMYFUNCTION("IF(ISBLANK(AH74),"""",IFERROR(GOOGLEFINANCE(AH74,""price""),IFERROR(GOOGLEFINANCE(""CURRENCY:""&amp;AH74&amp;""""),IFERROR(INDEX(YAHOO_STOCK(TRIM(AH74), $G$2),0,1),INDEX(IMPORTHTML(CONCAT(""https://coinmarketcap.com/currencies/"",AG74),""table"",1),1,2)))))"),"")</f>
        <v/>
      </c>
      <c r="AL74" s="14" t="str">
        <f>IFERROR(__xludf.DUMMYFUNCTION("IF(ISBLANK(AH74),"""",IFERROR(SPARKLINE(INDEX(GOOGLEFINANCE(AH74,""price"",TODAY()-$AL$2,TODAY()),,2),{""charttype"",""column"";""color"",""17a7e0""}),""""))"),"")</f>
        <v/>
      </c>
      <c r="AM74" s="50" t="str">
        <f>IFERROR(__xludf.DUMMYFUNCTION("IFNA(IFERROR(IF(AH74="""","""",GOOGLEFINANCE(AH74,""changepct"")/100),(GOOGLEFINANCE(AH74)-(INDEX(GOOGLEFINANCE(""CURRENCY:""&amp;AH74&amp;"""",""price"",TODAY()-1),2,2)))/(INDEX(GOOGLEFINANCE(""CURRENCY:""&amp;AH74&amp;"""",""price"",TODAY()-1),2,2))),)"),"")</f>
        <v/>
      </c>
      <c r="AN74" s="96" t="str">
        <f>IFERROR(__xludf.DUMMYFUNCTION("IFNA(IFERROR(IF(AH74="""","""",GOOGLEFINANCE(AH74,""change"")*AI74),(GOOGLEFINANCE(AH74)-(INDEX(GOOGLEFINANCE(""CURRENCY:""&amp;AH74&amp;"""",""price"",TODAY()-1),2,2)))*AI74),"""")"),"")</f>
        <v/>
      </c>
      <c r="AO74" s="96" t="str">
        <f>IF(ISBLANK(AH74),"",IFERROR(((AI74-SUMIFS(Transactions!I:I,Transactions!H:H,"Crypto Interest",Transactions!D:D,AH74))*AJ74),""))</f>
        <v/>
      </c>
      <c r="AP74" s="96" t="str">
        <f t="shared" si="16"/>
        <v/>
      </c>
      <c r="AQ74" s="50" t="str">
        <f t="shared" si="17"/>
        <v/>
      </c>
      <c r="AR74" s="96" t="str">
        <f t="shared" si="18"/>
        <v/>
      </c>
      <c r="AS74" s="96" t="str">
        <f>IF(ISBLANK(AH74),"",SUMIFS(Transactions!$X$3:$X149,Transactions!$H$3:$H149,"Sell",Transactions!$D$3:$D149,AH74))</f>
        <v/>
      </c>
      <c r="AT74" s="96" t="str">
        <f t="shared" si="19"/>
        <v/>
      </c>
      <c r="AU74" s="50" t="str">
        <f>IFERROR(__xludf.DUMMYFUNCTION("IF(ISBLANK(AH74),"""",IFERROR((GOOGLEFINANCE(AH74,""price"")/INDEX(GOOGLEFINANCE(AH74,""price"",DATEVALUE(TODAY()-$AU$2) ),2,2)-1),""""))"),"")</f>
        <v/>
      </c>
      <c r="AW74" s="50" t="str">
        <f>IFERROR(__xludf.DUMMYFUNCTION("IF(ISBLANK(AH74),"""",IFERROR((GOOGLEFINANCE($AW$2,""price"")/INDEX(GOOGLEFINANCE($AW$2,""price"",DATEVALUE(TODAY()-$AU$2) ),2,2)-1),""""))"),"")</f>
        <v/>
      </c>
      <c r="AY74" s="50" t="str">
        <f t="shared" si="20"/>
        <v/>
      </c>
      <c r="AZ74" s="50" t="str">
        <f t="shared" si="21"/>
        <v/>
      </c>
      <c r="BA74" s="50">
        <f t="shared" si="22"/>
        <v>0</v>
      </c>
      <c r="BB74" s="14" t="str">
        <f t="shared" si="23"/>
        <v/>
      </c>
      <c r="BC74" s="14" t="str">
        <f>IF(ISBLANK(AH74),"",IFERROR(VLOOKUP(AH74,Transactions!D:F,3,0)))</f>
        <v/>
      </c>
      <c r="BD74" s="50" t="str">
        <f t="shared" si="24"/>
        <v/>
      </c>
      <c r="BE74" s="50" t="str">
        <f t="shared" si="25"/>
        <v/>
      </c>
      <c r="BF74" s="14" t="str">
        <f t="shared" si="26"/>
        <v/>
      </c>
      <c r="BG74" s="180" t="str">
        <f>IF(ISBLANK(AH74),"",IFERROR(VLOOKUP(AH74,Transactions!D:G,4,0)))</f>
        <v/>
      </c>
    </row>
    <row r="75">
      <c r="A75" s="14" t="str">
        <f t="shared" ref="A75:C75" si="98">AG75</f>
        <v/>
      </c>
      <c r="B75" s="14" t="str">
        <f t="shared" si="98"/>
        <v/>
      </c>
      <c r="C75" s="175" t="str">
        <f t="shared" si="98"/>
        <v/>
      </c>
      <c r="D75" s="176" t="str">
        <f>IFERROR(__xludf.DUMMYFUNCTION("IF(ISBLANK(B75),"""",IFERROR(IF(OR(AF75=""GPB"",AF75=""ZAR""),IF(AF75=Dashboard!$L$1,AJ75,(AJ75*GOOGLEFINANCE(""CURRENCY:""&amp;AF75&amp;""""&amp;Dashboard!$L$1&amp;""""))/100),IF(AF75=Dashboard!$L$1,AJ75,AJ75*GOOGLEFINANCE(""CURRENCY:""&amp;AF75&amp;""""&amp;Dashboard!$L$1&amp;""""))),"&amp;"AJ75))"),"")</f>
        <v/>
      </c>
      <c r="E75" s="177" t="str">
        <f>IFERROR(__xludf.DUMMYFUNCTION("IFERROR(IF(OR(AF75=""GBP"",AF75=""ZAR""),IF(B75="""","""",IF(AF75=Dashboard!$L$1,AK75,AK75*GOOGLEFINANCE(""CURRENCY:""&amp;AF75&amp;""""&amp;Dashboard!$L$1&amp;"""")))/100,If(B75="""","""",IF(AF75=Dashboard!$L$1,AK75,AK75*GOOGLEFINANCE(""CURRENCY:""&amp;AF75&amp;""""&amp;Dashboard!$"&amp;"L$1&amp;"""")))),AK75)"),"")</f>
        <v/>
      </c>
      <c r="F75" s="145" t="str">
        <f t="shared" si="65"/>
        <v/>
      </c>
      <c r="G75" s="96" t="str">
        <f>IFERROR(__xludf.DUMMYFUNCTION("IF(ISBLANK(B75),"""",IFERROR(SPARKLINE(INDEX(GOOGLEFINANCE(B75,""price"",TODAY()-$G$2,TODAY()),,2),{""charttype"",""column"";""color"",""17a7e0""}),""""))"),"")</f>
        <v/>
      </c>
      <c r="H75" s="50" t="str">
        <f t="shared" si="3"/>
        <v/>
      </c>
      <c r="I75" s="96" t="str">
        <f>IFERROR(__xludf.DUMMYFUNCTION("IF(ISBLANK(B75),"""",IFERROR(IF(OR(AF75=""GPB"",AF75=""ZAR""),IF(AF75=Dashboard!$L$1,AN75,(AN75*GOOGLEFINANCE(""CURRENCY:""&amp;AF75&amp;""""&amp;Dashboard!$L$1&amp;""""))/100),IF(AF75=Dashboard!$L$1,AN75,AN75*GOOGLEFINANCE(""CURRENCY:""&amp;AF75&amp;""""&amp;Dashboard!$L$1&amp;""""))),"&amp;"AN75))"),"")</f>
        <v/>
      </c>
      <c r="J75" s="178" t="str">
        <f>IF(ISBLANK(B75),"",IFERROR(((C75-SUMIFS(Transactions!I:I,Transactions!H:H,"Crypto Interest",Transactions!D:D,B75))*D75),""))</f>
        <v/>
      </c>
      <c r="K75" s="178" t="str">
        <f t="shared" si="4"/>
        <v/>
      </c>
      <c r="L75" s="145">
        <f>IF(ISBLANK(AF75),"",SUMIFS(Transactions!$M$3:$M149,Transactions!$H$3:$H149,"Buy",Transactions!$D$3:$D149,AF75))</f>
        <v>0</v>
      </c>
      <c r="M75" s="145">
        <f>IF(ISBLANK(AG75),"",SUMIFS(Transactions!$M$3:$M149,Transactions!$H$3:$H149,"Dividend",Transactions!$D$3:$D149,AG75))</f>
        <v>0</v>
      </c>
      <c r="N75" s="145" t="str">
        <f>IF(ISBLANK(AH75),"",SUMIFS(Transactions!$M$3:$M149,Transactions!$H$3:$H149,"Sell",Transactions!$D$3:$D149,AH75))</f>
        <v/>
      </c>
      <c r="O75" s="50" t="str">
        <f t="shared" si="5"/>
        <v/>
      </c>
      <c r="P75" s="178" t="str">
        <f t="shared" si="6"/>
        <v/>
      </c>
      <c r="Q75" s="178" t="str">
        <f>IFERROR(__xludf.DUMMYFUNCTION("IF(ISBLANK(B75),"""",IFERROR(IF(OR(AF75=""GPB"",AF75=""ZAR""),IF(AF75=Dashboard!$L$1,AS75,(AS75*GOOGLEFINANCE(""CURRENCY:""&amp;AF75&amp;""""&amp;Dashboard!$L$1&amp;""""))/100),IF(AF75=Dashboard!$L$1,AS75,AS75*GOOGLEFINANCE(""CURRENCY:""&amp;AF75&amp;""""&amp;Dashboard!$L$1&amp;""""))),"&amp;"AS75))"),"")</f>
        <v/>
      </c>
      <c r="R75" s="178" t="str">
        <f t="shared" si="7"/>
        <v/>
      </c>
      <c r="S75" s="50" t="str">
        <f>IFERROR(__xludf.DUMMYFUNCTION("IF(ISBLANK(B75),"""",IFERROR((GOOGLEFINANCE(B75,""price"")/INDEX(GOOGLEFINANCE(B75,""price"",DATEVALUE(TODAY()-$S$2) ),2,2)-1),""""))"),"")</f>
        <v/>
      </c>
      <c r="U75" s="50" t="str">
        <f>IFERROR(__xludf.DUMMYFUNCTION("IF(ISBLANK(B75),"""",IFERROR((GOOGLEFINANCE($U$2,""price"")/INDEX(GOOGLEFINANCE($U$2,""price"",DATEVALUE(TODAY()-$S$2) ),2,2)-1),""""))"),"")</f>
        <v/>
      </c>
      <c r="W75" s="50" t="str">
        <f t="shared" si="8"/>
        <v/>
      </c>
      <c r="X75" s="50" t="str">
        <f t="shared" si="9"/>
        <v/>
      </c>
      <c r="Y75" s="179">
        <v>0.0</v>
      </c>
      <c r="Z75" s="50" t="str">
        <f t="shared" si="10"/>
        <v/>
      </c>
      <c r="AA75" s="14" t="str">
        <f t="shared" si="11"/>
        <v/>
      </c>
      <c r="AB75" s="50" t="str">
        <f t="shared" si="12"/>
        <v/>
      </c>
      <c r="AC75" s="179" t="str">
        <f t="shared" si="13"/>
        <v/>
      </c>
      <c r="AD75" s="50" t="str">
        <f t="shared" si="14"/>
        <v/>
      </c>
      <c r="AE75" s="180" t="str">
        <f t="shared" si="15"/>
        <v/>
      </c>
      <c r="AF75" s="14" t="str">
        <f t="array" ref="AF75">IFERROR(IF(ISBLANK(AH75),"",IF(VLOOKUP(AH75,Transactions!D:F,3,0)="Stablecoin",AH75,INDEX(Transactions!$B$3:$B149,MATCH(AH75,Transactions!$D$3:$D149,0),0))))</f>
        <v/>
      </c>
      <c r="AG75" s="14" t="str">
        <f>IF(ISBLANK(AH75),"",VLOOKUP(AH75,Transactions!D:E,2,0))</f>
        <v/>
      </c>
      <c r="AH75" s="14"/>
      <c r="AI75" s="146" t="str">
        <f>IF(ISBLANK(AH75),"",IF(
SUMIFS(Transactions!$I$3:$I149,Transactions!$H$3:$H149,"Buy",Transactions!$F$3:$F149,"Stock",Transactions!$D$3:$D149,AH75)
+SUMIFS(Transactions!$I$3:$I149,Transactions!$H$3:$H149,"DRIP",Transactions!$F$3:$F149,"Stock",Transactions!$D$3:$D149,AH75)
+SUMIFS(Transactions!$I$3:$I149,Transactions!$H$3:$H149,"Transfer Deposit",Transactions!$F$3:$F149,"Stock",Transactions!$D$3:$D149,AH75)
+SUMIFS(Transactions!$I$3:$I149,Transactions!$H$3:$H149,"Buy",Transactions!$F$3:$F149,"ETF",Transactions!$D$3:$D149,AH75)
+SUMIFS(Transactions!$I$3:$I149,Transactions!$H$3:$H149,"DRIP",Transactions!$F$3:$F149,"ETF",Transactions!$D$3:$D149,AH75)
+SUMIFS(Transactions!$I$3:$I149,Transactions!$H$3:$H149,"Transfer Deposit",Transactions!$F$3:$F149,"ETF",Transactions!$D$3:$D149,AH75)
+SUMIFS(Transactions!$I$3:$I149,Transactions!$H$3:$H149,"Buy",Transactions!$F$3:$F149,"Commodity",Transactions!$D$3:$D149,AH75)
+SUMIFS(Transactions!$I$3:$I149,Transactions!$H$3:$H149,"DRIP",Transactions!$F$3:$F149,"Commodity",Transactions!$D$3:$D149,AH75)
+SUMIFS(Transactions!$I$3:$I149,Transactions!$H$3:$H149,"Transfer Deposit",Transactions!$F$3:$F149,"Commodity",Transactions!$D$3:$D149,AH75)
+SUMIFS(Transactions!$I$3:$I149,Transactions!$H$3:$H149,"Buy",Transactions!$F$3:$F149,"Managed Fund",Transactions!$D$3:$D149,AH75)
+SUMIFS(Transactions!$I$3:$I149,Transactions!$H$3:$H149,"DRIP",Transactions!$F$3:$F149,"Managed Fund",Transactions!$D$3:$D149,AH75)
+SUMIFS(Transactions!$I$3:$I149,Transactions!$H$3:$H149,"Transfer Deposit",Transactions!$F$3:$F149,"Managed Fund",Transactions!$D$3:$D149,AH75)
+SUMIFS(Transactions!$I$3:$I149,Transactions!$H$3:$H149,"Buy",Transactions!$F$3:$F149,"REIT",Transactions!$D$3:$D149,AH75)
+SUMIFS(Transactions!$I$3:$I149,Transactions!$H$3:$H149,"DRIP",Transactions!$F$3:$F149,"REIT",Transactions!$D$3:$D149,AH75)
+SUMIFS(Transactions!$I$3:$I149,Transactions!$H$3:$H149,"Transfer Deposit",Transactions!$F$3:$F149,"REIT",Transactions!$D$3:$D149,AH75)
-SUMIFS(Transactions!$I$3:$I149,Transactions!$H$3:$H149,"Sell",Transactions!$F$3:$F149,"Stock",Transactions!$D$3:$D149,AH75)
-SUMIFS(Transactions!$I$3:$I149,Transactions!$H$3:$H149,"Transfer Send",Transactions!$F$3:$F149,"Stock",Transactions!$D$3:$D149,AH75)
-SUMIFS(Transactions!$I$3:$I149,Transactions!$H$3:$H149,"Sell",Transactions!$F$3:$F149,"ETF",Transactions!$D$3:$D149,AH75)
-SUMIFS(Transactions!$I$3:$I149,Transactions!$H$3:$H149,"Transfer Send",Transactions!$F$3:$F149,"ETF",Transactions!$D$3:$D149,AH75)
-SUMIFS(Transactions!$I$3:$I149,Transactions!$H$3:$H149,"Sell",Transactions!$F$3:$F149,"Commodity",Transactions!$D$3:$D149,AH75)
-SUMIFS(Transactions!$I$3:$I149,Transactions!$H$3:$H149,"Transfer Send",Transactions!$F$3:$F149,"Commodity",Transactions!$D$3:$D149,AH75)
-SUMIFS(Transactions!$I$3:$I149,Transactions!$H$3:$H149,"Sell",Transactions!$F$3:$F149,"Managed Fund",Transactions!$D$3:$D149,AH75)
-SUMIFS(Transactions!$I$3:$I149,Transactions!$H$3:$H149,"Transfer Send",Transactions!$F$3:$F149,"Managed Fund",Transactions!$D$3:$D149,AH75)
-SUMIFS(Transactions!$I$3:$I149,Transactions!$H$3:$H149,"Sell",Transactions!$F$3:$F149,"REIT",Transactions!$D$3:$D149,AH75)
-SUMIFS(Transactions!$I$3:$I149,Transactions!$H$3:$H149,"Transfer Send",Transactions!$F$3:$F149,"REIT",Transactions!$D$3:$D149,AH75)
+SUMIFS(Transactions!$I$3:$I149,Transactions!$H$3:$H149,"Buy",Transactions!$F$3:$F149,"Crypto",Transactions!$D$3:$D149,AH75)
+SUMIFS(Transactions!$I$3:$I149,Transactions!$H$3:$H149,"Crypto Interest",Transactions!$F$3:$F149,"Crypto",Transactions!$D$3:$D149,AH75)
+SUMIFS(Transactions!$I$3:$I149,Transactions!$H$3:$H149,"Transfer Deposit",Transactions!$F$3:$F149,"Crypto",Transactions!$D$3:$D149,AH75)
-SUMIFS(Transactions!$I$3:$I149,Transactions!$H$3:$H149,"Transfer Send",Transactions!$F$3:$F149,"Crypto",Transactions!$D$3:$D149,AH75)
-SUMIFS(Transactions!$I$3:$I149,Transactions!$H$3:$H149,"Sell",Transactions!$F$3:$F149,"Crypto",Transactions!$D$3:$D149,AH75)
+SUMIFS(Transactions!$I$3:$I149,Transactions!$H$3:$H149,"Buy",Transactions!$F$3:$F149,"Stablecoin",Transactions!$D$3:$D149,AH75)
+SUMIFS(Transactions!$I$3:$I149,Transactions!$H$3:$H149,"Crypto Interest",Transactions!$F$3:$F149,"Stablecoin",Transactions!$D$3:$D149,AH75)
+SUMIFS(Transactions!$I$3:$I149,Transactions!$H$3:$H149,"Transfer Deposit",Transactions!$F$3:$F149,"Stablecoin",Transactions!$D$3:$D149,AH75)
-SUMIFS(Transactions!$I$3:$I149,Transactions!$H$3:$H149,"Transfer Send",Transactions!$F$3:$F149,"Stablecoin",Transactions!$D$3:$D149,AH75)
-SUMIFS(Transactions!$I$3:$I149,Transactions!$H$3:$H149,"Sell",Transactions!$F$3:$F149,"Stablecoin",Transactions!$D$3:$D149,AH75)
-SUMIFS(Transactions!$M$3:$M149,Transactions!$H$3:$H149,"Buy",Transactions!$B$3:$B149,AH75)=0,"Sold All",
SUMIFS(Transactions!$I$3:$I149,Transactions!$H$3:$H149,"Buy",Transactions!$F$3:$F149,"Stock",Transactions!$D$3:$D149,AH75)
+SUMIFS(Transactions!$I$3:$I149,Transactions!$H$3:$H149,"DRIP",Transactions!$F$3:$F149,"Stock",Transactions!$D$3:$D149,AH75)
+SUMIFS(Transactions!$I$3:$I149,Transactions!$H$3:$H149,"Transfer Deposit",Transactions!$F$3:$F149,"Stock",Transactions!$D$3:$D149,AH75)
+SUMIFS(Transactions!$I$3:$I149,Transactions!$H$3:$H149,"Buy",Transactions!$F$3:$F149,"ETF",Transactions!$D$3:$D149,AH75)
+SUMIFS(Transactions!$I$3:$I149,Transactions!$H$3:$H149,"DRIP",Transactions!$F$3:$F149,"ETF",Transactions!$D$3:$D149,AH75)
+SUMIFS(Transactions!$I$3:$I149,Transactions!$H$3:$H149,"Transfer Deposit",Transactions!$F$3:$F149,"ETF",Transactions!$D$3:$D149,AH75)
+SUMIFS(Transactions!$I$3:$I149,Transactions!$H$3:$H149,"Buy",Transactions!$F$3:$F149,"Commodity",Transactions!$D$3:$D149,AH75)
+SUMIFS(Transactions!$I$3:$I149,Transactions!$H$3:$H149,"DRIP",Transactions!$F$3:$F149,"Commodity",Transactions!$D$3:$D149,AH75)
+SUMIFS(Transactions!$I$3:$I149,Transactions!$H$3:$H149,"Transfer Deposit",Transactions!$F$3:$F149,"Commodity",Transactions!$D$3:$D149,AH75)
+SUMIFS(Transactions!$I$3:$I149,Transactions!$H$3:$H149,"Buy",Transactions!$F$3:$F149,"Managed Fund",Transactions!$D$3:$D149,AH75)
+SUMIFS(Transactions!$I$3:$I149,Transactions!$H$3:$H149,"DRIP",Transactions!$F$3:$F149,"Managed Fund",Transactions!$D$3:$D149,AH75)
+SUMIFS(Transactions!$I$3:$I149,Transactions!$H$3:$H149,"Transfer Deposit",Transactions!$F$3:$F149,"Managed Fund",Transactions!$D$3:$D149,AH75)
+SUMIFS(Transactions!$I$3:$I149,Transactions!$H$3:$H149,"Buy",Transactions!$F$3:$F149,"REIT",Transactions!$D$3:$D149,AH75)
+SUMIFS(Transactions!$I$3:$I149,Transactions!$H$3:$H149,"DRIP",Transactions!$F$3:$F149,"REIT",Transactions!$D$3:$D149,AH75)
+SUMIFS(Transactions!$I$3:$I149,Transactions!$H$3:$H149,"Transfer Deposit",Transactions!$F$3:$F149,"REIT",Transactions!$D$3:$D149,AH75)
-SUMIFS(Transactions!$I$3:$I149,Transactions!$H$3:$H149,"Sell",Transactions!$F$3:$F149,"Stock",Transactions!$D$3:$D149,AH75)
-SUMIFS(Transactions!$I$3:$I149,Transactions!$H$3:$H149,"Transfer Send",Transactions!$F$3:$F149,"Stock",Transactions!$D$3:$D149,AH75)
-SUMIFS(Transactions!$I$3:$I149,Transactions!$H$3:$H149,"Sell",Transactions!$F$3:$F149,"ETF",Transactions!$D$3:$D149,AH75)
-SUMIFS(Transactions!$I$3:$I149,Transactions!$H$3:$H149,"Transfer Send",Transactions!$F$3:$F149,"ETF",Transactions!$D$3:$D149,AH75)
-SUMIFS(Transactions!$I$3:$I149,Transactions!$H$3:$H149,"Sell",Transactions!$F$3:$F149,"Commodity",Transactions!$D$3:$D149,AH75)
-SUMIFS(Transactions!$I$3:$I149,Transactions!$H$3:$H149,"Transfer Send",Transactions!$F$3:$F149,"Commodity",Transactions!$D$3:$D149,AH75)
-SUMIFS(Transactions!$I$3:$I149,Transactions!$H$3:$H149,"Sell",Transactions!$F$3:$F149,"Managed Fund",Transactions!$D$3:$D149,AH75)
-SUMIFS(Transactions!$I$3:$I149,Transactions!$H$3:$H149,"Transfer Send",Transactions!$F$3:$F149,"Managed Fund",Transactions!$D$3:$D149,AH75)
-SUMIFS(Transactions!$I$3:$I149,Transactions!$H$3:$H149,"Sell",Transactions!$F$3:$F149,"REIT",Transactions!$D$3:$D149,AH75)
-SUMIFS(Transactions!$I$3:$I149,Transactions!$H$3:$H149,"Transfer Send",Transactions!$F$3:$F149,"REIT",Transactions!$D$3:$D149,AH75)
+SUMIFS(Transactions!$I$3:$I149,Transactions!$H$3:$H149,"Buy",Transactions!$F$3:$F149,"Crypto",Transactions!$D$3:$D149,AH75)
+SUMIFS(Transactions!$I$3:$I149,Transactions!$H$3:$H149,"Crypto Interest",Transactions!$F$3:$F149,"Crypto",Transactions!$D$3:$D149,AH75)
+SUMIFS(Transactions!$I$3:$I149,Transactions!$H$3:$H149,"Transfer Deposit",Transactions!$F$3:$F149,"Crypto",Transactions!$D$3:$D149,AH75)
-SUMIFS(Transactions!$I$3:$I149,Transactions!$H$3:$H149,"Transfer Send",Transactions!$F$3:$F149,"Crypto",Transactions!$D$3:$D149,AH75)
-SUMIFS(Transactions!$I$3:$I149,Transactions!$H$3:$H149,"Sell",Transactions!$F$3:$F149,"Crypto",Transactions!$D$3:$D149,AH75)
+SUMIFS(Transactions!$I$3:$I149,Transactions!$H$3:$H149,"Buy",Transactions!$F$3:$F149,"Stablecoin",Transactions!$D$3:$D149,AH75)
+SUMIFS(Transactions!$I$3:$I149,Transactions!$H$3:$H149,"Crypto Interest",Transactions!$F$3:$F149,"Stablecoin",Transactions!$D$3:$D149,AH75)
+SUMIFS(Transactions!$I$3:$I149,Transactions!$H$3:$H149,"Transfer Deposit",Transactions!$F$3:$F149,"Stablecoin",Transactions!$D$3:$D149,AH75)
-SUMIFS(Transactions!$I$3:$I149,Transactions!$H$3:$H149,"Transfer Send",Transactions!$F$3:$F149,"Stablecoin",Transactions!$D$3:$D149,AH75)
-SUMIFS(Transactions!$I$3:$I149,Transactions!$H$3:$H149,"Sell",Transactions!$F$3:$F149,"Stablecoin",Transactions!$D$3:$D149,AH75)
-SUMIFS(Transactions!$M$3:$M149,Transactions!$H$3:$H149,"Buy",Transactions!$B$3:$B149,AH75)))</f>
        <v/>
      </c>
      <c r="AJ75" s="181" t="str">
        <f>IFERROR(__xludf.DUMMYFUNCTION("IF(ISBLANK(AH75),"""",VLOOKUP(9^99,FILTER({ROW(Transactions!P:P),Transactions!P:P},Transactions!D:D=AH75),2))"),"")</f>
        <v/>
      </c>
      <c r="AK75" s="181" t="str">
        <f>IFERROR(__xludf.DUMMYFUNCTION("IF(ISBLANK(AH75),"""",IFERROR(GOOGLEFINANCE(AH75,""price""),IFERROR(GOOGLEFINANCE(""CURRENCY:""&amp;AH75&amp;""""),IFERROR(INDEX(YAHOO_STOCK(TRIM(AH75), $G$2),0,1),INDEX(IMPORTHTML(CONCAT(""https://coinmarketcap.com/currencies/"",AG75),""table"",1),1,2)))))"),"")</f>
        <v/>
      </c>
      <c r="AL75" s="14" t="str">
        <f>IFERROR(__xludf.DUMMYFUNCTION("IF(ISBLANK(AH75),"""",IFERROR(SPARKLINE(INDEX(GOOGLEFINANCE(AH75,""price"",TODAY()-$AL$2,TODAY()),,2),{""charttype"",""column"";""color"",""17a7e0""}),""""))"),"")</f>
        <v/>
      </c>
      <c r="AM75" s="50" t="str">
        <f>IFERROR(__xludf.DUMMYFUNCTION("IFNA(IFERROR(IF(AH75="""","""",GOOGLEFINANCE(AH75,""changepct"")/100),(GOOGLEFINANCE(AH75)-(INDEX(GOOGLEFINANCE(""CURRENCY:""&amp;AH75&amp;"""",""price"",TODAY()-1),2,2)))/(INDEX(GOOGLEFINANCE(""CURRENCY:""&amp;AH75&amp;"""",""price"",TODAY()-1),2,2))),)"),"")</f>
        <v/>
      </c>
      <c r="AN75" s="96" t="str">
        <f>IFERROR(__xludf.DUMMYFUNCTION("IFNA(IFERROR(IF(AH75="""","""",GOOGLEFINANCE(AH75,""change"")*AI75),(GOOGLEFINANCE(AH75)-(INDEX(GOOGLEFINANCE(""CURRENCY:""&amp;AH75&amp;"""",""price"",TODAY()-1),2,2)))*AI75),"""")"),"")</f>
        <v/>
      </c>
      <c r="AO75" s="96" t="str">
        <f>IF(ISBLANK(AH75),"",IFERROR(((AI75-SUMIFS(Transactions!I:I,Transactions!H:H,"Crypto Interest",Transactions!D:D,AH75))*AJ75),""))</f>
        <v/>
      </c>
      <c r="AP75" s="96" t="str">
        <f t="shared" si="16"/>
        <v/>
      </c>
      <c r="AQ75" s="50" t="str">
        <f t="shared" si="17"/>
        <v/>
      </c>
      <c r="AR75" s="96" t="str">
        <f t="shared" si="18"/>
        <v/>
      </c>
      <c r="AS75" s="96" t="str">
        <f>IF(ISBLANK(AH75),"",SUMIFS(Transactions!$X$3:$X149,Transactions!$H$3:$H149,"Sell",Transactions!$D$3:$D149,AH75))</f>
        <v/>
      </c>
      <c r="AT75" s="96" t="str">
        <f t="shared" si="19"/>
        <v/>
      </c>
      <c r="AU75" s="50" t="str">
        <f>IFERROR(__xludf.DUMMYFUNCTION("IF(ISBLANK(AH75),"""",IFERROR((GOOGLEFINANCE(AH75,""price"")/INDEX(GOOGLEFINANCE(AH75,""price"",DATEVALUE(TODAY()-$AU$2) ),2,2)-1),""""))"),"")</f>
        <v/>
      </c>
      <c r="AW75" s="50" t="str">
        <f>IFERROR(__xludf.DUMMYFUNCTION("IF(ISBLANK(AH75),"""",IFERROR((GOOGLEFINANCE($AW$2,""price"")/INDEX(GOOGLEFINANCE($AW$2,""price"",DATEVALUE(TODAY()-$AU$2) ),2,2)-1),""""))"),"")</f>
        <v/>
      </c>
      <c r="AY75" s="50" t="str">
        <f t="shared" si="20"/>
        <v/>
      </c>
      <c r="AZ75" s="50" t="str">
        <f t="shared" si="21"/>
        <v/>
      </c>
      <c r="BA75" s="50">
        <f t="shared" si="22"/>
        <v>0</v>
      </c>
      <c r="BB75" s="14" t="str">
        <f t="shared" si="23"/>
        <v/>
      </c>
      <c r="BC75" s="14" t="str">
        <f>IF(ISBLANK(AH75),"",IFERROR(VLOOKUP(AH75,Transactions!D:F,3,0)))</f>
        <v/>
      </c>
      <c r="BD75" s="50" t="str">
        <f t="shared" si="24"/>
        <v/>
      </c>
      <c r="BE75" s="50" t="str">
        <f t="shared" si="25"/>
        <v/>
      </c>
      <c r="BF75" s="14" t="str">
        <f t="shared" si="26"/>
        <v/>
      </c>
      <c r="BG75" s="180" t="str">
        <f>IF(ISBLANK(AH75),"",IFERROR(VLOOKUP(AH75,Transactions!D:G,4,0)))</f>
        <v/>
      </c>
    </row>
    <row r="76">
      <c r="A76" s="14" t="str">
        <f t="shared" ref="A76:C76" si="99">AG76</f>
        <v/>
      </c>
      <c r="B76" s="14" t="str">
        <f t="shared" si="99"/>
        <v/>
      </c>
      <c r="C76" s="175" t="str">
        <f t="shared" si="99"/>
        <v/>
      </c>
      <c r="D76" s="176" t="str">
        <f>IFERROR(__xludf.DUMMYFUNCTION("IF(ISBLANK(B76),"""",IFERROR(IF(OR(AF76=""GPB"",AF76=""ZAR""),IF(AF76=Dashboard!$L$1,AJ76,(AJ76*GOOGLEFINANCE(""CURRENCY:""&amp;AF76&amp;""""&amp;Dashboard!$L$1&amp;""""))/100),IF(AF76=Dashboard!$L$1,AJ76,AJ76*GOOGLEFINANCE(""CURRENCY:""&amp;AF76&amp;""""&amp;Dashboard!$L$1&amp;""""))),"&amp;"AJ76))"),"")</f>
        <v/>
      </c>
      <c r="E76" s="177" t="str">
        <f>IFERROR(__xludf.DUMMYFUNCTION("IFERROR(IF(OR(AF76=""GBP"",AF76=""ZAR""),IF(B76="""","""",IF(AF76=Dashboard!$L$1,AK76,AK76*GOOGLEFINANCE(""CURRENCY:""&amp;AF76&amp;""""&amp;Dashboard!$L$1&amp;"""")))/100,If(B76="""","""",IF(AF76=Dashboard!$L$1,AK76,AK76*GOOGLEFINANCE(""CURRENCY:""&amp;AF76&amp;""""&amp;Dashboard!$"&amp;"L$1&amp;"""")))),AK76)"),"")</f>
        <v/>
      </c>
      <c r="F76" s="145" t="str">
        <f t="shared" si="65"/>
        <v/>
      </c>
      <c r="G76" s="96" t="str">
        <f>IFERROR(__xludf.DUMMYFUNCTION("IF(ISBLANK(B76),"""",IFERROR(SPARKLINE(INDEX(GOOGLEFINANCE(B76,""price"",TODAY()-$G$2,TODAY()),,2),{""charttype"",""column"";""color"",""17a7e0""}),""""))"),"")</f>
        <v/>
      </c>
      <c r="H76" s="50" t="str">
        <f t="shared" si="3"/>
        <v/>
      </c>
      <c r="I76" s="96" t="str">
        <f>IFERROR(__xludf.DUMMYFUNCTION("IF(ISBLANK(B76),"""",IFERROR(IF(OR(AF76=""GPB"",AF76=""ZAR""),IF(AF76=Dashboard!$L$1,AN76,(AN76*GOOGLEFINANCE(""CURRENCY:""&amp;AF76&amp;""""&amp;Dashboard!$L$1&amp;""""))/100),IF(AF76=Dashboard!$L$1,AN76,AN76*GOOGLEFINANCE(""CURRENCY:""&amp;AF76&amp;""""&amp;Dashboard!$L$1&amp;""""))),"&amp;"AN76))"),"")</f>
        <v/>
      </c>
      <c r="J76" s="178" t="str">
        <f>IF(ISBLANK(B76),"",IFERROR(((C76-SUMIFS(Transactions!I:I,Transactions!H:H,"Crypto Interest",Transactions!D:D,B76))*D76),""))</f>
        <v/>
      </c>
      <c r="K76" s="178" t="str">
        <f t="shared" si="4"/>
        <v/>
      </c>
      <c r="L76" s="145">
        <f>IF(ISBLANK(AF76),"",SUMIFS(Transactions!$M$3:$M149,Transactions!$H$3:$H149,"Buy",Transactions!$D$3:$D149,AF76))</f>
        <v>0</v>
      </c>
      <c r="M76" s="145">
        <f>IF(ISBLANK(AG76),"",SUMIFS(Transactions!$M$3:$M149,Transactions!$H$3:$H149,"Dividend",Transactions!$D$3:$D149,AG76))</f>
        <v>0</v>
      </c>
      <c r="N76" s="145" t="str">
        <f>IF(ISBLANK(AH76),"",SUMIFS(Transactions!$M$3:$M149,Transactions!$H$3:$H149,"Sell",Transactions!$D$3:$D149,AH76))</f>
        <v/>
      </c>
      <c r="O76" s="50" t="str">
        <f t="shared" si="5"/>
        <v/>
      </c>
      <c r="P76" s="178" t="str">
        <f t="shared" si="6"/>
        <v/>
      </c>
      <c r="Q76" s="178" t="str">
        <f>IFERROR(__xludf.DUMMYFUNCTION("IF(ISBLANK(B76),"""",IFERROR(IF(OR(AF76=""GPB"",AF76=""ZAR""),IF(AF76=Dashboard!$L$1,AS76,(AS76*GOOGLEFINANCE(""CURRENCY:""&amp;AF76&amp;""""&amp;Dashboard!$L$1&amp;""""))/100),IF(AF76=Dashboard!$L$1,AS76,AS76*GOOGLEFINANCE(""CURRENCY:""&amp;AF76&amp;""""&amp;Dashboard!$L$1&amp;""""))),"&amp;"AS76))"),"")</f>
        <v/>
      </c>
      <c r="R76" s="178" t="str">
        <f t="shared" si="7"/>
        <v/>
      </c>
      <c r="S76" s="50" t="str">
        <f>IFERROR(__xludf.DUMMYFUNCTION("IF(ISBLANK(B76),"""",IFERROR((GOOGLEFINANCE(B76,""price"")/INDEX(GOOGLEFINANCE(B76,""price"",DATEVALUE(TODAY()-$S$2) ),2,2)-1),""""))"),"")</f>
        <v/>
      </c>
      <c r="U76" s="50" t="str">
        <f>IFERROR(__xludf.DUMMYFUNCTION("IF(ISBLANK(B76),"""",IFERROR((GOOGLEFINANCE($U$2,""price"")/INDEX(GOOGLEFINANCE($U$2,""price"",DATEVALUE(TODAY()-$S$2) ),2,2)-1),""""))"),"")</f>
        <v/>
      </c>
      <c r="W76" s="50" t="str">
        <f t="shared" si="8"/>
        <v/>
      </c>
      <c r="X76" s="50" t="str">
        <f t="shared" si="9"/>
        <v/>
      </c>
      <c r="Y76" s="179">
        <v>0.0</v>
      </c>
      <c r="Z76" s="50" t="str">
        <f t="shared" si="10"/>
        <v/>
      </c>
      <c r="AA76" s="14" t="str">
        <f t="shared" si="11"/>
        <v/>
      </c>
      <c r="AB76" s="50" t="str">
        <f t="shared" si="12"/>
        <v/>
      </c>
      <c r="AC76" s="179" t="str">
        <f t="shared" si="13"/>
        <v/>
      </c>
      <c r="AD76" s="50" t="str">
        <f t="shared" si="14"/>
        <v/>
      </c>
      <c r="AE76" s="180" t="str">
        <f t="shared" si="15"/>
        <v/>
      </c>
      <c r="AF76" s="14" t="str">
        <f t="array" ref="AF76">IFERROR(IF(ISBLANK(AH76),"",IF(VLOOKUP(AH76,Transactions!D:F,3,0)="Stablecoin",AH76,INDEX(Transactions!$B$3:$B149,MATCH(AH76,Transactions!$D$3:$D149,0),0))))</f>
        <v/>
      </c>
      <c r="AG76" s="14" t="str">
        <f>IF(ISBLANK(AH76),"",VLOOKUP(AH76,Transactions!D:E,2,0))</f>
        <v/>
      </c>
      <c r="AH76" s="14"/>
      <c r="AI76" s="146" t="str">
        <f>IF(ISBLANK(AH76),"",IF(
SUMIFS(Transactions!$I$3:$I149,Transactions!$H$3:$H149,"Buy",Transactions!$F$3:$F149,"Stock",Transactions!$D$3:$D149,AH76)
+SUMIFS(Transactions!$I$3:$I149,Transactions!$H$3:$H149,"DRIP",Transactions!$F$3:$F149,"Stock",Transactions!$D$3:$D149,AH76)
+SUMIFS(Transactions!$I$3:$I149,Transactions!$H$3:$H149,"Transfer Deposit",Transactions!$F$3:$F149,"Stock",Transactions!$D$3:$D149,AH76)
+SUMIFS(Transactions!$I$3:$I149,Transactions!$H$3:$H149,"Buy",Transactions!$F$3:$F149,"ETF",Transactions!$D$3:$D149,AH76)
+SUMIFS(Transactions!$I$3:$I149,Transactions!$H$3:$H149,"DRIP",Transactions!$F$3:$F149,"ETF",Transactions!$D$3:$D149,AH76)
+SUMIFS(Transactions!$I$3:$I149,Transactions!$H$3:$H149,"Transfer Deposit",Transactions!$F$3:$F149,"ETF",Transactions!$D$3:$D149,AH76)
+SUMIFS(Transactions!$I$3:$I149,Transactions!$H$3:$H149,"Buy",Transactions!$F$3:$F149,"Commodity",Transactions!$D$3:$D149,AH76)
+SUMIFS(Transactions!$I$3:$I149,Transactions!$H$3:$H149,"DRIP",Transactions!$F$3:$F149,"Commodity",Transactions!$D$3:$D149,AH76)
+SUMIFS(Transactions!$I$3:$I149,Transactions!$H$3:$H149,"Transfer Deposit",Transactions!$F$3:$F149,"Commodity",Transactions!$D$3:$D149,AH76)
+SUMIFS(Transactions!$I$3:$I149,Transactions!$H$3:$H149,"Buy",Transactions!$F$3:$F149,"Managed Fund",Transactions!$D$3:$D149,AH76)
+SUMIFS(Transactions!$I$3:$I149,Transactions!$H$3:$H149,"DRIP",Transactions!$F$3:$F149,"Managed Fund",Transactions!$D$3:$D149,AH76)
+SUMIFS(Transactions!$I$3:$I149,Transactions!$H$3:$H149,"Transfer Deposit",Transactions!$F$3:$F149,"Managed Fund",Transactions!$D$3:$D149,AH76)
+SUMIFS(Transactions!$I$3:$I149,Transactions!$H$3:$H149,"Buy",Transactions!$F$3:$F149,"REIT",Transactions!$D$3:$D149,AH76)
+SUMIFS(Transactions!$I$3:$I149,Transactions!$H$3:$H149,"DRIP",Transactions!$F$3:$F149,"REIT",Transactions!$D$3:$D149,AH76)
+SUMIFS(Transactions!$I$3:$I149,Transactions!$H$3:$H149,"Transfer Deposit",Transactions!$F$3:$F149,"REIT",Transactions!$D$3:$D149,AH76)
-SUMIFS(Transactions!$I$3:$I149,Transactions!$H$3:$H149,"Sell",Transactions!$F$3:$F149,"Stock",Transactions!$D$3:$D149,AH76)
-SUMIFS(Transactions!$I$3:$I149,Transactions!$H$3:$H149,"Transfer Send",Transactions!$F$3:$F149,"Stock",Transactions!$D$3:$D149,AH76)
-SUMIFS(Transactions!$I$3:$I149,Transactions!$H$3:$H149,"Sell",Transactions!$F$3:$F149,"ETF",Transactions!$D$3:$D149,AH76)
-SUMIFS(Transactions!$I$3:$I149,Transactions!$H$3:$H149,"Transfer Send",Transactions!$F$3:$F149,"ETF",Transactions!$D$3:$D149,AH76)
-SUMIFS(Transactions!$I$3:$I149,Transactions!$H$3:$H149,"Sell",Transactions!$F$3:$F149,"Commodity",Transactions!$D$3:$D149,AH76)
-SUMIFS(Transactions!$I$3:$I149,Transactions!$H$3:$H149,"Transfer Send",Transactions!$F$3:$F149,"Commodity",Transactions!$D$3:$D149,AH76)
-SUMIFS(Transactions!$I$3:$I149,Transactions!$H$3:$H149,"Sell",Transactions!$F$3:$F149,"Managed Fund",Transactions!$D$3:$D149,AH76)
-SUMIFS(Transactions!$I$3:$I149,Transactions!$H$3:$H149,"Transfer Send",Transactions!$F$3:$F149,"Managed Fund",Transactions!$D$3:$D149,AH76)
-SUMIFS(Transactions!$I$3:$I149,Transactions!$H$3:$H149,"Sell",Transactions!$F$3:$F149,"REIT",Transactions!$D$3:$D149,AH76)
-SUMIFS(Transactions!$I$3:$I149,Transactions!$H$3:$H149,"Transfer Send",Transactions!$F$3:$F149,"REIT",Transactions!$D$3:$D149,AH76)
+SUMIFS(Transactions!$I$3:$I149,Transactions!$H$3:$H149,"Buy",Transactions!$F$3:$F149,"Crypto",Transactions!$D$3:$D149,AH76)
+SUMIFS(Transactions!$I$3:$I149,Transactions!$H$3:$H149,"Crypto Interest",Transactions!$F$3:$F149,"Crypto",Transactions!$D$3:$D149,AH76)
+SUMIFS(Transactions!$I$3:$I149,Transactions!$H$3:$H149,"Transfer Deposit",Transactions!$F$3:$F149,"Crypto",Transactions!$D$3:$D149,AH76)
-SUMIFS(Transactions!$I$3:$I149,Transactions!$H$3:$H149,"Transfer Send",Transactions!$F$3:$F149,"Crypto",Transactions!$D$3:$D149,AH76)
-SUMIFS(Transactions!$I$3:$I149,Transactions!$H$3:$H149,"Sell",Transactions!$F$3:$F149,"Crypto",Transactions!$D$3:$D149,AH76)
+SUMIFS(Transactions!$I$3:$I149,Transactions!$H$3:$H149,"Buy",Transactions!$F$3:$F149,"Stablecoin",Transactions!$D$3:$D149,AH76)
+SUMIFS(Transactions!$I$3:$I149,Transactions!$H$3:$H149,"Crypto Interest",Transactions!$F$3:$F149,"Stablecoin",Transactions!$D$3:$D149,AH76)
+SUMIFS(Transactions!$I$3:$I149,Transactions!$H$3:$H149,"Transfer Deposit",Transactions!$F$3:$F149,"Stablecoin",Transactions!$D$3:$D149,AH76)
-SUMIFS(Transactions!$I$3:$I149,Transactions!$H$3:$H149,"Transfer Send",Transactions!$F$3:$F149,"Stablecoin",Transactions!$D$3:$D149,AH76)
-SUMIFS(Transactions!$I$3:$I149,Transactions!$H$3:$H149,"Sell",Transactions!$F$3:$F149,"Stablecoin",Transactions!$D$3:$D149,AH76)
-SUMIFS(Transactions!$M$3:$M149,Transactions!$H$3:$H149,"Buy",Transactions!$B$3:$B149,AH76)=0,"Sold All",
SUMIFS(Transactions!$I$3:$I149,Transactions!$H$3:$H149,"Buy",Transactions!$F$3:$F149,"Stock",Transactions!$D$3:$D149,AH76)
+SUMIFS(Transactions!$I$3:$I149,Transactions!$H$3:$H149,"DRIP",Transactions!$F$3:$F149,"Stock",Transactions!$D$3:$D149,AH76)
+SUMIFS(Transactions!$I$3:$I149,Transactions!$H$3:$H149,"Transfer Deposit",Transactions!$F$3:$F149,"Stock",Transactions!$D$3:$D149,AH76)
+SUMIFS(Transactions!$I$3:$I149,Transactions!$H$3:$H149,"Buy",Transactions!$F$3:$F149,"ETF",Transactions!$D$3:$D149,AH76)
+SUMIFS(Transactions!$I$3:$I149,Transactions!$H$3:$H149,"DRIP",Transactions!$F$3:$F149,"ETF",Transactions!$D$3:$D149,AH76)
+SUMIFS(Transactions!$I$3:$I149,Transactions!$H$3:$H149,"Transfer Deposit",Transactions!$F$3:$F149,"ETF",Transactions!$D$3:$D149,AH76)
+SUMIFS(Transactions!$I$3:$I149,Transactions!$H$3:$H149,"Buy",Transactions!$F$3:$F149,"Commodity",Transactions!$D$3:$D149,AH76)
+SUMIFS(Transactions!$I$3:$I149,Transactions!$H$3:$H149,"DRIP",Transactions!$F$3:$F149,"Commodity",Transactions!$D$3:$D149,AH76)
+SUMIFS(Transactions!$I$3:$I149,Transactions!$H$3:$H149,"Transfer Deposit",Transactions!$F$3:$F149,"Commodity",Transactions!$D$3:$D149,AH76)
+SUMIFS(Transactions!$I$3:$I149,Transactions!$H$3:$H149,"Buy",Transactions!$F$3:$F149,"Managed Fund",Transactions!$D$3:$D149,AH76)
+SUMIFS(Transactions!$I$3:$I149,Transactions!$H$3:$H149,"DRIP",Transactions!$F$3:$F149,"Managed Fund",Transactions!$D$3:$D149,AH76)
+SUMIFS(Transactions!$I$3:$I149,Transactions!$H$3:$H149,"Transfer Deposit",Transactions!$F$3:$F149,"Managed Fund",Transactions!$D$3:$D149,AH76)
+SUMIFS(Transactions!$I$3:$I149,Transactions!$H$3:$H149,"Buy",Transactions!$F$3:$F149,"REIT",Transactions!$D$3:$D149,AH76)
+SUMIFS(Transactions!$I$3:$I149,Transactions!$H$3:$H149,"DRIP",Transactions!$F$3:$F149,"REIT",Transactions!$D$3:$D149,AH76)
+SUMIFS(Transactions!$I$3:$I149,Transactions!$H$3:$H149,"Transfer Deposit",Transactions!$F$3:$F149,"REIT",Transactions!$D$3:$D149,AH76)
-SUMIFS(Transactions!$I$3:$I149,Transactions!$H$3:$H149,"Sell",Transactions!$F$3:$F149,"Stock",Transactions!$D$3:$D149,AH76)
-SUMIFS(Transactions!$I$3:$I149,Transactions!$H$3:$H149,"Transfer Send",Transactions!$F$3:$F149,"Stock",Transactions!$D$3:$D149,AH76)
-SUMIFS(Transactions!$I$3:$I149,Transactions!$H$3:$H149,"Sell",Transactions!$F$3:$F149,"ETF",Transactions!$D$3:$D149,AH76)
-SUMIFS(Transactions!$I$3:$I149,Transactions!$H$3:$H149,"Transfer Send",Transactions!$F$3:$F149,"ETF",Transactions!$D$3:$D149,AH76)
-SUMIFS(Transactions!$I$3:$I149,Transactions!$H$3:$H149,"Sell",Transactions!$F$3:$F149,"Commodity",Transactions!$D$3:$D149,AH76)
-SUMIFS(Transactions!$I$3:$I149,Transactions!$H$3:$H149,"Transfer Send",Transactions!$F$3:$F149,"Commodity",Transactions!$D$3:$D149,AH76)
-SUMIFS(Transactions!$I$3:$I149,Transactions!$H$3:$H149,"Sell",Transactions!$F$3:$F149,"Managed Fund",Transactions!$D$3:$D149,AH76)
-SUMIFS(Transactions!$I$3:$I149,Transactions!$H$3:$H149,"Transfer Send",Transactions!$F$3:$F149,"Managed Fund",Transactions!$D$3:$D149,AH76)
-SUMIFS(Transactions!$I$3:$I149,Transactions!$H$3:$H149,"Sell",Transactions!$F$3:$F149,"REIT",Transactions!$D$3:$D149,AH76)
-SUMIFS(Transactions!$I$3:$I149,Transactions!$H$3:$H149,"Transfer Send",Transactions!$F$3:$F149,"REIT",Transactions!$D$3:$D149,AH76)
+SUMIFS(Transactions!$I$3:$I149,Transactions!$H$3:$H149,"Buy",Transactions!$F$3:$F149,"Crypto",Transactions!$D$3:$D149,AH76)
+SUMIFS(Transactions!$I$3:$I149,Transactions!$H$3:$H149,"Crypto Interest",Transactions!$F$3:$F149,"Crypto",Transactions!$D$3:$D149,AH76)
+SUMIFS(Transactions!$I$3:$I149,Transactions!$H$3:$H149,"Transfer Deposit",Transactions!$F$3:$F149,"Crypto",Transactions!$D$3:$D149,AH76)
-SUMIFS(Transactions!$I$3:$I149,Transactions!$H$3:$H149,"Transfer Send",Transactions!$F$3:$F149,"Crypto",Transactions!$D$3:$D149,AH76)
-SUMIFS(Transactions!$I$3:$I149,Transactions!$H$3:$H149,"Sell",Transactions!$F$3:$F149,"Crypto",Transactions!$D$3:$D149,AH76)
+SUMIFS(Transactions!$I$3:$I149,Transactions!$H$3:$H149,"Buy",Transactions!$F$3:$F149,"Stablecoin",Transactions!$D$3:$D149,AH76)
+SUMIFS(Transactions!$I$3:$I149,Transactions!$H$3:$H149,"Crypto Interest",Transactions!$F$3:$F149,"Stablecoin",Transactions!$D$3:$D149,AH76)
+SUMIFS(Transactions!$I$3:$I149,Transactions!$H$3:$H149,"Transfer Deposit",Transactions!$F$3:$F149,"Stablecoin",Transactions!$D$3:$D149,AH76)
-SUMIFS(Transactions!$I$3:$I149,Transactions!$H$3:$H149,"Transfer Send",Transactions!$F$3:$F149,"Stablecoin",Transactions!$D$3:$D149,AH76)
-SUMIFS(Transactions!$I$3:$I149,Transactions!$H$3:$H149,"Sell",Transactions!$F$3:$F149,"Stablecoin",Transactions!$D$3:$D149,AH76)
-SUMIFS(Transactions!$M$3:$M149,Transactions!$H$3:$H149,"Buy",Transactions!$B$3:$B149,AH76)))</f>
        <v/>
      </c>
      <c r="AJ76" s="181" t="str">
        <f>IFERROR(__xludf.DUMMYFUNCTION("IF(ISBLANK(AH76),"""",VLOOKUP(9^99,FILTER({ROW(Transactions!P:P),Transactions!P:P},Transactions!D:D=AH76),2))"),"")</f>
        <v/>
      </c>
      <c r="AK76" s="181" t="str">
        <f>IFERROR(__xludf.DUMMYFUNCTION("IF(ISBLANK(AH76),"""",IFERROR(GOOGLEFINANCE(AH76,""price""),IFERROR(GOOGLEFINANCE(""CURRENCY:""&amp;AH76&amp;""""),IFERROR(INDEX(YAHOO_STOCK(TRIM(AH76), $G$2),0,1),INDEX(IMPORTHTML(CONCAT(""https://coinmarketcap.com/currencies/"",AG76),""table"",1),1,2)))))"),"")</f>
        <v/>
      </c>
      <c r="AL76" s="14" t="str">
        <f>IFERROR(__xludf.DUMMYFUNCTION("IF(ISBLANK(AH76),"""",IFERROR(SPARKLINE(INDEX(GOOGLEFINANCE(AH76,""price"",TODAY()-$AL$2,TODAY()),,2),{""charttype"",""column"";""color"",""17a7e0""}),""""))"),"")</f>
        <v/>
      </c>
      <c r="AM76" s="50" t="str">
        <f>IFERROR(__xludf.DUMMYFUNCTION("IFNA(IFERROR(IF(AH76="""","""",GOOGLEFINANCE(AH76,""changepct"")/100),(GOOGLEFINANCE(AH76)-(INDEX(GOOGLEFINANCE(""CURRENCY:""&amp;AH76&amp;"""",""price"",TODAY()-1),2,2)))/(INDEX(GOOGLEFINANCE(""CURRENCY:""&amp;AH76&amp;"""",""price"",TODAY()-1),2,2))),)"),"")</f>
        <v/>
      </c>
      <c r="AN76" s="96" t="str">
        <f>IFERROR(__xludf.DUMMYFUNCTION("IFNA(IFERROR(IF(AH76="""","""",GOOGLEFINANCE(AH76,""change"")*AI76),(GOOGLEFINANCE(AH76)-(INDEX(GOOGLEFINANCE(""CURRENCY:""&amp;AH76&amp;"""",""price"",TODAY()-1),2,2)))*AI76),"""")"),"")</f>
        <v/>
      </c>
      <c r="AO76" s="96" t="str">
        <f>IF(ISBLANK(AH76),"",IFERROR(((AI76-SUMIFS(Transactions!I:I,Transactions!H:H,"Crypto Interest",Transactions!D:D,AH76))*AJ76),""))</f>
        <v/>
      </c>
      <c r="AP76" s="96" t="str">
        <f t="shared" si="16"/>
        <v/>
      </c>
      <c r="AQ76" s="50" t="str">
        <f t="shared" si="17"/>
        <v/>
      </c>
      <c r="AR76" s="96" t="str">
        <f t="shared" si="18"/>
        <v/>
      </c>
      <c r="AS76" s="96" t="str">
        <f>IF(ISBLANK(AH76),"",SUMIFS(Transactions!$X$3:$X149,Transactions!$H$3:$H149,"Sell",Transactions!$D$3:$D149,AH76))</f>
        <v/>
      </c>
      <c r="AT76" s="96" t="str">
        <f t="shared" si="19"/>
        <v/>
      </c>
      <c r="AU76" s="50" t="str">
        <f>IFERROR(__xludf.DUMMYFUNCTION("IF(ISBLANK(AH76),"""",IFERROR((GOOGLEFINANCE(AH76,""price"")/INDEX(GOOGLEFINANCE(AH76,""price"",DATEVALUE(TODAY()-$AU$2) ),2,2)-1),""""))"),"")</f>
        <v/>
      </c>
      <c r="AW76" s="50" t="str">
        <f>IFERROR(__xludf.DUMMYFUNCTION("IF(ISBLANK(AH76),"""",IFERROR((GOOGLEFINANCE($AW$2,""price"")/INDEX(GOOGLEFINANCE($AW$2,""price"",DATEVALUE(TODAY()-$AU$2) ),2,2)-1),""""))"),"")</f>
        <v/>
      </c>
      <c r="AY76" s="50" t="str">
        <f t="shared" si="20"/>
        <v/>
      </c>
      <c r="AZ76" s="50" t="str">
        <f t="shared" si="21"/>
        <v/>
      </c>
      <c r="BA76" s="50">
        <f t="shared" si="22"/>
        <v>0</v>
      </c>
      <c r="BB76" s="14" t="str">
        <f t="shared" si="23"/>
        <v/>
      </c>
      <c r="BC76" s="14" t="str">
        <f>IF(ISBLANK(AH76),"",IFERROR(VLOOKUP(AH76,Transactions!D:F,3,0)))</f>
        <v/>
      </c>
      <c r="BD76" s="50" t="str">
        <f t="shared" si="24"/>
        <v/>
      </c>
      <c r="BE76" s="50" t="str">
        <f t="shared" si="25"/>
        <v/>
      </c>
      <c r="BF76" s="14" t="str">
        <f t="shared" si="26"/>
        <v/>
      </c>
      <c r="BG76" s="180" t="str">
        <f>IF(ISBLANK(AH76),"",IFERROR(VLOOKUP(AH76,Transactions!D:G,4,0)))</f>
        <v/>
      </c>
    </row>
    <row r="77">
      <c r="A77" s="14" t="str">
        <f t="shared" ref="A77:C77" si="100">AG77</f>
        <v/>
      </c>
      <c r="B77" s="14" t="str">
        <f t="shared" si="100"/>
        <v/>
      </c>
      <c r="C77" s="175" t="str">
        <f t="shared" si="100"/>
        <v/>
      </c>
      <c r="D77" s="176" t="str">
        <f>IFERROR(__xludf.DUMMYFUNCTION("IF(ISBLANK(B77),"""",IFERROR(IF(OR(AF77=""GPB"",AF77=""ZAR""),IF(AF77=Dashboard!$L$1,AJ77,(AJ77*GOOGLEFINANCE(""CURRENCY:""&amp;AF77&amp;""""&amp;Dashboard!$L$1&amp;""""))/100),IF(AF77=Dashboard!$L$1,AJ77,AJ77*GOOGLEFINANCE(""CURRENCY:""&amp;AF77&amp;""""&amp;Dashboard!$L$1&amp;""""))),"&amp;"AJ77))"),"")</f>
        <v/>
      </c>
      <c r="E77" s="177" t="str">
        <f>IFERROR(__xludf.DUMMYFUNCTION("IFERROR(IF(OR(AF77=""GBP"",AF77=""ZAR""),IF(B77="""","""",IF(AF77=Dashboard!$L$1,AK77,AK77*GOOGLEFINANCE(""CURRENCY:""&amp;AF77&amp;""""&amp;Dashboard!$L$1&amp;"""")))/100,If(B77="""","""",IF(AF77=Dashboard!$L$1,AK77,AK77*GOOGLEFINANCE(""CURRENCY:""&amp;AF77&amp;""""&amp;Dashboard!$"&amp;"L$1&amp;"""")))),AK77)"),"")</f>
        <v/>
      </c>
      <c r="F77" s="145" t="str">
        <f t="shared" si="65"/>
        <v/>
      </c>
      <c r="G77" s="96" t="str">
        <f>IFERROR(__xludf.DUMMYFUNCTION("IF(ISBLANK(B77),"""",IFERROR(SPARKLINE(INDEX(GOOGLEFINANCE(B77,""price"",TODAY()-$G$2,TODAY()),,2),{""charttype"",""column"";""color"",""17a7e0""}),""""))"),"")</f>
        <v/>
      </c>
      <c r="H77" s="50" t="str">
        <f t="shared" si="3"/>
        <v/>
      </c>
      <c r="I77" s="96" t="str">
        <f>IFERROR(__xludf.DUMMYFUNCTION("IF(ISBLANK(B77),"""",IFERROR(IF(OR(AF77=""GPB"",AF77=""ZAR""),IF(AF77=Dashboard!$L$1,AN77,(AN77*GOOGLEFINANCE(""CURRENCY:""&amp;AF77&amp;""""&amp;Dashboard!$L$1&amp;""""))/100),IF(AF77=Dashboard!$L$1,AN77,AN77*GOOGLEFINANCE(""CURRENCY:""&amp;AF77&amp;""""&amp;Dashboard!$L$1&amp;""""))),"&amp;"AN77))"),"")</f>
        <v/>
      </c>
      <c r="J77" s="178" t="str">
        <f>IF(ISBLANK(B77),"",IFERROR(((C77-SUMIFS(Transactions!I:I,Transactions!H:H,"Crypto Interest",Transactions!D:D,B77))*D77),""))</f>
        <v/>
      </c>
      <c r="K77" s="178" t="str">
        <f t="shared" si="4"/>
        <v/>
      </c>
      <c r="L77" s="145">
        <f>IF(ISBLANK(AF77),"",SUMIFS(Transactions!$M$3:$M149,Transactions!$H$3:$H149,"Buy",Transactions!$D$3:$D149,AF77))</f>
        <v>0</v>
      </c>
      <c r="M77" s="145">
        <f>IF(ISBLANK(AG77),"",SUMIFS(Transactions!$M$3:$M149,Transactions!$H$3:$H149,"Dividend",Transactions!$D$3:$D149,AG77))</f>
        <v>0</v>
      </c>
      <c r="N77" s="145" t="str">
        <f>IF(ISBLANK(AH77),"",SUMIFS(Transactions!$M$3:$M149,Transactions!$H$3:$H149,"Sell",Transactions!$D$3:$D149,AH77))</f>
        <v/>
      </c>
      <c r="O77" s="50" t="str">
        <f t="shared" si="5"/>
        <v/>
      </c>
      <c r="P77" s="178" t="str">
        <f t="shared" si="6"/>
        <v/>
      </c>
      <c r="Q77" s="178" t="str">
        <f>IFERROR(__xludf.DUMMYFUNCTION("IF(ISBLANK(B77),"""",IFERROR(IF(OR(AF77=""GPB"",AF77=""ZAR""),IF(AF77=Dashboard!$L$1,AS77,(AS77*GOOGLEFINANCE(""CURRENCY:""&amp;AF77&amp;""""&amp;Dashboard!$L$1&amp;""""))/100),IF(AF77=Dashboard!$L$1,AS77,AS77*GOOGLEFINANCE(""CURRENCY:""&amp;AF77&amp;""""&amp;Dashboard!$L$1&amp;""""))),"&amp;"AS77))"),"")</f>
        <v/>
      </c>
      <c r="R77" s="178" t="str">
        <f t="shared" si="7"/>
        <v/>
      </c>
      <c r="S77" s="50" t="str">
        <f>IFERROR(__xludf.DUMMYFUNCTION("IF(ISBLANK(B77),"""",IFERROR((GOOGLEFINANCE(B77,""price"")/INDEX(GOOGLEFINANCE(B77,""price"",DATEVALUE(TODAY()-$S$2) ),2,2)-1),""""))"),"")</f>
        <v/>
      </c>
      <c r="U77" s="50" t="str">
        <f>IFERROR(__xludf.DUMMYFUNCTION("IF(ISBLANK(B77),"""",IFERROR((GOOGLEFINANCE($U$2,""price"")/INDEX(GOOGLEFINANCE($U$2,""price"",DATEVALUE(TODAY()-$S$2) ),2,2)-1),""""))"),"")</f>
        <v/>
      </c>
      <c r="W77" s="50" t="str">
        <f t="shared" si="8"/>
        <v/>
      </c>
      <c r="X77" s="50" t="str">
        <f t="shared" si="9"/>
        <v/>
      </c>
      <c r="Y77" s="179">
        <v>0.0</v>
      </c>
      <c r="Z77" s="50" t="str">
        <f t="shared" si="10"/>
        <v/>
      </c>
      <c r="AA77" s="14" t="str">
        <f t="shared" si="11"/>
        <v/>
      </c>
      <c r="AB77" s="50" t="str">
        <f t="shared" si="12"/>
        <v/>
      </c>
      <c r="AC77" s="179" t="str">
        <f t="shared" si="13"/>
        <v/>
      </c>
      <c r="AD77" s="50" t="str">
        <f t="shared" si="14"/>
        <v/>
      </c>
      <c r="AE77" s="180" t="str">
        <f t="shared" si="15"/>
        <v/>
      </c>
      <c r="AF77" s="14" t="str">
        <f t="array" ref="AF77">IFERROR(IF(ISBLANK(AH77),"",IF(VLOOKUP(AH77,Transactions!D:F,3,0)="Stablecoin",AH77,INDEX(Transactions!$B$3:$B149,MATCH(AH77,Transactions!$D$3:$D149,0),0))))</f>
        <v/>
      </c>
      <c r="AG77" s="14" t="str">
        <f>IF(ISBLANK(AH77),"",VLOOKUP(AH77,Transactions!D:E,2,0))</f>
        <v/>
      </c>
      <c r="AH77" s="14"/>
      <c r="AI77" s="146" t="str">
        <f>IF(ISBLANK(AH77),"",IF(
SUMIFS(Transactions!$I$3:$I149,Transactions!$H$3:$H149,"Buy",Transactions!$F$3:$F149,"Stock",Transactions!$D$3:$D149,AH77)
+SUMIFS(Transactions!$I$3:$I149,Transactions!$H$3:$H149,"DRIP",Transactions!$F$3:$F149,"Stock",Transactions!$D$3:$D149,AH77)
+SUMIFS(Transactions!$I$3:$I149,Transactions!$H$3:$H149,"Transfer Deposit",Transactions!$F$3:$F149,"Stock",Transactions!$D$3:$D149,AH77)
+SUMIFS(Transactions!$I$3:$I149,Transactions!$H$3:$H149,"Buy",Transactions!$F$3:$F149,"ETF",Transactions!$D$3:$D149,AH77)
+SUMIFS(Transactions!$I$3:$I149,Transactions!$H$3:$H149,"DRIP",Transactions!$F$3:$F149,"ETF",Transactions!$D$3:$D149,AH77)
+SUMIFS(Transactions!$I$3:$I149,Transactions!$H$3:$H149,"Transfer Deposit",Transactions!$F$3:$F149,"ETF",Transactions!$D$3:$D149,AH77)
+SUMIFS(Transactions!$I$3:$I149,Transactions!$H$3:$H149,"Buy",Transactions!$F$3:$F149,"Commodity",Transactions!$D$3:$D149,AH77)
+SUMIFS(Transactions!$I$3:$I149,Transactions!$H$3:$H149,"DRIP",Transactions!$F$3:$F149,"Commodity",Transactions!$D$3:$D149,AH77)
+SUMIFS(Transactions!$I$3:$I149,Transactions!$H$3:$H149,"Transfer Deposit",Transactions!$F$3:$F149,"Commodity",Transactions!$D$3:$D149,AH77)
+SUMIFS(Transactions!$I$3:$I149,Transactions!$H$3:$H149,"Buy",Transactions!$F$3:$F149,"Managed Fund",Transactions!$D$3:$D149,AH77)
+SUMIFS(Transactions!$I$3:$I149,Transactions!$H$3:$H149,"DRIP",Transactions!$F$3:$F149,"Managed Fund",Transactions!$D$3:$D149,AH77)
+SUMIFS(Transactions!$I$3:$I149,Transactions!$H$3:$H149,"Transfer Deposit",Transactions!$F$3:$F149,"Managed Fund",Transactions!$D$3:$D149,AH77)
+SUMIFS(Transactions!$I$3:$I149,Transactions!$H$3:$H149,"Buy",Transactions!$F$3:$F149,"REIT",Transactions!$D$3:$D149,AH77)
+SUMIFS(Transactions!$I$3:$I149,Transactions!$H$3:$H149,"DRIP",Transactions!$F$3:$F149,"REIT",Transactions!$D$3:$D149,AH77)
+SUMIFS(Transactions!$I$3:$I149,Transactions!$H$3:$H149,"Transfer Deposit",Transactions!$F$3:$F149,"REIT",Transactions!$D$3:$D149,AH77)
-SUMIFS(Transactions!$I$3:$I149,Transactions!$H$3:$H149,"Sell",Transactions!$F$3:$F149,"Stock",Transactions!$D$3:$D149,AH77)
-SUMIFS(Transactions!$I$3:$I149,Transactions!$H$3:$H149,"Transfer Send",Transactions!$F$3:$F149,"Stock",Transactions!$D$3:$D149,AH77)
-SUMIFS(Transactions!$I$3:$I149,Transactions!$H$3:$H149,"Sell",Transactions!$F$3:$F149,"ETF",Transactions!$D$3:$D149,AH77)
-SUMIFS(Transactions!$I$3:$I149,Transactions!$H$3:$H149,"Transfer Send",Transactions!$F$3:$F149,"ETF",Transactions!$D$3:$D149,AH77)
-SUMIFS(Transactions!$I$3:$I149,Transactions!$H$3:$H149,"Sell",Transactions!$F$3:$F149,"Commodity",Transactions!$D$3:$D149,AH77)
-SUMIFS(Transactions!$I$3:$I149,Transactions!$H$3:$H149,"Transfer Send",Transactions!$F$3:$F149,"Commodity",Transactions!$D$3:$D149,AH77)
-SUMIFS(Transactions!$I$3:$I149,Transactions!$H$3:$H149,"Sell",Transactions!$F$3:$F149,"Managed Fund",Transactions!$D$3:$D149,AH77)
-SUMIFS(Transactions!$I$3:$I149,Transactions!$H$3:$H149,"Transfer Send",Transactions!$F$3:$F149,"Managed Fund",Transactions!$D$3:$D149,AH77)
-SUMIFS(Transactions!$I$3:$I149,Transactions!$H$3:$H149,"Sell",Transactions!$F$3:$F149,"REIT",Transactions!$D$3:$D149,AH77)
-SUMIFS(Transactions!$I$3:$I149,Transactions!$H$3:$H149,"Transfer Send",Transactions!$F$3:$F149,"REIT",Transactions!$D$3:$D149,AH77)
+SUMIFS(Transactions!$I$3:$I149,Transactions!$H$3:$H149,"Buy",Transactions!$F$3:$F149,"Crypto",Transactions!$D$3:$D149,AH77)
+SUMIFS(Transactions!$I$3:$I149,Transactions!$H$3:$H149,"Crypto Interest",Transactions!$F$3:$F149,"Crypto",Transactions!$D$3:$D149,AH77)
+SUMIFS(Transactions!$I$3:$I149,Transactions!$H$3:$H149,"Transfer Deposit",Transactions!$F$3:$F149,"Crypto",Transactions!$D$3:$D149,AH77)
-SUMIFS(Transactions!$I$3:$I149,Transactions!$H$3:$H149,"Transfer Send",Transactions!$F$3:$F149,"Crypto",Transactions!$D$3:$D149,AH77)
-SUMIFS(Transactions!$I$3:$I149,Transactions!$H$3:$H149,"Sell",Transactions!$F$3:$F149,"Crypto",Transactions!$D$3:$D149,AH77)
+SUMIFS(Transactions!$I$3:$I149,Transactions!$H$3:$H149,"Buy",Transactions!$F$3:$F149,"Stablecoin",Transactions!$D$3:$D149,AH77)
+SUMIFS(Transactions!$I$3:$I149,Transactions!$H$3:$H149,"Crypto Interest",Transactions!$F$3:$F149,"Stablecoin",Transactions!$D$3:$D149,AH77)
+SUMIFS(Transactions!$I$3:$I149,Transactions!$H$3:$H149,"Transfer Deposit",Transactions!$F$3:$F149,"Stablecoin",Transactions!$D$3:$D149,AH77)
-SUMIFS(Transactions!$I$3:$I149,Transactions!$H$3:$H149,"Transfer Send",Transactions!$F$3:$F149,"Stablecoin",Transactions!$D$3:$D149,AH77)
-SUMIFS(Transactions!$I$3:$I149,Transactions!$H$3:$H149,"Sell",Transactions!$F$3:$F149,"Stablecoin",Transactions!$D$3:$D149,AH77)
-SUMIFS(Transactions!$M$3:$M149,Transactions!$H$3:$H149,"Buy",Transactions!$B$3:$B149,AH77)=0,"Sold All",
SUMIFS(Transactions!$I$3:$I149,Transactions!$H$3:$H149,"Buy",Transactions!$F$3:$F149,"Stock",Transactions!$D$3:$D149,AH77)
+SUMIFS(Transactions!$I$3:$I149,Transactions!$H$3:$H149,"DRIP",Transactions!$F$3:$F149,"Stock",Transactions!$D$3:$D149,AH77)
+SUMIFS(Transactions!$I$3:$I149,Transactions!$H$3:$H149,"Transfer Deposit",Transactions!$F$3:$F149,"Stock",Transactions!$D$3:$D149,AH77)
+SUMIFS(Transactions!$I$3:$I149,Transactions!$H$3:$H149,"Buy",Transactions!$F$3:$F149,"ETF",Transactions!$D$3:$D149,AH77)
+SUMIFS(Transactions!$I$3:$I149,Transactions!$H$3:$H149,"DRIP",Transactions!$F$3:$F149,"ETF",Transactions!$D$3:$D149,AH77)
+SUMIFS(Transactions!$I$3:$I149,Transactions!$H$3:$H149,"Transfer Deposit",Transactions!$F$3:$F149,"ETF",Transactions!$D$3:$D149,AH77)
+SUMIFS(Transactions!$I$3:$I149,Transactions!$H$3:$H149,"Buy",Transactions!$F$3:$F149,"Commodity",Transactions!$D$3:$D149,AH77)
+SUMIFS(Transactions!$I$3:$I149,Transactions!$H$3:$H149,"DRIP",Transactions!$F$3:$F149,"Commodity",Transactions!$D$3:$D149,AH77)
+SUMIFS(Transactions!$I$3:$I149,Transactions!$H$3:$H149,"Transfer Deposit",Transactions!$F$3:$F149,"Commodity",Transactions!$D$3:$D149,AH77)
+SUMIFS(Transactions!$I$3:$I149,Transactions!$H$3:$H149,"Buy",Transactions!$F$3:$F149,"Managed Fund",Transactions!$D$3:$D149,AH77)
+SUMIFS(Transactions!$I$3:$I149,Transactions!$H$3:$H149,"DRIP",Transactions!$F$3:$F149,"Managed Fund",Transactions!$D$3:$D149,AH77)
+SUMIFS(Transactions!$I$3:$I149,Transactions!$H$3:$H149,"Transfer Deposit",Transactions!$F$3:$F149,"Managed Fund",Transactions!$D$3:$D149,AH77)
+SUMIFS(Transactions!$I$3:$I149,Transactions!$H$3:$H149,"Buy",Transactions!$F$3:$F149,"REIT",Transactions!$D$3:$D149,AH77)
+SUMIFS(Transactions!$I$3:$I149,Transactions!$H$3:$H149,"DRIP",Transactions!$F$3:$F149,"REIT",Transactions!$D$3:$D149,AH77)
+SUMIFS(Transactions!$I$3:$I149,Transactions!$H$3:$H149,"Transfer Deposit",Transactions!$F$3:$F149,"REIT",Transactions!$D$3:$D149,AH77)
-SUMIFS(Transactions!$I$3:$I149,Transactions!$H$3:$H149,"Sell",Transactions!$F$3:$F149,"Stock",Transactions!$D$3:$D149,AH77)
-SUMIFS(Transactions!$I$3:$I149,Transactions!$H$3:$H149,"Transfer Send",Transactions!$F$3:$F149,"Stock",Transactions!$D$3:$D149,AH77)
-SUMIFS(Transactions!$I$3:$I149,Transactions!$H$3:$H149,"Sell",Transactions!$F$3:$F149,"ETF",Transactions!$D$3:$D149,AH77)
-SUMIFS(Transactions!$I$3:$I149,Transactions!$H$3:$H149,"Transfer Send",Transactions!$F$3:$F149,"ETF",Transactions!$D$3:$D149,AH77)
-SUMIFS(Transactions!$I$3:$I149,Transactions!$H$3:$H149,"Sell",Transactions!$F$3:$F149,"Commodity",Transactions!$D$3:$D149,AH77)
-SUMIFS(Transactions!$I$3:$I149,Transactions!$H$3:$H149,"Transfer Send",Transactions!$F$3:$F149,"Commodity",Transactions!$D$3:$D149,AH77)
-SUMIFS(Transactions!$I$3:$I149,Transactions!$H$3:$H149,"Sell",Transactions!$F$3:$F149,"Managed Fund",Transactions!$D$3:$D149,AH77)
-SUMIFS(Transactions!$I$3:$I149,Transactions!$H$3:$H149,"Transfer Send",Transactions!$F$3:$F149,"Managed Fund",Transactions!$D$3:$D149,AH77)
-SUMIFS(Transactions!$I$3:$I149,Transactions!$H$3:$H149,"Sell",Transactions!$F$3:$F149,"REIT",Transactions!$D$3:$D149,AH77)
-SUMIFS(Transactions!$I$3:$I149,Transactions!$H$3:$H149,"Transfer Send",Transactions!$F$3:$F149,"REIT",Transactions!$D$3:$D149,AH77)
+SUMIFS(Transactions!$I$3:$I149,Transactions!$H$3:$H149,"Buy",Transactions!$F$3:$F149,"Crypto",Transactions!$D$3:$D149,AH77)
+SUMIFS(Transactions!$I$3:$I149,Transactions!$H$3:$H149,"Crypto Interest",Transactions!$F$3:$F149,"Crypto",Transactions!$D$3:$D149,AH77)
+SUMIFS(Transactions!$I$3:$I149,Transactions!$H$3:$H149,"Transfer Deposit",Transactions!$F$3:$F149,"Crypto",Transactions!$D$3:$D149,AH77)
-SUMIFS(Transactions!$I$3:$I149,Transactions!$H$3:$H149,"Transfer Send",Transactions!$F$3:$F149,"Crypto",Transactions!$D$3:$D149,AH77)
-SUMIFS(Transactions!$I$3:$I149,Transactions!$H$3:$H149,"Sell",Transactions!$F$3:$F149,"Crypto",Transactions!$D$3:$D149,AH77)
+SUMIFS(Transactions!$I$3:$I149,Transactions!$H$3:$H149,"Buy",Transactions!$F$3:$F149,"Stablecoin",Transactions!$D$3:$D149,AH77)
+SUMIFS(Transactions!$I$3:$I149,Transactions!$H$3:$H149,"Crypto Interest",Transactions!$F$3:$F149,"Stablecoin",Transactions!$D$3:$D149,AH77)
+SUMIFS(Transactions!$I$3:$I149,Transactions!$H$3:$H149,"Transfer Deposit",Transactions!$F$3:$F149,"Stablecoin",Transactions!$D$3:$D149,AH77)
-SUMIFS(Transactions!$I$3:$I149,Transactions!$H$3:$H149,"Transfer Send",Transactions!$F$3:$F149,"Stablecoin",Transactions!$D$3:$D149,AH77)
-SUMIFS(Transactions!$I$3:$I149,Transactions!$H$3:$H149,"Sell",Transactions!$F$3:$F149,"Stablecoin",Transactions!$D$3:$D149,AH77)
-SUMIFS(Transactions!$M$3:$M149,Transactions!$H$3:$H149,"Buy",Transactions!$B$3:$B149,AH77)))</f>
        <v/>
      </c>
      <c r="AJ77" s="181" t="str">
        <f>IFERROR(__xludf.DUMMYFUNCTION("IF(ISBLANK(AH77),"""",VLOOKUP(9^99,FILTER({ROW(Transactions!P:P),Transactions!P:P},Transactions!D:D=AH77),2))"),"")</f>
        <v/>
      </c>
      <c r="AK77" s="181" t="str">
        <f>IFERROR(__xludf.DUMMYFUNCTION("IF(ISBLANK(AH77),"""",IFERROR(GOOGLEFINANCE(AH77,""price""),IFERROR(GOOGLEFINANCE(""CURRENCY:""&amp;AH77&amp;""""),IFERROR(INDEX(YAHOO_STOCK(TRIM(AH77), $G$2),0,1),INDEX(IMPORTHTML(CONCAT(""https://coinmarketcap.com/currencies/"",AG77),""table"",1),1,2)))))"),"")</f>
        <v/>
      </c>
      <c r="AL77" s="14" t="str">
        <f>IFERROR(__xludf.DUMMYFUNCTION("IF(ISBLANK(AH77),"""",IFERROR(SPARKLINE(INDEX(GOOGLEFINANCE(AH77,""price"",TODAY()-$AL$2,TODAY()),,2),{""charttype"",""column"";""color"",""17a7e0""}),""""))"),"")</f>
        <v/>
      </c>
      <c r="AM77" s="50" t="str">
        <f>IFERROR(__xludf.DUMMYFUNCTION("IFNA(IFERROR(IF(AH77="""","""",GOOGLEFINANCE(AH77,""changepct"")/100),(GOOGLEFINANCE(AH77)-(INDEX(GOOGLEFINANCE(""CURRENCY:""&amp;AH77&amp;"""",""price"",TODAY()-1),2,2)))/(INDEX(GOOGLEFINANCE(""CURRENCY:""&amp;AH77&amp;"""",""price"",TODAY()-1),2,2))),)"),"")</f>
        <v/>
      </c>
      <c r="AN77" s="96" t="str">
        <f>IFERROR(__xludf.DUMMYFUNCTION("IFNA(IFERROR(IF(AH77="""","""",GOOGLEFINANCE(AH77,""change"")*AI77),(GOOGLEFINANCE(AH77)-(INDEX(GOOGLEFINANCE(""CURRENCY:""&amp;AH77&amp;"""",""price"",TODAY()-1),2,2)))*AI77),"""")"),"")</f>
        <v/>
      </c>
      <c r="AO77" s="96" t="str">
        <f>IF(ISBLANK(AH77),"",IFERROR(((AI77-SUMIFS(Transactions!I:I,Transactions!H:H,"Crypto Interest",Transactions!D:D,AH77))*AJ77),""))</f>
        <v/>
      </c>
      <c r="AP77" s="96" t="str">
        <f t="shared" si="16"/>
        <v/>
      </c>
      <c r="AQ77" s="50" t="str">
        <f t="shared" si="17"/>
        <v/>
      </c>
      <c r="AR77" s="96" t="str">
        <f t="shared" si="18"/>
        <v/>
      </c>
      <c r="AS77" s="96" t="str">
        <f>IF(ISBLANK(AH77),"",SUMIFS(Transactions!$X$3:$X149,Transactions!$H$3:$H149,"Sell",Transactions!$D$3:$D149,AH77))</f>
        <v/>
      </c>
      <c r="AT77" s="96" t="str">
        <f t="shared" si="19"/>
        <v/>
      </c>
      <c r="AU77" s="50" t="str">
        <f>IFERROR(__xludf.DUMMYFUNCTION("IF(ISBLANK(AH77),"""",IFERROR((GOOGLEFINANCE(AH77,""price"")/INDEX(GOOGLEFINANCE(AH77,""price"",DATEVALUE(TODAY()-$AU$2) ),2,2)-1),""""))"),"")</f>
        <v/>
      </c>
      <c r="AW77" s="50" t="str">
        <f>IFERROR(__xludf.DUMMYFUNCTION("IF(ISBLANK(AH77),"""",IFERROR((GOOGLEFINANCE($AW$2,""price"")/INDEX(GOOGLEFINANCE($AW$2,""price"",DATEVALUE(TODAY()-$AU$2) ),2,2)-1),""""))"),"")</f>
        <v/>
      </c>
      <c r="AY77" s="50" t="str">
        <f t="shared" si="20"/>
        <v/>
      </c>
      <c r="AZ77" s="50" t="str">
        <f t="shared" si="21"/>
        <v/>
      </c>
      <c r="BA77" s="50">
        <f t="shared" si="22"/>
        <v>0</v>
      </c>
      <c r="BB77" s="14" t="str">
        <f t="shared" si="23"/>
        <v/>
      </c>
      <c r="BC77" s="14" t="str">
        <f>IF(ISBLANK(AH77),"",IFERROR(VLOOKUP(AH77,Transactions!D:F,3,0)))</f>
        <v/>
      </c>
      <c r="BD77" s="50" t="str">
        <f t="shared" si="24"/>
        <v/>
      </c>
      <c r="BE77" s="50" t="str">
        <f t="shared" si="25"/>
        <v/>
      </c>
      <c r="BF77" s="14" t="str">
        <f t="shared" si="26"/>
        <v/>
      </c>
      <c r="BG77" s="180" t="str">
        <f>IF(ISBLANK(AH77),"",IFERROR(VLOOKUP(AH77,Transactions!D:G,4,0)))</f>
        <v/>
      </c>
    </row>
    <row r="78">
      <c r="A78" s="14" t="str">
        <f t="shared" ref="A78:C78" si="101">AG78</f>
        <v/>
      </c>
      <c r="B78" s="14" t="str">
        <f t="shared" si="101"/>
        <v/>
      </c>
      <c r="C78" s="175" t="str">
        <f t="shared" si="101"/>
        <v/>
      </c>
      <c r="D78" s="176" t="str">
        <f>IFERROR(__xludf.DUMMYFUNCTION("IF(ISBLANK(B78),"""",IFERROR(IF(OR(AF78=""GPB"",AF78=""ZAR""),IF(AF78=Dashboard!$L$1,AJ78,(AJ78*GOOGLEFINANCE(""CURRENCY:""&amp;AF78&amp;""""&amp;Dashboard!$L$1&amp;""""))/100),IF(AF78=Dashboard!$L$1,AJ78,AJ78*GOOGLEFINANCE(""CURRENCY:""&amp;AF78&amp;""""&amp;Dashboard!$L$1&amp;""""))),"&amp;"AJ78))"),"")</f>
        <v/>
      </c>
      <c r="E78" s="177" t="str">
        <f>IFERROR(__xludf.DUMMYFUNCTION("IFERROR(IF(OR(AF78=""GBP"",AF78=""ZAR""),IF(B78="""","""",IF(AF78=Dashboard!$L$1,AK78,AK78*GOOGLEFINANCE(""CURRENCY:""&amp;AF78&amp;""""&amp;Dashboard!$L$1&amp;"""")))/100,If(B78="""","""",IF(AF78=Dashboard!$L$1,AK78,AK78*GOOGLEFINANCE(""CURRENCY:""&amp;AF78&amp;""""&amp;Dashboard!$"&amp;"L$1&amp;"""")))),AK78)"),"")</f>
        <v/>
      </c>
      <c r="F78" s="145" t="str">
        <f t="shared" si="65"/>
        <v/>
      </c>
      <c r="G78" s="96" t="str">
        <f>IFERROR(__xludf.DUMMYFUNCTION("IF(ISBLANK(B78),"""",IFERROR(SPARKLINE(INDEX(GOOGLEFINANCE(B78,""price"",TODAY()-$G$2,TODAY()),,2),{""charttype"",""column"";""color"",""17a7e0""}),""""))"),"")</f>
        <v/>
      </c>
      <c r="H78" s="50" t="str">
        <f t="shared" si="3"/>
        <v/>
      </c>
      <c r="I78" s="96" t="str">
        <f>IFERROR(__xludf.DUMMYFUNCTION("IF(ISBLANK(B78),"""",IFERROR(IF(OR(AF78=""GPB"",AF78=""ZAR""),IF(AF78=Dashboard!$L$1,AN78,(AN78*GOOGLEFINANCE(""CURRENCY:""&amp;AF78&amp;""""&amp;Dashboard!$L$1&amp;""""))/100),IF(AF78=Dashboard!$L$1,AN78,AN78*GOOGLEFINANCE(""CURRENCY:""&amp;AF78&amp;""""&amp;Dashboard!$L$1&amp;""""))),"&amp;"AN78))"),"")</f>
        <v/>
      </c>
      <c r="J78" s="178" t="str">
        <f>IF(ISBLANK(B78),"",IFERROR(((C78-SUMIFS(Transactions!I:I,Transactions!H:H,"Crypto Interest",Transactions!D:D,B78))*D78),""))</f>
        <v/>
      </c>
      <c r="K78" s="178" t="str">
        <f t="shared" si="4"/>
        <v/>
      </c>
      <c r="L78" s="145">
        <f>IF(ISBLANK(AF78),"",SUMIFS(Transactions!$M$3:$M149,Transactions!$H$3:$H149,"Buy",Transactions!$D$3:$D149,AF78))</f>
        <v>0</v>
      </c>
      <c r="M78" s="145">
        <f>IF(ISBLANK(AG78),"",SUMIFS(Transactions!$M$3:$M149,Transactions!$H$3:$H149,"Dividend",Transactions!$D$3:$D149,AG78))</f>
        <v>0</v>
      </c>
      <c r="N78" s="145" t="str">
        <f>IF(ISBLANK(AH78),"",SUMIFS(Transactions!$M$3:$M149,Transactions!$H$3:$H149,"Sell",Transactions!$D$3:$D149,AH78))</f>
        <v/>
      </c>
      <c r="O78" s="50" t="str">
        <f t="shared" si="5"/>
        <v/>
      </c>
      <c r="P78" s="178" t="str">
        <f t="shared" si="6"/>
        <v/>
      </c>
      <c r="Q78" s="178" t="str">
        <f>IFERROR(__xludf.DUMMYFUNCTION("IF(ISBLANK(B78),"""",IFERROR(IF(OR(AF78=""GPB"",AF78=""ZAR""),IF(AF78=Dashboard!$L$1,AS78,(AS78*GOOGLEFINANCE(""CURRENCY:""&amp;AF78&amp;""""&amp;Dashboard!$L$1&amp;""""))/100),IF(AF78=Dashboard!$L$1,AS78,AS78*GOOGLEFINANCE(""CURRENCY:""&amp;AF78&amp;""""&amp;Dashboard!$L$1&amp;""""))),"&amp;"AS78))"),"")</f>
        <v/>
      </c>
      <c r="R78" s="178" t="str">
        <f t="shared" si="7"/>
        <v/>
      </c>
      <c r="S78" s="50" t="str">
        <f>IFERROR(__xludf.DUMMYFUNCTION("IF(ISBLANK(B78),"""",IFERROR((GOOGLEFINANCE(B78,""price"")/INDEX(GOOGLEFINANCE(B78,""price"",DATEVALUE(TODAY()-$S$2) ),2,2)-1),""""))"),"")</f>
        <v/>
      </c>
      <c r="U78" s="50" t="str">
        <f>IFERROR(__xludf.DUMMYFUNCTION("IF(ISBLANK(B78),"""",IFERROR((GOOGLEFINANCE($U$2,""price"")/INDEX(GOOGLEFINANCE($U$2,""price"",DATEVALUE(TODAY()-$S$2) ),2,2)-1),""""))"),"")</f>
        <v/>
      </c>
      <c r="W78" s="50" t="str">
        <f t="shared" si="8"/>
        <v/>
      </c>
      <c r="X78" s="50" t="str">
        <f t="shared" si="9"/>
        <v/>
      </c>
      <c r="Y78" s="179">
        <v>0.0</v>
      </c>
      <c r="Z78" s="50" t="str">
        <f t="shared" si="10"/>
        <v/>
      </c>
      <c r="AA78" s="14" t="str">
        <f t="shared" si="11"/>
        <v/>
      </c>
      <c r="AB78" s="50" t="str">
        <f t="shared" si="12"/>
        <v/>
      </c>
      <c r="AC78" s="179" t="str">
        <f t="shared" si="13"/>
        <v/>
      </c>
      <c r="AD78" s="50" t="str">
        <f t="shared" si="14"/>
        <v/>
      </c>
      <c r="AE78" s="180" t="str">
        <f t="shared" si="15"/>
        <v/>
      </c>
      <c r="AF78" s="14" t="str">
        <f t="array" ref="AF78">IFERROR(IF(ISBLANK(AH78),"",IF(VLOOKUP(AH78,Transactions!D:F,3,0)="Stablecoin",AH78,INDEX(Transactions!$B$3:$B149,MATCH(AH78,Transactions!$D$3:$D149,0),0))))</f>
        <v/>
      </c>
      <c r="AG78" s="14" t="str">
        <f>IF(ISBLANK(AH78),"",VLOOKUP(AH78,Transactions!D:E,2,0))</f>
        <v/>
      </c>
      <c r="AH78" s="14"/>
      <c r="AI78" s="146" t="str">
        <f>IF(ISBLANK(AH78),"",IF(
SUMIFS(Transactions!$I$3:$I149,Transactions!$H$3:$H149,"Buy",Transactions!$F$3:$F149,"Stock",Transactions!$D$3:$D149,AH78)
+SUMIFS(Transactions!$I$3:$I149,Transactions!$H$3:$H149,"DRIP",Transactions!$F$3:$F149,"Stock",Transactions!$D$3:$D149,AH78)
+SUMIFS(Transactions!$I$3:$I149,Transactions!$H$3:$H149,"Transfer Deposit",Transactions!$F$3:$F149,"Stock",Transactions!$D$3:$D149,AH78)
+SUMIFS(Transactions!$I$3:$I149,Transactions!$H$3:$H149,"Buy",Transactions!$F$3:$F149,"ETF",Transactions!$D$3:$D149,AH78)
+SUMIFS(Transactions!$I$3:$I149,Transactions!$H$3:$H149,"DRIP",Transactions!$F$3:$F149,"ETF",Transactions!$D$3:$D149,AH78)
+SUMIFS(Transactions!$I$3:$I149,Transactions!$H$3:$H149,"Transfer Deposit",Transactions!$F$3:$F149,"ETF",Transactions!$D$3:$D149,AH78)
+SUMIFS(Transactions!$I$3:$I149,Transactions!$H$3:$H149,"Buy",Transactions!$F$3:$F149,"Commodity",Transactions!$D$3:$D149,AH78)
+SUMIFS(Transactions!$I$3:$I149,Transactions!$H$3:$H149,"DRIP",Transactions!$F$3:$F149,"Commodity",Transactions!$D$3:$D149,AH78)
+SUMIFS(Transactions!$I$3:$I149,Transactions!$H$3:$H149,"Transfer Deposit",Transactions!$F$3:$F149,"Commodity",Transactions!$D$3:$D149,AH78)
+SUMIFS(Transactions!$I$3:$I149,Transactions!$H$3:$H149,"Buy",Transactions!$F$3:$F149,"Managed Fund",Transactions!$D$3:$D149,AH78)
+SUMIFS(Transactions!$I$3:$I149,Transactions!$H$3:$H149,"DRIP",Transactions!$F$3:$F149,"Managed Fund",Transactions!$D$3:$D149,AH78)
+SUMIFS(Transactions!$I$3:$I149,Transactions!$H$3:$H149,"Transfer Deposit",Transactions!$F$3:$F149,"Managed Fund",Transactions!$D$3:$D149,AH78)
+SUMIFS(Transactions!$I$3:$I149,Transactions!$H$3:$H149,"Buy",Transactions!$F$3:$F149,"REIT",Transactions!$D$3:$D149,AH78)
+SUMIFS(Transactions!$I$3:$I149,Transactions!$H$3:$H149,"DRIP",Transactions!$F$3:$F149,"REIT",Transactions!$D$3:$D149,AH78)
+SUMIFS(Transactions!$I$3:$I149,Transactions!$H$3:$H149,"Transfer Deposit",Transactions!$F$3:$F149,"REIT",Transactions!$D$3:$D149,AH78)
-SUMIFS(Transactions!$I$3:$I149,Transactions!$H$3:$H149,"Sell",Transactions!$F$3:$F149,"Stock",Transactions!$D$3:$D149,AH78)
-SUMIFS(Transactions!$I$3:$I149,Transactions!$H$3:$H149,"Transfer Send",Transactions!$F$3:$F149,"Stock",Transactions!$D$3:$D149,AH78)
-SUMIFS(Transactions!$I$3:$I149,Transactions!$H$3:$H149,"Sell",Transactions!$F$3:$F149,"ETF",Transactions!$D$3:$D149,AH78)
-SUMIFS(Transactions!$I$3:$I149,Transactions!$H$3:$H149,"Transfer Send",Transactions!$F$3:$F149,"ETF",Transactions!$D$3:$D149,AH78)
-SUMIFS(Transactions!$I$3:$I149,Transactions!$H$3:$H149,"Sell",Transactions!$F$3:$F149,"Commodity",Transactions!$D$3:$D149,AH78)
-SUMIFS(Transactions!$I$3:$I149,Transactions!$H$3:$H149,"Transfer Send",Transactions!$F$3:$F149,"Commodity",Transactions!$D$3:$D149,AH78)
-SUMIFS(Transactions!$I$3:$I149,Transactions!$H$3:$H149,"Sell",Transactions!$F$3:$F149,"Managed Fund",Transactions!$D$3:$D149,AH78)
-SUMIFS(Transactions!$I$3:$I149,Transactions!$H$3:$H149,"Transfer Send",Transactions!$F$3:$F149,"Managed Fund",Transactions!$D$3:$D149,AH78)
-SUMIFS(Transactions!$I$3:$I149,Transactions!$H$3:$H149,"Sell",Transactions!$F$3:$F149,"REIT",Transactions!$D$3:$D149,AH78)
-SUMIFS(Transactions!$I$3:$I149,Transactions!$H$3:$H149,"Transfer Send",Transactions!$F$3:$F149,"REIT",Transactions!$D$3:$D149,AH78)
+SUMIFS(Transactions!$I$3:$I149,Transactions!$H$3:$H149,"Buy",Transactions!$F$3:$F149,"Crypto",Transactions!$D$3:$D149,AH78)
+SUMIFS(Transactions!$I$3:$I149,Transactions!$H$3:$H149,"Crypto Interest",Transactions!$F$3:$F149,"Crypto",Transactions!$D$3:$D149,AH78)
+SUMIFS(Transactions!$I$3:$I149,Transactions!$H$3:$H149,"Transfer Deposit",Transactions!$F$3:$F149,"Crypto",Transactions!$D$3:$D149,AH78)
-SUMIFS(Transactions!$I$3:$I149,Transactions!$H$3:$H149,"Transfer Send",Transactions!$F$3:$F149,"Crypto",Transactions!$D$3:$D149,AH78)
-SUMIFS(Transactions!$I$3:$I149,Transactions!$H$3:$H149,"Sell",Transactions!$F$3:$F149,"Crypto",Transactions!$D$3:$D149,AH78)
+SUMIFS(Transactions!$I$3:$I149,Transactions!$H$3:$H149,"Buy",Transactions!$F$3:$F149,"Stablecoin",Transactions!$D$3:$D149,AH78)
+SUMIFS(Transactions!$I$3:$I149,Transactions!$H$3:$H149,"Crypto Interest",Transactions!$F$3:$F149,"Stablecoin",Transactions!$D$3:$D149,AH78)
+SUMIFS(Transactions!$I$3:$I149,Transactions!$H$3:$H149,"Transfer Deposit",Transactions!$F$3:$F149,"Stablecoin",Transactions!$D$3:$D149,AH78)
-SUMIFS(Transactions!$I$3:$I149,Transactions!$H$3:$H149,"Transfer Send",Transactions!$F$3:$F149,"Stablecoin",Transactions!$D$3:$D149,AH78)
-SUMIFS(Transactions!$I$3:$I149,Transactions!$H$3:$H149,"Sell",Transactions!$F$3:$F149,"Stablecoin",Transactions!$D$3:$D149,AH78)
-SUMIFS(Transactions!$M$3:$M149,Transactions!$H$3:$H149,"Buy",Transactions!$B$3:$B149,AH78)=0,"Sold All",
SUMIFS(Transactions!$I$3:$I149,Transactions!$H$3:$H149,"Buy",Transactions!$F$3:$F149,"Stock",Transactions!$D$3:$D149,AH78)
+SUMIFS(Transactions!$I$3:$I149,Transactions!$H$3:$H149,"DRIP",Transactions!$F$3:$F149,"Stock",Transactions!$D$3:$D149,AH78)
+SUMIFS(Transactions!$I$3:$I149,Transactions!$H$3:$H149,"Transfer Deposit",Transactions!$F$3:$F149,"Stock",Transactions!$D$3:$D149,AH78)
+SUMIFS(Transactions!$I$3:$I149,Transactions!$H$3:$H149,"Buy",Transactions!$F$3:$F149,"ETF",Transactions!$D$3:$D149,AH78)
+SUMIFS(Transactions!$I$3:$I149,Transactions!$H$3:$H149,"DRIP",Transactions!$F$3:$F149,"ETF",Transactions!$D$3:$D149,AH78)
+SUMIFS(Transactions!$I$3:$I149,Transactions!$H$3:$H149,"Transfer Deposit",Transactions!$F$3:$F149,"ETF",Transactions!$D$3:$D149,AH78)
+SUMIFS(Transactions!$I$3:$I149,Transactions!$H$3:$H149,"Buy",Transactions!$F$3:$F149,"Commodity",Transactions!$D$3:$D149,AH78)
+SUMIFS(Transactions!$I$3:$I149,Transactions!$H$3:$H149,"DRIP",Transactions!$F$3:$F149,"Commodity",Transactions!$D$3:$D149,AH78)
+SUMIFS(Transactions!$I$3:$I149,Transactions!$H$3:$H149,"Transfer Deposit",Transactions!$F$3:$F149,"Commodity",Transactions!$D$3:$D149,AH78)
+SUMIFS(Transactions!$I$3:$I149,Transactions!$H$3:$H149,"Buy",Transactions!$F$3:$F149,"Managed Fund",Transactions!$D$3:$D149,AH78)
+SUMIFS(Transactions!$I$3:$I149,Transactions!$H$3:$H149,"DRIP",Transactions!$F$3:$F149,"Managed Fund",Transactions!$D$3:$D149,AH78)
+SUMIFS(Transactions!$I$3:$I149,Transactions!$H$3:$H149,"Transfer Deposit",Transactions!$F$3:$F149,"Managed Fund",Transactions!$D$3:$D149,AH78)
+SUMIFS(Transactions!$I$3:$I149,Transactions!$H$3:$H149,"Buy",Transactions!$F$3:$F149,"REIT",Transactions!$D$3:$D149,AH78)
+SUMIFS(Transactions!$I$3:$I149,Transactions!$H$3:$H149,"DRIP",Transactions!$F$3:$F149,"REIT",Transactions!$D$3:$D149,AH78)
+SUMIFS(Transactions!$I$3:$I149,Transactions!$H$3:$H149,"Transfer Deposit",Transactions!$F$3:$F149,"REIT",Transactions!$D$3:$D149,AH78)
-SUMIFS(Transactions!$I$3:$I149,Transactions!$H$3:$H149,"Sell",Transactions!$F$3:$F149,"Stock",Transactions!$D$3:$D149,AH78)
-SUMIFS(Transactions!$I$3:$I149,Transactions!$H$3:$H149,"Transfer Send",Transactions!$F$3:$F149,"Stock",Transactions!$D$3:$D149,AH78)
-SUMIFS(Transactions!$I$3:$I149,Transactions!$H$3:$H149,"Sell",Transactions!$F$3:$F149,"ETF",Transactions!$D$3:$D149,AH78)
-SUMIFS(Transactions!$I$3:$I149,Transactions!$H$3:$H149,"Transfer Send",Transactions!$F$3:$F149,"ETF",Transactions!$D$3:$D149,AH78)
-SUMIFS(Transactions!$I$3:$I149,Transactions!$H$3:$H149,"Sell",Transactions!$F$3:$F149,"Commodity",Transactions!$D$3:$D149,AH78)
-SUMIFS(Transactions!$I$3:$I149,Transactions!$H$3:$H149,"Transfer Send",Transactions!$F$3:$F149,"Commodity",Transactions!$D$3:$D149,AH78)
-SUMIFS(Transactions!$I$3:$I149,Transactions!$H$3:$H149,"Sell",Transactions!$F$3:$F149,"Managed Fund",Transactions!$D$3:$D149,AH78)
-SUMIFS(Transactions!$I$3:$I149,Transactions!$H$3:$H149,"Transfer Send",Transactions!$F$3:$F149,"Managed Fund",Transactions!$D$3:$D149,AH78)
-SUMIFS(Transactions!$I$3:$I149,Transactions!$H$3:$H149,"Sell",Transactions!$F$3:$F149,"REIT",Transactions!$D$3:$D149,AH78)
-SUMIFS(Transactions!$I$3:$I149,Transactions!$H$3:$H149,"Transfer Send",Transactions!$F$3:$F149,"REIT",Transactions!$D$3:$D149,AH78)
+SUMIFS(Transactions!$I$3:$I149,Transactions!$H$3:$H149,"Buy",Transactions!$F$3:$F149,"Crypto",Transactions!$D$3:$D149,AH78)
+SUMIFS(Transactions!$I$3:$I149,Transactions!$H$3:$H149,"Crypto Interest",Transactions!$F$3:$F149,"Crypto",Transactions!$D$3:$D149,AH78)
+SUMIFS(Transactions!$I$3:$I149,Transactions!$H$3:$H149,"Transfer Deposit",Transactions!$F$3:$F149,"Crypto",Transactions!$D$3:$D149,AH78)
-SUMIFS(Transactions!$I$3:$I149,Transactions!$H$3:$H149,"Transfer Send",Transactions!$F$3:$F149,"Crypto",Transactions!$D$3:$D149,AH78)
-SUMIFS(Transactions!$I$3:$I149,Transactions!$H$3:$H149,"Sell",Transactions!$F$3:$F149,"Crypto",Transactions!$D$3:$D149,AH78)
+SUMIFS(Transactions!$I$3:$I149,Transactions!$H$3:$H149,"Buy",Transactions!$F$3:$F149,"Stablecoin",Transactions!$D$3:$D149,AH78)
+SUMIFS(Transactions!$I$3:$I149,Transactions!$H$3:$H149,"Crypto Interest",Transactions!$F$3:$F149,"Stablecoin",Transactions!$D$3:$D149,AH78)
+SUMIFS(Transactions!$I$3:$I149,Transactions!$H$3:$H149,"Transfer Deposit",Transactions!$F$3:$F149,"Stablecoin",Transactions!$D$3:$D149,AH78)
-SUMIFS(Transactions!$I$3:$I149,Transactions!$H$3:$H149,"Transfer Send",Transactions!$F$3:$F149,"Stablecoin",Transactions!$D$3:$D149,AH78)
-SUMIFS(Transactions!$I$3:$I149,Transactions!$H$3:$H149,"Sell",Transactions!$F$3:$F149,"Stablecoin",Transactions!$D$3:$D149,AH78)
-SUMIFS(Transactions!$M$3:$M149,Transactions!$H$3:$H149,"Buy",Transactions!$B$3:$B149,AH78)))</f>
        <v/>
      </c>
      <c r="AJ78" s="181" t="str">
        <f>IFERROR(__xludf.DUMMYFUNCTION("IF(ISBLANK(AH78),"""",VLOOKUP(9^99,FILTER({ROW(Transactions!P:P),Transactions!P:P},Transactions!D:D=AH78),2))"),"")</f>
        <v/>
      </c>
      <c r="AK78" s="181" t="str">
        <f>IFERROR(__xludf.DUMMYFUNCTION("IF(ISBLANK(AH78),"""",IFERROR(GOOGLEFINANCE(AH78,""price""),IFERROR(GOOGLEFINANCE(""CURRENCY:""&amp;AH78&amp;""""),IFERROR(INDEX(YAHOO_STOCK(TRIM(AH78), $G$2),0,1),INDEX(IMPORTHTML(CONCAT(""https://coinmarketcap.com/currencies/"",AG78),""table"",1),1,2)))))"),"")</f>
        <v/>
      </c>
      <c r="AL78" s="14" t="str">
        <f>IFERROR(__xludf.DUMMYFUNCTION("IF(ISBLANK(AH78),"""",IFERROR(SPARKLINE(INDEX(GOOGLEFINANCE(AH78,""price"",TODAY()-$AL$2,TODAY()),,2),{""charttype"",""column"";""color"",""17a7e0""}),""""))"),"")</f>
        <v/>
      </c>
      <c r="AM78" s="50" t="str">
        <f>IFERROR(__xludf.DUMMYFUNCTION("IFNA(IFERROR(IF(AH78="""","""",GOOGLEFINANCE(AH78,""changepct"")/100),(GOOGLEFINANCE(AH78)-(INDEX(GOOGLEFINANCE(""CURRENCY:""&amp;AH78&amp;"""",""price"",TODAY()-1),2,2)))/(INDEX(GOOGLEFINANCE(""CURRENCY:""&amp;AH78&amp;"""",""price"",TODAY()-1),2,2))),)"),"")</f>
        <v/>
      </c>
      <c r="AN78" s="96" t="str">
        <f>IFERROR(__xludf.DUMMYFUNCTION("IFNA(IFERROR(IF(AH78="""","""",GOOGLEFINANCE(AH78,""change"")*AI78),(GOOGLEFINANCE(AH78)-(INDEX(GOOGLEFINANCE(""CURRENCY:""&amp;AH78&amp;"""",""price"",TODAY()-1),2,2)))*AI78),"""")"),"")</f>
        <v/>
      </c>
      <c r="AO78" s="96" t="str">
        <f>IF(ISBLANK(AH78),"",IFERROR(((AI78-SUMIFS(Transactions!I:I,Transactions!H:H,"Crypto Interest",Transactions!D:D,AH78))*AJ78),""))</f>
        <v/>
      </c>
      <c r="AP78" s="96" t="str">
        <f t="shared" si="16"/>
        <v/>
      </c>
      <c r="AQ78" s="50" t="str">
        <f t="shared" si="17"/>
        <v/>
      </c>
      <c r="AR78" s="96" t="str">
        <f t="shared" si="18"/>
        <v/>
      </c>
      <c r="AS78" s="96" t="str">
        <f>IF(ISBLANK(AH78),"",SUMIFS(Transactions!$X$3:$X149,Transactions!$H$3:$H149,"Sell",Transactions!$D$3:$D149,AH78))</f>
        <v/>
      </c>
      <c r="AT78" s="96" t="str">
        <f t="shared" si="19"/>
        <v/>
      </c>
      <c r="AU78" s="50" t="str">
        <f>IFERROR(__xludf.DUMMYFUNCTION("IF(ISBLANK(AH78),"""",IFERROR((GOOGLEFINANCE(AH78,""price"")/INDEX(GOOGLEFINANCE(AH78,""price"",DATEVALUE(TODAY()-$AU$2) ),2,2)-1),""""))"),"")</f>
        <v/>
      </c>
      <c r="AW78" s="50" t="str">
        <f>IFERROR(__xludf.DUMMYFUNCTION("IF(ISBLANK(AH78),"""",IFERROR((GOOGLEFINANCE($AW$2,""price"")/INDEX(GOOGLEFINANCE($AW$2,""price"",DATEVALUE(TODAY()-$AU$2) ),2,2)-1),""""))"),"")</f>
        <v/>
      </c>
      <c r="AY78" s="50" t="str">
        <f t="shared" si="20"/>
        <v/>
      </c>
      <c r="AZ78" s="50" t="str">
        <f t="shared" si="21"/>
        <v/>
      </c>
      <c r="BA78" s="50">
        <f t="shared" si="22"/>
        <v>0</v>
      </c>
      <c r="BB78" s="14" t="str">
        <f t="shared" si="23"/>
        <v/>
      </c>
      <c r="BC78" s="14" t="str">
        <f>IF(ISBLANK(AH78),"",IFERROR(VLOOKUP(AH78,Transactions!D:F,3,0)))</f>
        <v/>
      </c>
      <c r="BD78" s="50" t="str">
        <f t="shared" si="24"/>
        <v/>
      </c>
      <c r="BE78" s="50" t="str">
        <f t="shared" si="25"/>
        <v/>
      </c>
      <c r="BF78" s="14" t="str">
        <f t="shared" si="26"/>
        <v/>
      </c>
      <c r="BG78" s="180" t="str">
        <f>IF(ISBLANK(AH78),"",IFERROR(VLOOKUP(AH78,Transactions!D:G,4,0)))</f>
        <v/>
      </c>
    </row>
    <row r="79">
      <c r="A79" s="14" t="str">
        <f t="shared" ref="A79:C79" si="102">AG79</f>
        <v/>
      </c>
      <c r="B79" s="14" t="str">
        <f t="shared" si="102"/>
        <v/>
      </c>
      <c r="C79" s="175" t="str">
        <f t="shared" si="102"/>
        <v/>
      </c>
      <c r="D79" s="176" t="str">
        <f>IFERROR(__xludf.DUMMYFUNCTION("IF(ISBLANK(B79),"""",IFERROR(IF(OR(AF79=""GPB"",AF79=""ZAR""),IF(AF79=Dashboard!$L$1,AJ79,(AJ79*GOOGLEFINANCE(""CURRENCY:""&amp;AF79&amp;""""&amp;Dashboard!$L$1&amp;""""))/100),IF(AF79=Dashboard!$L$1,AJ79,AJ79*GOOGLEFINANCE(""CURRENCY:""&amp;AF79&amp;""""&amp;Dashboard!$L$1&amp;""""))),"&amp;"AJ79))"),"")</f>
        <v/>
      </c>
      <c r="E79" s="177" t="str">
        <f>IFERROR(__xludf.DUMMYFUNCTION("IFERROR(IF(OR(AF79=""GBP"",AF79=""ZAR""),IF(B79="""","""",IF(AF79=Dashboard!$L$1,AK79,AK79*GOOGLEFINANCE(""CURRENCY:""&amp;AF79&amp;""""&amp;Dashboard!$L$1&amp;"""")))/100,If(B79="""","""",IF(AF79=Dashboard!$L$1,AK79,AK79*GOOGLEFINANCE(""CURRENCY:""&amp;AF79&amp;""""&amp;Dashboard!$"&amp;"L$1&amp;"""")))),AK79)"),"")</f>
        <v/>
      </c>
      <c r="F79" s="145" t="str">
        <f t="shared" si="65"/>
        <v/>
      </c>
      <c r="G79" s="96" t="str">
        <f>IFERROR(__xludf.DUMMYFUNCTION("IF(ISBLANK(B79),"""",IFERROR(SPARKLINE(INDEX(GOOGLEFINANCE(B79,""price"",TODAY()-$G$2,TODAY()),,2),{""charttype"",""column"";""color"",""17a7e0""}),""""))"),"")</f>
        <v/>
      </c>
      <c r="H79" s="50" t="str">
        <f t="shared" si="3"/>
        <v/>
      </c>
      <c r="I79" s="96" t="str">
        <f>IFERROR(__xludf.DUMMYFUNCTION("IF(ISBLANK(B79),"""",IFERROR(IF(OR(AF79=""GPB"",AF79=""ZAR""),IF(AF79=Dashboard!$L$1,AN79,(AN79*GOOGLEFINANCE(""CURRENCY:""&amp;AF79&amp;""""&amp;Dashboard!$L$1&amp;""""))/100),IF(AF79=Dashboard!$L$1,AN79,AN79*GOOGLEFINANCE(""CURRENCY:""&amp;AF79&amp;""""&amp;Dashboard!$L$1&amp;""""))),"&amp;"AN79))"),"")</f>
        <v/>
      </c>
      <c r="J79" s="178" t="str">
        <f>IF(ISBLANK(B79),"",IFERROR(((C79-SUMIFS(Transactions!I:I,Transactions!H:H,"Crypto Interest",Transactions!D:D,B79))*D79),""))</f>
        <v/>
      </c>
      <c r="K79" s="178" t="str">
        <f t="shared" si="4"/>
        <v/>
      </c>
      <c r="L79" s="145">
        <f>IF(ISBLANK(AF79),"",SUMIFS(Transactions!$M$3:$M149,Transactions!$H$3:$H149,"Buy",Transactions!$D$3:$D149,AF79))</f>
        <v>0</v>
      </c>
      <c r="M79" s="145">
        <f>IF(ISBLANK(AG79),"",SUMIFS(Transactions!$M$3:$M149,Transactions!$H$3:$H149,"Dividend",Transactions!$D$3:$D149,AG79))</f>
        <v>0</v>
      </c>
      <c r="N79" s="145" t="str">
        <f>IF(ISBLANK(AH79),"",SUMIFS(Transactions!$M$3:$M149,Transactions!$H$3:$H149,"Sell",Transactions!$D$3:$D149,AH79))</f>
        <v/>
      </c>
      <c r="O79" s="50" t="str">
        <f t="shared" si="5"/>
        <v/>
      </c>
      <c r="P79" s="178" t="str">
        <f t="shared" si="6"/>
        <v/>
      </c>
      <c r="Q79" s="178" t="str">
        <f>IFERROR(__xludf.DUMMYFUNCTION("IF(ISBLANK(B79),"""",IFERROR(IF(OR(AF79=""GPB"",AF79=""ZAR""),IF(AF79=Dashboard!$L$1,AS79,(AS79*GOOGLEFINANCE(""CURRENCY:""&amp;AF79&amp;""""&amp;Dashboard!$L$1&amp;""""))/100),IF(AF79=Dashboard!$L$1,AS79,AS79*GOOGLEFINANCE(""CURRENCY:""&amp;AF79&amp;""""&amp;Dashboard!$L$1&amp;""""))),"&amp;"AS79))"),"")</f>
        <v/>
      </c>
      <c r="R79" s="178" t="str">
        <f t="shared" si="7"/>
        <v/>
      </c>
      <c r="S79" s="50" t="str">
        <f>IFERROR(__xludf.DUMMYFUNCTION("IF(ISBLANK(B79),"""",IFERROR((GOOGLEFINANCE(B79,""price"")/INDEX(GOOGLEFINANCE(B79,""price"",DATEVALUE(TODAY()-$S$2) ),2,2)-1),""""))"),"")</f>
        <v/>
      </c>
      <c r="U79" s="50" t="str">
        <f>IFERROR(__xludf.DUMMYFUNCTION("IF(ISBLANK(B79),"""",IFERROR((GOOGLEFINANCE($U$2,""price"")/INDEX(GOOGLEFINANCE($U$2,""price"",DATEVALUE(TODAY()-$S$2) ),2,2)-1),""""))"),"")</f>
        <v/>
      </c>
      <c r="W79" s="50" t="str">
        <f t="shared" si="8"/>
        <v/>
      </c>
      <c r="X79" s="50" t="str">
        <f t="shared" si="9"/>
        <v/>
      </c>
      <c r="Y79" s="179">
        <v>0.0</v>
      </c>
      <c r="Z79" s="50" t="str">
        <f t="shared" si="10"/>
        <v/>
      </c>
      <c r="AA79" s="14" t="str">
        <f t="shared" si="11"/>
        <v/>
      </c>
      <c r="AB79" s="50" t="str">
        <f t="shared" si="12"/>
        <v/>
      </c>
      <c r="AC79" s="179" t="str">
        <f t="shared" si="13"/>
        <v/>
      </c>
      <c r="AD79" s="50" t="str">
        <f t="shared" si="14"/>
        <v/>
      </c>
      <c r="AE79" s="180" t="str">
        <f t="shared" si="15"/>
        <v/>
      </c>
      <c r="AF79" s="14" t="str">
        <f t="array" ref="AF79">IFERROR(IF(ISBLANK(AH79),"",IF(VLOOKUP(AH79,Transactions!D:F,3,0)="Stablecoin",AH79,INDEX(Transactions!$B$3:$B149,MATCH(AH79,Transactions!$D$3:$D149,0),0))))</f>
        <v/>
      </c>
      <c r="AG79" s="14" t="str">
        <f>IF(ISBLANK(AH79),"",VLOOKUP(AH79,Transactions!D:E,2,0))</f>
        <v/>
      </c>
      <c r="AH79" s="14"/>
      <c r="AI79" s="146" t="str">
        <f>IF(ISBLANK(AH79),"",IF(
SUMIFS(Transactions!$I$3:$I149,Transactions!$H$3:$H149,"Buy",Transactions!$F$3:$F149,"Stock",Transactions!$D$3:$D149,AH79)
+SUMIFS(Transactions!$I$3:$I149,Transactions!$H$3:$H149,"DRIP",Transactions!$F$3:$F149,"Stock",Transactions!$D$3:$D149,AH79)
+SUMIFS(Transactions!$I$3:$I149,Transactions!$H$3:$H149,"Transfer Deposit",Transactions!$F$3:$F149,"Stock",Transactions!$D$3:$D149,AH79)
+SUMIFS(Transactions!$I$3:$I149,Transactions!$H$3:$H149,"Buy",Transactions!$F$3:$F149,"ETF",Transactions!$D$3:$D149,AH79)
+SUMIFS(Transactions!$I$3:$I149,Transactions!$H$3:$H149,"DRIP",Transactions!$F$3:$F149,"ETF",Transactions!$D$3:$D149,AH79)
+SUMIFS(Transactions!$I$3:$I149,Transactions!$H$3:$H149,"Transfer Deposit",Transactions!$F$3:$F149,"ETF",Transactions!$D$3:$D149,AH79)
+SUMIFS(Transactions!$I$3:$I149,Transactions!$H$3:$H149,"Buy",Transactions!$F$3:$F149,"Commodity",Transactions!$D$3:$D149,AH79)
+SUMIFS(Transactions!$I$3:$I149,Transactions!$H$3:$H149,"DRIP",Transactions!$F$3:$F149,"Commodity",Transactions!$D$3:$D149,AH79)
+SUMIFS(Transactions!$I$3:$I149,Transactions!$H$3:$H149,"Transfer Deposit",Transactions!$F$3:$F149,"Commodity",Transactions!$D$3:$D149,AH79)
+SUMIFS(Transactions!$I$3:$I149,Transactions!$H$3:$H149,"Buy",Transactions!$F$3:$F149,"Managed Fund",Transactions!$D$3:$D149,AH79)
+SUMIFS(Transactions!$I$3:$I149,Transactions!$H$3:$H149,"DRIP",Transactions!$F$3:$F149,"Managed Fund",Transactions!$D$3:$D149,AH79)
+SUMIFS(Transactions!$I$3:$I149,Transactions!$H$3:$H149,"Transfer Deposit",Transactions!$F$3:$F149,"Managed Fund",Transactions!$D$3:$D149,AH79)
+SUMIFS(Transactions!$I$3:$I149,Transactions!$H$3:$H149,"Buy",Transactions!$F$3:$F149,"REIT",Transactions!$D$3:$D149,AH79)
+SUMIFS(Transactions!$I$3:$I149,Transactions!$H$3:$H149,"DRIP",Transactions!$F$3:$F149,"REIT",Transactions!$D$3:$D149,AH79)
+SUMIFS(Transactions!$I$3:$I149,Transactions!$H$3:$H149,"Transfer Deposit",Transactions!$F$3:$F149,"REIT",Transactions!$D$3:$D149,AH79)
-SUMIFS(Transactions!$I$3:$I149,Transactions!$H$3:$H149,"Sell",Transactions!$F$3:$F149,"Stock",Transactions!$D$3:$D149,AH79)
-SUMIFS(Transactions!$I$3:$I149,Transactions!$H$3:$H149,"Transfer Send",Transactions!$F$3:$F149,"Stock",Transactions!$D$3:$D149,AH79)
-SUMIFS(Transactions!$I$3:$I149,Transactions!$H$3:$H149,"Sell",Transactions!$F$3:$F149,"ETF",Transactions!$D$3:$D149,AH79)
-SUMIFS(Transactions!$I$3:$I149,Transactions!$H$3:$H149,"Transfer Send",Transactions!$F$3:$F149,"ETF",Transactions!$D$3:$D149,AH79)
-SUMIFS(Transactions!$I$3:$I149,Transactions!$H$3:$H149,"Sell",Transactions!$F$3:$F149,"Commodity",Transactions!$D$3:$D149,AH79)
-SUMIFS(Transactions!$I$3:$I149,Transactions!$H$3:$H149,"Transfer Send",Transactions!$F$3:$F149,"Commodity",Transactions!$D$3:$D149,AH79)
-SUMIFS(Transactions!$I$3:$I149,Transactions!$H$3:$H149,"Sell",Transactions!$F$3:$F149,"Managed Fund",Transactions!$D$3:$D149,AH79)
-SUMIFS(Transactions!$I$3:$I149,Transactions!$H$3:$H149,"Transfer Send",Transactions!$F$3:$F149,"Managed Fund",Transactions!$D$3:$D149,AH79)
-SUMIFS(Transactions!$I$3:$I149,Transactions!$H$3:$H149,"Sell",Transactions!$F$3:$F149,"REIT",Transactions!$D$3:$D149,AH79)
-SUMIFS(Transactions!$I$3:$I149,Transactions!$H$3:$H149,"Transfer Send",Transactions!$F$3:$F149,"REIT",Transactions!$D$3:$D149,AH79)
+SUMIFS(Transactions!$I$3:$I149,Transactions!$H$3:$H149,"Buy",Transactions!$F$3:$F149,"Crypto",Transactions!$D$3:$D149,AH79)
+SUMIFS(Transactions!$I$3:$I149,Transactions!$H$3:$H149,"Crypto Interest",Transactions!$F$3:$F149,"Crypto",Transactions!$D$3:$D149,AH79)
+SUMIFS(Transactions!$I$3:$I149,Transactions!$H$3:$H149,"Transfer Deposit",Transactions!$F$3:$F149,"Crypto",Transactions!$D$3:$D149,AH79)
-SUMIFS(Transactions!$I$3:$I149,Transactions!$H$3:$H149,"Transfer Send",Transactions!$F$3:$F149,"Crypto",Transactions!$D$3:$D149,AH79)
-SUMIFS(Transactions!$I$3:$I149,Transactions!$H$3:$H149,"Sell",Transactions!$F$3:$F149,"Crypto",Transactions!$D$3:$D149,AH79)
+SUMIFS(Transactions!$I$3:$I149,Transactions!$H$3:$H149,"Buy",Transactions!$F$3:$F149,"Stablecoin",Transactions!$D$3:$D149,AH79)
+SUMIFS(Transactions!$I$3:$I149,Transactions!$H$3:$H149,"Crypto Interest",Transactions!$F$3:$F149,"Stablecoin",Transactions!$D$3:$D149,AH79)
+SUMIFS(Transactions!$I$3:$I149,Transactions!$H$3:$H149,"Transfer Deposit",Transactions!$F$3:$F149,"Stablecoin",Transactions!$D$3:$D149,AH79)
-SUMIFS(Transactions!$I$3:$I149,Transactions!$H$3:$H149,"Transfer Send",Transactions!$F$3:$F149,"Stablecoin",Transactions!$D$3:$D149,AH79)
-SUMIFS(Transactions!$I$3:$I149,Transactions!$H$3:$H149,"Sell",Transactions!$F$3:$F149,"Stablecoin",Transactions!$D$3:$D149,AH79)
-SUMIFS(Transactions!$M$3:$M149,Transactions!$H$3:$H149,"Buy",Transactions!$B$3:$B149,AH79)=0,"Sold All",
SUMIFS(Transactions!$I$3:$I149,Transactions!$H$3:$H149,"Buy",Transactions!$F$3:$F149,"Stock",Transactions!$D$3:$D149,AH79)
+SUMIFS(Transactions!$I$3:$I149,Transactions!$H$3:$H149,"DRIP",Transactions!$F$3:$F149,"Stock",Transactions!$D$3:$D149,AH79)
+SUMIFS(Transactions!$I$3:$I149,Transactions!$H$3:$H149,"Transfer Deposit",Transactions!$F$3:$F149,"Stock",Transactions!$D$3:$D149,AH79)
+SUMIFS(Transactions!$I$3:$I149,Transactions!$H$3:$H149,"Buy",Transactions!$F$3:$F149,"ETF",Transactions!$D$3:$D149,AH79)
+SUMIFS(Transactions!$I$3:$I149,Transactions!$H$3:$H149,"DRIP",Transactions!$F$3:$F149,"ETF",Transactions!$D$3:$D149,AH79)
+SUMIFS(Transactions!$I$3:$I149,Transactions!$H$3:$H149,"Transfer Deposit",Transactions!$F$3:$F149,"ETF",Transactions!$D$3:$D149,AH79)
+SUMIFS(Transactions!$I$3:$I149,Transactions!$H$3:$H149,"Buy",Transactions!$F$3:$F149,"Commodity",Transactions!$D$3:$D149,AH79)
+SUMIFS(Transactions!$I$3:$I149,Transactions!$H$3:$H149,"DRIP",Transactions!$F$3:$F149,"Commodity",Transactions!$D$3:$D149,AH79)
+SUMIFS(Transactions!$I$3:$I149,Transactions!$H$3:$H149,"Transfer Deposit",Transactions!$F$3:$F149,"Commodity",Transactions!$D$3:$D149,AH79)
+SUMIFS(Transactions!$I$3:$I149,Transactions!$H$3:$H149,"Buy",Transactions!$F$3:$F149,"Managed Fund",Transactions!$D$3:$D149,AH79)
+SUMIFS(Transactions!$I$3:$I149,Transactions!$H$3:$H149,"DRIP",Transactions!$F$3:$F149,"Managed Fund",Transactions!$D$3:$D149,AH79)
+SUMIFS(Transactions!$I$3:$I149,Transactions!$H$3:$H149,"Transfer Deposit",Transactions!$F$3:$F149,"Managed Fund",Transactions!$D$3:$D149,AH79)
+SUMIFS(Transactions!$I$3:$I149,Transactions!$H$3:$H149,"Buy",Transactions!$F$3:$F149,"REIT",Transactions!$D$3:$D149,AH79)
+SUMIFS(Transactions!$I$3:$I149,Transactions!$H$3:$H149,"DRIP",Transactions!$F$3:$F149,"REIT",Transactions!$D$3:$D149,AH79)
+SUMIFS(Transactions!$I$3:$I149,Transactions!$H$3:$H149,"Transfer Deposit",Transactions!$F$3:$F149,"REIT",Transactions!$D$3:$D149,AH79)
-SUMIFS(Transactions!$I$3:$I149,Transactions!$H$3:$H149,"Sell",Transactions!$F$3:$F149,"Stock",Transactions!$D$3:$D149,AH79)
-SUMIFS(Transactions!$I$3:$I149,Transactions!$H$3:$H149,"Transfer Send",Transactions!$F$3:$F149,"Stock",Transactions!$D$3:$D149,AH79)
-SUMIFS(Transactions!$I$3:$I149,Transactions!$H$3:$H149,"Sell",Transactions!$F$3:$F149,"ETF",Transactions!$D$3:$D149,AH79)
-SUMIFS(Transactions!$I$3:$I149,Transactions!$H$3:$H149,"Transfer Send",Transactions!$F$3:$F149,"ETF",Transactions!$D$3:$D149,AH79)
-SUMIFS(Transactions!$I$3:$I149,Transactions!$H$3:$H149,"Sell",Transactions!$F$3:$F149,"Commodity",Transactions!$D$3:$D149,AH79)
-SUMIFS(Transactions!$I$3:$I149,Transactions!$H$3:$H149,"Transfer Send",Transactions!$F$3:$F149,"Commodity",Transactions!$D$3:$D149,AH79)
-SUMIFS(Transactions!$I$3:$I149,Transactions!$H$3:$H149,"Sell",Transactions!$F$3:$F149,"Managed Fund",Transactions!$D$3:$D149,AH79)
-SUMIFS(Transactions!$I$3:$I149,Transactions!$H$3:$H149,"Transfer Send",Transactions!$F$3:$F149,"Managed Fund",Transactions!$D$3:$D149,AH79)
-SUMIFS(Transactions!$I$3:$I149,Transactions!$H$3:$H149,"Sell",Transactions!$F$3:$F149,"REIT",Transactions!$D$3:$D149,AH79)
-SUMIFS(Transactions!$I$3:$I149,Transactions!$H$3:$H149,"Transfer Send",Transactions!$F$3:$F149,"REIT",Transactions!$D$3:$D149,AH79)
+SUMIFS(Transactions!$I$3:$I149,Transactions!$H$3:$H149,"Buy",Transactions!$F$3:$F149,"Crypto",Transactions!$D$3:$D149,AH79)
+SUMIFS(Transactions!$I$3:$I149,Transactions!$H$3:$H149,"Crypto Interest",Transactions!$F$3:$F149,"Crypto",Transactions!$D$3:$D149,AH79)
+SUMIFS(Transactions!$I$3:$I149,Transactions!$H$3:$H149,"Transfer Deposit",Transactions!$F$3:$F149,"Crypto",Transactions!$D$3:$D149,AH79)
-SUMIFS(Transactions!$I$3:$I149,Transactions!$H$3:$H149,"Transfer Send",Transactions!$F$3:$F149,"Crypto",Transactions!$D$3:$D149,AH79)
-SUMIFS(Transactions!$I$3:$I149,Transactions!$H$3:$H149,"Sell",Transactions!$F$3:$F149,"Crypto",Transactions!$D$3:$D149,AH79)
+SUMIFS(Transactions!$I$3:$I149,Transactions!$H$3:$H149,"Buy",Transactions!$F$3:$F149,"Stablecoin",Transactions!$D$3:$D149,AH79)
+SUMIFS(Transactions!$I$3:$I149,Transactions!$H$3:$H149,"Crypto Interest",Transactions!$F$3:$F149,"Stablecoin",Transactions!$D$3:$D149,AH79)
+SUMIFS(Transactions!$I$3:$I149,Transactions!$H$3:$H149,"Transfer Deposit",Transactions!$F$3:$F149,"Stablecoin",Transactions!$D$3:$D149,AH79)
-SUMIFS(Transactions!$I$3:$I149,Transactions!$H$3:$H149,"Transfer Send",Transactions!$F$3:$F149,"Stablecoin",Transactions!$D$3:$D149,AH79)
-SUMIFS(Transactions!$I$3:$I149,Transactions!$H$3:$H149,"Sell",Transactions!$F$3:$F149,"Stablecoin",Transactions!$D$3:$D149,AH79)
-SUMIFS(Transactions!$M$3:$M149,Transactions!$H$3:$H149,"Buy",Transactions!$B$3:$B149,AH79)))</f>
        <v/>
      </c>
      <c r="AJ79" s="181" t="str">
        <f>IFERROR(__xludf.DUMMYFUNCTION("IF(ISBLANK(AH79),"""",VLOOKUP(9^99,FILTER({ROW(Transactions!P:P),Transactions!P:P},Transactions!D:D=AH79),2))"),"")</f>
        <v/>
      </c>
      <c r="AK79" s="181" t="str">
        <f>IFERROR(__xludf.DUMMYFUNCTION("IF(ISBLANK(AH79),"""",IFERROR(GOOGLEFINANCE(AH79,""price""),IFERROR(GOOGLEFINANCE(""CURRENCY:""&amp;AH79&amp;""""),IFERROR(INDEX(YAHOO_STOCK(TRIM(AH79), $G$2),0,1),INDEX(IMPORTHTML(CONCAT(""https://coinmarketcap.com/currencies/"",AG79),""table"",1),1,2)))))"),"")</f>
        <v/>
      </c>
      <c r="AL79" s="14" t="str">
        <f>IFERROR(__xludf.DUMMYFUNCTION("IF(ISBLANK(AH79),"""",IFERROR(SPARKLINE(INDEX(GOOGLEFINANCE(AH79,""price"",TODAY()-$AL$2,TODAY()),,2),{""charttype"",""column"";""color"",""17a7e0""}),""""))"),"")</f>
        <v/>
      </c>
      <c r="AM79" s="50" t="str">
        <f>IFERROR(__xludf.DUMMYFUNCTION("IFNA(IFERROR(IF(AH79="""","""",GOOGLEFINANCE(AH79,""changepct"")/100),(GOOGLEFINANCE(AH79)-(INDEX(GOOGLEFINANCE(""CURRENCY:""&amp;AH79&amp;"""",""price"",TODAY()-1),2,2)))/(INDEX(GOOGLEFINANCE(""CURRENCY:""&amp;AH79&amp;"""",""price"",TODAY()-1),2,2))),)"),"")</f>
        <v/>
      </c>
      <c r="AN79" s="96" t="str">
        <f>IFERROR(__xludf.DUMMYFUNCTION("IFNA(IFERROR(IF(AH79="""","""",GOOGLEFINANCE(AH79,""change"")*AI79),(GOOGLEFINANCE(AH79)-(INDEX(GOOGLEFINANCE(""CURRENCY:""&amp;AH79&amp;"""",""price"",TODAY()-1),2,2)))*AI79),"""")"),"")</f>
        <v/>
      </c>
      <c r="AO79" s="96" t="str">
        <f>IF(ISBLANK(AH79),"",IFERROR(((AI79-SUMIFS(Transactions!I:I,Transactions!H:H,"Crypto Interest",Transactions!D:D,AH79))*AJ79),""))</f>
        <v/>
      </c>
      <c r="AP79" s="96" t="str">
        <f t="shared" si="16"/>
        <v/>
      </c>
      <c r="AQ79" s="50" t="str">
        <f t="shared" si="17"/>
        <v/>
      </c>
      <c r="AR79" s="96" t="str">
        <f t="shared" si="18"/>
        <v/>
      </c>
      <c r="AS79" s="96" t="str">
        <f>IF(ISBLANK(AH79),"",SUMIFS(Transactions!$X$3:$X149,Transactions!$H$3:$H149,"Sell",Transactions!$D$3:$D149,AH79))</f>
        <v/>
      </c>
      <c r="AT79" s="96" t="str">
        <f t="shared" si="19"/>
        <v/>
      </c>
      <c r="AU79" s="50" t="str">
        <f>IFERROR(__xludf.DUMMYFUNCTION("IF(ISBLANK(AH79),"""",IFERROR((GOOGLEFINANCE(AH79,""price"")/INDEX(GOOGLEFINANCE(AH79,""price"",DATEVALUE(TODAY()-$AU$2) ),2,2)-1),""""))"),"")</f>
        <v/>
      </c>
      <c r="AW79" s="50" t="str">
        <f>IFERROR(__xludf.DUMMYFUNCTION("IF(ISBLANK(AH79),"""",IFERROR((GOOGLEFINANCE($AW$2,""price"")/INDEX(GOOGLEFINANCE($AW$2,""price"",DATEVALUE(TODAY()-$AU$2) ),2,2)-1),""""))"),"")</f>
        <v/>
      </c>
      <c r="AY79" s="50" t="str">
        <f t="shared" si="20"/>
        <v/>
      </c>
      <c r="AZ79" s="50" t="str">
        <f t="shared" si="21"/>
        <v/>
      </c>
      <c r="BA79" s="50">
        <f t="shared" si="22"/>
        <v>0</v>
      </c>
      <c r="BB79" s="14" t="str">
        <f t="shared" si="23"/>
        <v/>
      </c>
      <c r="BC79" s="14" t="str">
        <f>IF(ISBLANK(AH79),"",IFERROR(VLOOKUP(AH79,Transactions!D:F,3,0)))</f>
        <v/>
      </c>
      <c r="BD79" s="50" t="str">
        <f t="shared" si="24"/>
        <v/>
      </c>
      <c r="BE79" s="50" t="str">
        <f t="shared" si="25"/>
        <v/>
      </c>
      <c r="BF79" s="14" t="str">
        <f t="shared" si="26"/>
        <v/>
      </c>
      <c r="BG79" s="180" t="str">
        <f>IF(ISBLANK(AH79),"",IFERROR(VLOOKUP(AH79,Transactions!D:G,4,0)))</f>
        <v/>
      </c>
    </row>
    <row r="80">
      <c r="A80" s="14" t="str">
        <f t="shared" ref="A80:C80" si="103">AG80</f>
        <v/>
      </c>
      <c r="B80" s="14" t="str">
        <f t="shared" si="103"/>
        <v/>
      </c>
      <c r="C80" s="175" t="str">
        <f t="shared" si="103"/>
        <v/>
      </c>
      <c r="D80" s="176" t="str">
        <f>IFERROR(__xludf.DUMMYFUNCTION("IF(ISBLANK(B80),"""",IFERROR(IF(OR(AF80=""GPB"",AF80=""ZAR""),IF(AF80=Dashboard!$L$1,AJ80,(AJ80*GOOGLEFINANCE(""CURRENCY:""&amp;AF80&amp;""""&amp;Dashboard!$L$1&amp;""""))/100),IF(AF80=Dashboard!$L$1,AJ80,AJ80*GOOGLEFINANCE(""CURRENCY:""&amp;AF80&amp;""""&amp;Dashboard!$L$1&amp;""""))),"&amp;"AJ80))"),"")</f>
        <v/>
      </c>
      <c r="E80" s="177" t="str">
        <f>IFERROR(__xludf.DUMMYFUNCTION("IFERROR(IF(OR(AF80=""GBP"",AF80=""ZAR""),IF(B80="""","""",IF(AF80=Dashboard!$L$1,AK80,AK80*GOOGLEFINANCE(""CURRENCY:""&amp;AF80&amp;""""&amp;Dashboard!$L$1&amp;"""")))/100,If(B80="""","""",IF(AF80=Dashboard!$L$1,AK80,AK80*GOOGLEFINANCE(""CURRENCY:""&amp;AF80&amp;""""&amp;Dashboard!$"&amp;"L$1&amp;"""")))),AK80)"),"")</f>
        <v/>
      </c>
      <c r="F80" s="145" t="str">
        <f t="shared" si="65"/>
        <v/>
      </c>
      <c r="G80" s="96" t="str">
        <f>IFERROR(__xludf.DUMMYFUNCTION("IF(ISBLANK(B80),"""",IFERROR(SPARKLINE(INDEX(GOOGLEFINANCE(B80,""price"",TODAY()-$G$2,TODAY()),,2),{""charttype"",""column"";""color"",""17a7e0""}),""""))"),"")</f>
        <v/>
      </c>
      <c r="H80" s="50" t="str">
        <f t="shared" si="3"/>
        <v/>
      </c>
      <c r="I80" s="96" t="str">
        <f>IFERROR(__xludf.DUMMYFUNCTION("IF(ISBLANK(B80),"""",IFERROR(IF(OR(AF80=""GPB"",AF80=""ZAR""),IF(AF80=Dashboard!$L$1,AN80,(AN80*GOOGLEFINANCE(""CURRENCY:""&amp;AF80&amp;""""&amp;Dashboard!$L$1&amp;""""))/100),IF(AF80=Dashboard!$L$1,AN80,AN80*GOOGLEFINANCE(""CURRENCY:""&amp;AF80&amp;""""&amp;Dashboard!$L$1&amp;""""))),"&amp;"AN80))"),"")</f>
        <v/>
      </c>
      <c r="J80" s="178" t="str">
        <f>IF(ISBLANK(B80),"",IFERROR(((C80-SUMIFS(Transactions!I:I,Transactions!H:H,"Crypto Interest",Transactions!D:D,B80))*D80),""))</f>
        <v/>
      </c>
      <c r="K80" s="178" t="str">
        <f t="shared" si="4"/>
        <v/>
      </c>
      <c r="L80" s="145">
        <f>IF(ISBLANK(AF80),"",SUMIFS(Transactions!$M$3:$M149,Transactions!$H$3:$H149,"Buy",Transactions!$D$3:$D149,AF80))</f>
        <v>0</v>
      </c>
      <c r="M80" s="145">
        <f>IF(ISBLANK(AG80),"",SUMIFS(Transactions!$M$3:$M149,Transactions!$H$3:$H149,"Dividend",Transactions!$D$3:$D149,AG80))</f>
        <v>0</v>
      </c>
      <c r="N80" s="145" t="str">
        <f>IF(ISBLANK(AH80),"",SUMIFS(Transactions!$M$3:$M149,Transactions!$H$3:$H149,"Sell",Transactions!$D$3:$D149,AH80))</f>
        <v/>
      </c>
      <c r="O80" s="50" t="str">
        <f t="shared" si="5"/>
        <v/>
      </c>
      <c r="P80" s="178" t="str">
        <f t="shared" si="6"/>
        <v/>
      </c>
      <c r="Q80" s="178" t="str">
        <f>IFERROR(__xludf.DUMMYFUNCTION("IF(ISBLANK(B80),"""",IFERROR(IF(OR(AF80=""GPB"",AF80=""ZAR""),IF(AF80=Dashboard!$L$1,AS80,(AS80*GOOGLEFINANCE(""CURRENCY:""&amp;AF80&amp;""""&amp;Dashboard!$L$1&amp;""""))/100),IF(AF80=Dashboard!$L$1,AS80,AS80*GOOGLEFINANCE(""CURRENCY:""&amp;AF80&amp;""""&amp;Dashboard!$L$1&amp;""""))),"&amp;"AS80))"),"")</f>
        <v/>
      </c>
      <c r="R80" s="178" t="str">
        <f t="shared" si="7"/>
        <v/>
      </c>
      <c r="S80" s="50" t="str">
        <f>IFERROR(__xludf.DUMMYFUNCTION("IF(ISBLANK(B80),"""",IFERROR((GOOGLEFINANCE(B80,""price"")/INDEX(GOOGLEFINANCE(B80,""price"",DATEVALUE(TODAY()-$S$2) ),2,2)-1),""""))"),"")</f>
        <v/>
      </c>
      <c r="U80" s="50" t="str">
        <f>IFERROR(__xludf.DUMMYFUNCTION("IF(ISBLANK(B80),"""",IFERROR((GOOGLEFINANCE($U$2,""price"")/INDEX(GOOGLEFINANCE($U$2,""price"",DATEVALUE(TODAY()-$S$2) ),2,2)-1),""""))"),"")</f>
        <v/>
      </c>
      <c r="W80" s="50" t="str">
        <f t="shared" si="8"/>
        <v/>
      </c>
      <c r="X80" s="50" t="str">
        <f t="shared" si="9"/>
        <v/>
      </c>
      <c r="Y80" s="179">
        <v>0.0</v>
      </c>
      <c r="Z80" s="50" t="str">
        <f t="shared" si="10"/>
        <v/>
      </c>
      <c r="AA80" s="14" t="str">
        <f t="shared" si="11"/>
        <v/>
      </c>
      <c r="AB80" s="50" t="str">
        <f t="shared" si="12"/>
        <v/>
      </c>
      <c r="AC80" s="179" t="str">
        <f t="shared" si="13"/>
        <v/>
      </c>
      <c r="AD80" s="50" t="str">
        <f t="shared" si="14"/>
        <v/>
      </c>
      <c r="AE80" s="180" t="str">
        <f t="shared" si="15"/>
        <v/>
      </c>
      <c r="AF80" s="14" t="str">
        <f t="array" ref="AF80">IFERROR(IF(ISBLANK(AH80),"",IF(VLOOKUP(AH80,Transactions!D:F,3,0)="Stablecoin",AH80,INDEX(Transactions!$B$3:$B149,MATCH(AH80,Transactions!$D$3:$D149,0),0))))</f>
        <v/>
      </c>
      <c r="AG80" s="14" t="str">
        <f>IF(ISBLANK(AH80),"",VLOOKUP(AH80,Transactions!D:E,2,0))</f>
        <v/>
      </c>
      <c r="AH80" s="14"/>
      <c r="AI80" s="146" t="str">
        <f>IF(ISBLANK(AH80),"",IF(
SUMIFS(Transactions!$I$3:$I149,Transactions!$H$3:$H149,"Buy",Transactions!$F$3:$F149,"Stock",Transactions!$D$3:$D149,AH80)
+SUMIFS(Transactions!$I$3:$I149,Transactions!$H$3:$H149,"DRIP",Transactions!$F$3:$F149,"Stock",Transactions!$D$3:$D149,AH80)
+SUMIFS(Transactions!$I$3:$I149,Transactions!$H$3:$H149,"Transfer Deposit",Transactions!$F$3:$F149,"Stock",Transactions!$D$3:$D149,AH80)
+SUMIFS(Transactions!$I$3:$I149,Transactions!$H$3:$H149,"Buy",Transactions!$F$3:$F149,"ETF",Transactions!$D$3:$D149,AH80)
+SUMIFS(Transactions!$I$3:$I149,Transactions!$H$3:$H149,"DRIP",Transactions!$F$3:$F149,"ETF",Transactions!$D$3:$D149,AH80)
+SUMIFS(Transactions!$I$3:$I149,Transactions!$H$3:$H149,"Transfer Deposit",Transactions!$F$3:$F149,"ETF",Transactions!$D$3:$D149,AH80)
+SUMIFS(Transactions!$I$3:$I149,Transactions!$H$3:$H149,"Buy",Transactions!$F$3:$F149,"Commodity",Transactions!$D$3:$D149,AH80)
+SUMIFS(Transactions!$I$3:$I149,Transactions!$H$3:$H149,"DRIP",Transactions!$F$3:$F149,"Commodity",Transactions!$D$3:$D149,AH80)
+SUMIFS(Transactions!$I$3:$I149,Transactions!$H$3:$H149,"Transfer Deposit",Transactions!$F$3:$F149,"Commodity",Transactions!$D$3:$D149,AH80)
+SUMIFS(Transactions!$I$3:$I149,Transactions!$H$3:$H149,"Buy",Transactions!$F$3:$F149,"Managed Fund",Transactions!$D$3:$D149,AH80)
+SUMIFS(Transactions!$I$3:$I149,Transactions!$H$3:$H149,"DRIP",Transactions!$F$3:$F149,"Managed Fund",Transactions!$D$3:$D149,AH80)
+SUMIFS(Transactions!$I$3:$I149,Transactions!$H$3:$H149,"Transfer Deposit",Transactions!$F$3:$F149,"Managed Fund",Transactions!$D$3:$D149,AH80)
+SUMIFS(Transactions!$I$3:$I149,Transactions!$H$3:$H149,"Buy",Transactions!$F$3:$F149,"REIT",Transactions!$D$3:$D149,AH80)
+SUMIFS(Transactions!$I$3:$I149,Transactions!$H$3:$H149,"DRIP",Transactions!$F$3:$F149,"REIT",Transactions!$D$3:$D149,AH80)
+SUMIFS(Transactions!$I$3:$I149,Transactions!$H$3:$H149,"Transfer Deposit",Transactions!$F$3:$F149,"REIT",Transactions!$D$3:$D149,AH80)
-SUMIFS(Transactions!$I$3:$I149,Transactions!$H$3:$H149,"Sell",Transactions!$F$3:$F149,"Stock",Transactions!$D$3:$D149,AH80)
-SUMIFS(Transactions!$I$3:$I149,Transactions!$H$3:$H149,"Transfer Send",Transactions!$F$3:$F149,"Stock",Transactions!$D$3:$D149,AH80)
-SUMIFS(Transactions!$I$3:$I149,Transactions!$H$3:$H149,"Sell",Transactions!$F$3:$F149,"ETF",Transactions!$D$3:$D149,AH80)
-SUMIFS(Transactions!$I$3:$I149,Transactions!$H$3:$H149,"Transfer Send",Transactions!$F$3:$F149,"ETF",Transactions!$D$3:$D149,AH80)
-SUMIFS(Transactions!$I$3:$I149,Transactions!$H$3:$H149,"Sell",Transactions!$F$3:$F149,"Commodity",Transactions!$D$3:$D149,AH80)
-SUMIFS(Transactions!$I$3:$I149,Transactions!$H$3:$H149,"Transfer Send",Transactions!$F$3:$F149,"Commodity",Transactions!$D$3:$D149,AH80)
-SUMIFS(Transactions!$I$3:$I149,Transactions!$H$3:$H149,"Sell",Transactions!$F$3:$F149,"Managed Fund",Transactions!$D$3:$D149,AH80)
-SUMIFS(Transactions!$I$3:$I149,Transactions!$H$3:$H149,"Transfer Send",Transactions!$F$3:$F149,"Managed Fund",Transactions!$D$3:$D149,AH80)
-SUMIFS(Transactions!$I$3:$I149,Transactions!$H$3:$H149,"Sell",Transactions!$F$3:$F149,"REIT",Transactions!$D$3:$D149,AH80)
-SUMIFS(Transactions!$I$3:$I149,Transactions!$H$3:$H149,"Transfer Send",Transactions!$F$3:$F149,"REIT",Transactions!$D$3:$D149,AH80)
+SUMIFS(Transactions!$I$3:$I149,Transactions!$H$3:$H149,"Buy",Transactions!$F$3:$F149,"Crypto",Transactions!$D$3:$D149,AH80)
+SUMIFS(Transactions!$I$3:$I149,Transactions!$H$3:$H149,"Crypto Interest",Transactions!$F$3:$F149,"Crypto",Transactions!$D$3:$D149,AH80)
+SUMIFS(Transactions!$I$3:$I149,Transactions!$H$3:$H149,"Transfer Deposit",Transactions!$F$3:$F149,"Crypto",Transactions!$D$3:$D149,AH80)
-SUMIFS(Transactions!$I$3:$I149,Transactions!$H$3:$H149,"Transfer Send",Transactions!$F$3:$F149,"Crypto",Transactions!$D$3:$D149,AH80)
-SUMIFS(Transactions!$I$3:$I149,Transactions!$H$3:$H149,"Sell",Transactions!$F$3:$F149,"Crypto",Transactions!$D$3:$D149,AH80)
+SUMIFS(Transactions!$I$3:$I149,Transactions!$H$3:$H149,"Buy",Transactions!$F$3:$F149,"Stablecoin",Transactions!$D$3:$D149,AH80)
+SUMIFS(Transactions!$I$3:$I149,Transactions!$H$3:$H149,"Crypto Interest",Transactions!$F$3:$F149,"Stablecoin",Transactions!$D$3:$D149,AH80)
+SUMIFS(Transactions!$I$3:$I149,Transactions!$H$3:$H149,"Transfer Deposit",Transactions!$F$3:$F149,"Stablecoin",Transactions!$D$3:$D149,AH80)
-SUMIFS(Transactions!$I$3:$I149,Transactions!$H$3:$H149,"Transfer Send",Transactions!$F$3:$F149,"Stablecoin",Transactions!$D$3:$D149,AH80)
-SUMIFS(Transactions!$I$3:$I149,Transactions!$H$3:$H149,"Sell",Transactions!$F$3:$F149,"Stablecoin",Transactions!$D$3:$D149,AH80)
-SUMIFS(Transactions!$M$3:$M149,Transactions!$H$3:$H149,"Buy",Transactions!$B$3:$B149,AH80)=0,"Sold All",
SUMIFS(Transactions!$I$3:$I149,Transactions!$H$3:$H149,"Buy",Transactions!$F$3:$F149,"Stock",Transactions!$D$3:$D149,AH80)
+SUMIFS(Transactions!$I$3:$I149,Transactions!$H$3:$H149,"DRIP",Transactions!$F$3:$F149,"Stock",Transactions!$D$3:$D149,AH80)
+SUMIFS(Transactions!$I$3:$I149,Transactions!$H$3:$H149,"Transfer Deposit",Transactions!$F$3:$F149,"Stock",Transactions!$D$3:$D149,AH80)
+SUMIFS(Transactions!$I$3:$I149,Transactions!$H$3:$H149,"Buy",Transactions!$F$3:$F149,"ETF",Transactions!$D$3:$D149,AH80)
+SUMIFS(Transactions!$I$3:$I149,Transactions!$H$3:$H149,"DRIP",Transactions!$F$3:$F149,"ETF",Transactions!$D$3:$D149,AH80)
+SUMIFS(Transactions!$I$3:$I149,Transactions!$H$3:$H149,"Transfer Deposit",Transactions!$F$3:$F149,"ETF",Transactions!$D$3:$D149,AH80)
+SUMIFS(Transactions!$I$3:$I149,Transactions!$H$3:$H149,"Buy",Transactions!$F$3:$F149,"Commodity",Transactions!$D$3:$D149,AH80)
+SUMIFS(Transactions!$I$3:$I149,Transactions!$H$3:$H149,"DRIP",Transactions!$F$3:$F149,"Commodity",Transactions!$D$3:$D149,AH80)
+SUMIFS(Transactions!$I$3:$I149,Transactions!$H$3:$H149,"Transfer Deposit",Transactions!$F$3:$F149,"Commodity",Transactions!$D$3:$D149,AH80)
+SUMIFS(Transactions!$I$3:$I149,Transactions!$H$3:$H149,"Buy",Transactions!$F$3:$F149,"Managed Fund",Transactions!$D$3:$D149,AH80)
+SUMIFS(Transactions!$I$3:$I149,Transactions!$H$3:$H149,"DRIP",Transactions!$F$3:$F149,"Managed Fund",Transactions!$D$3:$D149,AH80)
+SUMIFS(Transactions!$I$3:$I149,Transactions!$H$3:$H149,"Transfer Deposit",Transactions!$F$3:$F149,"Managed Fund",Transactions!$D$3:$D149,AH80)
+SUMIFS(Transactions!$I$3:$I149,Transactions!$H$3:$H149,"Buy",Transactions!$F$3:$F149,"REIT",Transactions!$D$3:$D149,AH80)
+SUMIFS(Transactions!$I$3:$I149,Transactions!$H$3:$H149,"DRIP",Transactions!$F$3:$F149,"REIT",Transactions!$D$3:$D149,AH80)
+SUMIFS(Transactions!$I$3:$I149,Transactions!$H$3:$H149,"Transfer Deposit",Transactions!$F$3:$F149,"REIT",Transactions!$D$3:$D149,AH80)
-SUMIFS(Transactions!$I$3:$I149,Transactions!$H$3:$H149,"Sell",Transactions!$F$3:$F149,"Stock",Transactions!$D$3:$D149,AH80)
-SUMIFS(Transactions!$I$3:$I149,Transactions!$H$3:$H149,"Transfer Send",Transactions!$F$3:$F149,"Stock",Transactions!$D$3:$D149,AH80)
-SUMIFS(Transactions!$I$3:$I149,Transactions!$H$3:$H149,"Sell",Transactions!$F$3:$F149,"ETF",Transactions!$D$3:$D149,AH80)
-SUMIFS(Transactions!$I$3:$I149,Transactions!$H$3:$H149,"Transfer Send",Transactions!$F$3:$F149,"ETF",Transactions!$D$3:$D149,AH80)
-SUMIFS(Transactions!$I$3:$I149,Transactions!$H$3:$H149,"Sell",Transactions!$F$3:$F149,"Commodity",Transactions!$D$3:$D149,AH80)
-SUMIFS(Transactions!$I$3:$I149,Transactions!$H$3:$H149,"Transfer Send",Transactions!$F$3:$F149,"Commodity",Transactions!$D$3:$D149,AH80)
-SUMIFS(Transactions!$I$3:$I149,Transactions!$H$3:$H149,"Sell",Transactions!$F$3:$F149,"Managed Fund",Transactions!$D$3:$D149,AH80)
-SUMIFS(Transactions!$I$3:$I149,Transactions!$H$3:$H149,"Transfer Send",Transactions!$F$3:$F149,"Managed Fund",Transactions!$D$3:$D149,AH80)
-SUMIFS(Transactions!$I$3:$I149,Transactions!$H$3:$H149,"Sell",Transactions!$F$3:$F149,"REIT",Transactions!$D$3:$D149,AH80)
-SUMIFS(Transactions!$I$3:$I149,Transactions!$H$3:$H149,"Transfer Send",Transactions!$F$3:$F149,"REIT",Transactions!$D$3:$D149,AH80)
+SUMIFS(Transactions!$I$3:$I149,Transactions!$H$3:$H149,"Buy",Transactions!$F$3:$F149,"Crypto",Transactions!$D$3:$D149,AH80)
+SUMIFS(Transactions!$I$3:$I149,Transactions!$H$3:$H149,"Crypto Interest",Transactions!$F$3:$F149,"Crypto",Transactions!$D$3:$D149,AH80)
+SUMIFS(Transactions!$I$3:$I149,Transactions!$H$3:$H149,"Transfer Deposit",Transactions!$F$3:$F149,"Crypto",Transactions!$D$3:$D149,AH80)
-SUMIFS(Transactions!$I$3:$I149,Transactions!$H$3:$H149,"Transfer Send",Transactions!$F$3:$F149,"Crypto",Transactions!$D$3:$D149,AH80)
-SUMIFS(Transactions!$I$3:$I149,Transactions!$H$3:$H149,"Sell",Transactions!$F$3:$F149,"Crypto",Transactions!$D$3:$D149,AH80)
+SUMIFS(Transactions!$I$3:$I149,Transactions!$H$3:$H149,"Buy",Transactions!$F$3:$F149,"Stablecoin",Transactions!$D$3:$D149,AH80)
+SUMIFS(Transactions!$I$3:$I149,Transactions!$H$3:$H149,"Crypto Interest",Transactions!$F$3:$F149,"Stablecoin",Transactions!$D$3:$D149,AH80)
+SUMIFS(Transactions!$I$3:$I149,Transactions!$H$3:$H149,"Transfer Deposit",Transactions!$F$3:$F149,"Stablecoin",Transactions!$D$3:$D149,AH80)
-SUMIFS(Transactions!$I$3:$I149,Transactions!$H$3:$H149,"Transfer Send",Transactions!$F$3:$F149,"Stablecoin",Transactions!$D$3:$D149,AH80)
-SUMIFS(Transactions!$I$3:$I149,Transactions!$H$3:$H149,"Sell",Transactions!$F$3:$F149,"Stablecoin",Transactions!$D$3:$D149,AH80)
-SUMIFS(Transactions!$M$3:$M149,Transactions!$H$3:$H149,"Buy",Transactions!$B$3:$B149,AH80)))</f>
        <v/>
      </c>
      <c r="AJ80" s="181" t="str">
        <f>IFERROR(__xludf.DUMMYFUNCTION("IF(ISBLANK(AH80),"""",VLOOKUP(9^99,FILTER({ROW(Transactions!P:P),Transactions!P:P},Transactions!D:D=AH80),2))"),"")</f>
        <v/>
      </c>
      <c r="AK80" s="181" t="str">
        <f>IFERROR(__xludf.DUMMYFUNCTION("IF(ISBLANK(AH80),"""",IFERROR(GOOGLEFINANCE(AH80,""price""),IFERROR(GOOGLEFINANCE(""CURRENCY:""&amp;AH80&amp;""""),IFERROR(INDEX(YAHOO_STOCK(TRIM(AH80), $G$2),0,1),INDEX(IMPORTHTML(CONCAT(""https://coinmarketcap.com/currencies/"",AG80),""table"",1),1,2)))))"),"")</f>
        <v/>
      </c>
      <c r="AL80" s="14" t="str">
        <f>IFERROR(__xludf.DUMMYFUNCTION("IF(ISBLANK(AH80),"""",IFERROR(SPARKLINE(INDEX(GOOGLEFINANCE(AH80,""price"",TODAY()-$AL$2,TODAY()),,2),{""charttype"",""column"";""color"",""17a7e0""}),""""))"),"")</f>
        <v/>
      </c>
      <c r="AM80" s="50" t="str">
        <f>IFERROR(__xludf.DUMMYFUNCTION("IFNA(IFERROR(IF(AH80="""","""",GOOGLEFINANCE(AH80,""changepct"")/100),(GOOGLEFINANCE(AH80)-(INDEX(GOOGLEFINANCE(""CURRENCY:""&amp;AH80&amp;"""",""price"",TODAY()-1),2,2)))/(INDEX(GOOGLEFINANCE(""CURRENCY:""&amp;AH80&amp;"""",""price"",TODAY()-1),2,2))),)"),"")</f>
        <v/>
      </c>
      <c r="AN80" s="96" t="str">
        <f>IFERROR(__xludf.DUMMYFUNCTION("IFNA(IFERROR(IF(AH80="""","""",GOOGLEFINANCE(AH80,""change"")*AI80),(GOOGLEFINANCE(AH80)-(INDEX(GOOGLEFINANCE(""CURRENCY:""&amp;AH80&amp;"""",""price"",TODAY()-1),2,2)))*AI80),"""")"),"")</f>
        <v/>
      </c>
      <c r="AO80" s="96" t="str">
        <f>IF(ISBLANK(AH80),"",IFERROR(((AI80-SUMIFS(Transactions!I:I,Transactions!H:H,"Crypto Interest",Transactions!D:D,AH80))*AJ80),""))</f>
        <v/>
      </c>
      <c r="AP80" s="96" t="str">
        <f t="shared" si="16"/>
        <v/>
      </c>
      <c r="AQ80" s="50" t="str">
        <f t="shared" si="17"/>
        <v/>
      </c>
      <c r="AR80" s="96" t="str">
        <f t="shared" si="18"/>
        <v/>
      </c>
      <c r="AS80" s="96" t="str">
        <f>IF(ISBLANK(AH80),"",SUMIFS(Transactions!$X$3:$X149,Transactions!$H$3:$H149,"Sell",Transactions!$D$3:$D149,AH80))</f>
        <v/>
      </c>
      <c r="AT80" s="96" t="str">
        <f t="shared" si="19"/>
        <v/>
      </c>
      <c r="AU80" s="50" t="str">
        <f>IFERROR(__xludf.DUMMYFUNCTION("IF(ISBLANK(AH80),"""",IFERROR((GOOGLEFINANCE(AH80,""price"")/INDEX(GOOGLEFINANCE(AH80,""price"",DATEVALUE(TODAY()-$AU$2) ),2,2)-1),""""))"),"")</f>
        <v/>
      </c>
      <c r="AW80" s="50" t="str">
        <f>IFERROR(__xludf.DUMMYFUNCTION("IF(ISBLANK(AH80),"""",IFERROR((GOOGLEFINANCE($AW$2,""price"")/INDEX(GOOGLEFINANCE($AW$2,""price"",DATEVALUE(TODAY()-$AU$2) ),2,2)-1),""""))"),"")</f>
        <v/>
      </c>
      <c r="AY80" s="50" t="str">
        <f t="shared" si="20"/>
        <v/>
      </c>
      <c r="AZ80" s="50" t="str">
        <f t="shared" si="21"/>
        <v/>
      </c>
      <c r="BA80" s="50">
        <f t="shared" si="22"/>
        <v>0</v>
      </c>
      <c r="BB80" s="14" t="str">
        <f t="shared" si="23"/>
        <v/>
      </c>
      <c r="BC80" s="14" t="str">
        <f>IF(ISBLANK(AH80),"",IFERROR(VLOOKUP(AH80,Transactions!D:F,3,0)))</f>
        <v/>
      </c>
      <c r="BD80" s="50" t="str">
        <f t="shared" si="24"/>
        <v/>
      </c>
      <c r="BE80" s="50" t="str">
        <f t="shared" si="25"/>
        <v/>
      </c>
      <c r="BF80" s="14" t="str">
        <f t="shared" si="26"/>
        <v/>
      </c>
      <c r="BG80" s="180" t="str">
        <f>IF(ISBLANK(AH80),"",IFERROR(VLOOKUP(AH80,Transactions!D:G,4,0)))</f>
        <v/>
      </c>
    </row>
    <row r="81">
      <c r="A81" s="14" t="str">
        <f t="shared" ref="A81:C81" si="104">AG81</f>
        <v/>
      </c>
      <c r="B81" s="14" t="str">
        <f t="shared" si="104"/>
        <v/>
      </c>
      <c r="C81" s="175" t="str">
        <f t="shared" si="104"/>
        <v/>
      </c>
      <c r="D81" s="176" t="str">
        <f>IFERROR(__xludf.DUMMYFUNCTION("IF(ISBLANK(B81),"""",IFERROR(IF(OR(AF81=""GPB"",AF81=""ZAR""),IF(AF81=Dashboard!$L$1,AJ81,(AJ81*GOOGLEFINANCE(""CURRENCY:""&amp;AF81&amp;""""&amp;Dashboard!$L$1&amp;""""))/100),IF(AF81=Dashboard!$L$1,AJ81,AJ81*GOOGLEFINANCE(""CURRENCY:""&amp;AF81&amp;""""&amp;Dashboard!$L$1&amp;""""))),"&amp;"AJ81))"),"")</f>
        <v/>
      </c>
      <c r="E81" s="177" t="str">
        <f>IFERROR(__xludf.DUMMYFUNCTION("IFERROR(IF(OR(AF81=""GBP"",AF81=""ZAR""),IF(B81="""","""",IF(AF81=Dashboard!$L$1,AK81,AK81*GOOGLEFINANCE(""CURRENCY:""&amp;AF81&amp;""""&amp;Dashboard!$L$1&amp;"""")))/100,If(B81="""","""",IF(AF81=Dashboard!$L$1,AK81,AK81*GOOGLEFINANCE(""CURRENCY:""&amp;AF81&amp;""""&amp;Dashboard!$"&amp;"L$1&amp;"""")))),AK81)"),"")</f>
        <v/>
      </c>
      <c r="F81" s="145" t="str">
        <f t="shared" si="65"/>
        <v/>
      </c>
      <c r="G81" s="96" t="str">
        <f>IFERROR(__xludf.DUMMYFUNCTION("IF(ISBLANK(B81),"""",IFERROR(SPARKLINE(INDEX(GOOGLEFINANCE(B81,""price"",TODAY()-$G$2,TODAY()),,2),{""charttype"",""column"";""color"",""17a7e0""}),""""))"),"")</f>
        <v/>
      </c>
      <c r="H81" s="50" t="str">
        <f t="shared" si="3"/>
        <v/>
      </c>
      <c r="I81" s="96" t="str">
        <f>IFERROR(__xludf.DUMMYFUNCTION("IF(ISBLANK(B81),"""",IFERROR(IF(OR(AF81=""GPB"",AF81=""ZAR""),IF(AF81=Dashboard!$L$1,AN81,(AN81*GOOGLEFINANCE(""CURRENCY:""&amp;AF81&amp;""""&amp;Dashboard!$L$1&amp;""""))/100),IF(AF81=Dashboard!$L$1,AN81,AN81*GOOGLEFINANCE(""CURRENCY:""&amp;AF81&amp;""""&amp;Dashboard!$L$1&amp;""""))),"&amp;"AN81))"),"")</f>
        <v/>
      </c>
      <c r="J81" s="178" t="str">
        <f>IF(ISBLANK(B81),"",IFERROR(((C81-SUMIFS(Transactions!I:I,Transactions!H:H,"Crypto Interest",Transactions!D:D,B81))*D81),""))</f>
        <v/>
      </c>
      <c r="K81" s="178" t="str">
        <f t="shared" si="4"/>
        <v/>
      </c>
      <c r="L81" s="145">
        <f>IF(ISBLANK(AF81),"",SUMIFS(Transactions!$M$3:$M149,Transactions!$H$3:$H149,"Buy",Transactions!$D$3:$D149,AF81))</f>
        <v>0</v>
      </c>
      <c r="M81" s="145">
        <f>IF(ISBLANK(AG81),"",SUMIFS(Transactions!$M$3:$M149,Transactions!$H$3:$H149,"Dividend",Transactions!$D$3:$D149,AG81))</f>
        <v>0</v>
      </c>
      <c r="N81" s="145" t="str">
        <f>IF(ISBLANK(AH81),"",SUMIFS(Transactions!$M$3:$M149,Transactions!$H$3:$H149,"Sell",Transactions!$D$3:$D149,AH81))</f>
        <v/>
      </c>
      <c r="O81" s="50" t="str">
        <f t="shared" si="5"/>
        <v/>
      </c>
      <c r="P81" s="178" t="str">
        <f t="shared" si="6"/>
        <v/>
      </c>
      <c r="Q81" s="178" t="str">
        <f>IFERROR(__xludf.DUMMYFUNCTION("IF(ISBLANK(B81),"""",IFERROR(IF(OR(AF81=""GPB"",AF81=""ZAR""),IF(AF81=Dashboard!$L$1,AS81,(AS81*GOOGLEFINANCE(""CURRENCY:""&amp;AF81&amp;""""&amp;Dashboard!$L$1&amp;""""))/100),IF(AF81=Dashboard!$L$1,AS81,AS81*GOOGLEFINANCE(""CURRENCY:""&amp;AF81&amp;""""&amp;Dashboard!$L$1&amp;""""))),"&amp;"AS81))"),"")</f>
        <v/>
      </c>
      <c r="R81" s="178" t="str">
        <f t="shared" si="7"/>
        <v/>
      </c>
      <c r="S81" s="50" t="str">
        <f>IFERROR(__xludf.DUMMYFUNCTION("IF(ISBLANK(B81),"""",IFERROR((GOOGLEFINANCE(B81,""price"")/INDEX(GOOGLEFINANCE(B81,""price"",DATEVALUE(TODAY()-$S$2) ),2,2)-1),""""))"),"")</f>
        <v/>
      </c>
      <c r="U81" s="50" t="str">
        <f>IFERROR(__xludf.DUMMYFUNCTION("IF(ISBLANK(B81),"""",IFERROR((GOOGLEFINANCE($U$2,""price"")/INDEX(GOOGLEFINANCE($U$2,""price"",DATEVALUE(TODAY()-$S$2) ),2,2)-1),""""))"),"")</f>
        <v/>
      </c>
      <c r="W81" s="50" t="str">
        <f t="shared" si="8"/>
        <v/>
      </c>
      <c r="X81" s="50" t="str">
        <f t="shared" si="9"/>
        <v/>
      </c>
      <c r="Y81" s="179">
        <v>0.0</v>
      </c>
      <c r="Z81" s="50" t="str">
        <f t="shared" si="10"/>
        <v/>
      </c>
      <c r="AA81" s="14" t="str">
        <f t="shared" si="11"/>
        <v/>
      </c>
      <c r="AB81" s="50" t="str">
        <f t="shared" si="12"/>
        <v/>
      </c>
      <c r="AC81" s="179" t="str">
        <f t="shared" si="13"/>
        <v/>
      </c>
      <c r="AD81" s="50" t="str">
        <f t="shared" si="14"/>
        <v/>
      </c>
      <c r="AE81" s="180" t="str">
        <f t="shared" si="15"/>
        <v/>
      </c>
      <c r="AF81" s="14" t="str">
        <f t="array" ref="AF81">IFERROR(IF(ISBLANK(AH81),"",IF(VLOOKUP(AH81,Transactions!D:F,3,0)="Stablecoin",AH81,INDEX(Transactions!$B$3:$B149,MATCH(AH81,Transactions!$D$3:$D149,0),0))))</f>
        <v/>
      </c>
      <c r="AG81" s="14" t="str">
        <f>IF(ISBLANK(AH81),"",VLOOKUP(AH81,Transactions!D:E,2,0))</f>
        <v/>
      </c>
      <c r="AH81" s="14"/>
      <c r="AI81" s="146" t="str">
        <f>IF(ISBLANK(AH81),"",IF(
SUMIFS(Transactions!$I$3:$I149,Transactions!$H$3:$H149,"Buy",Transactions!$F$3:$F149,"Stock",Transactions!$D$3:$D149,AH81)
+SUMIFS(Transactions!$I$3:$I149,Transactions!$H$3:$H149,"DRIP",Transactions!$F$3:$F149,"Stock",Transactions!$D$3:$D149,AH81)
+SUMIFS(Transactions!$I$3:$I149,Transactions!$H$3:$H149,"Transfer Deposit",Transactions!$F$3:$F149,"Stock",Transactions!$D$3:$D149,AH81)
+SUMIFS(Transactions!$I$3:$I149,Transactions!$H$3:$H149,"Buy",Transactions!$F$3:$F149,"ETF",Transactions!$D$3:$D149,AH81)
+SUMIFS(Transactions!$I$3:$I149,Transactions!$H$3:$H149,"DRIP",Transactions!$F$3:$F149,"ETF",Transactions!$D$3:$D149,AH81)
+SUMIFS(Transactions!$I$3:$I149,Transactions!$H$3:$H149,"Transfer Deposit",Transactions!$F$3:$F149,"ETF",Transactions!$D$3:$D149,AH81)
+SUMIFS(Transactions!$I$3:$I149,Transactions!$H$3:$H149,"Buy",Transactions!$F$3:$F149,"Commodity",Transactions!$D$3:$D149,AH81)
+SUMIFS(Transactions!$I$3:$I149,Transactions!$H$3:$H149,"DRIP",Transactions!$F$3:$F149,"Commodity",Transactions!$D$3:$D149,AH81)
+SUMIFS(Transactions!$I$3:$I149,Transactions!$H$3:$H149,"Transfer Deposit",Transactions!$F$3:$F149,"Commodity",Transactions!$D$3:$D149,AH81)
+SUMIFS(Transactions!$I$3:$I149,Transactions!$H$3:$H149,"Buy",Transactions!$F$3:$F149,"Managed Fund",Transactions!$D$3:$D149,AH81)
+SUMIFS(Transactions!$I$3:$I149,Transactions!$H$3:$H149,"DRIP",Transactions!$F$3:$F149,"Managed Fund",Transactions!$D$3:$D149,AH81)
+SUMIFS(Transactions!$I$3:$I149,Transactions!$H$3:$H149,"Transfer Deposit",Transactions!$F$3:$F149,"Managed Fund",Transactions!$D$3:$D149,AH81)
+SUMIFS(Transactions!$I$3:$I149,Transactions!$H$3:$H149,"Buy",Transactions!$F$3:$F149,"REIT",Transactions!$D$3:$D149,AH81)
+SUMIFS(Transactions!$I$3:$I149,Transactions!$H$3:$H149,"DRIP",Transactions!$F$3:$F149,"REIT",Transactions!$D$3:$D149,AH81)
+SUMIFS(Transactions!$I$3:$I149,Transactions!$H$3:$H149,"Transfer Deposit",Transactions!$F$3:$F149,"REIT",Transactions!$D$3:$D149,AH81)
-SUMIFS(Transactions!$I$3:$I149,Transactions!$H$3:$H149,"Sell",Transactions!$F$3:$F149,"Stock",Transactions!$D$3:$D149,AH81)
-SUMIFS(Transactions!$I$3:$I149,Transactions!$H$3:$H149,"Transfer Send",Transactions!$F$3:$F149,"Stock",Transactions!$D$3:$D149,AH81)
-SUMIFS(Transactions!$I$3:$I149,Transactions!$H$3:$H149,"Sell",Transactions!$F$3:$F149,"ETF",Transactions!$D$3:$D149,AH81)
-SUMIFS(Transactions!$I$3:$I149,Transactions!$H$3:$H149,"Transfer Send",Transactions!$F$3:$F149,"ETF",Transactions!$D$3:$D149,AH81)
-SUMIFS(Transactions!$I$3:$I149,Transactions!$H$3:$H149,"Sell",Transactions!$F$3:$F149,"Commodity",Transactions!$D$3:$D149,AH81)
-SUMIFS(Transactions!$I$3:$I149,Transactions!$H$3:$H149,"Transfer Send",Transactions!$F$3:$F149,"Commodity",Transactions!$D$3:$D149,AH81)
-SUMIFS(Transactions!$I$3:$I149,Transactions!$H$3:$H149,"Sell",Transactions!$F$3:$F149,"Managed Fund",Transactions!$D$3:$D149,AH81)
-SUMIFS(Transactions!$I$3:$I149,Transactions!$H$3:$H149,"Transfer Send",Transactions!$F$3:$F149,"Managed Fund",Transactions!$D$3:$D149,AH81)
-SUMIFS(Transactions!$I$3:$I149,Transactions!$H$3:$H149,"Sell",Transactions!$F$3:$F149,"REIT",Transactions!$D$3:$D149,AH81)
-SUMIFS(Transactions!$I$3:$I149,Transactions!$H$3:$H149,"Transfer Send",Transactions!$F$3:$F149,"REIT",Transactions!$D$3:$D149,AH81)
+SUMIFS(Transactions!$I$3:$I149,Transactions!$H$3:$H149,"Buy",Transactions!$F$3:$F149,"Crypto",Transactions!$D$3:$D149,AH81)
+SUMIFS(Transactions!$I$3:$I149,Transactions!$H$3:$H149,"Crypto Interest",Transactions!$F$3:$F149,"Crypto",Transactions!$D$3:$D149,AH81)
+SUMIFS(Transactions!$I$3:$I149,Transactions!$H$3:$H149,"Transfer Deposit",Transactions!$F$3:$F149,"Crypto",Transactions!$D$3:$D149,AH81)
-SUMIFS(Transactions!$I$3:$I149,Transactions!$H$3:$H149,"Transfer Send",Transactions!$F$3:$F149,"Crypto",Transactions!$D$3:$D149,AH81)
-SUMIFS(Transactions!$I$3:$I149,Transactions!$H$3:$H149,"Sell",Transactions!$F$3:$F149,"Crypto",Transactions!$D$3:$D149,AH81)
+SUMIFS(Transactions!$I$3:$I149,Transactions!$H$3:$H149,"Buy",Transactions!$F$3:$F149,"Stablecoin",Transactions!$D$3:$D149,AH81)
+SUMIFS(Transactions!$I$3:$I149,Transactions!$H$3:$H149,"Crypto Interest",Transactions!$F$3:$F149,"Stablecoin",Transactions!$D$3:$D149,AH81)
+SUMIFS(Transactions!$I$3:$I149,Transactions!$H$3:$H149,"Transfer Deposit",Transactions!$F$3:$F149,"Stablecoin",Transactions!$D$3:$D149,AH81)
-SUMIFS(Transactions!$I$3:$I149,Transactions!$H$3:$H149,"Transfer Send",Transactions!$F$3:$F149,"Stablecoin",Transactions!$D$3:$D149,AH81)
-SUMIFS(Transactions!$I$3:$I149,Transactions!$H$3:$H149,"Sell",Transactions!$F$3:$F149,"Stablecoin",Transactions!$D$3:$D149,AH81)
-SUMIFS(Transactions!$M$3:$M149,Transactions!$H$3:$H149,"Buy",Transactions!$B$3:$B149,AH81)=0,"Sold All",
SUMIFS(Transactions!$I$3:$I149,Transactions!$H$3:$H149,"Buy",Transactions!$F$3:$F149,"Stock",Transactions!$D$3:$D149,AH81)
+SUMIFS(Transactions!$I$3:$I149,Transactions!$H$3:$H149,"DRIP",Transactions!$F$3:$F149,"Stock",Transactions!$D$3:$D149,AH81)
+SUMIFS(Transactions!$I$3:$I149,Transactions!$H$3:$H149,"Transfer Deposit",Transactions!$F$3:$F149,"Stock",Transactions!$D$3:$D149,AH81)
+SUMIFS(Transactions!$I$3:$I149,Transactions!$H$3:$H149,"Buy",Transactions!$F$3:$F149,"ETF",Transactions!$D$3:$D149,AH81)
+SUMIFS(Transactions!$I$3:$I149,Transactions!$H$3:$H149,"DRIP",Transactions!$F$3:$F149,"ETF",Transactions!$D$3:$D149,AH81)
+SUMIFS(Transactions!$I$3:$I149,Transactions!$H$3:$H149,"Transfer Deposit",Transactions!$F$3:$F149,"ETF",Transactions!$D$3:$D149,AH81)
+SUMIFS(Transactions!$I$3:$I149,Transactions!$H$3:$H149,"Buy",Transactions!$F$3:$F149,"Commodity",Transactions!$D$3:$D149,AH81)
+SUMIFS(Transactions!$I$3:$I149,Transactions!$H$3:$H149,"DRIP",Transactions!$F$3:$F149,"Commodity",Transactions!$D$3:$D149,AH81)
+SUMIFS(Transactions!$I$3:$I149,Transactions!$H$3:$H149,"Transfer Deposit",Transactions!$F$3:$F149,"Commodity",Transactions!$D$3:$D149,AH81)
+SUMIFS(Transactions!$I$3:$I149,Transactions!$H$3:$H149,"Buy",Transactions!$F$3:$F149,"Managed Fund",Transactions!$D$3:$D149,AH81)
+SUMIFS(Transactions!$I$3:$I149,Transactions!$H$3:$H149,"DRIP",Transactions!$F$3:$F149,"Managed Fund",Transactions!$D$3:$D149,AH81)
+SUMIFS(Transactions!$I$3:$I149,Transactions!$H$3:$H149,"Transfer Deposit",Transactions!$F$3:$F149,"Managed Fund",Transactions!$D$3:$D149,AH81)
+SUMIFS(Transactions!$I$3:$I149,Transactions!$H$3:$H149,"Buy",Transactions!$F$3:$F149,"REIT",Transactions!$D$3:$D149,AH81)
+SUMIFS(Transactions!$I$3:$I149,Transactions!$H$3:$H149,"DRIP",Transactions!$F$3:$F149,"REIT",Transactions!$D$3:$D149,AH81)
+SUMIFS(Transactions!$I$3:$I149,Transactions!$H$3:$H149,"Transfer Deposit",Transactions!$F$3:$F149,"REIT",Transactions!$D$3:$D149,AH81)
-SUMIFS(Transactions!$I$3:$I149,Transactions!$H$3:$H149,"Sell",Transactions!$F$3:$F149,"Stock",Transactions!$D$3:$D149,AH81)
-SUMIFS(Transactions!$I$3:$I149,Transactions!$H$3:$H149,"Transfer Send",Transactions!$F$3:$F149,"Stock",Transactions!$D$3:$D149,AH81)
-SUMIFS(Transactions!$I$3:$I149,Transactions!$H$3:$H149,"Sell",Transactions!$F$3:$F149,"ETF",Transactions!$D$3:$D149,AH81)
-SUMIFS(Transactions!$I$3:$I149,Transactions!$H$3:$H149,"Transfer Send",Transactions!$F$3:$F149,"ETF",Transactions!$D$3:$D149,AH81)
-SUMIFS(Transactions!$I$3:$I149,Transactions!$H$3:$H149,"Sell",Transactions!$F$3:$F149,"Commodity",Transactions!$D$3:$D149,AH81)
-SUMIFS(Transactions!$I$3:$I149,Transactions!$H$3:$H149,"Transfer Send",Transactions!$F$3:$F149,"Commodity",Transactions!$D$3:$D149,AH81)
-SUMIFS(Transactions!$I$3:$I149,Transactions!$H$3:$H149,"Sell",Transactions!$F$3:$F149,"Managed Fund",Transactions!$D$3:$D149,AH81)
-SUMIFS(Transactions!$I$3:$I149,Transactions!$H$3:$H149,"Transfer Send",Transactions!$F$3:$F149,"Managed Fund",Transactions!$D$3:$D149,AH81)
-SUMIFS(Transactions!$I$3:$I149,Transactions!$H$3:$H149,"Sell",Transactions!$F$3:$F149,"REIT",Transactions!$D$3:$D149,AH81)
-SUMIFS(Transactions!$I$3:$I149,Transactions!$H$3:$H149,"Transfer Send",Transactions!$F$3:$F149,"REIT",Transactions!$D$3:$D149,AH81)
+SUMIFS(Transactions!$I$3:$I149,Transactions!$H$3:$H149,"Buy",Transactions!$F$3:$F149,"Crypto",Transactions!$D$3:$D149,AH81)
+SUMIFS(Transactions!$I$3:$I149,Transactions!$H$3:$H149,"Crypto Interest",Transactions!$F$3:$F149,"Crypto",Transactions!$D$3:$D149,AH81)
+SUMIFS(Transactions!$I$3:$I149,Transactions!$H$3:$H149,"Transfer Deposit",Transactions!$F$3:$F149,"Crypto",Transactions!$D$3:$D149,AH81)
-SUMIFS(Transactions!$I$3:$I149,Transactions!$H$3:$H149,"Transfer Send",Transactions!$F$3:$F149,"Crypto",Transactions!$D$3:$D149,AH81)
-SUMIFS(Transactions!$I$3:$I149,Transactions!$H$3:$H149,"Sell",Transactions!$F$3:$F149,"Crypto",Transactions!$D$3:$D149,AH81)
+SUMIFS(Transactions!$I$3:$I149,Transactions!$H$3:$H149,"Buy",Transactions!$F$3:$F149,"Stablecoin",Transactions!$D$3:$D149,AH81)
+SUMIFS(Transactions!$I$3:$I149,Transactions!$H$3:$H149,"Crypto Interest",Transactions!$F$3:$F149,"Stablecoin",Transactions!$D$3:$D149,AH81)
+SUMIFS(Transactions!$I$3:$I149,Transactions!$H$3:$H149,"Transfer Deposit",Transactions!$F$3:$F149,"Stablecoin",Transactions!$D$3:$D149,AH81)
-SUMIFS(Transactions!$I$3:$I149,Transactions!$H$3:$H149,"Transfer Send",Transactions!$F$3:$F149,"Stablecoin",Transactions!$D$3:$D149,AH81)
-SUMIFS(Transactions!$I$3:$I149,Transactions!$H$3:$H149,"Sell",Transactions!$F$3:$F149,"Stablecoin",Transactions!$D$3:$D149,AH81)
-SUMIFS(Transactions!$M$3:$M149,Transactions!$H$3:$H149,"Buy",Transactions!$B$3:$B149,AH81)))</f>
        <v/>
      </c>
      <c r="AJ81" s="181" t="str">
        <f>IFERROR(__xludf.DUMMYFUNCTION("IF(ISBLANK(AH81),"""",VLOOKUP(9^99,FILTER({ROW(Transactions!P:P),Transactions!P:P},Transactions!D:D=AH81),2))"),"")</f>
        <v/>
      </c>
      <c r="AK81" s="181" t="str">
        <f>IFERROR(__xludf.DUMMYFUNCTION("IF(ISBLANK(AH81),"""",IFERROR(GOOGLEFINANCE(AH81,""price""),IFERROR(GOOGLEFINANCE(""CURRENCY:""&amp;AH81&amp;""""),IFERROR(INDEX(YAHOO_STOCK(TRIM(AH81), $G$2),0,1),INDEX(IMPORTHTML(CONCAT(""https://coinmarketcap.com/currencies/"",AG81),""table"",1),1,2)))))"),"")</f>
        <v/>
      </c>
      <c r="AL81" s="14" t="str">
        <f>IFERROR(__xludf.DUMMYFUNCTION("IF(ISBLANK(AH81),"""",IFERROR(SPARKLINE(INDEX(GOOGLEFINANCE(AH81,""price"",TODAY()-$AL$2,TODAY()),,2),{""charttype"",""column"";""color"",""17a7e0""}),""""))"),"")</f>
        <v/>
      </c>
      <c r="AM81" s="50" t="str">
        <f>IFERROR(__xludf.DUMMYFUNCTION("IFNA(IFERROR(IF(AH81="""","""",GOOGLEFINANCE(AH81,""changepct"")/100),(GOOGLEFINANCE(AH81)-(INDEX(GOOGLEFINANCE(""CURRENCY:""&amp;AH81&amp;"""",""price"",TODAY()-1),2,2)))/(INDEX(GOOGLEFINANCE(""CURRENCY:""&amp;AH81&amp;"""",""price"",TODAY()-1),2,2))),)"),"")</f>
        <v/>
      </c>
      <c r="AN81" s="96" t="str">
        <f>IFERROR(__xludf.DUMMYFUNCTION("IFNA(IFERROR(IF(AH81="""","""",GOOGLEFINANCE(AH81,""change"")*AI81),(GOOGLEFINANCE(AH81)-(INDEX(GOOGLEFINANCE(""CURRENCY:""&amp;AH81&amp;"""",""price"",TODAY()-1),2,2)))*AI81),"""")"),"")</f>
        <v/>
      </c>
      <c r="AO81" s="96" t="str">
        <f>IF(ISBLANK(AH81),"",IFERROR(((AI81-SUMIFS(Transactions!I:I,Transactions!H:H,"Crypto Interest",Transactions!D:D,AH81))*AJ81),""))</f>
        <v/>
      </c>
      <c r="AP81" s="96" t="str">
        <f t="shared" si="16"/>
        <v/>
      </c>
      <c r="AQ81" s="50" t="str">
        <f t="shared" si="17"/>
        <v/>
      </c>
      <c r="AR81" s="96" t="str">
        <f t="shared" si="18"/>
        <v/>
      </c>
      <c r="AS81" s="96" t="str">
        <f>IF(ISBLANK(AH81),"",SUMIFS(Transactions!$X$3:$X149,Transactions!$H$3:$H149,"Sell",Transactions!$D$3:$D149,AH81))</f>
        <v/>
      </c>
      <c r="AT81" s="96" t="str">
        <f t="shared" si="19"/>
        <v/>
      </c>
      <c r="AU81" s="50" t="str">
        <f>IFERROR(__xludf.DUMMYFUNCTION("IF(ISBLANK(AH81),"""",IFERROR((GOOGLEFINANCE(AH81,""price"")/INDEX(GOOGLEFINANCE(AH81,""price"",DATEVALUE(TODAY()-$AU$2) ),2,2)-1),""""))"),"")</f>
        <v/>
      </c>
      <c r="AW81" s="50" t="str">
        <f>IFERROR(__xludf.DUMMYFUNCTION("IF(ISBLANK(AH81),"""",IFERROR((GOOGLEFINANCE($AW$2,""price"")/INDEX(GOOGLEFINANCE($AW$2,""price"",DATEVALUE(TODAY()-$AU$2) ),2,2)-1),""""))"),"")</f>
        <v/>
      </c>
      <c r="AY81" s="50" t="str">
        <f t="shared" si="20"/>
        <v/>
      </c>
      <c r="AZ81" s="50" t="str">
        <f t="shared" si="21"/>
        <v/>
      </c>
      <c r="BA81" s="50">
        <f t="shared" si="22"/>
        <v>0</v>
      </c>
      <c r="BB81" s="14" t="str">
        <f t="shared" si="23"/>
        <v/>
      </c>
      <c r="BC81" s="14" t="str">
        <f>IF(ISBLANK(AH81),"",IFERROR(VLOOKUP(AH81,Transactions!D:F,3,0)))</f>
        <v/>
      </c>
      <c r="BD81" s="50" t="str">
        <f t="shared" si="24"/>
        <v/>
      </c>
      <c r="BE81" s="50" t="str">
        <f t="shared" si="25"/>
        <v/>
      </c>
      <c r="BF81" s="14" t="str">
        <f t="shared" si="26"/>
        <v/>
      </c>
      <c r="BG81" s="180" t="str">
        <f>IF(ISBLANK(AH81),"",IFERROR(VLOOKUP(AH81,Transactions!D:G,4,0)))</f>
        <v/>
      </c>
    </row>
    <row r="82">
      <c r="A82" s="14" t="str">
        <f t="shared" ref="A82:C82" si="105">AG82</f>
        <v/>
      </c>
      <c r="B82" s="14" t="str">
        <f t="shared" si="105"/>
        <v/>
      </c>
      <c r="C82" s="175" t="str">
        <f t="shared" si="105"/>
        <v/>
      </c>
      <c r="D82" s="176" t="str">
        <f>IFERROR(__xludf.DUMMYFUNCTION("IF(ISBLANK(B82),"""",IFERROR(IF(OR(AF82=""GPB"",AF82=""ZAR""),IF(AF82=Dashboard!$L$1,AJ82,(AJ82*GOOGLEFINANCE(""CURRENCY:""&amp;AF82&amp;""""&amp;Dashboard!$L$1&amp;""""))/100),IF(AF82=Dashboard!$L$1,AJ82,AJ82*GOOGLEFINANCE(""CURRENCY:""&amp;AF82&amp;""""&amp;Dashboard!$L$1&amp;""""))),"&amp;"AJ82))"),"")</f>
        <v/>
      </c>
      <c r="E82" s="177" t="str">
        <f>IFERROR(__xludf.DUMMYFUNCTION("IFERROR(IF(OR(AF82=""GBP"",AF82=""ZAR""),IF(B82="""","""",IF(AF82=Dashboard!$L$1,AK82,AK82*GOOGLEFINANCE(""CURRENCY:""&amp;AF82&amp;""""&amp;Dashboard!$L$1&amp;"""")))/100,If(B82="""","""",IF(AF82=Dashboard!$L$1,AK82,AK82*GOOGLEFINANCE(""CURRENCY:""&amp;AF82&amp;""""&amp;Dashboard!$"&amp;"L$1&amp;"""")))),AK82)"),"")</f>
        <v/>
      </c>
      <c r="F82" s="145" t="str">
        <f t="shared" si="65"/>
        <v/>
      </c>
      <c r="G82" s="96" t="str">
        <f>IFERROR(__xludf.DUMMYFUNCTION("IF(ISBLANK(B82),"""",IFERROR(SPARKLINE(INDEX(GOOGLEFINANCE(B82,""price"",TODAY()-$G$2,TODAY()),,2),{""charttype"",""column"";""color"",""17a7e0""}),""""))"),"")</f>
        <v/>
      </c>
      <c r="H82" s="50" t="str">
        <f t="shared" si="3"/>
        <v/>
      </c>
      <c r="I82" s="96" t="str">
        <f>IFERROR(__xludf.DUMMYFUNCTION("IF(ISBLANK(B82),"""",IFERROR(IF(OR(AF82=""GPB"",AF82=""ZAR""),IF(AF82=Dashboard!$L$1,AN82,(AN82*GOOGLEFINANCE(""CURRENCY:""&amp;AF82&amp;""""&amp;Dashboard!$L$1&amp;""""))/100),IF(AF82=Dashboard!$L$1,AN82,AN82*GOOGLEFINANCE(""CURRENCY:""&amp;AF82&amp;""""&amp;Dashboard!$L$1&amp;""""))),"&amp;"AN82))"),"")</f>
        <v/>
      </c>
      <c r="J82" s="178" t="str">
        <f>IF(ISBLANK(B82),"",IFERROR(((C82-SUMIFS(Transactions!I:I,Transactions!H:H,"Crypto Interest",Transactions!D:D,B82))*D82),""))</f>
        <v/>
      </c>
      <c r="K82" s="178" t="str">
        <f t="shared" si="4"/>
        <v/>
      </c>
      <c r="L82" s="145">
        <f>IF(ISBLANK(AF82),"",SUMIFS(Transactions!$M$3:$M149,Transactions!$H$3:$H149,"Buy",Transactions!$D$3:$D149,AF82))</f>
        <v>0</v>
      </c>
      <c r="M82" s="145">
        <f>IF(ISBLANK(AG82),"",SUMIFS(Transactions!$M$3:$M149,Transactions!$H$3:$H149,"Dividend",Transactions!$D$3:$D149,AG82))</f>
        <v>0</v>
      </c>
      <c r="N82" s="145" t="str">
        <f>IF(ISBLANK(AH82),"",SUMIFS(Transactions!$M$3:$M149,Transactions!$H$3:$H149,"Sell",Transactions!$D$3:$D149,AH82))</f>
        <v/>
      </c>
      <c r="O82" s="50" t="str">
        <f t="shared" si="5"/>
        <v/>
      </c>
      <c r="P82" s="178" t="str">
        <f t="shared" si="6"/>
        <v/>
      </c>
      <c r="Q82" s="178" t="str">
        <f>IFERROR(__xludf.DUMMYFUNCTION("IF(ISBLANK(B82),"""",IFERROR(IF(OR(AF82=""GPB"",AF82=""ZAR""),IF(AF82=Dashboard!$L$1,AS82,(AS82*GOOGLEFINANCE(""CURRENCY:""&amp;AF82&amp;""""&amp;Dashboard!$L$1&amp;""""))/100),IF(AF82=Dashboard!$L$1,AS82,AS82*GOOGLEFINANCE(""CURRENCY:""&amp;AF82&amp;""""&amp;Dashboard!$L$1&amp;""""))),"&amp;"AS82))"),"")</f>
        <v/>
      </c>
      <c r="R82" s="178" t="str">
        <f t="shared" si="7"/>
        <v/>
      </c>
      <c r="S82" s="50" t="str">
        <f>IFERROR(__xludf.DUMMYFUNCTION("IF(ISBLANK(B82),"""",IFERROR((GOOGLEFINANCE(B82,""price"")/INDEX(GOOGLEFINANCE(B82,""price"",DATEVALUE(TODAY()-$S$2) ),2,2)-1),""""))"),"")</f>
        <v/>
      </c>
      <c r="U82" s="50" t="str">
        <f>IFERROR(__xludf.DUMMYFUNCTION("IF(ISBLANK(B82),"""",IFERROR((GOOGLEFINANCE($U$2,""price"")/INDEX(GOOGLEFINANCE($U$2,""price"",DATEVALUE(TODAY()-$S$2) ),2,2)-1),""""))"),"")</f>
        <v/>
      </c>
      <c r="W82" s="50" t="str">
        <f t="shared" si="8"/>
        <v/>
      </c>
      <c r="X82" s="50" t="str">
        <f t="shared" si="9"/>
        <v/>
      </c>
      <c r="Y82" s="179">
        <v>0.0</v>
      </c>
      <c r="Z82" s="50" t="str">
        <f t="shared" si="10"/>
        <v/>
      </c>
      <c r="AA82" s="14" t="str">
        <f t="shared" si="11"/>
        <v/>
      </c>
      <c r="AB82" s="50" t="str">
        <f t="shared" si="12"/>
        <v/>
      </c>
      <c r="AC82" s="179" t="str">
        <f t="shared" si="13"/>
        <v/>
      </c>
      <c r="AD82" s="50" t="str">
        <f t="shared" si="14"/>
        <v/>
      </c>
      <c r="AE82" s="180" t="str">
        <f t="shared" si="15"/>
        <v/>
      </c>
      <c r="AF82" s="14" t="str">
        <f t="array" ref="AF82">IFERROR(IF(ISBLANK(AH82),"",IF(VLOOKUP(AH82,Transactions!D:F,3,0)="Stablecoin",AH82,INDEX(Transactions!$B$3:$B149,MATCH(AH82,Transactions!$D$3:$D149,0),0))))</f>
        <v/>
      </c>
      <c r="AG82" s="14" t="str">
        <f>IF(ISBLANK(AH82),"",VLOOKUP(AH82,Transactions!D:E,2,0))</f>
        <v/>
      </c>
      <c r="AH82" s="14"/>
      <c r="AI82" s="146" t="str">
        <f>IF(ISBLANK(AH82),"",IF(
SUMIFS(Transactions!$I$3:$I149,Transactions!$H$3:$H149,"Buy",Transactions!$F$3:$F149,"Stock",Transactions!$D$3:$D149,AH82)
+SUMIFS(Transactions!$I$3:$I149,Transactions!$H$3:$H149,"DRIP",Transactions!$F$3:$F149,"Stock",Transactions!$D$3:$D149,AH82)
+SUMIFS(Transactions!$I$3:$I149,Transactions!$H$3:$H149,"Transfer Deposit",Transactions!$F$3:$F149,"Stock",Transactions!$D$3:$D149,AH82)
+SUMIFS(Transactions!$I$3:$I149,Transactions!$H$3:$H149,"Buy",Transactions!$F$3:$F149,"ETF",Transactions!$D$3:$D149,AH82)
+SUMIFS(Transactions!$I$3:$I149,Transactions!$H$3:$H149,"DRIP",Transactions!$F$3:$F149,"ETF",Transactions!$D$3:$D149,AH82)
+SUMIFS(Transactions!$I$3:$I149,Transactions!$H$3:$H149,"Transfer Deposit",Transactions!$F$3:$F149,"ETF",Transactions!$D$3:$D149,AH82)
+SUMIFS(Transactions!$I$3:$I149,Transactions!$H$3:$H149,"Buy",Transactions!$F$3:$F149,"Commodity",Transactions!$D$3:$D149,AH82)
+SUMIFS(Transactions!$I$3:$I149,Transactions!$H$3:$H149,"DRIP",Transactions!$F$3:$F149,"Commodity",Transactions!$D$3:$D149,AH82)
+SUMIFS(Transactions!$I$3:$I149,Transactions!$H$3:$H149,"Transfer Deposit",Transactions!$F$3:$F149,"Commodity",Transactions!$D$3:$D149,AH82)
+SUMIFS(Transactions!$I$3:$I149,Transactions!$H$3:$H149,"Buy",Transactions!$F$3:$F149,"Managed Fund",Transactions!$D$3:$D149,AH82)
+SUMIFS(Transactions!$I$3:$I149,Transactions!$H$3:$H149,"DRIP",Transactions!$F$3:$F149,"Managed Fund",Transactions!$D$3:$D149,AH82)
+SUMIFS(Transactions!$I$3:$I149,Transactions!$H$3:$H149,"Transfer Deposit",Transactions!$F$3:$F149,"Managed Fund",Transactions!$D$3:$D149,AH82)
+SUMIFS(Transactions!$I$3:$I149,Transactions!$H$3:$H149,"Buy",Transactions!$F$3:$F149,"REIT",Transactions!$D$3:$D149,AH82)
+SUMIFS(Transactions!$I$3:$I149,Transactions!$H$3:$H149,"DRIP",Transactions!$F$3:$F149,"REIT",Transactions!$D$3:$D149,AH82)
+SUMIFS(Transactions!$I$3:$I149,Transactions!$H$3:$H149,"Transfer Deposit",Transactions!$F$3:$F149,"REIT",Transactions!$D$3:$D149,AH82)
-SUMIFS(Transactions!$I$3:$I149,Transactions!$H$3:$H149,"Sell",Transactions!$F$3:$F149,"Stock",Transactions!$D$3:$D149,AH82)
-SUMIFS(Transactions!$I$3:$I149,Transactions!$H$3:$H149,"Transfer Send",Transactions!$F$3:$F149,"Stock",Transactions!$D$3:$D149,AH82)
-SUMIFS(Transactions!$I$3:$I149,Transactions!$H$3:$H149,"Sell",Transactions!$F$3:$F149,"ETF",Transactions!$D$3:$D149,AH82)
-SUMIFS(Transactions!$I$3:$I149,Transactions!$H$3:$H149,"Transfer Send",Transactions!$F$3:$F149,"ETF",Transactions!$D$3:$D149,AH82)
-SUMIFS(Transactions!$I$3:$I149,Transactions!$H$3:$H149,"Sell",Transactions!$F$3:$F149,"Commodity",Transactions!$D$3:$D149,AH82)
-SUMIFS(Transactions!$I$3:$I149,Transactions!$H$3:$H149,"Transfer Send",Transactions!$F$3:$F149,"Commodity",Transactions!$D$3:$D149,AH82)
-SUMIFS(Transactions!$I$3:$I149,Transactions!$H$3:$H149,"Sell",Transactions!$F$3:$F149,"Managed Fund",Transactions!$D$3:$D149,AH82)
-SUMIFS(Transactions!$I$3:$I149,Transactions!$H$3:$H149,"Transfer Send",Transactions!$F$3:$F149,"Managed Fund",Transactions!$D$3:$D149,AH82)
-SUMIFS(Transactions!$I$3:$I149,Transactions!$H$3:$H149,"Sell",Transactions!$F$3:$F149,"REIT",Transactions!$D$3:$D149,AH82)
-SUMIFS(Transactions!$I$3:$I149,Transactions!$H$3:$H149,"Transfer Send",Transactions!$F$3:$F149,"REIT",Transactions!$D$3:$D149,AH82)
+SUMIFS(Transactions!$I$3:$I149,Transactions!$H$3:$H149,"Buy",Transactions!$F$3:$F149,"Crypto",Transactions!$D$3:$D149,AH82)
+SUMIFS(Transactions!$I$3:$I149,Transactions!$H$3:$H149,"Crypto Interest",Transactions!$F$3:$F149,"Crypto",Transactions!$D$3:$D149,AH82)
+SUMIFS(Transactions!$I$3:$I149,Transactions!$H$3:$H149,"Transfer Deposit",Transactions!$F$3:$F149,"Crypto",Transactions!$D$3:$D149,AH82)
-SUMIFS(Transactions!$I$3:$I149,Transactions!$H$3:$H149,"Transfer Send",Transactions!$F$3:$F149,"Crypto",Transactions!$D$3:$D149,AH82)
-SUMIFS(Transactions!$I$3:$I149,Transactions!$H$3:$H149,"Sell",Transactions!$F$3:$F149,"Crypto",Transactions!$D$3:$D149,AH82)
+SUMIFS(Transactions!$I$3:$I149,Transactions!$H$3:$H149,"Buy",Transactions!$F$3:$F149,"Stablecoin",Transactions!$D$3:$D149,AH82)
+SUMIFS(Transactions!$I$3:$I149,Transactions!$H$3:$H149,"Crypto Interest",Transactions!$F$3:$F149,"Stablecoin",Transactions!$D$3:$D149,AH82)
+SUMIFS(Transactions!$I$3:$I149,Transactions!$H$3:$H149,"Transfer Deposit",Transactions!$F$3:$F149,"Stablecoin",Transactions!$D$3:$D149,AH82)
-SUMIFS(Transactions!$I$3:$I149,Transactions!$H$3:$H149,"Transfer Send",Transactions!$F$3:$F149,"Stablecoin",Transactions!$D$3:$D149,AH82)
-SUMIFS(Transactions!$I$3:$I149,Transactions!$H$3:$H149,"Sell",Transactions!$F$3:$F149,"Stablecoin",Transactions!$D$3:$D149,AH82)
-SUMIFS(Transactions!$M$3:$M149,Transactions!$H$3:$H149,"Buy",Transactions!$B$3:$B149,AH82)=0,"Sold All",
SUMIFS(Transactions!$I$3:$I149,Transactions!$H$3:$H149,"Buy",Transactions!$F$3:$F149,"Stock",Transactions!$D$3:$D149,AH82)
+SUMIFS(Transactions!$I$3:$I149,Transactions!$H$3:$H149,"DRIP",Transactions!$F$3:$F149,"Stock",Transactions!$D$3:$D149,AH82)
+SUMIFS(Transactions!$I$3:$I149,Transactions!$H$3:$H149,"Transfer Deposit",Transactions!$F$3:$F149,"Stock",Transactions!$D$3:$D149,AH82)
+SUMIFS(Transactions!$I$3:$I149,Transactions!$H$3:$H149,"Buy",Transactions!$F$3:$F149,"ETF",Transactions!$D$3:$D149,AH82)
+SUMIFS(Transactions!$I$3:$I149,Transactions!$H$3:$H149,"DRIP",Transactions!$F$3:$F149,"ETF",Transactions!$D$3:$D149,AH82)
+SUMIFS(Transactions!$I$3:$I149,Transactions!$H$3:$H149,"Transfer Deposit",Transactions!$F$3:$F149,"ETF",Transactions!$D$3:$D149,AH82)
+SUMIFS(Transactions!$I$3:$I149,Transactions!$H$3:$H149,"Buy",Transactions!$F$3:$F149,"Commodity",Transactions!$D$3:$D149,AH82)
+SUMIFS(Transactions!$I$3:$I149,Transactions!$H$3:$H149,"DRIP",Transactions!$F$3:$F149,"Commodity",Transactions!$D$3:$D149,AH82)
+SUMIFS(Transactions!$I$3:$I149,Transactions!$H$3:$H149,"Transfer Deposit",Transactions!$F$3:$F149,"Commodity",Transactions!$D$3:$D149,AH82)
+SUMIFS(Transactions!$I$3:$I149,Transactions!$H$3:$H149,"Buy",Transactions!$F$3:$F149,"Managed Fund",Transactions!$D$3:$D149,AH82)
+SUMIFS(Transactions!$I$3:$I149,Transactions!$H$3:$H149,"DRIP",Transactions!$F$3:$F149,"Managed Fund",Transactions!$D$3:$D149,AH82)
+SUMIFS(Transactions!$I$3:$I149,Transactions!$H$3:$H149,"Transfer Deposit",Transactions!$F$3:$F149,"Managed Fund",Transactions!$D$3:$D149,AH82)
+SUMIFS(Transactions!$I$3:$I149,Transactions!$H$3:$H149,"Buy",Transactions!$F$3:$F149,"REIT",Transactions!$D$3:$D149,AH82)
+SUMIFS(Transactions!$I$3:$I149,Transactions!$H$3:$H149,"DRIP",Transactions!$F$3:$F149,"REIT",Transactions!$D$3:$D149,AH82)
+SUMIFS(Transactions!$I$3:$I149,Transactions!$H$3:$H149,"Transfer Deposit",Transactions!$F$3:$F149,"REIT",Transactions!$D$3:$D149,AH82)
-SUMIFS(Transactions!$I$3:$I149,Transactions!$H$3:$H149,"Sell",Transactions!$F$3:$F149,"Stock",Transactions!$D$3:$D149,AH82)
-SUMIFS(Transactions!$I$3:$I149,Transactions!$H$3:$H149,"Transfer Send",Transactions!$F$3:$F149,"Stock",Transactions!$D$3:$D149,AH82)
-SUMIFS(Transactions!$I$3:$I149,Transactions!$H$3:$H149,"Sell",Transactions!$F$3:$F149,"ETF",Transactions!$D$3:$D149,AH82)
-SUMIFS(Transactions!$I$3:$I149,Transactions!$H$3:$H149,"Transfer Send",Transactions!$F$3:$F149,"ETF",Transactions!$D$3:$D149,AH82)
-SUMIFS(Transactions!$I$3:$I149,Transactions!$H$3:$H149,"Sell",Transactions!$F$3:$F149,"Commodity",Transactions!$D$3:$D149,AH82)
-SUMIFS(Transactions!$I$3:$I149,Transactions!$H$3:$H149,"Transfer Send",Transactions!$F$3:$F149,"Commodity",Transactions!$D$3:$D149,AH82)
-SUMIFS(Transactions!$I$3:$I149,Transactions!$H$3:$H149,"Sell",Transactions!$F$3:$F149,"Managed Fund",Transactions!$D$3:$D149,AH82)
-SUMIFS(Transactions!$I$3:$I149,Transactions!$H$3:$H149,"Transfer Send",Transactions!$F$3:$F149,"Managed Fund",Transactions!$D$3:$D149,AH82)
-SUMIFS(Transactions!$I$3:$I149,Transactions!$H$3:$H149,"Sell",Transactions!$F$3:$F149,"REIT",Transactions!$D$3:$D149,AH82)
-SUMIFS(Transactions!$I$3:$I149,Transactions!$H$3:$H149,"Transfer Send",Transactions!$F$3:$F149,"REIT",Transactions!$D$3:$D149,AH82)
+SUMIFS(Transactions!$I$3:$I149,Transactions!$H$3:$H149,"Buy",Transactions!$F$3:$F149,"Crypto",Transactions!$D$3:$D149,AH82)
+SUMIFS(Transactions!$I$3:$I149,Transactions!$H$3:$H149,"Crypto Interest",Transactions!$F$3:$F149,"Crypto",Transactions!$D$3:$D149,AH82)
+SUMIFS(Transactions!$I$3:$I149,Transactions!$H$3:$H149,"Transfer Deposit",Transactions!$F$3:$F149,"Crypto",Transactions!$D$3:$D149,AH82)
-SUMIFS(Transactions!$I$3:$I149,Transactions!$H$3:$H149,"Transfer Send",Transactions!$F$3:$F149,"Crypto",Transactions!$D$3:$D149,AH82)
-SUMIFS(Transactions!$I$3:$I149,Transactions!$H$3:$H149,"Sell",Transactions!$F$3:$F149,"Crypto",Transactions!$D$3:$D149,AH82)
+SUMIFS(Transactions!$I$3:$I149,Transactions!$H$3:$H149,"Buy",Transactions!$F$3:$F149,"Stablecoin",Transactions!$D$3:$D149,AH82)
+SUMIFS(Transactions!$I$3:$I149,Transactions!$H$3:$H149,"Crypto Interest",Transactions!$F$3:$F149,"Stablecoin",Transactions!$D$3:$D149,AH82)
+SUMIFS(Transactions!$I$3:$I149,Transactions!$H$3:$H149,"Transfer Deposit",Transactions!$F$3:$F149,"Stablecoin",Transactions!$D$3:$D149,AH82)
-SUMIFS(Transactions!$I$3:$I149,Transactions!$H$3:$H149,"Transfer Send",Transactions!$F$3:$F149,"Stablecoin",Transactions!$D$3:$D149,AH82)
-SUMIFS(Transactions!$I$3:$I149,Transactions!$H$3:$H149,"Sell",Transactions!$F$3:$F149,"Stablecoin",Transactions!$D$3:$D149,AH82)
-SUMIFS(Transactions!$M$3:$M149,Transactions!$H$3:$H149,"Buy",Transactions!$B$3:$B149,AH82)))</f>
        <v/>
      </c>
      <c r="AJ82" s="181" t="str">
        <f>IFERROR(__xludf.DUMMYFUNCTION("IF(ISBLANK(AH82),"""",VLOOKUP(9^99,FILTER({ROW(Transactions!P:P),Transactions!P:P},Transactions!D:D=AH82),2))"),"")</f>
        <v/>
      </c>
      <c r="AK82" s="181" t="str">
        <f>IFERROR(__xludf.DUMMYFUNCTION("IF(ISBLANK(AH82),"""",IFERROR(GOOGLEFINANCE(AH82,""price""),IFERROR(GOOGLEFINANCE(""CURRENCY:""&amp;AH82&amp;""""),IFERROR(INDEX(YAHOO_STOCK(TRIM(AH82), $G$2),0,1),INDEX(IMPORTHTML(CONCAT(""https://coinmarketcap.com/currencies/"",AG82),""table"",1),1,2)))))"),"")</f>
        <v/>
      </c>
      <c r="AL82" s="14" t="str">
        <f>IFERROR(__xludf.DUMMYFUNCTION("IF(ISBLANK(AH82),"""",IFERROR(SPARKLINE(INDEX(GOOGLEFINANCE(AH82,""price"",TODAY()-$AL$2,TODAY()),,2),{""charttype"",""column"";""color"",""17a7e0""}),""""))"),"")</f>
        <v/>
      </c>
      <c r="AM82" s="50" t="str">
        <f>IFERROR(__xludf.DUMMYFUNCTION("IFNA(IFERROR(IF(AH82="""","""",GOOGLEFINANCE(AH82,""changepct"")/100),(GOOGLEFINANCE(AH82)-(INDEX(GOOGLEFINANCE(""CURRENCY:""&amp;AH82&amp;"""",""price"",TODAY()-1),2,2)))/(INDEX(GOOGLEFINANCE(""CURRENCY:""&amp;AH82&amp;"""",""price"",TODAY()-1),2,2))),)"),"")</f>
        <v/>
      </c>
      <c r="AN82" s="96" t="str">
        <f>IFERROR(__xludf.DUMMYFUNCTION("IFNA(IFERROR(IF(AH82="""","""",GOOGLEFINANCE(AH82,""change"")*AI82),(GOOGLEFINANCE(AH82)-(INDEX(GOOGLEFINANCE(""CURRENCY:""&amp;AH82&amp;"""",""price"",TODAY()-1),2,2)))*AI82),"""")"),"")</f>
        <v/>
      </c>
      <c r="AO82" s="96" t="str">
        <f>IF(ISBLANK(AH82),"",IFERROR(((AI82-SUMIFS(Transactions!I:I,Transactions!H:H,"Crypto Interest",Transactions!D:D,AH82))*AJ82),""))</f>
        <v/>
      </c>
      <c r="AP82" s="96" t="str">
        <f t="shared" si="16"/>
        <v/>
      </c>
      <c r="AQ82" s="50" t="str">
        <f t="shared" si="17"/>
        <v/>
      </c>
      <c r="AR82" s="96" t="str">
        <f t="shared" si="18"/>
        <v/>
      </c>
      <c r="AS82" s="96" t="str">
        <f>IF(ISBLANK(AH82),"",SUMIFS(Transactions!$X$3:$X149,Transactions!$H$3:$H149,"Sell",Transactions!$D$3:$D149,AH82))</f>
        <v/>
      </c>
      <c r="AT82" s="96" t="str">
        <f t="shared" si="19"/>
        <v/>
      </c>
      <c r="AU82" s="50" t="str">
        <f>IFERROR(__xludf.DUMMYFUNCTION("IF(ISBLANK(AH82),"""",IFERROR((GOOGLEFINANCE(AH82,""price"")/INDEX(GOOGLEFINANCE(AH82,""price"",DATEVALUE(TODAY()-$AU$2) ),2,2)-1),""""))"),"")</f>
        <v/>
      </c>
      <c r="AW82" s="50" t="str">
        <f>IFERROR(__xludf.DUMMYFUNCTION("IF(ISBLANK(AH82),"""",IFERROR((GOOGLEFINANCE($AW$2,""price"")/INDEX(GOOGLEFINANCE($AW$2,""price"",DATEVALUE(TODAY()-$AU$2) ),2,2)-1),""""))"),"")</f>
        <v/>
      </c>
      <c r="AY82" s="50" t="str">
        <f t="shared" si="20"/>
        <v/>
      </c>
      <c r="AZ82" s="50" t="str">
        <f t="shared" si="21"/>
        <v/>
      </c>
      <c r="BA82" s="50">
        <f t="shared" si="22"/>
        <v>0</v>
      </c>
      <c r="BB82" s="14" t="str">
        <f t="shared" si="23"/>
        <v/>
      </c>
      <c r="BC82" s="14" t="str">
        <f>IF(ISBLANK(AH82),"",IFERROR(VLOOKUP(AH82,Transactions!D:F,3,0)))</f>
        <v/>
      </c>
      <c r="BD82" s="50" t="str">
        <f t="shared" si="24"/>
        <v/>
      </c>
      <c r="BE82" s="50" t="str">
        <f t="shared" si="25"/>
        <v/>
      </c>
      <c r="BF82" s="14" t="str">
        <f t="shared" si="26"/>
        <v/>
      </c>
      <c r="BG82" s="180" t="str">
        <f>IF(ISBLANK(AH82),"",IFERROR(VLOOKUP(AH82,Transactions!D:G,4,0)))</f>
        <v/>
      </c>
    </row>
    <row r="83">
      <c r="A83" s="14" t="str">
        <f t="shared" ref="A83:C83" si="106">AG83</f>
        <v/>
      </c>
      <c r="B83" s="14" t="str">
        <f t="shared" si="106"/>
        <v/>
      </c>
      <c r="C83" s="175" t="str">
        <f t="shared" si="106"/>
        <v/>
      </c>
      <c r="D83" s="176" t="str">
        <f>IFERROR(__xludf.DUMMYFUNCTION("IF(ISBLANK(B83),"""",IFERROR(IF(OR(AF83=""GPB"",AF83=""ZAR""),IF(AF83=Dashboard!$L$1,AJ83,(AJ83*GOOGLEFINANCE(""CURRENCY:""&amp;AF83&amp;""""&amp;Dashboard!$L$1&amp;""""))/100),IF(AF83=Dashboard!$L$1,AJ83,AJ83*GOOGLEFINANCE(""CURRENCY:""&amp;AF83&amp;""""&amp;Dashboard!$L$1&amp;""""))),"&amp;"AJ83))"),"")</f>
        <v/>
      </c>
      <c r="E83" s="177" t="str">
        <f>IFERROR(__xludf.DUMMYFUNCTION("IFERROR(IF(OR(AF83=""GBP"",AF83=""ZAR""),IF(B83="""","""",IF(AF83=Dashboard!$L$1,AK83,AK83*GOOGLEFINANCE(""CURRENCY:""&amp;AF83&amp;""""&amp;Dashboard!$L$1&amp;"""")))/100,If(B83="""","""",IF(AF83=Dashboard!$L$1,AK83,AK83*GOOGLEFINANCE(""CURRENCY:""&amp;AF83&amp;""""&amp;Dashboard!$"&amp;"L$1&amp;"""")))),AK83)"),"")</f>
        <v/>
      </c>
      <c r="F83" s="145" t="str">
        <f t="shared" si="65"/>
        <v/>
      </c>
      <c r="G83" s="96" t="str">
        <f>IFERROR(__xludf.DUMMYFUNCTION("IF(ISBLANK(B83),"""",IFERROR(SPARKLINE(INDEX(GOOGLEFINANCE(B83,""price"",TODAY()-$G$2,TODAY()),,2),{""charttype"",""column"";""color"",""17a7e0""}),""""))"),"")</f>
        <v/>
      </c>
      <c r="H83" s="50" t="str">
        <f t="shared" si="3"/>
        <v/>
      </c>
      <c r="I83" s="96" t="str">
        <f>IFERROR(__xludf.DUMMYFUNCTION("IF(ISBLANK(B83),"""",IFERROR(IF(OR(AF83=""GPB"",AF83=""ZAR""),IF(AF83=Dashboard!$L$1,AN83,(AN83*GOOGLEFINANCE(""CURRENCY:""&amp;AF83&amp;""""&amp;Dashboard!$L$1&amp;""""))/100),IF(AF83=Dashboard!$L$1,AN83,AN83*GOOGLEFINANCE(""CURRENCY:""&amp;AF83&amp;""""&amp;Dashboard!$L$1&amp;""""))),"&amp;"AN83))"),"")</f>
        <v/>
      </c>
      <c r="J83" s="178" t="str">
        <f>IF(ISBLANK(B83),"",IFERROR(((C83-SUMIFS(Transactions!I:I,Transactions!H:H,"Crypto Interest",Transactions!D:D,B83))*D83),""))</f>
        <v/>
      </c>
      <c r="K83" s="178" t="str">
        <f t="shared" si="4"/>
        <v/>
      </c>
      <c r="L83" s="145">
        <f>IF(ISBLANK(AF83),"",SUMIFS(Transactions!$M$3:$M149,Transactions!$H$3:$H149,"Buy",Transactions!$D$3:$D149,AF83))</f>
        <v>0</v>
      </c>
      <c r="M83" s="145">
        <f>IF(ISBLANK(AG83),"",SUMIFS(Transactions!$M$3:$M149,Transactions!$H$3:$H149,"Dividend",Transactions!$D$3:$D149,AG83))</f>
        <v>0</v>
      </c>
      <c r="N83" s="145" t="str">
        <f>IF(ISBLANK(AH83),"",SUMIFS(Transactions!$M$3:$M149,Transactions!$H$3:$H149,"Sell",Transactions!$D$3:$D149,AH83))</f>
        <v/>
      </c>
      <c r="O83" s="50" t="str">
        <f t="shared" si="5"/>
        <v/>
      </c>
      <c r="P83" s="178" t="str">
        <f t="shared" si="6"/>
        <v/>
      </c>
      <c r="Q83" s="178" t="str">
        <f>IFERROR(__xludf.DUMMYFUNCTION("IF(ISBLANK(B83),"""",IFERROR(IF(OR(AF83=""GPB"",AF83=""ZAR""),IF(AF83=Dashboard!$L$1,AS83,(AS83*GOOGLEFINANCE(""CURRENCY:""&amp;AF83&amp;""""&amp;Dashboard!$L$1&amp;""""))/100),IF(AF83=Dashboard!$L$1,AS83,AS83*GOOGLEFINANCE(""CURRENCY:""&amp;AF83&amp;""""&amp;Dashboard!$L$1&amp;""""))),"&amp;"AS83))"),"")</f>
        <v/>
      </c>
      <c r="R83" s="178" t="str">
        <f t="shared" si="7"/>
        <v/>
      </c>
      <c r="S83" s="50" t="str">
        <f>IFERROR(__xludf.DUMMYFUNCTION("IF(ISBLANK(B83),"""",IFERROR((GOOGLEFINANCE(B83,""price"")/INDEX(GOOGLEFINANCE(B83,""price"",DATEVALUE(TODAY()-$S$2) ),2,2)-1),""""))"),"")</f>
        <v/>
      </c>
      <c r="U83" s="50" t="str">
        <f>IFERROR(__xludf.DUMMYFUNCTION("IF(ISBLANK(B83),"""",IFERROR((GOOGLEFINANCE($U$2,""price"")/INDEX(GOOGLEFINANCE($U$2,""price"",DATEVALUE(TODAY()-$S$2) ),2,2)-1),""""))"),"")</f>
        <v/>
      </c>
      <c r="W83" s="50" t="str">
        <f t="shared" si="8"/>
        <v/>
      </c>
      <c r="X83" s="50" t="str">
        <f t="shared" si="9"/>
        <v/>
      </c>
      <c r="Y83" s="179">
        <v>0.0</v>
      </c>
      <c r="Z83" s="50" t="str">
        <f t="shared" si="10"/>
        <v/>
      </c>
      <c r="AA83" s="14" t="str">
        <f t="shared" si="11"/>
        <v/>
      </c>
      <c r="AB83" s="50" t="str">
        <f t="shared" si="12"/>
        <v/>
      </c>
      <c r="AC83" s="179" t="str">
        <f t="shared" si="13"/>
        <v/>
      </c>
      <c r="AD83" s="50" t="str">
        <f t="shared" si="14"/>
        <v/>
      </c>
      <c r="AE83" s="180" t="str">
        <f t="shared" si="15"/>
        <v/>
      </c>
      <c r="AF83" s="14" t="str">
        <f t="array" ref="AF83">IFERROR(IF(ISBLANK(AH83),"",IF(VLOOKUP(AH83,Transactions!D:F,3,0)="Stablecoin",AH83,INDEX(Transactions!$B$3:$B149,MATCH(AH83,Transactions!$D$3:$D149,0),0))))</f>
        <v/>
      </c>
      <c r="AG83" s="14" t="str">
        <f>IF(ISBLANK(AH83),"",VLOOKUP(AH83,Transactions!D:E,2,0))</f>
        <v/>
      </c>
      <c r="AH83" s="14"/>
      <c r="AI83" s="146" t="str">
        <f>IF(ISBLANK(AH83),"",IF(
SUMIFS(Transactions!$I$3:$I149,Transactions!$H$3:$H149,"Buy",Transactions!$F$3:$F149,"Stock",Transactions!$D$3:$D149,AH83)
+SUMIFS(Transactions!$I$3:$I149,Transactions!$H$3:$H149,"DRIP",Transactions!$F$3:$F149,"Stock",Transactions!$D$3:$D149,AH83)
+SUMIFS(Transactions!$I$3:$I149,Transactions!$H$3:$H149,"Transfer Deposit",Transactions!$F$3:$F149,"Stock",Transactions!$D$3:$D149,AH83)
+SUMIFS(Transactions!$I$3:$I149,Transactions!$H$3:$H149,"Buy",Transactions!$F$3:$F149,"ETF",Transactions!$D$3:$D149,AH83)
+SUMIFS(Transactions!$I$3:$I149,Transactions!$H$3:$H149,"DRIP",Transactions!$F$3:$F149,"ETF",Transactions!$D$3:$D149,AH83)
+SUMIFS(Transactions!$I$3:$I149,Transactions!$H$3:$H149,"Transfer Deposit",Transactions!$F$3:$F149,"ETF",Transactions!$D$3:$D149,AH83)
+SUMIFS(Transactions!$I$3:$I149,Transactions!$H$3:$H149,"Buy",Transactions!$F$3:$F149,"Commodity",Transactions!$D$3:$D149,AH83)
+SUMIFS(Transactions!$I$3:$I149,Transactions!$H$3:$H149,"DRIP",Transactions!$F$3:$F149,"Commodity",Transactions!$D$3:$D149,AH83)
+SUMIFS(Transactions!$I$3:$I149,Transactions!$H$3:$H149,"Transfer Deposit",Transactions!$F$3:$F149,"Commodity",Transactions!$D$3:$D149,AH83)
+SUMIFS(Transactions!$I$3:$I149,Transactions!$H$3:$H149,"Buy",Transactions!$F$3:$F149,"Managed Fund",Transactions!$D$3:$D149,AH83)
+SUMIFS(Transactions!$I$3:$I149,Transactions!$H$3:$H149,"DRIP",Transactions!$F$3:$F149,"Managed Fund",Transactions!$D$3:$D149,AH83)
+SUMIFS(Transactions!$I$3:$I149,Transactions!$H$3:$H149,"Transfer Deposit",Transactions!$F$3:$F149,"Managed Fund",Transactions!$D$3:$D149,AH83)
+SUMIFS(Transactions!$I$3:$I149,Transactions!$H$3:$H149,"Buy",Transactions!$F$3:$F149,"REIT",Transactions!$D$3:$D149,AH83)
+SUMIFS(Transactions!$I$3:$I149,Transactions!$H$3:$H149,"DRIP",Transactions!$F$3:$F149,"REIT",Transactions!$D$3:$D149,AH83)
+SUMIFS(Transactions!$I$3:$I149,Transactions!$H$3:$H149,"Transfer Deposit",Transactions!$F$3:$F149,"REIT",Transactions!$D$3:$D149,AH83)
-SUMIFS(Transactions!$I$3:$I149,Transactions!$H$3:$H149,"Sell",Transactions!$F$3:$F149,"Stock",Transactions!$D$3:$D149,AH83)
-SUMIFS(Transactions!$I$3:$I149,Transactions!$H$3:$H149,"Transfer Send",Transactions!$F$3:$F149,"Stock",Transactions!$D$3:$D149,AH83)
-SUMIFS(Transactions!$I$3:$I149,Transactions!$H$3:$H149,"Sell",Transactions!$F$3:$F149,"ETF",Transactions!$D$3:$D149,AH83)
-SUMIFS(Transactions!$I$3:$I149,Transactions!$H$3:$H149,"Transfer Send",Transactions!$F$3:$F149,"ETF",Transactions!$D$3:$D149,AH83)
-SUMIFS(Transactions!$I$3:$I149,Transactions!$H$3:$H149,"Sell",Transactions!$F$3:$F149,"Commodity",Transactions!$D$3:$D149,AH83)
-SUMIFS(Transactions!$I$3:$I149,Transactions!$H$3:$H149,"Transfer Send",Transactions!$F$3:$F149,"Commodity",Transactions!$D$3:$D149,AH83)
-SUMIFS(Transactions!$I$3:$I149,Transactions!$H$3:$H149,"Sell",Transactions!$F$3:$F149,"Managed Fund",Transactions!$D$3:$D149,AH83)
-SUMIFS(Transactions!$I$3:$I149,Transactions!$H$3:$H149,"Transfer Send",Transactions!$F$3:$F149,"Managed Fund",Transactions!$D$3:$D149,AH83)
-SUMIFS(Transactions!$I$3:$I149,Transactions!$H$3:$H149,"Sell",Transactions!$F$3:$F149,"REIT",Transactions!$D$3:$D149,AH83)
-SUMIFS(Transactions!$I$3:$I149,Transactions!$H$3:$H149,"Transfer Send",Transactions!$F$3:$F149,"REIT",Transactions!$D$3:$D149,AH83)
+SUMIFS(Transactions!$I$3:$I149,Transactions!$H$3:$H149,"Buy",Transactions!$F$3:$F149,"Crypto",Transactions!$D$3:$D149,AH83)
+SUMIFS(Transactions!$I$3:$I149,Transactions!$H$3:$H149,"Crypto Interest",Transactions!$F$3:$F149,"Crypto",Transactions!$D$3:$D149,AH83)
+SUMIFS(Transactions!$I$3:$I149,Transactions!$H$3:$H149,"Transfer Deposit",Transactions!$F$3:$F149,"Crypto",Transactions!$D$3:$D149,AH83)
-SUMIFS(Transactions!$I$3:$I149,Transactions!$H$3:$H149,"Transfer Send",Transactions!$F$3:$F149,"Crypto",Transactions!$D$3:$D149,AH83)
-SUMIFS(Transactions!$I$3:$I149,Transactions!$H$3:$H149,"Sell",Transactions!$F$3:$F149,"Crypto",Transactions!$D$3:$D149,AH83)
+SUMIFS(Transactions!$I$3:$I149,Transactions!$H$3:$H149,"Buy",Transactions!$F$3:$F149,"Stablecoin",Transactions!$D$3:$D149,AH83)
+SUMIFS(Transactions!$I$3:$I149,Transactions!$H$3:$H149,"Crypto Interest",Transactions!$F$3:$F149,"Stablecoin",Transactions!$D$3:$D149,AH83)
+SUMIFS(Transactions!$I$3:$I149,Transactions!$H$3:$H149,"Transfer Deposit",Transactions!$F$3:$F149,"Stablecoin",Transactions!$D$3:$D149,AH83)
-SUMIFS(Transactions!$I$3:$I149,Transactions!$H$3:$H149,"Transfer Send",Transactions!$F$3:$F149,"Stablecoin",Transactions!$D$3:$D149,AH83)
-SUMIFS(Transactions!$I$3:$I149,Transactions!$H$3:$H149,"Sell",Transactions!$F$3:$F149,"Stablecoin",Transactions!$D$3:$D149,AH83)
-SUMIFS(Transactions!$M$3:$M149,Transactions!$H$3:$H149,"Buy",Transactions!$B$3:$B149,AH83)=0,"Sold All",
SUMIFS(Transactions!$I$3:$I149,Transactions!$H$3:$H149,"Buy",Transactions!$F$3:$F149,"Stock",Transactions!$D$3:$D149,AH83)
+SUMIFS(Transactions!$I$3:$I149,Transactions!$H$3:$H149,"DRIP",Transactions!$F$3:$F149,"Stock",Transactions!$D$3:$D149,AH83)
+SUMIFS(Transactions!$I$3:$I149,Transactions!$H$3:$H149,"Transfer Deposit",Transactions!$F$3:$F149,"Stock",Transactions!$D$3:$D149,AH83)
+SUMIFS(Transactions!$I$3:$I149,Transactions!$H$3:$H149,"Buy",Transactions!$F$3:$F149,"ETF",Transactions!$D$3:$D149,AH83)
+SUMIFS(Transactions!$I$3:$I149,Transactions!$H$3:$H149,"DRIP",Transactions!$F$3:$F149,"ETF",Transactions!$D$3:$D149,AH83)
+SUMIFS(Transactions!$I$3:$I149,Transactions!$H$3:$H149,"Transfer Deposit",Transactions!$F$3:$F149,"ETF",Transactions!$D$3:$D149,AH83)
+SUMIFS(Transactions!$I$3:$I149,Transactions!$H$3:$H149,"Buy",Transactions!$F$3:$F149,"Commodity",Transactions!$D$3:$D149,AH83)
+SUMIFS(Transactions!$I$3:$I149,Transactions!$H$3:$H149,"DRIP",Transactions!$F$3:$F149,"Commodity",Transactions!$D$3:$D149,AH83)
+SUMIFS(Transactions!$I$3:$I149,Transactions!$H$3:$H149,"Transfer Deposit",Transactions!$F$3:$F149,"Commodity",Transactions!$D$3:$D149,AH83)
+SUMIFS(Transactions!$I$3:$I149,Transactions!$H$3:$H149,"Buy",Transactions!$F$3:$F149,"Managed Fund",Transactions!$D$3:$D149,AH83)
+SUMIFS(Transactions!$I$3:$I149,Transactions!$H$3:$H149,"DRIP",Transactions!$F$3:$F149,"Managed Fund",Transactions!$D$3:$D149,AH83)
+SUMIFS(Transactions!$I$3:$I149,Transactions!$H$3:$H149,"Transfer Deposit",Transactions!$F$3:$F149,"Managed Fund",Transactions!$D$3:$D149,AH83)
+SUMIFS(Transactions!$I$3:$I149,Transactions!$H$3:$H149,"Buy",Transactions!$F$3:$F149,"REIT",Transactions!$D$3:$D149,AH83)
+SUMIFS(Transactions!$I$3:$I149,Transactions!$H$3:$H149,"DRIP",Transactions!$F$3:$F149,"REIT",Transactions!$D$3:$D149,AH83)
+SUMIFS(Transactions!$I$3:$I149,Transactions!$H$3:$H149,"Transfer Deposit",Transactions!$F$3:$F149,"REIT",Transactions!$D$3:$D149,AH83)
-SUMIFS(Transactions!$I$3:$I149,Transactions!$H$3:$H149,"Sell",Transactions!$F$3:$F149,"Stock",Transactions!$D$3:$D149,AH83)
-SUMIFS(Transactions!$I$3:$I149,Transactions!$H$3:$H149,"Transfer Send",Transactions!$F$3:$F149,"Stock",Transactions!$D$3:$D149,AH83)
-SUMIFS(Transactions!$I$3:$I149,Transactions!$H$3:$H149,"Sell",Transactions!$F$3:$F149,"ETF",Transactions!$D$3:$D149,AH83)
-SUMIFS(Transactions!$I$3:$I149,Transactions!$H$3:$H149,"Transfer Send",Transactions!$F$3:$F149,"ETF",Transactions!$D$3:$D149,AH83)
-SUMIFS(Transactions!$I$3:$I149,Transactions!$H$3:$H149,"Sell",Transactions!$F$3:$F149,"Commodity",Transactions!$D$3:$D149,AH83)
-SUMIFS(Transactions!$I$3:$I149,Transactions!$H$3:$H149,"Transfer Send",Transactions!$F$3:$F149,"Commodity",Transactions!$D$3:$D149,AH83)
-SUMIFS(Transactions!$I$3:$I149,Transactions!$H$3:$H149,"Sell",Transactions!$F$3:$F149,"Managed Fund",Transactions!$D$3:$D149,AH83)
-SUMIFS(Transactions!$I$3:$I149,Transactions!$H$3:$H149,"Transfer Send",Transactions!$F$3:$F149,"Managed Fund",Transactions!$D$3:$D149,AH83)
-SUMIFS(Transactions!$I$3:$I149,Transactions!$H$3:$H149,"Sell",Transactions!$F$3:$F149,"REIT",Transactions!$D$3:$D149,AH83)
-SUMIFS(Transactions!$I$3:$I149,Transactions!$H$3:$H149,"Transfer Send",Transactions!$F$3:$F149,"REIT",Transactions!$D$3:$D149,AH83)
+SUMIFS(Transactions!$I$3:$I149,Transactions!$H$3:$H149,"Buy",Transactions!$F$3:$F149,"Crypto",Transactions!$D$3:$D149,AH83)
+SUMIFS(Transactions!$I$3:$I149,Transactions!$H$3:$H149,"Crypto Interest",Transactions!$F$3:$F149,"Crypto",Transactions!$D$3:$D149,AH83)
+SUMIFS(Transactions!$I$3:$I149,Transactions!$H$3:$H149,"Transfer Deposit",Transactions!$F$3:$F149,"Crypto",Transactions!$D$3:$D149,AH83)
-SUMIFS(Transactions!$I$3:$I149,Transactions!$H$3:$H149,"Transfer Send",Transactions!$F$3:$F149,"Crypto",Transactions!$D$3:$D149,AH83)
-SUMIFS(Transactions!$I$3:$I149,Transactions!$H$3:$H149,"Sell",Transactions!$F$3:$F149,"Crypto",Transactions!$D$3:$D149,AH83)
+SUMIFS(Transactions!$I$3:$I149,Transactions!$H$3:$H149,"Buy",Transactions!$F$3:$F149,"Stablecoin",Transactions!$D$3:$D149,AH83)
+SUMIFS(Transactions!$I$3:$I149,Transactions!$H$3:$H149,"Crypto Interest",Transactions!$F$3:$F149,"Stablecoin",Transactions!$D$3:$D149,AH83)
+SUMIFS(Transactions!$I$3:$I149,Transactions!$H$3:$H149,"Transfer Deposit",Transactions!$F$3:$F149,"Stablecoin",Transactions!$D$3:$D149,AH83)
-SUMIFS(Transactions!$I$3:$I149,Transactions!$H$3:$H149,"Transfer Send",Transactions!$F$3:$F149,"Stablecoin",Transactions!$D$3:$D149,AH83)
-SUMIFS(Transactions!$I$3:$I149,Transactions!$H$3:$H149,"Sell",Transactions!$F$3:$F149,"Stablecoin",Transactions!$D$3:$D149,AH83)
-SUMIFS(Transactions!$M$3:$M149,Transactions!$H$3:$H149,"Buy",Transactions!$B$3:$B149,AH83)))</f>
        <v/>
      </c>
      <c r="AJ83" s="181" t="str">
        <f>IFERROR(__xludf.DUMMYFUNCTION("IF(ISBLANK(AH83),"""",VLOOKUP(9^99,FILTER({ROW(Transactions!P:P),Transactions!P:P},Transactions!D:D=AH83),2))"),"")</f>
        <v/>
      </c>
      <c r="AK83" s="181" t="str">
        <f>IFERROR(__xludf.DUMMYFUNCTION("IF(ISBLANK(AH83),"""",IFERROR(GOOGLEFINANCE(AH83,""price""),IFERROR(GOOGLEFINANCE(""CURRENCY:""&amp;AH83&amp;""""),IFERROR(INDEX(YAHOO_STOCK(TRIM(AH83), $G$2),0,1),INDEX(IMPORTHTML(CONCAT(""https://coinmarketcap.com/currencies/"",AG83),""table"",1),1,2)))))"),"")</f>
        <v/>
      </c>
      <c r="AL83" s="14" t="str">
        <f>IFERROR(__xludf.DUMMYFUNCTION("IF(ISBLANK(AH83),"""",IFERROR(SPARKLINE(INDEX(GOOGLEFINANCE(AH83,""price"",TODAY()-$AL$2,TODAY()),,2),{""charttype"",""column"";""color"",""17a7e0""}),""""))"),"")</f>
        <v/>
      </c>
      <c r="AM83" s="50" t="str">
        <f>IFERROR(__xludf.DUMMYFUNCTION("IFNA(IFERROR(IF(AH83="""","""",GOOGLEFINANCE(AH83,""changepct"")/100),(GOOGLEFINANCE(AH83)-(INDEX(GOOGLEFINANCE(""CURRENCY:""&amp;AH83&amp;"""",""price"",TODAY()-1),2,2)))/(INDEX(GOOGLEFINANCE(""CURRENCY:""&amp;AH83&amp;"""",""price"",TODAY()-1),2,2))),)"),"")</f>
        <v/>
      </c>
      <c r="AN83" s="96" t="str">
        <f>IFERROR(__xludf.DUMMYFUNCTION("IFNA(IFERROR(IF(AH83="""","""",GOOGLEFINANCE(AH83,""change"")*AI83),(GOOGLEFINANCE(AH83)-(INDEX(GOOGLEFINANCE(""CURRENCY:""&amp;AH83&amp;"""",""price"",TODAY()-1),2,2)))*AI83),"""")"),"")</f>
        <v/>
      </c>
      <c r="AO83" s="96" t="str">
        <f>IF(ISBLANK(AH83),"",IFERROR(((AI83-SUMIFS(Transactions!I:I,Transactions!H:H,"Crypto Interest",Transactions!D:D,AH83))*AJ83),""))</f>
        <v/>
      </c>
      <c r="AP83" s="96" t="str">
        <f t="shared" si="16"/>
        <v/>
      </c>
      <c r="AQ83" s="50" t="str">
        <f t="shared" si="17"/>
        <v/>
      </c>
      <c r="AR83" s="96" t="str">
        <f t="shared" si="18"/>
        <v/>
      </c>
      <c r="AS83" s="96" t="str">
        <f>IF(ISBLANK(AH83),"",SUMIFS(Transactions!$X$3:$X149,Transactions!$H$3:$H149,"Sell",Transactions!$D$3:$D149,AH83))</f>
        <v/>
      </c>
      <c r="AT83" s="96" t="str">
        <f t="shared" si="19"/>
        <v/>
      </c>
      <c r="AU83" s="50" t="str">
        <f>IFERROR(__xludf.DUMMYFUNCTION("IF(ISBLANK(AH83),"""",IFERROR((GOOGLEFINANCE(AH83,""price"")/INDEX(GOOGLEFINANCE(AH83,""price"",DATEVALUE(TODAY()-$AU$2) ),2,2)-1),""""))"),"")</f>
        <v/>
      </c>
      <c r="AW83" s="50" t="str">
        <f>IFERROR(__xludf.DUMMYFUNCTION("IF(ISBLANK(AH83),"""",IFERROR((GOOGLEFINANCE($AW$2,""price"")/INDEX(GOOGLEFINANCE($AW$2,""price"",DATEVALUE(TODAY()-$AU$2) ),2,2)-1),""""))"),"")</f>
        <v/>
      </c>
      <c r="AY83" s="50" t="str">
        <f t="shared" si="20"/>
        <v/>
      </c>
      <c r="AZ83" s="50" t="str">
        <f t="shared" si="21"/>
        <v/>
      </c>
      <c r="BA83" s="50">
        <f t="shared" si="22"/>
        <v>0</v>
      </c>
      <c r="BB83" s="14" t="str">
        <f t="shared" si="23"/>
        <v/>
      </c>
      <c r="BC83" s="14" t="str">
        <f>IF(ISBLANK(AH83),"",IFERROR(VLOOKUP(AH83,Transactions!D:F,3,0)))</f>
        <v/>
      </c>
      <c r="BD83" s="50" t="str">
        <f t="shared" si="24"/>
        <v/>
      </c>
      <c r="BE83" s="50" t="str">
        <f t="shared" si="25"/>
        <v/>
      </c>
      <c r="BF83" s="14" t="str">
        <f t="shared" si="26"/>
        <v/>
      </c>
      <c r="BG83" s="180" t="str">
        <f>IF(ISBLANK(AH83),"",IFERROR(VLOOKUP(AH83,Transactions!D:G,4,0)))</f>
        <v/>
      </c>
    </row>
    <row r="84">
      <c r="A84" s="14" t="str">
        <f t="shared" ref="A84:C84" si="107">AG84</f>
        <v/>
      </c>
      <c r="B84" s="14" t="str">
        <f t="shared" si="107"/>
        <v/>
      </c>
      <c r="C84" s="175" t="str">
        <f t="shared" si="107"/>
        <v/>
      </c>
      <c r="D84" s="176" t="str">
        <f>IFERROR(__xludf.DUMMYFUNCTION("IF(ISBLANK(B84),"""",IFERROR(IF(OR(AF84=""GPB"",AF84=""ZAR""),IF(AF84=Dashboard!$L$1,AJ84,(AJ84*GOOGLEFINANCE(""CURRENCY:""&amp;AF84&amp;""""&amp;Dashboard!$L$1&amp;""""))/100),IF(AF84=Dashboard!$L$1,AJ84,AJ84*GOOGLEFINANCE(""CURRENCY:""&amp;AF84&amp;""""&amp;Dashboard!$L$1&amp;""""))),"&amp;"AJ84))"),"")</f>
        <v/>
      </c>
      <c r="E84" s="177" t="str">
        <f>IFERROR(__xludf.DUMMYFUNCTION("IFERROR(IF(OR(AF84=""GBP"",AF84=""ZAR""),IF(B84="""","""",IF(AF84=Dashboard!$L$1,AK84,AK84*GOOGLEFINANCE(""CURRENCY:""&amp;AF84&amp;""""&amp;Dashboard!$L$1&amp;"""")))/100,If(B84="""","""",IF(AF84=Dashboard!$L$1,AK84,AK84*GOOGLEFINANCE(""CURRENCY:""&amp;AF84&amp;""""&amp;Dashboard!$"&amp;"L$1&amp;"""")))),AK84)"),"")</f>
        <v/>
      </c>
      <c r="F84" s="145" t="str">
        <f t="shared" si="65"/>
        <v/>
      </c>
      <c r="G84" s="96" t="str">
        <f>IFERROR(__xludf.DUMMYFUNCTION("IF(ISBLANK(B84),"""",IFERROR(SPARKLINE(INDEX(GOOGLEFINANCE(B84,""price"",TODAY()-$G$2,TODAY()),,2),{""charttype"",""column"";""color"",""17a7e0""}),""""))"),"")</f>
        <v/>
      </c>
      <c r="H84" s="50" t="str">
        <f t="shared" si="3"/>
        <v/>
      </c>
      <c r="I84" s="96" t="str">
        <f>IFERROR(__xludf.DUMMYFUNCTION("IF(ISBLANK(B84),"""",IFERROR(IF(OR(AF84=""GPB"",AF84=""ZAR""),IF(AF84=Dashboard!$L$1,AN84,(AN84*GOOGLEFINANCE(""CURRENCY:""&amp;AF84&amp;""""&amp;Dashboard!$L$1&amp;""""))/100),IF(AF84=Dashboard!$L$1,AN84,AN84*GOOGLEFINANCE(""CURRENCY:""&amp;AF84&amp;""""&amp;Dashboard!$L$1&amp;""""))),"&amp;"AN84))"),"")</f>
        <v/>
      </c>
      <c r="J84" s="178" t="str">
        <f>IF(ISBLANK(B84),"",IFERROR(((C84-SUMIFS(Transactions!I:I,Transactions!H:H,"Crypto Interest",Transactions!D:D,B84))*D84),""))</f>
        <v/>
      </c>
      <c r="K84" s="178" t="str">
        <f t="shared" si="4"/>
        <v/>
      </c>
      <c r="L84" s="145">
        <f>IF(ISBLANK(AF84),"",SUMIFS(Transactions!$M$3:$M149,Transactions!$H$3:$H149,"Buy",Transactions!$D$3:$D149,AF84))</f>
        <v>0</v>
      </c>
      <c r="M84" s="145">
        <f>IF(ISBLANK(AG84),"",SUMIFS(Transactions!$M$3:$M149,Transactions!$H$3:$H149,"Dividend",Transactions!$D$3:$D149,AG84))</f>
        <v>0</v>
      </c>
      <c r="N84" s="145" t="str">
        <f>IF(ISBLANK(AH84),"",SUMIFS(Transactions!$M$3:$M149,Transactions!$H$3:$H149,"Sell",Transactions!$D$3:$D149,AH84))</f>
        <v/>
      </c>
      <c r="O84" s="50" t="str">
        <f t="shared" si="5"/>
        <v/>
      </c>
      <c r="P84" s="178" t="str">
        <f t="shared" si="6"/>
        <v/>
      </c>
      <c r="Q84" s="178" t="str">
        <f>IFERROR(__xludf.DUMMYFUNCTION("IF(ISBLANK(B84),"""",IFERROR(IF(OR(AF84=""GPB"",AF84=""ZAR""),IF(AF84=Dashboard!$L$1,AS84,(AS84*GOOGLEFINANCE(""CURRENCY:""&amp;AF84&amp;""""&amp;Dashboard!$L$1&amp;""""))/100),IF(AF84=Dashboard!$L$1,AS84,AS84*GOOGLEFINANCE(""CURRENCY:""&amp;AF84&amp;""""&amp;Dashboard!$L$1&amp;""""))),"&amp;"AS84))"),"")</f>
        <v/>
      </c>
      <c r="R84" s="178" t="str">
        <f t="shared" si="7"/>
        <v/>
      </c>
      <c r="S84" s="50" t="str">
        <f>IFERROR(__xludf.DUMMYFUNCTION("IF(ISBLANK(B84),"""",IFERROR((GOOGLEFINANCE(B84,""price"")/INDEX(GOOGLEFINANCE(B84,""price"",DATEVALUE(TODAY()-$S$2) ),2,2)-1),""""))"),"")</f>
        <v/>
      </c>
      <c r="U84" s="50" t="str">
        <f>IFERROR(__xludf.DUMMYFUNCTION("IF(ISBLANK(B84),"""",IFERROR((GOOGLEFINANCE($U$2,""price"")/INDEX(GOOGLEFINANCE($U$2,""price"",DATEVALUE(TODAY()-$S$2) ),2,2)-1),""""))"),"")</f>
        <v/>
      </c>
      <c r="W84" s="50" t="str">
        <f t="shared" si="8"/>
        <v/>
      </c>
      <c r="X84" s="50" t="str">
        <f t="shared" si="9"/>
        <v/>
      </c>
      <c r="Y84" s="179">
        <v>0.0</v>
      </c>
      <c r="Z84" s="50" t="str">
        <f t="shared" si="10"/>
        <v/>
      </c>
      <c r="AA84" s="14" t="str">
        <f t="shared" si="11"/>
        <v/>
      </c>
      <c r="AB84" s="50" t="str">
        <f t="shared" si="12"/>
        <v/>
      </c>
      <c r="AC84" s="179" t="str">
        <f t="shared" si="13"/>
        <v/>
      </c>
      <c r="AD84" s="50" t="str">
        <f t="shared" si="14"/>
        <v/>
      </c>
      <c r="AE84" s="180" t="str">
        <f t="shared" si="15"/>
        <v/>
      </c>
      <c r="AF84" s="14" t="str">
        <f t="array" ref="AF84">IFERROR(IF(ISBLANK(AH84),"",IF(VLOOKUP(AH84,Transactions!D:F,3,0)="Stablecoin",AH84,INDEX(Transactions!$B$3:$B149,MATCH(AH84,Transactions!$D$3:$D149,0),0))))</f>
        <v/>
      </c>
      <c r="AG84" s="14" t="str">
        <f>IF(ISBLANK(AH84),"",VLOOKUP(AH84,Transactions!D:E,2,0))</f>
        <v/>
      </c>
      <c r="AH84" s="14"/>
      <c r="AI84" s="146" t="str">
        <f>IF(ISBLANK(AH84),"",IF(
SUMIFS(Transactions!$I$3:$I149,Transactions!$H$3:$H149,"Buy",Transactions!$F$3:$F149,"Stock",Transactions!$D$3:$D149,AH84)
+SUMIFS(Transactions!$I$3:$I149,Transactions!$H$3:$H149,"DRIP",Transactions!$F$3:$F149,"Stock",Transactions!$D$3:$D149,AH84)
+SUMIFS(Transactions!$I$3:$I149,Transactions!$H$3:$H149,"Transfer Deposit",Transactions!$F$3:$F149,"Stock",Transactions!$D$3:$D149,AH84)
+SUMIFS(Transactions!$I$3:$I149,Transactions!$H$3:$H149,"Buy",Transactions!$F$3:$F149,"ETF",Transactions!$D$3:$D149,AH84)
+SUMIFS(Transactions!$I$3:$I149,Transactions!$H$3:$H149,"DRIP",Transactions!$F$3:$F149,"ETF",Transactions!$D$3:$D149,AH84)
+SUMIFS(Transactions!$I$3:$I149,Transactions!$H$3:$H149,"Transfer Deposit",Transactions!$F$3:$F149,"ETF",Transactions!$D$3:$D149,AH84)
+SUMIFS(Transactions!$I$3:$I149,Transactions!$H$3:$H149,"Buy",Transactions!$F$3:$F149,"Commodity",Transactions!$D$3:$D149,AH84)
+SUMIFS(Transactions!$I$3:$I149,Transactions!$H$3:$H149,"DRIP",Transactions!$F$3:$F149,"Commodity",Transactions!$D$3:$D149,AH84)
+SUMIFS(Transactions!$I$3:$I149,Transactions!$H$3:$H149,"Transfer Deposit",Transactions!$F$3:$F149,"Commodity",Transactions!$D$3:$D149,AH84)
+SUMIFS(Transactions!$I$3:$I149,Transactions!$H$3:$H149,"Buy",Transactions!$F$3:$F149,"Managed Fund",Transactions!$D$3:$D149,AH84)
+SUMIFS(Transactions!$I$3:$I149,Transactions!$H$3:$H149,"DRIP",Transactions!$F$3:$F149,"Managed Fund",Transactions!$D$3:$D149,AH84)
+SUMIFS(Transactions!$I$3:$I149,Transactions!$H$3:$H149,"Transfer Deposit",Transactions!$F$3:$F149,"Managed Fund",Transactions!$D$3:$D149,AH84)
+SUMIFS(Transactions!$I$3:$I149,Transactions!$H$3:$H149,"Buy",Transactions!$F$3:$F149,"REIT",Transactions!$D$3:$D149,AH84)
+SUMIFS(Transactions!$I$3:$I149,Transactions!$H$3:$H149,"DRIP",Transactions!$F$3:$F149,"REIT",Transactions!$D$3:$D149,AH84)
+SUMIFS(Transactions!$I$3:$I149,Transactions!$H$3:$H149,"Transfer Deposit",Transactions!$F$3:$F149,"REIT",Transactions!$D$3:$D149,AH84)
-SUMIFS(Transactions!$I$3:$I149,Transactions!$H$3:$H149,"Sell",Transactions!$F$3:$F149,"Stock",Transactions!$D$3:$D149,AH84)
-SUMIFS(Transactions!$I$3:$I149,Transactions!$H$3:$H149,"Transfer Send",Transactions!$F$3:$F149,"Stock",Transactions!$D$3:$D149,AH84)
-SUMIFS(Transactions!$I$3:$I149,Transactions!$H$3:$H149,"Sell",Transactions!$F$3:$F149,"ETF",Transactions!$D$3:$D149,AH84)
-SUMIFS(Transactions!$I$3:$I149,Transactions!$H$3:$H149,"Transfer Send",Transactions!$F$3:$F149,"ETF",Transactions!$D$3:$D149,AH84)
-SUMIFS(Transactions!$I$3:$I149,Transactions!$H$3:$H149,"Sell",Transactions!$F$3:$F149,"Commodity",Transactions!$D$3:$D149,AH84)
-SUMIFS(Transactions!$I$3:$I149,Transactions!$H$3:$H149,"Transfer Send",Transactions!$F$3:$F149,"Commodity",Transactions!$D$3:$D149,AH84)
-SUMIFS(Transactions!$I$3:$I149,Transactions!$H$3:$H149,"Sell",Transactions!$F$3:$F149,"Managed Fund",Transactions!$D$3:$D149,AH84)
-SUMIFS(Transactions!$I$3:$I149,Transactions!$H$3:$H149,"Transfer Send",Transactions!$F$3:$F149,"Managed Fund",Transactions!$D$3:$D149,AH84)
-SUMIFS(Transactions!$I$3:$I149,Transactions!$H$3:$H149,"Sell",Transactions!$F$3:$F149,"REIT",Transactions!$D$3:$D149,AH84)
-SUMIFS(Transactions!$I$3:$I149,Transactions!$H$3:$H149,"Transfer Send",Transactions!$F$3:$F149,"REIT",Transactions!$D$3:$D149,AH84)
+SUMIFS(Transactions!$I$3:$I149,Transactions!$H$3:$H149,"Buy",Transactions!$F$3:$F149,"Crypto",Transactions!$D$3:$D149,AH84)
+SUMIFS(Transactions!$I$3:$I149,Transactions!$H$3:$H149,"Crypto Interest",Transactions!$F$3:$F149,"Crypto",Transactions!$D$3:$D149,AH84)
+SUMIFS(Transactions!$I$3:$I149,Transactions!$H$3:$H149,"Transfer Deposit",Transactions!$F$3:$F149,"Crypto",Transactions!$D$3:$D149,AH84)
-SUMIFS(Transactions!$I$3:$I149,Transactions!$H$3:$H149,"Transfer Send",Transactions!$F$3:$F149,"Crypto",Transactions!$D$3:$D149,AH84)
-SUMIFS(Transactions!$I$3:$I149,Transactions!$H$3:$H149,"Sell",Transactions!$F$3:$F149,"Crypto",Transactions!$D$3:$D149,AH84)
+SUMIFS(Transactions!$I$3:$I149,Transactions!$H$3:$H149,"Buy",Transactions!$F$3:$F149,"Stablecoin",Transactions!$D$3:$D149,AH84)
+SUMIFS(Transactions!$I$3:$I149,Transactions!$H$3:$H149,"Crypto Interest",Transactions!$F$3:$F149,"Stablecoin",Transactions!$D$3:$D149,AH84)
+SUMIFS(Transactions!$I$3:$I149,Transactions!$H$3:$H149,"Transfer Deposit",Transactions!$F$3:$F149,"Stablecoin",Transactions!$D$3:$D149,AH84)
-SUMIFS(Transactions!$I$3:$I149,Transactions!$H$3:$H149,"Transfer Send",Transactions!$F$3:$F149,"Stablecoin",Transactions!$D$3:$D149,AH84)
-SUMIFS(Transactions!$I$3:$I149,Transactions!$H$3:$H149,"Sell",Transactions!$F$3:$F149,"Stablecoin",Transactions!$D$3:$D149,AH84)
-SUMIFS(Transactions!$M$3:$M149,Transactions!$H$3:$H149,"Buy",Transactions!$B$3:$B149,AH84)=0,"Sold All",
SUMIFS(Transactions!$I$3:$I149,Transactions!$H$3:$H149,"Buy",Transactions!$F$3:$F149,"Stock",Transactions!$D$3:$D149,AH84)
+SUMIFS(Transactions!$I$3:$I149,Transactions!$H$3:$H149,"DRIP",Transactions!$F$3:$F149,"Stock",Transactions!$D$3:$D149,AH84)
+SUMIFS(Transactions!$I$3:$I149,Transactions!$H$3:$H149,"Transfer Deposit",Transactions!$F$3:$F149,"Stock",Transactions!$D$3:$D149,AH84)
+SUMIFS(Transactions!$I$3:$I149,Transactions!$H$3:$H149,"Buy",Transactions!$F$3:$F149,"ETF",Transactions!$D$3:$D149,AH84)
+SUMIFS(Transactions!$I$3:$I149,Transactions!$H$3:$H149,"DRIP",Transactions!$F$3:$F149,"ETF",Transactions!$D$3:$D149,AH84)
+SUMIFS(Transactions!$I$3:$I149,Transactions!$H$3:$H149,"Transfer Deposit",Transactions!$F$3:$F149,"ETF",Transactions!$D$3:$D149,AH84)
+SUMIFS(Transactions!$I$3:$I149,Transactions!$H$3:$H149,"Buy",Transactions!$F$3:$F149,"Commodity",Transactions!$D$3:$D149,AH84)
+SUMIFS(Transactions!$I$3:$I149,Transactions!$H$3:$H149,"DRIP",Transactions!$F$3:$F149,"Commodity",Transactions!$D$3:$D149,AH84)
+SUMIFS(Transactions!$I$3:$I149,Transactions!$H$3:$H149,"Transfer Deposit",Transactions!$F$3:$F149,"Commodity",Transactions!$D$3:$D149,AH84)
+SUMIFS(Transactions!$I$3:$I149,Transactions!$H$3:$H149,"Buy",Transactions!$F$3:$F149,"Managed Fund",Transactions!$D$3:$D149,AH84)
+SUMIFS(Transactions!$I$3:$I149,Transactions!$H$3:$H149,"DRIP",Transactions!$F$3:$F149,"Managed Fund",Transactions!$D$3:$D149,AH84)
+SUMIFS(Transactions!$I$3:$I149,Transactions!$H$3:$H149,"Transfer Deposit",Transactions!$F$3:$F149,"Managed Fund",Transactions!$D$3:$D149,AH84)
+SUMIFS(Transactions!$I$3:$I149,Transactions!$H$3:$H149,"Buy",Transactions!$F$3:$F149,"REIT",Transactions!$D$3:$D149,AH84)
+SUMIFS(Transactions!$I$3:$I149,Transactions!$H$3:$H149,"DRIP",Transactions!$F$3:$F149,"REIT",Transactions!$D$3:$D149,AH84)
+SUMIFS(Transactions!$I$3:$I149,Transactions!$H$3:$H149,"Transfer Deposit",Transactions!$F$3:$F149,"REIT",Transactions!$D$3:$D149,AH84)
-SUMIFS(Transactions!$I$3:$I149,Transactions!$H$3:$H149,"Sell",Transactions!$F$3:$F149,"Stock",Transactions!$D$3:$D149,AH84)
-SUMIFS(Transactions!$I$3:$I149,Transactions!$H$3:$H149,"Transfer Send",Transactions!$F$3:$F149,"Stock",Transactions!$D$3:$D149,AH84)
-SUMIFS(Transactions!$I$3:$I149,Transactions!$H$3:$H149,"Sell",Transactions!$F$3:$F149,"ETF",Transactions!$D$3:$D149,AH84)
-SUMIFS(Transactions!$I$3:$I149,Transactions!$H$3:$H149,"Transfer Send",Transactions!$F$3:$F149,"ETF",Transactions!$D$3:$D149,AH84)
-SUMIFS(Transactions!$I$3:$I149,Transactions!$H$3:$H149,"Sell",Transactions!$F$3:$F149,"Commodity",Transactions!$D$3:$D149,AH84)
-SUMIFS(Transactions!$I$3:$I149,Transactions!$H$3:$H149,"Transfer Send",Transactions!$F$3:$F149,"Commodity",Transactions!$D$3:$D149,AH84)
-SUMIFS(Transactions!$I$3:$I149,Transactions!$H$3:$H149,"Sell",Transactions!$F$3:$F149,"Managed Fund",Transactions!$D$3:$D149,AH84)
-SUMIFS(Transactions!$I$3:$I149,Transactions!$H$3:$H149,"Transfer Send",Transactions!$F$3:$F149,"Managed Fund",Transactions!$D$3:$D149,AH84)
-SUMIFS(Transactions!$I$3:$I149,Transactions!$H$3:$H149,"Sell",Transactions!$F$3:$F149,"REIT",Transactions!$D$3:$D149,AH84)
-SUMIFS(Transactions!$I$3:$I149,Transactions!$H$3:$H149,"Transfer Send",Transactions!$F$3:$F149,"REIT",Transactions!$D$3:$D149,AH84)
+SUMIFS(Transactions!$I$3:$I149,Transactions!$H$3:$H149,"Buy",Transactions!$F$3:$F149,"Crypto",Transactions!$D$3:$D149,AH84)
+SUMIFS(Transactions!$I$3:$I149,Transactions!$H$3:$H149,"Crypto Interest",Transactions!$F$3:$F149,"Crypto",Transactions!$D$3:$D149,AH84)
+SUMIFS(Transactions!$I$3:$I149,Transactions!$H$3:$H149,"Transfer Deposit",Transactions!$F$3:$F149,"Crypto",Transactions!$D$3:$D149,AH84)
-SUMIFS(Transactions!$I$3:$I149,Transactions!$H$3:$H149,"Transfer Send",Transactions!$F$3:$F149,"Crypto",Transactions!$D$3:$D149,AH84)
-SUMIFS(Transactions!$I$3:$I149,Transactions!$H$3:$H149,"Sell",Transactions!$F$3:$F149,"Crypto",Transactions!$D$3:$D149,AH84)
+SUMIFS(Transactions!$I$3:$I149,Transactions!$H$3:$H149,"Buy",Transactions!$F$3:$F149,"Stablecoin",Transactions!$D$3:$D149,AH84)
+SUMIFS(Transactions!$I$3:$I149,Transactions!$H$3:$H149,"Crypto Interest",Transactions!$F$3:$F149,"Stablecoin",Transactions!$D$3:$D149,AH84)
+SUMIFS(Transactions!$I$3:$I149,Transactions!$H$3:$H149,"Transfer Deposit",Transactions!$F$3:$F149,"Stablecoin",Transactions!$D$3:$D149,AH84)
-SUMIFS(Transactions!$I$3:$I149,Transactions!$H$3:$H149,"Transfer Send",Transactions!$F$3:$F149,"Stablecoin",Transactions!$D$3:$D149,AH84)
-SUMIFS(Transactions!$I$3:$I149,Transactions!$H$3:$H149,"Sell",Transactions!$F$3:$F149,"Stablecoin",Transactions!$D$3:$D149,AH84)
-SUMIFS(Transactions!$M$3:$M149,Transactions!$H$3:$H149,"Buy",Transactions!$B$3:$B149,AH84)))</f>
        <v/>
      </c>
      <c r="AJ84" s="181" t="str">
        <f>IFERROR(__xludf.DUMMYFUNCTION("IF(ISBLANK(AH84),"""",VLOOKUP(9^99,FILTER({ROW(Transactions!P:P),Transactions!P:P},Transactions!D:D=AH84),2))"),"")</f>
        <v/>
      </c>
      <c r="AK84" s="181" t="str">
        <f>IFERROR(__xludf.DUMMYFUNCTION("IF(ISBLANK(AH84),"""",IFERROR(GOOGLEFINANCE(AH84,""price""),IFERROR(GOOGLEFINANCE(""CURRENCY:""&amp;AH84&amp;""""),IFERROR(INDEX(YAHOO_STOCK(TRIM(AH84), $G$2),0,1),INDEX(IMPORTHTML(CONCAT(""https://coinmarketcap.com/currencies/"",AG84),""table"",1),1,2)))))"),"")</f>
        <v/>
      </c>
      <c r="AL84" s="14" t="str">
        <f>IFERROR(__xludf.DUMMYFUNCTION("IF(ISBLANK(AH84),"""",IFERROR(SPARKLINE(INDEX(GOOGLEFINANCE(AH84,""price"",TODAY()-$AL$2,TODAY()),,2),{""charttype"",""column"";""color"",""17a7e0""}),""""))"),"")</f>
        <v/>
      </c>
      <c r="AM84" s="50" t="str">
        <f>IFERROR(__xludf.DUMMYFUNCTION("IFNA(IFERROR(IF(AH84="""","""",GOOGLEFINANCE(AH84,""changepct"")/100),(GOOGLEFINANCE(AH84)-(INDEX(GOOGLEFINANCE(""CURRENCY:""&amp;AH84&amp;"""",""price"",TODAY()-1),2,2)))/(INDEX(GOOGLEFINANCE(""CURRENCY:""&amp;AH84&amp;"""",""price"",TODAY()-1),2,2))),)"),"")</f>
        <v/>
      </c>
      <c r="AN84" s="96" t="str">
        <f>IFERROR(__xludf.DUMMYFUNCTION("IFNA(IFERROR(IF(AH84="""","""",GOOGLEFINANCE(AH84,""change"")*AI84),(GOOGLEFINANCE(AH84)-(INDEX(GOOGLEFINANCE(""CURRENCY:""&amp;AH84&amp;"""",""price"",TODAY()-1),2,2)))*AI84),"""")"),"")</f>
        <v/>
      </c>
      <c r="AO84" s="96" t="str">
        <f>IF(ISBLANK(AH84),"",IFERROR(((AI84-SUMIFS(Transactions!I:I,Transactions!H:H,"Crypto Interest",Transactions!D:D,AH84))*AJ84),""))</f>
        <v/>
      </c>
      <c r="AP84" s="96" t="str">
        <f t="shared" si="16"/>
        <v/>
      </c>
      <c r="AQ84" s="50" t="str">
        <f t="shared" si="17"/>
        <v/>
      </c>
      <c r="AR84" s="96" t="str">
        <f t="shared" si="18"/>
        <v/>
      </c>
      <c r="AS84" s="96" t="str">
        <f>IF(ISBLANK(AH84),"",SUMIFS(Transactions!$X$3:$X149,Transactions!$H$3:$H149,"Sell",Transactions!$D$3:$D149,AH84))</f>
        <v/>
      </c>
      <c r="AT84" s="96" t="str">
        <f t="shared" si="19"/>
        <v/>
      </c>
      <c r="AU84" s="50" t="str">
        <f>IFERROR(__xludf.DUMMYFUNCTION("IF(ISBLANK(AH84),"""",IFERROR((GOOGLEFINANCE(AH84,""price"")/INDEX(GOOGLEFINANCE(AH84,""price"",DATEVALUE(TODAY()-$AU$2) ),2,2)-1),""""))"),"")</f>
        <v/>
      </c>
      <c r="AW84" s="50" t="str">
        <f>IFERROR(__xludf.DUMMYFUNCTION("IF(ISBLANK(AH84),"""",IFERROR((GOOGLEFINANCE($AW$2,""price"")/INDEX(GOOGLEFINANCE($AW$2,""price"",DATEVALUE(TODAY()-$AU$2) ),2,2)-1),""""))"),"")</f>
        <v/>
      </c>
      <c r="AY84" s="50" t="str">
        <f t="shared" si="20"/>
        <v/>
      </c>
      <c r="AZ84" s="50" t="str">
        <f t="shared" si="21"/>
        <v/>
      </c>
      <c r="BA84" s="50">
        <f t="shared" si="22"/>
        <v>0</v>
      </c>
      <c r="BB84" s="14" t="str">
        <f t="shared" si="23"/>
        <v/>
      </c>
      <c r="BC84" s="14" t="str">
        <f>IF(ISBLANK(AH84),"",IFERROR(VLOOKUP(AH84,Transactions!D:F,3,0)))</f>
        <v/>
      </c>
      <c r="BD84" s="50" t="str">
        <f t="shared" si="24"/>
        <v/>
      </c>
      <c r="BE84" s="50" t="str">
        <f t="shared" si="25"/>
        <v/>
      </c>
      <c r="BF84" s="14" t="str">
        <f t="shared" si="26"/>
        <v/>
      </c>
      <c r="BG84" s="180" t="str">
        <f>IF(ISBLANK(AH84),"",IFERROR(VLOOKUP(AH84,Transactions!D:G,4,0)))</f>
        <v/>
      </c>
    </row>
    <row r="85">
      <c r="A85" s="14" t="str">
        <f t="shared" ref="A85:C85" si="108">AG85</f>
        <v/>
      </c>
      <c r="B85" s="14" t="str">
        <f t="shared" si="108"/>
        <v/>
      </c>
      <c r="C85" s="175" t="str">
        <f t="shared" si="108"/>
        <v/>
      </c>
      <c r="D85" s="176" t="str">
        <f>IFERROR(__xludf.DUMMYFUNCTION("IF(ISBLANK(B85),"""",IFERROR(IF(OR(AF85=""GPB"",AF85=""ZAR""),IF(AF85=Dashboard!$L$1,AJ85,(AJ85*GOOGLEFINANCE(""CURRENCY:""&amp;AF85&amp;""""&amp;Dashboard!$L$1&amp;""""))/100),IF(AF85=Dashboard!$L$1,AJ85,AJ85*GOOGLEFINANCE(""CURRENCY:""&amp;AF85&amp;""""&amp;Dashboard!$L$1&amp;""""))),"&amp;"AJ85))"),"")</f>
        <v/>
      </c>
      <c r="E85" s="177" t="str">
        <f>IFERROR(__xludf.DUMMYFUNCTION("IFERROR(IF(OR(AF85=""GBP"",AF85=""ZAR""),IF(B85="""","""",IF(AF85=Dashboard!$L$1,AK85,AK85*GOOGLEFINANCE(""CURRENCY:""&amp;AF85&amp;""""&amp;Dashboard!$L$1&amp;"""")))/100,If(B85="""","""",IF(AF85=Dashboard!$L$1,AK85,AK85*GOOGLEFINANCE(""CURRENCY:""&amp;AF85&amp;""""&amp;Dashboard!$"&amp;"L$1&amp;"""")))),AK85)"),"")</f>
        <v/>
      </c>
      <c r="F85" s="145" t="str">
        <f t="shared" si="65"/>
        <v/>
      </c>
      <c r="G85" s="96" t="str">
        <f>IFERROR(__xludf.DUMMYFUNCTION("IF(ISBLANK(B85),"""",IFERROR(SPARKLINE(INDEX(GOOGLEFINANCE(B85,""price"",TODAY()-$G$2,TODAY()),,2),{""charttype"",""column"";""color"",""17a7e0""}),""""))"),"")</f>
        <v/>
      </c>
      <c r="H85" s="50" t="str">
        <f t="shared" si="3"/>
        <v/>
      </c>
      <c r="I85" s="96" t="str">
        <f>IFERROR(__xludf.DUMMYFUNCTION("IF(ISBLANK(B85),"""",IFERROR(IF(OR(AF85=""GPB"",AF85=""ZAR""),IF(AF85=Dashboard!$L$1,AN85,(AN85*GOOGLEFINANCE(""CURRENCY:""&amp;AF85&amp;""""&amp;Dashboard!$L$1&amp;""""))/100),IF(AF85=Dashboard!$L$1,AN85,AN85*GOOGLEFINANCE(""CURRENCY:""&amp;AF85&amp;""""&amp;Dashboard!$L$1&amp;""""))),"&amp;"AN85))"),"")</f>
        <v/>
      </c>
      <c r="J85" s="178" t="str">
        <f>IF(ISBLANK(B85),"",IFERROR(((C85-SUMIFS(Transactions!I:I,Transactions!H:H,"Crypto Interest",Transactions!D:D,B85))*D85),""))</f>
        <v/>
      </c>
      <c r="K85" s="178" t="str">
        <f t="shared" si="4"/>
        <v/>
      </c>
      <c r="L85" s="145">
        <f>IF(ISBLANK(AF85),"",SUMIFS(Transactions!$M$3:$M149,Transactions!$H$3:$H149,"Buy",Transactions!$D$3:$D149,AF85))</f>
        <v>0</v>
      </c>
      <c r="M85" s="145">
        <f>IF(ISBLANK(AG85),"",SUMIFS(Transactions!$M$3:$M149,Transactions!$H$3:$H149,"Dividend",Transactions!$D$3:$D149,AG85))</f>
        <v>0</v>
      </c>
      <c r="N85" s="145" t="str">
        <f>IF(ISBLANK(AH85),"",SUMIFS(Transactions!$M$3:$M149,Transactions!$H$3:$H149,"Sell",Transactions!$D$3:$D149,AH85))</f>
        <v/>
      </c>
      <c r="O85" s="50" t="str">
        <f t="shared" si="5"/>
        <v/>
      </c>
      <c r="P85" s="178" t="str">
        <f t="shared" si="6"/>
        <v/>
      </c>
      <c r="Q85" s="178" t="str">
        <f>IFERROR(__xludf.DUMMYFUNCTION("IF(ISBLANK(B85),"""",IFERROR(IF(OR(AF85=""GPB"",AF85=""ZAR""),IF(AF85=Dashboard!$L$1,AS85,(AS85*GOOGLEFINANCE(""CURRENCY:""&amp;AF85&amp;""""&amp;Dashboard!$L$1&amp;""""))/100),IF(AF85=Dashboard!$L$1,AS85,AS85*GOOGLEFINANCE(""CURRENCY:""&amp;AF85&amp;""""&amp;Dashboard!$L$1&amp;""""))),"&amp;"AS85))"),"")</f>
        <v/>
      </c>
      <c r="R85" s="178" t="str">
        <f t="shared" si="7"/>
        <v/>
      </c>
      <c r="S85" s="50" t="str">
        <f>IFERROR(__xludf.DUMMYFUNCTION("IF(ISBLANK(B85),"""",IFERROR((GOOGLEFINANCE(B85,""price"")/INDEX(GOOGLEFINANCE(B85,""price"",DATEVALUE(TODAY()-$S$2) ),2,2)-1),""""))"),"")</f>
        <v/>
      </c>
      <c r="U85" s="50" t="str">
        <f>IFERROR(__xludf.DUMMYFUNCTION("IF(ISBLANK(B85),"""",IFERROR((GOOGLEFINANCE($U$2,""price"")/INDEX(GOOGLEFINANCE($U$2,""price"",DATEVALUE(TODAY()-$S$2) ),2,2)-1),""""))"),"")</f>
        <v/>
      </c>
      <c r="W85" s="50" t="str">
        <f t="shared" si="8"/>
        <v/>
      </c>
      <c r="X85" s="50" t="str">
        <f t="shared" si="9"/>
        <v/>
      </c>
      <c r="Y85" s="179">
        <v>0.0</v>
      </c>
      <c r="Z85" s="50" t="str">
        <f t="shared" si="10"/>
        <v/>
      </c>
      <c r="AA85" s="14" t="str">
        <f t="shared" si="11"/>
        <v/>
      </c>
      <c r="AB85" s="50" t="str">
        <f t="shared" si="12"/>
        <v/>
      </c>
      <c r="AC85" s="179" t="str">
        <f t="shared" si="13"/>
        <v/>
      </c>
      <c r="AD85" s="50" t="str">
        <f t="shared" si="14"/>
        <v/>
      </c>
      <c r="AE85" s="180" t="str">
        <f t="shared" si="15"/>
        <v/>
      </c>
      <c r="AF85" s="14" t="str">
        <f t="array" ref="AF85">IFERROR(IF(ISBLANK(AH85),"",IF(VLOOKUP(AH85,Transactions!D:F,3,0)="Stablecoin",AH85,INDEX(Transactions!$B$3:$B149,MATCH(AH85,Transactions!$D$3:$D149,0),0))))</f>
        <v/>
      </c>
      <c r="AG85" s="14" t="str">
        <f>IF(ISBLANK(AH85),"",VLOOKUP(AH85,Transactions!D:E,2,0))</f>
        <v/>
      </c>
      <c r="AH85" s="14"/>
      <c r="AI85" s="146" t="str">
        <f>IF(ISBLANK(AH85),"",IF(
SUMIFS(Transactions!$I$3:$I149,Transactions!$H$3:$H149,"Buy",Transactions!$F$3:$F149,"Stock",Transactions!$D$3:$D149,AH85)
+SUMIFS(Transactions!$I$3:$I149,Transactions!$H$3:$H149,"DRIP",Transactions!$F$3:$F149,"Stock",Transactions!$D$3:$D149,AH85)
+SUMIFS(Transactions!$I$3:$I149,Transactions!$H$3:$H149,"Transfer Deposit",Transactions!$F$3:$F149,"Stock",Transactions!$D$3:$D149,AH85)
+SUMIFS(Transactions!$I$3:$I149,Transactions!$H$3:$H149,"Buy",Transactions!$F$3:$F149,"ETF",Transactions!$D$3:$D149,AH85)
+SUMIFS(Transactions!$I$3:$I149,Transactions!$H$3:$H149,"DRIP",Transactions!$F$3:$F149,"ETF",Transactions!$D$3:$D149,AH85)
+SUMIFS(Transactions!$I$3:$I149,Transactions!$H$3:$H149,"Transfer Deposit",Transactions!$F$3:$F149,"ETF",Transactions!$D$3:$D149,AH85)
+SUMIFS(Transactions!$I$3:$I149,Transactions!$H$3:$H149,"Buy",Transactions!$F$3:$F149,"Commodity",Transactions!$D$3:$D149,AH85)
+SUMIFS(Transactions!$I$3:$I149,Transactions!$H$3:$H149,"DRIP",Transactions!$F$3:$F149,"Commodity",Transactions!$D$3:$D149,AH85)
+SUMIFS(Transactions!$I$3:$I149,Transactions!$H$3:$H149,"Transfer Deposit",Transactions!$F$3:$F149,"Commodity",Transactions!$D$3:$D149,AH85)
+SUMIFS(Transactions!$I$3:$I149,Transactions!$H$3:$H149,"Buy",Transactions!$F$3:$F149,"Managed Fund",Transactions!$D$3:$D149,AH85)
+SUMIFS(Transactions!$I$3:$I149,Transactions!$H$3:$H149,"DRIP",Transactions!$F$3:$F149,"Managed Fund",Transactions!$D$3:$D149,AH85)
+SUMIFS(Transactions!$I$3:$I149,Transactions!$H$3:$H149,"Transfer Deposit",Transactions!$F$3:$F149,"Managed Fund",Transactions!$D$3:$D149,AH85)
+SUMIFS(Transactions!$I$3:$I149,Transactions!$H$3:$H149,"Buy",Transactions!$F$3:$F149,"REIT",Transactions!$D$3:$D149,AH85)
+SUMIFS(Transactions!$I$3:$I149,Transactions!$H$3:$H149,"DRIP",Transactions!$F$3:$F149,"REIT",Transactions!$D$3:$D149,AH85)
+SUMIFS(Transactions!$I$3:$I149,Transactions!$H$3:$H149,"Transfer Deposit",Transactions!$F$3:$F149,"REIT",Transactions!$D$3:$D149,AH85)
-SUMIFS(Transactions!$I$3:$I149,Transactions!$H$3:$H149,"Sell",Transactions!$F$3:$F149,"Stock",Transactions!$D$3:$D149,AH85)
-SUMIFS(Transactions!$I$3:$I149,Transactions!$H$3:$H149,"Transfer Send",Transactions!$F$3:$F149,"Stock",Transactions!$D$3:$D149,AH85)
-SUMIFS(Transactions!$I$3:$I149,Transactions!$H$3:$H149,"Sell",Transactions!$F$3:$F149,"ETF",Transactions!$D$3:$D149,AH85)
-SUMIFS(Transactions!$I$3:$I149,Transactions!$H$3:$H149,"Transfer Send",Transactions!$F$3:$F149,"ETF",Transactions!$D$3:$D149,AH85)
-SUMIFS(Transactions!$I$3:$I149,Transactions!$H$3:$H149,"Sell",Transactions!$F$3:$F149,"Commodity",Transactions!$D$3:$D149,AH85)
-SUMIFS(Transactions!$I$3:$I149,Transactions!$H$3:$H149,"Transfer Send",Transactions!$F$3:$F149,"Commodity",Transactions!$D$3:$D149,AH85)
-SUMIFS(Transactions!$I$3:$I149,Transactions!$H$3:$H149,"Sell",Transactions!$F$3:$F149,"Managed Fund",Transactions!$D$3:$D149,AH85)
-SUMIFS(Transactions!$I$3:$I149,Transactions!$H$3:$H149,"Transfer Send",Transactions!$F$3:$F149,"Managed Fund",Transactions!$D$3:$D149,AH85)
-SUMIFS(Transactions!$I$3:$I149,Transactions!$H$3:$H149,"Sell",Transactions!$F$3:$F149,"REIT",Transactions!$D$3:$D149,AH85)
-SUMIFS(Transactions!$I$3:$I149,Transactions!$H$3:$H149,"Transfer Send",Transactions!$F$3:$F149,"REIT",Transactions!$D$3:$D149,AH85)
+SUMIFS(Transactions!$I$3:$I149,Transactions!$H$3:$H149,"Buy",Transactions!$F$3:$F149,"Crypto",Transactions!$D$3:$D149,AH85)
+SUMIFS(Transactions!$I$3:$I149,Transactions!$H$3:$H149,"Crypto Interest",Transactions!$F$3:$F149,"Crypto",Transactions!$D$3:$D149,AH85)
+SUMIFS(Transactions!$I$3:$I149,Transactions!$H$3:$H149,"Transfer Deposit",Transactions!$F$3:$F149,"Crypto",Transactions!$D$3:$D149,AH85)
-SUMIFS(Transactions!$I$3:$I149,Transactions!$H$3:$H149,"Transfer Send",Transactions!$F$3:$F149,"Crypto",Transactions!$D$3:$D149,AH85)
-SUMIFS(Transactions!$I$3:$I149,Transactions!$H$3:$H149,"Sell",Transactions!$F$3:$F149,"Crypto",Transactions!$D$3:$D149,AH85)
+SUMIFS(Transactions!$I$3:$I149,Transactions!$H$3:$H149,"Buy",Transactions!$F$3:$F149,"Stablecoin",Transactions!$D$3:$D149,AH85)
+SUMIFS(Transactions!$I$3:$I149,Transactions!$H$3:$H149,"Crypto Interest",Transactions!$F$3:$F149,"Stablecoin",Transactions!$D$3:$D149,AH85)
+SUMIFS(Transactions!$I$3:$I149,Transactions!$H$3:$H149,"Transfer Deposit",Transactions!$F$3:$F149,"Stablecoin",Transactions!$D$3:$D149,AH85)
-SUMIFS(Transactions!$I$3:$I149,Transactions!$H$3:$H149,"Transfer Send",Transactions!$F$3:$F149,"Stablecoin",Transactions!$D$3:$D149,AH85)
-SUMIFS(Transactions!$I$3:$I149,Transactions!$H$3:$H149,"Sell",Transactions!$F$3:$F149,"Stablecoin",Transactions!$D$3:$D149,AH85)
-SUMIFS(Transactions!$M$3:$M149,Transactions!$H$3:$H149,"Buy",Transactions!$B$3:$B149,AH85)=0,"Sold All",
SUMIFS(Transactions!$I$3:$I149,Transactions!$H$3:$H149,"Buy",Transactions!$F$3:$F149,"Stock",Transactions!$D$3:$D149,AH85)
+SUMIFS(Transactions!$I$3:$I149,Transactions!$H$3:$H149,"DRIP",Transactions!$F$3:$F149,"Stock",Transactions!$D$3:$D149,AH85)
+SUMIFS(Transactions!$I$3:$I149,Transactions!$H$3:$H149,"Transfer Deposit",Transactions!$F$3:$F149,"Stock",Transactions!$D$3:$D149,AH85)
+SUMIFS(Transactions!$I$3:$I149,Transactions!$H$3:$H149,"Buy",Transactions!$F$3:$F149,"ETF",Transactions!$D$3:$D149,AH85)
+SUMIFS(Transactions!$I$3:$I149,Transactions!$H$3:$H149,"DRIP",Transactions!$F$3:$F149,"ETF",Transactions!$D$3:$D149,AH85)
+SUMIFS(Transactions!$I$3:$I149,Transactions!$H$3:$H149,"Transfer Deposit",Transactions!$F$3:$F149,"ETF",Transactions!$D$3:$D149,AH85)
+SUMIFS(Transactions!$I$3:$I149,Transactions!$H$3:$H149,"Buy",Transactions!$F$3:$F149,"Commodity",Transactions!$D$3:$D149,AH85)
+SUMIFS(Transactions!$I$3:$I149,Transactions!$H$3:$H149,"DRIP",Transactions!$F$3:$F149,"Commodity",Transactions!$D$3:$D149,AH85)
+SUMIFS(Transactions!$I$3:$I149,Transactions!$H$3:$H149,"Transfer Deposit",Transactions!$F$3:$F149,"Commodity",Transactions!$D$3:$D149,AH85)
+SUMIFS(Transactions!$I$3:$I149,Transactions!$H$3:$H149,"Buy",Transactions!$F$3:$F149,"Managed Fund",Transactions!$D$3:$D149,AH85)
+SUMIFS(Transactions!$I$3:$I149,Transactions!$H$3:$H149,"DRIP",Transactions!$F$3:$F149,"Managed Fund",Transactions!$D$3:$D149,AH85)
+SUMIFS(Transactions!$I$3:$I149,Transactions!$H$3:$H149,"Transfer Deposit",Transactions!$F$3:$F149,"Managed Fund",Transactions!$D$3:$D149,AH85)
+SUMIFS(Transactions!$I$3:$I149,Transactions!$H$3:$H149,"Buy",Transactions!$F$3:$F149,"REIT",Transactions!$D$3:$D149,AH85)
+SUMIFS(Transactions!$I$3:$I149,Transactions!$H$3:$H149,"DRIP",Transactions!$F$3:$F149,"REIT",Transactions!$D$3:$D149,AH85)
+SUMIFS(Transactions!$I$3:$I149,Transactions!$H$3:$H149,"Transfer Deposit",Transactions!$F$3:$F149,"REIT",Transactions!$D$3:$D149,AH85)
-SUMIFS(Transactions!$I$3:$I149,Transactions!$H$3:$H149,"Sell",Transactions!$F$3:$F149,"Stock",Transactions!$D$3:$D149,AH85)
-SUMIFS(Transactions!$I$3:$I149,Transactions!$H$3:$H149,"Transfer Send",Transactions!$F$3:$F149,"Stock",Transactions!$D$3:$D149,AH85)
-SUMIFS(Transactions!$I$3:$I149,Transactions!$H$3:$H149,"Sell",Transactions!$F$3:$F149,"ETF",Transactions!$D$3:$D149,AH85)
-SUMIFS(Transactions!$I$3:$I149,Transactions!$H$3:$H149,"Transfer Send",Transactions!$F$3:$F149,"ETF",Transactions!$D$3:$D149,AH85)
-SUMIFS(Transactions!$I$3:$I149,Transactions!$H$3:$H149,"Sell",Transactions!$F$3:$F149,"Commodity",Transactions!$D$3:$D149,AH85)
-SUMIFS(Transactions!$I$3:$I149,Transactions!$H$3:$H149,"Transfer Send",Transactions!$F$3:$F149,"Commodity",Transactions!$D$3:$D149,AH85)
-SUMIFS(Transactions!$I$3:$I149,Transactions!$H$3:$H149,"Sell",Transactions!$F$3:$F149,"Managed Fund",Transactions!$D$3:$D149,AH85)
-SUMIFS(Transactions!$I$3:$I149,Transactions!$H$3:$H149,"Transfer Send",Transactions!$F$3:$F149,"Managed Fund",Transactions!$D$3:$D149,AH85)
-SUMIFS(Transactions!$I$3:$I149,Transactions!$H$3:$H149,"Sell",Transactions!$F$3:$F149,"REIT",Transactions!$D$3:$D149,AH85)
-SUMIFS(Transactions!$I$3:$I149,Transactions!$H$3:$H149,"Transfer Send",Transactions!$F$3:$F149,"REIT",Transactions!$D$3:$D149,AH85)
+SUMIFS(Transactions!$I$3:$I149,Transactions!$H$3:$H149,"Buy",Transactions!$F$3:$F149,"Crypto",Transactions!$D$3:$D149,AH85)
+SUMIFS(Transactions!$I$3:$I149,Transactions!$H$3:$H149,"Crypto Interest",Transactions!$F$3:$F149,"Crypto",Transactions!$D$3:$D149,AH85)
+SUMIFS(Transactions!$I$3:$I149,Transactions!$H$3:$H149,"Transfer Deposit",Transactions!$F$3:$F149,"Crypto",Transactions!$D$3:$D149,AH85)
-SUMIFS(Transactions!$I$3:$I149,Transactions!$H$3:$H149,"Transfer Send",Transactions!$F$3:$F149,"Crypto",Transactions!$D$3:$D149,AH85)
-SUMIFS(Transactions!$I$3:$I149,Transactions!$H$3:$H149,"Sell",Transactions!$F$3:$F149,"Crypto",Transactions!$D$3:$D149,AH85)
+SUMIFS(Transactions!$I$3:$I149,Transactions!$H$3:$H149,"Buy",Transactions!$F$3:$F149,"Stablecoin",Transactions!$D$3:$D149,AH85)
+SUMIFS(Transactions!$I$3:$I149,Transactions!$H$3:$H149,"Crypto Interest",Transactions!$F$3:$F149,"Stablecoin",Transactions!$D$3:$D149,AH85)
+SUMIFS(Transactions!$I$3:$I149,Transactions!$H$3:$H149,"Transfer Deposit",Transactions!$F$3:$F149,"Stablecoin",Transactions!$D$3:$D149,AH85)
-SUMIFS(Transactions!$I$3:$I149,Transactions!$H$3:$H149,"Transfer Send",Transactions!$F$3:$F149,"Stablecoin",Transactions!$D$3:$D149,AH85)
-SUMIFS(Transactions!$I$3:$I149,Transactions!$H$3:$H149,"Sell",Transactions!$F$3:$F149,"Stablecoin",Transactions!$D$3:$D149,AH85)
-SUMIFS(Transactions!$M$3:$M149,Transactions!$H$3:$H149,"Buy",Transactions!$B$3:$B149,AH85)))</f>
        <v/>
      </c>
      <c r="AJ85" s="181" t="str">
        <f>IFERROR(__xludf.DUMMYFUNCTION("IF(ISBLANK(AH85),"""",VLOOKUP(9^99,FILTER({ROW(Transactions!P:P),Transactions!P:P},Transactions!D:D=AH85),2))"),"")</f>
        <v/>
      </c>
      <c r="AK85" s="181" t="str">
        <f>IFERROR(__xludf.DUMMYFUNCTION("IF(ISBLANK(AH85),"""",IFERROR(GOOGLEFINANCE(AH85,""price""),IFERROR(GOOGLEFINANCE(""CURRENCY:""&amp;AH85&amp;""""),IFERROR(INDEX(YAHOO_STOCK(TRIM(AH85), $G$2),0,1),INDEX(IMPORTHTML(CONCAT(""https://coinmarketcap.com/currencies/"",AG85),""table"",1),1,2)))))"),"")</f>
        <v/>
      </c>
      <c r="AL85" s="14" t="str">
        <f>IFERROR(__xludf.DUMMYFUNCTION("IF(ISBLANK(AH85),"""",IFERROR(SPARKLINE(INDEX(GOOGLEFINANCE(AH85,""price"",TODAY()-$AL$2,TODAY()),,2),{""charttype"",""column"";""color"",""17a7e0""}),""""))"),"")</f>
        <v/>
      </c>
      <c r="AM85" s="50" t="str">
        <f>IFERROR(__xludf.DUMMYFUNCTION("IFNA(IFERROR(IF(AH85="""","""",GOOGLEFINANCE(AH85,""changepct"")/100),(GOOGLEFINANCE(AH85)-(INDEX(GOOGLEFINANCE(""CURRENCY:""&amp;AH85&amp;"""",""price"",TODAY()-1),2,2)))/(INDEX(GOOGLEFINANCE(""CURRENCY:""&amp;AH85&amp;"""",""price"",TODAY()-1),2,2))),)"),"")</f>
        <v/>
      </c>
      <c r="AN85" s="96" t="str">
        <f>IFERROR(__xludf.DUMMYFUNCTION("IFNA(IFERROR(IF(AH85="""","""",GOOGLEFINANCE(AH85,""change"")*AI85),(GOOGLEFINANCE(AH85)-(INDEX(GOOGLEFINANCE(""CURRENCY:""&amp;AH85&amp;"""",""price"",TODAY()-1),2,2)))*AI85),"""")"),"")</f>
        <v/>
      </c>
      <c r="AO85" s="96" t="str">
        <f>IF(ISBLANK(AH85),"",IFERROR(((AI85-SUMIFS(Transactions!I:I,Transactions!H:H,"Crypto Interest",Transactions!D:D,AH85))*AJ85),""))</f>
        <v/>
      </c>
      <c r="AP85" s="96" t="str">
        <f t="shared" si="16"/>
        <v/>
      </c>
      <c r="AQ85" s="50" t="str">
        <f t="shared" si="17"/>
        <v/>
      </c>
      <c r="AR85" s="96" t="str">
        <f t="shared" si="18"/>
        <v/>
      </c>
      <c r="AS85" s="96" t="str">
        <f>IF(ISBLANK(AH85),"",SUMIFS(Transactions!$X$3:$X149,Transactions!$H$3:$H149,"Sell",Transactions!$D$3:$D149,AH85))</f>
        <v/>
      </c>
      <c r="AT85" s="96" t="str">
        <f t="shared" si="19"/>
        <v/>
      </c>
      <c r="AU85" s="50" t="str">
        <f>IFERROR(__xludf.DUMMYFUNCTION("IF(ISBLANK(AH85),"""",IFERROR((GOOGLEFINANCE(AH85,""price"")/INDEX(GOOGLEFINANCE(AH85,""price"",DATEVALUE(TODAY()-$AU$2) ),2,2)-1),""""))"),"")</f>
        <v/>
      </c>
      <c r="AW85" s="50" t="str">
        <f>IFERROR(__xludf.DUMMYFUNCTION("IF(ISBLANK(AH85),"""",IFERROR((GOOGLEFINANCE($AW$2,""price"")/INDEX(GOOGLEFINANCE($AW$2,""price"",DATEVALUE(TODAY()-$AU$2) ),2,2)-1),""""))"),"")</f>
        <v/>
      </c>
      <c r="AY85" s="50" t="str">
        <f t="shared" si="20"/>
        <v/>
      </c>
      <c r="AZ85" s="50" t="str">
        <f t="shared" si="21"/>
        <v/>
      </c>
      <c r="BA85" s="50">
        <f t="shared" si="22"/>
        <v>0</v>
      </c>
      <c r="BB85" s="14" t="str">
        <f t="shared" si="23"/>
        <v/>
      </c>
      <c r="BC85" s="14" t="str">
        <f>IF(ISBLANK(AH85),"",IFERROR(VLOOKUP(AH85,Transactions!D:F,3,0)))</f>
        <v/>
      </c>
      <c r="BD85" s="50" t="str">
        <f t="shared" si="24"/>
        <v/>
      </c>
      <c r="BE85" s="50" t="str">
        <f t="shared" si="25"/>
        <v/>
      </c>
      <c r="BF85" s="14" t="str">
        <f t="shared" si="26"/>
        <v/>
      </c>
      <c r="BG85" s="180" t="str">
        <f>IF(ISBLANK(AH85),"",IFERROR(VLOOKUP(AH85,Transactions!D:G,4,0)))</f>
        <v/>
      </c>
    </row>
    <row r="86">
      <c r="A86" s="14" t="str">
        <f t="shared" ref="A86:C86" si="109">AG86</f>
        <v/>
      </c>
      <c r="B86" s="14" t="str">
        <f t="shared" si="109"/>
        <v/>
      </c>
      <c r="C86" s="175" t="str">
        <f t="shared" si="109"/>
        <v/>
      </c>
      <c r="D86" s="176" t="str">
        <f>IFERROR(__xludf.DUMMYFUNCTION("IF(ISBLANK(B86),"""",IFERROR(IF(OR(AF86=""GPB"",AF86=""ZAR""),IF(AF86=Dashboard!$L$1,AJ86,(AJ86*GOOGLEFINANCE(""CURRENCY:""&amp;AF86&amp;""""&amp;Dashboard!$L$1&amp;""""))/100),IF(AF86=Dashboard!$L$1,AJ86,AJ86*GOOGLEFINANCE(""CURRENCY:""&amp;AF86&amp;""""&amp;Dashboard!$L$1&amp;""""))),"&amp;"AJ86))"),"")</f>
        <v/>
      </c>
      <c r="E86" s="177" t="str">
        <f>IFERROR(__xludf.DUMMYFUNCTION("IFERROR(IF(OR(AF86=""GBP"",AF86=""ZAR""),IF(B86="""","""",IF(AF86=Dashboard!$L$1,AK86,AK86*GOOGLEFINANCE(""CURRENCY:""&amp;AF86&amp;""""&amp;Dashboard!$L$1&amp;"""")))/100,If(B86="""","""",IF(AF86=Dashboard!$L$1,AK86,AK86*GOOGLEFINANCE(""CURRENCY:""&amp;AF86&amp;""""&amp;Dashboard!$"&amp;"L$1&amp;"""")))),AK86)"),"")</f>
        <v/>
      </c>
      <c r="F86" s="145" t="str">
        <f t="shared" si="65"/>
        <v/>
      </c>
      <c r="G86" s="96" t="str">
        <f>IFERROR(__xludf.DUMMYFUNCTION("IF(ISBLANK(B86),"""",IFERROR(SPARKLINE(INDEX(GOOGLEFINANCE(B86,""price"",TODAY()-$G$2,TODAY()),,2),{""charttype"",""column"";""color"",""17a7e0""}),""""))"),"")</f>
        <v/>
      </c>
      <c r="H86" s="50" t="str">
        <f t="shared" si="3"/>
        <v/>
      </c>
      <c r="I86" s="96" t="str">
        <f>IFERROR(__xludf.DUMMYFUNCTION("IF(ISBLANK(B86),"""",IFERROR(IF(OR(AF86=""GPB"",AF86=""ZAR""),IF(AF86=Dashboard!$L$1,AN86,(AN86*GOOGLEFINANCE(""CURRENCY:""&amp;AF86&amp;""""&amp;Dashboard!$L$1&amp;""""))/100),IF(AF86=Dashboard!$L$1,AN86,AN86*GOOGLEFINANCE(""CURRENCY:""&amp;AF86&amp;""""&amp;Dashboard!$L$1&amp;""""))),"&amp;"AN86))"),"")</f>
        <v/>
      </c>
      <c r="J86" s="178" t="str">
        <f>IF(ISBLANK(B86),"",IFERROR(((C86-SUMIFS(Transactions!I:I,Transactions!H:H,"Crypto Interest",Transactions!D:D,B86))*D86),""))</f>
        <v/>
      </c>
      <c r="K86" s="178" t="str">
        <f t="shared" si="4"/>
        <v/>
      </c>
      <c r="L86" s="145">
        <f>IF(ISBLANK(AF86),"",SUMIFS(Transactions!$M$3:$M149,Transactions!$H$3:$H149,"Buy",Transactions!$D$3:$D149,AF86))</f>
        <v>0</v>
      </c>
      <c r="M86" s="145">
        <f>IF(ISBLANK(AG86),"",SUMIFS(Transactions!$M$3:$M149,Transactions!$H$3:$H149,"Dividend",Transactions!$D$3:$D149,AG86))</f>
        <v>0</v>
      </c>
      <c r="N86" s="145" t="str">
        <f>IF(ISBLANK(AH86),"",SUMIFS(Transactions!$M$3:$M149,Transactions!$H$3:$H149,"Sell",Transactions!$D$3:$D149,AH86))</f>
        <v/>
      </c>
      <c r="O86" s="50" t="str">
        <f t="shared" si="5"/>
        <v/>
      </c>
      <c r="P86" s="178" t="str">
        <f t="shared" si="6"/>
        <v/>
      </c>
      <c r="Q86" s="178" t="str">
        <f>IFERROR(__xludf.DUMMYFUNCTION("IF(ISBLANK(B86),"""",IFERROR(IF(OR(AF86=""GPB"",AF86=""ZAR""),IF(AF86=Dashboard!$L$1,AS86,(AS86*GOOGLEFINANCE(""CURRENCY:""&amp;AF86&amp;""""&amp;Dashboard!$L$1&amp;""""))/100),IF(AF86=Dashboard!$L$1,AS86,AS86*GOOGLEFINANCE(""CURRENCY:""&amp;AF86&amp;""""&amp;Dashboard!$L$1&amp;""""))),"&amp;"AS86))"),"")</f>
        <v/>
      </c>
      <c r="R86" s="178" t="str">
        <f t="shared" si="7"/>
        <v/>
      </c>
      <c r="S86" s="50" t="str">
        <f>IFERROR(__xludf.DUMMYFUNCTION("IF(ISBLANK(B86),"""",IFERROR((GOOGLEFINANCE(B86,""price"")/INDEX(GOOGLEFINANCE(B86,""price"",DATEVALUE(TODAY()-$S$2) ),2,2)-1),""""))"),"")</f>
        <v/>
      </c>
      <c r="U86" s="50" t="str">
        <f>IFERROR(__xludf.DUMMYFUNCTION("IF(ISBLANK(B86),"""",IFERROR((GOOGLEFINANCE($U$2,""price"")/INDEX(GOOGLEFINANCE($U$2,""price"",DATEVALUE(TODAY()-$S$2) ),2,2)-1),""""))"),"")</f>
        <v/>
      </c>
      <c r="W86" s="50" t="str">
        <f t="shared" si="8"/>
        <v/>
      </c>
      <c r="X86" s="50" t="str">
        <f t="shared" si="9"/>
        <v/>
      </c>
      <c r="Y86" s="179">
        <v>0.0</v>
      </c>
      <c r="Z86" s="50" t="str">
        <f t="shared" si="10"/>
        <v/>
      </c>
      <c r="AA86" s="14" t="str">
        <f t="shared" si="11"/>
        <v/>
      </c>
      <c r="AB86" s="50" t="str">
        <f t="shared" si="12"/>
        <v/>
      </c>
      <c r="AC86" s="179" t="str">
        <f t="shared" si="13"/>
        <v/>
      </c>
      <c r="AD86" s="50" t="str">
        <f t="shared" si="14"/>
        <v/>
      </c>
      <c r="AE86" s="180" t="str">
        <f t="shared" si="15"/>
        <v/>
      </c>
      <c r="AF86" s="14" t="str">
        <f t="array" ref="AF86">IFERROR(IF(ISBLANK(AH86),"",IF(VLOOKUP(AH86,Transactions!D:F,3,0)="Stablecoin",AH86,INDEX(Transactions!$B$3:$B149,MATCH(AH86,Transactions!$D$3:$D149,0),0))))</f>
        <v/>
      </c>
      <c r="AG86" s="14" t="str">
        <f>IF(ISBLANK(AH86),"",VLOOKUP(AH86,Transactions!D:E,2,0))</f>
        <v/>
      </c>
      <c r="AH86" s="14"/>
      <c r="AI86" s="146" t="str">
        <f>IF(ISBLANK(AH86),"",IF(
SUMIFS(Transactions!$I$3:$I149,Transactions!$H$3:$H149,"Buy",Transactions!$F$3:$F149,"Stock",Transactions!$D$3:$D149,AH86)
+SUMIFS(Transactions!$I$3:$I149,Transactions!$H$3:$H149,"DRIP",Transactions!$F$3:$F149,"Stock",Transactions!$D$3:$D149,AH86)
+SUMIFS(Transactions!$I$3:$I149,Transactions!$H$3:$H149,"Transfer Deposit",Transactions!$F$3:$F149,"Stock",Transactions!$D$3:$D149,AH86)
+SUMIFS(Transactions!$I$3:$I149,Transactions!$H$3:$H149,"Buy",Transactions!$F$3:$F149,"ETF",Transactions!$D$3:$D149,AH86)
+SUMIFS(Transactions!$I$3:$I149,Transactions!$H$3:$H149,"DRIP",Transactions!$F$3:$F149,"ETF",Transactions!$D$3:$D149,AH86)
+SUMIFS(Transactions!$I$3:$I149,Transactions!$H$3:$H149,"Transfer Deposit",Transactions!$F$3:$F149,"ETF",Transactions!$D$3:$D149,AH86)
+SUMIFS(Transactions!$I$3:$I149,Transactions!$H$3:$H149,"Buy",Transactions!$F$3:$F149,"Commodity",Transactions!$D$3:$D149,AH86)
+SUMIFS(Transactions!$I$3:$I149,Transactions!$H$3:$H149,"DRIP",Transactions!$F$3:$F149,"Commodity",Transactions!$D$3:$D149,AH86)
+SUMIFS(Transactions!$I$3:$I149,Transactions!$H$3:$H149,"Transfer Deposit",Transactions!$F$3:$F149,"Commodity",Transactions!$D$3:$D149,AH86)
+SUMIFS(Transactions!$I$3:$I149,Transactions!$H$3:$H149,"Buy",Transactions!$F$3:$F149,"Managed Fund",Transactions!$D$3:$D149,AH86)
+SUMIFS(Transactions!$I$3:$I149,Transactions!$H$3:$H149,"DRIP",Transactions!$F$3:$F149,"Managed Fund",Transactions!$D$3:$D149,AH86)
+SUMIFS(Transactions!$I$3:$I149,Transactions!$H$3:$H149,"Transfer Deposit",Transactions!$F$3:$F149,"Managed Fund",Transactions!$D$3:$D149,AH86)
+SUMIFS(Transactions!$I$3:$I149,Transactions!$H$3:$H149,"Buy",Transactions!$F$3:$F149,"REIT",Transactions!$D$3:$D149,AH86)
+SUMIFS(Transactions!$I$3:$I149,Transactions!$H$3:$H149,"DRIP",Transactions!$F$3:$F149,"REIT",Transactions!$D$3:$D149,AH86)
+SUMIFS(Transactions!$I$3:$I149,Transactions!$H$3:$H149,"Transfer Deposit",Transactions!$F$3:$F149,"REIT",Transactions!$D$3:$D149,AH86)
-SUMIFS(Transactions!$I$3:$I149,Transactions!$H$3:$H149,"Sell",Transactions!$F$3:$F149,"Stock",Transactions!$D$3:$D149,AH86)
-SUMIFS(Transactions!$I$3:$I149,Transactions!$H$3:$H149,"Transfer Send",Transactions!$F$3:$F149,"Stock",Transactions!$D$3:$D149,AH86)
-SUMIFS(Transactions!$I$3:$I149,Transactions!$H$3:$H149,"Sell",Transactions!$F$3:$F149,"ETF",Transactions!$D$3:$D149,AH86)
-SUMIFS(Transactions!$I$3:$I149,Transactions!$H$3:$H149,"Transfer Send",Transactions!$F$3:$F149,"ETF",Transactions!$D$3:$D149,AH86)
-SUMIFS(Transactions!$I$3:$I149,Transactions!$H$3:$H149,"Sell",Transactions!$F$3:$F149,"Commodity",Transactions!$D$3:$D149,AH86)
-SUMIFS(Transactions!$I$3:$I149,Transactions!$H$3:$H149,"Transfer Send",Transactions!$F$3:$F149,"Commodity",Transactions!$D$3:$D149,AH86)
-SUMIFS(Transactions!$I$3:$I149,Transactions!$H$3:$H149,"Sell",Transactions!$F$3:$F149,"Managed Fund",Transactions!$D$3:$D149,AH86)
-SUMIFS(Transactions!$I$3:$I149,Transactions!$H$3:$H149,"Transfer Send",Transactions!$F$3:$F149,"Managed Fund",Transactions!$D$3:$D149,AH86)
-SUMIFS(Transactions!$I$3:$I149,Transactions!$H$3:$H149,"Sell",Transactions!$F$3:$F149,"REIT",Transactions!$D$3:$D149,AH86)
-SUMIFS(Transactions!$I$3:$I149,Transactions!$H$3:$H149,"Transfer Send",Transactions!$F$3:$F149,"REIT",Transactions!$D$3:$D149,AH86)
+SUMIFS(Transactions!$I$3:$I149,Transactions!$H$3:$H149,"Buy",Transactions!$F$3:$F149,"Crypto",Transactions!$D$3:$D149,AH86)
+SUMIFS(Transactions!$I$3:$I149,Transactions!$H$3:$H149,"Crypto Interest",Transactions!$F$3:$F149,"Crypto",Transactions!$D$3:$D149,AH86)
+SUMIFS(Transactions!$I$3:$I149,Transactions!$H$3:$H149,"Transfer Deposit",Transactions!$F$3:$F149,"Crypto",Transactions!$D$3:$D149,AH86)
-SUMIFS(Transactions!$I$3:$I149,Transactions!$H$3:$H149,"Transfer Send",Transactions!$F$3:$F149,"Crypto",Transactions!$D$3:$D149,AH86)
-SUMIFS(Transactions!$I$3:$I149,Transactions!$H$3:$H149,"Sell",Transactions!$F$3:$F149,"Crypto",Transactions!$D$3:$D149,AH86)
+SUMIFS(Transactions!$I$3:$I149,Transactions!$H$3:$H149,"Buy",Transactions!$F$3:$F149,"Stablecoin",Transactions!$D$3:$D149,AH86)
+SUMIFS(Transactions!$I$3:$I149,Transactions!$H$3:$H149,"Crypto Interest",Transactions!$F$3:$F149,"Stablecoin",Transactions!$D$3:$D149,AH86)
+SUMIFS(Transactions!$I$3:$I149,Transactions!$H$3:$H149,"Transfer Deposit",Transactions!$F$3:$F149,"Stablecoin",Transactions!$D$3:$D149,AH86)
-SUMIFS(Transactions!$I$3:$I149,Transactions!$H$3:$H149,"Transfer Send",Transactions!$F$3:$F149,"Stablecoin",Transactions!$D$3:$D149,AH86)
-SUMIFS(Transactions!$I$3:$I149,Transactions!$H$3:$H149,"Sell",Transactions!$F$3:$F149,"Stablecoin",Transactions!$D$3:$D149,AH86)
-SUMIFS(Transactions!$M$3:$M149,Transactions!$H$3:$H149,"Buy",Transactions!$B$3:$B149,AH86)=0,"Sold All",
SUMIFS(Transactions!$I$3:$I149,Transactions!$H$3:$H149,"Buy",Transactions!$F$3:$F149,"Stock",Transactions!$D$3:$D149,AH86)
+SUMIFS(Transactions!$I$3:$I149,Transactions!$H$3:$H149,"DRIP",Transactions!$F$3:$F149,"Stock",Transactions!$D$3:$D149,AH86)
+SUMIFS(Transactions!$I$3:$I149,Transactions!$H$3:$H149,"Transfer Deposit",Transactions!$F$3:$F149,"Stock",Transactions!$D$3:$D149,AH86)
+SUMIFS(Transactions!$I$3:$I149,Transactions!$H$3:$H149,"Buy",Transactions!$F$3:$F149,"ETF",Transactions!$D$3:$D149,AH86)
+SUMIFS(Transactions!$I$3:$I149,Transactions!$H$3:$H149,"DRIP",Transactions!$F$3:$F149,"ETF",Transactions!$D$3:$D149,AH86)
+SUMIFS(Transactions!$I$3:$I149,Transactions!$H$3:$H149,"Transfer Deposit",Transactions!$F$3:$F149,"ETF",Transactions!$D$3:$D149,AH86)
+SUMIFS(Transactions!$I$3:$I149,Transactions!$H$3:$H149,"Buy",Transactions!$F$3:$F149,"Commodity",Transactions!$D$3:$D149,AH86)
+SUMIFS(Transactions!$I$3:$I149,Transactions!$H$3:$H149,"DRIP",Transactions!$F$3:$F149,"Commodity",Transactions!$D$3:$D149,AH86)
+SUMIFS(Transactions!$I$3:$I149,Transactions!$H$3:$H149,"Transfer Deposit",Transactions!$F$3:$F149,"Commodity",Transactions!$D$3:$D149,AH86)
+SUMIFS(Transactions!$I$3:$I149,Transactions!$H$3:$H149,"Buy",Transactions!$F$3:$F149,"Managed Fund",Transactions!$D$3:$D149,AH86)
+SUMIFS(Transactions!$I$3:$I149,Transactions!$H$3:$H149,"DRIP",Transactions!$F$3:$F149,"Managed Fund",Transactions!$D$3:$D149,AH86)
+SUMIFS(Transactions!$I$3:$I149,Transactions!$H$3:$H149,"Transfer Deposit",Transactions!$F$3:$F149,"Managed Fund",Transactions!$D$3:$D149,AH86)
+SUMIFS(Transactions!$I$3:$I149,Transactions!$H$3:$H149,"Buy",Transactions!$F$3:$F149,"REIT",Transactions!$D$3:$D149,AH86)
+SUMIFS(Transactions!$I$3:$I149,Transactions!$H$3:$H149,"DRIP",Transactions!$F$3:$F149,"REIT",Transactions!$D$3:$D149,AH86)
+SUMIFS(Transactions!$I$3:$I149,Transactions!$H$3:$H149,"Transfer Deposit",Transactions!$F$3:$F149,"REIT",Transactions!$D$3:$D149,AH86)
-SUMIFS(Transactions!$I$3:$I149,Transactions!$H$3:$H149,"Sell",Transactions!$F$3:$F149,"Stock",Transactions!$D$3:$D149,AH86)
-SUMIFS(Transactions!$I$3:$I149,Transactions!$H$3:$H149,"Transfer Send",Transactions!$F$3:$F149,"Stock",Transactions!$D$3:$D149,AH86)
-SUMIFS(Transactions!$I$3:$I149,Transactions!$H$3:$H149,"Sell",Transactions!$F$3:$F149,"ETF",Transactions!$D$3:$D149,AH86)
-SUMIFS(Transactions!$I$3:$I149,Transactions!$H$3:$H149,"Transfer Send",Transactions!$F$3:$F149,"ETF",Transactions!$D$3:$D149,AH86)
-SUMIFS(Transactions!$I$3:$I149,Transactions!$H$3:$H149,"Sell",Transactions!$F$3:$F149,"Commodity",Transactions!$D$3:$D149,AH86)
-SUMIFS(Transactions!$I$3:$I149,Transactions!$H$3:$H149,"Transfer Send",Transactions!$F$3:$F149,"Commodity",Transactions!$D$3:$D149,AH86)
-SUMIFS(Transactions!$I$3:$I149,Transactions!$H$3:$H149,"Sell",Transactions!$F$3:$F149,"Managed Fund",Transactions!$D$3:$D149,AH86)
-SUMIFS(Transactions!$I$3:$I149,Transactions!$H$3:$H149,"Transfer Send",Transactions!$F$3:$F149,"Managed Fund",Transactions!$D$3:$D149,AH86)
-SUMIFS(Transactions!$I$3:$I149,Transactions!$H$3:$H149,"Sell",Transactions!$F$3:$F149,"REIT",Transactions!$D$3:$D149,AH86)
-SUMIFS(Transactions!$I$3:$I149,Transactions!$H$3:$H149,"Transfer Send",Transactions!$F$3:$F149,"REIT",Transactions!$D$3:$D149,AH86)
+SUMIFS(Transactions!$I$3:$I149,Transactions!$H$3:$H149,"Buy",Transactions!$F$3:$F149,"Crypto",Transactions!$D$3:$D149,AH86)
+SUMIFS(Transactions!$I$3:$I149,Transactions!$H$3:$H149,"Crypto Interest",Transactions!$F$3:$F149,"Crypto",Transactions!$D$3:$D149,AH86)
+SUMIFS(Transactions!$I$3:$I149,Transactions!$H$3:$H149,"Transfer Deposit",Transactions!$F$3:$F149,"Crypto",Transactions!$D$3:$D149,AH86)
-SUMIFS(Transactions!$I$3:$I149,Transactions!$H$3:$H149,"Transfer Send",Transactions!$F$3:$F149,"Crypto",Transactions!$D$3:$D149,AH86)
-SUMIFS(Transactions!$I$3:$I149,Transactions!$H$3:$H149,"Sell",Transactions!$F$3:$F149,"Crypto",Transactions!$D$3:$D149,AH86)
+SUMIFS(Transactions!$I$3:$I149,Transactions!$H$3:$H149,"Buy",Transactions!$F$3:$F149,"Stablecoin",Transactions!$D$3:$D149,AH86)
+SUMIFS(Transactions!$I$3:$I149,Transactions!$H$3:$H149,"Crypto Interest",Transactions!$F$3:$F149,"Stablecoin",Transactions!$D$3:$D149,AH86)
+SUMIFS(Transactions!$I$3:$I149,Transactions!$H$3:$H149,"Transfer Deposit",Transactions!$F$3:$F149,"Stablecoin",Transactions!$D$3:$D149,AH86)
-SUMIFS(Transactions!$I$3:$I149,Transactions!$H$3:$H149,"Transfer Send",Transactions!$F$3:$F149,"Stablecoin",Transactions!$D$3:$D149,AH86)
-SUMIFS(Transactions!$I$3:$I149,Transactions!$H$3:$H149,"Sell",Transactions!$F$3:$F149,"Stablecoin",Transactions!$D$3:$D149,AH86)
-SUMIFS(Transactions!$M$3:$M149,Transactions!$H$3:$H149,"Buy",Transactions!$B$3:$B149,AH86)))</f>
        <v/>
      </c>
      <c r="AJ86" s="181" t="str">
        <f>IFERROR(__xludf.DUMMYFUNCTION("IF(ISBLANK(AH86),"""",VLOOKUP(9^99,FILTER({ROW(Transactions!P:P),Transactions!P:P},Transactions!D:D=AH86),2))"),"")</f>
        <v/>
      </c>
      <c r="AK86" s="181" t="str">
        <f>IFERROR(__xludf.DUMMYFUNCTION("IF(ISBLANK(AH86),"""",IFERROR(GOOGLEFINANCE(AH86,""price""),IFERROR(GOOGLEFINANCE(""CURRENCY:""&amp;AH86&amp;""""),IFERROR(INDEX(YAHOO_STOCK(TRIM(AH86), $G$2),0,1),INDEX(IMPORTHTML(CONCAT(""https://coinmarketcap.com/currencies/"",AG86),""table"",1),1,2)))))"),"")</f>
        <v/>
      </c>
      <c r="AL86" s="14" t="str">
        <f>IFERROR(__xludf.DUMMYFUNCTION("IF(ISBLANK(AH86),"""",IFERROR(SPARKLINE(INDEX(GOOGLEFINANCE(AH86,""price"",TODAY()-$AL$2,TODAY()),,2),{""charttype"",""column"";""color"",""17a7e0""}),""""))"),"")</f>
        <v/>
      </c>
      <c r="AM86" s="50" t="str">
        <f>IFERROR(__xludf.DUMMYFUNCTION("IFNA(IFERROR(IF(AH86="""","""",GOOGLEFINANCE(AH86,""changepct"")/100),(GOOGLEFINANCE(AH86)-(INDEX(GOOGLEFINANCE(""CURRENCY:""&amp;AH86&amp;"""",""price"",TODAY()-1),2,2)))/(INDEX(GOOGLEFINANCE(""CURRENCY:""&amp;AH86&amp;"""",""price"",TODAY()-1),2,2))),)"),"")</f>
        <v/>
      </c>
      <c r="AN86" s="96" t="str">
        <f>IFERROR(__xludf.DUMMYFUNCTION("IFNA(IFERROR(IF(AH86="""","""",GOOGLEFINANCE(AH86,""change"")*AI86),(GOOGLEFINANCE(AH86)-(INDEX(GOOGLEFINANCE(""CURRENCY:""&amp;AH86&amp;"""",""price"",TODAY()-1),2,2)))*AI86),"""")"),"")</f>
        <v/>
      </c>
      <c r="AO86" s="96" t="str">
        <f>IF(ISBLANK(AH86),"",IFERROR(((AI86-SUMIFS(Transactions!I:I,Transactions!H:H,"Crypto Interest",Transactions!D:D,AH86))*AJ86),""))</f>
        <v/>
      </c>
      <c r="AP86" s="96" t="str">
        <f t="shared" si="16"/>
        <v/>
      </c>
      <c r="AQ86" s="50" t="str">
        <f t="shared" si="17"/>
        <v/>
      </c>
      <c r="AR86" s="96" t="str">
        <f t="shared" si="18"/>
        <v/>
      </c>
      <c r="AS86" s="96" t="str">
        <f>IF(ISBLANK(AH86),"",SUMIFS(Transactions!$X$3:$X149,Transactions!$H$3:$H149,"Sell",Transactions!$D$3:$D149,AH86))</f>
        <v/>
      </c>
      <c r="AT86" s="96" t="str">
        <f t="shared" si="19"/>
        <v/>
      </c>
      <c r="AU86" s="50" t="str">
        <f>IFERROR(__xludf.DUMMYFUNCTION("IF(ISBLANK(AH86),"""",IFERROR((GOOGLEFINANCE(AH86,""price"")/INDEX(GOOGLEFINANCE(AH86,""price"",DATEVALUE(TODAY()-$AU$2) ),2,2)-1),""""))"),"")</f>
        <v/>
      </c>
      <c r="AW86" s="50" t="str">
        <f>IFERROR(__xludf.DUMMYFUNCTION("IF(ISBLANK(AH86),"""",IFERROR((GOOGLEFINANCE($AW$2,""price"")/INDEX(GOOGLEFINANCE($AW$2,""price"",DATEVALUE(TODAY()-$AU$2) ),2,2)-1),""""))"),"")</f>
        <v/>
      </c>
      <c r="AY86" s="50" t="str">
        <f t="shared" si="20"/>
        <v/>
      </c>
      <c r="AZ86" s="50" t="str">
        <f t="shared" si="21"/>
        <v/>
      </c>
      <c r="BA86" s="50">
        <f t="shared" si="22"/>
        <v>0</v>
      </c>
      <c r="BB86" s="14" t="str">
        <f t="shared" si="23"/>
        <v/>
      </c>
      <c r="BC86" s="14" t="str">
        <f>IF(ISBLANK(AH86),"",IFERROR(VLOOKUP(AH86,Transactions!D:F,3,0)))</f>
        <v/>
      </c>
      <c r="BD86" s="50" t="str">
        <f t="shared" si="24"/>
        <v/>
      </c>
      <c r="BE86" s="50" t="str">
        <f t="shared" si="25"/>
        <v/>
      </c>
      <c r="BF86" s="14" t="str">
        <f t="shared" si="26"/>
        <v/>
      </c>
      <c r="BG86" s="180" t="str">
        <f>IF(ISBLANK(AH86),"",IFERROR(VLOOKUP(AH86,Transactions!D:G,4,0)))</f>
        <v/>
      </c>
    </row>
    <row r="87">
      <c r="A87" s="14" t="str">
        <f t="shared" ref="A87:C87" si="110">AG87</f>
        <v/>
      </c>
      <c r="B87" s="14" t="str">
        <f t="shared" si="110"/>
        <v/>
      </c>
      <c r="C87" s="175" t="str">
        <f t="shared" si="110"/>
        <v/>
      </c>
      <c r="D87" s="176" t="str">
        <f>IFERROR(__xludf.DUMMYFUNCTION("IF(ISBLANK(B87),"""",IFERROR(IF(OR(AF87=""GPB"",AF87=""ZAR""),IF(AF87=Dashboard!$L$1,AJ87,(AJ87*GOOGLEFINANCE(""CURRENCY:""&amp;AF87&amp;""""&amp;Dashboard!$L$1&amp;""""))/100),IF(AF87=Dashboard!$L$1,AJ87,AJ87*GOOGLEFINANCE(""CURRENCY:""&amp;AF87&amp;""""&amp;Dashboard!$L$1&amp;""""))),"&amp;"AJ87))"),"")</f>
        <v/>
      </c>
      <c r="E87" s="177" t="str">
        <f>IFERROR(__xludf.DUMMYFUNCTION("IFERROR(IF(OR(AF87=""GBP"",AF87=""ZAR""),IF(B87="""","""",IF(AF87=Dashboard!$L$1,AK87,AK87*GOOGLEFINANCE(""CURRENCY:""&amp;AF87&amp;""""&amp;Dashboard!$L$1&amp;"""")))/100,If(B87="""","""",IF(AF87=Dashboard!$L$1,AK87,AK87*GOOGLEFINANCE(""CURRENCY:""&amp;AF87&amp;""""&amp;Dashboard!$"&amp;"L$1&amp;"""")))),AK87)"),"")</f>
        <v/>
      </c>
      <c r="F87" s="145" t="str">
        <f t="shared" si="65"/>
        <v/>
      </c>
      <c r="G87" s="96" t="str">
        <f>IFERROR(__xludf.DUMMYFUNCTION("IF(ISBLANK(B87),"""",IFERROR(SPARKLINE(INDEX(GOOGLEFINANCE(B87,""price"",TODAY()-$G$2,TODAY()),,2),{""charttype"",""column"";""color"",""17a7e0""}),""""))"),"")</f>
        <v/>
      </c>
      <c r="H87" s="50" t="str">
        <f t="shared" si="3"/>
        <v/>
      </c>
      <c r="I87" s="96" t="str">
        <f>IFERROR(__xludf.DUMMYFUNCTION("IF(ISBLANK(B87),"""",IFERROR(IF(OR(AF87=""GPB"",AF87=""ZAR""),IF(AF87=Dashboard!$L$1,AN87,(AN87*GOOGLEFINANCE(""CURRENCY:""&amp;AF87&amp;""""&amp;Dashboard!$L$1&amp;""""))/100),IF(AF87=Dashboard!$L$1,AN87,AN87*GOOGLEFINANCE(""CURRENCY:""&amp;AF87&amp;""""&amp;Dashboard!$L$1&amp;""""))),"&amp;"AN87))"),"")</f>
        <v/>
      </c>
      <c r="J87" s="178" t="str">
        <f>IF(ISBLANK(B87),"",IFERROR(((C87-SUMIFS(Transactions!I:I,Transactions!H:H,"Crypto Interest",Transactions!D:D,B87))*D87),""))</f>
        <v/>
      </c>
      <c r="K87" s="178" t="str">
        <f t="shared" si="4"/>
        <v/>
      </c>
      <c r="L87" s="145">
        <f>IF(ISBLANK(AF87),"",SUMIFS(Transactions!$M$3:$M149,Transactions!$H$3:$H149,"Buy",Transactions!$D$3:$D149,AF87))</f>
        <v>0</v>
      </c>
      <c r="M87" s="145">
        <f>IF(ISBLANK(AG87),"",SUMIFS(Transactions!$M$3:$M149,Transactions!$H$3:$H149,"Dividend",Transactions!$D$3:$D149,AG87))</f>
        <v>0</v>
      </c>
      <c r="N87" s="145" t="str">
        <f>IF(ISBLANK(AH87),"",SUMIFS(Transactions!$M$3:$M149,Transactions!$H$3:$H149,"Sell",Transactions!$D$3:$D149,AH87))</f>
        <v/>
      </c>
      <c r="O87" s="50" t="str">
        <f t="shared" si="5"/>
        <v/>
      </c>
      <c r="P87" s="178" t="str">
        <f t="shared" si="6"/>
        <v/>
      </c>
      <c r="Q87" s="178" t="str">
        <f>IFERROR(__xludf.DUMMYFUNCTION("IF(ISBLANK(B87),"""",IFERROR(IF(OR(AF87=""GPB"",AF87=""ZAR""),IF(AF87=Dashboard!$L$1,AS87,(AS87*GOOGLEFINANCE(""CURRENCY:""&amp;AF87&amp;""""&amp;Dashboard!$L$1&amp;""""))/100),IF(AF87=Dashboard!$L$1,AS87,AS87*GOOGLEFINANCE(""CURRENCY:""&amp;AF87&amp;""""&amp;Dashboard!$L$1&amp;""""))),"&amp;"AS87))"),"")</f>
        <v/>
      </c>
      <c r="R87" s="178" t="str">
        <f t="shared" si="7"/>
        <v/>
      </c>
      <c r="S87" s="50" t="str">
        <f>IFERROR(__xludf.DUMMYFUNCTION("IF(ISBLANK(B87),"""",IFERROR((GOOGLEFINANCE(B87,""price"")/INDEX(GOOGLEFINANCE(B87,""price"",DATEVALUE(TODAY()-$S$2) ),2,2)-1),""""))"),"")</f>
        <v/>
      </c>
      <c r="U87" s="50" t="str">
        <f>IFERROR(__xludf.DUMMYFUNCTION("IF(ISBLANK(B87),"""",IFERROR((GOOGLEFINANCE($U$2,""price"")/INDEX(GOOGLEFINANCE($U$2,""price"",DATEVALUE(TODAY()-$S$2) ),2,2)-1),""""))"),"")</f>
        <v/>
      </c>
      <c r="W87" s="50" t="str">
        <f t="shared" si="8"/>
        <v/>
      </c>
      <c r="X87" s="50" t="str">
        <f t="shared" si="9"/>
        <v/>
      </c>
      <c r="Y87" s="179">
        <v>0.0</v>
      </c>
      <c r="Z87" s="50" t="str">
        <f t="shared" si="10"/>
        <v/>
      </c>
      <c r="AA87" s="14" t="str">
        <f t="shared" si="11"/>
        <v/>
      </c>
      <c r="AB87" s="50" t="str">
        <f t="shared" si="12"/>
        <v/>
      </c>
      <c r="AC87" s="179" t="str">
        <f t="shared" si="13"/>
        <v/>
      </c>
      <c r="AD87" s="50" t="str">
        <f t="shared" si="14"/>
        <v/>
      </c>
      <c r="AE87" s="180" t="str">
        <f t="shared" si="15"/>
        <v/>
      </c>
      <c r="AF87" s="14" t="str">
        <f t="array" ref="AF87">IFERROR(IF(ISBLANK(AH87),"",IF(VLOOKUP(AH87,Transactions!D:F,3,0)="Stablecoin",AH87,INDEX(Transactions!$B$3:$B149,MATCH(AH87,Transactions!$D$3:$D149,0),0))))</f>
        <v/>
      </c>
      <c r="AG87" s="14" t="str">
        <f>IF(ISBLANK(AH87),"",VLOOKUP(AH87,Transactions!D:E,2,0))</f>
        <v/>
      </c>
      <c r="AH87" s="14"/>
      <c r="AI87" s="146" t="str">
        <f>IF(ISBLANK(AH87),"",IF(
SUMIFS(Transactions!$I$3:$I149,Transactions!$H$3:$H149,"Buy",Transactions!$F$3:$F149,"Stock",Transactions!$D$3:$D149,AH87)
+SUMIFS(Transactions!$I$3:$I149,Transactions!$H$3:$H149,"DRIP",Transactions!$F$3:$F149,"Stock",Transactions!$D$3:$D149,AH87)
+SUMIFS(Transactions!$I$3:$I149,Transactions!$H$3:$H149,"Transfer Deposit",Transactions!$F$3:$F149,"Stock",Transactions!$D$3:$D149,AH87)
+SUMIFS(Transactions!$I$3:$I149,Transactions!$H$3:$H149,"Buy",Transactions!$F$3:$F149,"ETF",Transactions!$D$3:$D149,AH87)
+SUMIFS(Transactions!$I$3:$I149,Transactions!$H$3:$H149,"DRIP",Transactions!$F$3:$F149,"ETF",Transactions!$D$3:$D149,AH87)
+SUMIFS(Transactions!$I$3:$I149,Transactions!$H$3:$H149,"Transfer Deposit",Transactions!$F$3:$F149,"ETF",Transactions!$D$3:$D149,AH87)
+SUMIFS(Transactions!$I$3:$I149,Transactions!$H$3:$H149,"Buy",Transactions!$F$3:$F149,"Commodity",Transactions!$D$3:$D149,AH87)
+SUMIFS(Transactions!$I$3:$I149,Transactions!$H$3:$H149,"DRIP",Transactions!$F$3:$F149,"Commodity",Transactions!$D$3:$D149,AH87)
+SUMIFS(Transactions!$I$3:$I149,Transactions!$H$3:$H149,"Transfer Deposit",Transactions!$F$3:$F149,"Commodity",Transactions!$D$3:$D149,AH87)
+SUMIFS(Transactions!$I$3:$I149,Transactions!$H$3:$H149,"Buy",Transactions!$F$3:$F149,"Managed Fund",Transactions!$D$3:$D149,AH87)
+SUMIFS(Transactions!$I$3:$I149,Transactions!$H$3:$H149,"DRIP",Transactions!$F$3:$F149,"Managed Fund",Transactions!$D$3:$D149,AH87)
+SUMIFS(Transactions!$I$3:$I149,Transactions!$H$3:$H149,"Transfer Deposit",Transactions!$F$3:$F149,"Managed Fund",Transactions!$D$3:$D149,AH87)
+SUMIFS(Transactions!$I$3:$I149,Transactions!$H$3:$H149,"Buy",Transactions!$F$3:$F149,"REIT",Transactions!$D$3:$D149,AH87)
+SUMIFS(Transactions!$I$3:$I149,Transactions!$H$3:$H149,"DRIP",Transactions!$F$3:$F149,"REIT",Transactions!$D$3:$D149,AH87)
+SUMIFS(Transactions!$I$3:$I149,Transactions!$H$3:$H149,"Transfer Deposit",Transactions!$F$3:$F149,"REIT",Transactions!$D$3:$D149,AH87)
-SUMIFS(Transactions!$I$3:$I149,Transactions!$H$3:$H149,"Sell",Transactions!$F$3:$F149,"Stock",Transactions!$D$3:$D149,AH87)
-SUMIFS(Transactions!$I$3:$I149,Transactions!$H$3:$H149,"Transfer Send",Transactions!$F$3:$F149,"Stock",Transactions!$D$3:$D149,AH87)
-SUMIFS(Transactions!$I$3:$I149,Transactions!$H$3:$H149,"Sell",Transactions!$F$3:$F149,"ETF",Transactions!$D$3:$D149,AH87)
-SUMIFS(Transactions!$I$3:$I149,Transactions!$H$3:$H149,"Transfer Send",Transactions!$F$3:$F149,"ETF",Transactions!$D$3:$D149,AH87)
-SUMIFS(Transactions!$I$3:$I149,Transactions!$H$3:$H149,"Sell",Transactions!$F$3:$F149,"Commodity",Transactions!$D$3:$D149,AH87)
-SUMIFS(Transactions!$I$3:$I149,Transactions!$H$3:$H149,"Transfer Send",Transactions!$F$3:$F149,"Commodity",Transactions!$D$3:$D149,AH87)
-SUMIFS(Transactions!$I$3:$I149,Transactions!$H$3:$H149,"Sell",Transactions!$F$3:$F149,"Managed Fund",Transactions!$D$3:$D149,AH87)
-SUMIFS(Transactions!$I$3:$I149,Transactions!$H$3:$H149,"Transfer Send",Transactions!$F$3:$F149,"Managed Fund",Transactions!$D$3:$D149,AH87)
-SUMIFS(Transactions!$I$3:$I149,Transactions!$H$3:$H149,"Sell",Transactions!$F$3:$F149,"REIT",Transactions!$D$3:$D149,AH87)
-SUMIFS(Transactions!$I$3:$I149,Transactions!$H$3:$H149,"Transfer Send",Transactions!$F$3:$F149,"REIT",Transactions!$D$3:$D149,AH87)
+SUMIFS(Transactions!$I$3:$I149,Transactions!$H$3:$H149,"Buy",Transactions!$F$3:$F149,"Crypto",Transactions!$D$3:$D149,AH87)
+SUMIFS(Transactions!$I$3:$I149,Transactions!$H$3:$H149,"Crypto Interest",Transactions!$F$3:$F149,"Crypto",Transactions!$D$3:$D149,AH87)
+SUMIFS(Transactions!$I$3:$I149,Transactions!$H$3:$H149,"Transfer Deposit",Transactions!$F$3:$F149,"Crypto",Transactions!$D$3:$D149,AH87)
-SUMIFS(Transactions!$I$3:$I149,Transactions!$H$3:$H149,"Transfer Send",Transactions!$F$3:$F149,"Crypto",Transactions!$D$3:$D149,AH87)
-SUMIFS(Transactions!$I$3:$I149,Transactions!$H$3:$H149,"Sell",Transactions!$F$3:$F149,"Crypto",Transactions!$D$3:$D149,AH87)
+SUMIFS(Transactions!$I$3:$I149,Transactions!$H$3:$H149,"Buy",Transactions!$F$3:$F149,"Stablecoin",Transactions!$D$3:$D149,AH87)
+SUMIFS(Transactions!$I$3:$I149,Transactions!$H$3:$H149,"Crypto Interest",Transactions!$F$3:$F149,"Stablecoin",Transactions!$D$3:$D149,AH87)
+SUMIFS(Transactions!$I$3:$I149,Transactions!$H$3:$H149,"Transfer Deposit",Transactions!$F$3:$F149,"Stablecoin",Transactions!$D$3:$D149,AH87)
-SUMIFS(Transactions!$I$3:$I149,Transactions!$H$3:$H149,"Transfer Send",Transactions!$F$3:$F149,"Stablecoin",Transactions!$D$3:$D149,AH87)
-SUMIFS(Transactions!$I$3:$I149,Transactions!$H$3:$H149,"Sell",Transactions!$F$3:$F149,"Stablecoin",Transactions!$D$3:$D149,AH87)
-SUMIFS(Transactions!$M$3:$M149,Transactions!$H$3:$H149,"Buy",Transactions!$B$3:$B149,AH87)=0,"Sold All",
SUMIFS(Transactions!$I$3:$I149,Transactions!$H$3:$H149,"Buy",Transactions!$F$3:$F149,"Stock",Transactions!$D$3:$D149,AH87)
+SUMIFS(Transactions!$I$3:$I149,Transactions!$H$3:$H149,"DRIP",Transactions!$F$3:$F149,"Stock",Transactions!$D$3:$D149,AH87)
+SUMIFS(Transactions!$I$3:$I149,Transactions!$H$3:$H149,"Transfer Deposit",Transactions!$F$3:$F149,"Stock",Transactions!$D$3:$D149,AH87)
+SUMIFS(Transactions!$I$3:$I149,Transactions!$H$3:$H149,"Buy",Transactions!$F$3:$F149,"ETF",Transactions!$D$3:$D149,AH87)
+SUMIFS(Transactions!$I$3:$I149,Transactions!$H$3:$H149,"DRIP",Transactions!$F$3:$F149,"ETF",Transactions!$D$3:$D149,AH87)
+SUMIFS(Transactions!$I$3:$I149,Transactions!$H$3:$H149,"Transfer Deposit",Transactions!$F$3:$F149,"ETF",Transactions!$D$3:$D149,AH87)
+SUMIFS(Transactions!$I$3:$I149,Transactions!$H$3:$H149,"Buy",Transactions!$F$3:$F149,"Commodity",Transactions!$D$3:$D149,AH87)
+SUMIFS(Transactions!$I$3:$I149,Transactions!$H$3:$H149,"DRIP",Transactions!$F$3:$F149,"Commodity",Transactions!$D$3:$D149,AH87)
+SUMIFS(Transactions!$I$3:$I149,Transactions!$H$3:$H149,"Transfer Deposit",Transactions!$F$3:$F149,"Commodity",Transactions!$D$3:$D149,AH87)
+SUMIFS(Transactions!$I$3:$I149,Transactions!$H$3:$H149,"Buy",Transactions!$F$3:$F149,"Managed Fund",Transactions!$D$3:$D149,AH87)
+SUMIFS(Transactions!$I$3:$I149,Transactions!$H$3:$H149,"DRIP",Transactions!$F$3:$F149,"Managed Fund",Transactions!$D$3:$D149,AH87)
+SUMIFS(Transactions!$I$3:$I149,Transactions!$H$3:$H149,"Transfer Deposit",Transactions!$F$3:$F149,"Managed Fund",Transactions!$D$3:$D149,AH87)
+SUMIFS(Transactions!$I$3:$I149,Transactions!$H$3:$H149,"Buy",Transactions!$F$3:$F149,"REIT",Transactions!$D$3:$D149,AH87)
+SUMIFS(Transactions!$I$3:$I149,Transactions!$H$3:$H149,"DRIP",Transactions!$F$3:$F149,"REIT",Transactions!$D$3:$D149,AH87)
+SUMIFS(Transactions!$I$3:$I149,Transactions!$H$3:$H149,"Transfer Deposit",Transactions!$F$3:$F149,"REIT",Transactions!$D$3:$D149,AH87)
-SUMIFS(Transactions!$I$3:$I149,Transactions!$H$3:$H149,"Sell",Transactions!$F$3:$F149,"Stock",Transactions!$D$3:$D149,AH87)
-SUMIFS(Transactions!$I$3:$I149,Transactions!$H$3:$H149,"Transfer Send",Transactions!$F$3:$F149,"Stock",Transactions!$D$3:$D149,AH87)
-SUMIFS(Transactions!$I$3:$I149,Transactions!$H$3:$H149,"Sell",Transactions!$F$3:$F149,"ETF",Transactions!$D$3:$D149,AH87)
-SUMIFS(Transactions!$I$3:$I149,Transactions!$H$3:$H149,"Transfer Send",Transactions!$F$3:$F149,"ETF",Transactions!$D$3:$D149,AH87)
-SUMIFS(Transactions!$I$3:$I149,Transactions!$H$3:$H149,"Sell",Transactions!$F$3:$F149,"Commodity",Transactions!$D$3:$D149,AH87)
-SUMIFS(Transactions!$I$3:$I149,Transactions!$H$3:$H149,"Transfer Send",Transactions!$F$3:$F149,"Commodity",Transactions!$D$3:$D149,AH87)
-SUMIFS(Transactions!$I$3:$I149,Transactions!$H$3:$H149,"Sell",Transactions!$F$3:$F149,"Managed Fund",Transactions!$D$3:$D149,AH87)
-SUMIFS(Transactions!$I$3:$I149,Transactions!$H$3:$H149,"Transfer Send",Transactions!$F$3:$F149,"Managed Fund",Transactions!$D$3:$D149,AH87)
-SUMIFS(Transactions!$I$3:$I149,Transactions!$H$3:$H149,"Sell",Transactions!$F$3:$F149,"REIT",Transactions!$D$3:$D149,AH87)
-SUMIFS(Transactions!$I$3:$I149,Transactions!$H$3:$H149,"Transfer Send",Transactions!$F$3:$F149,"REIT",Transactions!$D$3:$D149,AH87)
+SUMIFS(Transactions!$I$3:$I149,Transactions!$H$3:$H149,"Buy",Transactions!$F$3:$F149,"Crypto",Transactions!$D$3:$D149,AH87)
+SUMIFS(Transactions!$I$3:$I149,Transactions!$H$3:$H149,"Crypto Interest",Transactions!$F$3:$F149,"Crypto",Transactions!$D$3:$D149,AH87)
+SUMIFS(Transactions!$I$3:$I149,Transactions!$H$3:$H149,"Transfer Deposit",Transactions!$F$3:$F149,"Crypto",Transactions!$D$3:$D149,AH87)
-SUMIFS(Transactions!$I$3:$I149,Transactions!$H$3:$H149,"Transfer Send",Transactions!$F$3:$F149,"Crypto",Transactions!$D$3:$D149,AH87)
-SUMIFS(Transactions!$I$3:$I149,Transactions!$H$3:$H149,"Sell",Transactions!$F$3:$F149,"Crypto",Transactions!$D$3:$D149,AH87)
+SUMIFS(Transactions!$I$3:$I149,Transactions!$H$3:$H149,"Buy",Transactions!$F$3:$F149,"Stablecoin",Transactions!$D$3:$D149,AH87)
+SUMIFS(Transactions!$I$3:$I149,Transactions!$H$3:$H149,"Crypto Interest",Transactions!$F$3:$F149,"Stablecoin",Transactions!$D$3:$D149,AH87)
+SUMIFS(Transactions!$I$3:$I149,Transactions!$H$3:$H149,"Transfer Deposit",Transactions!$F$3:$F149,"Stablecoin",Transactions!$D$3:$D149,AH87)
-SUMIFS(Transactions!$I$3:$I149,Transactions!$H$3:$H149,"Transfer Send",Transactions!$F$3:$F149,"Stablecoin",Transactions!$D$3:$D149,AH87)
-SUMIFS(Transactions!$I$3:$I149,Transactions!$H$3:$H149,"Sell",Transactions!$F$3:$F149,"Stablecoin",Transactions!$D$3:$D149,AH87)
-SUMIFS(Transactions!$M$3:$M149,Transactions!$H$3:$H149,"Buy",Transactions!$B$3:$B149,AH87)))</f>
        <v/>
      </c>
      <c r="AJ87" s="181" t="str">
        <f>IFERROR(__xludf.DUMMYFUNCTION("IF(ISBLANK(AH87),"""",VLOOKUP(9^99,FILTER({ROW(Transactions!P:P),Transactions!P:P},Transactions!D:D=AH87),2))"),"")</f>
        <v/>
      </c>
      <c r="AK87" s="181" t="str">
        <f>IFERROR(__xludf.DUMMYFUNCTION("IF(ISBLANK(AH87),"""",IFERROR(GOOGLEFINANCE(AH87,""price""),IFERROR(GOOGLEFINANCE(""CURRENCY:""&amp;AH87&amp;""""),IFERROR(INDEX(YAHOO_STOCK(TRIM(AH87), $G$2),0,1),INDEX(IMPORTHTML(CONCAT(""https://coinmarketcap.com/currencies/"",AG87),""table"",1),1,2)))))"),"")</f>
        <v/>
      </c>
      <c r="AL87" s="14" t="str">
        <f>IFERROR(__xludf.DUMMYFUNCTION("IF(ISBLANK(AH87),"""",IFERROR(SPARKLINE(INDEX(GOOGLEFINANCE(AH87,""price"",TODAY()-$AL$2,TODAY()),,2),{""charttype"",""column"";""color"",""17a7e0""}),""""))"),"")</f>
        <v/>
      </c>
      <c r="AM87" s="50" t="str">
        <f>IFERROR(__xludf.DUMMYFUNCTION("IFNA(IFERROR(IF(AH87="""","""",GOOGLEFINANCE(AH87,""changepct"")/100),(GOOGLEFINANCE(AH87)-(INDEX(GOOGLEFINANCE(""CURRENCY:""&amp;AH87&amp;"""",""price"",TODAY()-1),2,2)))/(INDEX(GOOGLEFINANCE(""CURRENCY:""&amp;AH87&amp;"""",""price"",TODAY()-1),2,2))),)"),"")</f>
        <v/>
      </c>
      <c r="AN87" s="96" t="str">
        <f>IFERROR(__xludf.DUMMYFUNCTION("IFNA(IFERROR(IF(AH87="""","""",GOOGLEFINANCE(AH87,""change"")*AI87),(GOOGLEFINANCE(AH87)-(INDEX(GOOGLEFINANCE(""CURRENCY:""&amp;AH87&amp;"""",""price"",TODAY()-1),2,2)))*AI87),"""")"),"")</f>
        <v/>
      </c>
      <c r="AO87" s="96" t="str">
        <f>IF(ISBLANK(AH87),"",IFERROR(((AI87-SUMIFS(Transactions!I:I,Transactions!H:H,"Crypto Interest",Transactions!D:D,AH87))*AJ87),""))</f>
        <v/>
      </c>
      <c r="AP87" s="96" t="str">
        <f t="shared" si="16"/>
        <v/>
      </c>
      <c r="AQ87" s="50" t="str">
        <f t="shared" si="17"/>
        <v/>
      </c>
      <c r="AR87" s="96" t="str">
        <f t="shared" si="18"/>
        <v/>
      </c>
      <c r="AS87" s="96" t="str">
        <f>IF(ISBLANK(AH87),"",SUMIFS(Transactions!$X$3:$X149,Transactions!$H$3:$H149,"Sell",Transactions!$D$3:$D149,AH87))</f>
        <v/>
      </c>
      <c r="AT87" s="96" t="str">
        <f t="shared" si="19"/>
        <v/>
      </c>
      <c r="AU87" s="50" t="str">
        <f>IFERROR(__xludf.DUMMYFUNCTION("IF(ISBLANK(AH87),"""",IFERROR((GOOGLEFINANCE(AH87,""price"")/INDEX(GOOGLEFINANCE(AH87,""price"",DATEVALUE(TODAY()-$AU$2) ),2,2)-1),""""))"),"")</f>
        <v/>
      </c>
      <c r="AW87" s="50" t="str">
        <f>IFERROR(__xludf.DUMMYFUNCTION("IF(ISBLANK(AH87),"""",IFERROR((GOOGLEFINANCE($AW$2,""price"")/INDEX(GOOGLEFINANCE($AW$2,""price"",DATEVALUE(TODAY()-$AU$2) ),2,2)-1),""""))"),"")</f>
        <v/>
      </c>
      <c r="AY87" s="50" t="str">
        <f t="shared" si="20"/>
        <v/>
      </c>
      <c r="AZ87" s="50" t="str">
        <f t="shared" si="21"/>
        <v/>
      </c>
      <c r="BA87" s="50">
        <f t="shared" si="22"/>
        <v>0</v>
      </c>
      <c r="BB87" s="14" t="str">
        <f t="shared" si="23"/>
        <v/>
      </c>
      <c r="BC87" s="14" t="str">
        <f>IF(ISBLANK(AH87),"",IFERROR(VLOOKUP(AH87,Transactions!D:F,3,0)))</f>
        <v/>
      </c>
      <c r="BD87" s="50" t="str">
        <f t="shared" si="24"/>
        <v/>
      </c>
      <c r="BE87" s="50" t="str">
        <f t="shared" si="25"/>
        <v/>
      </c>
      <c r="BF87" s="14" t="str">
        <f t="shared" si="26"/>
        <v/>
      </c>
      <c r="BG87" s="180" t="str">
        <f>IF(ISBLANK(AH87),"",IFERROR(VLOOKUP(AH87,Transactions!D:G,4,0)))</f>
        <v/>
      </c>
    </row>
    <row r="88">
      <c r="A88" s="14" t="str">
        <f t="shared" ref="A88:C88" si="111">AG88</f>
        <v/>
      </c>
      <c r="B88" s="14" t="str">
        <f t="shared" si="111"/>
        <v/>
      </c>
      <c r="C88" s="175" t="str">
        <f t="shared" si="111"/>
        <v/>
      </c>
      <c r="D88" s="176" t="str">
        <f>IFERROR(__xludf.DUMMYFUNCTION("IF(ISBLANK(B88),"""",IFERROR(IF(OR(AF88=""GPB"",AF88=""ZAR""),IF(AF88=Dashboard!$L$1,AJ88,(AJ88*GOOGLEFINANCE(""CURRENCY:""&amp;AF88&amp;""""&amp;Dashboard!$L$1&amp;""""))/100),IF(AF88=Dashboard!$L$1,AJ88,AJ88*GOOGLEFINANCE(""CURRENCY:""&amp;AF88&amp;""""&amp;Dashboard!$L$1&amp;""""))),"&amp;"AJ88))"),"")</f>
        <v/>
      </c>
      <c r="E88" s="177" t="str">
        <f>IFERROR(__xludf.DUMMYFUNCTION("IFERROR(IF(OR(AF88=""GBP"",AF88=""ZAR""),IF(B88="""","""",IF(AF88=Dashboard!$L$1,AK88,AK88*GOOGLEFINANCE(""CURRENCY:""&amp;AF88&amp;""""&amp;Dashboard!$L$1&amp;"""")))/100,If(B88="""","""",IF(AF88=Dashboard!$L$1,AK88,AK88*GOOGLEFINANCE(""CURRENCY:""&amp;AF88&amp;""""&amp;Dashboard!$"&amp;"L$1&amp;"""")))),AK88)"),"")</f>
        <v/>
      </c>
      <c r="F88" s="145" t="str">
        <f t="shared" si="65"/>
        <v/>
      </c>
      <c r="G88" s="96" t="str">
        <f>IFERROR(__xludf.DUMMYFUNCTION("IF(ISBLANK(B88),"""",IFERROR(SPARKLINE(INDEX(GOOGLEFINANCE(B88,""price"",TODAY()-$G$2,TODAY()),,2),{""charttype"",""column"";""color"",""17a7e0""}),""""))"),"")</f>
        <v/>
      </c>
      <c r="H88" s="50" t="str">
        <f t="shared" si="3"/>
        <v/>
      </c>
      <c r="I88" s="96" t="str">
        <f>IFERROR(__xludf.DUMMYFUNCTION("IF(ISBLANK(B88),"""",IFERROR(IF(OR(AF88=""GPB"",AF88=""ZAR""),IF(AF88=Dashboard!$L$1,AN88,(AN88*GOOGLEFINANCE(""CURRENCY:""&amp;AF88&amp;""""&amp;Dashboard!$L$1&amp;""""))/100),IF(AF88=Dashboard!$L$1,AN88,AN88*GOOGLEFINANCE(""CURRENCY:""&amp;AF88&amp;""""&amp;Dashboard!$L$1&amp;""""))),"&amp;"AN88))"),"")</f>
        <v/>
      </c>
      <c r="J88" s="178" t="str">
        <f>IF(ISBLANK(B88),"",IFERROR(((C88-SUMIFS(Transactions!I:I,Transactions!H:H,"Crypto Interest",Transactions!D:D,B88))*D88),""))</f>
        <v/>
      </c>
      <c r="K88" s="178" t="str">
        <f t="shared" si="4"/>
        <v/>
      </c>
      <c r="L88" s="145">
        <f>IF(ISBLANK(AF88),"",SUMIFS(Transactions!$M$3:$M149,Transactions!$H$3:$H149,"Buy",Transactions!$D$3:$D149,AF88))</f>
        <v>0</v>
      </c>
      <c r="M88" s="145">
        <f>IF(ISBLANK(AG88),"",SUMIFS(Transactions!$M$3:$M149,Transactions!$H$3:$H149,"Dividend",Transactions!$D$3:$D149,AG88))</f>
        <v>0</v>
      </c>
      <c r="N88" s="145" t="str">
        <f>IF(ISBLANK(AH88),"",SUMIFS(Transactions!$M$3:$M149,Transactions!$H$3:$H149,"Sell",Transactions!$D$3:$D149,AH88))</f>
        <v/>
      </c>
      <c r="O88" s="50" t="str">
        <f t="shared" si="5"/>
        <v/>
      </c>
      <c r="P88" s="178" t="str">
        <f t="shared" si="6"/>
        <v/>
      </c>
      <c r="Q88" s="178" t="str">
        <f>IFERROR(__xludf.DUMMYFUNCTION("IF(ISBLANK(B88),"""",IFERROR(IF(OR(AF88=""GPB"",AF88=""ZAR""),IF(AF88=Dashboard!$L$1,AS88,(AS88*GOOGLEFINANCE(""CURRENCY:""&amp;AF88&amp;""""&amp;Dashboard!$L$1&amp;""""))/100),IF(AF88=Dashboard!$L$1,AS88,AS88*GOOGLEFINANCE(""CURRENCY:""&amp;AF88&amp;""""&amp;Dashboard!$L$1&amp;""""))),"&amp;"AS88))"),"")</f>
        <v/>
      </c>
      <c r="R88" s="178" t="str">
        <f t="shared" si="7"/>
        <v/>
      </c>
      <c r="S88" s="50" t="str">
        <f>IFERROR(__xludf.DUMMYFUNCTION("IF(ISBLANK(B88),"""",IFERROR((GOOGLEFINANCE(B88,""price"")/INDEX(GOOGLEFINANCE(B88,""price"",DATEVALUE(TODAY()-$S$2) ),2,2)-1),""""))"),"")</f>
        <v/>
      </c>
      <c r="U88" s="50" t="str">
        <f>IFERROR(__xludf.DUMMYFUNCTION("IF(ISBLANK(B88),"""",IFERROR((GOOGLEFINANCE($U$2,""price"")/INDEX(GOOGLEFINANCE($U$2,""price"",DATEVALUE(TODAY()-$S$2) ),2,2)-1),""""))"),"")</f>
        <v/>
      </c>
      <c r="W88" s="50" t="str">
        <f t="shared" si="8"/>
        <v/>
      </c>
      <c r="X88" s="50" t="str">
        <f t="shared" si="9"/>
        <v/>
      </c>
      <c r="Y88" s="179">
        <v>0.0</v>
      </c>
      <c r="Z88" s="50" t="str">
        <f t="shared" si="10"/>
        <v/>
      </c>
      <c r="AA88" s="14" t="str">
        <f t="shared" si="11"/>
        <v/>
      </c>
      <c r="AB88" s="50" t="str">
        <f t="shared" si="12"/>
        <v/>
      </c>
      <c r="AC88" s="179" t="str">
        <f t="shared" si="13"/>
        <v/>
      </c>
      <c r="AD88" s="50" t="str">
        <f t="shared" si="14"/>
        <v/>
      </c>
      <c r="AE88" s="180" t="str">
        <f t="shared" si="15"/>
        <v/>
      </c>
      <c r="AF88" s="14" t="str">
        <f t="array" ref="AF88">IFERROR(IF(ISBLANK(AH88),"",IF(VLOOKUP(AH88,Transactions!D:F,3,0)="Stablecoin",AH88,INDEX(Transactions!$B$3:$B149,MATCH(AH88,Transactions!$D$3:$D149,0),0))))</f>
        <v/>
      </c>
      <c r="AG88" s="14" t="str">
        <f>IF(ISBLANK(AH88),"",VLOOKUP(AH88,Transactions!D:E,2,0))</f>
        <v/>
      </c>
      <c r="AH88" s="14"/>
      <c r="AI88" s="146" t="str">
        <f>IF(ISBLANK(AH88),"",IF(
SUMIFS(Transactions!$I$3:$I149,Transactions!$H$3:$H149,"Buy",Transactions!$F$3:$F149,"Stock",Transactions!$D$3:$D149,AH88)
+SUMIFS(Transactions!$I$3:$I149,Transactions!$H$3:$H149,"DRIP",Transactions!$F$3:$F149,"Stock",Transactions!$D$3:$D149,AH88)
+SUMIFS(Transactions!$I$3:$I149,Transactions!$H$3:$H149,"Transfer Deposit",Transactions!$F$3:$F149,"Stock",Transactions!$D$3:$D149,AH88)
+SUMIFS(Transactions!$I$3:$I149,Transactions!$H$3:$H149,"Buy",Transactions!$F$3:$F149,"ETF",Transactions!$D$3:$D149,AH88)
+SUMIFS(Transactions!$I$3:$I149,Transactions!$H$3:$H149,"DRIP",Transactions!$F$3:$F149,"ETF",Transactions!$D$3:$D149,AH88)
+SUMIFS(Transactions!$I$3:$I149,Transactions!$H$3:$H149,"Transfer Deposit",Transactions!$F$3:$F149,"ETF",Transactions!$D$3:$D149,AH88)
+SUMIFS(Transactions!$I$3:$I149,Transactions!$H$3:$H149,"Buy",Transactions!$F$3:$F149,"Commodity",Transactions!$D$3:$D149,AH88)
+SUMIFS(Transactions!$I$3:$I149,Transactions!$H$3:$H149,"DRIP",Transactions!$F$3:$F149,"Commodity",Transactions!$D$3:$D149,AH88)
+SUMIFS(Transactions!$I$3:$I149,Transactions!$H$3:$H149,"Transfer Deposit",Transactions!$F$3:$F149,"Commodity",Transactions!$D$3:$D149,AH88)
+SUMIFS(Transactions!$I$3:$I149,Transactions!$H$3:$H149,"Buy",Transactions!$F$3:$F149,"Managed Fund",Transactions!$D$3:$D149,AH88)
+SUMIFS(Transactions!$I$3:$I149,Transactions!$H$3:$H149,"DRIP",Transactions!$F$3:$F149,"Managed Fund",Transactions!$D$3:$D149,AH88)
+SUMIFS(Transactions!$I$3:$I149,Transactions!$H$3:$H149,"Transfer Deposit",Transactions!$F$3:$F149,"Managed Fund",Transactions!$D$3:$D149,AH88)
+SUMIFS(Transactions!$I$3:$I149,Transactions!$H$3:$H149,"Buy",Transactions!$F$3:$F149,"REIT",Transactions!$D$3:$D149,AH88)
+SUMIFS(Transactions!$I$3:$I149,Transactions!$H$3:$H149,"DRIP",Transactions!$F$3:$F149,"REIT",Transactions!$D$3:$D149,AH88)
+SUMIFS(Transactions!$I$3:$I149,Transactions!$H$3:$H149,"Transfer Deposit",Transactions!$F$3:$F149,"REIT",Transactions!$D$3:$D149,AH88)
-SUMIFS(Transactions!$I$3:$I149,Transactions!$H$3:$H149,"Sell",Transactions!$F$3:$F149,"Stock",Transactions!$D$3:$D149,AH88)
-SUMIFS(Transactions!$I$3:$I149,Transactions!$H$3:$H149,"Transfer Send",Transactions!$F$3:$F149,"Stock",Transactions!$D$3:$D149,AH88)
-SUMIFS(Transactions!$I$3:$I149,Transactions!$H$3:$H149,"Sell",Transactions!$F$3:$F149,"ETF",Transactions!$D$3:$D149,AH88)
-SUMIFS(Transactions!$I$3:$I149,Transactions!$H$3:$H149,"Transfer Send",Transactions!$F$3:$F149,"ETF",Transactions!$D$3:$D149,AH88)
-SUMIFS(Transactions!$I$3:$I149,Transactions!$H$3:$H149,"Sell",Transactions!$F$3:$F149,"Commodity",Transactions!$D$3:$D149,AH88)
-SUMIFS(Transactions!$I$3:$I149,Transactions!$H$3:$H149,"Transfer Send",Transactions!$F$3:$F149,"Commodity",Transactions!$D$3:$D149,AH88)
-SUMIFS(Transactions!$I$3:$I149,Transactions!$H$3:$H149,"Sell",Transactions!$F$3:$F149,"Managed Fund",Transactions!$D$3:$D149,AH88)
-SUMIFS(Transactions!$I$3:$I149,Transactions!$H$3:$H149,"Transfer Send",Transactions!$F$3:$F149,"Managed Fund",Transactions!$D$3:$D149,AH88)
-SUMIFS(Transactions!$I$3:$I149,Transactions!$H$3:$H149,"Sell",Transactions!$F$3:$F149,"REIT",Transactions!$D$3:$D149,AH88)
-SUMIFS(Transactions!$I$3:$I149,Transactions!$H$3:$H149,"Transfer Send",Transactions!$F$3:$F149,"REIT",Transactions!$D$3:$D149,AH88)
+SUMIFS(Transactions!$I$3:$I149,Transactions!$H$3:$H149,"Buy",Transactions!$F$3:$F149,"Crypto",Transactions!$D$3:$D149,AH88)
+SUMIFS(Transactions!$I$3:$I149,Transactions!$H$3:$H149,"Crypto Interest",Transactions!$F$3:$F149,"Crypto",Transactions!$D$3:$D149,AH88)
+SUMIFS(Transactions!$I$3:$I149,Transactions!$H$3:$H149,"Transfer Deposit",Transactions!$F$3:$F149,"Crypto",Transactions!$D$3:$D149,AH88)
-SUMIFS(Transactions!$I$3:$I149,Transactions!$H$3:$H149,"Transfer Send",Transactions!$F$3:$F149,"Crypto",Transactions!$D$3:$D149,AH88)
-SUMIFS(Transactions!$I$3:$I149,Transactions!$H$3:$H149,"Sell",Transactions!$F$3:$F149,"Crypto",Transactions!$D$3:$D149,AH88)
+SUMIFS(Transactions!$I$3:$I149,Transactions!$H$3:$H149,"Buy",Transactions!$F$3:$F149,"Stablecoin",Transactions!$D$3:$D149,AH88)
+SUMIFS(Transactions!$I$3:$I149,Transactions!$H$3:$H149,"Crypto Interest",Transactions!$F$3:$F149,"Stablecoin",Transactions!$D$3:$D149,AH88)
+SUMIFS(Transactions!$I$3:$I149,Transactions!$H$3:$H149,"Transfer Deposit",Transactions!$F$3:$F149,"Stablecoin",Transactions!$D$3:$D149,AH88)
-SUMIFS(Transactions!$I$3:$I149,Transactions!$H$3:$H149,"Transfer Send",Transactions!$F$3:$F149,"Stablecoin",Transactions!$D$3:$D149,AH88)
-SUMIFS(Transactions!$I$3:$I149,Transactions!$H$3:$H149,"Sell",Transactions!$F$3:$F149,"Stablecoin",Transactions!$D$3:$D149,AH88)
-SUMIFS(Transactions!$M$3:$M149,Transactions!$H$3:$H149,"Buy",Transactions!$B$3:$B149,AH88)=0,"Sold All",
SUMIFS(Transactions!$I$3:$I149,Transactions!$H$3:$H149,"Buy",Transactions!$F$3:$F149,"Stock",Transactions!$D$3:$D149,AH88)
+SUMIFS(Transactions!$I$3:$I149,Transactions!$H$3:$H149,"DRIP",Transactions!$F$3:$F149,"Stock",Transactions!$D$3:$D149,AH88)
+SUMIFS(Transactions!$I$3:$I149,Transactions!$H$3:$H149,"Transfer Deposit",Transactions!$F$3:$F149,"Stock",Transactions!$D$3:$D149,AH88)
+SUMIFS(Transactions!$I$3:$I149,Transactions!$H$3:$H149,"Buy",Transactions!$F$3:$F149,"ETF",Transactions!$D$3:$D149,AH88)
+SUMIFS(Transactions!$I$3:$I149,Transactions!$H$3:$H149,"DRIP",Transactions!$F$3:$F149,"ETF",Transactions!$D$3:$D149,AH88)
+SUMIFS(Transactions!$I$3:$I149,Transactions!$H$3:$H149,"Transfer Deposit",Transactions!$F$3:$F149,"ETF",Transactions!$D$3:$D149,AH88)
+SUMIFS(Transactions!$I$3:$I149,Transactions!$H$3:$H149,"Buy",Transactions!$F$3:$F149,"Commodity",Transactions!$D$3:$D149,AH88)
+SUMIFS(Transactions!$I$3:$I149,Transactions!$H$3:$H149,"DRIP",Transactions!$F$3:$F149,"Commodity",Transactions!$D$3:$D149,AH88)
+SUMIFS(Transactions!$I$3:$I149,Transactions!$H$3:$H149,"Transfer Deposit",Transactions!$F$3:$F149,"Commodity",Transactions!$D$3:$D149,AH88)
+SUMIFS(Transactions!$I$3:$I149,Transactions!$H$3:$H149,"Buy",Transactions!$F$3:$F149,"Managed Fund",Transactions!$D$3:$D149,AH88)
+SUMIFS(Transactions!$I$3:$I149,Transactions!$H$3:$H149,"DRIP",Transactions!$F$3:$F149,"Managed Fund",Transactions!$D$3:$D149,AH88)
+SUMIFS(Transactions!$I$3:$I149,Transactions!$H$3:$H149,"Transfer Deposit",Transactions!$F$3:$F149,"Managed Fund",Transactions!$D$3:$D149,AH88)
+SUMIFS(Transactions!$I$3:$I149,Transactions!$H$3:$H149,"Buy",Transactions!$F$3:$F149,"REIT",Transactions!$D$3:$D149,AH88)
+SUMIFS(Transactions!$I$3:$I149,Transactions!$H$3:$H149,"DRIP",Transactions!$F$3:$F149,"REIT",Transactions!$D$3:$D149,AH88)
+SUMIFS(Transactions!$I$3:$I149,Transactions!$H$3:$H149,"Transfer Deposit",Transactions!$F$3:$F149,"REIT",Transactions!$D$3:$D149,AH88)
-SUMIFS(Transactions!$I$3:$I149,Transactions!$H$3:$H149,"Sell",Transactions!$F$3:$F149,"Stock",Transactions!$D$3:$D149,AH88)
-SUMIFS(Transactions!$I$3:$I149,Transactions!$H$3:$H149,"Transfer Send",Transactions!$F$3:$F149,"Stock",Transactions!$D$3:$D149,AH88)
-SUMIFS(Transactions!$I$3:$I149,Transactions!$H$3:$H149,"Sell",Transactions!$F$3:$F149,"ETF",Transactions!$D$3:$D149,AH88)
-SUMIFS(Transactions!$I$3:$I149,Transactions!$H$3:$H149,"Transfer Send",Transactions!$F$3:$F149,"ETF",Transactions!$D$3:$D149,AH88)
-SUMIFS(Transactions!$I$3:$I149,Transactions!$H$3:$H149,"Sell",Transactions!$F$3:$F149,"Commodity",Transactions!$D$3:$D149,AH88)
-SUMIFS(Transactions!$I$3:$I149,Transactions!$H$3:$H149,"Transfer Send",Transactions!$F$3:$F149,"Commodity",Transactions!$D$3:$D149,AH88)
-SUMIFS(Transactions!$I$3:$I149,Transactions!$H$3:$H149,"Sell",Transactions!$F$3:$F149,"Managed Fund",Transactions!$D$3:$D149,AH88)
-SUMIFS(Transactions!$I$3:$I149,Transactions!$H$3:$H149,"Transfer Send",Transactions!$F$3:$F149,"Managed Fund",Transactions!$D$3:$D149,AH88)
-SUMIFS(Transactions!$I$3:$I149,Transactions!$H$3:$H149,"Sell",Transactions!$F$3:$F149,"REIT",Transactions!$D$3:$D149,AH88)
-SUMIFS(Transactions!$I$3:$I149,Transactions!$H$3:$H149,"Transfer Send",Transactions!$F$3:$F149,"REIT",Transactions!$D$3:$D149,AH88)
+SUMIFS(Transactions!$I$3:$I149,Transactions!$H$3:$H149,"Buy",Transactions!$F$3:$F149,"Crypto",Transactions!$D$3:$D149,AH88)
+SUMIFS(Transactions!$I$3:$I149,Transactions!$H$3:$H149,"Crypto Interest",Transactions!$F$3:$F149,"Crypto",Transactions!$D$3:$D149,AH88)
+SUMIFS(Transactions!$I$3:$I149,Transactions!$H$3:$H149,"Transfer Deposit",Transactions!$F$3:$F149,"Crypto",Transactions!$D$3:$D149,AH88)
-SUMIFS(Transactions!$I$3:$I149,Transactions!$H$3:$H149,"Transfer Send",Transactions!$F$3:$F149,"Crypto",Transactions!$D$3:$D149,AH88)
-SUMIFS(Transactions!$I$3:$I149,Transactions!$H$3:$H149,"Sell",Transactions!$F$3:$F149,"Crypto",Transactions!$D$3:$D149,AH88)
+SUMIFS(Transactions!$I$3:$I149,Transactions!$H$3:$H149,"Buy",Transactions!$F$3:$F149,"Stablecoin",Transactions!$D$3:$D149,AH88)
+SUMIFS(Transactions!$I$3:$I149,Transactions!$H$3:$H149,"Crypto Interest",Transactions!$F$3:$F149,"Stablecoin",Transactions!$D$3:$D149,AH88)
+SUMIFS(Transactions!$I$3:$I149,Transactions!$H$3:$H149,"Transfer Deposit",Transactions!$F$3:$F149,"Stablecoin",Transactions!$D$3:$D149,AH88)
-SUMIFS(Transactions!$I$3:$I149,Transactions!$H$3:$H149,"Transfer Send",Transactions!$F$3:$F149,"Stablecoin",Transactions!$D$3:$D149,AH88)
-SUMIFS(Transactions!$I$3:$I149,Transactions!$H$3:$H149,"Sell",Transactions!$F$3:$F149,"Stablecoin",Transactions!$D$3:$D149,AH88)
-SUMIFS(Transactions!$M$3:$M149,Transactions!$H$3:$H149,"Buy",Transactions!$B$3:$B149,AH88)))</f>
        <v/>
      </c>
      <c r="AJ88" s="181" t="str">
        <f>IFERROR(__xludf.DUMMYFUNCTION("IF(ISBLANK(AH88),"""",VLOOKUP(9^99,FILTER({ROW(Transactions!P:P),Transactions!P:P},Transactions!D:D=AH88),2))"),"")</f>
        <v/>
      </c>
      <c r="AK88" s="181" t="str">
        <f>IFERROR(__xludf.DUMMYFUNCTION("IF(ISBLANK(AH88),"""",IFERROR(GOOGLEFINANCE(AH88,""price""),IFERROR(GOOGLEFINANCE(""CURRENCY:""&amp;AH88&amp;""""),IFERROR(INDEX(YAHOO_STOCK(TRIM(AH88), $G$2),0,1),INDEX(IMPORTHTML(CONCAT(""https://coinmarketcap.com/currencies/"",AG88),""table"",1),1,2)))))"),"")</f>
        <v/>
      </c>
      <c r="AL88" s="14" t="str">
        <f>IFERROR(__xludf.DUMMYFUNCTION("IF(ISBLANK(AH88),"""",IFERROR(SPARKLINE(INDEX(GOOGLEFINANCE(AH88,""price"",TODAY()-$AL$2,TODAY()),,2),{""charttype"",""column"";""color"",""17a7e0""}),""""))"),"")</f>
        <v/>
      </c>
      <c r="AM88" s="50" t="str">
        <f>IFERROR(__xludf.DUMMYFUNCTION("IFNA(IFERROR(IF(AH88="""","""",GOOGLEFINANCE(AH88,""changepct"")/100),(GOOGLEFINANCE(AH88)-(INDEX(GOOGLEFINANCE(""CURRENCY:""&amp;AH88&amp;"""",""price"",TODAY()-1),2,2)))/(INDEX(GOOGLEFINANCE(""CURRENCY:""&amp;AH88&amp;"""",""price"",TODAY()-1),2,2))),)"),"")</f>
        <v/>
      </c>
      <c r="AN88" s="96" t="str">
        <f>IFERROR(__xludf.DUMMYFUNCTION("IFNA(IFERROR(IF(AH88="""","""",GOOGLEFINANCE(AH88,""change"")*AI88),(GOOGLEFINANCE(AH88)-(INDEX(GOOGLEFINANCE(""CURRENCY:""&amp;AH88&amp;"""",""price"",TODAY()-1),2,2)))*AI88),"""")"),"")</f>
        <v/>
      </c>
      <c r="AO88" s="96" t="str">
        <f>IF(ISBLANK(AH88),"",IFERROR(((AI88-SUMIFS(Transactions!I:I,Transactions!H:H,"Crypto Interest",Transactions!D:D,AH88))*AJ88),""))</f>
        <v/>
      </c>
      <c r="AP88" s="96" t="str">
        <f t="shared" si="16"/>
        <v/>
      </c>
      <c r="AQ88" s="50" t="str">
        <f t="shared" si="17"/>
        <v/>
      </c>
      <c r="AR88" s="96" t="str">
        <f t="shared" si="18"/>
        <v/>
      </c>
      <c r="AS88" s="96" t="str">
        <f>IF(ISBLANK(AH88),"",SUMIFS(Transactions!$X$3:$X149,Transactions!$H$3:$H149,"Sell",Transactions!$D$3:$D149,AH88))</f>
        <v/>
      </c>
      <c r="AT88" s="96" t="str">
        <f t="shared" si="19"/>
        <v/>
      </c>
      <c r="AU88" s="50" t="str">
        <f>IFERROR(__xludf.DUMMYFUNCTION("IF(ISBLANK(AH88),"""",IFERROR((GOOGLEFINANCE(AH88,""price"")/INDEX(GOOGLEFINANCE(AH88,""price"",DATEVALUE(TODAY()-$AU$2) ),2,2)-1),""""))"),"")</f>
        <v/>
      </c>
      <c r="AW88" s="50" t="str">
        <f>IFERROR(__xludf.DUMMYFUNCTION("IF(ISBLANK(AH88),"""",IFERROR((GOOGLEFINANCE($AW$2,""price"")/INDEX(GOOGLEFINANCE($AW$2,""price"",DATEVALUE(TODAY()-$AU$2) ),2,2)-1),""""))"),"")</f>
        <v/>
      </c>
      <c r="AY88" s="50" t="str">
        <f t="shared" si="20"/>
        <v/>
      </c>
      <c r="AZ88" s="50" t="str">
        <f t="shared" si="21"/>
        <v/>
      </c>
      <c r="BA88" s="50">
        <f t="shared" si="22"/>
        <v>0</v>
      </c>
      <c r="BB88" s="14" t="str">
        <f t="shared" si="23"/>
        <v/>
      </c>
      <c r="BC88" s="14" t="str">
        <f>IF(ISBLANK(AH88),"",IFERROR(VLOOKUP(AH88,Transactions!D:F,3,0)))</f>
        <v/>
      </c>
      <c r="BD88" s="50" t="str">
        <f t="shared" si="24"/>
        <v/>
      </c>
      <c r="BE88" s="50" t="str">
        <f t="shared" si="25"/>
        <v/>
      </c>
      <c r="BF88" s="14" t="str">
        <f t="shared" si="26"/>
        <v/>
      </c>
      <c r="BG88" s="180" t="str">
        <f>IF(ISBLANK(AH88),"",IFERROR(VLOOKUP(AH88,Transactions!D:G,4,0)))</f>
        <v/>
      </c>
    </row>
    <row r="89">
      <c r="A89" s="14" t="str">
        <f t="shared" ref="A89:C89" si="112">AG89</f>
        <v/>
      </c>
      <c r="B89" s="14" t="str">
        <f t="shared" si="112"/>
        <v/>
      </c>
      <c r="C89" s="175" t="str">
        <f t="shared" si="112"/>
        <v/>
      </c>
      <c r="D89" s="176" t="str">
        <f>IFERROR(__xludf.DUMMYFUNCTION("IF(ISBLANK(B89),"""",IFERROR(IF(OR(AF89=""GPB"",AF89=""ZAR""),IF(AF89=Dashboard!$L$1,AJ89,(AJ89*GOOGLEFINANCE(""CURRENCY:""&amp;AF89&amp;""""&amp;Dashboard!$L$1&amp;""""))/100),IF(AF89=Dashboard!$L$1,AJ89,AJ89*GOOGLEFINANCE(""CURRENCY:""&amp;AF89&amp;""""&amp;Dashboard!$L$1&amp;""""))),"&amp;"AJ89))"),"")</f>
        <v/>
      </c>
      <c r="E89" s="177" t="str">
        <f>IFERROR(__xludf.DUMMYFUNCTION("IFERROR(IF(OR(AF89=""GBP"",AF89=""ZAR""),IF(B89="""","""",IF(AF89=Dashboard!$L$1,AK89,AK89*GOOGLEFINANCE(""CURRENCY:""&amp;AF89&amp;""""&amp;Dashboard!$L$1&amp;"""")))/100,If(B89="""","""",IF(AF89=Dashboard!$L$1,AK89,AK89*GOOGLEFINANCE(""CURRENCY:""&amp;AF89&amp;""""&amp;Dashboard!$"&amp;"L$1&amp;"""")))),AK89)"),"")</f>
        <v/>
      </c>
      <c r="F89" s="145" t="str">
        <f t="shared" si="65"/>
        <v/>
      </c>
      <c r="G89" s="96" t="str">
        <f>IFERROR(__xludf.DUMMYFUNCTION("IF(ISBLANK(B89),"""",IFERROR(SPARKLINE(INDEX(GOOGLEFINANCE(B89,""price"",TODAY()-$G$2,TODAY()),,2),{""charttype"",""column"";""color"",""17a7e0""}),""""))"),"")</f>
        <v/>
      </c>
      <c r="H89" s="50" t="str">
        <f t="shared" si="3"/>
        <v/>
      </c>
      <c r="I89" s="96" t="str">
        <f>IFERROR(__xludf.DUMMYFUNCTION("IF(ISBLANK(B89),"""",IFERROR(IF(OR(AF89=""GPB"",AF89=""ZAR""),IF(AF89=Dashboard!$L$1,AN89,(AN89*GOOGLEFINANCE(""CURRENCY:""&amp;AF89&amp;""""&amp;Dashboard!$L$1&amp;""""))/100),IF(AF89=Dashboard!$L$1,AN89,AN89*GOOGLEFINANCE(""CURRENCY:""&amp;AF89&amp;""""&amp;Dashboard!$L$1&amp;""""))),"&amp;"AN89))"),"")</f>
        <v/>
      </c>
      <c r="J89" s="178" t="str">
        <f>IF(ISBLANK(B89),"",IFERROR(((C89-SUMIFS(Transactions!I:I,Transactions!H:H,"Crypto Interest",Transactions!D:D,B89))*D89),""))</f>
        <v/>
      </c>
      <c r="K89" s="178" t="str">
        <f t="shared" si="4"/>
        <v/>
      </c>
      <c r="L89" s="145">
        <f>IF(ISBLANK(AF89),"",SUMIFS(Transactions!$M$3:$M149,Transactions!$H$3:$H149,"Buy",Transactions!$D$3:$D149,AF89))</f>
        <v>0</v>
      </c>
      <c r="M89" s="145">
        <f>IF(ISBLANK(AG89),"",SUMIFS(Transactions!$M$3:$M149,Transactions!$H$3:$H149,"Dividend",Transactions!$D$3:$D149,AG89))</f>
        <v>0</v>
      </c>
      <c r="N89" s="145" t="str">
        <f>IF(ISBLANK(AH89),"",SUMIFS(Transactions!$M$3:$M149,Transactions!$H$3:$H149,"Sell",Transactions!$D$3:$D149,AH89))</f>
        <v/>
      </c>
      <c r="O89" s="50" t="str">
        <f t="shared" si="5"/>
        <v/>
      </c>
      <c r="P89" s="178" t="str">
        <f t="shared" si="6"/>
        <v/>
      </c>
      <c r="Q89" s="178" t="str">
        <f>IFERROR(__xludf.DUMMYFUNCTION("IF(ISBLANK(B89),"""",IFERROR(IF(OR(AF89=""GPB"",AF89=""ZAR""),IF(AF89=Dashboard!$L$1,AS89,(AS89*GOOGLEFINANCE(""CURRENCY:""&amp;AF89&amp;""""&amp;Dashboard!$L$1&amp;""""))/100),IF(AF89=Dashboard!$L$1,AS89,AS89*GOOGLEFINANCE(""CURRENCY:""&amp;AF89&amp;""""&amp;Dashboard!$L$1&amp;""""))),"&amp;"AS89))"),"")</f>
        <v/>
      </c>
      <c r="R89" s="178" t="str">
        <f t="shared" si="7"/>
        <v/>
      </c>
      <c r="S89" s="50" t="str">
        <f>IFERROR(__xludf.DUMMYFUNCTION("IF(ISBLANK(B89),"""",IFERROR((GOOGLEFINANCE(B89,""price"")/INDEX(GOOGLEFINANCE(B89,""price"",DATEVALUE(TODAY()-$S$2) ),2,2)-1),""""))"),"")</f>
        <v/>
      </c>
      <c r="U89" s="50" t="str">
        <f>IFERROR(__xludf.DUMMYFUNCTION("IF(ISBLANK(B89),"""",IFERROR((GOOGLEFINANCE($U$2,""price"")/INDEX(GOOGLEFINANCE($U$2,""price"",DATEVALUE(TODAY()-$S$2) ),2,2)-1),""""))"),"")</f>
        <v/>
      </c>
      <c r="W89" s="50" t="str">
        <f t="shared" si="8"/>
        <v/>
      </c>
      <c r="X89" s="50" t="str">
        <f t="shared" si="9"/>
        <v/>
      </c>
      <c r="Y89" s="179">
        <v>0.0</v>
      </c>
      <c r="Z89" s="50" t="str">
        <f t="shared" si="10"/>
        <v/>
      </c>
      <c r="AA89" s="14" t="str">
        <f t="shared" si="11"/>
        <v/>
      </c>
      <c r="AB89" s="50" t="str">
        <f t="shared" si="12"/>
        <v/>
      </c>
      <c r="AC89" s="179" t="str">
        <f t="shared" si="13"/>
        <v/>
      </c>
      <c r="AD89" s="50" t="str">
        <f t="shared" si="14"/>
        <v/>
      </c>
      <c r="AE89" s="180" t="str">
        <f t="shared" si="15"/>
        <v/>
      </c>
      <c r="AF89" s="14" t="str">
        <f t="array" ref="AF89">IFERROR(IF(ISBLANK(AH89),"",IF(VLOOKUP(AH89,Transactions!D:F,3,0)="Stablecoin",AH89,INDEX(Transactions!$B$3:$B149,MATCH(AH89,Transactions!$D$3:$D149,0),0))))</f>
        <v/>
      </c>
      <c r="AG89" s="14" t="str">
        <f>IF(ISBLANK(AH89),"",VLOOKUP(AH89,Transactions!D:E,2,0))</f>
        <v/>
      </c>
      <c r="AH89" s="14"/>
      <c r="AI89" s="146" t="str">
        <f>IF(ISBLANK(AH89),"",IF(
SUMIFS(Transactions!$I$3:$I149,Transactions!$H$3:$H149,"Buy",Transactions!$F$3:$F149,"Stock",Transactions!$D$3:$D149,AH89)
+SUMIFS(Transactions!$I$3:$I149,Transactions!$H$3:$H149,"DRIP",Transactions!$F$3:$F149,"Stock",Transactions!$D$3:$D149,AH89)
+SUMIFS(Transactions!$I$3:$I149,Transactions!$H$3:$H149,"Transfer Deposit",Transactions!$F$3:$F149,"Stock",Transactions!$D$3:$D149,AH89)
+SUMIFS(Transactions!$I$3:$I149,Transactions!$H$3:$H149,"Buy",Transactions!$F$3:$F149,"ETF",Transactions!$D$3:$D149,AH89)
+SUMIFS(Transactions!$I$3:$I149,Transactions!$H$3:$H149,"DRIP",Transactions!$F$3:$F149,"ETF",Transactions!$D$3:$D149,AH89)
+SUMIFS(Transactions!$I$3:$I149,Transactions!$H$3:$H149,"Transfer Deposit",Transactions!$F$3:$F149,"ETF",Transactions!$D$3:$D149,AH89)
+SUMIFS(Transactions!$I$3:$I149,Transactions!$H$3:$H149,"Buy",Transactions!$F$3:$F149,"Commodity",Transactions!$D$3:$D149,AH89)
+SUMIFS(Transactions!$I$3:$I149,Transactions!$H$3:$H149,"DRIP",Transactions!$F$3:$F149,"Commodity",Transactions!$D$3:$D149,AH89)
+SUMIFS(Transactions!$I$3:$I149,Transactions!$H$3:$H149,"Transfer Deposit",Transactions!$F$3:$F149,"Commodity",Transactions!$D$3:$D149,AH89)
+SUMIFS(Transactions!$I$3:$I149,Transactions!$H$3:$H149,"Buy",Transactions!$F$3:$F149,"Managed Fund",Transactions!$D$3:$D149,AH89)
+SUMIFS(Transactions!$I$3:$I149,Transactions!$H$3:$H149,"DRIP",Transactions!$F$3:$F149,"Managed Fund",Transactions!$D$3:$D149,AH89)
+SUMIFS(Transactions!$I$3:$I149,Transactions!$H$3:$H149,"Transfer Deposit",Transactions!$F$3:$F149,"Managed Fund",Transactions!$D$3:$D149,AH89)
+SUMIFS(Transactions!$I$3:$I149,Transactions!$H$3:$H149,"Buy",Transactions!$F$3:$F149,"REIT",Transactions!$D$3:$D149,AH89)
+SUMIFS(Transactions!$I$3:$I149,Transactions!$H$3:$H149,"DRIP",Transactions!$F$3:$F149,"REIT",Transactions!$D$3:$D149,AH89)
+SUMIFS(Transactions!$I$3:$I149,Transactions!$H$3:$H149,"Transfer Deposit",Transactions!$F$3:$F149,"REIT",Transactions!$D$3:$D149,AH89)
-SUMIFS(Transactions!$I$3:$I149,Transactions!$H$3:$H149,"Sell",Transactions!$F$3:$F149,"Stock",Transactions!$D$3:$D149,AH89)
-SUMIFS(Transactions!$I$3:$I149,Transactions!$H$3:$H149,"Transfer Send",Transactions!$F$3:$F149,"Stock",Transactions!$D$3:$D149,AH89)
-SUMIFS(Transactions!$I$3:$I149,Transactions!$H$3:$H149,"Sell",Transactions!$F$3:$F149,"ETF",Transactions!$D$3:$D149,AH89)
-SUMIFS(Transactions!$I$3:$I149,Transactions!$H$3:$H149,"Transfer Send",Transactions!$F$3:$F149,"ETF",Transactions!$D$3:$D149,AH89)
-SUMIFS(Transactions!$I$3:$I149,Transactions!$H$3:$H149,"Sell",Transactions!$F$3:$F149,"Commodity",Transactions!$D$3:$D149,AH89)
-SUMIFS(Transactions!$I$3:$I149,Transactions!$H$3:$H149,"Transfer Send",Transactions!$F$3:$F149,"Commodity",Transactions!$D$3:$D149,AH89)
-SUMIFS(Transactions!$I$3:$I149,Transactions!$H$3:$H149,"Sell",Transactions!$F$3:$F149,"Managed Fund",Transactions!$D$3:$D149,AH89)
-SUMIFS(Transactions!$I$3:$I149,Transactions!$H$3:$H149,"Transfer Send",Transactions!$F$3:$F149,"Managed Fund",Transactions!$D$3:$D149,AH89)
-SUMIFS(Transactions!$I$3:$I149,Transactions!$H$3:$H149,"Sell",Transactions!$F$3:$F149,"REIT",Transactions!$D$3:$D149,AH89)
-SUMIFS(Transactions!$I$3:$I149,Transactions!$H$3:$H149,"Transfer Send",Transactions!$F$3:$F149,"REIT",Transactions!$D$3:$D149,AH89)
+SUMIFS(Transactions!$I$3:$I149,Transactions!$H$3:$H149,"Buy",Transactions!$F$3:$F149,"Crypto",Transactions!$D$3:$D149,AH89)
+SUMIFS(Transactions!$I$3:$I149,Transactions!$H$3:$H149,"Crypto Interest",Transactions!$F$3:$F149,"Crypto",Transactions!$D$3:$D149,AH89)
+SUMIFS(Transactions!$I$3:$I149,Transactions!$H$3:$H149,"Transfer Deposit",Transactions!$F$3:$F149,"Crypto",Transactions!$D$3:$D149,AH89)
-SUMIFS(Transactions!$I$3:$I149,Transactions!$H$3:$H149,"Transfer Send",Transactions!$F$3:$F149,"Crypto",Transactions!$D$3:$D149,AH89)
-SUMIFS(Transactions!$I$3:$I149,Transactions!$H$3:$H149,"Sell",Transactions!$F$3:$F149,"Crypto",Transactions!$D$3:$D149,AH89)
+SUMIFS(Transactions!$I$3:$I149,Transactions!$H$3:$H149,"Buy",Transactions!$F$3:$F149,"Stablecoin",Transactions!$D$3:$D149,AH89)
+SUMIFS(Transactions!$I$3:$I149,Transactions!$H$3:$H149,"Crypto Interest",Transactions!$F$3:$F149,"Stablecoin",Transactions!$D$3:$D149,AH89)
+SUMIFS(Transactions!$I$3:$I149,Transactions!$H$3:$H149,"Transfer Deposit",Transactions!$F$3:$F149,"Stablecoin",Transactions!$D$3:$D149,AH89)
-SUMIFS(Transactions!$I$3:$I149,Transactions!$H$3:$H149,"Transfer Send",Transactions!$F$3:$F149,"Stablecoin",Transactions!$D$3:$D149,AH89)
-SUMIFS(Transactions!$I$3:$I149,Transactions!$H$3:$H149,"Sell",Transactions!$F$3:$F149,"Stablecoin",Transactions!$D$3:$D149,AH89)
-SUMIFS(Transactions!$M$3:$M149,Transactions!$H$3:$H149,"Buy",Transactions!$B$3:$B149,AH89)=0,"Sold All",
SUMIFS(Transactions!$I$3:$I149,Transactions!$H$3:$H149,"Buy",Transactions!$F$3:$F149,"Stock",Transactions!$D$3:$D149,AH89)
+SUMIFS(Transactions!$I$3:$I149,Transactions!$H$3:$H149,"DRIP",Transactions!$F$3:$F149,"Stock",Transactions!$D$3:$D149,AH89)
+SUMIFS(Transactions!$I$3:$I149,Transactions!$H$3:$H149,"Transfer Deposit",Transactions!$F$3:$F149,"Stock",Transactions!$D$3:$D149,AH89)
+SUMIFS(Transactions!$I$3:$I149,Transactions!$H$3:$H149,"Buy",Transactions!$F$3:$F149,"ETF",Transactions!$D$3:$D149,AH89)
+SUMIFS(Transactions!$I$3:$I149,Transactions!$H$3:$H149,"DRIP",Transactions!$F$3:$F149,"ETF",Transactions!$D$3:$D149,AH89)
+SUMIFS(Transactions!$I$3:$I149,Transactions!$H$3:$H149,"Transfer Deposit",Transactions!$F$3:$F149,"ETF",Transactions!$D$3:$D149,AH89)
+SUMIFS(Transactions!$I$3:$I149,Transactions!$H$3:$H149,"Buy",Transactions!$F$3:$F149,"Commodity",Transactions!$D$3:$D149,AH89)
+SUMIFS(Transactions!$I$3:$I149,Transactions!$H$3:$H149,"DRIP",Transactions!$F$3:$F149,"Commodity",Transactions!$D$3:$D149,AH89)
+SUMIFS(Transactions!$I$3:$I149,Transactions!$H$3:$H149,"Transfer Deposit",Transactions!$F$3:$F149,"Commodity",Transactions!$D$3:$D149,AH89)
+SUMIFS(Transactions!$I$3:$I149,Transactions!$H$3:$H149,"Buy",Transactions!$F$3:$F149,"Managed Fund",Transactions!$D$3:$D149,AH89)
+SUMIFS(Transactions!$I$3:$I149,Transactions!$H$3:$H149,"DRIP",Transactions!$F$3:$F149,"Managed Fund",Transactions!$D$3:$D149,AH89)
+SUMIFS(Transactions!$I$3:$I149,Transactions!$H$3:$H149,"Transfer Deposit",Transactions!$F$3:$F149,"Managed Fund",Transactions!$D$3:$D149,AH89)
+SUMIFS(Transactions!$I$3:$I149,Transactions!$H$3:$H149,"Buy",Transactions!$F$3:$F149,"REIT",Transactions!$D$3:$D149,AH89)
+SUMIFS(Transactions!$I$3:$I149,Transactions!$H$3:$H149,"DRIP",Transactions!$F$3:$F149,"REIT",Transactions!$D$3:$D149,AH89)
+SUMIFS(Transactions!$I$3:$I149,Transactions!$H$3:$H149,"Transfer Deposit",Transactions!$F$3:$F149,"REIT",Transactions!$D$3:$D149,AH89)
-SUMIFS(Transactions!$I$3:$I149,Transactions!$H$3:$H149,"Sell",Transactions!$F$3:$F149,"Stock",Transactions!$D$3:$D149,AH89)
-SUMIFS(Transactions!$I$3:$I149,Transactions!$H$3:$H149,"Transfer Send",Transactions!$F$3:$F149,"Stock",Transactions!$D$3:$D149,AH89)
-SUMIFS(Transactions!$I$3:$I149,Transactions!$H$3:$H149,"Sell",Transactions!$F$3:$F149,"ETF",Transactions!$D$3:$D149,AH89)
-SUMIFS(Transactions!$I$3:$I149,Transactions!$H$3:$H149,"Transfer Send",Transactions!$F$3:$F149,"ETF",Transactions!$D$3:$D149,AH89)
-SUMIFS(Transactions!$I$3:$I149,Transactions!$H$3:$H149,"Sell",Transactions!$F$3:$F149,"Commodity",Transactions!$D$3:$D149,AH89)
-SUMIFS(Transactions!$I$3:$I149,Transactions!$H$3:$H149,"Transfer Send",Transactions!$F$3:$F149,"Commodity",Transactions!$D$3:$D149,AH89)
-SUMIFS(Transactions!$I$3:$I149,Transactions!$H$3:$H149,"Sell",Transactions!$F$3:$F149,"Managed Fund",Transactions!$D$3:$D149,AH89)
-SUMIFS(Transactions!$I$3:$I149,Transactions!$H$3:$H149,"Transfer Send",Transactions!$F$3:$F149,"Managed Fund",Transactions!$D$3:$D149,AH89)
-SUMIFS(Transactions!$I$3:$I149,Transactions!$H$3:$H149,"Sell",Transactions!$F$3:$F149,"REIT",Transactions!$D$3:$D149,AH89)
-SUMIFS(Transactions!$I$3:$I149,Transactions!$H$3:$H149,"Transfer Send",Transactions!$F$3:$F149,"REIT",Transactions!$D$3:$D149,AH89)
+SUMIFS(Transactions!$I$3:$I149,Transactions!$H$3:$H149,"Buy",Transactions!$F$3:$F149,"Crypto",Transactions!$D$3:$D149,AH89)
+SUMIFS(Transactions!$I$3:$I149,Transactions!$H$3:$H149,"Crypto Interest",Transactions!$F$3:$F149,"Crypto",Transactions!$D$3:$D149,AH89)
+SUMIFS(Transactions!$I$3:$I149,Transactions!$H$3:$H149,"Transfer Deposit",Transactions!$F$3:$F149,"Crypto",Transactions!$D$3:$D149,AH89)
-SUMIFS(Transactions!$I$3:$I149,Transactions!$H$3:$H149,"Transfer Send",Transactions!$F$3:$F149,"Crypto",Transactions!$D$3:$D149,AH89)
-SUMIFS(Transactions!$I$3:$I149,Transactions!$H$3:$H149,"Sell",Transactions!$F$3:$F149,"Crypto",Transactions!$D$3:$D149,AH89)
+SUMIFS(Transactions!$I$3:$I149,Transactions!$H$3:$H149,"Buy",Transactions!$F$3:$F149,"Stablecoin",Transactions!$D$3:$D149,AH89)
+SUMIFS(Transactions!$I$3:$I149,Transactions!$H$3:$H149,"Crypto Interest",Transactions!$F$3:$F149,"Stablecoin",Transactions!$D$3:$D149,AH89)
+SUMIFS(Transactions!$I$3:$I149,Transactions!$H$3:$H149,"Transfer Deposit",Transactions!$F$3:$F149,"Stablecoin",Transactions!$D$3:$D149,AH89)
-SUMIFS(Transactions!$I$3:$I149,Transactions!$H$3:$H149,"Transfer Send",Transactions!$F$3:$F149,"Stablecoin",Transactions!$D$3:$D149,AH89)
-SUMIFS(Transactions!$I$3:$I149,Transactions!$H$3:$H149,"Sell",Transactions!$F$3:$F149,"Stablecoin",Transactions!$D$3:$D149,AH89)
-SUMIFS(Transactions!$M$3:$M149,Transactions!$H$3:$H149,"Buy",Transactions!$B$3:$B149,AH89)))</f>
        <v/>
      </c>
      <c r="AJ89" s="181" t="str">
        <f>IFERROR(__xludf.DUMMYFUNCTION("IF(ISBLANK(AH89),"""",VLOOKUP(9^99,FILTER({ROW(Transactions!P:P),Transactions!P:P},Transactions!D:D=AH89),2))"),"")</f>
        <v/>
      </c>
      <c r="AK89" s="181" t="str">
        <f>IFERROR(__xludf.DUMMYFUNCTION("IF(ISBLANK(AH89),"""",IFERROR(GOOGLEFINANCE(AH89,""price""),IFERROR(GOOGLEFINANCE(""CURRENCY:""&amp;AH89&amp;""""),IFERROR(INDEX(YAHOO_STOCK(TRIM(AH89), $G$2),0,1),INDEX(IMPORTHTML(CONCAT(""https://coinmarketcap.com/currencies/"",AG89),""table"",1),1,2)))))"),"")</f>
        <v/>
      </c>
      <c r="AL89" s="14" t="str">
        <f>IFERROR(__xludf.DUMMYFUNCTION("IF(ISBLANK(AH89),"""",IFERROR(SPARKLINE(INDEX(GOOGLEFINANCE(AH89,""price"",TODAY()-$AL$2,TODAY()),,2),{""charttype"",""column"";""color"",""17a7e0""}),""""))"),"")</f>
        <v/>
      </c>
      <c r="AM89" s="50" t="str">
        <f>IFERROR(__xludf.DUMMYFUNCTION("IFNA(IFERROR(IF(AH89="""","""",GOOGLEFINANCE(AH89,""changepct"")/100),(GOOGLEFINANCE(AH89)-(INDEX(GOOGLEFINANCE(""CURRENCY:""&amp;AH89&amp;"""",""price"",TODAY()-1),2,2)))/(INDEX(GOOGLEFINANCE(""CURRENCY:""&amp;AH89&amp;"""",""price"",TODAY()-1),2,2))),)"),"")</f>
        <v/>
      </c>
      <c r="AN89" s="96" t="str">
        <f>IFERROR(__xludf.DUMMYFUNCTION("IFNA(IFERROR(IF(AH89="""","""",GOOGLEFINANCE(AH89,""change"")*AI89),(GOOGLEFINANCE(AH89)-(INDEX(GOOGLEFINANCE(""CURRENCY:""&amp;AH89&amp;"""",""price"",TODAY()-1),2,2)))*AI89),"""")"),"")</f>
        <v/>
      </c>
      <c r="AO89" s="96" t="str">
        <f>IF(ISBLANK(AH89),"",IFERROR(((AI89-SUMIFS(Transactions!I:I,Transactions!H:H,"Crypto Interest",Transactions!D:D,AH89))*AJ89),""))</f>
        <v/>
      </c>
      <c r="AP89" s="96" t="str">
        <f t="shared" si="16"/>
        <v/>
      </c>
      <c r="AQ89" s="50" t="str">
        <f t="shared" si="17"/>
        <v/>
      </c>
      <c r="AR89" s="96" t="str">
        <f t="shared" si="18"/>
        <v/>
      </c>
      <c r="AS89" s="96" t="str">
        <f>IF(ISBLANK(AH89),"",SUMIFS(Transactions!$X$3:$X149,Transactions!$H$3:$H149,"Sell",Transactions!$D$3:$D149,AH89))</f>
        <v/>
      </c>
      <c r="AT89" s="96" t="str">
        <f t="shared" si="19"/>
        <v/>
      </c>
      <c r="AU89" s="50" t="str">
        <f>IFERROR(__xludf.DUMMYFUNCTION("IF(ISBLANK(AH89),"""",IFERROR((GOOGLEFINANCE(AH89,""price"")/INDEX(GOOGLEFINANCE(AH89,""price"",DATEVALUE(TODAY()-$AU$2) ),2,2)-1),""""))"),"")</f>
        <v/>
      </c>
      <c r="AW89" s="50" t="str">
        <f>IFERROR(__xludf.DUMMYFUNCTION("IF(ISBLANK(AH89),"""",IFERROR((GOOGLEFINANCE($AW$2,""price"")/INDEX(GOOGLEFINANCE($AW$2,""price"",DATEVALUE(TODAY()-$AU$2) ),2,2)-1),""""))"),"")</f>
        <v/>
      </c>
      <c r="AY89" s="50" t="str">
        <f t="shared" si="20"/>
        <v/>
      </c>
      <c r="AZ89" s="50" t="str">
        <f t="shared" si="21"/>
        <v/>
      </c>
      <c r="BA89" s="50">
        <f t="shared" si="22"/>
        <v>0</v>
      </c>
      <c r="BB89" s="14" t="str">
        <f t="shared" si="23"/>
        <v/>
      </c>
      <c r="BC89" s="14" t="str">
        <f>IF(ISBLANK(AH89),"",IFERROR(VLOOKUP(AH89,Transactions!D:F,3,0)))</f>
        <v/>
      </c>
      <c r="BD89" s="50" t="str">
        <f t="shared" si="24"/>
        <v/>
      </c>
      <c r="BE89" s="50" t="str">
        <f t="shared" si="25"/>
        <v/>
      </c>
      <c r="BF89" s="14" t="str">
        <f t="shared" si="26"/>
        <v/>
      </c>
      <c r="BG89" s="180" t="str">
        <f>IF(ISBLANK(AH89),"",IFERROR(VLOOKUP(AH89,Transactions!D:G,4,0)))</f>
        <v/>
      </c>
    </row>
    <row r="90">
      <c r="A90" s="14" t="str">
        <f t="shared" ref="A90:C90" si="113">AG90</f>
        <v/>
      </c>
      <c r="B90" s="14" t="str">
        <f t="shared" si="113"/>
        <v/>
      </c>
      <c r="C90" s="175" t="str">
        <f t="shared" si="113"/>
        <v/>
      </c>
      <c r="D90" s="176" t="str">
        <f>IFERROR(__xludf.DUMMYFUNCTION("IF(ISBLANK(B90),"""",IFERROR(IF(OR(AF90=""GPB"",AF90=""ZAR""),IF(AF90=Dashboard!$L$1,AJ90,(AJ90*GOOGLEFINANCE(""CURRENCY:""&amp;AF90&amp;""""&amp;Dashboard!$L$1&amp;""""))/100),IF(AF90=Dashboard!$L$1,AJ90,AJ90*GOOGLEFINANCE(""CURRENCY:""&amp;AF90&amp;""""&amp;Dashboard!$L$1&amp;""""))),"&amp;"AJ90))"),"")</f>
        <v/>
      </c>
      <c r="E90" s="177" t="str">
        <f>IFERROR(__xludf.DUMMYFUNCTION("IFERROR(IF(OR(AF90=""GBP"",AF90=""ZAR""),IF(B90="""","""",IF(AF90=Dashboard!$L$1,AK90,AK90*GOOGLEFINANCE(""CURRENCY:""&amp;AF90&amp;""""&amp;Dashboard!$L$1&amp;"""")))/100,If(B90="""","""",IF(AF90=Dashboard!$L$1,AK90,AK90*GOOGLEFINANCE(""CURRENCY:""&amp;AF90&amp;""""&amp;Dashboard!$"&amp;"L$1&amp;"""")))),AK90)"),"")</f>
        <v/>
      </c>
      <c r="F90" s="145" t="str">
        <f t="shared" si="65"/>
        <v/>
      </c>
      <c r="G90" s="96" t="str">
        <f>IFERROR(__xludf.DUMMYFUNCTION("IF(ISBLANK(B90),"""",IFERROR(SPARKLINE(INDEX(GOOGLEFINANCE(B90,""price"",TODAY()-$G$2,TODAY()),,2),{""charttype"",""column"";""color"",""17a7e0""}),""""))"),"")</f>
        <v/>
      </c>
      <c r="H90" s="50" t="str">
        <f t="shared" si="3"/>
        <v/>
      </c>
      <c r="I90" s="96" t="str">
        <f>IFERROR(__xludf.DUMMYFUNCTION("IF(ISBLANK(B90),"""",IFERROR(IF(OR(AF90=""GPB"",AF90=""ZAR""),IF(AF90=Dashboard!$L$1,AN90,(AN90*GOOGLEFINANCE(""CURRENCY:""&amp;AF90&amp;""""&amp;Dashboard!$L$1&amp;""""))/100),IF(AF90=Dashboard!$L$1,AN90,AN90*GOOGLEFINANCE(""CURRENCY:""&amp;AF90&amp;""""&amp;Dashboard!$L$1&amp;""""))),"&amp;"AN90))"),"")</f>
        <v/>
      </c>
      <c r="J90" s="178" t="str">
        <f>IF(ISBLANK(B90),"",IFERROR(((C90-SUMIFS(Transactions!I:I,Transactions!H:H,"Crypto Interest",Transactions!D:D,B90))*D90),""))</f>
        <v/>
      </c>
      <c r="K90" s="178" t="str">
        <f t="shared" si="4"/>
        <v/>
      </c>
      <c r="L90" s="145">
        <f>IF(ISBLANK(AF90),"",SUMIFS(Transactions!$M$3:$M149,Transactions!$H$3:$H149,"Buy",Transactions!$D$3:$D149,AF90))</f>
        <v>0</v>
      </c>
      <c r="M90" s="145">
        <f>IF(ISBLANK(AG90),"",SUMIFS(Transactions!$M$3:$M149,Transactions!$H$3:$H149,"Dividend",Transactions!$D$3:$D149,AG90))</f>
        <v>0</v>
      </c>
      <c r="N90" s="145" t="str">
        <f>IF(ISBLANK(AH90),"",SUMIFS(Transactions!$M$3:$M149,Transactions!$H$3:$H149,"Sell",Transactions!$D$3:$D149,AH90))</f>
        <v/>
      </c>
      <c r="O90" s="50" t="str">
        <f t="shared" si="5"/>
        <v/>
      </c>
      <c r="P90" s="178" t="str">
        <f t="shared" si="6"/>
        <v/>
      </c>
      <c r="Q90" s="178" t="str">
        <f>IFERROR(__xludf.DUMMYFUNCTION("IF(ISBLANK(B90),"""",IFERROR(IF(OR(AF90=""GPB"",AF90=""ZAR""),IF(AF90=Dashboard!$L$1,AS90,(AS90*GOOGLEFINANCE(""CURRENCY:""&amp;AF90&amp;""""&amp;Dashboard!$L$1&amp;""""))/100),IF(AF90=Dashboard!$L$1,AS90,AS90*GOOGLEFINANCE(""CURRENCY:""&amp;AF90&amp;""""&amp;Dashboard!$L$1&amp;""""))),"&amp;"AS90))"),"")</f>
        <v/>
      </c>
      <c r="R90" s="178" t="str">
        <f t="shared" si="7"/>
        <v/>
      </c>
      <c r="S90" s="50" t="str">
        <f>IFERROR(__xludf.DUMMYFUNCTION("IF(ISBLANK(B90),"""",IFERROR((GOOGLEFINANCE(B90,""price"")/INDEX(GOOGLEFINANCE(B90,""price"",DATEVALUE(TODAY()-$S$2) ),2,2)-1),""""))"),"")</f>
        <v/>
      </c>
      <c r="U90" s="50" t="str">
        <f>IFERROR(__xludf.DUMMYFUNCTION("IF(ISBLANK(B90),"""",IFERROR((GOOGLEFINANCE($U$2,""price"")/INDEX(GOOGLEFINANCE($U$2,""price"",DATEVALUE(TODAY()-$S$2) ),2,2)-1),""""))"),"")</f>
        <v/>
      </c>
      <c r="W90" s="50" t="str">
        <f t="shared" si="8"/>
        <v/>
      </c>
      <c r="X90" s="50" t="str">
        <f t="shared" si="9"/>
        <v/>
      </c>
      <c r="Y90" s="179">
        <v>0.0</v>
      </c>
      <c r="Z90" s="50" t="str">
        <f t="shared" si="10"/>
        <v/>
      </c>
      <c r="AA90" s="14" t="str">
        <f t="shared" si="11"/>
        <v/>
      </c>
      <c r="AB90" s="50" t="str">
        <f t="shared" si="12"/>
        <v/>
      </c>
      <c r="AC90" s="179" t="str">
        <f t="shared" si="13"/>
        <v/>
      </c>
      <c r="AD90" s="50" t="str">
        <f t="shared" si="14"/>
        <v/>
      </c>
      <c r="AE90" s="180" t="str">
        <f t="shared" si="15"/>
        <v/>
      </c>
      <c r="AF90" s="14" t="str">
        <f t="array" ref="AF90">IFERROR(IF(ISBLANK(AH90),"",IF(VLOOKUP(AH90,Transactions!D:F,3,0)="Stablecoin",AH90,INDEX(Transactions!$B$3:$B149,MATCH(AH90,Transactions!$D$3:$D149,0),0))))</f>
        <v/>
      </c>
      <c r="AG90" s="14" t="str">
        <f>IF(ISBLANK(AH90),"",VLOOKUP(AH90,Transactions!D:E,2,0))</f>
        <v/>
      </c>
      <c r="AH90" s="14"/>
      <c r="AI90" s="146" t="str">
        <f>IF(ISBLANK(AH90),"",IF(
SUMIFS(Transactions!$I$3:$I149,Transactions!$H$3:$H149,"Buy",Transactions!$F$3:$F149,"Stock",Transactions!$D$3:$D149,AH90)
+SUMIFS(Transactions!$I$3:$I149,Transactions!$H$3:$H149,"DRIP",Transactions!$F$3:$F149,"Stock",Transactions!$D$3:$D149,AH90)
+SUMIFS(Transactions!$I$3:$I149,Transactions!$H$3:$H149,"Transfer Deposit",Transactions!$F$3:$F149,"Stock",Transactions!$D$3:$D149,AH90)
+SUMIFS(Transactions!$I$3:$I149,Transactions!$H$3:$H149,"Buy",Transactions!$F$3:$F149,"ETF",Transactions!$D$3:$D149,AH90)
+SUMIFS(Transactions!$I$3:$I149,Transactions!$H$3:$H149,"DRIP",Transactions!$F$3:$F149,"ETF",Transactions!$D$3:$D149,AH90)
+SUMIFS(Transactions!$I$3:$I149,Transactions!$H$3:$H149,"Transfer Deposit",Transactions!$F$3:$F149,"ETF",Transactions!$D$3:$D149,AH90)
+SUMIFS(Transactions!$I$3:$I149,Transactions!$H$3:$H149,"Buy",Transactions!$F$3:$F149,"Commodity",Transactions!$D$3:$D149,AH90)
+SUMIFS(Transactions!$I$3:$I149,Transactions!$H$3:$H149,"DRIP",Transactions!$F$3:$F149,"Commodity",Transactions!$D$3:$D149,AH90)
+SUMIFS(Transactions!$I$3:$I149,Transactions!$H$3:$H149,"Transfer Deposit",Transactions!$F$3:$F149,"Commodity",Transactions!$D$3:$D149,AH90)
+SUMIFS(Transactions!$I$3:$I149,Transactions!$H$3:$H149,"Buy",Transactions!$F$3:$F149,"Managed Fund",Transactions!$D$3:$D149,AH90)
+SUMIFS(Transactions!$I$3:$I149,Transactions!$H$3:$H149,"DRIP",Transactions!$F$3:$F149,"Managed Fund",Transactions!$D$3:$D149,AH90)
+SUMIFS(Transactions!$I$3:$I149,Transactions!$H$3:$H149,"Transfer Deposit",Transactions!$F$3:$F149,"Managed Fund",Transactions!$D$3:$D149,AH90)
+SUMIFS(Transactions!$I$3:$I149,Transactions!$H$3:$H149,"Buy",Transactions!$F$3:$F149,"REIT",Transactions!$D$3:$D149,AH90)
+SUMIFS(Transactions!$I$3:$I149,Transactions!$H$3:$H149,"DRIP",Transactions!$F$3:$F149,"REIT",Transactions!$D$3:$D149,AH90)
+SUMIFS(Transactions!$I$3:$I149,Transactions!$H$3:$H149,"Transfer Deposit",Transactions!$F$3:$F149,"REIT",Transactions!$D$3:$D149,AH90)
-SUMIFS(Transactions!$I$3:$I149,Transactions!$H$3:$H149,"Sell",Transactions!$F$3:$F149,"Stock",Transactions!$D$3:$D149,AH90)
-SUMIFS(Transactions!$I$3:$I149,Transactions!$H$3:$H149,"Transfer Send",Transactions!$F$3:$F149,"Stock",Transactions!$D$3:$D149,AH90)
-SUMIFS(Transactions!$I$3:$I149,Transactions!$H$3:$H149,"Sell",Transactions!$F$3:$F149,"ETF",Transactions!$D$3:$D149,AH90)
-SUMIFS(Transactions!$I$3:$I149,Transactions!$H$3:$H149,"Transfer Send",Transactions!$F$3:$F149,"ETF",Transactions!$D$3:$D149,AH90)
-SUMIFS(Transactions!$I$3:$I149,Transactions!$H$3:$H149,"Sell",Transactions!$F$3:$F149,"Commodity",Transactions!$D$3:$D149,AH90)
-SUMIFS(Transactions!$I$3:$I149,Transactions!$H$3:$H149,"Transfer Send",Transactions!$F$3:$F149,"Commodity",Transactions!$D$3:$D149,AH90)
-SUMIFS(Transactions!$I$3:$I149,Transactions!$H$3:$H149,"Sell",Transactions!$F$3:$F149,"Managed Fund",Transactions!$D$3:$D149,AH90)
-SUMIFS(Transactions!$I$3:$I149,Transactions!$H$3:$H149,"Transfer Send",Transactions!$F$3:$F149,"Managed Fund",Transactions!$D$3:$D149,AH90)
-SUMIFS(Transactions!$I$3:$I149,Transactions!$H$3:$H149,"Sell",Transactions!$F$3:$F149,"REIT",Transactions!$D$3:$D149,AH90)
-SUMIFS(Transactions!$I$3:$I149,Transactions!$H$3:$H149,"Transfer Send",Transactions!$F$3:$F149,"REIT",Transactions!$D$3:$D149,AH90)
+SUMIFS(Transactions!$I$3:$I149,Transactions!$H$3:$H149,"Buy",Transactions!$F$3:$F149,"Crypto",Transactions!$D$3:$D149,AH90)
+SUMIFS(Transactions!$I$3:$I149,Transactions!$H$3:$H149,"Crypto Interest",Transactions!$F$3:$F149,"Crypto",Transactions!$D$3:$D149,AH90)
+SUMIFS(Transactions!$I$3:$I149,Transactions!$H$3:$H149,"Transfer Deposit",Transactions!$F$3:$F149,"Crypto",Transactions!$D$3:$D149,AH90)
-SUMIFS(Transactions!$I$3:$I149,Transactions!$H$3:$H149,"Transfer Send",Transactions!$F$3:$F149,"Crypto",Transactions!$D$3:$D149,AH90)
-SUMIFS(Transactions!$I$3:$I149,Transactions!$H$3:$H149,"Sell",Transactions!$F$3:$F149,"Crypto",Transactions!$D$3:$D149,AH90)
+SUMIFS(Transactions!$I$3:$I149,Transactions!$H$3:$H149,"Buy",Transactions!$F$3:$F149,"Stablecoin",Transactions!$D$3:$D149,AH90)
+SUMIFS(Transactions!$I$3:$I149,Transactions!$H$3:$H149,"Crypto Interest",Transactions!$F$3:$F149,"Stablecoin",Transactions!$D$3:$D149,AH90)
+SUMIFS(Transactions!$I$3:$I149,Transactions!$H$3:$H149,"Transfer Deposit",Transactions!$F$3:$F149,"Stablecoin",Transactions!$D$3:$D149,AH90)
-SUMIFS(Transactions!$I$3:$I149,Transactions!$H$3:$H149,"Transfer Send",Transactions!$F$3:$F149,"Stablecoin",Transactions!$D$3:$D149,AH90)
-SUMIFS(Transactions!$I$3:$I149,Transactions!$H$3:$H149,"Sell",Transactions!$F$3:$F149,"Stablecoin",Transactions!$D$3:$D149,AH90)
-SUMIFS(Transactions!$M$3:$M149,Transactions!$H$3:$H149,"Buy",Transactions!$B$3:$B149,AH90)=0,"Sold All",
SUMIFS(Transactions!$I$3:$I149,Transactions!$H$3:$H149,"Buy",Transactions!$F$3:$F149,"Stock",Transactions!$D$3:$D149,AH90)
+SUMIFS(Transactions!$I$3:$I149,Transactions!$H$3:$H149,"DRIP",Transactions!$F$3:$F149,"Stock",Transactions!$D$3:$D149,AH90)
+SUMIFS(Transactions!$I$3:$I149,Transactions!$H$3:$H149,"Transfer Deposit",Transactions!$F$3:$F149,"Stock",Transactions!$D$3:$D149,AH90)
+SUMIFS(Transactions!$I$3:$I149,Transactions!$H$3:$H149,"Buy",Transactions!$F$3:$F149,"ETF",Transactions!$D$3:$D149,AH90)
+SUMIFS(Transactions!$I$3:$I149,Transactions!$H$3:$H149,"DRIP",Transactions!$F$3:$F149,"ETF",Transactions!$D$3:$D149,AH90)
+SUMIFS(Transactions!$I$3:$I149,Transactions!$H$3:$H149,"Transfer Deposit",Transactions!$F$3:$F149,"ETF",Transactions!$D$3:$D149,AH90)
+SUMIFS(Transactions!$I$3:$I149,Transactions!$H$3:$H149,"Buy",Transactions!$F$3:$F149,"Commodity",Transactions!$D$3:$D149,AH90)
+SUMIFS(Transactions!$I$3:$I149,Transactions!$H$3:$H149,"DRIP",Transactions!$F$3:$F149,"Commodity",Transactions!$D$3:$D149,AH90)
+SUMIFS(Transactions!$I$3:$I149,Transactions!$H$3:$H149,"Transfer Deposit",Transactions!$F$3:$F149,"Commodity",Transactions!$D$3:$D149,AH90)
+SUMIFS(Transactions!$I$3:$I149,Transactions!$H$3:$H149,"Buy",Transactions!$F$3:$F149,"Managed Fund",Transactions!$D$3:$D149,AH90)
+SUMIFS(Transactions!$I$3:$I149,Transactions!$H$3:$H149,"DRIP",Transactions!$F$3:$F149,"Managed Fund",Transactions!$D$3:$D149,AH90)
+SUMIFS(Transactions!$I$3:$I149,Transactions!$H$3:$H149,"Transfer Deposit",Transactions!$F$3:$F149,"Managed Fund",Transactions!$D$3:$D149,AH90)
+SUMIFS(Transactions!$I$3:$I149,Transactions!$H$3:$H149,"Buy",Transactions!$F$3:$F149,"REIT",Transactions!$D$3:$D149,AH90)
+SUMIFS(Transactions!$I$3:$I149,Transactions!$H$3:$H149,"DRIP",Transactions!$F$3:$F149,"REIT",Transactions!$D$3:$D149,AH90)
+SUMIFS(Transactions!$I$3:$I149,Transactions!$H$3:$H149,"Transfer Deposit",Transactions!$F$3:$F149,"REIT",Transactions!$D$3:$D149,AH90)
-SUMIFS(Transactions!$I$3:$I149,Transactions!$H$3:$H149,"Sell",Transactions!$F$3:$F149,"Stock",Transactions!$D$3:$D149,AH90)
-SUMIFS(Transactions!$I$3:$I149,Transactions!$H$3:$H149,"Transfer Send",Transactions!$F$3:$F149,"Stock",Transactions!$D$3:$D149,AH90)
-SUMIFS(Transactions!$I$3:$I149,Transactions!$H$3:$H149,"Sell",Transactions!$F$3:$F149,"ETF",Transactions!$D$3:$D149,AH90)
-SUMIFS(Transactions!$I$3:$I149,Transactions!$H$3:$H149,"Transfer Send",Transactions!$F$3:$F149,"ETF",Transactions!$D$3:$D149,AH90)
-SUMIFS(Transactions!$I$3:$I149,Transactions!$H$3:$H149,"Sell",Transactions!$F$3:$F149,"Commodity",Transactions!$D$3:$D149,AH90)
-SUMIFS(Transactions!$I$3:$I149,Transactions!$H$3:$H149,"Transfer Send",Transactions!$F$3:$F149,"Commodity",Transactions!$D$3:$D149,AH90)
-SUMIFS(Transactions!$I$3:$I149,Transactions!$H$3:$H149,"Sell",Transactions!$F$3:$F149,"Managed Fund",Transactions!$D$3:$D149,AH90)
-SUMIFS(Transactions!$I$3:$I149,Transactions!$H$3:$H149,"Transfer Send",Transactions!$F$3:$F149,"Managed Fund",Transactions!$D$3:$D149,AH90)
-SUMIFS(Transactions!$I$3:$I149,Transactions!$H$3:$H149,"Sell",Transactions!$F$3:$F149,"REIT",Transactions!$D$3:$D149,AH90)
-SUMIFS(Transactions!$I$3:$I149,Transactions!$H$3:$H149,"Transfer Send",Transactions!$F$3:$F149,"REIT",Transactions!$D$3:$D149,AH90)
+SUMIFS(Transactions!$I$3:$I149,Transactions!$H$3:$H149,"Buy",Transactions!$F$3:$F149,"Crypto",Transactions!$D$3:$D149,AH90)
+SUMIFS(Transactions!$I$3:$I149,Transactions!$H$3:$H149,"Crypto Interest",Transactions!$F$3:$F149,"Crypto",Transactions!$D$3:$D149,AH90)
+SUMIFS(Transactions!$I$3:$I149,Transactions!$H$3:$H149,"Transfer Deposit",Transactions!$F$3:$F149,"Crypto",Transactions!$D$3:$D149,AH90)
-SUMIFS(Transactions!$I$3:$I149,Transactions!$H$3:$H149,"Transfer Send",Transactions!$F$3:$F149,"Crypto",Transactions!$D$3:$D149,AH90)
-SUMIFS(Transactions!$I$3:$I149,Transactions!$H$3:$H149,"Sell",Transactions!$F$3:$F149,"Crypto",Transactions!$D$3:$D149,AH90)
+SUMIFS(Transactions!$I$3:$I149,Transactions!$H$3:$H149,"Buy",Transactions!$F$3:$F149,"Stablecoin",Transactions!$D$3:$D149,AH90)
+SUMIFS(Transactions!$I$3:$I149,Transactions!$H$3:$H149,"Crypto Interest",Transactions!$F$3:$F149,"Stablecoin",Transactions!$D$3:$D149,AH90)
+SUMIFS(Transactions!$I$3:$I149,Transactions!$H$3:$H149,"Transfer Deposit",Transactions!$F$3:$F149,"Stablecoin",Transactions!$D$3:$D149,AH90)
-SUMIFS(Transactions!$I$3:$I149,Transactions!$H$3:$H149,"Transfer Send",Transactions!$F$3:$F149,"Stablecoin",Transactions!$D$3:$D149,AH90)
-SUMIFS(Transactions!$I$3:$I149,Transactions!$H$3:$H149,"Sell",Transactions!$F$3:$F149,"Stablecoin",Transactions!$D$3:$D149,AH90)
-SUMIFS(Transactions!$M$3:$M149,Transactions!$H$3:$H149,"Buy",Transactions!$B$3:$B149,AH90)))</f>
        <v/>
      </c>
      <c r="AJ90" s="181" t="str">
        <f>IFERROR(__xludf.DUMMYFUNCTION("IF(ISBLANK(AH90),"""",VLOOKUP(9^99,FILTER({ROW(Transactions!P:P),Transactions!P:P},Transactions!D:D=AH90),2))"),"")</f>
        <v/>
      </c>
      <c r="AK90" s="181" t="str">
        <f>IFERROR(__xludf.DUMMYFUNCTION("IF(ISBLANK(AH90),"""",IFERROR(GOOGLEFINANCE(AH90,""price""),IFERROR(GOOGLEFINANCE(""CURRENCY:""&amp;AH90&amp;""""),IFERROR(INDEX(YAHOO_STOCK(TRIM(AH90), $G$2),0,1),INDEX(IMPORTHTML(CONCAT(""https://coinmarketcap.com/currencies/"",AG90),""table"",1),1,2)))))"),"")</f>
        <v/>
      </c>
      <c r="AL90" s="14" t="str">
        <f>IFERROR(__xludf.DUMMYFUNCTION("IF(ISBLANK(AH90),"""",IFERROR(SPARKLINE(INDEX(GOOGLEFINANCE(AH90,""price"",TODAY()-$AL$2,TODAY()),,2),{""charttype"",""column"";""color"",""17a7e0""}),""""))"),"")</f>
        <v/>
      </c>
      <c r="AM90" s="50" t="str">
        <f>IFERROR(__xludf.DUMMYFUNCTION("IFNA(IFERROR(IF(AH90="""","""",GOOGLEFINANCE(AH90,""changepct"")/100),(GOOGLEFINANCE(AH90)-(INDEX(GOOGLEFINANCE(""CURRENCY:""&amp;AH90&amp;"""",""price"",TODAY()-1),2,2)))/(INDEX(GOOGLEFINANCE(""CURRENCY:""&amp;AH90&amp;"""",""price"",TODAY()-1),2,2))),)"),"")</f>
        <v/>
      </c>
      <c r="AN90" s="96" t="str">
        <f>IFERROR(__xludf.DUMMYFUNCTION("IFNA(IFERROR(IF(AH90="""","""",GOOGLEFINANCE(AH90,""change"")*AI90),(GOOGLEFINANCE(AH90)-(INDEX(GOOGLEFINANCE(""CURRENCY:""&amp;AH90&amp;"""",""price"",TODAY()-1),2,2)))*AI90),"""")"),"")</f>
        <v/>
      </c>
      <c r="AO90" s="96" t="str">
        <f>IF(ISBLANK(AH90),"",IFERROR(((AI90-SUMIFS(Transactions!I:I,Transactions!H:H,"Crypto Interest",Transactions!D:D,AH90))*AJ90),""))</f>
        <v/>
      </c>
      <c r="AP90" s="96" t="str">
        <f t="shared" si="16"/>
        <v/>
      </c>
      <c r="AQ90" s="50" t="str">
        <f t="shared" si="17"/>
        <v/>
      </c>
      <c r="AR90" s="96" t="str">
        <f t="shared" si="18"/>
        <v/>
      </c>
      <c r="AS90" s="96" t="str">
        <f>IF(ISBLANK(AH90),"",SUMIFS(Transactions!$X$3:$X149,Transactions!$H$3:$H149,"Sell",Transactions!$D$3:$D149,AH90))</f>
        <v/>
      </c>
      <c r="AT90" s="96" t="str">
        <f t="shared" si="19"/>
        <v/>
      </c>
      <c r="AU90" s="50" t="str">
        <f>IFERROR(__xludf.DUMMYFUNCTION("IF(ISBLANK(AH90),"""",IFERROR((GOOGLEFINANCE(AH90,""price"")/INDEX(GOOGLEFINANCE(AH90,""price"",DATEVALUE(TODAY()-$AU$2) ),2,2)-1),""""))"),"")</f>
        <v/>
      </c>
      <c r="AW90" s="50" t="str">
        <f>IFERROR(__xludf.DUMMYFUNCTION("IF(ISBLANK(AH90),"""",IFERROR((GOOGLEFINANCE($AW$2,""price"")/INDEX(GOOGLEFINANCE($AW$2,""price"",DATEVALUE(TODAY()-$AU$2) ),2,2)-1),""""))"),"")</f>
        <v/>
      </c>
      <c r="AY90" s="50" t="str">
        <f t="shared" si="20"/>
        <v/>
      </c>
      <c r="AZ90" s="50" t="str">
        <f t="shared" si="21"/>
        <v/>
      </c>
      <c r="BA90" s="50">
        <f t="shared" si="22"/>
        <v>0</v>
      </c>
      <c r="BB90" s="14" t="str">
        <f t="shared" si="23"/>
        <v/>
      </c>
      <c r="BC90" s="14" t="str">
        <f>IF(ISBLANK(AH90),"",IFERROR(VLOOKUP(AH90,Transactions!D:F,3,0)))</f>
        <v/>
      </c>
      <c r="BD90" s="50" t="str">
        <f t="shared" si="24"/>
        <v/>
      </c>
      <c r="BE90" s="50" t="str">
        <f t="shared" si="25"/>
        <v/>
      </c>
      <c r="BF90" s="14" t="str">
        <f t="shared" si="26"/>
        <v/>
      </c>
      <c r="BG90" s="180" t="str">
        <f>IF(ISBLANK(AH90),"",IFERROR(VLOOKUP(AH90,Transactions!D:G,4,0)))</f>
        <v/>
      </c>
    </row>
    <row r="91">
      <c r="A91" s="14" t="str">
        <f t="shared" ref="A91:C91" si="114">AG91</f>
        <v/>
      </c>
      <c r="B91" s="14" t="str">
        <f t="shared" si="114"/>
        <v/>
      </c>
      <c r="C91" s="175" t="str">
        <f t="shared" si="114"/>
        <v/>
      </c>
      <c r="D91" s="176" t="str">
        <f>IFERROR(__xludf.DUMMYFUNCTION("IF(ISBLANK(B91),"""",IFERROR(IF(OR(AF91=""GPB"",AF91=""ZAR""),IF(AF91=Dashboard!$L$1,AJ91,(AJ91*GOOGLEFINANCE(""CURRENCY:""&amp;AF91&amp;""""&amp;Dashboard!$L$1&amp;""""))/100),IF(AF91=Dashboard!$L$1,AJ91,AJ91*GOOGLEFINANCE(""CURRENCY:""&amp;AF91&amp;""""&amp;Dashboard!$L$1&amp;""""))),"&amp;"AJ91))"),"")</f>
        <v/>
      </c>
      <c r="E91" s="177" t="str">
        <f>IFERROR(__xludf.DUMMYFUNCTION("IFERROR(IF(OR(AF91=""GBP"",AF91=""ZAR""),IF(B91="""","""",IF(AF91=Dashboard!$L$1,AK91,AK91*GOOGLEFINANCE(""CURRENCY:""&amp;AF91&amp;""""&amp;Dashboard!$L$1&amp;"""")))/100,If(B91="""","""",IF(AF91=Dashboard!$L$1,AK91,AK91*GOOGLEFINANCE(""CURRENCY:""&amp;AF91&amp;""""&amp;Dashboard!$"&amp;"L$1&amp;"""")))),AK91)"),"")</f>
        <v/>
      </c>
      <c r="F91" s="145" t="str">
        <f t="shared" si="65"/>
        <v/>
      </c>
      <c r="G91" s="96" t="str">
        <f>IFERROR(__xludf.DUMMYFUNCTION("IF(ISBLANK(B91),"""",IFERROR(SPARKLINE(INDEX(GOOGLEFINANCE(B91,""price"",TODAY()-$G$2,TODAY()),,2),{""charttype"",""column"";""color"",""17a7e0""}),""""))"),"")</f>
        <v/>
      </c>
      <c r="H91" s="50" t="str">
        <f t="shared" si="3"/>
        <v/>
      </c>
      <c r="I91" s="96" t="str">
        <f>IFERROR(__xludf.DUMMYFUNCTION("IF(ISBLANK(B91),"""",IFERROR(IF(OR(AF91=""GPB"",AF91=""ZAR""),IF(AF91=Dashboard!$L$1,AN91,(AN91*GOOGLEFINANCE(""CURRENCY:""&amp;AF91&amp;""""&amp;Dashboard!$L$1&amp;""""))/100),IF(AF91=Dashboard!$L$1,AN91,AN91*GOOGLEFINANCE(""CURRENCY:""&amp;AF91&amp;""""&amp;Dashboard!$L$1&amp;""""))),"&amp;"AN91))"),"")</f>
        <v/>
      </c>
      <c r="J91" s="178" t="str">
        <f>IF(ISBLANK(B91),"",IFERROR(((C91-SUMIFS(Transactions!I:I,Transactions!H:H,"Crypto Interest",Transactions!D:D,B91))*D91),""))</f>
        <v/>
      </c>
      <c r="K91" s="178" t="str">
        <f t="shared" si="4"/>
        <v/>
      </c>
      <c r="L91" s="145">
        <f>IF(ISBLANK(AF91),"",SUMIFS(Transactions!$M$3:$M149,Transactions!$H$3:$H149,"Buy",Transactions!$D$3:$D149,AF91))</f>
        <v>0</v>
      </c>
      <c r="M91" s="145">
        <f>IF(ISBLANK(AG91),"",SUMIFS(Transactions!$M$3:$M149,Transactions!$H$3:$H149,"Dividend",Transactions!$D$3:$D149,AG91))</f>
        <v>0</v>
      </c>
      <c r="N91" s="145" t="str">
        <f>IF(ISBLANK(AH91),"",SUMIFS(Transactions!$M$3:$M149,Transactions!$H$3:$H149,"Sell",Transactions!$D$3:$D149,AH91))</f>
        <v/>
      </c>
      <c r="O91" s="50" t="str">
        <f t="shared" si="5"/>
        <v/>
      </c>
      <c r="P91" s="178" t="str">
        <f t="shared" si="6"/>
        <v/>
      </c>
      <c r="Q91" s="178" t="str">
        <f>IFERROR(__xludf.DUMMYFUNCTION("IF(ISBLANK(B91),"""",IFERROR(IF(OR(AF91=""GPB"",AF91=""ZAR""),IF(AF91=Dashboard!$L$1,AS91,(AS91*GOOGLEFINANCE(""CURRENCY:""&amp;AF91&amp;""""&amp;Dashboard!$L$1&amp;""""))/100),IF(AF91=Dashboard!$L$1,AS91,AS91*GOOGLEFINANCE(""CURRENCY:""&amp;AF91&amp;""""&amp;Dashboard!$L$1&amp;""""))),"&amp;"AS91))"),"")</f>
        <v/>
      </c>
      <c r="R91" s="178" t="str">
        <f t="shared" si="7"/>
        <v/>
      </c>
      <c r="S91" s="50" t="str">
        <f>IFERROR(__xludf.DUMMYFUNCTION("IF(ISBLANK(B91),"""",IFERROR((GOOGLEFINANCE(B91,""price"")/INDEX(GOOGLEFINANCE(B91,""price"",DATEVALUE(TODAY()-$S$2) ),2,2)-1),""""))"),"")</f>
        <v/>
      </c>
      <c r="U91" s="50" t="str">
        <f>IFERROR(__xludf.DUMMYFUNCTION("IF(ISBLANK(B91),"""",IFERROR((GOOGLEFINANCE($U$2,""price"")/INDEX(GOOGLEFINANCE($U$2,""price"",DATEVALUE(TODAY()-$S$2) ),2,2)-1),""""))"),"")</f>
        <v/>
      </c>
      <c r="W91" s="50" t="str">
        <f t="shared" si="8"/>
        <v/>
      </c>
      <c r="X91" s="50" t="str">
        <f t="shared" si="9"/>
        <v/>
      </c>
      <c r="Y91" s="179">
        <v>0.0</v>
      </c>
      <c r="Z91" s="50" t="str">
        <f t="shared" si="10"/>
        <v/>
      </c>
      <c r="AA91" s="14" t="str">
        <f t="shared" si="11"/>
        <v/>
      </c>
      <c r="AB91" s="50" t="str">
        <f t="shared" si="12"/>
        <v/>
      </c>
      <c r="AC91" s="179" t="str">
        <f t="shared" si="13"/>
        <v/>
      </c>
      <c r="AD91" s="50" t="str">
        <f t="shared" si="14"/>
        <v/>
      </c>
      <c r="AE91" s="180" t="str">
        <f t="shared" si="15"/>
        <v/>
      </c>
      <c r="AF91" s="14" t="str">
        <f t="array" ref="AF91">IFERROR(IF(ISBLANK(AH91),"",IF(VLOOKUP(AH91,Transactions!D:F,3,0)="Stablecoin",AH91,INDEX(Transactions!$B$3:$B149,MATCH(AH91,Transactions!$D$3:$D149,0),0))))</f>
        <v/>
      </c>
      <c r="AG91" s="14" t="str">
        <f>IF(ISBLANK(AH91),"",VLOOKUP(AH91,Transactions!D:E,2,0))</f>
        <v/>
      </c>
      <c r="AH91" s="14"/>
      <c r="AI91" s="146" t="str">
        <f>IF(ISBLANK(AH91),"",IF(
SUMIFS(Transactions!$I$3:$I149,Transactions!$H$3:$H149,"Buy",Transactions!$F$3:$F149,"Stock",Transactions!$D$3:$D149,AH91)
+SUMIFS(Transactions!$I$3:$I149,Transactions!$H$3:$H149,"DRIP",Transactions!$F$3:$F149,"Stock",Transactions!$D$3:$D149,AH91)
+SUMIFS(Transactions!$I$3:$I149,Transactions!$H$3:$H149,"Transfer Deposit",Transactions!$F$3:$F149,"Stock",Transactions!$D$3:$D149,AH91)
+SUMIFS(Transactions!$I$3:$I149,Transactions!$H$3:$H149,"Buy",Transactions!$F$3:$F149,"ETF",Transactions!$D$3:$D149,AH91)
+SUMIFS(Transactions!$I$3:$I149,Transactions!$H$3:$H149,"DRIP",Transactions!$F$3:$F149,"ETF",Transactions!$D$3:$D149,AH91)
+SUMIFS(Transactions!$I$3:$I149,Transactions!$H$3:$H149,"Transfer Deposit",Transactions!$F$3:$F149,"ETF",Transactions!$D$3:$D149,AH91)
+SUMIFS(Transactions!$I$3:$I149,Transactions!$H$3:$H149,"Buy",Transactions!$F$3:$F149,"Commodity",Transactions!$D$3:$D149,AH91)
+SUMIFS(Transactions!$I$3:$I149,Transactions!$H$3:$H149,"DRIP",Transactions!$F$3:$F149,"Commodity",Transactions!$D$3:$D149,AH91)
+SUMIFS(Transactions!$I$3:$I149,Transactions!$H$3:$H149,"Transfer Deposit",Transactions!$F$3:$F149,"Commodity",Transactions!$D$3:$D149,AH91)
+SUMIFS(Transactions!$I$3:$I149,Transactions!$H$3:$H149,"Buy",Transactions!$F$3:$F149,"Managed Fund",Transactions!$D$3:$D149,AH91)
+SUMIFS(Transactions!$I$3:$I149,Transactions!$H$3:$H149,"DRIP",Transactions!$F$3:$F149,"Managed Fund",Transactions!$D$3:$D149,AH91)
+SUMIFS(Transactions!$I$3:$I149,Transactions!$H$3:$H149,"Transfer Deposit",Transactions!$F$3:$F149,"Managed Fund",Transactions!$D$3:$D149,AH91)
+SUMIFS(Transactions!$I$3:$I149,Transactions!$H$3:$H149,"Buy",Transactions!$F$3:$F149,"REIT",Transactions!$D$3:$D149,AH91)
+SUMIFS(Transactions!$I$3:$I149,Transactions!$H$3:$H149,"DRIP",Transactions!$F$3:$F149,"REIT",Transactions!$D$3:$D149,AH91)
+SUMIFS(Transactions!$I$3:$I149,Transactions!$H$3:$H149,"Transfer Deposit",Transactions!$F$3:$F149,"REIT",Transactions!$D$3:$D149,AH91)
-SUMIFS(Transactions!$I$3:$I149,Transactions!$H$3:$H149,"Sell",Transactions!$F$3:$F149,"Stock",Transactions!$D$3:$D149,AH91)
-SUMIFS(Transactions!$I$3:$I149,Transactions!$H$3:$H149,"Transfer Send",Transactions!$F$3:$F149,"Stock",Transactions!$D$3:$D149,AH91)
-SUMIFS(Transactions!$I$3:$I149,Transactions!$H$3:$H149,"Sell",Transactions!$F$3:$F149,"ETF",Transactions!$D$3:$D149,AH91)
-SUMIFS(Transactions!$I$3:$I149,Transactions!$H$3:$H149,"Transfer Send",Transactions!$F$3:$F149,"ETF",Transactions!$D$3:$D149,AH91)
-SUMIFS(Transactions!$I$3:$I149,Transactions!$H$3:$H149,"Sell",Transactions!$F$3:$F149,"Commodity",Transactions!$D$3:$D149,AH91)
-SUMIFS(Transactions!$I$3:$I149,Transactions!$H$3:$H149,"Transfer Send",Transactions!$F$3:$F149,"Commodity",Transactions!$D$3:$D149,AH91)
-SUMIFS(Transactions!$I$3:$I149,Transactions!$H$3:$H149,"Sell",Transactions!$F$3:$F149,"Managed Fund",Transactions!$D$3:$D149,AH91)
-SUMIFS(Transactions!$I$3:$I149,Transactions!$H$3:$H149,"Transfer Send",Transactions!$F$3:$F149,"Managed Fund",Transactions!$D$3:$D149,AH91)
-SUMIFS(Transactions!$I$3:$I149,Transactions!$H$3:$H149,"Sell",Transactions!$F$3:$F149,"REIT",Transactions!$D$3:$D149,AH91)
-SUMIFS(Transactions!$I$3:$I149,Transactions!$H$3:$H149,"Transfer Send",Transactions!$F$3:$F149,"REIT",Transactions!$D$3:$D149,AH91)
+SUMIFS(Transactions!$I$3:$I149,Transactions!$H$3:$H149,"Buy",Transactions!$F$3:$F149,"Crypto",Transactions!$D$3:$D149,AH91)
+SUMIFS(Transactions!$I$3:$I149,Transactions!$H$3:$H149,"Crypto Interest",Transactions!$F$3:$F149,"Crypto",Transactions!$D$3:$D149,AH91)
+SUMIFS(Transactions!$I$3:$I149,Transactions!$H$3:$H149,"Transfer Deposit",Transactions!$F$3:$F149,"Crypto",Transactions!$D$3:$D149,AH91)
-SUMIFS(Transactions!$I$3:$I149,Transactions!$H$3:$H149,"Transfer Send",Transactions!$F$3:$F149,"Crypto",Transactions!$D$3:$D149,AH91)
-SUMIFS(Transactions!$I$3:$I149,Transactions!$H$3:$H149,"Sell",Transactions!$F$3:$F149,"Crypto",Transactions!$D$3:$D149,AH91)
+SUMIFS(Transactions!$I$3:$I149,Transactions!$H$3:$H149,"Buy",Transactions!$F$3:$F149,"Stablecoin",Transactions!$D$3:$D149,AH91)
+SUMIFS(Transactions!$I$3:$I149,Transactions!$H$3:$H149,"Crypto Interest",Transactions!$F$3:$F149,"Stablecoin",Transactions!$D$3:$D149,AH91)
+SUMIFS(Transactions!$I$3:$I149,Transactions!$H$3:$H149,"Transfer Deposit",Transactions!$F$3:$F149,"Stablecoin",Transactions!$D$3:$D149,AH91)
-SUMIFS(Transactions!$I$3:$I149,Transactions!$H$3:$H149,"Transfer Send",Transactions!$F$3:$F149,"Stablecoin",Transactions!$D$3:$D149,AH91)
-SUMIFS(Transactions!$I$3:$I149,Transactions!$H$3:$H149,"Sell",Transactions!$F$3:$F149,"Stablecoin",Transactions!$D$3:$D149,AH91)
-SUMIFS(Transactions!$M$3:$M149,Transactions!$H$3:$H149,"Buy",Transactions!$B$3:$B149,AH91)=0,"Sold All",
SUMIFS(Transactions!$I$3:$I149,Transactions!$H$3:$H149,"Buy",Transactions!$F$3:$F149,"Stock",Transactions!$D$3:$D149,AH91)
+SUMIFS(Transactions!$I$3:$I149,Transactions!$H$3:$H149,"DRIP",Transactions!$F$3:$F149,"Stock",Transactions!$D$3:$D149,AH91)
+SUMIFS(Transactions!$I$3:$I149,Transactions!$H$3:$H149,"Transfer Deposit",Transactions!$F$3:$F149,"Stock",Transactions!$D$3:$D149,AH91)
+SUMIFS(Transactions!$I$3:$I149,Transactions!$H$3:$H149,"Buy",Transactions!$F$3:$F149,"ETF",Transactions!$D$3:$D149,AH91)
+SUMIFS(Transactions!$I$3:$I149,Transactions!$H$3:$H149,"DRIP",Transactions!$F$3:$F149,"ETF",Transactions!$D$3:$D149,AH91)
+SUMIFS(Transactions!$I$3:$I149,Transactions!$H$3:$H149,"Transfer Deposit",Transactions!$F$3:$F149,"ETF",Transactions!$D$3:$D149,AH91)
+SUMIFS(Transactions!$I$3:$I149,Transactions!$H$3:$H149,"Buy",Transactions!$F$3:$F149,"Commodity",Transactions!$D$3:$D149,AH91)
+SUMIFS(Transactions!$I$3:$I149,Transactions!$H$3:$H149,"DRIP",Transactions!$F$3:$F149,"Commodity",Transactions!$D$3:$D149,AH91)
+SUMIFS(Transactions!$I$3:$I149,Transactions!$H$3:$H149,"Transfer Deposit",Transactions!$F$3:$F149,"Commodity",Transactions!$D$3:$D149,AH91)
+SUMIFS(Transactions!$I$3:$I149,Transactions!$H$3:$H149,"Buy",Transactions!$F$3:$F149,"Managed Fund",Transactions!$D$3:$D149,AH91)
+SUMIFS(Transactions!$I$3:$I149,Transactions!$H$3:$H149,"DRIP",Transactions!$F$3:$F149,"Managed Fund",Transactions!$D$3:$D149,AH91)
+SUMIFS(Transactions!$I$3:$I149,Transactions!$H$3:$H149,"Transfer Deposit",Transactions!$F$3:$F149,"Managed Fund",Transactions!$D$3:$D149,AH91)
+SUMIFS(Transactions!$I$3:$I149,Transactions!$H$3:$H149,"Buy",Transactions!$F$3:$F149,"REIT",Transactions!$D$3:$D149,AH91)
+SUMIFS(Transactions!$I$3:$I149,Transactions!$H$3:$H149,"DRIP",Transactions!$F$3:$F149,"REIT",Transactions!$D$3:$D149,AH91)
+SUMIFS(Transactions!$I$3:$I149,Transactions!$H$3:$H149,"Transfer Deposit",Transactions!$F$3:$F149,"REIT",Transactions!$D$3:$D149,AH91)
-SUMIFS(Transactions!$I$3:$I149,Transactions!$H$3:$H149,"Sell",Transactions!$F$3:$F149,"Stock",Transactions!$D$3:$D149,AH91)
-SUMIFS(Transactions!$I$3:$I149,Transactions!$H$3:$H149,"Transfer Send",Transactions!$F$3:$F149,"Stock",Transactions!$D$3:$D149,AH91)
-SUMIFS(Transactions!$I$3:$I149,Transactions!$H$3:$H149,"Sell",Transactions!$F$3:$F149,"ETF",Transactions!$D$3:$D149,AH91)
-SUMIFS(Transactions!$I$3:$I149,Transactions!$H$3:$H149,"Transfer Send",Transactions!$F$3:$F149,"ETF",Transactions!$D$3:$D149,AH91)
-SUMIFS(Transactions!$I$3:$I149,Transactions!$H$3:$H149,"Sell",Transactions!$F$3:$F149,"Commodity",Transactions!$D$3:$D149,AH91)
-SUMIFS(Transactions!$I$3:$I149,Transactions!$H$3:$H149,"Transfer Send",Transactions!$F$3:$F149,"Commodity",Transactions!$D$3:$D149,AH91)
-SUMIFS(Transactions!$I$3:$I149,Transactions!$H$3:$H149,"Sell",Transactions!$F$3:$F149,"Managed Fund",Transactions!$D$3:$D149,AH91)
-SUMIFS(Transactions!$I$3:$I149,Transactions!$H$3:$H149,"Transfer Send",Transactions!$F$3:$F149,"Managed Fund",Transactions!$D$3:$D149,AH91)
-SUMIFS(Transactions!$I$3:$I149,Transactions!$H$3:$H149,"Sell",Transactions!$F$3:$F149,"REIT",Transactions!$D$3:$D149,AH91)
-SUMIFS(Transactions!$I$3:$I149,Transactions!$H$3:$H149,"Transfer Send",Transactions!$F$3:$F149,"REIT",Transactions!$D$3:$D149,AH91)
+SUMIFS(Transactions!$I$3:$I149,Transactions!$H$3:$H149,"Buy",Transactions!$F$3:$F149,"Crypto",Transactions!$D$3:$D149,AH91)
+SUMIFS(Transactions!$I$3:$I149,Transactions!$H$3:$H149,"Crypto Interest",Transactions!$F$3:$F149,"Crypto",Transactions!$D$3:$D149,AH91)
+SUMIFS(Transactions!$I$3:$I149,Transactions!$H$3:$H149,"Transfer Deposit",Transactions!$F$3:$F149,"Crypto",Transactions!$D$3:$D149,AH91)
-SUMIFS(Transactions!$I$3:$I149,Transactions!$H$3:$H149,"Transfer Send",Transactions!$F$3:$F149,"Crypto",Transactions!$D$3:$D149,AH91)
-SUMIFS(Transactions!$I$3:$I149,Transactions!$H$3:$H149,"Sell",Transactions!$F$3:$F149,"Crypto",Transactions!$D$3:$D149,AH91)
+SUMIFS(Transactions!$I$3:$I149,Transactions!$H$3:$H149,"Buy",Transactions!$F$3:$F149,"Stablecoin",Transactions!$D$3:$D149,AH91)
+SUMIFS(Transactions!$I$3:$I149,Transactions!$H$3:$H149,"Crypto Interest",Transactions!$F$3:$F149,"Stablecoin",Transactions!$D$3:$D149,AH91)
+SUMIFS(Transactions!$I$3:$I149,Transactions!$H$3:$H149,"Transfer Deposit",Transactions!$F$3:$F149,"Stablecoin",Transactions!$D$3:$D149,AH91)
-SUMIFS(Transactions!$I$3:$I149,Transactions!$H$3:$H149,"Transfer Send",Transactions!$F$3:$F149,"Stablecoin",Transactions!$D$3:$D149,AH91)
-SUMIFS(Transactions!$I$3:$I149,Transactions!$H$3:$H149,"Sell",Transactions!$F$3:$F149,"Stablecoin",Transactions!$D$3:$D149,AH91)
-SUMIFS(Transactions!$M$3:$M149,Transactions!$H$3:$H149,"Buy",Transactions!$B$3:$B149,AH91)))</f>
        <v/>
      </c>
      <c r="AJ91" s="181" t="str">
        <f>IFERROR(__xludf.DUMMYFUNCTION("IF(ISBLANK(AH91),"""",VLOOKUP(9^99,FILTER({ROW(Transactions!P:P),Transactions!P:P},Transactions!D:D=AH91),2))"),"")</f>
        <v/>
      </c>
      <c r="AK91" s="181" t="str">
        <f>IFERROR(__xludf.DUMMYFUNCTION("IF(ISBLANK(AH91),"""",IFERROR(GOOGLEFINANCE(AH91,""price""),IFERROR(GOOGLEFINANCE(""CURRENCY:""&amp;AH91&amp;""""),IFERROR(INDEX(YAHOO_STOCK(TRIM(AH91), $G$2),0,1),INDEX(IMPORTHTML(CONCAT(""https://coinmarketcap.com/currencies/"",AG91),""table"",1),1,2)))))"),"")</f>
        <v/>
      </c>
      <c r="AL91" s="14" t="str">
        <f>IFERROR(__xludf.DUMMYFUNCTION("IF(ISBLANK(AH91),"""",IFERROR(SPARKLINE(INDEX(GOOGLEFINANCE(AH91,""price"",TODAY()-$AL$2,TODAY()),,2),{""charttype"",""column"";""color"",""17a7e0""}),""""))"),"")</f>
        <v/>
      </c>
      <c r="AM91" s="50" t="str">
        <f>IFERROR(__xludf.DUMMYFUNCTION("IFNA(IFERROR(IF(AH91="""","""",GOOGLEFINANCE(AH91,""changepct"")/100),(GOOGLEFINANCE(AH91)-(INDEX(GOOGLEFINANCE(""CURRENCY:""&amp;AH91&amp;"""",""price"",TODAY()-1),2,2)))/(INDEX(GOOGLEFINANCE(""CURRENCY:""&amp;AH91&amp;"""",""price"",TODAY()-1),2,2))),)"),"")</f>
        <v/>
      </c>
      <c r="AN91" s="96" t="str">
        <f>IFERROR(__xludf.DUMMYFUNCTION("IFNA(IFERROR(IF(AH91="""","""",GOOGLEFINANCE(AH91,""change"")*AI91),(GOOGLEFINANCE(AH91)-(INDEX(GOOGLEFINANCE(""CURRENCY:""&amp;AH91&amp;"""",""price"",TODAY()-1),2,2)))*AI91),"""")"),"")</f>
        <v/>
      </c>
      <c r="AO91" s="96" t="str">
        <f>IF(ISBLANK(AH91),"",IFERROR(((AI91-SUMIFS(Transactions!I:I,Transactions!H:H,"Crypto Interest",Transactions!D:D,AH91))*AJ91),""))</f>
        <v/>
      </c>
      <c r="AP91" s="96" t="str">
        <f t="shared" si="16"/>
        <v/>
      </c>
      <c r="AQ91" s="50" t="str">
        <f t="shared" si="17"/>
        <v/>
      </c>
      <c r="AR91" s="96" t="str">
        <f t="shared" si="18"/>
        <v/>
      </c>
      <c r="AS91" s="96" t="str">
        <f>IF(ISBLANK(AH91),"",SUMIFS(Transactions!$X$3:$X149,Transactions!$H$3:$H149,"Sell",Transactions!$D$3:$D149,AH91))</f>
        <v/>
      </c>
      <c r="AT91" s="96" t="str">
        <f t="shared" si="19"/>
        <v/>
      </c>
      <c r="AU91" s="50" t="str">
        <f>IFERROR(__xludf.DUMMYFUNCTION("IF(ISBLANK(AH91),"""",IFERROR((GOOGLEFINANCE(AH91,""price"")/INDEX(GOOGLEFINANCE(AH91,""price"",DATEVALUE(TODAY()-$AU$2) ),2,2)-1),""""))"),"")</f>
        <v/>
      </c>
      <c r="AW91" s="50" t="str">
        <f>IFERROR(__xludf.DUMMYFUNCTION("IF(ISBLANK(AH91),"""",IFERROR((GOOGLEFINANCE($AW$2,""price"")/INDEX(GOOGLEFINANCE($AW$2,""price"",DATEVALUE(TODAY()-$AU$2) ),2,2)-1),""""))"),"")</f>
        <v/>
      </c>
      <c r="AY91" s="50" t="str">
        <f t="shared" si="20"/>
        <v/>
      </c>
      <c r="AZ91" s="50" t="str">
        <f t="shared" si="21"/>
        <v/>
      </c>
      <c r="BA91" s="50">
        <f t="shared" si="22"/>
        <v>0</v>
      </c>
      <c r="BB91" s="14" t="str">
        <f t="shared" si="23"/>
        <v/>
      </c>
      <c r="BC91" s="14" t="str">
        <f>IF(ISBLANK(AH91),"",IFERROR(VLOOKUP(AH91,Transactions!D:F,3,0)))</f>
        <v/>
      </c>
      <c r="BD91" s="50" t="str">
        <f t="shared" si="24"/>
        <v/>
      </c>
      <c r="BE91" s="50" t="str">
        <f t="shared" si="25"/>
        <v/>
      </c>
      <c r="BF91" s="14" t="str">
        <f t="shared" si="26"/>
        <v/>
      </c>
      <c r="BG91" s="180" t="str">
        <f>IF(ISBLANK(AH91),"",IFERROR(VLOOKUP(AH91,Transactions!D:G,4,0)))</f>
        <v/>
      </c>
    </row>
    <row r="92">
      <c r="A92" s="14" t="str">
        <f t="shared" ref="A92:C92" si="115">AG92</f>
        <v/>
      </c>
      <c r="B92" s="14" t="str">
        <f t="shared" si="115"/>
        <v/>
      </c>
      <c r="C92" s="175" t="str">
        <f t="shared" si="115"/>
        <v/>
      </c>
      <c r="D92" s="176" t="str">
        <f>IFERROR(__xludf.DUMMYFUNCTION("IF(ISBLANK(B92),"""",IFERROR(IF(OR(AF92=""GPB"",AF92=""ZAR""),IF(AF92=Dashboard!$L$1,AJ92,(AJ92*GOOGLEFINANCE(""CURRENCY:""&amp;AF92&amp;""""&amp;Dashboard!$L$1&amp;""""))/100),IF(AF92=Dashboard!$L$1,AJ92,AJ92*GOOGLEFINANCE(""CURRENCY:""&amp;AF92&amp;""""&amp;Dashboard!$L$1&amp;""""))),"&amp;"AJ92))"),"")</f>
        <v/>
      </c>
      <c r="E92" s="177" t="str">
        <f>IFERROR(__xludf.DUMMYFUNCTION("IFERROR(IF(OR(AF92=""GBP"",AF92=""ZAR""),IF(B92="""","""",IF(AF92=Dashboard!$L$1,AK92,AK92*GOOGLEFINANCE(""CURRENCY:""&amp;AF92&amp;""""&amp;Dashboard!$L$1&amp;"""")))/100,If(B92="""","""",IF(AF92=Dashboard!$L$1,AK92,AK92*GOOGLEFINANCE(""CURRENCY:""&amp;AF92&amp;""""&amp;Dashboard!$"&amp;"L$1&amp;"""")))),AK92)"),"")</f>
        <v/>
      </c>
      <c r="F92" s="145" t="str">
        <f t="shared" si="65"/>
        <v/>
      </c>
      <c r="G92" s="96" t="str">
        <f>IFERROR(__xludf.DUMMYFUNCTION("IF(ISBLANK(B92),"""",IFERROR(SPARKLINE(INDEX(GOOGLEFINANCE(B92,""price"",TODAY()-$G$2,TODAY()),,2),{""charttype"",""column"";""color"",""17a7e0""}),""""))"),"")</f>
        <v/>
      </c>
      <c r="H92" s="50" t="str">
        <f t="shared" si="3"/>
        <v/>
      </c>
      <c r="I92" s="96" t="str">
        <f>IFERROR(__xludf.DUMMYFUNCTION("IF(ISBLANK(B92),"""",IFERROR(IF(OR(AF92=""GPB"",AF92=""ZAR""),IF(AF92=Dashboard!$L$1,AN92,(AN92*GOOGLEFINANCE(""CURRENCY:""&amp;AF92&amp;""""&amp;Dashboard!$L$1&amp;""""))/100),IF(AF92=Dashboard!$L$1,AN92,AN92*GOOGLEFINANCE(""CURRENCY:""&amp;AF92&amp;""""&amp;Dashboard!$L$1&amp;""""))),"&amp;"AN92))"),"")</f>
        <v/>
      </c>
      <c r="J92" s="178" t="str">
        <f>IF(ISBLANK(B92),"",IFERROR(((C92-SUMIFS(Transactions!I:I,Transactions!H:H,"Crypto Interest",Transactions!D:D,B92))*D92),""))</f>
        <v/>
      </c>
      <c r="K92" s="178" t="str">
        <f t="shared" si="4"/>
        <v/>
      </c>
      <c r="L92" s="145">
        <f>IF(ISBLANK(AF92),"",SUMIFS(Transactions!$M$3:$M149,Transactions!$H$3:$H149,"Buy",Transactions!$D$3:$D149,AF92))</f>
        <v>0</v>
      </c>
      <c r="M92" s="145">
        <f>IF(ISBLANK(AG92),"",SUMIFS(Transactions!$M$3:$M149,Transactions!$H$3:$H149,"Dividend",Transactions!$D$3:$D149,AG92))</f>
        <v>0</v>
      </c>
      <c r="N92" s="145" t="str">
        <f>IF(ISBLANK(AH92),"",SUMIFS(Transactions!$M$3:$M149,Transactions!$H$3:$H149,"Sell",Transactions!$D$3:$D149,AH92))</f>
        <v/>
      </c>
      <c r="O92" s="50" t="str">
        <f t="shared" si="5"/>
        <v/>
      </c>
      <c r="P92" s="178" t="str">
        <f t="shared" si="6"/>
        <v/>
      </c>
      <c r="Q92" s="178" t="str">
        <f>IFERROR(__xludf.DUMMYFUNCTION("IF(ISBLANK(B92),"""",IFERROR(IF(OR(AF92=""GPB"",AF92=""ZAR""),IF(AF92=Dashboard!$L$1,AS92,(AS92*GOOGLEFINANCE(""CURRENCY:""&amp;AF92&amp;""""&amp;Dashboard!$L$1&amp;""""))/100),IF(AF92=Dashboard!$L$1,AS92,AS92*GOOGLEFINANCE(""CURRENCY:""&amp;AF92&amp;""""&amp;Dashboard!$L$1&amp;""""))),"&amp;"AS92))"),"")</f>
        <v/>
      </c>
      <c r="R92" s="178" t="str">
        <f t="shared" si="7"/>
        <v/>
      </c>
      <c r="S92" s="50" t="str">
        <f>IFERROR(__xludf.DUMMYFUNCTION("IF(ISBLANK(B92),"""",IFERROR((GOOGLEFINANCE(B92,""price"")/INDEX(GOOGLEFINANCE(B92,""price"",DATEVALUE(TODAY()-$S$2) ),2,2)-1),""""))"),"")</f>
        <v/>
      </c>
      <c r="U92" s="50" t="str">
        <f>IFERROR(__xludf.DUMMYFUNCTION("IF(ISBLANK(B92),"""",IFERROR((GOOGLEFINANCE($U$2,""price"")/INDEX(GOOGLEFINANCE($U$2,""price"",DATEVALUE(TODAY()-$S$2) ),2,2)-1),""""))"),"")</f>
        <v/>
      </c>
      <c r="W92" s="50" t="str">
        <f t="shared" si="8"/>
        <v/>
      </c>
      <c r="X92" s="50" t="str">
        <f t="shared" si="9"/>
        <v/>
      </c>
      <c r="Y92" s="179">
        <v>0.0</v>
      </c>
      <c r="Z92" s="50" t="str">
        <f t="shared" si="10"/>
        <v/>
      </c>
      <c r="AA92" s="14" t="str">
        <f t="shared" si="11"/>
        <v/>
      </c>
      <c r="AB92" s="50" t="str">
        <f t="shared" si="12"/>
        <v/>
      </c>
      <c r="AC92" s="179" t="str">
        <f t="shared" si="13"/>
        <v/>
      </c>
      <c r="AD92" s="50" t="str">
        <f t="shared" si="14"/>
        <v/>
      </c>
      <c r="AE92" s="180" t="str">
        <f t="shared" si="15"/>
        <v/>
      </c>
      <c r="AF92" s="14" t="str">
        <f t="array" ref="AF92">IFERROR(IF(ISBLANK(AH92),"",IF(VLOOKUP(AH92,Transactions!D:F,3,0)="Stablecoin",AH92,INDEX(Transactions!$B$3:$B149,MATCH(AH92,Transactions!$D$3:$D149,0),0))))</f>
        <v/>
      </c>
      <c r="AG92" s="14" t="str">
        <f>IF(ISBLANK(AH92),"",VLOOKUP(AH92,Transactions!D:E,2,0))</f>
        <v/>
      </c>
      <c r="AH92" s="14"/>
      <c r="AI92" s="146" t="str">
        <f>IF(ISBLANK(AH92),"",IF(
SUMIFS(Transactions!$I$3:$I149,Transactions!$H$3:$H149,"Buy",Transactions!$F$3:$F149,"Stock",Transactions!$D$3:$D149,AH92)
+SUMIFS(Transactions!$I$3:$I149,Transactions!$H$3:$H149,"DRIP",Transactions!$F$3:$F149,"Stock",Transactions!$D$3:$D149,AH92)
+SUMIFS(Transactions!$I$3:$I149,Transactions!$H$3:$H149,"Transfer Deposit",Transactions!$F$3:$F149,"Stock",Transactions!$D$3:$D149,AH92)
+SUMIFS(Transactions!$I$3:$I149,Transactions!$H$3:$H149,"Buy",Transactions!$F$3:$F149,"ETF",Transactions!$D$3:$D149,AH92)
+SUMIFS(Transactions!$I$3:$I149,Transactions!$H$3:$H149,"DRIP",Transactions!$F$3:$F149,"ETF",Transactions!$D$3:$D149,AH92)
+SUMIFS(Transactions!$I$3:$I149,Transactions!$H$3:$H149,"Transfer Deposit",Transactions!$F$3:$F149,"ETF",Transactions!$D$3:$D149,AH92)
+SUMIFS(Transactions!$I$3:$I149,Transactions!$H$3:$H149,"Buy",Transactions!$F$3:$F149,"Commodity",Transactions!$D$3:$D149,AH92)
+SUMIFS(Transactions!$I$3:$I149,Transactions!$H$3:$H149,"DRIP",Transactions!$F$3:$F149,"Commodity",Transactions!$D$3:$D149,AH92)
+SUMIFS(Transactions!$I$3:$I149,Transactions!$H$3:$H149,"Transfer Deposit",Transactions!$F$3:$F149,"Commodity",Transactions!$D$3:$D149,AH92)
+SUMIFS(Transactions!$I$3:$I149,Transactions!$H$3:$H149,"Buy",Transactions!$F$3:$F149,"Managed Fund",Transactions!$D$3:$D149,AH92)
+SUMIFS(Transactions!$I$3:$I149,Transactions!$H$3:$H149,"DRIP",Transactions!$F$3:$F149,"Managed Fund",Transactions!$D$3:$D149,AH92)
+SUMIFS(Transactions!$I$3:$I149,Transactions!$H$3:$H149,"Transfer Deposit",Transactions!$F$3:$F149,"Managed Fund",Transactions!$D$3:$D149,AH92)
+SUMIFS(Transactions!$I$3:$I149,Transactions!$H$3:$H149,"Buy",Transactions!$F$3:$F149,"REIT",Transactions!$D$3:$D149,AH92)
+SUMIFS(Transactions!$I$3:$I149,Transactions!$H$3:$H149,"DRIP",Transactions!$F$3:$F149,"REIT",Transactions!$D$3:$D149,AH92)
+SUMIFS(Transactions!$I$3:$I149,Transactions!$H$3:$H149,"Transfer Deposit",Transactions!$F$3:$F149,"REIT",Transactions!$D$3:$D149,AH92)
-SUMIFS(Transactions!$I$3:$I149,Transactions!$H$3:$H149,"Sell",Transactions!$F$3:$F149,"Stock",Transactions!$D$3:$D149,AH92)
-SUMIFS(Transactions!$I$3:$I149,Transactions!$H$3:$H149,"Transfer Send",Transactions!$F$3:$F149,"Stock",Transactions!$D$3:$D149,AH92)
-SUMIFS(Transactions!$I$3:$I149,Transactions!$H$3:$H149,"Sell",Transactions!$F$3:$F149,"ETF",Transactions!$D$3:$D149,AH92)
-SUMIFS(Transactions!$I$3:$I149,Transactions!$H$3:$H149,"Transfer Send",Transactions!$F$3:$F149,"ETF",Transactions!$D$3:$D149,AH92)
-SUMIFS(Transactions!$I$3:$I149,Transactions!$H$3:$H149,"Sell",Transactions!$F$3:$F149,"Commodity",Transactions!$D$3:$D149,AH92)
-SUMIFS(Transactions!$I$3:$I149,Transactions!$H$3:$H149,"Transfer Send",Transactions!$F$3:$F149,"Commodity",Transactions!$D$3:$D149,AH92)
-SUMIFS(Transactions!$I$3:$I149,Transactions!$H$3:$H149,"Sell",Transactions!$F$3:$F149,"Managed Fund",Transactions!$D$3:$D149,AH92)
-SUMIFS(Transactions!$I$3:$I149,Transactions!$H$3:$H149,"Transfer Send",Transactions!$F$3:$F149,"Managed Fund",Transactions!$D$3:$D149,AH92)
-SUMIFS(Transactions!$I$3:$I149,Transactions!$H$3:$H149,"Sell",Transactions!$F$3:$F149,"REIT",Transactions!$D$3:$D149,AH92)
-SUMIFS(Transactions!$I$3:$I149,Transactions!$H$3:$H149,"Transfer Send",Transactions!$F$3:$F149,"REIT",Transactions!$D$3:$D149,AH92)
+SUMIFS(Transactions!$I$3:$I149,Transactions!$H$3:$H149,"Buy",Transactions!$F$3:$F149,"Crypto",Transactions!$D$3:$D149,AH92)
+SUMIFS(Transactions!$I$3:$I149,Transactions!$H$3:$H149,"Crypto Interest",Transactions!$F$3:$F149,"Crypto",Transactions!$D$3:$D149,AH92)
+SUMIFS(Transactions!$I$3:$I149,Transactions!$H$3:$H149,"Transfer Deposit",Transactions!$F$3:$F149,"Crypto",Transactions!$D$3:$D149,AH92)
-SUMIFS(Transactions!$I$3:$I149,Transactions!$H$3:$H149,"Transfer Send",Transactions!$F$3:$F149,"Crypto",Transactions!$D$3:$D149,AH92)
-SUMIFS(Transactions!$I$3:$I149,Transactions!$H$3:$H149,"Sell",Transactions!$F$3:$F149,"Crypto",Transactions!$D$3:$D149,AH92)
+SUMIFS(Transactions!$I$3:$I149,Transactions!$H$3:$H149,"Buy",Transactions!$F$3:$F149,"Stablecoin",Transactions!$D$3:$D149,AH92)
+SUMIFS(Transactions!$I$3:$I149,Transactions!$H$3:$H149,"Crypto Interest",Transactions!$F$3:$F149,"Stablecoin",Transactions!$D$3:$D149,AH92)
+SUMIFS(Transactions!$I$3:$I149,Transactions!$H$3:$H149,"Transfer Deposit",Transactions!$F$3:$F149,"Stablecoin",Transactions!$D$3:$D149,AH92)
-SUMIFS(Transactions!$I$3:$I149,Transactions!$H$3:$H149,"Transfer Send",Transactions!$F$3:$F149,"Stablecoin",Transactions!$D$3:$D149,AH92)
-SUMIFS(Transactions!$I$3:$I149,Transactions!$H$3:$H149,"Sell",Transactions!$F$3:$F149,"Stablecoin",Transactions!$D$3:$D149,AH92)
-SUMIFS(Transactions!$M$3:$M149,Transactions!$H$3:$H149,"Buy",Transactions!$B$3:$B149,AH92)=0,"Sold All",
SUMIFS(Transactions!$I$3:$I149,Transactions!$H$3:$H149,"Buy",Transactions!$F$3:$F149,"Stock",Transactions!$D$3:$D149,AH92)
+SUMIFS(Transactions!$I$3:$I149,Transactions!$H$3:$H149,"DRIP",Transactions!$F$3:$F149,"Stock",Transactions!$D$3:$D149,AH92)
+SUMIFS(Transactions!$I$3:$I149,Transactions!$H$3:$H149,"Transfer Deposit",Transactions!$F$3:$F149,"Stock",Transactions!$D$3:$D149,AH92)
+SUMIFS(Transactions!$I$3:$I149,Transactions!$H$3:$H149,"Buy",Transactions!$F$3:$F149,"ETF",Transactions!$D$3:$D149,AH92)
+SUMIFS(Transactions!$I$3:$I149,Transactions!$H$3:$H149,"DRIP",Transactions!$F$3:$F149,"ETF",Transactions!$D$3:$D149,AH92)
+SUMIFS(Transactions!$I$3:$I149,Transactions!$H$3:$H149,"Transfer Deposit",Transactions!$F$3:$F149,"ETF",Transactions!$D$3:$D149,AH92)
+SUMIFS(Transactions!$I$3:$I149,Transactions!$H$3:$H149,"Buy",Transactions!$F$3:$F149,"Commodity",Transactions!$D$3:$D149,AH92)
+SUMIFS(Transactions!$I$3:$I149,Transactions!$H$3:$H149,"DRIP",Transactions!$F$3:$F149,"Commodity",Transactions!$D$3:$D149,AH92)
+SUMIFS(Transactions!$I$3:$I149,Transactions!$H$3:$H149,"Transfer Deposit",Transactions!$F$3:$F149,"Commodity",Transactions!$D$3:$D149,AH92)
+SUMIFS(Transactions!$I$3:$I149,Transactions!$H$3:$H149,"Buy",Transactions!$F$3:$F149,"Managed Fund",Transactions!$D$3:$D149,AH92)
+SUMIFS(Transactions!$I$3:$I149,Transactions!$H$3:$H149,"DRIP",Transactions!$F$3:$F149,"Managed Fund",Transactions!$D$3:$D149,AH92)
+SUMIFS(Transactions!$I$3:$I149,Transactions!$H$3:$H149,"Transfer Deposit",Transactions!$F$3:$F149,"Managed Fund",Transactions!$D$3:$D149,AH92)
+SUMIFS(Transactions!$I$3:$I149,Transactions!$H$3:$H149,"Buy",Transactions!$F$3:$F149,"REIT",Transactions!$D$3:$D149,AH92)
+SUMIFS(Transactions!$I$3:$I149,Transactions!$H$3:$H149,"DRIP",Transactions!$F$3:$F149,"REIT",Transactions!$D$3:$D149,AH92)
+SUMIFS(Transactions!$I$3:$I149,Transactions!$H$3:$H149,"Transfer Deposit",Transactions!$F$3:$F149,"REIT",Transactions!$D$3:$D149,AH92)
-SUMIFS(Transactions!$I$3:$I149,Transactions!$H$3:$H149,"Sell",Transactions!$F$3:$F149,"Stock",Transactions!$D$3:$D149,AH92)
-SUMIFS(Transactions!$I$3:$I149,Transactions!$H$3:$H149,"Transfer Send",Transactions!$F$3:$F149,"Stock",Transactions!$D$3:$D149,AH92)
-SUMIFS(Transactions!$I$3:$I149,Transactions!$H$3:$H149,"Sell",Transactions!$F$3:$F149,"ETF",Transactions!$D$3:$D149,AH92)
-SUMIFS(Transactions!$I$3:$I149,Transactions!$H$3:$H149,"Transfer Send",Transactions!$F$3:$F149,"ETF",Transactions!$D$3:$D149,AH92)
-SUMIFS(Transactions!$I$3:$I149,Transactions!$H$3:$H149,"Sell",Transactions!$F$3:$F149,"Commodity",Transactions!$D$3:$D149,AH92)
-SUMIFS(Transactions!$I$3:$I149,Transactions!$H$3:$H149,"Transfer Send",Transactions!$F$3:$F149,"Commodity",Transactions!$D$3:$D149,AH92)
-SUMIFS(Transactions!$I$3:$I149,Transactions!$H$3:$H149,"Sell",Transactions!$F$3:$F149,"Managed Fund",Transactions!$D$3:$D149,AH92)
-SUMIFS(Transactions!$I$3:$I149,Transactions!$H$3:$H149,"Transfer Send",Transactions!$F$3:$F149,"Managed Fund",Transactions!$D$3:$D149,AH92)
-SUMIFS(Transactions!$I$3:$I149,Transactions!$H$3:$H149,"Sell",Transactions!$F$3:$F149,"REIT",Transactions!$D$3:$D149,AH92)
-SUMIFS(Transactions!$I$3:$I149,Transactions!$H$3:$H149,"Transfer Send",Transactions!$F$3:$F149,"REIT",Transactions!$D$3:$D149,AH92)
+SUMIFS(Transactions!$I$3:$I149,Transactions!$H$3:$H149,"Buy",Transactions!$F$3:$F149,"Crypto",Transactions!$D$3:$D149,AH92)
+SUMIFS(Transactions!$I$3:$I149,Transactions!$H$3:$H149,"Crypto Interest",Transactions!$F$3:$F149,"Crypto",Transactions!$D$3:$D149,AH92)
+SUMIFS(Transactions!$I$3:$I149,Transactions!$H$3:$H149,"Transfer Deposit",Transactions!$F$3:$F149,"Crypto",Transactions!$D$3:$D149,AH92)
-SUMIFS(Transactions!$I$3:$I149,Transactions!$H$3:$H149,"Transfer Send",Transactions!$F$3:$F149,"Crypto",Transactions!$D$3:$D149,AH92)
-SUMIFS(Transactions!$I$3:$I149,Transactions!$H$3:$H149,"Sell",Transactions!$F$3:$F149,"Crypto",Transactions!$D$3:$D149,AH92)
+SUMIFS(Transactions!$I$3:$I149,Transactions!$H$3:$H149,"Buy",Transactions!$F$3:$F149,"Stablecoin",Transactions!$D$3:$D149,AH92)
+SUMIFS(Transactions!$I$3:$I149,Transactions!$H$3:$H149,"Crypto Interest",Transactions!$F$3:$F149,"Stablecoin",Transactions!$D$3:$D149,AH92)
+SUMIFS(Transactions!$I$3:$I149,Transactions!$H$3:$H149,"Transfer Deposit",Transactions!$F$3:$F149,"Stablecoin",Transactions!$D$3:$D149,AH92)
-SUMIFS(Transactions!$I$3:$I149,Transactions!$H$3:$H149,"Transfer Send",Transactions!$F$3:$F149,"Stablecoin",Transactions!$D$3:$D149,AH92)
-SUMIFS(Transactions!$I$3:$I149,Transactions!$H$3:$H149,"Sell",Transactions!$F$3:$F149,"Stablecoin",Transactions!$D$3:$D149,AH92)
-SUMIFS(Transactions!$M$3:$M149,Transactions!$H$3:$H149,"Buy",Transactions!$B$3:$B149,AH92)))</f>
        <v/>
      </c>
      <c r="AJ92" s="181" t="str">
        <f>IFERROR(__xludf.DUMMYFUNCTION("IF(ISBLANK(AH92),"""",VLOOKUP(9^99,FILTER({ROW(Transactions!P:P),Transactions!P:P},Transactions!D:D=AH92),2))"),"")</f>
        <v/>
      </c>
      <c r="AK92" s="181" t="str">
        <f>IFERROR(__xludf.DUMMYFUNCTION("IF(ISBLANK(AH92),"""",IFERROR(GOOGLEFINANCE(AH92,""price""),IFERROR(GOOGLEFINANCE(""CURRENCY:""&amp;AH92&amp;""""),IFERROR(INDEX(YAHOO_STOCK(TRIM(AH92), $G$2),0,1),INDEX(IMPORTHTML(CONCAT(""https://coinmarketcap.com/currencies/"",AG92),""table"",1),1,2)))))"),"")</f>
        <v/>
      </c>
      <c r="AL92" s="14" t="str">
        <f>IFERROR(__xludf.DUMMYFUNCTION("IF(ISBLANK(AH92),"""",IFERROR(SPARKLINE(INDEX(GOOGLEFINANCE(AH92,""price"",TODAY()-$AL$2,TODAY()),,2),{""charttype"",""column"";""color"",""17a7e0""}),""""))"),"")</f>
        <v/>
      </c>
      <c r="AM92" s="50" t="str">
        <f>IFERROR(__xludf.DUMMYFUNCTION("IFNA(IFERROR(IF(AH92="""","""",GOOGLEFINANCE(AH92,""changepct"")/100),(GOOGLEFINANCE(AH92)-(INDEX(GOOGLEFINANCE(""CURRENCY:""&amp;AH92&amp;"""",""price"",TODAY()-1),2,2)))/(INDEX(GOOGLEFINANCE(""CURRENCY:""&amp;AH92&amp;"""",""price"",TODAY()-1),2,2))),)"),"")</f>
        <v/>
      </c>
      <c r="AN92" s="96" t="str">
        <f>IFERROR(__xludf.DUMMYFUNCTION("IFNA(IFERROR(IF(AH92="""","""",GOOGLEFINANCE(AH92,""change"")*AI92),(GOOGLEFINANCE(AH92)-(INDEX(GOOGLEFINANCE(""CURRENCY:""&amp;AH92&amp;"""",""price"",TODAY()-1),2,2)))*AI92),"""")"),"")</f>
        <v/>
      </c>
      <c r="AO92" s="96" t="str">
        <f>IF(ISBLANK(AH92),"",IFERROR(((AI92-SUMIFS(Transactions!I:I,Transactions!H:H,"Crypto Interest",Transactions!D:D,AH92))*AJ92),""))</f>
        <v/>
      </c>
      <c r="AP92" s="96" t="str">
        <f t="shared" si="16"/>
        <v/>
      </c>
      <c r="AQ92" s="50" t="str">
        <f t="shared" si="17"/>
        <v/>
      </c>
      <c r="AR92" s="96" t="str">
        <f t="shared" si="18"/>
        <v/>
      </c>
      <c r="AS92" s="96" t="str">
        <f>IF(ISBLANK(AH92),"",SUMIFS(Transactions!$X$3:$X149,Transactions!$H$3:$H149,"Sell",Transactions!$D$3:$D149,AH92))</f>
        <v/>
      </c>
      <c r="AT92" s="96" t="str">
        <f t="shared" si="19"/>
        <v/>
      </c>
      <c r="AU92" s="50" t="str">
        <f>IFERROR(__xludf.DUMMYFUNCTION("IF(ISBLANK(AH92),"""",IFERROR((GOOGLEFINANCE(AH92,""price"")/INDEX(GOOGLEFINANCE(AH92,""price"",DATEVALUE(TODAY()-$AU$2) ),2,2)-1),""""))"),"")</f>
        <v/>
      </c>
      <c r="AW92" s="50" t="str">
        <f>IFERROR(__xludf.DUMMYFUNCTION("IF(ISBLANK(AH92),"""",IFERROR((GOOGLEFINANCE($AW$2,""price"")/INDEX(GOOGLEFINANCE($AW$2,""price"",DATEVALUE(TODAY()-$AU$2) ),2,2)-1),""""))"),"")</f>
        <v/>
      </c>
      <c r="AY92" s="50" t="str">
        <f t="shared" si="20"/>
        <v/>
      </c>
      <c r="AZ92" s="50" t="str">
        <f t="shared" si="21"/>
        <v/>
      </c>
      <c r="BA92" s="50">
        <f t="shared" si="22"/>
        <v>0</v>
      </c>
      <c r="BB92" s="14" t="str">
        <f t="shared" si="23"/>
        <v/>
      </c>
      <c r="BC92" s="14" t="str">
        <f>IF(ISBLANK(AH92),"",IFERROR(VLOOKUP(AH92,Transactions!D:F,3,0)))</f>
        <v/>
      </c>
      <c r="BD92" s="50" t="str">
        <f t="shared" si="24"/>
        <v/>
      </c>
      <c r="BE92" s="50" t="str">
        <f t="shared" si="25"/>
        <v/>
      </c>
      <c r="BF92" s="14" t="str">
        <f t="shared" si="26"/>
        <v/>
      </c>
      <c r="BG92" s="180" t="str">
        <f>IF(ISBLANK(AH92),"",IFERROR(VLOOKUP(AH92,Transactions!D:G,4,0)))</f>
        <v/>
      </c>
    </row>
    <row r="93">
      <c r="A93" s="14" t="str">
        <f t="shared" ref="A93:C93" si="116">AG93</f>
        <v/>
      </c>
      <c r="B93" s="14" t="str">
        <f t="shared" si="116"/>
        <v/>
      </c>
      <c r="C93" s="175" t="str">
        <f t="shared" si="116"/>
        <v/>
      </c>
      <c r="D93" s="176" t="str">
        <f>IFERROR(__xludf.DUMMYFUNCTION("IF(ISBLANK(B93),"""",IFERROR(IF(OR(AF93=""GPB"",AF93=""ZAR""),IF(AF93=Dashboard!$L$1,AJ93,(AJ93*GOOGLEFINANCE(""CURRENCY:""&amp;AF93&amp;""""&amp;Dashboard!$L$1&amp;""""))/100),IF(AF93=Dashboard!$L$1,AJ93,AJ93*GOOGLEFINANCE(""CURRENCY:""&amp;AF93&amp;""""&amp;Dashboard!$L$1&amp;""""))),"&amp;"AJ93))"),"")</f>
        <v/>
      </c>
      <c r="E93" s="177" t="str">
        <f>IFERROR(__xludf.DUMMYFUNCTION("IFERROR(IF(OR(AF93=""GBP"",AF93=""ZAR""),IF(B93="""","""",IF(AF93=Dashboard!$L$1,AK93,AK93*GOOGLEFINANCE(""CURRENCY:""&amp;AF93&amp;""""&amp;Dashboard!$L$1&amp;"""")))/100,If(B93="""","""",IF(AF93=Dashboard!$L$1,AK93,AK93*GOOGLEFINANCE(""CURRENCY:""&amp;AF93&amp;""""&amp;Dashboard!$"&amp;"L$1&amp;"""")))),AK93)"),"")</f>
        <v/>
      </c>
      <c r="F93" s="145" t="str">
        <f t="shared" si="65"/>
        <v/>
      </c>
      <c r="G93" s="96" t="str">
        <f>IFERROR(__xludf.DUMMYFUNCTION("IF(ISBLANK(B93),"""",IFERROR(SPARKLINE(INDEX(GOOGLEFINANCE(B93,""price"",TODAY()-$G$2,TODAY()),,2),{""charttype"",""column"";""color"",""17a7e0""}),""""))"),"")</f>
        <v/>
      </c>
      <c r="H93" s="50" t="str">
        <f t="shared" si="3"/>
        <v/>
      </c>
      <c r="I93" s="96" t="str">
        <f>IFERROR(__xludf.DUMMYFUNCTION("IF(ISBLANK(B93),"""",IFERROR(IF(OR(AF93=""GPB"",AF93=""ZAR""),IF(AF93=Dashboard!$L$1,AN93,(AN93*GOOGLEFINANCE(""CURRENCY:""&amp;AF93&amp;""""&amp;Dashboard!$L$1&amp;""""))/100),IF(AF93=Dashboard!$L$1,AN93,AN93*GOOGLEFINANCE(""CURRENCY:""&amp;AF93&amp;""""&amp;Dashboard!$L$1&amp;""""))),"&amp;"AN93))"),"")</f>
        <v/>
      </c>
      <c r="J93" s="178" t="str">
        <f>IF(ISBLANK(B93),"",IFERROR(((C93-SUMIFS(Transactions!I:I,Transactions!H:H,"Crypto Interest",Transactions!D:D,B93))*D93),""))</f>
        <v/>
      </c>
      <c r="K93" s="178" t="str">
        <f t="shared" si="4"/>
        <v/>
      </c>
      <c r="L93" s="145">
        <f>IF(ISBLANK(AF93),"",SUMIFS(Transactions!$M$3:$M149,Transactions!$H$3:$H149,"Buy",Transactions!$D$3:$D149,AF93))</f>
        <v>0</v>
      </c>
      <c r="M93" s="145">
        <f>IF(ISBLANK(AG93),"",SUMIFS(Transactions!$M$3:$M149,Transactions!$H$3:$H149,"Dividend",Transactions!$D$3:$D149,AG93))</f>
        <v>0</v>
      </c>
      <c r="N93" s="145" t="str">
        <f>IF(ISBLANK(AH93),"",SUMIFS(Transactions!$M$3:$M149,Transactions!$H$3:$H149,"Sell",Transactions!$D$3:$D149,AH93))</f>
        <v/>
      </c>
      <c r="O93" s="50" t="str">
        <f t="shared" si="5"/>
        <v/>
      </c>
      <c r="P93" s="178" t="str">
        <f t="shared" si="6"/>
        <v/>
      </c>
      <c r="Q93" s="178" t="str">
        <f>IFERROR(__xludf.DUMMYFUNCTION("IF(ISBLANK(B93),"""",IFERROR(IF(OR(AF93=""GPB"",AF93=""ZAR""),IF(AF93=Dashboard!$L$1,AS93,(AS93*GOOGLEFINANCE(""CURRENCY:""&amp;AF93&amp;""""&amp;Dashboard!$L$1&amp;""""))/100),IF(AF93=Dashboard!$L$1,AS93,AS93*GOOGLEFINANCE(""CURRENCY:""&amp;AF93&amp;""""&amp;Dashboard!$L$1&amp;""""))),"&amp;"AS93))"),"")</f>
        <v/>
      </c>
      <c r="R93" s="178" t="str">
        <f t="shared" si="7"/>
        <v/>
      </c>
      <c r="S93" s="50" t="str">
        <f>IFERROR(__xludf.DUMMYFUNCTION("IF(ISBLANK(B93),"""",IFERROR((GOOGLEFINANCE(B93,""price"")/INDEX(GOOGLEFINANCE(B93,""price"",DATEVALUE(TODAY()-$S$2) ),2,2)-1),""""))"),"")</f>
        <v/>
      </c>
      <c r="U93" s="50" t="str">
        <f>IFERROR(__xludf.DUMMYFUNCTION("IF(ISBLANK(B93),"""",IFERROR((GOOGLEFINANCE($U$2,""price"")/INDEX(GOOGLEFINANCE($U$2,""price"",DATEVALUE(TODAY()-$S$2) ),2,2)-1),""""))"),"")</f>
        <v/>
      </c>
      <c r="W93" s="50" t="str">
        <f t="shared" si="8"/>
        <v/>
      </c>
      <c r="X93" s="50" t="str">
        <f t="shared" si="9"/>
        <v/>
      </c>
      <c r="Y93" s="179">
        <v>0.0</v>
      </c>
      <c r="Z93" s="50" t="str">
        <f t="shared" si="10"/>
        <v/>
      </c>
      <c r="AA93" s="14" t="str">
        <f t="shared" si="11"/>
        <v/>
      </c>
      <c r="AB93" s="50" t="str">
        <f t="shared" si="12"/>
        <v/>
      </c>
      <c r="AC93" s="179" t="str">
        <f t="shared" si="13"/>
        <v/>
      </c>
      <c r="AD93" s="50" t="str">
        <f t="shared" si="14"/>
        <v/>
      </c>
      <c r="AE93" s="180" t="str">
        <f t="shared" si="15"/>
        <v/>
      </c>
      <c r="AF93" s="14" t="str">
        <f t="array" ref="AF93">IFERROR(IF(ISBLANK(AH93),"",IF(VLOOKUP(AH93,Transactions!D:F,3,0)="Stablecoin",AH93,INDEX(Transactions!$B$3:$B149,MATCH(AH93,Transactions!$D$3:$D149,0),0))))</f>
        <v/>
      </c>
      <c r="AG93" s="14" t="str">
        <f>IF(ISBLANK(AH93),"",VLOOKUP(AH93,Transactions!D:E,2,0))</f>
        <v/>
      </c>
      <c r="AH93" s="14"/>
      <c r="AI93" s="146" t="str">
        <f>IF(ISBLANK(AH93),"",IF(
SUMIFS(Transactions!$I$3:$I149,Transactions!$H$3:$H149,"Buy",Transactions!$F$3:$F149,"Stock",Transactions!$D$3:$D149,AH93)
+SUMIFS(Transactions!$I$3:$I149,Transactions!$H$3:$H149,"DRIP",Transactions!$F$3:$F149,"Stock",Transactions!$D$3:$D149,AH93)
+SUMIFS(Transactions!$I$3:$I149,Transactions!$H$3:$H149,"Transfer Deposit",Transactions!$F$3:$F149,"Stock",Transactions!$D$3:$D149,AH93)
+SUMIFS(Transactions!$I$3:$I149,Transactions!$H$3:$H149,"Buy",Transactions!$F$3:$F149,"ETF",Transactions!$D$3:$D149,AH93)
+SUMIFS(Transactions!$I$3:$I149,Transactions!$H$3:$H149,"DRIP",Transactions!$F$3:$F149,"ETF",Transactions!$D$3:$D149,AH93)
+SUMIFS(Transactions!$I$3:$I149,Transactions!$H$3:$H149,"Transfer Deposit",Transactions!$F$3:$F149,"ETF",Transactions!$D$3:$D149,AH93)
+SUMIFS(Transactions!$I$3:$I149,Transactions!$H$3:$H149,"Buy",Transactions!$F$3:$F149,"Commodity",Transactions!$D$3:$D149,AH93)
+SUMIFS(Transactions!$I$3:$I149,Transactions!$H$3:$H149,"DRIP",Transactions!$F$3:$F149,"Commodity",Transactions!$D$3:$D149,AH93)
+SUMIFS(Transactions!$I$3:$I149,Transactions!$H$3:$H149,"Transfer Deposit",Transactions!$F$3:$F149,"Commodity",Transactions!$D$3:$D149,AH93)
+SUMIFS(Transactions!$I$3:$I149,Transactions!$H$3:$H149,"Buy",Transactions!$F$3:$F149,"Managed Fund",Transactions!$D$3:$D149,AH93)
+SUMIFS(Transactions!$I$3:$I149,Transactions!$H$3:$H149,"DRIP",Transactions!$F$3:$F149,"Managed Fund",Transactions!$D$3:$D149,AH93)
+SUMIFS(Transactions!$I$3:$I149,Transactions!$H$3:$H149,"Transfer Deposit",Transactions!$F$3:$F149,"Managed Fund",Transactions!$D$3:$D149,AH93)
+SUMIFS(Transactions!$I$3:$I149,Transactions!$H$3:$H149,"Buy",Transactions!$F$3:$F149,"REIT",Transactions!$D$3:$D149,AH93)
+SUMIFS(Transactions!$I$3:$I149,Transactions!$H$3:$H149,"DRIP",Transactions!$F$3:$F149,"REIT",Transactions!$D$3:$D149,AH93)
+SUMIFS(Transactions!$I$3:$I149,Transactions!$H$3:$H149,"Transfer Deposit",Transactions!$F$3:$F149,"REIT",Transactions!$D$3:$D149,AH93)
-SUMIFS(Transactions!$I$3:$I149,Transactions!$H$3:$H149,"Sell",Transactions!$F$3:$F149,"Stock",Transactions!$D$3:$D149,AH93)
-SUMIFS(Transactions!$I$3:$I149,Transactions!$H$3:$H149,"Transfer Send",Transactions!$F$3:$F149,"Stock",Transactions!$D$3:$D149,AH93)
-SUMIFS(Transactions!$I$3:$I149,Transactions!$H$3:$H149,"Sell",Transactions!$F$3:$F149,"ETF",Transactions!$D$3:$D149,AH93)
-SUMIFS(Transactions!$I$3:$I149,Transactions!$H$3:$H149,"Transfer Send",Transactions!$F$3:$F149,"ETF",Transactions!$D$3:$D149,AH93)
-SUMIFS(Transactions!$I$3:$I149,Transactions!$H$3:$H149,"Sell",Transactions!$F$3:$F149,"Commodity",Transactions!$D$3:$D149,AH93)
-SUMIFS(Transactions!$I$3:$I149,Transactions!$H$3:$H149,"Transfer Send",Transactions!$F$3:$F149,"Commodity",Transactions!$D$3:$D149,AH93)
-SUMIFS(Transactions!$I$3:$I149,Transactions!$H$3:$H149,"Sell",Transactions!$F$3:$F149,"Managed Fund",Transactions!$D$3:$D149,AH93)
-SUMIFS(Transactions!$I$3:$I149,Transactions!$H$3:$H149,"Transfer Send",Transactions!$F$3:$F149,"Managed Fund",Transactions!$D$3:$D149,AH93)
-SUMIFS(Transactions!$I$3:$I149,Transactions!$H$3:$H149,"Sell",Transactions!$F$3:$F149,"REIT",Transactions!$D$3:$D149,AH93)
-SUMIFS(Transactions!$I$3:$I149,Transactions!$H$3:$H149,"Transfer Send",Transactions!$F$3:$F149,"REIT",Transactions!$D$3:$D149,AH93)
+SUMIFS(Transactions!$I$3:$I149,Transactions!$H$3:$H149,"Buy",Transactions!$F$3:$F149,"Crypto",Transactions!$D$3:$D149,AH93)
+SUMIFS(Transactions!$I$3:$I149,Transactions!$H$3:$H149,"Crypto Interest",Transactions!$F$3:$F149,"Crypto",Transactions!$D$3:$D149,AH93)
+SUMIFS(Transactions!$I$3:$I149,Transactions!$H$3:$H149,"Transfer Deposit",Transactions!$F$3:$F149,"Crypto",Transactions!$D$3:$D149,AH93)
-SUMIFS(Transactions!$I$3:$I149,Transactions!$H$3:$H149,"Transfer Send",Transactions!$F$3:$F149,"Crypto",Transactions!$D$3:$D149,AH93)
-SUMIFS(Transactions!$I$3:$I149,Transactions!$H$3:$H149,"Sell",Transactions!$F$3:$F149,"Crypto",Transactions!$D$3:$D149,AH93)
+SUMIFS(Transactions!$I$3:$I149,Transactions!$H$3:$H149,"Buy",Transactions!$F$3:$F149,"Stablecoin",Transactions!$D$3:$D149,AH93)
+SUMIFS(Transactions!$I$3:$I149,Transactions!$H$3:$H149,"Crypto Interest",Transactions!$F$3:$F149,"Stablecoin",Transactions!$D$3:$D149,AH93)
+SUMIFS(Transactions!$I$3:$I149,Transactions!$H$3:$H149,"Transfer Deposit",Transactions!$F$3:$F149,"Stablecoin",Transactions!$D$3:$D149,AH93)
-SUMIFS(Transactions!$I$3:$I149,Transactions!$H$3:$H149,"Transfer Send",Transactions!$F$3:$F149,"Stablecoin",Transactions!$D$3:$D149,AH93)
-SUMIFS(Transactions!$I$3:$I149,Transactions!$H$3:$H149,"Sell",Transactions!$F$3:$F149,"Stablecoin",Transactions!$D$3:$D149,AH93)
-SUMIFS(Transactions!$M$3:$M149,Transactions!$H$3:$H149,"Buy",Transactions!$B$3:$B149,AH93)=0,"Sold All",
SUMIFS(Transactions!$I$3:$I149,Transactions!$H$3:$H149,"Buy",Transactions!$F$3:$F149,"Stock",Transactions!$D$3:$D149,AH93)
+SUMIFS(Transactions!$I$3:$I149,Transactions!$H$3:$H149,"DRIP",Transactions!$F$3:$F149,"Stock",Transactions!$D$3:$D149,AH93)
+SUMIFS(Transactions!$I$3:$I149,Transactions!$H$3:$H149,"Transfer Deposit",Transactions!$F$3:$F149,"Stock",Transactions!$D$3:$D149,AH93)
+SUMIFS(Transactions!$I$3:$I149,Transactions!$H$3:$H149,"Buy",Transactions!$F$3:$F149,"ETF",Transactions!$D$3:$D149,AH93)
+SUMIFS(Transactions!$I$3:$I149,Transactions!$H$3:$H149,"DRIP",Transactions!$F$3:$F149,"ETF",Transactions!$D$3:$D149,AH93)
+SUMIFS(Transactions!$I$3:$I149,Transactions!$H$3:$H149,"Transfer Deposit",Transactions!$F$3:$F149,"ETF",Transactions!$D$3:$D149,AH93)
+SUMIFS(Transactions!$I$3:$I149,Transactions!$H$3:$H149,"Buy",Transactions!$F$3:$F149,"Commodity",Transactions!$D$3:$D149,AH93)
+SUMIFS(Transactions!$I$3:$I149,Transactions!$H$3:$H149,"DRIP",Transactions!$F$3:$F149,"Commodity",Transactions!$D$3:$D149,AH93)
+SUMIFS(Transactions!$I$3:$I149,Transactions!$H$3:$H149,"Transfer Deposit",Transactions!$F$3:$F149,"Commodity",Transactions!$D$3:$D149,AH93)
+SUMIFS(Transactions!$I$3:$I149,Transactions!$H$3:$H149,"Buy",Transactions!$F$3:$F149,"Managed Fund",Transactions!$D$3:$D149,AH93)
+SUMIFS(Transactions!$I$3:$I149,Transactions!$H$3:$H149,"DRIP",Transactions!$F$3:$F149,"Managed Fund",Transactions!$D$3:$D149,AH93)
+SUMIFS(Transactions!$I$3:$I149,Transactions!$H$3:$H149,"Transfer Deposit",Transactions!$F$3:$F149,"Managed Fund",Transactions!$D$3:$D149,AH93)
+SUMIFS(Transactions!$I$3:$I149,Transactions!$H$3:$H149,"Buy",Transactions!$F$3:$F149,"REIT",Transactions!$D$3:$D149,AH93)
+SUMIFS(Transactions!$I$3:$I149,Transactions!$H$3:$H149,"DRIP",Transactions!$F$3:$F149,"REIT",Transactions!$D$3:$D149,AH93)
+SUMIFS(Transactions!$I$3:$I149,Transactions!$H$3:$H149,"Transfer Deposit",Transactions!$F$3:$F149,"REIT",Transactions!$D$3:$D149,AH93)
-SUMIFS(Transactions!$I$3:$I149,Transactions!$H$3:$H149,"Sell",Transactions!$F$3:$F149,"Stock",Transactions!$D$3:$D149,AH93)
-SUMIFS(Transactions!$I$3:$I149,Transactions!$H$3:$H149,"Transfer Send",Transactions!$F$3:$F149,"Stock",Transactions!$D$3:$D149,AH93)
-SUMIFS(Transactions!$I$3:$I149,Transactions!$H$3:$H149,"Sell",Transactions!$F$3:$F149,"ETF",Transactions!$D$3:$D149,AH93)
-SUMIFS(Transactions!$I$3:$I149,Transactions!$H$3:$H149,"Transfer Send",Transactions!$F$3:$F149,"ETF",Transactions!$D$3:$D149,AH93)
-SUMIFS(Transactions!$I$3:$I149,Transactions!$H$3:$H149,"Sell",Transactions!$F$3:$F149,"Commodity",Transactions!$D$3:$D149,AH93)
-SUMIFS(Transactions!$I$3:$I149,Transactions!$H$3:$H149,"Transfer Send",Transactions!$F$3:$F149,"Commodity",Transactions!$D$3:$D149,AH93)
-SUMIFS(Transactions!$I$3:$I149,Transactions!$H$3:$H149,"Sell",Transactions!$F$3:$F149,"Managed Fund",Transactions!$D$3:$D149,AH93)
-SUMIFS(Transactions!$I$3:$I149,Transactions!$H$3:$H149,"Transfer Send",Transactions!$F$3:$F149,"Managed Fund",Transactions!$D$3:$D149,AH93)
-SUMIFS(Transactions!$I$3:$I149,Transactions!$H$3:$H149,"Sell",Transactions!$F$3:$F149,"REIT",Transactions!$D$3:$D149,AH93)
-SUMIFS(Transactions!$I$3:$I149,Transactions!$H$3:$H149,"Transfer Send",Transactions!$F$3:$F149,"REIT",Transactions!$D$3:$D149,AH93)
+SUMIFS(Transactions!$I$3:$I149,Transactions!$H$3:$H149,"Buy",Transactions!$F$3:$F149,"Crypto",Transactions!$D$3:$D149,AH93)
+SUMIFS(Transactions!$I$3:$I149,Transactions!$H$3:$H149,"Crypto Interest",Transactions!$F$3:$F149,"Crypto",Transactions!$D$3:$D149,AH93)
+SUMIFS(Transactions!$I$3:$I149,Transactions!$H$3:$H149,"Transfer Deposit",Transactions!$F$3:$F149,"Crypto",Transactions!$D$3:$D149,AH93)
-SUMIFS(Transactions!$I$3:$I149,Transactions!$H$3:$H149,"Transfer Send",Transactions!$F$3:$F149,"Crypto",Transactions!$D$3:$D149,AH93)
-SUMIFS(Transactions!$I$3:$I149,Transactions!$H$3:$H149,"Sell",Transactions!$F$3:$F149,"Crypto",Transactions!$D$3:$D149,AH93)
+SUMIFS(Transactions!$I$3:$I149,Transactions!$H$3:$H149,"Buy",Transactions!$F$3:$F149,"Stablecoin",Transactions!$D$3:$D149,AH93)
+SUMIFS(Transactions!$I$3:$I149,Transactions!$H$3:$H149,"Crypto Interest",Transactions!$F$3:$F149,"Stablecoin",Transactions!$D$3:$D149,AH93)
+SUMIFS(Transactions!$I$3:$I149,Transactions!$H$3:$H149,"Transfer Deposit",Transactions!$F$3:$F149,"Stablecoin",Transactions!$D$3:$D149,AH93)
-SUMIFS(Transactions!$I$3:$I149,Transactions!$H$3:$H149,"Transfer Send",Transactions!$F$3:$F149,"Stablecoin",Transactions!$D$3:$D149,AH93)
-SUMIFS(Transactions!$I$3:$I149,Transactions!$H$3:$H149,"Sell",Transactions!$F$3:$F149,"Stablecoin",Transactions!$D$3:$D149,AH93)
-SUMIFS(Transactions!$M$3:$M149,Transactions!$H$3:$H149,"Buy",Transactions!$B$3:$B149,AH93)))</f>
        <v/>
      </c>
      <c r="AJ93" s="181" t="str">
        <f>IFERROR(__xludf.DUMMYFUNCTION("IF(ISBLANK(AH93),"""",VLOOKUP(9^99,FILTER({ROW(Transactions!P:P),Transactions!P:P},Transactions!D:D=AH93),2))"),"")</f>
        <v/>
      </c>
      <c r="AK93" s="181" t="str">
        <f>IFERROR(__xludf.DUMMYFUNCTION("IF(ISBLANK(AH93),"""",IFERROR(GOOGLEFINANCE(AH93,""price""),IFERROR(GOOGLEFINANCE(""CURRENCY:""&amp;AH93&amp;""""),IFERROR(INDEX(YAHOO_STOCK(TRIM(AH93), $G$2),0,1),INDEX(IMPORTHTML(CONCAT(""https://coinmarketcap.com/currencies/"",AG93),""table"",1),1,2)))))"),"")</f>
        <v/>
      </c>
      <c r="AL93" s="14" t="str">
        <f>IFERROR(__xludf.DUMMYFUNCTION("IF(ISBLANK(AH93),"""",IFERROR(SPARKLINE(INDEX(GOOGLEFINANCE(AH93,""price"",TODAY()-$AL$2,TODAY()),,2),{""charttype"",""column"";""color"",""17a7e0""}),""""))"),"")</f>
        <v/>
      </c>
      <c r="AM93" s="50" t="str">
        <f>IFERROR(__xludf.DUMMYFUNCTION("IFNA(IFERROR(IF(AH93="""","""",GOOGLEFINANCE(AH93,""changepct"")/100),(GOOGLEFINANCE(AH93)-(INDEX(GOOGLEFINANCE(""CURRENCY:""&amp;AH93&amp;"""",""price"",TODAY()-1),2,2)))/(INDEX(GOOGLEFINANCE(""CURRENCY:""&amp;AH93&amp;"""",""price"",TODAY()-1),2,2))),)"),"")</f>
        <v/>
      </c>
      <c r="AN93" s="96" t="str">
        <f>IFERROR(__xludf.DUMMYFUNCTION("IFNA(IFERROR(IF(AH93="""","""",GOOGLEFINANCE(AH93,""change"")*AI93),(GOOGLEFINANCE(AH93)-(INDEX(GOOGLEFINANCE(""CURRENCY:""&amp;AH93&amp;"""",""price"",TODAY()-1),2,2)))*AI93),"""")"),"")</f>
        <v/>
      </c>
      <c r="AO93" s="96" t="str">
        <f>IF(ISBLANK(AH93),"",IFERROR(((AI93-SUMIFS(Transactions!I:I,Transactions!H:H,"Crypto Interest",Transactions!D:D,AH93))*AJ93),""))</f>
        <v/>
      </c>
      <c r="AP93" s="96" t="str">
        <f t="shared" si="16"/>
        <v/>
      </c>
      <c r="AQ93" s="50" t="str">
        <f t="shared" si="17"/>
        <v/>
      </c>
      <c r="AR93" s="96" t="str">
        <f t="shared" si="18"/>
        <v/>
      </c>
      <c r="AS93" s="96" t="str">
        <f>IF(ISBLANK(AH93),"",SUMIFS(Transactions!$X$3:$X149,Transactions!$H$3:$H149,"Sell",Transactions!$D$3:$D149,AH93))</f>
        <v/>
      </c>
      <c r="AT93" s="96" t="str">
        <f t="shared" si="19"/>
        <v/>
      </c>
      <c r="AU93" s="50" t="str">
        <f>IFERROR(__xludf.DUMMYFUNCTION("IF(ISBLANK(AH93),"""",IFERROR((GOOGLEFINANCE(AH93,""price"")/INDEX(GOOGLEFINANCE(AH93,""price"",DATEVALUE(TODAY()-$AU$2) ),2,2)-1),""""))"),"")</f>
        <v/>
      </c>
      <c r="AW93" s="50" t="str">
        <f>IFERROR(__xludf.DUMMYFUNCTION("IF(ISBLANK(AH93),"""",IFERROR((GOOGLEFINANCE($AW$2,""price"")/INDEX(GOOGLEFINANCE($AW$2,""price"",DATEVALUE(TODAY()-$AU$2) ),2,2)-1),""""))"),"")</f>
        <v/>
      </c>
      <c r="AY93" s="50" t="str">
        <f t="shared" si="20"/>
        <v/>
      </c>
      <c r="AZ93" s="50" t="str">
        <f t="shared" si="21"/>
        <v/>
      </c>
      <c r="BA93" s="50">
        <f t="shared" si="22"/>
        <v>0</v>
      </c>
      <c r="BB93" s="14" t="str">
        <f t="shared" si="23"/>
        <v/>
      </c>
      <c r="BC93" s="14" t="str">
        <f>IF(ISBLANK(AH93),"",IFERROR(VLOOKUP(AH93,Transactions!D:F,3,0)))</f>
        <v/>
      </c>
      <c r="BD93" s="50" t="str">
        <f t="shared" si="24"/>
        <v/>
      </c>
      <c r="BE93" s="50" t="str">
        <f t="shared" si="25"/>
        <v/>
      </c>
      <c r="BF93" s="14" t="str">
        <f t="shared" si="26"/>
        <v/>
      </c>
      <c r="BG93" s="180" t="str">
        <f>IF(ISBLANK(AH93),"",IFERROR(VLOOKUP(AH93,Transactions!D:G,4,0)))</f>
        <v/>
      </c>
    </row>
    <row r="94">
      <c r="A94" s="14" t="str">
        <f t="shared" ref="A94:C94" si="117">AG94</f>
        <v/>
      </c>
      <c r="B94" s="14" t="str">
        <f t="shared" si="117"/>
        <v/>
      </c>
      <c r="C94" s="175" t="str">
        <f t="shared" si="117"/>
        <v/>
      </c>
      <c r="D94" s="176" t="str">
        <f>IFERROR(__xludf.DUMMYFUNCTION("IF(ISBLANK(B94),"""",IFERROR(IF(OR(AF94=""GPB"",AF94=""ZAR""),IF(AF94=Dashboard!$L$1,AJ94,(AJ94*GOOGLEFINANCE(""CURRENCY:""&amp;AF94&amp;""""&amp;Dashboard!$L$1&amp;""""))/100),IF(AF94=Dashboard!$L$1,AJ94,AJ94*GOOGLEFINANCE(""CURRENCY:""&amp;AF94&amp;""""&amp;Dashboard!$L$1&amp;""""))),"&amp;"AJ94))"),"")</f>
        <v/>
      </c>
      <c r="E94" s="177" t="str">
        <f>IFERROR(__xludf.DUMMYFUNCTION("IFERROR(IF(OR(AF94=""GBP"",AF94=""ZAR""),IF(B94="""","""",IF(AF94=Dashboard!$L$1,AK94,AK94*GOOGLEFINANCE(""CURRENCY:""&amp;AF94&amp;""""&amp;Dashboard!$L$1&amp;"""")))/100,If(B94="""","""",IF(AF94=Dashboard!$L$1,AK94,AK94*GOOGLEFINANCE(""CURRENCY:""&amp;AF94&amp;""""&amp;Dashboard!$"&amp;"L$1&amp;"""")))),AK94)"),"")</f>
        <v/>
      </c>
      <c r="F94" s="145" t="str">
        <f t="shared" si="65"/>
        <v/>
      </c>
      <c r="G94" s="96" t="str">
        <f>IFERROR(__xludf.DUMMYFUNCTION("IF(ISBLANK(B94),"""",IFERROR(SPARKLINE(INDEX(GOOGLEFINANCE(B94,""price"",TODAY()-$G$2,TODAY()),,2),{""charttype"",""column"";""color"",""17a7e0""}),""""))"),"")</f>
        <v/>
      </c>
      <c r="H94" s="50" t="str">
        <f t="shared" si="3"/>
        <v/>
      </c>
      <c r="I94" s="96" t="str">
        <f>IFERROR(__xludf.DUMMYFUNCTION("IF(ISBLANK(B94),"""",IFERROR(IF(OR(AF94=""GPB"",AF94=""ZAR""),IF(AF94=Dashboard!$L$1,AN94,(AN94*GOOGLEFINANCE(""CURRENCY:""&amp;AF94&amp;""""&amp;Dashboard!$L$1&amp;""""))/100),IF(AF94=Dashboard!$L$1,AN94,AN94*GOOGLEFINANCE(""CURRENCY:""&amp;AF94&amp;""""&amp;Dashboard!$L$1&amp;""""))),"&amp;"AN94))"),"")</f>
        <v/>
      </c>
      <c r="J94" s="178" t="str">
        <f>IF(ISBLANK(B94),"",IFERROR(((C94-SUMIFS(Transactions!I:I,Transactions!H:H,"Crypto Interest",Transactions!D:D,B94))*D94),""))</f>
        <v/>
      </c>
      <c r="K94" s="178" t="str">
        <f t="shared" si="4"/>
        <v/>
      </c>
      <c r="L94" s="145">
        <f>IF(ISBLANK(AF94),"",SUMIFS(Transactions!$M$3:$M149,Transactions!$H$3:$H149,"Buy",Transactions!$D$3:$D149,AF94))</f>
        <v>0</v>
      </c>
      <c r="M94" s="145">
        <f>IF(ISBLANK(AG94),"",SUMIFS(Transactions!$M$3:$M149,Transactions!$H$3:$H149,"Dividend",Transactions!$D$3:$D149,AG94))</f>
        <v>0</v>
      </c>
      <c r="N94" s="145" t="str">
        <f>IF(ISBLANK(AH94),"",SUMIFS(Transactions!$M$3:$M149,Transactions!$H$3:$H149,"Sell",Transactions!$D$3:$D149,AH94))</f>
        <v/>
      </c>
      <c r="O94" s="50" t="str">
        <f t="shared" si="5"/>
        <v/>
      </c>
      <c r="P94" s="178" t="str">
        <f t="shared" si="6"/>
        <v/>
      </c>
      <c r="Q94" s="178" t="str">
        <f>IFERROR(__xludf.DUMMYFUNCTION("IF(ISBLANK(B94),"""",IFERROR(IF(OR(AF94=""GPB"",AF94=""ZAR""),IF(AF94=Dashboard!$L$1,AS94,(AS94*GOOGLEFINANCE(""CURRENCY:""&amp;AF94&amp;""""&amp;Dashboard!$L$1&amp;""""))/100),IF(AF94=Dashboard!$L$1,AS94,AS94*GOOGLEFINANCE(""CURRENCY:""&amp;AF94&amp;""""&amp;Dashboard!$L$1&amp;""""))),"&amp;"AS94))"),"")</f>
        <v/>
      </c>
      <c r="R94" s="178" t="str">
        <f t="shared" si="7"/>
        <v/>
      </c>
      <c r="S94" s="50" t="str">
        <f>IFERROR(__xludf.DUMMYFUNCTION("IF(ISBLANK(B94),"""",IFERROR((GOOGLEFINANCE(B94,""price"")/INDEX(GOOGLEFINANCE(B94,""price"",DATEVALUE(TODAY()-$S$2) ),2,2)-1),""""))"),"")</f>
        <v/>
      </c>
      <c r="U94" s="50" t="str">
        <f>IFERROR(__xludf.DUMMYFUNCTION("IF(ISBLANK(B94),"""",IFERROR((GOOGLEFINANCE($U$2,""price"")/INDEX(GOOGLEFINANCE($U$2,""price"",DATEVALUE(TODAY()-$S$2) ),2,2)-1),""""))"),"")</f>
        <v/>
      </c>
      <c r="W94" s="50" t="str">
        <f t="shared" si="8"/>
        <v/>
      </c>
      <c r="X94" s="50" t="str">
        <f t="shared" si="9"/>
        <v/>
      </c>
      <c r="Y94" s="179">
        <v>0.0</v>
      </c>
      <c r="Z94" s="50" t="str">
        <f t="shared" si="10"/>
        <v/>
      </c>
      <c r="AA94" s="14" t="str">
        <f t="shared" si="11"/>
        <v/>
      </c>
      <c r="AB94" s="50" t="str">
        <f t="shared" si="12"/>
        <v/>
      </c>
      <c r="AC94" s="179" t="str">
        <f t="shared" si="13"/>
        <v/>
      </c>
      <c r="AD94" s="50" t="str">
        <f t="shared" si="14"/>
        <v/>
      </c>
      <c r="AE94" s="180" t="str">
        <f t="shared" si="15"/>
        <v/>
      </c>
      <c r="AF94" s="14" t="str">
        <f t="array" ref="AF94">IFERROR(IF(ISBLANK(AH94),"",IF(VLOOKUP(AH94,Transactions!D:F,3,0)="Stablecoin",AH94,INDEX(Transactions!$B$3:$B149,MATCH(AH94,Transactions!$D$3:$D149,0),0))))</f>
        <v/>
      </c>
      <c r="AG94" s="14" t="str">
        <f>IF(ISBLANK(AH94),"",VLOOKUP(AH94,Transactions!D:E,2,0))</f>
        <v/>
      </c>
      <c r="AH94" s="14"/>
      <c r="AI94" s="146" t="str">
        <f>IF(ISBLANK(AH94),"",IF(
SUMIFS(Transactions!$I$3:$I149,Transactions!$H$3:$H149,"Buy",Transactions!$F$3:$F149,"Stock",Transactions!$D$3:$D149,AH94)
+SUMIFS(Transactions!$I$3:$I149,Transactions!$H$3:$H149,"DRIP",Transactions!$F$3:$F149,"Stock",Transactions!$D$3:$D149,AH94)
+SUMIFS(Transactions!$I$3:$I149,Transactions!$H$3:$H149,"Transfer Deposit",Transactions!$F$3:$F149,"Stock",Transactions!$D$3:$D149,AH94)
+SUMIFS(Transactions!$I$3:$I149,Transactions!$H$3:$H149,"Buy",Transactions!$F$3:$F149,"ETF",Transactions!$D$3:$D149,AH94)
+SUMIFS(Transactions!$I$3:$I149,Transactions!$H$3:$H149,"DRIP",Transactions!$F$3:$F149,"ETF",Transactions!$D$3:$D149,AH94)
+SUMIFS(Transactions!$I$3:$I149,Transactions!$H$3:$H149,"Transfer Deposit",Transactions!$F$3:$F149,"ETF",Transactions!$D$3:$D149,AH94)
+SUMIFS(Transactions!$I$3:$I149,Transactions!$H$3:$H149,"Buy",Transactions!$F$3:$F149,"Commodity",Transactions!$D$3:$D149,AH94)
+SUMIFS(Transactions!$I$3:$I149,Transactions!$H$3:$H149,"DRIP",Transactions!$F$3:$F149,"Commodity",Transactions!$D$3:$D149,AH94)
+SUMIFS(Transactions!$I$3:$I149,Transactions!$H$3:$H149,"Transfer Deposit",Transactions!$F$3:$F149,"Commodity",Transactions!$D$3:$D149,AH94)
+SUMIFS(Transactions!$I$3:$I149,Transactions!$H$3:$H149,"Buy",Transactions!$F$3:$F149,"Managed Fund",Transactions!$D$3:$D149,AH94)
+SUMIFS(Transactions!$I$3:$I149,Transactions!$H$3:$H149,"DRIP",Transactions!$F$3:$F149,"Managed Fund",Transactions!$D$3:$D149,AH94)
+SUMIFS(Transactions!$I$3:$I149,Transactions!$H$3:$H149,"Transfer Deposit",Transactions!$F$3:$F149,"Managed Fund",Transactions!$D$3:$D149,AH94)
+SUMIFS(Transactions!$I$3:$I149,Transactions!$H$3:$H149,"Buy",Transactions!$F$3:$F149,"REIT",Transactions!$D$3:$D149,AH94)
+SUMIFS(Transactions!$I$3:$I149,Transactions!$H$3:$H149,"DRIP",Transactions!$F$3:$F149,"REIT",Transactions!$D$3:$D149,AH94)
+SUMIFS(Transactions!$I$3:$I149,Transactions!$H$3:$H149,"Transfer Deposit",Transactions!$F$3:$F149,"REIT",Transactions!$D$3:$D149,AH94)
-SUMIFS(Transactions!$I$3:$I149,Transactions!$H$3:$H149,"Sell",Transactions!$F$3:$F149,"Stock",Transactions!$D$3:$D149,AH94)
-SUMIFS(Transactions!$I$3:$I149,Transactions!$H$3:$H149,"Transfer Send",Transactions!$F$3:$F149,"Stock",Transactions!$D$3:$D149,AH94)
-SUMIFS(Transactions!$I$3:$I149,Transactions!$H$3:$H149,"Sell",Transactions!$F$3:$F149,"ETF",Transactions!$D$3:$D149,AH94)
-SUMIFS(Transactions!$I$3:$I149,Transactions!$H$3:$H149,"Transfer Send",Transactions!$F$3:$F149,"ETF",Transactions!$D$3:$D149,AH94)
-SUMIFS(Transactions!$I$3:$I149,Transactions!$H$3:$H149,"Sell",Transactions!$F$3:$F149,"Commodity",Transactions!$D$3:$D149,AH94)
-SUMIFS(Transactions!$I$3:$I149,Transactions!$H$3:$H149,"Transfer Send",Transactions!$F$3:$F149,"Commodity",Transactions!$D$3:$D149,AH94)
-SUMIFS(Transactions!$I$3:$I149,Transactions!$H$3:$H149,"Sell",Transactions!$F$3:$F149,"Managed Fund",Transactions!$D$3:$D149,AH94)
-SUMIFS(Transactions!$I$3:$I149,Transactions!$H$3:$H149,"Transfer Send",Transactions!$F$3:$F149,"Managed Fund",Transactions!$D$3:$D149,AH94)
-SUMIFS(Transactions!$I$3:$I149,Transactions!$H$3:$H149,"Sell",Transactions!$F$3:$F149,"REIT",Transactions!$D$3:$D149,AH94)
-SUMIFS(Transactions!$I$3:$I149,Transactions!$H$3:$H149,"Transfer Send",Transactions!$F$3:$F149,"REIT",Transactions!$D$3:$D149,AH94)
+SUMIFS(Transactions!$I$3:$I149,Transactions!$H$3:$H149,"Buy",Transactions!$F$3:$F149,"Crypto",Transactions!$D$3:$D149,AH94)
+SUMIFS(Transactions!$I$3:$I149,Transactions!$H$3:$H149,"Crypto Interest",Transactions!$F$3:$F149,"Crypto",Transactions!$D$3:$D149,AH94)
+SUMIFS(Transactions!$I$3:$I149,Transactions!$H$3:$H149,"Transfer Deposit",Transactions!$F$3:$F149,"Crypto",Transactions!$D$3:$D149,AH94)
-SUMIFS(Transactions!$I$3:$I149,Transactions!$H$3:$H149,"Transfer Send",Transactions!$F$3:$F149,"Crypto",Transactions!$D$3:$D149,AH94)
-SUMIFS(Transactions!$I$3:$I149,Transactions!$H$3:$H149,"Sell",Transactions!$F$3:$F149,"Crypto",Transactions!$D$3:$D149,AH94)
+SUMIFS(Transactions!$I$3:$I149,Transactions!$H$3:$H149,"Buy",Transactions!$F$3:$F149,"Stablecoin",Transactions!$D$3:$D149,AH94)
+SUMIFS(Transactions!$I$3:$I149,Transactions!$H$3:$H149,"Crypto Interest",Transactions!$F$3:$F149,"Stablecoin",Transactions!$D$3:$D149,AH94)
+SUMIFS(Transactions!$I$3:$I149,Transactions!$H$3:$H149,"Transfer Deposit",Transactions!$F$3:$F149,"Stablecoin",Transactions!$D$3:$D149,AH94)
-SUMIFS(Transactions!$I$3:$I149,Transactions!$H$3:$H149,"Transfer Send",Transactions!$F$3:$F149,"Stablecoin",Transactions!$D$3:$D149,AH94)
-SUMIFS(Transactions!$I$3:$I149,Transactions!$H$3:$H149,"Sell",Transactions!$F$3:$F149,"Stablecoin",Transactions!$D$3:$D149,AH94)
-SUMIFS(Transactions!$M$3:$M149,Transactions!$H$3:$H149,"Buy",Transactions!$B$3:$B149,AH94)=0,"Sold All",
SUMIFS(Transactions!$I$3:$I149,Transactions!$H$3:$H149,"Buy",Transactions!$F$3:$F149,"Stock",Transactions!$D$3:$D149,AH94)
+SUMIFS(Transactions!$I$3:$I149,Transactions!$H$3:$H149,"DRIP",Transactions!$F$3:$F149,"Stock",Transactions!$D$3:$D149,AH94)
+SUMIFS(Transactions!$I$3:$I149,Transactions!$H$3:$H149,"Transfer Deposit",Transactions!$F$3:$F149,"Stock",Transactions!$D$3:$D149,AH94)
+SUMIFS(Transactions!$I$3:$I149,Transactions!$H$3:$H149,"Buy",Transactions!$F$3:$F149,"ETF",Transactions!$D$3:$D149,AH94)
+SUMIFS(Transactions!$I$3:$I149,Transactions!$H$3:$H149,"DRIP",Transactions!$F$3:$F149,"ETF",Transactions!$D$3:$D149,AH94)
+SUMIFS(Transactions!$I$3:$I149,Transactions!$H$3:$H149,"Transfer Deposit",Transactions!$F$3:$F149,"ETF",Transactions!$D$3:$D149,AH94)
+SUMIFS(Transactions!$I$3:$I149,Transactions!$H$3:$H149,"Buy",Transactions!$F$3:$F149,"Commodity",Transactions!$D$3:$D149,AH94)
+SUMIFS(Transactions!$I$3:$I149,Transactions!$H$3:$H149,"DRIP",Transactions!$F$3:$F149,"Commodity",Transactions!$D$3:$D149,AH94)
+SUMIFS(Transactions!$I$3:$I149,Transactions!$H$3:$H149,"Transfer Deposit",Transactions!$F$3:$F149,"Commodity",Transactions!$D$3:$D149,AH94)
+SUMIFS(Transactions!$I$3:$I149,Transactions!$H$3:$H149,"Buy",Transactions!$F$3:$F149,"Managed Fund",Transactions!$D$3:$D149,AH94)
+SUMIFS(Transactions!$I$3:$I149,Transactions!$H$3:$H149,"DRIP",Transactions!$F$3:$F149,"Managed Fund",Transactions!$D$3:$D149,AH94)
+SUMIFS(Transactions!$I$3:$I149,Transactions!$H$3:$H149,"Transfer Deposit",Transactions!$F$3:$F149,"Managed Fund",Transactions!$D$3:$D149,AH94)
+SUMIFS(Transactions!$I$3:$I149,Transactions!$H$3:$H149,"Buy",Transactions!$F$3:$F149,"REIT",Transactions!$D$3:$D149,AH94)
+SUMIFS(Transactions!$I$3:$I149,Transactions!$H$3:$H149,"DRIP",Transactions!$F$3:$F149,"REIT",Transactions!$D$3:$D149,AH94)
+SUMIFS(Transactions!$I$3:$I149,Transactions!$H$3:$H149,"Transfer Deposit",Transactions!$F$3:$F149,"REIT",Transactions!$D$3:$D149,AH94)
-SUMIFS(Transactions!$I$3:$I149,Transactions!$H$3:$H149,"Sell",Transactions!$F$3:$F149,"Stock",Transactions!$D$3:$D149,AH94)
-SUMIFS(Transactions!$I$3:$I149,Transactions!$H$3:$H149,"Transfer Send",Transactions!$F$3:$F149,"Stock",Transactions!$D$3:$D149,AH94)
-SUMIFS(Transactions!$I$3:$I149,Transactions!$H$3:$H149,"Sell",Transactions!$F$3:$F149,"ETF",Transactions!$D$3:$D149,AH94)
-SUMIFS(Transactions!$I$3:$I149,Transactions!$H$3:$H149,"Transfer Send",Transactions!$F$3:$F149,"ETF",Transactions!$D$3:$D149,AH94)
-SUMIFS(Transactions!$I$3:$I149,Transactions!$H$3:$H149,"Sell",Transactions!$F$3:$F149,"Commodity",Transactions!$D$3:$D149,AH94)
-SUMIFS(Transactions!$I$3:$I149,Transactions!$H$3:$H149,"Transfer Send",Transactions!$F$3:$F149,"Commodity",Transactions!$D$3:$D149,AH94)
-SUMIFS(Transactions!$I$3:$I149,Transactions!$H$3:$H149,"Sell",Transactions!$F$3:$F149,"Managed Fund",Transactions!$D$3:$D149,AH94)
-SUMIFS(Transactions!$I$3:$I149,Transactions!$H$3:$H149,"Transfer Send",Transactions!$F$3:$F149,"Managed Fund",Transactions!$D$3:$D149,AH94)
-SUMIFS(Transactions!$I$3:$I149,Transactions!$H$3:$H149,"Sell",Transactions!$F$3:$F149,"REIT",Transactions!$D$3:$D149,AH94)
-SUMIFS(Transactions!$I$3:$I149,Transactions!$H$3:$H149,"Transfer Send",Transactions!$F$3:$F149,"REIT",Transactions!$D$3:$D149,AH94)
+SUMIFS(Transactions!$I$3:$I149,Transactions!$H$3:$H149,"Buy",Transactions!$F$3:$F149,"Crypto",Transactions!$D$3:$D149,AH94)
+SUMIFS(Transactions!$I$3:$I149,Transactions!$H$3:$H149,"Crypto Interest",Transactions!$F$3:$F149,"Crypto",Transactions!$D$3:$D149,AH94)
+SUMIFS(Transactions!$I$3:$I149,Transactions!$H$3:$H149,"Transfer Deposit",Transactions!$F$3:$F149,"Crypto",Transactions!$D$3:$D149,AH94)
-SUMIFS(Transactions!$I$3:$I149,Transactions!$H$3:$H149,"Transfer Send",Transactions!$F$3:$F149,"Crypto",Transactions!$D$3:$D149,AH94)
-SUMIFS(Transactions!$I$3:$I149,Transactions!$H$3:$H149,"Sell",Transactions!$F$3:$F149,"Crypto",Transactions!$D$3:$D149,AH94)
+SUMIFS(Transactions!$I$3:$I149,Transactions!$H$3:$H149,"Buy",Transactions!$F$3:$F149,"Stablecoin",Transactions!$D$3:$D149,AH94)
+SUMIFS(Transactions!$I$3:$I149,Transactions!$H$3:$H149,"Crypto Interest",Transactions!$F$3:$F149,"Stablecoin",Transactions!$D$3:$D149,AH94)
+SUMIFS(Transactions!$I$3:$I149,Transactions!$H$3:$H149,"Transfer Deposit",Transactions!$F$3:$F149,"Stablecoin",Transactions!$D$3:$D149,AH94)
-SUMIFS(Transactions!$I$3:$I149,Transactions!$H$3:$H149,"Transfer Send",Transactions!$F$3:$F149,"Stablecoin",Transactions!$D$3:$D149,AH94)
-SUMIFS(Transactions!$I$3:$I149,Transactions!$H$3:$H149,"Sell",Transactions!$F$3:$F149,"Stablecoin",Transactions!$D$3:$D149,AH94)
-SUMIFS(Transactions!$M$3:$M149,Transactions!$H$3:$H149,"Buy",Transactions!$B$3:$B149,AH94)))</f>
        <v/>
      </c>
      <c r="AJ94" s="181" t="str">
        <f>IFERROR(__xludf.DUMMYFUNCTION("IF(ISBLANK(AH94),"""",VLOOKUP(9^99,FILTER({ROW(Transactions!P:P),Transactions!P:P},Transactions!D:D=AH94),2))"),"")</f>
        <v/>
      </c>
      <c r="AK94" s="181" t="str">
        <f>IFERROR(__xludf.DUMMYFUNCTION("IF(ISBLANK(AH94),"""",IFERROR(GOOGLEFINANCE(AH94,""price""),IFERROR(GOOGLEFINANCE(""CURRENCY:""&amp;AH94&amp;""""),IFERROR(INDEX(YAHOO_STOCK(TRIM(AH94), $G$2),0,1),INDEX(IMPORTHTML(CONCAT(""https://coinmarketcap.com/currencies/"",AG94),""table"",1),1,2)))))"),"")</f>
        <v/>
      </c>
      <c r="AL94" s="14" t="str">
        <f>IFERROR(__xludf.DUMMYFUNCTION("IF(ISBLANK(AH94),"""",IFERROR(SPARKLINE(INDEX(GOOGLEFINANCE(AH94,""price"",TODAY()-$AL$2,TODAY()),,2),{""charttype"",""column"";""color"",""17a7e0""}),""""))"),"")</f>
        <v/>
      </c>
      <c r="AM94" s="50" t="str">
        <f>IFERROR(__xludf.DUMMYFUNCTION("IFNA(IFERROR(IF(AH94="""","""",GOOGLEFINANCE(AH94,""changepct"")/100),(GOOGLEFINANCE(AH94)-(INDEX(GOOGLEFINANCE(""CURRENCY:""&amp;AH94&amp;"""",""price"",TODAY()-1),2,2)))/(INDEX(GOOGLEFINANCE(""CURRENCY:""&amp;AH94&amp;"""",""price"",TODAY()-1),2,2))),)"),"")</f>
        <v/>
      </c>
      <c r="AN94" s="96" t="str">
        <f>IFERROR(__xludf.DUMMYFUNCTION("IFNA(IFERROR(IF(AH94="""","""",GOOGLEFINANCE(AH94,""change"")*AI94),(GOOGLEFINANCE(AH94)-(INDEX(GOOGLEFINANCE(""CURRENCY:""&amp;AH94&amp;"""",""price"",TODAY()-1),2,2)))*AI94),"""")"),"")</f>
        <v/>
      </c>
      <c r="AO94" s="96" t="str">
        <f>IF(ISBLANK(AH94),"",IFERROR(((AI94-SUMIFS(Transactions!I:I,Transactions!H:H,"Crypto Interest",Transactions!D:D,AH94))*AJ94),""))</f>
        <v/>
      </c>
      <c r="AP94" s="96" t="str">
        <f t="shared" si="16"/>
        <v/>
      </c>
      <c r="AQ94" s="50" t="str">
        <f t="shared" si="17"/>
        <v/>
      </c>
      <c r="AR94" s="96" t="str">
        <f t="shared" si="18"/>
        <v/>
      </c>
      <c r="AS94" s="96" t="str">
        <f>IF(ISBLANK(AH94),"",SUMIFS(Transactions!$X$3:$X149,Transactions!$H$3:$H149,"Sell",Transactions!$D$3:$D149,AH94))</f>
        <v/>
      </c>
      <c r="AT94" s="96" t="str">
        <f t="shared" si="19"/>
        <v/>
      </c>
      <c r="AU94" s="50" t="str">
        <f>IFERROR(__xludf.DUMMYFUNCTION("IF(ISBLANK(AH94),"""",IFERROR((GOOGLEFINANCE(AH94,""price"")/INDEX(GOOGLEFINANCE(AH94,""price"",DATEVALUE(TODAY()-$AU$2) ),2,2)-1),""""))"),"")</f>
        <v/>
      </c>
      <c r="AW94" s="50" t="str">
        <f>IFERROR(__xludf.DUMMYFUNCTION("IF(ISBLANK(AH94),"""",IFERROR((GOOGLEFINANCE($AW$2,""price"")/INDEX(GOOGLEFINANCE($AW$2,""price"",DATEVALUE(TODAY()-$AU$2) ),2,2)-1),""""))"),"")</f>
        <v/>
      </c>
      <c r="AY94" s="50" t="str">
        <f t="shared" si="20"/>
        <v/>
      </c>
      <c r="AZ94" s="50" t="str">
        <f t="shared" si="21"/>
        <v/>
      </c>
      <c r="BA94" s="50">
        <f t="shared" si="22"/>
        <v>0</v>
      </c>
      <c r="BB94" s="14" t="str">
        <f t="shared" si="23"/>
        <v/>
      </c>
      <c r="BC94" s="14" t="str">
        <f>IF(ISBLANK(AH94),"",IFERROR(VLOOKUP(AH94,Transactions!D:F,3,0)))</f>
        <v/>
      </c>
      <c r="BD94" s="50" t="str">
        <f t="shared" si="24"/>
        <v/>
      </c>
      <c r="BE94" s="50" t="str">
        <f t="shared" si="25"/>
        <v/>
      </c>
      <c r="BF94" s="14" t="str">
        <f t="shared" si="26"/>
        <v/>
      </c>
      <c r="BG94" s="180" t="str">
        <f>IF(ISBLANK(AH94),"",IFERROR(VLOOKUP(AH94,Transactions!D:G,4,0)))</f>
        <v/>
      </c>
    </row>
    <row r="95">
      <c r="A95" s="14" t="str">
        <f t="shared" ref="A95:C95" si="118">AG95</f>
        <v/>
      </c>
      <c r="B95" s="14" t="str">
        <f t="shared" si="118"/>
        <v/>
      </c>
      <c r="C95" s="175" t="str">
        <f t="shared" si="118"/>
        <v/>
      </c>
      <c r="D95" s="176" t="str">
        <f>IFERROR(__xludf.DUMMYFUNCTION("IF(ISBLANK(B95),"""",IFERROR(IF(OR(AF95=""GPB"",AF95=""ZAR""),IF(AF95=Dashboard!$L$1,AJ95,(AJ95*GOOGLEFINANCE(""CURRENCY:""&amp;AF95&amp;""""&amp;Dashboard!$L$1&amp;""""))/100),IF(AF95=Dashboard!$L$1,AJ95,AJ95*GOOGLEFINANCE(""CURRENCY:""&amp;AF95&amp;""""&amp;Dashboard!$L$1&amp;""""))),"&amp;"AJ95))"),"")</f>
        <v/>
      </c>
      <c r="E95" s="177" t="str">
        <f>IFERROR(__xludf.DUMMYFUNCTION("IFERROR(IF(OR(AF95=""GBP"",AF95=""ZAR""),IF(B95="""","""",IF(AF95=Dashboard!$L$1,AK95,AK95*GOOGLEFINANCE(""CURRENCY:""&amp;AF95&amp;""""&amp;Dashboard!$L$1&amp;"""")))/100,If(B95="""","""",IF(AF95=Dashboard!$L$1,AK95,AK95*GOOGLEFINANCE(""CURRENCY:""&amp;AF95&amp;""""&amp;Dashboard!$"&amp;"L$1&amp;"""")))),AK95)"),"")</f>
        <v/>
      </c>
      <c r="F95" s="145" t="str">
        <f t="shared" si="65"/>
        <v/>
      </c>
      <c r="G95" s="96" t="str">
        <f>IFERROR(__xludf.DUMMYFUNCTION("IF(ISBLANK(B95),"""",IFERROR(SPARKLINE(INDEX(GOOGLEFINANCE(B95,""price"",TODAY()-$G$2,TODAY()),,2),{""charttype"",""column"";""color"",""17a7e0""}),""""))"),"")</f>
        <v/>
      </c>
      <c r="H95" s="50" t="str">
        <f t="shared" si="3"/>
        <v/>
      </c>
      <c r="I95" s="96" t="str">
        <f>IFERROR(__xludf.DUMMYFUNCTION("IF(ISBLANK(B95),"""",IFERROR(IF(OR(AF95=""GPB"",AF95=""ZAR""),IF(AF95=Dashboard!$L$1,AN95,(AN95*GOOGLEFINANCE(""CURRENCY:""&amp;AF95&amp;""""&amp;Dashboard!$L$1&amp;""""))/100),IF(AF95=Dashboard!$L$1,AN95,AN95*GOOGLEFINANCE(""CURRENCY:""&amp;AF95&amp;""""&amp;Dashboard!$L$1&amp;""""))),"&amp;"AN95))"),"")</f>
        <v/>
      </c>
      <c r="J95" s="178" t="str">
        <f>IF(ISBLANK(B95),"",IFERROR(((C95-SUMIFS(Transactions!I:I,Transactions!H:H,"Crypto Interest",Transactions!D:D,B95))*D95),""))</f>
        <v/>
      </c>
      <c r="K95" s="178" t="str">
        <f t="shared" si="4"/>
        <v/>
      </c>
      <c r="L95" s="145">
        <f>IF(ISBLANK(AF95),"",SUMIFS(Transactions!$M$3:$M149,Transactions!$H$3:$H149,"Buy",Transactions!$D$3:$D149,AF95))</f>
        <v>0</v>
      </c>
      <c r="M95" s="145">
        <f>IF(ISBLANK(AG95),"",SUMIFS(Transactions!$M$3:$M149,Transactions!$H$3:$H149,"Dividend",Transactions!$D$3:$D149,AG95))</f>
        <v>0</v>
      </c>
      <c r="N95" s="145" t="str">
        <f>IF(ISBLANK(AH95),"",SUMIFS(Transactions!$M$3:$M149,Transactions!$H$3:$H149,"Sell",Transactions!$D$3:$D149,AH95))</f>
        <v/>
      </c>
      <c r="O95" s="50" t="str">
        <f t="shared" si="5"/>
        <v/>
      </c>
      <c r="P95" s="178" t="str">
        <f t="shared" si="6"/>
        <v/>
      </c>
      <c r="Q95" s="178" t="str">
        <f>IFERROR(__xludf.DUMMYFUNCTION("IF(ISBLANK(B95),"""",IFERROR(IF(OR(AF95=""GPB"",AF95=""ZAR""),IF(AF95=Dashboard!$L$1,AS95,(AS95*GOOGLEFINANCE(""CURRENCY:""&amp;AF95&amp;""""&amp;Dashboard!$L$1&amp;""""))/100),IF(AF95=Dashboard!$L$1,AS95,AS95*GOOGLEFINANCE(""CURRENCY:""&amp;AF95&amp;""""&amp;Dashboard!$L$1&amp;""""))),"&amp;"AS95))"),"")</f>
        <v/>
      </c>
      <c r="R95" s="178" t="str">
        <f t="shared" si="7"/>
        <v/>
      </c>
      <c r="S95" s="50" t="str">
        <f>IFERROR(__xludf.DUMMYFUNCTION("IF(ISBLANK(B95),"""",IFERROR((GOOGLEFINANCE(B95,""price"")/INDEX(GOOGLEFINANCE(B95,""price"",DATEVALUE(TODAY()-$S$2) ),2,2)-1),""""))"),"")</f>
        <v/>
      </c>
      <c r="U95" s="50" t="str">
        <f>IFERROR(__xludf.DUMMYFUNCTION("IF(ISBLANK(B95),"""",IFERROR((GOOGLEFINANCE($U$2,""price"")/INDEX(GOOGLEFINANCE($U$2,""price"",DATEVALUE(TODAY()-$S$2) ),2,2)-1),""""))"),"")</f>
        <v/>
      </c>
      <c r="W95" s="50" t="str">
        <f t="shared" si="8"/>
        <v/>
      </c>
      <c r="X95" s="50" t="str">
        <f t="shared" si="9"/>
        <v/>
      </c>
      <c r="Y95" s="179">
        <v>0.0</v>
      </c>
      <c r="Z95" s="50" t="str">
        <f t="shared" si="10"/>
        <v/>
      </c>
      <c r="AA95" s="14" t="str">
        <f t="shared" si="11"/>
        <v/>
      </c>
      <c r="AB95" s="50" t="str">
        <f t="shared" si="12"/>
        <v/>
      </c>
      <c r="AC95" s="179" t="str">
        <f t="shared" si="13"/>
        <v/>
      </c>
      <c r="AD95" s="50" t="str">
        <f t="shared" si="14"/>
        <v/>
      </c>
      <c r="AE95" s="180" t="str">
        <f t="shared" si="15"/>
        <v/>
      </c>
      <c r="AF95" s="14" t="str">
        <f t="array" ref="AF95">IFERROR(IF(ISBLANK(AH95),"",IF(VLOOKUP(AH95,Transactions!D:F,3,0)="Stablecoin",AH95,INDEX(Transactions!$B$3:$B149,MATCH(AH95,Transactions!$D$3:$D149,0),0))))</f>
        <v/>
      </c>
      <c r="AG95" s="14" t="str">
        <f>IF(ISBLANK(AH95),"",VLOOKUP(AH95,Transactions!D:E,2,0))</f>
        <v/>
      </c>
      <c r="AH95" s="14"/>
      <c r="AI95" s="146" t="str">
        <f>IF(ISBLANK(AH95),"",IF(
SUMIFS(Transactions!$I$3:$I149,Transactions!$H$3:$H149,"Buy",Transactions!$F$3:$F149,"Stock",Transactions!$D$3:$D149,AH95)
+SUMIFS(Transactions!$I$3:$I149,Transactions!$H$3:$H149,"DRIP",Transactions!$F$3:$F149,"Stock",Transactions!$D$3:$D149,AH95)
+SUMIFS(Transactions!$I$3:$I149,Transactions!$H$3:$H149,"Transfer Deposit",Transactions!$F$3:$F149,"Stock",Transactions!$D$3:$D149,AH95)
+SUMIFS(Transactions!$I$3:$I149,Transactions!$H$3:$H149,"Buy",Transactions!$F$3:$F149,"ETF",Transactions!$D$3:$D149,AH95)
+SUMIFS(Transactions!$I$3:$I149,Transactions!$H$3:$H149,"DRIP",Transactions!$F$3:$F149,"ETF",Transactions!$D$3:$D149,AH95)
+SUMIFS(Transactions!$I$3:$I149,Transactions!$H$3:$H149,"Transfer Deposit",Transactions!$F$3:$F149,"ETF",Transactions!$D$3:$D149,AH95)
+SUMIFS(Transactions!$I$3:$I149,Transactions!$H$3:$H149,"Buy",Transactions!$F$3:$F149,"Commodity",Transactions!$D$3:$D149,AH95)
+SUMIFS(Transactions!$I$3:$I149,Transactions!$H$3:$H149,"DRIP",Transactions!$F$3:$F149,"Commodity",Transactions!$D$3:$D149,AH95)
+SUMIFS(Transactions!$I$3:$I149,Transactions!$H$3:$H149,"Transfer Deposit",Transactions!$F$3:$F149,"Commodity",Transactions!$D$3:$D149,AH95)
+SUMIFS(Transactions!$I$3:$I149,Transactions!$H$3:$H149,"Buy",Transactions!$F$3:$F149,"Managed Fund",Transactions!$D$3:$D149,AH95)
+SUMIFS(Transactions!$I$3:$I149,Transactions!$H$3:$H149,"DRIP",Transactions!$F$3:$F149,"Managed Fund",Transactions!$D$3:$D149,AH95)
+SUMIFS(Transactions!$I$3:$I149,Transactions!$H$3:$H149,"Transfer Deposit",Transactions!$F$3:$F149,"Managed Fund",Transactions!$D$3:$D149,AH95)
+SUMIFS(Transactions!$I$3:$I149,Transactions!$H$3:$H149,"Buy",Transactions!$F$3:$F149,"REIT",Transactions!$D$3:$D149,AH95)
+SUMIFS(Transactions!$I$3:$I149,Transactions!$H$3:$H149,"DRIP",Transactions!$F$3:$F149,"REIT",Transactions!$D$3:$D149,AH95)
+SUMIFS(Transactions!$I$3:$I149,Transactions!$H$3:$H149,"Transfer Deposit",Transactions!$F$3:$F149,"REIT",Transactions!$D$3:$D149,AH95)
-SUMIFS(Transactions!$I$3:$I149,Transactions!$H$3:$H149,"Sell",Transactions!$F$3:$F149,"Stock",Transactions!$D$3:$D149,AH95)
-SUMIFS(Transactions!$I$3:$I149,Transactions!$H$3:$H149,"Transfer Send",Transactions!$F$3:$F149,"Stock",Transactions!$D$3:$D149,AH95)
-SUMIFS(Transactions!$I$3:$I149,Transactions!$H$3:$H149,"Sell",Transactions!$F$3:$F149,"ETF",Transactions!$D$3:$D149,AH95)
-SUMIFS(Transactions!$I$3:$I149,Transactions!$H$3:$H149,"Transfer Send",Transactions!$F$3:$F149,"ETF",Transactions!$D$3:$D149,AH95)
-SUMIFS(Transactions!$I$3:$I149,Transactions!$H$3:$H149,"Sell",Transactions!$F$3:$F149,"Commodity",Transactions!$D$3:$D149,AH95)
-SUMIFS(Transactions!$I$3:$I149,Transactions!$H$3:$H149,"Transfer Send",Transactions!$F$3:$F149,"Commodity",Transactions!$D$3:$D149,AH95)
-SUMIFS(Transactions!$I$3:$I149,Transactions!$H$3:$H149,"Sell",Transactions!$F$3:$F149,"Managed Fund",Transactions!$D$3:$D149,AH95)
-SUMIFS(Transactions!$I$3:$I149,Transactions!$H$3:$H149,"Transfer Send",Transactions!$F$3:$F149,"Managed Fund",Transactions!$D$3:$D149,AH95)
-SUMIFS(Transactions!$I$3:$I149,Transactions!$H$3:$H149,"Sell",Transactions!$F$3:$F149,"REIT",Transactions!$D$3:$D149,AH95)
-SUMIFS(Transactions!$I$3:$I149,Transactions!$H$3:$H149,"Transfer Send",Transactions!$F$3:$F149,"REIT",Transactions!$D$3:$D149,AH95)
+SUMIFS(Transactions!$I$3:$I149,Transactions!$H$3:$H149,"Buy",Transactions!$F$3:$F149,"Crypto",Transactions!$D$3:$D149,AH95)
+SUMIFS(Transactions!$I$3:$I149,Transactions!$H$3:$H149,"Crypto Interest",Transactions!$F$3:$F149,"Crypto",Transactions!$D$3:$D149,AH95)
+SUMIFS(Transactions!$I$3:$I149,Transactions!$H$3:$H149,"Transfer Deposit",Transactions!$F$3:$F149,"Crypto",Transactions!$D$3:$D149,AH95)
-SUMIFS(Transactions!$I$3:$I149,Transactions!$H$3:$H149,"Transfer Send",Transactions!$F$3:$F149,"Crypto",Transactions!$D$3:$D149,AH95)
-SUMIFS(Transactions!$I$3:$I149,Transactions!$H$3:$H149,"Sell",Transactions!$F$3:$F149,"Crypto",Transactions!$D$3:$D149,AH95)
+SUMIFS(Transactions!$I$3:$I149,Transactions!$H$3:$H149,"Buy",Transactions!$F$3:$F149,"Stablecoin",Transactions!$D$3:$D149,AH95)
+SUMIFS(Transactions!$I$3:$I149,Transactions!$H$3:$H149,"Crypto Interest",Transactions!$F$3:$F149,"Stablecoin",Transactions!$D$3:$D149,AH95)
+SUMIFS(Transactions!$I$3:$I149,Transactions!$H$3:$H149,"Transfer Deposit",Transactions!$F$3:$F149,"Stablecoin",Transactions!$D$3:$D149,AH95)
-SUMIFS(Transactions!$I$3:$I149,Transactions!$H$3:$H149,"Transfer Send",Transactions!$F$3:$F149,"Stablecoin",Transactions!$D$3:$D149,AH95)
-SUMIFS(Transactions!$I$3:$I149,Transactions!$H$3:$H149,"Sell",Transactions!$F$3:$F149,"Stablecoin",Transactions!$D$3:$D149,AH95)
-SUMIFS(Transactions!$M$3:$M149,Transactions!$H$3:$H149,"Buy",Transactions!$B$3:$B149,AH95)=0,"Sold All",
SUMIFS(Transactions!$I$3:$I149,Transactions!$H$3:$H149,"Buy",Transactions!$F$3:$F149,"Stock",Transactions!$D$3:$D149,AH95)
+SUMIFS(Transactions!$I$3:$I149,Transactions!$H$3:$H149,"DRIP",Transactions!$F$3:$F149,"Stock",Transactions!$D$3:$D149,AH95)
+SUMIFS(Transactions!$I$3:$I149,Transactions!$H$3:$H149,"Transfer Deposit",Transactions!$F$3:$F149,"Stock",Transactions!$D$3:$D149,AH95)
+SUMIFS(Transactions!$I$3:$I149,Transactions!$H$3:$H149,"Buy",Transactions!$F$3:$F149,"ETF",Transactions!$D$3:$D149,AH95)
+SUMIFS(Transactions!$I$3:$I149,Transactions!$H$3:$H149,"DRIP",Transactions!$F$3:$F149,"ETF",Transactions!$D$3:$D149,AH95)
+SUMIFS(Transactions!$I$3:$I149,Transactions!$H$3:$H149,"Transfer Deposit",Transactions!$F$3:$F149,"ETF",Transactions!$D$3:$D149,AH95)
+SUMIFS(Transactions!$I$3:$I149,Transactions!$H$3:$H149,"Buy",Transactions!$F$3:$F149,"Commodity",Transactions!$D$3:$D149,AH95)
+SUMIFS(Transactions!$I$3:$I149,Transactions!$H$3:$H149,"DRIP",Transactions!$F$3:$F149,"Commodity",Transactions!$D$3:$D149,AH95)
+SUMIFS(Transactions!$I$3:$I149,Transactions!$H$3:$H149,"Transfer Deposit",Transactions!$F$3:$F149,"Commodity",Transactions!$D$3:$D149,AH95)
+SUMIFS(Transactions!$I$3:$I149,Transactions!$H$3:$H149,"Buy",Transactions!$F$3:$F149,"Managed Fund",Transactions!$D$3:$D149,AH95)
+SUMIFS(Transactions!$I$3:$I149,Transactions!$H$3:$H149,"DRIP",Transactions!$F$3:$F149,"Managed Fund",Transactions!$D$3:$D149,AH95)
+SUMIFS(Transactions!$I$3:$I149,Transactions!$H$3:$H149,"Transfer Deposit",Transactions!$F$3:$F149,"Managed Fund",Transactions!$D$3:$D149,AH95)
+SUMIFS(Transactions!$I$3:$I149,Transactions!$H$3:$H149,"Buy",Transactions!$F$3:$F149,"REIT",Transactions!$D$3:$D149,AH95)
+SUMIFS(Transactions!$I$3:$I149,Transactions!$H$3:$H149,"DRIP",Transactions!$F$3:$F149,"REIT",Transactions!$D$3:$D149,AH95)
+SUMIFS(Transactions!$I$3:$I149,Transactions!$H$3:$H149,"Transfer Deposit",Transactions!$F$3:$F149,"REIT",Transactions!$D$3:$D149,AH95)
-SUMIFS(Transactions!$I$3:$I149,Transactions!$H$3:$H149,"Sell",Transactions!$F$3:$F149,"Stock",Transactions!$D$3:$D149,AH95)
-SUMIFS(Transactions!$I$3:$I149,Transactions!$H$3:$H149,"Transfer Send",Transactions!$F$3:$F149,"Stock",Transactions!$D$3:$D149,AH95)
-SUMIFS(Transactions!$I$3:$I149,Transactions!$H$3:$H149,"Sell",Transactions!$F$3:$F149,"ETF",Transactions!$D$3:$D149,AH95)
-SUMIFS(Transactions!$I$3:$I149,Transactions!$H$3:$H149,"Transfer Send",Transactions!$F$3:$F149,"ETF",Transactions!$D$3:$D149,AH95)
-SUMIFS(Transactions!$I$3:$I149,Transactions!$H$3:$H149,"Sell",Transactions!$F$3:$F149,"Commodity",Transactions!$D$3:$D149,AH95)
-SUMIFS(Transactions!$I$3:$I149,Transactions!$H$3:$H149,"Transfer Send",Transactions!$F$3:$F149,"Commodity",Transactions!$D$3:$D149,AH95)
-SUMIFS(Transactions!$I$3:$I149,Transactions!$H$3:$H149,"Sell",Transactions!$F$3:$F149,"Managed Fund",Transactions!$D$3:$D149,AH95)
-SUMIFS(Transactions!$I$3:$I149,Transactions!$H$3:$H149,"Transfer Send",Transactions!$F$3:$F149,"Managed Fund",Transactions!$D$3:$D149,AH95)
-SUMIFS(Transactions!$I$3:$I149,Transactions!$H$3:$H149,"Sell",Transactions!$F$3:$F149,"REIT",Transactions!$D$3:$D149,AH95)
-SUMIFS(Transactions!$I$3:$I149,Transactions!$H$3:$H149,"Transfer Send",Transactions!$F$3:$F149,"REIT",Transactions!$D$3:$D149,AH95)
+SUMIFS(Transactions!$I$3:$I149,Transactions!$H$3:$H149,"Buy",Transactions!$F$3:$F149,"Crypto",Transactions!$D$3:$D149,AH95)
+SUMIFS(Transactions!$I$3:$I149,Transactions!$H$3:$H149,"Crypto Interest",Transactions!$F$3:$F149,"Crypto",Transactions!$D$3:$D149,AH95)
+SUMIFS(Transactions!$I$3:$I149,Transactions!$H$3:$H149,"Transfer Deposit",Transactions!$F$3:$F149,"Crypto",Transactions!$D$3:$D149,AH95)
-SUMIFS(Transactions!$I$3:$I149,Transactions!$H$3:$H149,"Transfer Send",Transactions!$F$3:$F149,"Crypto",Transactions!$D$3:$D149,AH95)
-SUMIFS(Transactions!$I$3:$I149,Transactions!$H$3:$H149,"Sell",Transactions!$F$3:$F149,"Crypto",Transactions!$D$3:$D149,AH95)
+SUMIFS(Transactions!$I$3:$I149,Transactions!$H$3:$H149,"Buy",Transactions!$F$3:$F149,"Stablecoin",Transactions!$D$3:$D149,AH95)
+SUMIFS(Transactions!$I$3:$I149,Transactions!$H$3:$H149,"Crypto Interest",Transactions!$F$3:$F149,"Stablecoin",Transactions!$D$3:$D149,AH95)
+SUMIFS(Transactions!$I$3:$I149,Transactions!$H$3:$H149,"Transfer Deposit",Transactions!$F$3:$F149,"Stablecoin",Transactions!$D$3:$D149,AH95)
-SUMIFS(Transactions!$I$3:$I149,Transactions!$H$3:$H149,"Transfer Send",Transactions!$F$3:$F149,"Stablecoin",Transactions!$D$3:$D149,AH95)
-SUMIFS(Transactions!$I$3:$I149,Transactions!$H$3:$H149,"Sell",Transactions!$F$3:$F149,"Stablecoin",Transactions!$D$3:$D149,AH95)
-SUMIFS(Transactions!$M$3:$M149,Transactions!$H$3:$H149,"Buy",Transactions!$B$3:$B149,AH95)))</f>
        <v/>
      </c>
      <c r="AJ95" s="181" t="str">
        <f>IFERROR(__xludf.DUMMYFUNCTION("IF(ISBLANK(AH95),"""",VLOOKUP(9^99,FILTER({ROW(Transactions!P:P),Transactions!P:P},Transactions!D:D=AH95),2))"),"")</f>
        <v/>
      </c>
      <c r="AK95" s="181" t="str">
        <f>IFERROR(__xludf.DUMMYFUNCTION("IF(ISBLANK(AH95),"""",IFERROR(GOOGLEFINANCE(AH95,""price""),IFERROR(GOOGLEFINANCE(""CURRENCY:""&amp;AH95&amp;""""),IFERROR(INDEX(YAHOO_STOCK(TRIM(AH95), $G$2),0,1),INDEX(IMPORTHTML(CONCAT(""https://coinmarketcap.com/currencies/"",AG95),""table"",1),1,2)))))"),"")</f>
        <v/>
      </c>
      <c r="AL95" s="14" t="str">
        <f>IFERROR(__xludf.DUMMYFUNCTION("IF(ISBLANK(AH95),"""",IFERROR(SPARKLINE(INDEX(GOOGLEFINANCE(AH95,""price"",TODAY()-$AL$2,TODAY()),,2),{""charttype"",""column"";""color"",""17a7e0""}),""""))"),"")</f>
        <v/>
      </c>
      <c r="AM95" s="50" t="str">
        <f>IFERROR(__xludf.DUMMYFUNCTION("IFNA(IFERROR(IF(AH95="""","""",GOOGLEFINANCE(AH95,""changepct"")/100),(GOOGLEFINANCE(AH95)-(INDEX(GOOGLEFINANCE(""CURRENCY:""&amp;AH95&amp;"""",""price"",TODAY()-1),2,2)))/(INDEX(GOOGLEFINANCE(""CURRENCY:""&amp;AH95&amp;"""",""price"",TODAY()-1),2,2))),)"),"")</f>
        <v/>
      </c>
      <c r="AN95" s="96" t="str">
        <f>IFERROR(__xludf.DUMMYFUNCTION("IFNA(IFERROR(IF(AH95="""","""",GOOGLEFINANCE(AH95,""change"")*AI95),(GOOGLEFINANCE(AH95)-(INDEX(GOOGLEFINANCE(""CURRENCY:""&amp;AH95&amp;"""",""price"",TODAY()-1),2,2)))*AI95),"""")"),"")</f>
        <v/>
      </c>
      <c r="AO95" s="96" t="str">
        <f>IF(ISBLANK(AH95),"",IFERROR(((AI95-SUMIFS(Transactions!I:I,Transactions!H:H,"Crypto Interest",Transactions!D:D,AH95))*AJ95),""))</f>
        <v/>
      </c>
      <c r="AP95" s="96" t="str">
        <f t="shared" si="16"/>
        <v/>
      </c>
      <c r="AQ95" s="50" t="str">
        <f t="shared" si="17"/>
        <v/>
      </c>
      <c r="AR95" s="96" t="str">
        <f t="shared" si="18"/>
        <v/>
      </c>
      <c r="AS95" s="96" t="str">
        <f>IF(ISBLANK(AH95),"",SUMIFS(Transactions!$X$3:$X149,Transactions!$H$3:$H149,"Sell",Transactions!$D$3:$D149,AH95))</f>
        <v/>
      </c>
      <c r="AT95" s="96" t="str">
        <f t="shared" si="19"/>
        <v/>
      </c>
      <c r="AU95" s="50" t="str">
        <f>IFERROR(__xludf.DUMMYFUNCTION("IF(ISBLANK(AH95),"""",IFERROR((GOOGLEFINANCE(AH95,""price"")/INDEX(GOOGLEFINANCE(AH95,""price"",DATEVALUE(TODAY()-$AU$2) ),2,2)-1),""""))"),"")</f>
        <v/>
      </c>
      <c r="AW95" s="50" t="str">
        <f>IFERROR(__xludf.DUMMYFUNCTION("IF(ISBLANK(AH95),"""",IFERROR((GOOGLEFINANCE($AW$2,""price"")/INDEX(GOOGLEFINANCE($AW$2,""price"",DATEVALUE(TODAY()-$AU$2) ),2,2)-1),""""))"),"")</f>
        <v/>
      </c>
      <c r="AY95" s="50" t="str">
        <f t="shared" si="20"/>
        <v/>
      </c>
      <c r="AZ95" s="50" t="str">
        <f t="shared" si="21"/>
        <v/>
      </c>
      <c r="BA95" s="50">
        <f t="shared" si="22"/>
        <v>0</v>
      </c>
      <c r="BB95" s="14" t="str">
        <f t="shared" si="23"/>
        <v/>
      </c>
      <c r="BC95" s="14" t="str">
        <f>IF(ISBLANK(AH95),"",IFERROR(VLOOKUP(AH95,Transactions!D:F,3,0)))</f>
        <v/>
      </c>
      <c r="BD95" s="50" t="str">
        <f t="shared" si="24"/>
        <v/>
      </c>
      <c r="BE95" s="50" t="str">
        <f t="shared" si="25"/>
        <v/>
      </c>
      <c r="BF95" s="14" t="str">
        <f t="shared" si="26"/>
        <v/>
      </c>
      <c r="BG95" s="180" t="str">
        <f>IF(ISBLANK(AH95),"",IFERROR(VLOOKUP(AH95,Transactions!D:G,4,0)))</f>
        <v/>
      </c>
    </row>
    <row r="96">
      <c r="A96" s="14" t="str">
        <f t="shared" ref="A96:C96" si="119">AG96</f>
        <v/>
      </c>
      <c r="B96" s="14" t="str">
        <f t="shared" si="119"/>
        <v/>
      </c>
      <c r="C96" s="175" t="str">
        <f t="shared" si="119"/>
        <v/>
      </c>
      <c r="D96" s="176" t="str">
        <f>IFERROR(__xludf.DUMMYFUNCTION("IF(ISBLANK(B96),"""",IFERROR(IF(OR(AF96=""GPB"",AF96=""ZAR""),IF(AF96=Dashboard!$L$1,AJ96,(AJ96*GOOGLEFINANCE(""CURRENCY:""&amp;AF96&amp;""""&amp;Dashboard!$L$1&amp;""""))/100),IF(AF96=Dashboard!$L$1,AJ96,AJ96*GOOGLEFINANCE(""CURRENCY:""&amp;AF96&amp;""""&amp;Dashboard!$L$1&amp;""""))),"&amp;"AJ96))"),"")</f>
        <v/>
      </c>
      <c r="E96" s="177" t="str">
        <f>IFERROR(__xludf.DUMMYFUNCTION("IFERROR(IF(OR(AF96=""GBP"",AF96=""ZAR""),IF(B96="""","""",IF(AF96=Dashboard!$L$1,AK96,AK96*GOOGLEFINANCE(""CURRENCY:""&amp;AF96&amp;""""&amp;Dashboard!$L$1&amp;"""")))/100,If(B96="""","""",IF(AF96=Dashboard!$L$1,AK96,AK96*GOOGLEFINANCE(""CURRENCY:""&amp;AF96&amp;""""&amp;Dashboard!$"&amp;"L$1&amp;"""")))),AK96)"),"")</f>
        <v/>
      </c>
      <c r="F96" s="145" t="str">
        <f t="shared" si="65"/>
        <v/>
      </c>
      <c r="G96" s="96" t="str">
        <f>IFERROR(__xludf.DUMMYFUNCTION("IF(ISBLANK(B96),"""",IFERROR(SPARKLINE(INDEX(GOOGLEFINANCE(B96,""price"",TODAY()-$G$2,TODAY()),,2),{""charttype"",""column"";""color"",""17a7e0""}),""""))"),"")</f>
        <v/>
      </c>
      <c r="H96" s="50" t="str">
        <f t="shared" si="3"/>
        <v/>
      </c>
      <c r="I96" s="96" t="str">
        <f>IFERROR(__xludf.DUMMYFUNCTION("IF(ISBLANK(B96),"""",IFERROR(IF(OR(AF96=""GPB"",AF96=""ZAR""),IF(AF96=Dashboard!$L$1,AN96,(AN96*GOOGLEFINANCE(""CURRENCY:""&amp;AF96&amp;""""&amp;Dashboard!$L$1&amp;""""))/100),IF(AF96=Dashboard!$L$1,AN96,AN96*GOOGLEFINANCE(""CURRENCY:""&amp;AF96&amp;""""&amp;Dashboard!$L$1&amp;""""))),"&amp;"AN96))"),"")</f>
        <v/>
      </c>
      <c r="J96" s="178" t="str">
        <f>IF(ISBLANK(B96),"",IFERROR(((C96-SUMIFS(Transactions!I:I,Transactions!H:H,"Crypto Interest",Transactions!D:D,B96))*D96),""))</f>
        <v/>
      </c>
      <c r="K96" s="178" t="str">
        <f t="shared" si="4"/>
        <v/>
      </c>
      <c r="L96" s="145">
        <f>IF(ISBLANK(AF96),"",SUMIFS(Transactions!$M$3:$M149,Transactions!$H$3:$H149,"Buy",Transactions!$D$3:$D149,AF96))</f>
        <v>0</v>
      </c>
      <c r="M96" s="145">
        <f>IF(ISBLANK(AG96),"",SUMIFS(Transactions!$M$3:$M149,Transactions!$H$3:$H149,"Dividend",Transactions!$D$3:$D149,AG96))</f>
        <v>0</v>
      </c>
      <c r="N96" s="145" t="str">
        <f>IF(ISBLANK(AH96),"",SUMIFS(Transactions!$M$3:$M149,Transactions!$H$3:$H149,"Sell",Transactions!$D$3:$D149,AH96))</f>
        <v/>
      </c>
      <c r="O96" s="50" t="str">
        <f t="shared" si="5"/>
        <v/>
      </c>
      <c r="P96" s="178" t="str">
        <f t="shared" si="6"/>
        <v/>
      </c>
      <c r="Q96" s="178" t="str">
        <f>IFERROR(__xludf.DUMMYFUNCTION("IF(ISBLANK(B96),"""",IFERROR(IF(OR(AF96=""GPB"",AF96=""ZAR""),IF(AF96=Dashboard!$L$1,AS96,(AS96*GOOGLEFINANCE(""CURRENCY:""&amp;AF96&amp;""""&amp;Dashboard!$L$1&amp;""""))/100),IF(AF96=Dashboard!$L$1,AS96,AS96*GOOGLEFINANCE(""CURRENCY:""&amp;AF96&amp;""""&amp;Dashboard!$L$1&amp;""""))),"&amp;"AS96))"),"")</f>
        <v/>
      </c>
      <c r="R96" s="178" t="str">
        <f t="shared" si="7"/>
        <v/>
      </c>
      <c r="S96" s="50" t="str">
        <f>IFERROR(__xludf.DUMMYFUNCTION("IF(ISBLANK(B96),"""",IFERROR((GOOGLEFINANCE(B96,""price"")/INDEX(GOOGLEFINANCE(B96,""price"",DATEVALUE(TODAY()-$S$2) ),2,2)-1),""""))"),"")</f>
        <v/>
      </c>
      <c r="U96" s="50" t="str">
        <f>IFERROR(__xludf.DUMMYFUNCTION("IF(ISBLANK(B96),"""",IFERROR((GOOGLEFINANCE($U$2,""price"")/INDEX(GOOGLEFINANCE($U$2,""price"",DATEVALUE(TODAY()-$S$2) ),2,2)-1),""""))"),"")</f>
        <v/>
      </c>
      <c r="W96" s="50" t="str">
        <f t="shared" si="8"/>
        <v/>
      </c>
      <c r="X96" s="50" t="str">
        <f t="shared" si="9"/>
        <v/>
      </c>
      <c r="Y96" s="179">
        <v>0.0</v>
      </c>
      <c r="Z96" s="50" t="str">
        <f t="shared" si="10"/>
        <v/>
      </c>
      <c r="AA96" s="14" t="str">
        <f t="shared" si="11"/>
        <v/>
      </c>
      <c r="AB96" s="50" t="str">
        <f t="shared" si="12"/>
        <v/>
      </c>
      <c r="AC96" s="179" t="str">
        <f t="shared" si="13"/>
        <v/>
      </c>
      <c r="AD96" s="50" t="str">
        <f t="shared" si="14"/>
        <v/>
      </c>
      <c r="AE96" s="180" t="str">
        <f t="shared" si="15"/>
        <v/>
      </c>
      <c r="AF96" s="14" t="str">
        <f t="array" ref="AF96">IFERROR(IF(ISBLANK(AH96),"",IF(VLOOKUP(AH96,Transactions!D:F,3,0)="Stablecoin",AH96,INDEX(Transactions!$B$3:$B149,MATCH(AH96,Transactions!$D$3:$D149,0),0))))</f>
        <v/>
      </c>
      <c r="AG96" s="14" t="str">
        <f>IF(ISBLANK(AH96),"",VLOOKUP(AH96,Transactions!D:E,2,0))</f>
        <v/>
      </c>
      <c r="AH96" s="14"/>
      <c r="AI96" s="146" t="str">
        <f>IF(ISBLANK(AH96),"",IF(
SUMIFS(Transactions!$I$3:$I149,Transactions!$H$3:$H149,"Buy",Transactions!$F$3:$F149,"Stock",Transactions!$D$3:$D149,AH96)
+SUMIFS(Transactions!$I$3:$I149,Transactions!$H$3:$H149,"DRIP",Transactions!$F$3:$F149,"Stock",Transactions!$D$3:$D149,AH96)
+SUMIFS(Transactions!$I$3:$I149,Transactions!$H$3:$H149,"Transfer Deposit",Transactions!$F$3:$F149,"Stock",Transactions!$D$3:$D149,AH96)
+SUMIFS(Transactions!$I$3:$I149,Transactions!$H$3:$H149,"Buy",Transactions!$F$3:$F149,"ETF",Transactions!$D$3:$D149,AH96)
+SUMIFS(Transactions!$I$3:$I149,Transactions!$H$3:$H149,"DRIP",Transactions!$F$3:$F149,"ETF",Transactions!$D$3:$D149,AH96)
+SUMIFS(Transactions!$I$3:$I149,Transactions!$H$3:$H149,"Transfer Deposit",Transactions!$F$3:$F149,"ETF",Transactions!$D$3:$D149,AH96)
+SUMIFS(Transactions!$I$3:$I149,Transactions!$H$3:$H149,"Buy",Transactions!$F$3:$F149,"Commodity",Transactions!$D$3:$D149,AH96)
+SUMIFS(Transactions!$I$3:$I149,Transactions!$H$3:$H149,"DRIP",Transactions!$F$3:$F149,"Commodity",Transactions!$D$3:$D149,AH96)
+SUMIFS(Transactions!$I$3:$I149,Transactions!$H$3:$H149,"Transfer Deposit",Transactions!$F$3:$F149,"Commodity",Transactions!$D$3:$D149,AH96)
+SUMIFS(Transactions!$I$3:$I149,Transactions!$H$3:$H149,"Buy",Transactions!$F$3:$F149,"Managed Fund",Transactions!$D$3:$D149,AH96)
+SUMIFS(Transactions!$I$3:$I149,Transactions!$H$3:$H149,"DRIP",Transactions!$F$3:$F149,"Managed Fund",Transactions!$D$3:$D149,AH96)
+SUMIFS(Transactions!$I$3:$I149,Transactions!$H$3:$H149,"Transfer Deposit",Transactions!$F$3:$F149,"Managed Fund",Transactions!$D$3:$D149,AH96)
+SUMIFS(Transactions!$I$3:$I149,Transactions!$H$3:$H149,"Buy",Transactions!$F$3:$F149,"REIT",Transactions!$D$3:$D149,AH96)
+SUMIFS(Transactions!$I$3:$I149,Transactions!$H$3:$H149,"DRIP",Transactions!$F$3:$F149,"REIT",Transactions!$D$3:$D149,AH96)
+SUMIFS(Transactions!$I$3:$I149,Transactions!$H$3:$H149,"Transfer Deposit",Transactions!$F$3:$F149,"REIT",Transactions!$D$3:$D149,AH96)
-SUMIFS(Transactions!$I$3:$I149,Transactions!$H$3:$H149,"Sell",Transactions!$F$3:$F149,"Stock",Transactions!$D$3:$D149,AH96)
-SUMIFS(Transactions!$I$3:$I149,Transactions!$H$3:$H149,"Transfer Send",Transactions!$F$3:$F149,"Stock",Transactions!$D$3:$D149,AH96)
-SUMIFS(Transactions!$I$3:$I149,Transactions!$H$3:$H149,"Sell",Transactions!$F$3:$F149,"ETF",Transactions!$D$3:$D149,AH96)
-SUMIFS(Transactions!$I$3:$I149,Transactions!$H$3:$H149,"Transfer Send",Transactions!$F$3:$F149,"ETF",Transactions!$D$3:$D149,AH96)
-SUMIFS(Transactions!$I$3:$I149,Transactions!$H$3:$H149,"Sell",Transactions!$F$3:$F149,"Commodity",Transactions!$D$3:$D149,AH96)
-SUMIFS(Transactions!$I$3:$I149,Transactions!$H$3:$H149,"Transfer Send",Transactions!$F$3:$F149,"Commodity",Transactions!$D$3:$D149,AH96)
-SUMIFS(Transactions!$I$3:$I149,Transactions!$H$3:$H149,"Sell",Transactions!$F$3:$F149,"Managed Fund",Transactions!$D$3:$D149,AH96)
-SUMIFS(Transactions!$I$3:$I149,Transactions!$H$3:$H149,"Transfer Send",Transactions!$F$3:$F149,"Managed Fund",Transactions!$D$3:$D149,AH96)
-SUMIFS(Transactions!$I$3:$I149,Transactions!$H$3:$H149,"Sell",Transactions!$F$3:$F149,"REIT",Transactions!$D$3:$D149,AH96)
-SUMIFS(Transactions!$I$3:$I149,Transactions!$H$3:$H149,"Transfer Send",Transactions!$F$3:$F149,"REIT",Transactions!$D$3:$D149,AH96)
+SUMIFS(Transactions!$I$3:$I149,Transactions!$H$3:$H149,"Buy",Transactions!$F$3:$F149,"Crypto",Transactions!$D$3:$D149,AH96)
+SUMIFS(Transactions!$I$3:$I149,Transactions!$H$3:$H149,"Crypto Interest",Transactions!$F$3:$F149,"Crypto",Transactions!$D$3:$D149,AH96)
+SUMIFS(Transactions!$I$3:$I149,Transactions!$H$3:$H149,"Transfer Deposit",Transactions!$F$3:$F149,"Crypto",Transactions!$D$3:$D149,AH96)
-SUMIFS(Transactions!$I$3:$I149,Transactions!$H$3:$H149,"Transfer Send",Transactions!$F$3:$F149,"Crypto",Transactions!$D$3:$D149,AH96)
-SUMIFS(Transactions!$I$3:$I149,Transactions!$H$3:$H149,"Sell",Transactions!$F$3:$F149,"Crypto",Transactions!$D$3:$D149,AH96)
+SUMIFS(Transactions!$I$3:$I149,Transactions!$H$3:$H149,"Buy",Transactions!$F$3:$F149,"Stablecoin",Transactions!$D$3:$D149,AH96)
+SUMIFS(Transactions!$I$3:$I149,Transactions!$H$3:$H149,"Crypto Interest",Transactions!$F$3:$F149,"Stablecoin",Transactions!$D$3:$D149,AH96)
+SUMIFS(Transactions!$I$3:$I149,Transactions!$H$3:$H149,"Transfer Deposit",Transactions!$F$3:$F149,"Stablecoin",Transactions!$D$3:$D149,AH96)
-SUMIFS(Transactions!$I$3:$I149,Transactions!$H$3:$H149,"Transfer Send",Transactions!$F$3:$F149,"Stablecoin",Transactions!$D$3:$D149,AH96)
-SUMIFS(Transactions!$I$3:$I149,Transactions!$H$3:$H149,"Sell",Transactions!$F$3:$F149,"Stablecoin",Transactions!$D$3:$D149,AH96)
-SUMIFS(Transactions!$M$3:$M149,Transactions!$H$3:$H149,"Buy",Transactions!$B$3:$B149,AH96)=0,"Sold All",
SUMIFS(Transactions!$I$3:$I149,Transactions!$H$3:$H149,"Buy",Transactions!$F$3:$F149,"Stock",Transactions!$D$3:$D149,AH96)
+SUMIFS(Transactions!$I$3:$I149,Transactions!$H$3:$H149,"DRIP",Transactions!$F$3:$F149,"Stock",Transactions!$D$3:$D149,AH96)
+SUMIFS(Transactions!$I$3:$I149,Transactions!$H$3:$H149,"Transfer Deposit",Transactions!$F$3:$F149,"Stock",Transactions!$D$3:$D149,AH96)
+SUMIFS(Transactions!$I$3:$I149,Transactions!$H$3:$H149,"Buy",Transactions!$F$3:$F149,"ETF",Transactions!$D$3:$D149,AH96)
+SUMIFS(Transactions!$I$3:$I149,Transactions!$H$3:$H149,"DRIP",Transactions!$F$3:$F149,"ETF",Transactions!$D$3:$D149,AH96)
+SUMIFS(Transactions!$I$3:$I149,Transactions!$H$3:$H149,"Transfer Deposit",Transactions!$F$3:$F149,"ETF",Transactions!$D$3:$D149,AH96)
+SUMIFS(Transactions!$I$3:$I149,Transactions!$H$3:$H149,"Buy",Transactions!$F$3:$F149,"Commodity",Transactions!$D$3:$D149,AH96)
+SUMIFS(Transactions!$I$3:$I149,Transactions!$H$3:$H149,"DRIP",Transactions!$F$3:$F149,"Commodity",Transactions!$D$3:$D149,AH96)
+SUMIFS(Transactions!$I$3:$I149,Transactions!$H$3:$H149,"Transfer Deposit",Transactions!$F$3:$F149,"Commodity",Transactions!$D$3:$D149,AH96)
+SUMIFS(Transactions!$I$3:$I149,Transactions!$H$3:$H149,"Buy",Transactions!$F$3:$F149,"Managed Fund",Transactions!$D$3:$D149,AH96)
+SUMIFS(Transactions!$I$3:$I149,Transactions!$H$3:$H149,"DRIP",Transactions!$F$3:$F149,"Managed Fund",Transactions!$D$3:$D149,AH96)
+SUMIFS(Transactions!$I$3:$I149,Transactions!$H$3:$H149,"Transfer Deposit",Transactions!$F$3:$F149,"Managed Fund",Transactions!$D$3:$D149,AH96)
+SUMIFS(Transactions!$I$3:$I149,Transactions!$H$3:$H149,"Buy",Transactions!$F$3:$F149,"REIT",Transactions!$D$3:$D149,AH96)
+SUMIFS(Transactions!$I$3:$I149,Transactions!$H$3:$H149,"DRIP",Transactions!$F$3:$F149,"REIT",Transactions!$D$3:$D149,AH96)
+SUMIFS(Transactions!$I$3:$I149,Transactions!$H$3:$H149,"Transfer Deposit",Transactions!$F$3:$F149,"REIT",Transactions!$D$3:$D149,AH96)
-SUMIFS(Transactions!$I$3:$I149,Transactions!$H$3:$H149,"Sell",Transactions!$F$3:$F149,"Stock",Transactions!$D$3:$D149,AH96)
-SUMIFS(Transactions!$I$3:$I149,Transactions!$H$3:$H149,"Transfer Send",Transactions!$F$3:$F149,"Stock",Transactions!$D$3:$D149,AH96)
-SUMIFS(Transactions!$I$3:$I149,Transactions!$H$3:$H149,"Sell",Transactions!$F$3:$F149,"ETF",Transactions!$D$3:$D149,AH96)
-SUMIFS(Transactions!$I$3:$I149,Transactions!$H$3:$H149,"Transfer Send",Transactions!$F$3:$F149,"ETF",Transactions!$D$3:$D149,AH96)
-SUMIFS(Transactions!$I$3:$I149,Transactions!$H$3:$H149,"Sell",Transactions!$F$3:$F149,"Commodity",Transactions!$D$3:$D149,AH96)
-SUMIFS(Transactions!$I$3:$I149,Transactions!$H$3:$H149,"Transfer Send",Transactions!$F$3:$F149,"Commodity",Transactions!$D$3:$D149,AH96)
-SUMIFS(Transactions!$I$3:$I149,Transactions!$H$3:$H149,"Sell",Transactions!$F$3:$F149,"Managed Fund",Transactions!$D$3:$D149,AH96)
-SUMIFS(Transactions!$I$3:$I149,Transactions!$H$3:$H149,"Transfer Send",Transactions!$F$3:$F149,"Managed Fund",Transactions!$D$3:$D149,AH96)
-SUMIFS(Transactions!$I$3:$I149,Transactions!$H$3:$H149,"Sell",Transactions!$F$3:$F149,"REIT",Transactions!$D$3:$D149,AH96)
-SUMIFS(Transactions!$I$3:$I149,Transactions!$H$3:$H149,"Transfer Send",Transactions!$F$3:$F149,"REIT",Transactions!$D$3:$D149,AH96)
+SUMIFS(Transactions!$I$3:$I149,Transactions!$H$3:$H149,"Buy",Transactions!$F$3:$F149,"Crypto",Transactions!$D$3:$D149,AH96)
+SUMIFS(Transactions!$I$3:$I149,Transactions!$H$3:$H149,"Crypto Interest",Transactions!$F$3:$F149,"Crypto",Transactions!$D$3:$D149,AH96)
+SUMIFS(Transactions!$I$3:$I149,Transactions!$H$3:$H149,"Transfer Deposit",Transactions!$F$3:$F149,"Crypto",Transactions!$D$3:$D149,AH96)
-SUMIFS(Transactions!$I$3:$I149,Transactions!$H$3:$H149,"Transfer Send",Transactions!$F$3:$F149,"Crypto",Transactions!$D$3:$D149,AH96)
-SUMIFS(Transactions!$I$3:$I149,Transactions!$H$3:$H149,"Sell",Transactions!$F$3:$F149,"Crypto",Transactions!$D$3:$D149,AH96)
+SUMIFS(Transactions!$I$3:$I149,Transactions!$H$3:$H149,"Buy",Transactions!$F$3:$F149,"Stablecoin",Transactions!$D$3:$D149,AH96)
+SUMIFS(Transactions!$I$3:$I149,Transactions!$H$3:$H149,"Crypto Interest",Transactions!$F$3:$F149,"Stablecoin",Transactions!$D$3:$D149,AH96)
+SUMIFS(Transactions!$I$3:$I149,Transactions!$H$3:$H149,"Transfer Deposit",Transactions!$F$3:$F149,"Stablecoin",Transactions!$D$3:$D149,AH96)
-SUMIFS(Transactions!$I$3:$I149,Transactions!$H$3:$H149,"Transfer Send",Transactions!$F$3:$F149,"Stablecoin",Transactions!$D$3:$D149,AH96)
-SUMIFS(Transactions!$I$3:$I149,Transactions!$H$3:$H149,"Sell",Transactions!$F$3:$F149,"Stablecoin",Transactions!$D$3:$D149,AH96)
-SUMIFS(Transactions!$M$3:$M149,Transactions!$H$3:$H149,"Buy",Transactions!$B$3:$B149,AH96)))</f>
        <v/>
      </c>
      <c r="AJ96" s="181" t="str">
        <f>IFERROR(__xludf.DUMMYFUNCTION("IF(ISBLANK(AH96),"""",VLOOKUP(9^99,FILTER({ROW(Transactions!P:P),Transactions!P:P},Transactions!D:D=AH96),2))"),"")</f>
        <v/>
      </c>
      <c r="AK96" s="181" t="str">
        <f>IFERROR(__xludf.DUMMYFUNCTION("IF(ISBLANK(AH96),"""",IFERROR(GOOGLEFINANCE(AH96,""price""),IFERROR(GOOGLEFINANCE(""CURRENCY:""&amp;AH96&amp;""""),IFERROR(INDEX(YAHOO_STOCK(TRIM(AH96), $G$2),0,1),INDEX(IMPORTHTML(CONCAT(""https://coinmarketcap.com/currencies/"",AG96),""table"",1),1,2)))))"),"")</f>
        <v/>
      </c>
      <c r="AL96" s="14" t="str">
        <f>IFERROR(__xludf.DUMMYFUNCTION("IF(ISBLANK(AH96),"""",IFERROR(SPARKLINE(INDEX(GOOGLEFINANCE(AH96,""price"",TODAY()-$AL$2,TODAY()),,2),{""charttype"",""column"";""color"",""17a7e0""}),""""))"),"")</f>
        <v/>
      </c>
      <c r="AM96" s="50" t="str">
        <f>IFERROR(__xludf.DUMMYFUNCTION("IFNA(IFERROR(IF(AH96="""","""",GOOGLEFINANCE(AH96,""changepct"")/100),(GOOGLEFINANCE(AH96)-(INDEX(GOOGLEFINANCE(""CURRENCY:""&amp;AH96&amp;"""",""price"",TODAY()-1),2,2)))/(INDEX(GOOGLEFINANCE(""CURRENCY:""&amp;AH96&amp;"""",""price"",TODAY()-1),2,2))),)"),"")</f>
        <v/>
      </c>
      <c r="AN96" s="96" t="str">
        <f>IFERROR(__xludf.DUMMYFUNCTION("IFNA(IFERROR(IF(AH96="""","""",GOOGLEFINANCE(AH96,""change"")*AI96),(GOOGLEFINANCE(AH96)-(INDEX(GOOGLEFINANCE(""CURRENCY:""&amp;AH96&amp;"""",""price"",TODAY()-1),2,2)))*AI96),"""")"),"")</f>
        <v/>
      </c>
      <c r="AO96" s="96" t="str">
        <f>IF(ISBLANK(AH96),"",IFERROR(((AI96-SUMIFS(Transactions!I:I,Transactions!H:H,"Crypto Interest",Transactions!D:D,AH96))*AJ96),""))</f>
        <v/>
      </c>
      <c r="AP96" s="96" t="str">
        <f t="shared" si="16"/>
        <v/>
      </c>
      <c r="AQ96" s="50" t="str">
        <f t="shared" si="17"/>
        <v/>
      </c>
      <c r="AR96" s="96" t="str">
        <f t="shared" si="18"/>
        <v/>
      </c>
      <c r="AS96" s="96" t="str">
        <f>IF(ISBLANK(AH96),"",SUMIFS(Transactions!$X$3:$X149,Transactions!$H$3:$H149,"Sell",Transactions!$D$3:$D149,AH96))</f>
        <v/>
      </c>
      <c r="AT96" s="96" t="str">
        <f t="shared" si="19"/>
        <v/>
      </c>
      <c r="AU96" s="50" t="str">
        <f>IFERROR(__xludf.DUMMYFUNCTION("IF(ISBLANK(AH96),"""",IFERROR((GOOGLEFINANCE(AH96,""price"")/INDEX(GOOGLEFINANCE(AH96,""price"",DATEVALUE(TODAY()-$AU$2) ),2,2)-1),""""))"),"")</f>
        <v/>
      </c>
      <c r="AW96" s="50" t="str">
        <f>IFERROR(__xludf.DUMMYFUNCTION("IF(ISBLANK(AH96),"""",IFERROR((GOOGLEFINANCE($AW$2,""price"")/INDEX(GOOGLEFINANCE($AW$2,""price"",DATEVALUE(TODAY()-$AU$2) ),2,2)-1),""""))"),"")</f>
        <v/>
      </c>
      <c r="AY96" s="50" t="str">
        <f t="shared" si="20"/>
        <v/>
      </c>
      <c r="AZ96" s="50" t="str">
        <f t="shared" si="21"/>
        <v/>
      </c>
      <c r="BA96" s="50">
        <f t="shared" si="22"/>
        <v>0</v>
      </c>
      <c r="BB96" s="14" t="str">
        <f t="shared" si="23"/>
        <v/>
      </c>
      <c r="BC96" s="14" t="str">
        <f>IF(ISBLANK(AH96),"",IFERROR(VLOOKUP(AH96,Transactions!D:F,3,0)))</f>
        <v/>
      </c>
      <c r="BD96" s="50" t="str">
        <f t="shared" si="24"/>
        <v/>
      </c>
      <c r="BE96" s="50" t="str">
        <f t="shared" si="25"/>
        <v/>
      </c>
      <c r="BF96" s="14" t="str">
        <f t="shared" si="26"/>
        <v/>
      </c>
      <c r="BG96" s="180" t="str">
        <f>IF(ISBLANK(AH96),"",IFERROR(VLOOKUP(AH96,Transactions!D:G,4,0)))</f>
        <v/>
      </c>
    </row>
    <row r="97">
      <c r="A97" s="14" t="str">
        <f t="shared" ref="A97:C97" si="120">AG97</f>
        <v/>
      </c>
      <c r="B97" s="14" t="str">
        <f t="shared" si="120"/>
        <v/>
      </c>
      <c r="C97" s="175" t="str">
        <f t="shared" si="120"/>
        <v/>
      </c>
      <c r="D97" s="176" t="str">
        <f>IFERROR(__xludf.DUMMYFUNCTION("IF(ISBLANK(B97),"""",IFERROR(IF(OR(AF97=""GPB"",AF97=""ZAR""),IF(AF97=Dashboard!$L$1,AJ97,(AJ97*GOOGLEFINANCE(""CURRENCY:""&amp;AF97&amp;""""&amp;Dashboard!$L$1&amp;""""))/100),IF(AF97=Dashboard!$L$1,AJ97,AJ97*GOOGLEFINANCE(""CURRENCY:""&amp;AF97&amp;""""&amp;Dashboard!$L$1&amp;""""))),"&amp;"AJ97))"),"")</f>
        <v/>
      </c>
      <c r="E97" s="177" t="str">
        <f>IFERROR(__xludf.DUMMYFUNCTION("IFERROR(IF(OR(AF97=""GBP"",AF97=""ZAR""),IF(B97="""","""",IF(AF97=Dashboard!$L$1,AK97,AK97*GOOGLEFINANCE(""CURRENCY:""&amp;AF97&amp;""""&amp;Dashboard!$L$1&amp;"""")))/100,If(B97="""","""",IF(AF97=Dashboard!$L$1,AK97,AK97*GOOGLEFINANCE(""CURRENCY:""&amp;AF97&amp;""""&amp;Dashboard!$"&amp;"L$1&amp;"""")))),AK97)"),"")</f>
        <v/>
      </c>
      <c r="F97" s="145" t="str">
        <f t="shared" si="65"/>
        <v/>
      </c>
      <c r="G97" s="96" t="str">
        <f>IFERROR(__xludf.DUMMYFUNCTION("IF(ISBLANK(B97),"""",IFERROR(SPARKLINE(INDEX(GOOGLEFINANCE(B97,""price"",TODAY()-$G$2,TODAY()),,2),{""charttype"",""column"";""color"",""17a7e0""}),""""))"),"")</f>
        <v/>
      </c>
      <c r="H97" s="50" t="str">
        <f t="shared" si="3"/>
        <v/>
      </c>
      <c r="I97" s="96" t="str">
        <f>IFERROR(__xludf.DUMMYFUNCTION("IF(ISBLANK(B97),"""",IFERROR(IF(OR(AF97=""GPB"",AF97=""ZAR""),IF(AF97=Dashboard!$L$1,AN97,(AN97*GOOGLEFINANCE(""CURRENCY:""&amp;AF97&amp;""""&amp;Dashboard!$L$1&amp;""""))/100),IF(AF97=Dashboard!$L$1,AN97,AN97*GOOGLEFINANCE(""CURRENCY:""&amp;AF97&amp;""""&amp;Dashboard!$L$1&amp;""""))),"&amp;"AN97))"),"")</f>
        <v/>
      </c>
      <c r="J97" s="178" t="str">
        <f>IF(ISBLANK(B97),"",IFERROR(((C97-SUMIFS(Transactions!I:I,Transactions!H:H,"Crypto Interest",Transactions!D:D,B97))*D97),""))</f>
        <v/>
      </c>
      <c r="K97" s="178" t="str">
        <f t="shared" si="4"/>
        <v/>
      </c>
      <c r="L97" s="145">
        <f>IF(ISBLANK(AF97),"",SUMIFS(Transactions!$M$3:$M149,Transactions!$H$3:$H149,"Buy",Transactions!$D$3:$D149,AF97))</f>
        <v>0</v>
      </c>
      <c r="M97" s="145">
        <f>IF(ISBLANK(AG97),"",SUMIFS(Transactions!$M$3:$M149,Transactions!$H$3:$H149,"Dividend",Transactions!$D$3:$D149,AG97))</f>
        <v>0</v>
      </c>
      <c r="N97" s="145" t="str">
        <f>IF(ISBLANK(AH97),"",SUMIFS(Transactions!$M$3:$M149,Transactions!$H$3:$H149,"Sell",Transactions!$D$3:$D149,AH97))</f>
        <v/>
      </c>
      <c r="O97" s="50" t="str">
        <f t="shared" si="5"/>
        <v/>
      </c>
      <c r="P97" s="178" t="str">
        <f t="shared" si="6"/>
        <v/>
      </c>
      <c r="Q97" s="178" t="str">
        <f>IFERROR(__xludf.DUMMYFUNCTION("IF(ISBLANK(B97),"""",IFERROR(IF(OR(AF97=""GPB"",AF97=""ZAR""),IF(AF97=Dashboard!$L$1,AS97,(AS97*GOOGLEFINANCE(""CURRENCY:""&amp;AF97&amp;""""&amp;Dashboard!$L$1&amp;""""))/100),IF(AF97=Dashboard!$L$1,AS97,AS97*GOOGLEFINANCE(""CURRENCY:""&amp;AF97&amp;""""&amp;Dashboard!$L$1&amp;""""))),"&amp;"AS97))"),"")</f>
        <v/>
      </c>
      <c r="R97" s="178" t="str">
        <f t="shared" si="7"/>
        <v/>
      </c>
      <c r="S97" s="50" t="str">
        <f>IFERROR(__xludf.DUMMYFUNCTION("IF(ISBLANK(B97),"""",IFERROR((GOOGLEFINANCE(B97,""price"")/INDEX(GOOGLEFINANCE(B97,""price"",DATEVALUE(TODAY()-$S$2) ),2,2)-1),""""))"),"")</f>
        <v/>
      </c>
      <c r="U97" s="50" t="str">
        <f>IFERROR(__xludf.DUMMYFUNCTION("IF(ISBLANK(B97),"""",IFERROR((GOOGLEFINANCE($U$2,""price"")/INDEX(GOOGLEFINANCE($U$2,""price"",DATEVALUE(TODAY()-$S$2) ),2,2)-1),""""))"),"")</f>
        <v/>
      </c>
      <c r="W97" s="50" t="str">
        <f t="shared" si="8"/>
        <v/>
      </c>
      <c r="X97" s="50" t="str">
        <f t="shared" si="9"/>
        <v/>
      </c>
      <c r="Y97" s="179">
        <v>0.0</v>
      </c>
      <c r="Z97" s="50" t="str">
        <f t="shared" si="10"/>
        <v/>
      </c>
      <c r="AA97" s="14" t="str">
        <f t="shared" si="11"/>
        <v/>
      </c>
      <c r="AB97" s="50" t="str">
        <f t="shared" si="12"/>
        <v/>
      </c>
      <c r="AC97" s="179" t="str">
        <f t="shared" si="13"/>
        <v/>
      </c>
      <c r="AD97" s="50" t="str">
        <f t="shared" si="14"/>
        <v/>
      </c>
      <c r="AE97" s="180" t="str">
        <f t="shared" si="15"/>
        <v/>
      </c>
      <c r="AF97" s="14" t="str">
        <f t="array" ref="AF97">IFERROR(IF(ISBLANK(AH97),"",IF(VLOOKUP(AH97,Transactions!D:F,3,0)="Stablecoin",AH97,INDEX(Transactions!$B$3:$B149,MATCH(AH97,Transactions!$D$3:$D149,0),0))))</f>
        <v/>
      </c>
      <c r="AG97" s="14" t="str">
        <f>IF(ISBLANK(AH97),"",VLOOKUP(AH97,Transactions!D:E,2,0))</f>
        <v/>
      </c>
      <c r="AH97" s="14"/>
      <c r="AI97" s="146" t="str">
        <f>IF(ISBLANK(AH97),"",IF(
SUMIFS(Transactions!$I$3:$I149,Transactions!$H$3:$H149,"Buy",Transactions!$F$3:$F149,"Stock",Transactions!$D$3:$D149,AH97)
+SUMIFS(Transactions!$I$3:$I149,Transactions!$H$3:$H149,"DRIP",Transactions!$F$3:$F149,"Stock",Transactions!$D$3:$D149,AH97)
+SUMIFS(Transactions!$I$3:$I149,Transactions!$H$3:$H149,"Transfer Deposit",Transactions!$F$3:$F149,"Stock",Transactions!$D$3:$D149,AH97)
+SUMIFS(Transactions!$I$3:$I149,Transactions!$H$3:$H149,"Buy",Transactions!$F$3:$F149,"ETF",Transactions!$D$3:$D149,AH97)
+SUMIFS(Transactions!$I$3:$I149,Transactions!$H$3:$H149,"DRIP",Transactions!$F$3:$F149,"ETF",Transactions!$D$3:$D149,AH97)
+SUMIFS(Transactions!$I$3:$I149,Transactions!$H$3:$H149,"Transfer Deposit",Transactions!$F$3:$F149,"ETF",Transactions!$D$3:$D149,AH97)
+SUMIFS(Transactions!$I$3:$I149,Transactions!$H$3:$H149,"Buy",Transactions!$F$3:$F149,"Commodity",Transactions!$D$3:$D149,AH97)
+SUMIFS(Transactions!$I$3:$I149,Transactions!$H$3:$H149,"DRIP",Transactions!$F$3:$F149,"Commodity",Transactions!$D$3:$D149,AH97)
+SUMIFS(Transactions!$I$3:$I149,Transactions!$H$3:$H149,"Transfer Deposit",Transactions!$F$3:$F149,"Commodity",Transactions!$D$3:$D149,AH97)
+SUMIFS(Transactions!$I$3:$I149,Transactions!$H$3:$H149,"Buy",Transactions!$F$3:$F149,"Managed Fund",Transactions!$D$3:$D149,AH97)
+SUMIFS(Transactions!$I$3:$I149,Transactions!$H$3:$H149,"DRIP",Transactions!$F$3:$F149,"Managed Fund",Transactions!$D$3:$D149,AH97)
+SUMIFS(Transactions!$I$3:$I149,Transactions!$H$3:$H149,"Transfer Deposit",Transactions!$F$3:$F149,"Managed Fund",Transactions!$D$3:$D149,AH97)
+SUMIFS(Transactions!$I$3:$I149,Transactions!$H$3:$H149,"Buy",Transactions!$F$3:$F149,"REIT",Transactions!$D$3:$D149,AH97)
+SUMIFS(Transactions!$I$3:$I149,Transactions!$H$3:$H149,"DRIP",Transactions!$F$3:$F149,"REIT",Transactions!$D$3:$D149,AH97)
+SUMIFS(Transactions!$I$3:$I149,Transactions!$H$3:$H149,"Transfer Deposit",Transactions!$F$3:$F149,"REIT",Transactions!$D$3:$D149,AH97)
-SUMIFS(Transactions!$I$3:$I149,Transactions!$H$3:$H149,"Sell",Transactions!$F$3:$F149,"Stock",Transactions!$D$3:$D149,AH97)
-SUMIFS(Transactions!$I$3:$I149,Transactions!$H$3:$H149,"Transfer Send",Transactions!$F$3:$F149,"Stock",Transactions!$D$3:$D149,AH97)
-SUMIFS(Transactions!$I$3:$I149,Transactions!$H$3:$H149,"Sell",Transactions!$F$3:$F149,"ETF",Transactions!$D$3:$D149,AH97)
-SUMIFS(Transactions!$I$3:$I149,Transactions!$H$3:$H149,"Transfer Send",Transactions!$F$3:$F149,"ETF",Transactions!$D$3:$D149,AH97)
-SUMIFS(Transactions!$I$3:$I149,Transactions!$H$3:$H149,"Sell",Transactions!$F$3:$F149,"Commodity",Transactions!$D$3:$D149,AH97)
-SUMIFS(Transactions!$I$3:$I149,Transactions!$H$3:$H149,"Transfer Send",Transactions!$F$3:$F149,"Commodity",Transactions!$D$3:$D149,AH97)
-SUMIFS(Transactions!$I$3:$I149,Transactions!$H$3:$H149,"Sell",Transactions!$F$3:$F149,"Managed Fund",Transactions!$D$3:$D149,AH97)
-SUMIFS(Transactions!$I$3:$I149,Transactions!$H$3:$H149,"Transfer Send",Transactions!$F$3:$F149,"Managed Fund",Transactions!$D$3:$D149,AH97)
-SUMIFS(Transactions!$I$3:$I149,Transactions!$H$3:$H149,"Sell",Transactions!$F$3:$F149,"REIT",Transactions!$D$3:$D149,AH97)
-SUMIFS(Transactions!$I$3:$I149,Transactions!$H$3:$H149,"Transfer Send",Transactions!$F$3:$F149,"REIT",Transactions!$D$3:$D149,AH97)
+SUMIFS(Transactions!$I$3:$I149,Transactions!$H$3:$H149,"Buy",Transactions!$F$3:$F149,"Crypto",Transactions!$D$3:$D149,AH97)
+SUMIFS(Transactions!$I$3:$I149,Transactions!$H$3:$H149,"Crypto Interest",Transactions!$F$3:$F149,"Crypto",Transactions!$D$3:$D149,AH97)
+SUMIFS(Transactions!$I$3:$I149,Transactions!$H$3:$H149,"Transfer Deposit",Transactions!$F$3:$F149,"Crypto",Transactions!$D$3:$D149,AH97)
-SUMIFS(Transactions!$I$3:$I149,Transactions!$H$3:$H149,"Transfer Send",Transactions!$F$3:$F149,"Crypto",Transactions!$D$3:$D149,AH97)
-SUMIFS(Transactions!$I$3:$I149,Transactions!$H$3:$H149,"Sell",Transactions!$F$3:$F149,"Crypto",Transactions!$D$3:$D149,AH97)
+SUMIFS(Transactions!$I$3:$I149,Transactions!$H$3:$H149,"Buy",Transactions!$F$3:$F149,"Stablecoin",Transactions!$D$3:$D149,AH97)
+SUMIFS(Transactions!$I$3:$I149,Transactions!$H$3:$H149,"Crypto Interest",Transactions!$F$3:$F149,"Stablecoin",Transactions!$D$3:$D149,AH97)
+SUMIFS(Transactions!$I$3:$I149,Transactions!$H$3:$H149,"Transfer Deposit",Transactions!$F$3:$F149,"Stablecoin",Transactions!$D$3:$D149,AH97)
-SUMIFS(Transactions!$I$3:$I149,Transactions!$H$3:$H149,"Transfer Send",Transactions!$F$3:$F149,"Stablecoin",Transactions!$D$3:$D149,AH97)
-SUMIFS(Transactions!$I$3:$I149,Transactions!$H$3:$H149,"Sell",Transactions!$F$3:$F149,"Stablecoin",Transactions!$D$3:$D149,AH97)
-SUMIFS(Transactions!$M$3:$M149,Transactions!$H$3:$H149,"Buy",Transactions!$B$3:$B149,AH97)=0,"Sold All",
SUMIFS(Transactions!$I$3:$I149,Transactions!$H$3:$H149,"Buy",Transactions!$F$3:$F149,"Stock",Transactions!$D$3:$D149,AH97)
+SUMIFS(Transactions!$I$3:$I149,Transactions!$H$3:$H149,"DRIP",Transactions!$F$3:$F149,"Stock",Transactions!$D$3:$D149,AH97)
+SUMIFS(Transactions!$I$3:$I149,Transactions!$H$3:$H149,"Transfer Deposit",Transactions!$F$3:$F149,"Stock",Transactions!$D$3:$D149,AH97)
+SUMIFS(Transactions!$I$3:$I149,Transactions!$H$3:$H149,"Buy",Transactions!$F$3:$F149,"ETF",Transactions!$D$3:$D149,AH97)
+SUMIFS(Transactions!$I$3:$I149,Transactions!$H$3:$H149,"DRIP",Transactions!$F$3:$F149,"ETF",Transactions!$D$3:$D149,AH97)
+SUMIFS(Transactions!$I$3:$I149,Transactions!$H$3:$H149,"Transfer Deposit",Transactions!$F$3:$F149,"ETF",Transactions!$D$3:$D149,AH97)
+SUMIFS(Transactions!$I$3:$I149,Transactions!$H$3:$H149,"Buy",Transactions!$F$3:$F149,"Commodity",Transactions!$D$3:$D149,AH97)
+SUMIFS(Transactions!$I$3:$I149,Transactions!$H$3:$H149,"DRIP",Transactions!$F$3:$F149,"Commodity",Transactions!$D$3:$D149,AH97)
+SUMIFS(Transactions!$I$3:$I149,Transactions!$H$3:$H149,"Transfer Deposit",Transactions!$F$3:$F149,"Commodity",Transactions!$D$3:$D149,AH97)
+SUMIFS(Transactions!$I$3:$I149,Transactions!$H$3:$H149,"Buy",Transactions!$F$3:$F149,"Managed Fund",Transactions!$D$3:$D149,AH97)
+SUMIFS(Transactions!$I$3:$I149,Transactions!$H$3:$H149,"DRIP",Transactions!$F$3:$F149,"Managed Fund",Transactions!$D$3:$D149,AH97)
+SUMIFS(Transactions!$I$3:$I149,Transactions!$H$3:$H149,"Transfer Deposit",Transactions!$F$3:$F149,"Managed Fund",Transactions!$D$3:$D149,AH97)
+SUMIFS(Transactions!$I$3:$I149,Transactions!$H$3:$H149,"Buy",Transactions!$F$3:$F149,"REIT",Transactions!$D$3:$D149,AH97)
+SUMIFS(Transactions!$I$3:$I149,Transactions!$H$3:$H149,"DRIP",Transactions!$F$3:$F149,"REIT",Transactions!$D$3:$D149,AH97)
+SUMIFS(Transactions!$I$3:$I149,Transactions!$H$3:$H149,"Transfer Deposit",Transactions!$F$3:$F149,"REIT",Transactions!$D$3:$D149,AH97)
-SUMIFS(Transactions!$I$3:$I149,Transactions!$H$3:$H149,"Sell",Transactions!$F$3:$F149,"Stock",Transactions!$D$3:$D149,AH97)
-SUMIFS(Transactions!$I$3:$I149,Transactions!$H$3:$H149,"Transfer Send",Transactions!$F$3:$F149,"Stock",Transactions!$D$3:$D149,AH97)
-SUMIFS(Transactions!$I$3:$I149,Transactions!$H$3:$H149,"Sell",Transactions!$F$3:$F149,"ETF",Transactions!$D$3:$D149,AH97)
-SUMIFS(Transactions!$I$3:$I149,Transactions!$H$3:$H149,"Transfer Send",Transactions!$F$3:$F149,"ETF",Transactions!$D$3:$D149,AH97)
-SUMIFS(Transactions!$I$3:$I149,Transactions!$H$3:$H149,"Sell",Transactions!$F$3:$F149,"Commodity",Transactions!$D$3:$D149,AH97)
-SUMIFS(Transactions!$I$3:$I149,Transactions!$H$3:$H149,"Transfer Send",Transactions!$F$3:$F149,"Commodity",Transactions!$D$3:$D149,AH97)
-SUMIFS(Transactions!$I$3:$I149,Transactions!$H$3:$H149,"Sell",Transactions!$F$3:$F149,"Managed Fund",Transactions!$D$3:$D149,AH97)
-SUMIFS(Transactions!$I$3:$I149,Transactions!$H$3:$H149,"Transfer Send",Transactions!$F$3:$F149,"Managed Fund",Transactions!$D$3:$D149,AH97)
-SUMIFS(Transactions!$I$3:$I149,Transactions!$H$3:$H149,"Sell",Transactions!$F$3:$F149,"REIT",Transactions!$D$3:$D149,AH97)
-SUMIFS(Transactions!$I$3:$I149,Transactions!$H$3:$H149,"Transfer Send",Transactions!$F$3:$F149,"REIT",Transactions!$D$3:$D149,AH97)
+SUMIFS(Transactions!$I$3:$I149,Transactions!$H$3:$H149,"Buy",Transactions!$F$3:$F149,"Crypto",Transactions!$D$3:$D149,AH97)
+SUMIFS(Transactions!$I$3:$I149,Transactions!$H$3:$H149,"Crypto Interest",Transactions!$F$3:$F149,"Crypto",Transactions!$D$3:$D149,AH97)
+SUMIFS(Transactions!$I$3:$I149,Transactions!$H$3:$H149,"Transfer Deposit",Transactions!$F$3:$F149,"Crypto",Transactions!$D$3:$D149,AH97)
-SUMIFS(Transactions!$I$3:$I149,Transactions!$H$3:$H149,"Transfer Send",Transactions!$F$3:$F149,"Crypto",Transactions!$D$3:$D149,AH97)
-SUMIFS(Transactions!$I$3:$I149,Transactions!$H$3:$H149,"Sell",Transactions!$F$3:$F149,"Crypto",Transactions!$D$3:$D149,AH97)
+SUMIFS(Transactions!$I$3:$I149,Transactions!$H$3:$H149,"Buy",Transactions!$F$3:$F149,"Stablecoin",Transactions!$D$3:$D149,AH97)
+SUMIFS(Transactions!$I$3:$I149,Transactions!$H$3:$H149,"Crypto Interest",Transactions!$F$3:$F149,"Stablecoin",Transactions!$D$3:$D149,AH97)
+SUMIFS(Transactions!$I$3:$I149,Transactions!$H$3:$H149,"Transfer Deposit",Transactions!$F$3:$F149,"Stablecoin",Transactions!$D$3:$D149,AH97)
-SUMIFS(Transactions!$I$3:$I149,Transactions!$H$3:$H149,"Transfer Send",Transactions!$F$3:$F149,"Stablecoin",Transactions!$D$3:$D149,AH97)
-SUMIFS(Transactions!$I$3:$I149,Transactions!$H$3:$H149,"Sell",Transactions!$F$3:$F149,"Stablecoin",Transactions!$D$3:$D149,AH97)
-SUMIFS(Transactions!$M$3:$M149,Transactions!$H$3:$H149,"Buy",Transactions!$B$3:$B149,AH97)))</f>
        <v/>
      </c>
      <c r="AJ97" s="181" t="str">
        <f>IFERROR(__xludf.DUMMYFUNCTION("IF(ISBLANK(AH97),"""",VLOOKUP(9^99,FILTER({ROW(Transactions!P:P),Transactions!P:P},Transactions!D:D=AH97),2))"),"")</f>
        <v/>
      </c>
      <c r="AK97" s="181" t="str">
        <f>IFERROR(__xludf.DUMMYFUNCTION("IF(ISBLANK(AH97),"""",IFERROR(GOOGLEFINANCE(AH97,""price""),IFERROR(GOOGLEFINANCE(""CURRENCY:""&amp;AH97&amp;""""),IFERROR(INDEX(YAHOO_STOCK(TRIM(AH97), $G$2),0,1),INDEX(IMPORTHTML(CONCAT(""https://coinmarketcap.com/currencies/"",AG97),""table"",1),1,2)))))"),"")</f>
        <v/>
      </c>
      <c r="AL97" s="14" t="str">
        <f>IFERROR(__xludf.DUMMYFUNCTION("IF(ISBLANK(AH97),"""",IFERROR(SPARKLINE(INDEX(GOOGLEFINANCE(AH97,""price"",TODAY()-$AL$2,TODAY()),,2),{""charttype"",""column"";""color"",""17a7e0""}),""""))"),"")</f>
        <v/>
      </c>
      <c r="AM97" s="50" t="str">
        <f>IFERROR(__xludf.DUMMYFUNCTION("IFNA(IFERROR(IF(AH97="""","""",GOOGLEFINANCE(AH97,""changepct"")/100),(GOOGLEFINANCE(AH97)-(INDEX(GOOGLEFINANCE(""CURRENCY:""&amp;AH97&amp;"""",""price"",TODAY()-1),2,2)))/(INDEX(GOOGLEFINANCE(""CURRENCY:""&amp;AH97&amp;"""",""price"",TODAY()-1),2,2))),)"),"")</f>
        <v/>
      </c>
      <c r="AN97" s="96" t="str">
        <f>IFERROR(__xludf.DUMMYFUNCTION("IFNA(IFERROR(IF(AH97="""","""",GOOGLEFINANCE(AH97,""change"")*AI97),(GOOGLEFINANCE(AH97)-(INDEX(GOOGLEFINANCE(""CURRENCY:""&amp;AH97&amp;"""",""price"",TODAY()-1),2,2)))*AI97),"""")"),"")</f>
        <v/>
      </c>
      <c r="AO97" s="96" t="str">
        <f>IF(ISBLANK(AH97),"",IFERROR(((AI97-SUMIFS(Transactions!I:I,Transactions!H:H,"Crypto Interest",Transactions!D:D,AH97))*AJ97),""))</f>
        <v/>
      </c>
      <c r="AP97" s="96" t="str">
        <f t="shared" si="16"/>
        <v/>
      </c>
      <c r="AQ97" s="50" t="str">
        <f t="shared" si="17"/>
        <v/>
      </c>
      <c r="AR97" s="96" t="str">
        <f t="shared" si="18"/>
        <v/>
      </c>
      <c r="AS97" s="96" t="str">
        <f>IF(ISBLANK(AH97),"",SUMIFS(Transactions!$X$3:$X149,Transactions!$H$3:$H149,"Sell",Transactions!$D$3:$D149,AH97))</f>
        <v/>
      </c>
      <c r="AT97" s="96" t="str">
        <f t="shared" si="19"/>
        <v/>
      </c>
      <c r="AU97" s="50" t="str">
        <f>IFERROR(__xludf.DUMMYFUNCTION("IF(ISBLANK(AH97),"""",IFERROR((GOOGLEFINANCE(AH97,""price"")/INDEX(GOOGLEFINANCE(AH97,""price"",DATEVALUE(TODAY()-$AU$2) ),2,2)-1),""""))"),"")</f>
        <v/>
      </c>
      <c r="AW97" s="50" t="str">
        <f>IFERROR(__xludf.DUMMYFUNCTION("IF(ISBLANK(AH97),"""",IFERROR((GOOGLEFINANCE($AW$2,""price"")/INDEX(GOOGLEFINANCE($AW$2,""price"",DATEVALUE(TODAY()-$AU$2) ),2,2)-1),""""))"),"")</f>
        <v/>
      </c>
      <c r="AY97" s="50" t="str">
        <f t="shared" si="20"/>
        <v/>
      </c>
      <c r="AZ97" s="50" t="str">
        <f t="shared" si="21"/>
        <v/>
      </c>
      <c r="BA97" s="50">
        <f t="shared" si="22"/>
        <v>0</v>
      </c>
      <c r="BB97" s="14" t="str">
        <f t="shared" si="23"/>
        <v/>
      </c>
      <c r="BC97" s="14" t="str">
        <f>IF(ISBLANK(AH97),"",IFERROR(VLOOKUP(AH97,Transactions!D:F,3,0)))</f>
        <v/>
      </c>
      <c r="BD97" s="50" t="str">
        <f t="shared" si="24"/>
        <v/>
      </c>
      <c r="BE97" s="50" t="str">
        <f t="shared" si="25"/>
        <v/>
      </c>
      <c r="BF97" s="14" t="str">
        <f t="shared" si="26"/>
        <v/>
      </c>
      <c r="BG97" s="180" t="str">
        <f>IF(ISBLANK(AH97),"",IFERROR(VLOOKUP(AH97,Transactions!D:G,4,0)))</f>
        <v/>
      </c>
    </row>
    <row r="98">
      <c r="A98" s="14" t="str">
        <f t="shared" ref="A98:C98" si="121">AG98</f>
        <v/>
      </c>
      <c r="B98" s="14" t="str">
        <f t="shared" si="121"/>
        <v/>
      </c>
      <c r="C98" s="175" t="str">
        <f t="shared" si="121"/>
        <v/>
      </c>
      <c r="D98" s="176" t="str">
        <f>IFERROR(__xludf.DUMMYFUNCTION("IF(ISBLANK(B98),"""",IFERROR(IF(OR(AF98=""GPB"",AF98=""ZAR""),IF(AF98=Dashboard!$L$1,AJ98,(AJ98*GOOGLEFINANCE(""CURRENCY:""&amp;AF98&amp;""""&amp;Dashboard!$L$1&amp;""""))/100),IF(AF98=Dashboard!$L$1,AJ98,AJ98*GOOGLEFINANCE(""CURRENCY:""&amp;AF98&amp;""""&amp;Dashboard!$L$1&amp;""""))),"&amp;"AJ98))"),"")</f>
        <v/>
      </c>
      <c r="E98" s="177" t="str">
        <f>IFERROR(__xludf.DUMMYFUNCTION("IFERROR(IF(OR(AF98=""GBP"",AF98=""ZAR""),IF(B98="""","""",IF(AF98=Dashboard!$L$1,AK98,AK98*GOOGLEFINANCE(""CURRENCY:""&amp;AF98&amp;""""&amp;Dashboard!$L$1&amp;"""")))/100,If(B98="""","""",IF(AF98=Dashboard!$L$1,AK98,AK98*GOOGLEFINANCE(""CURRENCY:""&amp;AF98&amp;""""&amp;Dashboard!$"&amp;"L$1&amp;"""")))),AK98)"),"")</f>
        <v/>
      </c>
      <c r="F98" s="145" t="str">
        <f t="shared" si="65"/>
        <v/>
      </c>
      <c r="G98" s="96" t="str">
        <f>IFERROR(__xludf.DUMMYFUNCTION("IF(ISBLANK(B98),"""",IFERROR(SPARKLINE(INDEX(GOOGLEFINANCE(B98,""price"",TODAY()-$G$2,TODAY()),,2),{""charttype"",""column"";""color"",""17a7e0""}),""""))"),"")</f>
        <v/>
      </c>
      <c r="H98" s="50" t="str">
        <f t="shared" si="3"/>
        <v/>
      </c>
      <c r="I98" s="96" t="str">
        <f>IFERROR(__xludf.DUMMYFUNCTION("IF(ISBLANK(B98),"""",IFERROR(IF(OR(AF98=""GPB"",AF98=""ZAR""),IF(AF98=Dashboard!$L$1,AN98,(AN98*GOOGLEFINANCE(""CURRENCY:""&amp;AF98&amp;""""&amp;Dashboard!$L$1&amp;""""))/100),IF(AF98=Dashboard!$L$1,AN98,AN98*GOOGLEFINANCE(""CURRENCY:""&amp;AF98&amp;""""&amp;Dashboard!$L$1&amp;""""))),"&amp;"AN98))"),"")</f>
        <v/>
      </c>
      <c r="J98" s="178" t="str">
        <f>IF(ISBLANK(B98),"",IFERROR(((C98-SUMIFS(Transactions!I:I,Transactions!H:H,"Crypto Interest",Transactions!D:D,B98))*D98),""))</f>
        <v/>
      </c>
      <c r="K98" s="178" t="str">
        <f t="shared" si="4"/>
        <v/>
      </c>
      <c r="L98" s="145">
        <f>IF(ISBLANK(AF98),"",SUMIFS(Transactions!$M$3:$M149,Transactions!$H$3:$H149,"Buy",Transactions!$D$3:$D149,AF98))</f>
        <v>0</v>
      </c>
      <c r="M98" s="145">
        <f>IF(ISBLANK(AG98),"",SUMIFS(Transactions!$M$3:$M149,Transactions!$H$3:$H149,"Dividend",Transactions!$D$3:$D149,AG98))</f>
        <v>0</v>
      </c>
      <c r="N98" s="145" t="str">
        <f>IF(ISBLANK(AH98),"",SUMIFS(Transactions!$M$3:$M149,Transactions!$H$3:$H149,"Sell",Transactions!$D$3:$D149,AH98))</f>
        <v/>
      </c>
      <c r="O98" s="50" t="str">
        <f t="shared" si="5"/>
        <v/>
      </c>
      <c r="P98" s="178" t="str">
        <f t="shared" si="6"/>
        <v/>
      </c>
      <c r="Q98" s="178" t="str">
        <f>IFERROR(__xludf.DUMMYFUNCTION("IF(ISBLANK(B98),"""",IFERROR(IF(OR(AF98=""GPB"",AF98=""ZAR""),IF(AF98=Dashboard!$L$1,AS98,(AS98*GOOGLEFINANCE(""CURRENCY:""&amp;AF98&amp;""""&amp;Dashboard!$L$1&amp;""""))/100),IF(AF98=Dashboard!$L$1,AS98,AS98*GOOGLEFINANCE(""CURRENCY:""&amp;AF98&amp;""""&amp;Dashboard!$L$1&amp;""""))),"&amp;"AS98))"),"")</f>
        <v/>
      </c>
      <c r="R98" s="178" t="str">
        <f t="shared" si="7"/>
        <v/>
      </c>
      <c r="S98" s="50" t="str">
        <f>IFERROR(__xludf.DUMMYFUNCTION("IF(ISBLANK(B98),"""",IFERROR((GOOGLEFINANCE(B98,""price"")/INDEX(GOOGLEFINANCE(B98,""price"",DATEVALUE(TODAY()-$S$2) ),2,2)-1),""""))"),"")</f>
        <v/>
      </c>
      <c r="U98" s="50" t="str">
        <f>IFERROR(__xludf.DUMMYFUNCTION("IF(ISBLANK(B98),"""",IFERROR((GOOGLEFINANCE($U$2,""price"")/INDEX(GOOGLEFINANCE($U$2,""price"",DATEVALUE(TODAY()-$S$2) ),2,2)-1),""""))"),"")</f>
        <v/>
      </c>
      <c r="W98" s="50" t="str">
        <f t="shared" si="8"/>
        <v/>
      </c>
      <c r="X98" s="50" t="str">
        <f t="shared" si="9"/>
        <v/>
      </c>
      <c r="Y98" s="179">
        <v>0.0</v>
      </c>
      <c r="Z98" s="50" t="str">
        <f t="shared" si="10"/>
        <v/>
      </c>
      <c r="AA98" s="14" t="str">
        <f t="shared" si="11"/>
        <v/>
      </c>
      <c r="AB98" s="50" t="str">
        <f t="shared" si="12"/>
        <v/>
      </c>
      <c r="AC98" s="179" t="str">
        <f t="shared" si="13"/>
        <v/>
      </c>
      <c r="AD98" s="50" t="str">
        <f t="shared" si="14"/>
        <v/>
      </c>
      <c r="AE98" s="180" t="str">
        <f t="shared" si="15"/>
        <v/>
      </c>
      <c r="AF98" s="14" t="str">
        <f t="array" ref="AF98">IFERROR(IF(ISBLANK(AH98),"",IF(VLOOKUP(AH98,Transactions!D:F,3,0)="Stablecoin",AH98,INDEX(Transactions!$B$3:$B149,MATCH(AH98,Transactions!$D$3:$D149,0),0))))</f>
        <v/>
      </c>
      <c r="AG98" s="14" t="str">
        <f>IF(ISBLANK(AH98),"",VLOOKUP(AH98,Transactions!D:E,2,0))</f>
        <v/>
      </c>
      <c r="AH98" s="14"/>
      <c r="AI98" s="146" t="str">
        <f>IF(ISBLANK(AH98),"",IF(
SUMIFS(Transactions!$I$3:$I149,Transactions!$H$3:$H149,"Buy",Transactions!$F$3:$F149,"Stock",Transactions!$D$3:$D149,AH98)
+SUMIFS(Transactions!$I$3:$I149,Transactions!$H$3:$H149,"DRIP",Transactions!$F$3:$F149,"Stock",Transactions!$D$3:$D149,AH98)
+SUMIFS(Transactions!$I$3:$I149,Transactions!$H$3:$H149,"Transfer Deposit",Transactions!$F$3:$F149,"Stock",Transactions!$D$3:$D149,AH98)
+SUMIFS(Transactions!$I$3:$I149,Transactions!$H$3:$H149,"Buy",Transactions!$F$3:$F149,"ETF",Transactions!$D$3:$D149,AH98)
+SUMIFS(Transactions!$I$3:$I149,Transactions!$H$3:$H149,"DRIP",Transactions!$F$3:$F149,"ETF",Transactions!$D$3:$D149,AH98)
+SUMIFS(Transactions!$I$3:$I149,Transactions!$H$3:$H149,"Transfer Deposit",Transactions!$F$3:$F149,"ETF",Transactions!$D$3:$D149,AH98)
+SUMIFS(Transactions!$I$3:$I149,Transactions!$H$3:$H149,"Buy",Transactions!$F$3:$F149,"Commodity",Transactions!$D$3:$D149,AH98)
+SUMIFS(Transactions!$I$3:$I149,Transactions!$H$3:$H149,"DRIP",Transactions!$F$3:$F149,"Commodity",Transactions!$D$3:$D149,AH98)
+SUMIFS(Transactions!$I$3:$I149,Transactions!$H$3:$H149,"Transfer Deposit",Transactions!$F$3:$F149,"Commodity",Transactions!$D$3:$D149,AH98)
+SUMIFS(Transactions!$I$3:$I149,Transactions!$H$3:$H149,"Buy",Transactions!$F$3:$F149,"Managed Fund",Transactions!$D$3:$D149,AH98)
+SUMIFS(Transactions!$I$3:$I149,Transactions!$H$3:$H149,"DRIP",Transactions!$F$3:$F149,"Managed Fund",Transactions!$D$3:$D149,AH98)
+SUMIFS(Transactions!$I$3:$I149,Transactions!$H$3:$H149,"Transfer Deposit",Transactions!$F$3:$F149,"Managed Fund",Transactions!$D$3:$D149,AH98)
+SUMIFS(Transactions!$I$3:$I149,Transactions!$H$3:$H149,"Buy",Transactions!$F$3:$F149,"REIT",Transactions!$D$3:$D149,AH98)
+SUMIFS(Transactions!$I$3:$I149,Transactions!$H$3:$H149,"DRIP",Transactions!$F$3:$F149,"REIT",Transactions!$D$3:$D149,AH98)
+SUMIFS(Transactions!$I$3:$I149,Transactions!$H$3:$H149,"Transfer Deposit",Transactions!$F$3:$F149,"REIT",Transactions!$D$3:$D149,AH98)
-SUMIFS(Transactions!$I$3:$I149,Transactions!$H$3:$H149,"Sell",Transactions!$F$3:$F149,"Stock",Transactions!$D$3:$D149,AH98)
-SUMIFS(Transactions!$I$3:$I149,Transactions!$H$3:$H149,"Transfer Send",Transactions!$F$3:$F149,"Stock",Transactions!$D$3:$D149,AH98)
-SUMIFS(Transactions!$I$3:$I149,Transactions!$H$3:$H149,"Sell",Transactions!$F$3:$F149,"ETF",Transactions!$D$3:$D149,AH98)
-SUMIFS(Transactions!$I$3:$I149,Transactions!$H$3:$H149,"Transfer Send",Transactions!$F$3:$F149,"ETF",Transactions!$D$3:$D149,AH98)
-SUMIFS(Transactions!$I$3:$I149,Transactions!$H$3:$H149,"Sell",Transactions!$F$3:$F149,"Commodity",Transactions!$D$3:$D149,AH98)
-SUMIFS(Transactions!$I$3:$I149,Transactions!$H$3:$H149,"Transfer Send",Transactions!$F$3:$F149,"Commodity",Transactions!$D$3:$D149,AH98)
-SUMIFS(Transactions!$I$3:$I149,Transactions!$H$3:$H149,"Sell",Transactions!$F$3:$F149,"Managed Fund",Transactions!$D$3:$D149,AH98)
-SUMIFS(Transactions!$I$3:$I149,Transactions!$H$3:$H149,"Transfer Send",Transactions!$F$3:$F149,"Managed Fund",Transactions!$D$3:$D149,AH98)
-SUMIFS(Transactions!$I$3:$I149,Transactions!$H$3:$H149,"Sell",Transactions!$F$3:$F149,"REIT",Transactions!$D$3:$D149,AH98)
-SUMIFS(Transactions!$I$3:$I149,Transactions!$H$3:$H149,"Transfer Send",Transactions!$F$3:$F149,"REIT",Transactions!$D$3:$D149,AH98)
+SUMIFS(Transactions!$I$3:$I149,Transactions!$H$3:$H149,"Buy",Transactions!$F$3:$F149,"Crypto",Transactions!$D$3:$D149,AH98)
+SUMIFS(Transactions!$I$3:$I149,Transactions!$H$3:$H149,"Crypto Interest",Transactions!$F$3:$F149,"Crypto",Transactions!$D$3:$D149,AH98)
+SUMIFS(Transactions!$I$3:$I149,Transactions!$H$3:$H149,"Transfer Deposit",Transactions!$F$3:$F149,"Crypto",Transactions!$D$3:$D149,AH98)
-SUMIFS(Transactions!$I$3:$I149,Transactions!$H$3:$H149,"Transfer Send",Transactions!$F$3:$F149,"Crypto",Transactions!$D$3:$D149,AH98)
-SUMIFS(Transactions!$I$3:$I149,Transactions!$H$3:$H149,"Sell",Transactions!$F$3:$F149,"Crypto",Transactions!$D$3:$D149,AH98)
+SUMIFS(Transactions!$I$3:$I149,Transactions!$H$3:$H149,"Buy",Transactions!$F$3:$F149,"Stablecoin",Transactions!$D$3:$D149,AH98)
+SUMIFS(Transactions!$I$3:$I149,Transactions!$H$3:$H149,"Crypto Interest",Transactions!$F$3:$F149,"Stablecoin",Transactions!$D$3:$D149,AH98)
+SUMIFS(Transactions!$I$3:$I149,Transactions!$H$3:$H149,"Transfer Deposit",Transactions!$F$3:$F149,"Stablecoin",Transactions!$D$3:$D149,AH98)
-SUMIFS(Transactions!$I$3:$I149,Transactions!$H$3:$H149,"Transfer Send",Transactions!$F$3:$F149,"Stablecoin",Transactions!$D$3:$D149,AH98)
-SUMIFS(Transactions!$I$3:$I149,Transactions!$H$3:$H149,"Sell",Transactions!$F$3:$F149,"Stablecoin",Transactions!$D$3:$D149,AH98)
-SUMIFS(Transactions!$M$3:$M149,Transactions!$H$3:$H149,"Buy",Transactions!$B$3:$B149,AH98)=0,"Sold All",
SUMIFS(Transactions!$I$3:$I149,Transactions!$H$3:$H149,"Buy",Transactions!$F$3:$F149,"Stock",Transactions!$D$3:$D149,AH98)
+SUMIFS(Transactions!$I$3:$I149,Transactions!$H$3:$H149,"DRIP",Transactions!$F$3:$F149,"Stock",Transactions!$D$3:$D149,AH98)
+SUMIFS(Transactions!$I$3:$I149,Transactions!$H$3:$H149,"Transfer Deposit",Transactions!$F$3:$F149,"Stock",Transactions!$D$3:$D149,AH98)
+SUMIFS(Transactions!$I$3:$I149,Transactions!$H$3:$H149,"Buy",Transactions!$F$3:$F149,"ETF",Transactions!$D$3:$D149,AH98)
+SUMIFS(Transactions!$I$3:$I149,Transactions!$H$3:$H149,"DRIP",Transactions!$F$3:$F149,"ETF",Transactions!$D$3:$D149,AH98)
+SUMIFS(Transactions!$I$3:$I149,Transactions!$H$3:$H149,"Transfer Deposit",Transactions!$F$3:$F149,"ETF",Transactions!$D$3:$D149,AH98)
+SUMIFS(Transactions!$I$3:$I149,Transactions!$H$3:$H149,"Buy",Transactions!$F$3:$F149,"Commodity",Transactions!$D$3:$D149,AH98)
+SUMIFS(Transactions!$I$3:$I149,Transactions!$H$3:$H149,"DRIP",Transactions!$F$3:$F149,"Commodity",Transactions!$D$3:$D149,AH98)
+SUMIFS(Transactions!$I$3:$I149,Transactions!$H$3:$H149,"Transfer Deposit",Transactions!$F$3:$F149,"Commodity",Transactions!$D$3:$D149,AH98)
+SUMIFS(Transactions!$I$3:$I149,Transactions!$H$3:$H149,"Buy",Transactions!$F$3:$F149,"Managed Fund",Transactions!$D$3:$D149,AH98)
+SUMIFS(Transactions!$I$3:$I149,Transactions!$H$3:$H149,"DRIP",Transactions!$F$3:$F149,"Managed Fund",Transactions!$D$3:$D149,AH98)
+SUMIFS(Transactions!$I$3:$I149,Transactions!$H$3:$H149,"Transfer Deposit",Transactions!$F$3:$F149,"Managed Fund",Transactions!$D$3:$D149,AH98)
+SUMIFS(Transactions!$I$3:$I149,Transactions!$H$3:$H149,"Buy",Transactions!$F$3:$F149,"REIT",Transactions!$D$3:$D149,AH98)
+SUMIFS(Transactions!$I$3:$I149,Transactions!$H$3:$H149,"DRIP",Transactions!$F$3:$F149,"REIT",Transactions!$D$3:$D149,AH98)
+SUMIFS(Transactions!$I$3:$I149,Transactions!$H$3:$H149,"Transfer Deposit",Transactions!$F$3:$F149,"REIT",Transactions!$D$3:$D149,AH98)
-SUMIFS(Transactions!$I$3:$I149,Transactions!$H$3:$H149,"Sell",Transactions!$F$3:$F149,"Stock",Transactions!$D$3:$D149,AH98)
-SUMIFS(Transactions!$I$3:$I149,Transactions!$H$3:$H149,"Transfer Send",Transactions!$F$3:$F149,"Stock",Transactions!$D$3:$D149,AH98)
-SUMIFS(Transactions!$I$3:$I149,Transactions!$H$3:$H149,"Sell",Transactions!$F$3:$F149,"ETF",Transactions!$D$3:$D149,AH98)
-SUMIFS(Transactions!$I$3:$I149,Transactions!$H$3:$H149,"Transfer Send",Transactions!$F$3:$F149,"ETF",Transactions!$D$3:$D149,AH98)
-SUMIFS(Transactions!$I$3:$I149,Transactions!$H$3:$H149,"Sell",Transactions!$F$3:$F149,"Commodity",Transactions!$D$3:$D149,AH98)
-SUMIFS(Transactions!$I$3:$I149,Transactions!$H$3:$H149,"Transfer Send",Transactions!$F$3:$F149,"Commodity",Transactions!$D$3:$D149,AH98)
-SUMIFS(Transactions!$I$3:$I149,Transactions!$H$3:$H149,"Sell",Transactions!$F$3:$F149,"Managed Fund",Transactions!$D$3:$D149,AH98)
-SUMIFS(Transactions!$I$3:$I149,Transactions!$H$3:$H149,"Transfer Send",Transactions!$F$3:$F149,"Managed Fund",Transactions!$D$3:$D149,AH98)
-SUMIFS(Transactions!$I$3:$I149,Transactions!$H$3:$H149,"Sell",Transactions!$F$3:$F149,"REIT",Transactions!$D$3:$D149,AH98)
-SUMIFS(Transactions!$I$3:$I149,Transactions!$H$3:$H149,"Transfer Send",Transactions!$F$3:$F149,"REIT",Transactions!$D$3:$D149,AH98)
+SUMIFS(Transactions!$I$3:$I149,Transactions!$H$3:$H149,"Buy",Transactions!$F$3:$F149,"Crypto",Transactions!$D$3:$D149,AH98)
+SUMIFS(Transactions!$I$3:$I149,Transactions!$H$3:$H149,"Crypto Interest",Transactions!$F$3:$F149,"Crypto",Transactions!$D$3:$D149,AH98)
+SUMIFS(Transactions!$I$3:$I149,Transactions!$H$3:$H149,"Transfer Deposit",Transactions!$F$3:$F149,"Crypto",Transactions!$D$3:$D149,AH98)
-SUMIFS(Transactions!$I$3:$I149,Transactions!$H$3:$H149,"Transfer Send",Transactions!$F$3:$F149,"Crypto",Transactions!$D$3:$D149,AH98)
-SUMIFS(Transactions!$I$3:$I149,Transactions!$H$3:$H149,"Sell",Transactions!$F$3:$F149,"Crypto",Transactions!$D$3:$D149,AH98)
+SUMIFS(Transactions!$I$3:$I149,Transactions!$H$3:$H149,"Buy",Transactions!$F$3:$F149,"Stablecoin",Transactions!$D$3:$D149,AH98)
+SUMIFS(Transactions!$I$3:$I149,Transactions!$H$3:$H149,"Crypto Interest",Transactions!$F$3:$F149,"Stablecoin",Transactions!$D$3:$D149,AH98)
+SUMIFS(Transactions!$I$3:$I149,Transactions!$H$3:$H149,"Transfer Deposit",Transactions!$F$3:$F149,"Stablecoin",Transactions!$D$3:$D149,AH98)
-SUMIFS(Transactions!$I$3:$I149,Transactions!$H$3:$H149,"Transfer Send",Transactions!$F$3:$F149,"Stablecoin",Transactions!$D$3:$D149,AH98)
-SUMIFS(Transactions!$I$3:$I149,Transactions!$H$3:$H149,"Sell",Transactions!$F$3:$F149,"Stablecoin",Transactions!$D$3:$D149,AH98)
-SUMIFS(Transactions!$M$3:$M149,Transactions!$H$3:$H149,"Buy",Transactions!$B$3:$B149,AH98)))</f>
        <v/>
      </c>
      <c r="AJ98" s="181" t="str">
        <f>IFERROR(__xludf.DUMMYFUNCTION("IF(ISBLANK(AH98),"""",VLOOKUP(9^99,FILTER({ROW(Transactions!P:P),Transactions!P:P},Transactions!D:D=AH98),2))"),"")</f>
        <v/>
      </c>
      <c r="AK98" s="181" t="str">
        <f>IFERROR(__xludf.DUMMYFUNCTION("IF(ISBLANK(AH98),"""",IFERROR(GOOGLEFINANCE(AH98,""price""),IFERROR(GOOGLEFINANCE(""CURRENCY:""&amp;AH98&amp;""""),IFERROR(INDEX(YAHOO_STOCK(TRIM(AH98), $G$2),0,1),INDEX(IMPORTHTML(CONCAT(""https://coinmarketcap.com/currencies/"",AG98),""table"",1),1,2)))))"),"")</f>
        <v/>
      </c>
      <c r="AL98" s="14" t="str">
        <f>IFERROR(__xludf.DUMMYFUNCTION("IF(ISBLANK(AH98),"""",IFERROR(SPARKLINE(INDEX(GOOGLEFINANCE(AH98,""price"",TODAY()-$AL$2,TODAY()),,2),{""charttype"",""column"";""color"",""17a7e0""}),""""))"),"")</f>
        <v/>
      </c>
      <c r="AM98" s="50" t="str">
        <f>IFERROR(__xludf.DUMMYFUNCTION("IFNA(IFERROR(IF(AH98="""","""",GOOGLEFINANCE(AH98,""changepct"")/100),(GOOGLEFINANCE(AH98)-(INDEX(GOOGLEFINANCE(""CURRENCY:""&amp;AH98&amp;"""",""price"",TODAY()-1),2,2)))/(INDEX(GOOGLEFINANCE(""CURRENCY:""&amp;AH98&amp;"""",""price"",TODAY()-1),2,2))),)"),"")</f>
        <v/>
      </c>
      <c r="AN98" s="96" t="str">
        <f>IFERROR(__xludf.DUMMYFUNCTION("IFNA(IFERROR(IF(AH98="""","""",GOOGLEFINANCE(AH98,""change"")*AI98),(GOOGLEFINANCE(AH98)-(INDEX(GOOGLEFINANCE(""CURRENCY:""&amp;AH98&amp;"""",""price"",TODAY()-1),2,2)))*AI98),"""")"),"")</f>
        <v/>
      </c>
      <c r="AO98" s="96" t="str">
        <f>IF(ISBLANK(AH98),"",IFERROR(((AI98-SUMIFS(Transactions!I:I,Transactions!H:H,"Crypto Interest",Transactions!D:D,AH98))*AJ98),""))</f>
        <v/>
      </c>
      <c r="AP98" s="96" t="str">
        <f t="shared" si="16"/>
        <v/>
      </c>
      <c r="AQ98" s="50" t="str">
        <f t="shared" si="17"/>
        <v/>
      </c>
      <c r="AR98" s="96" t="str">
        <f t="shared" si="18"/>
        <v/>
      </c>
      <c r="AS98" s="96" t="str">
        <f>IF(ISBLANK(AH98),"",SUMIFS(Transactions!$X$3:$X149,Transactions!$H$3:$H149,"Sell",Transactions!$D$3:$D149,AH98))</f>
        <v/>
      </c>
      <c r="AT98" s="96" t="str">
        <f t="shared" si="19"/>
        <v/>
      </c>
      <c r="AU98" s="50" t="str">
        <f>IFERROR(__xludf.DUMMYFUNCTION("IF(ISBLANK(AH98),"""",IFERROR((GOOGLEFINANCE(AH98,""price"")/INDEX(GOOGLEFINANCE(AH98,""price"",DATEVALUE(TODAY()-$AU$2) ),2,2)-1),""""))"),"")</f>
        <v/>
      </c>
      <c r="AW98" s="50" t="str">
        <f>IFERROR(__xludf.DUMMYFUNCTION("IF(ISBLANK(AH98),"""",IFERROR((GOOGLEFINANCE($AW$2,""price"")/INDEX(GOOGLEFINANCE($AW$2,""price"",DATEVALUE(TODAY()-$AU$2) ),2,2)-1),""""))"),"")</f>
        <v/>
      </c>
      <c r="AY98" s="50" t="str">
        <f t="shared" si="20"/>
        <v/>
      </c>
      <c r="AZ98" s="50" t="str">
        <f t="shared" si="21"/>
        <v/>
      </c>
      <c r="BA98" s="50">
        <f t="shared" si="22"/>
        <v>0</v>
      </c>
      <c r="BB98" s="14" t="str">
        <f t="shared" si="23"/>
        <v/>
      </c>
      <c r="BC98" s="14" t="str">
        <f>IF(ISBLANK(AH98),"",IFERROR(VLOOKUP(AH98,Transactions!D:F,3,0)))</f>
        <v/>
      </c>
      <c r="BD98" s="50" t="str">
        <f t="shared" si="24"/>
        <v/>
      </c>
      <c r="BE98" s="50" t="str">
        <f t="shared" si="25"/>
        <v/>
      </c>
      <c r="BF98" s="14" t="str">
        <f t="shared" si="26"/>
        <v/>
      </c>
      <c r="BG98" s="180" t="str">
        <f>IF(ISBLANK(AH98),"",IFERROR(VLOOKUP(AH98,Transactions!D:G,4,0)))</f>
        <v/>
      </c>
    </row>
    <row r="99">
      <c r="A99" s="14" t="str">
        <f t="shared" ref="A99:C99" si="122">AG99</f>
        <v/>
      </c>
      <c r="B99" s="14" t="str">
        <f t="shared" si="122"/>
        <v/>
      </c>
      <c r="C99" s="175" t="str">
        <f t="shared" si="122"/>
        <v/>
      </c>
      <c r="D99" s="176" t="str">
        <f>IFERROR(__xludf.DUMMYFUNCTION("IF(ISBLANK(B99),"""",IFERROR(IF(OR(AF99=""GPB"",AF99=""ZAR""),IF(AF99=Dashboard!$L$1,AJ99,(AJ99*GOOGLEFINANCE(""CURRENCY:""&amp;AF99&amp;""""&amp;Dashboard!$L$1&amp;""""))/100),IF(AF99=Dashboard!$L$1,AJ99,AJ99*GOOGLEFINANCE(""CURRENCY:""&amp;AF99&amp;""""&amp;Dashboard!$L$1&amp;""""))),"&amp;"AJ99))"),"")</f>
        <v/>
      </c>
      <c r="E99" s="177" t="str">
        <f>IFERROR(__xludf.DUMMYFUNCTION("IFERROR(IF(OR(AF99=""GBP"",AF99=""ZAR""),IF(B99="""","""",IF(AF99=Dashboard!$L$1,AK99,AK99*GOOGLEFINANCE(""CURRENCY:""&amp;AF99&amp;""""&amp;Dashboard!$L$1&amp;"""")))/100,If(B99="""","""",IF(AF99=Dashboard!$L$1,AK99,AK99*GOOGLEFINANCE(""CURRENCY:""&amp;AF99&amp;""""&amp;Dashboard!$"&amp;"L$1&amp;"""")))),AK99)"),"")</f>
        <v/>
      </c>
      <c r="F99" s="145" t="str">
        <f t="shared" si="65"/>
        <v/>
      </c>
      <c r="G99" s="96" t="str">
        <f>IFERROR(__xludf.DUMMYFUNCTION("IF(ISBLANK(B99),"""",IFERROR(SPARKLINE(INDEX(GOOGLEFINANCE(B99,""price"",TODAY()-$G$2,TODAY()),,2),{""charttype"",""column"";""color"",""17a7e0""}),""""))"),"")</f>
        <v/>
      </c>
      <c r="H99" s="50" t="str">
        <f t="shared" si="3"/>
        <v/>
      </c>
      <c r="I99" s="96" t="str">
        <f>IFERROR(__xludf.DUMMYFUNCTION("IF(ISBLANK(B99),"""",IFERROR(IF(OR(AF99=""GPB"",AF99=""ZAR""),IF(AF99=Dashboard!$L$1,AN99,(AN99*GOOGLEFINANCE(""CURRENCY:""&amp;AF99&amp;""""&amp;Dashboard!$L$1&amp;""""))/100),IF(AF99=Dashboard!$L$1,AN99,AN99*GOOGLEFINANCE(""CURRENCY:""&amp;AF99&amp;""""&amp;Dashboard!$L$1&amp;""""))),"&amp;"AN99))"),"")</f>
        <v/>
      </c>
      <c r="J99" s="178" t="str">
        <f>IF(ISBLANK(B99),"",IFERROR(((C99-SUMIFS(Transactions!I:I,Transactions!H:H,"Crypto Interest",Transactions!D:D,B99))*D99),""))</f>
        <v/>
      </c>
      <c r="K99" s="178" t="str">
        <f t="shared" si="4"/>
        <v/>
      </c>
      <c r="L99" s="145">
        <f>IF(ISBLANK(AF99),"",SUMIFS(Transactions!$M$3:$M149,Transactions!$H$3:$H149,"Buy",Transactions!$D$3:$D149,AF99))</f>
        <v>0</v>
      </c>
      <c r="M99" s="145">
        <f>IF(ISBLANK(AG99),"",SUMIFS(Transactions!$M$3:$M149,Transactions!$H$3:$H149,"Dividend",Transactions!$D$3:$D149,AG99))</f>
        <v>0</v>
      </c>
      <c r="N99" s="145" t="str">
        <f>IF(ISBLANK(AH99),"",SUMIFS(Transactions!$M$3:$M149,Transactions!$H$3:$H149,"Sell",Transactions!$D$3:$D149,AH99))</f>
        <v/>
      </c>
      <c r="O99" s="50" t="str">
        <f t="shared" si="5"/>
        <v/>
      </c>
      <c r="P99" s="178" t="str">
        <f t="shared" si="6"/>
        <v/>
      </c>
      <c r="Q99" s="178" t="str">
        <f>IFERROR(__xludf.DUMMYFUNCTION("IF(ISBLANK(B99),"""",IFERROR(IF(OR(AF99=""GPB"",AF99=""ZAR""),IF(AF99=Dashboard!$L$1,AS99,(AS99*GOOGLEFINANCE(""CURRENCY:""&amp;AF99&amp;""""&amp;Dashboard!$L$1&amp;""""))/100),IF(AF99=Dashboard!$L$1,AS99,AS99*GOOGLEFINANCE(""CURRENCY:""&amp;AF99&amp;""""&amp;Dashboard!$L$1&amp;""""))),"&amp;"AS99))"),"")</f>
        <v/>
      </c>
      <c r="R99" s="178" t="str">
        <f t="shared" si="7"/>
        <v/>
      </c>
      <c r="S99" s="50" t="str">
        <f>IFERROR(__xludf.DUMMYFUNCTION("IF(ISBLANK(B99),"""",IFERROR((GOOGLEFINANCE(B99,""price"")/INDEX(GOOGLEFINANCE(B99,""price"",DATEVALUE(TODAY()-$S$2) ),2,2)-1),""""))"),"")</f>
        <v/>
      </c>
      <c r="U99" s="50" t="str">
        <f>IFERROR(__xludf.DUMMYFUNCTION("IF(ISBLANK(B99),"""",IFERROR((GOOGLEFINANCE($U$2,""price"")/INDEX(GOOGLEFINANCE($U$2,""price"",DATEVALUE(TODAY()-$S$2) ),2,2)-1),""""))"),"")</f>
        <v/>
      </c>
      <c r="W99" s="50" t="str">
        <f t="shared" si="8"/>
        <v/>
      </c>
      <c r="X99" s="50" t="str">
        <f t="shared" si="9"/>
        <v/>
      </c>
      <c r="Y99" s="179">
        <v>0.0</v>
      </c>
      <c r="Z99" s="50" t="str">
        <f t="shared" si="10"/>
        <v/>
      </c>
      <c r="AA99" s="14" t="str">
        <f t="shared" si="11"/>
        <v/>
      </c>
      <c r="AB99" s="50" t="str">
        <f t="shared" si="12"/>
        <v/>
      </c>
      <c r="AC99" s="179" t="str">
        <f t="shared" si="13"/>
        <v/>
      </c>
      <c r="AD99" s="50" t="str">
        <f t="shared" si="14"/>
        <v/>
      </c>
      <c r="AE99" s="180" t="str">
        <f t="shared" si="15"/>
        <v/>
      </c>
      <c r="AF99" s="14" t="str">
        <f t="array" ref="AF99">IFERROR(IF(ISBLANK(AH99),"",IF(VLOOKUP(AH99,Transactions!D:F,3,0)="Stablecoin",AH99,INDEX(Transactions!$B$3:$B149,MATCH(AH99,Transactions!$D$3:$D149,0),0))))</f>
        <v/>
      </c>
      <c r="AG99" s="14" t="str">
        <f>IF(ISBLANK(AH99),"",VLOOKUP(AH99,Transactions!D:E,2,0))</f>
        <v/>
      </c>
      <c r="AH99" s="14"/>
      <c r="AI99" s="146" t="str">
        <f>IF(ISBLANK(AH99),"",IF(
SUMIFS(Transactions!$I$3:$I149,Transactions!$H$3:$H149,"Buy",Transactions!$F$3:$F149,"Stock",Transactions!$D$3:$D149,AH99)
+SUMIFS(Transactions!$I$3:$I149,Transactions!$H$3:$H149,"DRIP",Transactions!$F$3:$F149,"Stock",Transactions!$D$3:$D149,AH99)
+SUMIFS(Transactions!$I$3:$I149,Transactions!$H$3:$H149,"Transfer Deposit",Transactions!$F$3:$F149,"Stock",Transactions!$D$3:$D149,AH99)
+SUMIFS(Transactions!$I$3:$I149,Transactions!$H$3:$H149,"Buy",Transactions!$F$3:$F149,"ETF",Transactions!$D$3:$D149,AH99)
+SUMIFS(Transactions!$I$3:$I149,Transactions!$H$3:$H149,"DRIP",Transactions!$F$3:$F149,"ETF",Transactions!$D$3:$D149,AH99)
+SUMIFS(Transactions!$I$3:$I149,Transactions!$H$3:$H149,"Transfer Deposit",Transactions!$F$3:$F149,"ETF",Transactions!$D$3:$D149,AH99)
+SUMIFS(Transactions!$I$3:$I149,Transactions!$H$3:$H149,"Buy",Transactions!$F$3:$F149,"Commodity",Transactions!$D$3:$D149,AH99)
+SUMIFS(Transactions!$I$3:$I149,Transactions!$H$3:$H149,"DRIP",Transactions!$F$3:$F149,"Commodity",Transactions!$D$3:$D149,AH99)
+SUMIFS(Transactions!$I$3:$I149,Transactions!$H$3:$H149,"Transfer Deposit",Transactions!$F$3:$F149,"Commodity",Transactions!$D$3:$D149,AH99)
+SUMIFS(Transactions!$I$3:$I149,Transactions!$H$3:$H149,"Buy",Transactions!$F$3:$F149,"Managed Fund",Transactions!$D$3:$D149,AH99)
+SUMIFS(Transactions!$I$3:$I149,Transactions!$H$3:$H149,"DRIP",Transactions!$F$3:$F149,"Managed Fund",Transactions!$D$3:$D149,AH99)
+SUMIFS(Transactions!$I$3:$I149,Transactions!$H$3:$H149,"Transfer Deposit",Transactions!$F$3:$F149,"Managed Fund",Transactions!$D$3:$D149,AH99)
+SUMIFS(Transactions!$I$3:$I149,Transactions!$H$3:$H149,"Buy",Transactions!$F$3:$F149,"REIT",Transactions!$D$3:$D149,AH99)
+SUMIFS(Transactions!$I$3:$I149,Transactions!$H$3:$H149,"DRIP",Transactions!$F$3:$F149,"REIT",Transactions!$D$3:$D149,AH99)
+SUMIFS(Transactions!$I$3:$I149,Transactions!$H$3:$H149,"Transfer Deposit",Transactions!$F$3:$F149,"REIT",Transactions!$D$3:$D149,AH99)
-SUMIFS(Transactions!$I$3:$I149,Transactions!$H$3:$H149,"Sell",Transactions!$F$3:$F149,"Stock",Transactions!$D$3:$D149,AH99)
-SUMIFS(Transactions!$I$3:$I149,Transactions!$H$3:$H149,"Transfer Send",Transactions!$F$3:$F149,"Stock",Transactions!$D$3:$D149,AH99)
-SUMIFS(Transactions!$I$3:$I149,Transactions!$H$3:$H149,"Sell",Transactions!$F$3:$F149,"ETF",Transactions!$D$3:$D149,AH99)
-SUMIFS(Transactions!$I$3:$I149,Transactions!$H$3:$H149,"Transfer Send",Transactions!$F$3:$F149,"ETF",Transactions!$D$3:$D149,AH99)
-SUMIFS(Transactions!$I$3:$I149,Transactions!$H$3:$H149,"Sell",Transactions!$F$3:$F149,"Commodity",Transactions!$D$3:$D149,AH99)
-SUMIFS(Transactions!$I$3:$I149,Transactions!$H$3:$H149,"Transfer Send",Transactions!$F$3:$F149,"Commodity",Transactions!$D$3:$D149,AH99)
-SUMIFS(Transactions!$I$3:$I149,Transactions!$H$3:$H149,"Sell",Transactions!$F$3:$F149,"Managed Fund",Transactions!$D$3:$D149,AH99)
-SUMIFS(Transactions!$I$3:$I149,Transactions!$H$3:$H149,"Transfer Send",Transactions!$F$3:$F149,"Managed Fund",Transactions!$D$3:$D149,AH99)
-SUMIFS(Transactions!$I$3:$I149,Transactions!$H$3:$H149,"Sell",Transactions!$F$3:$F149,"REIT",Transactions!$D$3:$D149,AH99)
-SUMIFS(Transactions!$I$3:$I149,Transactions!$H$3:$H149,"Transfer Send",Transactions!$F$3:$F149,"REIT",Transactions!$D$3:$D149,AH99)
+SUMIFS(Transactions!$I$3:$I149,Transactions!$H$3:$H149,"Buy",Transactions!$F$3:$F149,"Crypto",Transactions!$D$3:$D149,AH99)
+SUMIFS(Transactions!$I$3:$I149,Transactions!$H$3:$H149,"Crypto Interest",Transactions!$F$3:$F149,"Crypto",Transactions!$D$3:$D149,AH99)
+SUMIFS(Transactions!$I$3:$I149,Transactions!$H$3:$H149,"Transfer Deposit",Transactions!$F$3:$F149,"Crypto",Transactions!$D$3:$D149,AH99)
-SUMIFS(Transactions!$I$3:$I149,Transactions!$H$3:$H149,"Transfer Send",Transactions!$F$3:$F149,"Crypto",Transactions!$D$3:$D149,AH99)
-SUMIFS(Transactions!$I$3:$I149,Transactions!$H$3:$H149,"Sell",Transactions!$F$3:$F149,"Crypto",Transactions!$D$3:$D149,AH99)
+SUMIFS(Transactions!$I$3:$I149,Transactions!$H$3:$H149,"Buy",Transactions!$F$3:$F149,"Stablecoin",Transactions!$D$3:$D149,AH99)
+SUMIFS(Transactions!$I$3:$I149,Transactions!$H$3:$H149,"Crypto Interest",Transactions!$F$3:$F149,"Stablecoin",Transactions!$D$3:$D149,AH99)
+SUMIFS(Transactions!$I$3:$I149,Transactions!$H$3:$H149,"Transfer Deposit",Transactions!$F$3:$F149,"Stablecoin",Transactions!$D$3:$D149,AH99)
-SUMIFS(Transactions!$I$3:$I149,Transactions!$H$3:$H149,"Transfer Send",Transactions!$F$3:$F149,"Stablecoin",Transactions!$D$3:$D149,AH99)
-SUMIFS(Transactions!$I$3:$I149,Transactions!$H$3:$H149,"Sell",Transactions!$F$3:$F149,"Stablecoin",Transactions!$D$3:$D149,AH99)
-SUMIFS(Transactions!$M$3:$M149,Transactions!$H$3:$H149,"Buy",Transactions!$B$3:$B149,AH99)=0,"Sold All",
SUMIFS(Transactions!$I$3:$I149,Transactions!$H$3:$H149,"Buy",Transactions!$F$3:$F149,"Stock",Transactions!$D$3:$D149,AH99)
+SUMIFS(Transactions!$I$3:$I149,Transactions!$H$3:$H149,"DRIP",Transactions!$F$3:$F149,"Stock",Transactions!$D$3:$D149,AH99)
+SUMIFS(Transactions!$I$3:$I149,Transactions!$H$3:$H149,"Transfer Deposit",Transactions!$F$3:$F149,"Stock",Transactions!$D$3:$D149,AH99)
+SUMIFS(Transactions!$I$3:$I149,Transactions!$H$3:$H149,"Buy",Transactions!$F$3:$F149,"ETF",Transactions!$D$3:$D149,AH99)
+SUMIFS(Transactions!$I$3:$I149,Transactions!$H$3:$H149,"DRIP",Transactions!$F$3:$F149,"ETF",Transactions!$D$3:$D149,AH99)
+SUMIFS(Transactions!$I$3:$I149,Transactions!$H$3:$H149,"Transfer Deposit",Transactions!$F$3:$F149,"ETF",Transactions!$D$3:$D149,AH99)
+SUMIFS(Transactions!$I$3:$I149,Transactions!$H$3:$H149,"Buy",Transactions!$F$3:$F149,"Commodity",Transactions!$D$3:$D149,AH99)
+SUMIFS(Transactions!$I$3:$I149,Transactions!$H$3:$H149,"DRIP",Transactions!$F$3:$F149,"Commodity",Transactions!$D$3:$D149,AH99)
+SUMIFS(Transactions!$I$3:$I149,Transactions!$H$3:$H149,"Transfer Deposit",Transactions!$F$3:$F149,"Commodity",Transactions!$D$3:$D149,AH99)
+SUMIFS(Transactions!$I$3:$I149,Transactions!$H$3:$H149,"Buy",Transactions!$F$3:$F149,"Managed Fund",Transactions!$D$3:$D149,AH99)
+SUMIFS(Transactions!$I$3:$I149,Transactions!$H$3:$H149,"DRIP",Transactions!$F$3:$F149,"Managed Fund",Transactions!$D$3:$D149,AH99)
+SUMIFS(Transactions!$I$3:$I149,Transactions!$H$3:$H149,"Transfer Deposit",Transactions!$F$3:$F149,"Managed Fund",Transactions!$D$3:$D149,AH99)
+SUMIFS(Transactions!$I$3:$I149,Transactions!$H$3:$H149,"Buy",Transactions!$F$3:$F149,"REIT",Transactions!$D$3:$D149,AH99)
+SUMIFS(Transactions!$I$3:$I149,Transactions!$H$3:$H149,"DRIP",Transactions!$F$3:$F149,"REIT",Transactions!$D$3:$D149,AH99)
+SUMIFS(Transactions!$I$3:$I149,Transactions!$H$3:$H149,"Transfer Deposit",Transactions!$F$3:$F149,"REIT",Transactions!$D$3:$D149,AH99)
-SUMIFS(Transactions!$I$3:$I149,Transactions!$H$3:$H149,"Sell",Transactions!$F$3:$F149,"Stock",Transactions!$D$3:$D149,AH99)
-SUMIFS(Transactions!$I$3:$I149,Transactions!$H$3:$H149,"Transfer Send",Transactions!$F$3:$F149,"Stock",Transactions!$D$3:$D149,AH99)
-SUMIFS(Transactions!$I$3:$I149,Transactions!$H$3:$H149,"Sell",Transactions!$F$3:$F149,"ETF",Transactions!$D$3:$D149,AH99)
-SUMIFS(Transactions!$I$3:$I149,Transactions!$H$3:$H149,"Transfer Send",Transactions!$F$3:$F149,"ETF",Transactions!$D$3:$D149,AH99)
-SUMIFS(Transactions!$I$3:$I149,Transactions!$H$3:$H149,"Sell",Transactions!$F$3:$F149,"Commodity",Transactions!$D$3:$D149,AH99)
-SUMIFS(Transactions!$I$3:$I149,Transactions!$H$3:$H149,"Transfer Send",Transactions!$F$3:$F149,"Commodity",Transactions!$D$3:$D149,AH99)
-SUMIFS(Transactions!$I$3:$I149,Transactions!$H$3:$H149,"Sell",Transactions!$F$3:$F149,"Managed Fund",Transactions!$D$3:$D149,AH99)
-SUMIFS(Transactions!$I$3:$I149,Transactions!$H$3:$H149,"Transfer Send",Transactions!$F$3:$F149,"Managed Fund",Transactions!$D$3:$D149,AH99)
-SUMIFS(Transactions!$I$3:$I149,Transactions!$H$3:$H149,"Sell",Transactions!$F$3:$F149,"REIT",Transactions!$D$3:$D149,AH99)
-SUMIFS(Transactions!$I$3:$I149,Transactions!$H$3:$H149,"Transfer Send",Transactions!$F$3:$F149,"REIT",Transactions!$D$3:$D149,AH99)
+SUMIFS(Transactions!$I$3:$I149,Transactions!$H$3:$H149,"Buy",Transactions!$F$3:$F149,"Crypto",Transactions!$D$3:$D149,AH99)
+SUMIFS(Transactions!$I$3:$I149,Transactions!$H$3:$H149,"Crypto Interest",Transactions!$F$3:$F149,"Crypto",Transactions!$D$3:$D149,AH99)
+SUMIFS(Transactions!$I$3:$I149,Transactions!$H$3:$H149,"Transfer Deposit",Transactions!$F$3:$F149,"Crypto",Transactions!$D$3:$D149,AH99)
-SUMIFS(Transactions!$I$3:$I149,Transactions!$H$3:$H149,"Transfer Send",Transactions!$F$3:$F149,"Crypto",Transactions!$D$3:$D149,AH99)
-SUMIFS(Transactions!$I$3:$I149,Transactions!$H$3:$H149,"Sell",Transactions!$F$3:$F149,"Crypto",Transactions!$D$3:$D149,AH99)
+SUMIFS(Transactions!$I$3:$I149,Transactions!$H$3:$H149,"Buy",Transactions!$F$3:$F149,"Stablecoin",Transactions!$D$3:$D149,AH99)
+SUMIFS(Transactions!$I$3:$I149,Transactions!$H$3:$H149,"Crypto Interest",Transactions!$F$3:$F149,"Stablecoin",Transactions!$D$3:$D149,AH99)
+SUMIFS(Transactions!$I$3:$I149,Transactions!$H$3:$H149,"Transfer Deposit",Transactions!$F$3:$F149,"Stablecoin",Transactions!$D$3:$D149,AH99)
-SUMIFS(Transactions!$I$3:$I149,Transactions!$H$3:$H149,"Transfer Send",Transactions!$F$3:$F149,"Stablecoin",Transactions!$D$3:$D149,AH99)
-SUMIFS(Transactions!$I$3:$I149,Transactions!$H$3:$H149,"Sell",Transactions!$F$3:$F149,"Stablecoin",Transactions!$D$3:$D149,AH99)
-SUMIFS(Transactions!$M$3:$M149,Transactions!$H$3:$H149,"Buy",Transactions!$B$3:$B149,AH99)))</f>
        <v/>
      </c>
      <c r="AJ99" s="181" t="str">
        <f>IFERROR(__xludf.DUMMYFUNCTION("IF(ISBLANK(AH99),"""",VLOOKUP(9^99,FILTER({ROW(Transactions!P:P),Transactions!P:P},Transactions!D:D=AH99),2))"),"")</f>
        <v/>
      </c>
      <c r="AK99" s="181" t="str">
        <f>IFERROR(__xludf.DUMMYFUNCTION("IF(ISBLANK(AH99),"""",IFERROR(GOOGLEFINANCE(AH99,""price""),IFERROR(GOOGLEFINANCE(""CURRENCY:""&amp;AH99&amp;""""),IFERROR(INDEX(YAHOO_STOCK(TRIM(AH99), $G$2),0,1),INDEX(IMPORTHTML(CONCAT(""https://coinmarketcap.com/currencies/"",AG99),""table"",1),1,2)))))"),"")</f>
        <v/>
      </c>
      <c r="AL99" s="14" t="str">
        <f>IFERROR(__xludf.DUMMYFUNCTION("IF(ISBLANK(AH99),"""",IFERROR(SPARKLINE(INDEX(GOOGLEFINANCE(AH99,""price"",TODAY()-$AL$2,TODAY()),,2),{""charttype"",""column"";""color"",""17a7e0""}),""""))"),"")</f>
        <v/>
      </c>
      <c r="AM99" s="50" t="str">
        <f>IFERROR(__xludf.DUMMYFUNCTION("IFNA(IFERROR(IF(AH99="""","""",GOOGLEFINANCE(AH99,""changepct"")/100),(GOOGLEFINANCE(AH99)-(INDEX(GOOGLEFINANCE(""CURRENCY:""&amp;AH99&amp;"""",""price"",TODAY()-1),2,2)))/(INDEX(GOOGLEFINANCE(""CURRENCY:""&amp;AH99&amp;"""",""price"",TODAY()-1),2,2))),)"),"")</f>
        <v/>
      </c>
      <c r="AN99" s="96" t="str">
        <f>IFERROR(__xludf.DUMMYFUNCTION("IFNA(IFERROR(IF(AH99="""","""",GOOGLEFINANCE(AH99,""change"")*AI99),(GOOGLEFINANCE(AH99)-(INDEX(GOOGLEFINANCE(""CURRENCY:""&amp;AH99&amp;"""",""price"",TODAY()-1),2,2)))*AI99),"""")"),"")</f>
        <v/>
      </c>
      <c r="AO99" s="96" t="str">
        <f>IF(ISBLANK(AH99),"",IFERROR(((AI99-SUMIFS(Transactions!I:I,Transactions!H:H,"Crypto Interest",Transactions!D:D,AH99))*AJ99),""))</f>
        <v/>
      </c>
      <c r="AP99" s="96" t="str">
        <f t="shared" si="16"/>
        <v/>
      </c>
      <c r="AQ99" s="50" t="str">
        <f t="shared" si="17"/>
        <v/>
      </c>
      <c r="AR99" s="96" t="str">
        <f t="shared" si="18"/>
        <v/>
      </c>
      <c r="AS99" s="96" t="str">
        <f>IF(ISBLANK(AH99),"",SUMIFS(Transactions!$X$3:$X149,Transactions!$H$3:$H149,"Sell",Transactions!$D$3:$D149,AH99))</f>
        <v/>
      </c>
      <c r="AT99" s="96" t="str">
        <f t="shared" si="19"/>
        <v/>
      </c>
      <c r="AU99" s="50" t="str">
        <f>IFERROR(__xludf.DUMMYFUNCTION("IF(ISBLANK(AH99),"""",IFERROR((GOOGLEFINANCE(AH99,""price"")/INDEX(GOOGLEFINANCE(AH99,""price"",DATEVALUE(TODAY()-$AU$2) ),2,2)-1),""""))"),"")</f>
        <v/>
      </c>
      <c r="AW99" s="50" t="str">
        <f>IFERROR(__xludf.DUMMYFUNCTION("IF(ISBLANK(AH99),"""",IFERROR((GOOGLEFINANCE($AW$2,""price"")/INDEX(GOOGLEFINANCE($AW$2,""price"",DATEVALUE(TODAY()-$AU$2) ),2,2)-1),""""))"),"")</f>
        <v/>
      </c>
      <c r="AY99" s="50" t="str">
        <f t="shared" si="20"/>
        <v/>
      </c>
      <c r="AZ99" s="50" t="str">
        <f t="shared" si="21"/>
        <v/>
      </c>
      <c r="BA99" s="50">
        <f t="shared" si="22"/>
        <v>0</v>
      </c>
      <c r="BB99" s="14" t="str">
        <f t="shared" si="23"/>
        <v/>
      </c>
      <c r="BC99" s="14" t="str">
        <f>IF(ISBLANK(AH99),"",IFERROR(VLOOKUP(AH99,Transactions!D:F,3,0)))</f>
        <v/>
      </c>
      <c r="BD99" s="50" t="str">
        <f t="shared" si="24"/>
        <v/>
      </c>
      <c r="BE99" s="50" t="str">
        <f t="shared" si="25"/>
        <v/>
      </c>
      <c r="BF99" s="14" t="str">
        <f t="shared" si="26"/>
        <v/>
      </c>
      <c r="BG99" s="180" t="str">
        <f>IF(ISBLANK(AH99),"",IFERROR(VLOOKUP(AH99,Transactions!D:G,4,0)))</f>
        <v/>
      </c>
    </row>
    <row r="100">
      <c r="A100" s="14" t="str">
        <f t="shared" ref="A100:C100" si="123">AG100</f>
        <v/>
      </c>
      <c r="B100" s="14" t="str">
        <f t="shared" si="123"/>
        <v/>
      </c>
      <c r="C100" s="175" t="str">
        <f t="shared" si="123"/>
        <v/>
      </c>
      <c r="D100" s="176" t="str">
        <f>IFERROR(__xludf.DUMMYFUNCTION("IF(ISBLANK(B100),"""",IFERROR(IF(OR(AF100=""GPB"",AF100=""ZAR""),IF(AF100=Dashboard!$L$1,AJ100,(AJ100*GOOGLEFINANCE(""CURRENCY:""&amp;AF100&amp;""""&amp;Dashboard!$L$1&amp;""""))/100),IF(AF100=Dashboard!$L$1,AJ100,AJ100*GOOGLEFINANCE(""CURRENCY:""&amp;AF100&amp;""""&amp;Dashboard!$L"&amp;"$1&amp;""""))),AJ100))"),"")</f>
        <v/>
      </c>
      <c r="E100" s="177" t="str">
        <f>IFERROR(__xludf.DUMMYFUNCTION("IFERROR(IF(OR(AF100=""GBP"",AF100=""ZAR""),IF(B100="""","""",IF(AF100=Dashboard!$L$1,AK100,AK100*GOOGLEFINANCE(""CURRENCY:""&amp;AF100&amp;""""&amp;Dashboard!$L$1&amp;"""")))/100,If(B100="""","""",IF(AF100=Dashboard!$L$1,AK100,AK100*GOOGLEFINANCE(""CURRENCY:""&amp;AF100&amp;"""""&amp;"&amp;Dashboard!$L$1&amp;"""")))),AK100)"),"")</f>
        <v/>
      </c>
      <c r="F100" s="145" t="str">
        <f t="shared" si="65"/>
        <v/>
      </c>
      <c r="G100" s="96" t="str">
        <f>IFERROR(__xludf.DUMMYFUNCTION("IF(ISBLANK(B100),"""",IFERROR(SPARKLINE(INDEX(GOOGLEFINANCE(B100,""price"",TODAY()-$G$2,TODAY()),,2),{""charttype"",""column"";""color"",""17a7e0""}),""""))"),"")</f>
        <v/>
      </c>
      <c r="H100" s="50" t="str">
        <f t="shared" si="3"/>
        <v/>
      </c>
      <c r="I100" s="96" t="str">
        <f>IFERROR(__xludf.DUMMYFUNCTION("IF(ISBLANK(B100),"""",IFERROR(IF(OR(AF100=""GPB"",AF100=""ZAR""),IF(AF100=Dashboard!$L$1,AN100,(AN100*GOOGLEFINANCE(""CURRENCY:""&amp;AF100&amp;""""&amp;Dashboard!$L$1&amp;""""))/100),IF(AF100=Dashboard!$L$1,AN100,AN100*GOOGLEFINANCE(""CURRENCY:""&amp;AF100&amp;""""&amp;Dashboard!$L"&amp;"$1&amp;""""))),AN100))"),"")</f>
        <v/>
      </c>
      <c r="J100" s="178" t="str">
        <f>IF(ISBLANK(B100),"",IFERROR(((C100-SUMIFS(Transactions!I:I,Transactions!H:H,"Crypto Interest",Transactions!D:D,B100))*D100),""))</f>
        <v/>
      </c>
      <c r="K100" s="178" t="str">
        <f t="shared" si="4"/>
        <v/>
      </c>
      <c r="L100" s="145">
        <f>IF(ISBLANK(AF100),"",SUMIFS(Transactions!$M$3:$M149,Transactions!$H$3:$H149,"Buy",Transactions!$D$3:$D149,AF100))</f>
        <v>0</v>
      </c>
      <c r="M100" s="145">
        <f>IF(ISBLANK(AG100),"",SUMIFS(Transactions!$M$3:$M149,Transactions!$H$3:$H149,"Dividend",Transactions!$D$3:$D149,AG100))</f>
        <v>0</v>
      </c>
      <c r="N100" s="145" t="str">
        <f>IF(ISBLANK(AH100),"",SUMIFS(Transactions!$M$3:$M149,Transactions!$H$3:$H149,"Sell",Transactions!$D$3:$D149,AH100))</f>
        <v/>
      </c>
      <c r="O100" s="50" t="str">
        <f t="shared" si="5"/>
        <v/>
      </c>
      <c r="P100" s="178" t="str">
        <f t="shared" si="6"/>
        <v/>
      </c>
      <c r="Q100" s="178" t="str">
        <f>IFERROR(__xludf.DUMMYFUNCTION("IF(ISBLANK(B100),"""",IFERROR(IF(OR(AF100=""GPB"",AF100=""ZAR""),IF(AF100=Dashboard!$L$1,AS100,(AS100*GOOGLEFINANCE(""CURRENCY:""&amp;AF100&amp;""""&amp;Dashboard!$L$1&amp;""""))/100),IF(AF100=Dashboard!$L$1,AS100,AS100*GOOGLEFINANCE(""CURRENCY:""&amp;AF100&amp;""""&amp;Dashboard!$L"&amp;"$1&amp;""""))),AS100))"),"")</f>
        <v/>
      </c>
      <c r="R100" s="178" t="str">
        <f t="shared" si="7"/>
        <v/>
      </c>
      <c r="S100" s="50" t="str">
        <f>IFERROR(__xludf.DUMMYFUNCTION("IF(ISBLANK(B100),"""",IFERROR((GOOGLEFINANCE(B100,""price"")/INDEX(GOOGLEFINANCE(B100,""price"",DATEVALUE(TODAY()-$S$2) ),2,2)-1),""""))"),"")</f>
        <v/>
      </c>
      <c r="U100" s="50" t="str">
        <f>IFERROR(__xludf.DUMMYFUNCTION("IF(ISBLANK(B100),"""",IFERROR((GOOGLEFINANCE($U$2,""price"")/INDEX(GOOGLEFINANCE($U$2,""price"",DATEVALUE(TODAY()-$S$2) ),2,2)-1),""""))"),"")</f>
        <v/>
      </c>
      <c r="W100" s="50" t="str">
        <f t="shared" si="8"/>
        <v/>
      </c>
      <c r="X100" s="50" t="str">
        <f t="shared" si="9"/>
        <v/>
      </c>
      <c r="Y100" s="50"/>
      <c r="Z100" s="50" t="str">
        <f t="shared" si="10"/>
        <v/>
      </c>
      <c r="AA100" s="14" t="str">
        <f t="shared" si="11"/>
        <v/>
      </c>
      <c r="AB100" s="50" t="str">
        <f t="shared" si="12"/>
        <v/>
      </c>
      <c r="AC100" s="179" t="str">
        <f t="shared" si="13"/>
        <v/>
      </c>
      <c r="AD100" s="50" t="str">
        <f t="shared" si="14"/>
        <v/>
      </c>
      <c r="AE100" s="180" t="str">
        <f t="shared" si="15"/>
        <v/>
      </c>
      <c r="AF100" s="14" t="str">
        <f t="array" ref="AF100">IFERROR(IF(ISBLANK(AH100),"",IF(VLOOKUP(AH100,Transactions!D:F,3,0)="Stablecoin",AH100,INDEX(Transactions!$B$3:$B149,MATCH(AH100,Transactions!$D$3:$D149,0),0))))</f>
        <v/>
      </c>
      <c r="AG100" s="14" t="str">
        <f>IF(ISBLANK(AH100),"",VLOOKUP(AH100,Transactions!D:E,2,0))</f>
        <v/>
      </c>
      <c r="AH100" s="14"/>
      <c r="AI100" s="146" t="str">
        <f>IF(ISBLANK(AH100),"",IF(
SUMIFS(Transactions!$I$3:$I149,Transactions!$H$3:$H149,"Buy",Transactions!$F$3:$F149,"Stock",Transactions!$D$3:$D149,AH100)
+SUMIFS(Transactions!$I$3:$I149,Transactions!$H$3:$H149,"DRIP",Transactions!$F$3:$F149,"Stock",Transactions!$D$3:$D149,AH100)
+SUMIFS(Transactions!$I$3:$I149,Transactions!$H$3:$H149,"Transfer Deposit",Transactions!$F$3:$F149,"Stock",Transactions!$D$3:$D149,AH100)
+SUMIFS(Transactions!$I$3:$I149,Transactions!$H$3:$H149,"Buy",Transactions!$F$3:$F149,"ETF",Transactions!$D$3:$D149,AH100)
+SUMIFS(Transactions!$I$3:$I149,Transactions!$H$3:$H149,"DRIP",Transactions!$F$3:$F149,"ETF",Transactions!$D$3:$D149,AH100)
+SUMIFS(Transactions!$I$3:$I149,Transactions!$H$3:$H149,"Transfer Deposit",Transactions!$F$3:$F149,"ETF",Transactions!$D$3:$D149,AH100)
+SUMIFS(Transactions!$I$3:$I149,Transactions!$H$3:$H149,"Buy",Transactions!$F$3:$F149,"Commodity",Transactions!$D$3:$D149,AH100)
+SUMIFS(Transactions!$I$3:$I149,Transactions!$H$3:$H149,"DRIP",Transactions!$F$3:$F149,"Commodity",Transactions!$D$3:$D149,AH100)
+SUMIFS(Transactions!$I$3:$I149,Transactions!$H$3:$H149,"Transfer Deposit",Transactions!$F$3:$F149,"Commodity",Transactions!$D$3:$D149,AH100)
+SUMIFS(Transactions!$I$3:$I149,Transactions!$H$3:$H149,"Buy",Transactions!$F$3:$F149,"Managed Fund",Transactions!$D$3:$D149,AH100)
+SUMIFS(Transactions!$I$3:$I149,Transactions!$H$3:$H149,"DRIP",Transactions!$F$3:$F149,"Managed Fund",Transactions!$D$3:$D149,AH100)
+SUMIFS(Transactions!$I$3:$I149,Transactions!$H$3:$H149,"Transfer Deposit",Transactions!$F$3:$F149,"Managed Fund",Transactions!$D$3:$D149,AH100)
+SUMIFS(Transactions!$I$3:$I149,Transactions!$H$3:$H149,"Buy",Transactions!$F$3:$F149,"REIT",Transactions!$D$3:$D149,AH100)
+SUMIFS(Transactions!$I$3:$I149,Transactions!$H$3:$H149,"DRIP",Transactions!$F$3:$F149,"REIT",Transactions!$D$3:$D149,AH100)
+SUMIFS(Transactions!$I$3:$I149,Transactions!$H$3:$H149,"Transfer Deposit",Transactions!$F$3:$F149,"REIT",Transactions!$D$3:$D149,AH100)
-SUMIFS(Transactions!$I$3:$I149,Transactions!$H$3:$H149,"Sell",Transactions!$F$3:$F149,"Stock",Transactions!$D$3:$D149,AH100)
-SUMIFS(Transactions!$I$3:$I149,Transactions!$H$3:$H149,"Transfer Send",Transactions!$F$3:$F149,"Stock",Transactions!$D$3:$D149,AH100)
-SUMIFS(Transactions!$I$3:$I149,Transactions!$H$3:$H149,"Sell",Transactions!$F$3:$F149,"ETF",Transactions!$D$3:$D149,AH100)
-SUMIFS(Transactions!$I$3:$I149,Transactions!$H$3:$H149,"Transfer Send",Transactions!$F$3:$F149,"ETF",Transactions!$D$3:$D149,AH100)
-SUMIFS(Transactions!$I$3:$I149,Transactions!$H$3:$H149,"Sell",Transactions!$F$3:$F149,"Commodity",Transactions!$D$3:$D149,AH100)
-SUMIFS(Transactions!$I$3:$I149,Transactions!$H$3:$H149,"Transfer Send",Transactions!$F$3:$F149,"Commodity",Transactions!$D$3:$D149,AH100)
-SUMIFS(Transactions!$I$3:$I149,Transactions!$H$3:$H149,"Sell",Transactions!$F$3:$F149,"Managed Fund",Transactions!$D$3:$D149,AH100)
-SUMIFS(Transactions!$I$3:$I149,Transactions!$H$3:$H149,"Transfer Send",Transactions!$F$3:$F149,"Managed Fund",Transactions!$D$3:$D149,AH100)
-SUMIFS(Transactions!$I$3:$I149,Transactions!$H$3:$H149,"Sell",Transactions!$F$3:$F149,"REIT",Transactions!$D$3:$D149,AH100)
-SUMIFS(Transactions!$I$3:$I149,Transactions!$H$3:$H149,"Transfer Send",Transactions!$F$3:$F149,"REIT",Transactions!$D$3:$D149,AH100)
+SUMIFS(Transactions!$I$3:$I149,Transactions!$H$3:$H149,"Buy",Transactions!$F$3:$F149,"Crypto",Transactions!$D$3:$D149,AH100)
+SUMIFS(Transactions!$I$3:$I149,Transactions!$H$3:$H149,"Crypto Interest",Transactions!$F$3:$F149,"Crypto",Transactions!$D$3:$D149,AH100)
+SUMIFS(Transactions!$I$3:$I149,Transactions!$H$3:$H149,"Transfer Deposit",Transactions!$F$3:$F149,"Crypto",Transactions!$D$3:$D149,AH100)
-SUMIFS(Transactions!$I$3:$I149,Transactions!$H$3:$H149,"Transfer Send",Transactions!$F$3:$F149,"Crypto",Transactions!$D$3:$D149,AH100)
-SUMIFS(Transactions!$I$3:$I149,Transactions!$H$3:$H149,"Sell",Transactions!$F$3:$F149,"Crypto",Transactions!$D$3:$D149,AH100)
+SUMIFS(Transactions!$I$3:$I149,Transactions!$H$3:$H149,"Buy",Transactions!$F$3:$F149,"Stablecoin",Transactions!$D$3:$D149,AH100)
+SUMIFS(Transactions!$I$3:$I149,Transactions!$H$3:$H149,"Crypto Interest",Transactions!$F$3:$F149,"Stablecoin",Transactions!$D$3:$D149,AH100)
+SUMIFS(Transactions!$I$3:$I149,Transactions!$H$3:$H149,"Transfer Deposit",Transactions!$F$3:$F149,"Stablecoin",Transactions!$D$3:$D149,AH100)
-SUMIFS(Transactions!$I$3:$I149,Transactions!$H$3:$H149,"Transfer Send",Transactions!$F$3:$F149,"Stablecoin",Transactions!$D$3:$D149,AH100)
-SUMIFS(Transactions!$I$3:$I149,Transactions!$H$3:$H149,"Sell",Transactions!$F$3:$F149,"Stablecoin",Transactions!$D$3:$D149,AH100)
-SUMIFS(Transactions!$M$3:$M149,Transactions!$H$3:$H149,"Buy",Transactions!$B$3:$B149,AH100)=0,"Sold All",
SUMIFS(Transactions!$I$3:$I149,Transactions!$H$3:$H149,"Buy",Transactions!$F$3:$F149,"Stock",Transactions!$D$3:$D149,AH100)
+SUMIFS(Transactions!$I$3:$I149,Transactions!$H$3:$H149,"DRIP",Transactions!$F$3:$F149,"Stock",Transactions!$D$3:$D149,AH100)
+SUMIFS(Transactions!$I$3:$I149,Transactions!$H$3:$H149,"Transfer Deposit",Transactions!$F$3:$F149,"Stock",Transactions!$D$3:$D149,AH100)
+SUMIFS(Transactions!$I$3:$I149,Transactions!$H$3:$H149,"Buy",Transactions!$F$3:$F149,"ETF",Transactions!$D$3:$D149,AH100)
+SUMIFS(Transactions!$I$3:$I149,Transactions!$H$3:$H149,"DRIP",Transactions!$F$3:$F149,"ETF",Transactions!$D$3:$D149,AH100)
+SUMIFS(Transactions!$I$3:$I149,Transactions!$H$3:$H149,"Transfer Deposit",Transactions!$F$3:$F149,"ETF",Transactions!$D$3:$D149,AH100)
+SUMIFS(Transactions!$I$3:$I149,Transactions!$H$3:$H149,"Buy",Transactions!$F$3:$F149,"Commodity",Transactions!$D$3:$D149,AH100)
+SUMIFS(Transactions!$I$3:$I149,Transactions!$H$3:$H149,"DRIP",Transactions!$F$3:$F149,"Commodity",Transactions!$D$3:$D149,AH100)
+SUMIFS(Transactions!$I$3:$I149,Transactions!$H$3:$H149,"Transfer Deposit",Transactions!$F$3:$F149,"Commodity",Transactions!$D$3:$D149,AH100)
+SUMIFS(Transactions!$I$3:$I149,Transactions!$H$3:$H149,"Buy",Transactions!$F$3:$F149,"Managed Fund",Transactions!$D$3:$D149,AH100)
+SUMIFS(Transactions!$I$3:$I149,Transactions!$H$3:$H149,"DRIP",Transactions!$F$3:$F149,"Managed Fund",Transactions!$D$3:$D149,AH100)
+SUMIFS(Transactions!$I$3:$I149,Transactions!$H$3:$H149,"Transfer Deposit",Transactions!$F$3:$F149,"Managed Fund",Transactions!$D$3:$D149,AH100)
+SUMIFS(Transactions!$I$3:$I149,Transactions!$H$3:$H149,"Buy",Transactions!$F$3:$F149,"REIT",Transactions!$D$3:$D149,AH100)
+SUMIFS(Transactions!$I$3:$I149,Transactions!$H$3:$H149,"DRIP",Transactions!$F$3:$F149,"REIT",Transactions!$D$3:$D149,AH100)
+SUMIFS(Transactions!$I$3:$I149,Transactions!$H$3:$H149,"Transfer Deposit",Transactions!$F$3:$F149,"REIT",Transactions!$D$3:$D149,AH100)
-SUMIFS(Transactions!$I$3:$I149,Transactions!$H$3:$H149,"Sell",Transactions!$F$3:$F149,"Stock",Transactions!$D$3:$D149,AH100)
-SUMIFS(Transactions!$I$3:$I149,Transactions!$H$3:$H149,"Transfer Send",Transactions!$F$3:$F149,"Stock",Transactions!$D$3:$D149,AH100)
-SUMIFS(Transactions!$I$3:$I149,Transactions!$H$3:$H149,"Sell",Transactions!$F$3:$F149,"ETF",Transactions!$D$3:$D149,AH100)
-SUMIFS(Transactions!$I$3:$I149,Transactions!$H$3:$H149,"Transfer Send",Transactions!$F$3:$F149,"ETF",Transactions!$D$3:$D149,AH100)
-SUMIFS(Transactions!$I$3:$I149,Transactions!$H$3:$H149,"Sell",Transactions!$F$3:$F149,"Commodity",Transactions!$D$3:$D149,AH100)
-SUMIFS(Transactions!$I$3:$I149,Transactions!$H$3:$H149,"Transfer Send",Transactions!$F$3:$F149,"Commodity",Transactions!$D$3:$D149,AH100)
-SUMIFS(Transactions!$I$3:$I149,Transactions!$H$3:$H149,"Sell",Transactions!$F$3:$F149,"Managed Fund",Transactions!$D$3:$D149,AH100)
-SUMIFS(Transactions!$I$3:$I149,Transactions!$H$3:$H149,"Transfer Send",Transactions!$F$3:$F149,"Managed Fund",Transactions!$D$3:$D149,AH100)
-SUMIFS(Transactions!$I$3:$I149,Transactions!$H$3:$H149,"Sell",Transactions!$F$3:$F149,"REIT",Transactions!$D$3:$D149,AH100)
-SUMIFS(Transactions!$I$3:$I149,Transactions!$H$3:$H149,"Transfer Send",Transactions!$F$3:$F149,"REIT",Transactions!$D$3:$D149,AH100)
+SUMIFS(Transactions!$I$3:$I149,Transactions!$H$3:$H149,"Buy",Transactions!$F$3:$F149,"Crypto",Transactions!$D$3:$D149,AH100)
+SUMIFS(Transactions!$I$3:$I149,Transactions!$H$3:$H149,"Crypto Interest",Transactions!$F$3:$F149,"Crypto",Transactions!$D$3:$D149,AH100)
+SUMIFS(Transactions!$I$3:$I149,Transactions!$H$3:$H149,"Transfer Deposit",Transactions!$F$3:$F149,"Crypto",Transactions!$D$3:$D149,AH100)
-SUMIFS(Transactions!$I$3:$I149,Transactions!$H$3:$H149,"Transfer Send",Transactions!$F$3:$F149,"Crypto",Transactions!$D$3:$D149,AH100)
-SUMIFS(Transactions!$I$3:$I149,Transactions!$H$3:$H149,"Sell",Transactions!$F$3:$F149,"Crypto",Transactions!$D$3:$D149,AH100)
+SUMIFS(Transactions!$I$3:$I149,Transactions!$H$3:$H149,"Buy",Transactions!$F$3:$F149,"Stablecoin",Transactions!$D$3:$D149,AH100)
+SUMIFS(Transactions!$I$3:$I149,Transactions!$H$3:$H149,"Crypto Interest",Transactions!$F$3:$F149,"Stablecoin",Transactions!$D$3:$D149,AH100)
+SUMIFS(Transactions!$I$3:$I149,Transactions!$H$3:$H149,"Transfer Deposit",Transactions!$F$3:$F149,"Stablecoin",Transactions!$D$3:$D149,AH100)
-SUMIFS(Transactions!$I$3:$I149,Transactions!$H$3:$H149,"Transfer Send",Transactions!$F$3:$F149,"Stablecoin",Transactions!$D$3:$D149,AH100)
-SUMIFS(Transactions!$I$3:$I149,Transactions!$H$3:$H149,"Sell",Transactions!$F$3:$F149,"Stablecoin",Transactions!$D$3:$D149,AH100)
-SUMIFS(Transactions!$M$3:$M149,Transactions!$H$3:$H149,"Buy",Transactions!$B$3:$B149,AH100)))</f>
        <v/>
      </c>
      <c r="AJ100" s="181" t="str">
        <f>IFERROR(__xludf.DUMMYFUNCTION("IF(ISBLANK(AH100),"""",VLOOKUP(9^99,FILTER({ROW(Transactions!P:P),Transactions!P:P},Transactions!D:D=AH100),2))"),"")</f>
        <v/>
      </c>
      <c r="AK100" s="181" t="str">
        <f>IFERROR(__xludf.DUMMYFUNCTION("IF(ISBLANK(AH100),"""",IFERROR(GOOGLEFINANCE(AH100,""price""),IFERROR(GOOGLEFINANCE(""CURRENCY:""&amp;AH100&amp;""""),IFERROR(INDEX(YAHOO_STOCK(TRIM(AH100), $G$2),0,1),INDEX(IMPORTHTML(CONCAT(""https://coinmarketcap.com/currencies/"",AG100),""table"",1),1,2)))))"),"")</f>
        <v/>
      </c>
      <c r="AL100" s="14" t="str">
        <f>IFERROR(__xludf.DUMMYFUNCTION("IF(ISBLANK(AH100),"""",IFERROR(SPARKLINE(INDEX(GOOGLEFINANCE(AH100,""price"",TODAY()-$AL$2,TODAY()),,2),{""charttype"",""column"";""color"",""17a7e0""}),""""))"),"")</f>
        <v/>
      </c>
      <c r="AM100" s="50" t="str">
        <f>IFERROR(__xludf.DUMMYFUNCTION("IFNA(IFERROR(IF(AH100="""","""",GOOGLEFINANCE(AH100,""changepct"")/100),(GOOGLEFINANCE(AH100)-(INDEX(GOOGLEFINANCE(""CURRENCY:""&amp;AH100&amp;"""",""price"",TODAY()-1),2,2)))/(INDEX(GOOGLEFINANCE(""CURRENCY:""&amp;AH100&amp;"""",""price"",TODAY()-1),2,2))),)"),"")</f>
        <v/>
      </c>
      <c r="AN100" s="96" t="str">
        <f>IFERROR(__xludf.DUMMYFUNCTION("IFNA(IFERROR(IF(AH100="""","""",GOOGLEFINANCE(AH100,""change"")*AI100),(GOOGLEFINANCE(AH100)-(INDEX(GOOGLEFINANCE(""CURRENCY:""&amp;AH100&amp;"""",""price"",TODAY()-1),2,2)))*AI100),"""")"),"")</f>
        <v/>
      </c>
      <c r="AO100" s="96" t="str">
        <f>IF(ISBLANK(AH100),"",IFERROR(((AI100-SUMIFS(Transactions!I:I,Transactions!H:H,"Crypto Interest",Transactions!D:D,AH100))*AJ100),""))</f>
        <v/>
      </c>
      <c r="AP100" s="96" t="str">
        <f t="shared" si="16"/>
        <v/>
      </c>
      <c r="AQ100" s="50" t="str">
        <f t="shared" si="17"/>
        <v/>
      </c>
      <c r="AR100" s="96" t="str">
        <f t="shared" si="18"/>
        <v/>
      </c>
      <c r="AS100" s="96" t="str">
        <f>IF(ISBLANK(AH100),"",SUMIFS(Transactions!$X$3:$X149,Transactions!$H$3:$H149,"Sell",Transactions!$D$3:$D149,AH100))</f>
        <v/>
      </c>
      <c r="AT100" s="96" t="str">
        <f t="shared" si="19"/>
        <v/>
      </c>
      <c r="AU100" s="50" t="str">
        <f>IFERROR(__xludf.DUMMYFUNCTION("IF(ISBLANK(AH100),"""",IFERROR((GOOGLEFINANCE(AH100,""price"")/INDEX(GOOGLEFINANCE(AH100,""price"",DATEVALUE(TODAY()-$AU$2) ),2,2)-1),""""))"),"")</f>
        <v/>
      </c>
      <c r="AW100" s="50" t="str">
        <f>IFERROR(__xludf.DUMMYFUNCTION("IF(ISBLANK(AH100),"""",IFERROR((GOOGLEFINANCE($AW$2,""price"")/INDEX(GOOGLEFINANCE($AW$2,""price"",DATEVALUE(TODAY()-$AU$2) ),2,2)-1),""""))"),"")</f>
        <v/>
      </c>
      <c r="AY100" s="50" t="str">
        <f t="shared" si="20"/>
        <v/>
      </c>
      <c r="AZ100" s="50" t="str">
        <f t="shared" si="21"/>
        <v/>
      </c>
      <c r="BA100" s="50" t="str">
        <f t="shared" si="22"/>
        <v/>
      </c>
      <c r="BB100" s="14" t="str">
        <f t="shared" si="23"/>
        <v/>
      </c>
      <c r="BC100" s="14" t="str">
        <f>IF(ISBLANK(AH100),"",IFERROR(VLOOKUP(AH100,Transactions!D:F,3,0)))</f>
        <v/>
      </c>
      <c r="BD100" s="50" t="str">
        <f t="shared" si="24"/>
        <v/>
      </c>
      <c r="BE100" s="50" t="str">
        <f t="shared" si="25"/>
        <v/>
      </c>
      <c r="BF100" s="14" t="str">
        <f t="shared" si="26"/>
        <v/>
      </c>
      <c r="BG100" s="180" t="str">
        <f>IF(ISBLANK(AH100),"",IFERROR(VLOOKUP(AH100,Transactions!D:G,4,0)))</f>
        <v/>
      </c>
    </row>
    <row r="101">
      <c r="A101" s="14" t="str">
        <f t="shared" ref="A101:C101" si="124">AG101</f>
        <v/>
      </c>
      <c r="B101" s="14" t="str">
        <f t="shared" si="124"/>
        <v/>
      </c>
      <c r="C101" s="175" t="str">
        <f t="shared" si="124"/>
        <v/>
      </c>
      <c r="D101" s="176" t="str">
        <f>IFERROR(__xludf.DUMMYFUNCTION("IF(ISBLANK(B101),"""",IFERROR(IF(OR(AF101=""GPB"",AF101=""ZAR""),IF(AF101=Dashboard!$L$1,AJ101,(AJ101*GOOGLEFINANCE(""CURRENCY:""&amp;AF101&amp;""""&amp;Dashboard!$L$1&amp;""""))/100),IF(AF101=Dashboard!$L$1,AJ101,AJ101*GOOGLEFINANCE(""CURRENCY:""&amp;AF101&amp;""""&amp;Dashboard!$L"&amp;"$1&amp;""""))),AJ101))"),"")</f>
        <v/>
      </c>
      <c r="E101" s="177" t="str">
        <f>IFERROR(__xludf.DUMMYFUNCTION("IFERROR(IF(OR(AF101=""GBP"",AF101=""ZAR""),IF(B101="""","""",IF(AF101=Dashboard!$L$1,AK101,AK101*GOOGLEFINANCE(""CURRENCY:""&amp;AF101&amp;""""&amp;Dashboard!$L$1&amp;"""")))/100,If(B101="""","""",IF(AF101=Dashboard!$L$1,AK101,AK101*GOOGLEFINANCE(""CURRENCY:""&amp;AF101&amp;"""""&amp;"&amp;Dashboard!$L$1&amp;"""")))),AK101)"),"")</f>
        <v/>
      </c>
      <c r="F101" s="145" t="str">
        <f t="shared" si="65"/>
        <v/>
      </c>
      <c r="G101" s="96" t="str">
        <f>IFERROR(__xludf.DUMMYFUNCTION("IF(ISBLANK(B101),"""",IFERROR(SPARKLINE(INDEX(GOOGLEFINANCE(B101,""price"",TODAY()-$G$2,TODAY()),,2),{""charttype"",""column"";""color"",""17a7e0""}),""""))"),"")</f>
        <v/>
      </c>
      <c r="H101" s="50" t="str">
        <f t="shared" si="3"/>
        <v/>
      </c>
      <c r="I101" s="96" t="str">
        <f>IFERROR(__xludf.DUMMYFUNCTION("IF(ISBLANK(B101),"""",IFERROR(IF(OR(AF101=""GPB"",AF101=""ZAR""),IF(AF101=Dashboard!$L$1,AN101,(AN101*GOOGLEFINANCE(""CURRENCY:""&amp;AF101&amp;""""&amp;Dashboard!$L$1&amp;""""))/100),IF(AF101=Dashboard!$L$1,AN101,AN101*GOOGLEFINANCE(""CURRENCY:""&amp;AF101&amp;""""&amp;Dashboard!$L"&amp;"$1&amp;""""))),AN101))"),"")</f>
        <v/>
      </c>
      <c r="J101" s="178" t="str">
        <f>IF(ISBLANK(B101),"",IFERROR(((C101-SUMIFS(Transactions!I:I,Transactions!H:H,"Crypto Interest",Transactions!D:D,B101))*D101),""))</f>
        <v/>
      </c>
      <c r="K101" s="178" t="str">
        <f t="shared" si="4"/>
        <v/>
      </c>
      <c r="L101" s="145">
        <f>IF(ISBLANK(AF101),"",SUMIFS(Transactions!$M$3:$M149,Transactions!$H$3:$H149,"Buy",Transactions!$D$3:$D149,AF101))</f>
        <v>0</v>
      </c>
      <c r="M101" s="145">
        <f>IF(ISBLANK(AG101),"",SUMIFS(Transactions!$M$3:$M149,Transactions!$H$3:$H149,"Dividend",Transactions!$D$3:$D149,AG101))</f>
        <v>0</v>
      </c>
      <c r="N101" s="145" t="str">
        <f>IF(ISBLANK(AH101),"",SUMIFS(Transactions!$M$3:$M149,Transactions!$H$3:$H149,"Sell",Transactions!$D$3:$D149,AH101))</f>
        <v/>
      </c>
      <c r="O101" s="50" t="str">
        <f t="shared" si="5"/>
        <v/>
      </c>
      <c r="P101" s="178" t="str">
        <f t="shared" si="6"/>
        <v/>
      </c>
      <c r="Q101" s="178" t="str">
        <f>IFERROR(__xludf.DUMMYFUNCTION("IF(ISBLANK(B101),"""",IFERROR(IF(OR(AF101=""GPB"",AF101=""ZAR""),IF(AF101=Dashboard!$L$1,AS101,(AS101*GOOGLEFINANCE(""CURRENCY:""&amp;AF101&amp;""""&amp;Dashboard!$L$1&amp;""""))/100),IF(AF101=Dashboard!$L$1,AS101,AS101*GOOGLEFINANCE(""CURRENCY:""&amp;AF101&amp;""""&amp;Dashboard!$L"&amp;"$1&amp;""""))),AS101))"),"")</f>
        <v/>
      </c>
      <c r="R101" s="178" t="str">
        <f t="shared" si="7"/>
        <v/>
      </c>
      <c r="S101" s="50" t="str">
        <f>IFERROR(__xludf.DUMMYFUNCTION("IF(ISBLANK(B101),"""",IFERROR((GOOGLEFINANCE(B101,""price"")/INDEX(GOOGLEFINANCE(B101,""price"",DATEVALUE(TODAY()-$S$2) ),2,2)-1),""""))"),"")</f>
        <v/>
      </c>
      <c r="U101" s="50" t="str">
        <f>IFERROR(__xludf.DUMMYFUNCTION("IF(ISBLANK(B101),"""",IFERROR((GOOGLEFINANCE($U$2,""price"")/INDEX(GOOGLEFINANCE($U$2,""price"",DATEVALUE(TODAY()-$S$2) ),2,2)-1),""""))"),"")</f>
        <v/>
      </c>
      <c r="W101" s="50" t="str">
        <f t="shared" si="8"/>
        <v/>
      </c>
      <c r="X101" s="50" t="str">
        <f t="shared" si="9"/>
        <v/>
      </c>
      <c r="Y101" s="50"/>
      <c r="Z101" s="50" t="str">
        <f t="shared" si="10"/>
        <v/>
      </c>
      <c r="AA101" s="14" t="str">
        <f t="shared" si="11"/>
        <v/>
      </c>
      <c r="AB101" s="50" t="str">
        <f t="shared" si="12"/>
        <v/>
      </c>
      <c r="AC101" s="179" t="str">
        <f t="shared" si="13"/>
        <v/>
      </c>
      <c r="AD101" s="50" t="str">
        <f t="shared" si="14"/>
        <v/>
      </c>
      <c r="AE101" s="180" t="str">
        <f t="shared" si="15"/>
        <v/>
      </c>
      <c r="AF101" s="14" t="str">
        <f t="array" ref="AF101">IFERROR(IF(ISBLANK(AH101),"",IF(VLOOKUP(AH101,Transactions!D:F,3,0)="Stablecoin",AH101,INDEX(Transactions!$B$3:$B149,MATCH(AH101,Transactions!$D$3:$D149,0),0))))</f>
        <v/>
      </c>
      <c r="AG101" s="14" t="str">
        <f>IF(ISBLANK(AH101),"",VLOOKUP(AH101,Transactions!D:E,2,0))</f>
        <v/>
      </c>
      <c r="AH101" s="14"/>
      <c r="AI101" s="146" t="str">
        <f>IF(ISBLANK(AH101),"",IF(
SUMIFS(Transactions!$I$3:$I149,Transactions!$H$3:$H149,"Buy",Transactions!$F$3:$F149,"Stock",Transactions!$D$3:$D149,AH101)
+SUMIFS(Transactions!$I$3:$I149,Transactions!$H$3:$H149,"DRIP",Transactions!$F$3:$F149,"Stock",Transactions!$D$3:$D149,AH101)
+SUMIFS(Transactions!$I$3:$I149,Transactions!$H$3:$H149,"Transfer Deposit",Transactions!$F$3:$F149,"Stock",Transactions!$D$3:$D149,AH101)
+SUMIFS(Transactions!$I$3:$I149,Transactions!$H$3:$H149,"Buy",Transactions!$F$3:$F149,"ETF",Transactions!$D$3:$D149,AH101)
+SUMIFS(Transactions!$I$3:$I149,Transactions!$H$3:$H149,"DRIP",Transactions!$F$3:$F149,"ETF",Transactions!$D$3:$D149,AH101)
+SUMIFS(Transactions!$I$3:$I149,Transactions!$H$3:$H149,"Transfer Deposit",Transactions!$F$3:$F149,"ETF",Transactions!$D$3:$D149,AH101)
+SUMIFS(Transactions!$I$3:$I149,Transactions!$H$3:$H149,"Buy",Transactions!$F$3:$F149,"Commodity",Transactions!$D$3:$D149,AH101)
+SUMIFS(Transactions!$I$3:$I149,Transactions!$H$3:$H149,"DRIP",Transactions!$F$3:$F149,"Commodity",Transactions!$D$3:$D149,AH101)
+SUMIFS(Transactions!$I$3:$I149,Transactions!$H$3:$H149,"Transfer Deposit",Transactions!$F$3:$F149,"Commodity",Transactions!$D$3:$D149,AH101)
+SUMIFS(Transactions!$I$3:$I149,Transactions!$H$3:$H149,"Buy",Transactions!$F$3:$F149,"Managed Fund",Transactions!$D$3:$D149,AH101)
+SUMIFS(Transactions!$I$3:$I149,Transactions!$H$3:$H149,"DRIP",Transactions!$F$3:$F149,"Managed Fund",Transactions!$D$3:$D149,AH101)
+SUMIFS(Transactions!$I$3:$I149,Transactions!$H$3:$H149,"Transfer Deposit",Transactions!$F$3:$F149,"Managed Fund",Transactions!$D$3:$D149,AH101)
+SUMIFS(Transactions!$I$3:$I149,Transactions!$H$3:$H149,"Buy",Transactions!$F$3:$F149,"REIT",Transactions!$D$3:$D149,AH101)
+SUMIFS(Transactions!$I$3:$I149,Transactions!$H$3:$H149,"DRIP",Transactions!$F$3:$F149,"REIT",Transactions!$D$3:$D149,AH101)
+SUMIFS(Transactions!$I$3:$I149,Transactions!$H$3:$H149,"Transfer Deposit",Transactions!$F$3:$F149,"REIT",Transactions!$D$3:$D149,AH101)
-SUMIFS(Transactions!$I$3:$I149,Transactions!$H$3:$H149,"Sell",Transactions!$F$3:$F149,"Stock",Transactions!$D$3:$D149,AH101)
-SUMIFS(Transactions!$I$3:$I149,Transactions!$H$3:$H149,"Transfer Send",Transactions!$F$3:$F149,"Stock",Transactions!$D$3:$D149,AH101)
-SUMIFS(Transactions!$I$3:$I149,Transactions!$H$3:$H149,"Sell",Transactions!$F$3:$F149,"ETF",Transactions!$D$3:$D149,AH101)
-SUMIFS(Transactions!$I$3:$I149,Transactions!$H$3:$H149,"Transfer Send",Transactions!$F$3:$F149,"ETF",Transactions!$D$3:$D149,AH101)
-SUMIFS(Transactions!$I$3:$I149,Transactions!$H$3:$H149,"Sell",Transactions!$F$3:$F149,"Commodity",Transactions!$D$3:$D149,AH101)
-SUMIFS(Transactions!$I$3:$I149,Transactions!$H$3:$H149,"Transfer Send",Transactions!$F$3:$F149,"Commodity",Transactions!$D$3:$D149,AH101)
-SUMIFS(Transactions!$I$3:$I149,Transactions!$H$3:$H149,"Sell",Transactions!$F$3:$F149,"Managed Fund",Transactions!$D$3:$D149,AH101)
-SUMIFS(Transactions!$I$3:$I149,Transactions!$H$3:$H149,"Transfer Send",Transactions!$F$3:$F149,"Managed Fund",Transactions!$D$3:$D149,AH101)
-SUMIFS(Transactions!$I$3:$I149,Transactions!$H$3:$H149,"Sell",Transactions!$F$3:$F149,"REIT",Transactions!$D$3:$D149,AH101)
-SUMIFS(Transactions!$I$3:$I149,Transactions!$H$3:$H149,"Transfer Send",Transactions!$F$3:$F149,"REIT",Transactions!$D$3:$D149,AH101)
+SUMIFS(Transactions!$I$3:$I149,Transactions!$H$3:$H149,"Buy",Transactions!$F$3:$F149,"Crypto",Transactions!$D$3:$D149,AH101)
+SUMIFS(Transactions!$I$3:$I149,Transactions!$H$3:$H149,"Crypto Interest",Transactions!$F$3:$F149,"Crypto",Transactions!$D$3:$D149,AH101)
+SUMIFS(Transactions!$I$3:$I149,Transactions!$H$3:$H149,"Transfer Deposit",Transactions!$F$3:$F149,"Crypto",Transactions!$D$3:$D149,AH101)
-SUMIFS(Transactions!$I$3:$I149,Transactions!$H$3:$H149,"Transfer Send",Transactions!$F$3:$F149,"Crypto",Transactions!$D$3:$D149,AH101)
-SUMIFS(Transactions!$I$3:$I149,Transactions!$H$3:$H149,"Sell",Transactions!$F$3:$F149,"Crypto",Transactions!$D$3:$D149,AH101)
+SUMIFS(Transactions!$I$3:$I149,Transactions!$H$3:$H149,"Buy",Transactions!$F$3:$F149,"Stablecoin",Transactions!$D$3:$D149,AH101)
+SUMIFS(Transactions!$I$3:$I149,Transactions!$H$3:$H149,"Crypto Interest",Transactions!$F$3:$F149,"Stablecoin",Transactions!$D$3:$D149,AH101)
+SUMIFS(Transactions!$I$3:$I149,Transactions!$H$3:$H149,"Transfer Deposit",Transactions!$F$3:$F149,"Stablecoin",Transactions!$D$3:$D149,AH101)
-SUMIFS(Transactions!$I$3:$I149,Transactions!$H$3:$H149,"Transfer Send",Transactions!$F$3:$F149,"Stablecoin",Transactions!$D$3:$D149,AH101)
-SUMIFS(Transactions!$I$3:$I149,Transactions!$H$3:$H149,"Sell",Transactions!$F$3:$F149,"Stablecoin",Transactions!$D$3:$D149,AH101)
-SUMIFS(Transactions!$M$3:$M149,Transactions!$H$3:$H149,"Buy",Transactions!$B$3:$B149,AH101)=0,"Sold All",
SUMIFS(Transactions!$I$3:$I149,Transactions!$H$3:$H149,"Buy",Transactions!$F$3:$F149,"Stock",Transactions!$D$3:$D149,AH101)
+SUMIFS(Transactions!$I$3:$I149,Transactions!$H$3:$H149,"DRIP",Transactions!$F$3:$F149,"Stock",Transactions!$D$3:$D149,AH101)
+SUMIFS(Transactions!$I$3:$I149,Transactions!$H$3:$H149,"Transfer Deposit",Transactions!$F$3:$F149,"Stock",Transactions!$D$3:$D149,AH101)
+SUMIFS(Transactions!$I$3:$I149,Transactions!$H$3:$H149,"Buy",Transactions!$F$3:$F149,"ETF",Transactions!$D$3:$D149,AH101)
+SUMIFS(Transactions!$I$3:$I149,Transactions!$H$3:$H149,"DRIP",Transactions!$F$3:$F149,"ETF",Transactions!$D$3:$D149,AH101)
+SUMIFS(Transactions!$I$3:$I149,Transactions!$H$3:$H149,"Transfer Deposit",Transactions!$F$3:$F149,"ETF",Transactions!$D$3:$D149,AH101)
+SUMIFS(Transactions!$I$3:$I149,Transactions!$H$3:$H149,"Buy",Transactions!$F$3:$F149,"Commodity",Transactions!$D$3:$D149,AH101)
+SUMIFS(Transactions!$I$3:$I149,Transactions!$H$3:$H149,"DRIP",Transactions!$F$3:$F149,"Commodity",Transactions!$D$3:$D149,AH101)
+SUMIFS(Transactions!$I$3:$I149,Transactions!$H$3:$H149,"Transfer Deposit",Transactions!$F$3:$F149,"Commodity",Transactions!$D$3:$D149,AH101)
+SUMIFS(Transactions!$I$3:$I149,Transactions!$H$3:$H149,"Buy",Transactions!$F$3:$F149,"Managed Fund",Transactions!$D$3:$D149,AH101)
+SUMIFS(Transactions!$I$3:$I149,Transactions!$H$3:$H149,"DRIP",Transactions!$F$3:$F149,"Managed Fund",Transactions!$D$3:$D149,AH101)
+SUMIFS(Transactions!$I$3:$I149,Transactions!$H$3:$H149,"Transfer Deposit",Transactions!$F$3:$F149,"Managed Fund",Transactions!$D$3:$D149,AH101)
+SUMIFS(Transactions!$I$3:$I149,Transactions!$H$3:$H149,"Buy",Transactions!$F$3:$F149,"REIT",Transactions!$D$3:$D149,AH101)
+SUMIFS(Transactions!$I$3:$I149,Transactions!$H$3:$H149,"DRIP",Transactions!$F$3:$F149,"REIT",Transactions!$D$3:$D149,AH101)
+SUMIFS(Transactions!$I$3:$I149,Transactions!$H$3:$H149,"Transfer Deposit",Transactions!$F$3:$F149,"REIT",Transactions!$D$3:$D149,AH101)
-SUMIFS(Transactions!$I$3:$I149,Transactions!$H$3:$H149,"Sell",Transactions!$F$3:$F149,"Stock",Transactions!$D$3:$D149,AH101)
-SUMIFS(Transactions!$I$3:$I149,Transactions!$H$3:$H149,"Transfer Send",Transactions!$F$3:$F149,"Stock",Transactions!$D$3:$D149,AH101)
-SUMIFS(Transactions!$I$3:$I149,Transactions!$H$3:$H149,"Sell",Transactions!$F$3:$F149,"ETF",Transactions!$D$3:$D149,AH101)
-SUMIFS(Transactions!$I$3:$I149,Transactions!$H$3:$H149,"Transfer Send",Transactions!$F$3:$F149,"ETF",Transactions!$D$3:$D149,AH101)
-SUMIFS(Transactions!$I$3:$I149,Transactions!$H$3:$H149,"Sell",Transactions!$F$3:$F149,"Commodity",Transactions!$D$3:$D149,AH101)
-SUMIFS(Transactions!$I$3:$I149,Transactions!$H$3:$H149,"Transfer Send",Transactions!$F$3:$F149,"Commodity",Transactions!$D$3:$D149,AH101)
-SUMIFS(Transactions!$I$3:$I149,Transactions!$H$3:$H149,"Sell",Transactions!$F$3:$F149,"Managed Fund",Transactions!$D$3:$D149,AH101)
-SUMIFS(Transactions!$I$3:$I149,Transactions!$H$3:$H149,"Transfer Send",Transactions!$F$3:$F149,"Managed Fund",Transactions!$D$3:$D149,AH101)
-SUMIFS(Transactions!$I$3:$I149,Transactions!$H$3:$H149,"Sell",Transactions!$F$3:$F149,"REIT",Transactions!$D$3:$D149,AH101)
-SUMIFS(Transactions!$I$3:$I149,Transactions!$H$3:$H149,"Transfer Send",Transactions!$F$3:$F149,"REIT",Transactions!$D$3:$D149,AH101)
+SUMIFS(Transactions!$I$3:$I149,Transactions!$H$3:$H149,"Buy",Transactions!$F$3:$F149,"Crypto",Transactions!$D$3:$D149,AH101)
+SUMIFS(Transactions!$I$3:$I149,Transactions!$H$3:$H149,"Crypto Interest",Transactions!$F$3:$F149,"Crypto",Transactions!$D$3:$D149,AH101)
+SUMIFS(Transactions!$I$3:$I149,Transactions!$H$3:$H149,"Transfer Deposit",Transactions!$F$3:$F149,"Crypto",Transactions!$D$3:$D149,AH101)
-SUMIFS(Transactions!$I$3:$I149,Transactions!$H$3:$H149,"Transfer Send",Transactions!$F$3:$F149,"Crypto",Transactions!$D$3:$D149,AH101)
-SUMIFS(Transactions!$I$3:$I149,Transactions!$H$3:$H149,"Sell",Transactions!$F$3:$F149,"Crypto",Transactions!$D$3:$D149,AH101)
+SUMIFS(Transactions!$I$3:$I149,Transactions!$H$3:$H149,"Buy",Transactions!$F$3:$F149,"Stablecoin",Transactions!$D$3:$D149,AH101)
+SUMIFS(Transactions!$I$3:$I149,Transactions!$H$3:$H149,"Crypto Interest",Transactions!$F$3:$F149,"Stablecoin",Transactions!$D$3:$D149,AH101)
+SUMIFS(Transactions!$I$3:$I149,Transactions!$H$3:$H149,"Transfer Deposit",Transactions!$F$3:$F149,"Stablecoin",Transactions!$D$3:$D149,AH101)
-SUMIFS(Transactions!$I$3:$I149,Transactions!$H$3:$H149,"Transfer Send",Transactions!$F$3:$F149,"Stablecoin",Transactions!$D$3:$D149,AH101)
-SUMIFS(Transactions!$I$3:$I149,Transactions!$H$3:$H149,"Sell",Transactions!$F$3:$F149,"Stablecoin",Transactions!$D$3:$D149,AH101)
-SUMIFS(Transactions!$M$3:$M149,Transactions!$H$3:$H149,"Buy",Transactions!$B$3:$B149,AH101)))</f>
        <v/>
      </c>
      <c r="AJ101" s="181" t="str">
        <f>IFERROR(__xludf.DUMMYFUNCTION("IF(ISBLANK(AH101),"""",VLOOKUP(9^99,FILTER({ROW(Transactions!P:P),Transactions!P:P},Transactions!D:D=AH101),2))"),"")</f>
        <v/>
      </c>
      <c r="AK101" s="181" t="str">
        <f>IFERROR(__xludf.DUMMYFUNCTION("IF(ISBLANK(AH101),"""",IFERROR(GOOGLEFINANCE(AH101,""price""),IFERROR(GOOGLEFINANCE(""CURRENCY:""&amp;AH101&amp;""""),IFERROR(INDEX(YAHOO_STOCK(TRIM(AH101), $G$2),0,1),INDEX(IMPORTHTML(CONCAT(""https://coinmarketcap.com/currencies/"",AG101),""table"",1),1,2)))))"),"")</f>
        <v/>
      </c>
      <c r="AL101" s="14" t="str">
        <f>IFERROR(__xludf.DUMMYFUNCTION("IF(ISBLANK(AH101),"""",IFERROR(SPARKLINE(INDEX(GOOGLEFINANCE(AH101,""price"",TODAY()-$AL$2,TODAY()),,2),{""charttype"",""column"";""color"",""17a7e0""}),""""))"),"")</f>
        <v/>
      </c>
      <c r="AM101" s="50" t="str">
        <f>IFERROR(__xludf.DUMMYFUNCTION("IFNA(IFERROR(IF(AH101="""","""",GOOGLEFINANCE(AH101,""changepct"")/100),(GOOGLEFINANCE(AH101)-(INDEX(GOOGLEFINANCE(""CURRENCY:""&amp;AH101&amp;"""",""price"",TODAY()-1),2,2)))/(INDEX(GOOGLEFINANCE(""CURRENCY:""&amp;AH101&amp;"""",""price"",TODAY()-1),2,2))),)"),"")</f>
        <v/>
      </c>
      <c r="AN101" s="96" t="str">
        <f>IFERROR(__xludf.DUMMYFUNCTION("IFNA(IFERROR(IF(AH101="""","""",GOOGLEFINANCE(AH101,""change"")*AI101),(GOOGLEFINANCE(AH101)-(INDEX(GOOGLEFINANCE(""CURRENCY:""&amp;AH101&amp;"""",""price"",TODAY()-1),2,2)))*AI101),"""")"),"")</f>
        <v/>
      </c>
      <c r="AO101" s="96" t="str">
        <f>IF(ISBLANK(AH101),"",IFERROR(((AI101-SUMIFS(Transactions!I:I,Transactions!H:H,"Crypto Interest",Transactions!D:D,AH101))*AJ101),""))</f>
        <v/>
      </c>
      <c r="AP101" s="96" t="str">
        <f t="shared" si="16"/>
        <v/>
      </c>
      <c r="AQ101" s="50" t="str">
        <f t="shared" si="17"/>
        <v/>
      </c>
      <c r="AR101" s="96" t="str">
        <f t="shared" si="18"/>
        <v/>
      </c>
      <c r="AS101" s="96" t="str">
        <f>IF(ISBLANK(AH101),"",SUMIFS(Transactions!$X$3:$X149,Transactions!$H$3:$H149,"Sell",Transactions!$D$3:$D149,AH101))</f>
        <v/>
      </c>
      <c r="AT101" s="96" t="str">
        <f t="shared" si="19"/>
        <v/>
      </c>
      <c r="AU101" s="50" t="str">
        <f>IFERROR(__xludf.DUMMYFUNCTION("IF(ISBLANK(AH101),"""",IFERROR((GOOGLEFINANCE(AH101,""price"")/INDEX(GOOGLEFINANCE(AH101,""price"",DATEVALUE(TODAY()-$AU$2) ),2,2)-1),""""))"),"")</f>
        <v/>
      </c>
      <c r="AW101" s="50" t="str">
        <f>IFERROR(__xludf.DUMMYFUNCTION("IF(ISBLANK(AH101),"""",IFERROR((GOOGLEFINANCE($AW$2,""price"")/INDEX(GOOGLEFINANCE($AW$2,""price"",DATEVALUE(TODAY()-$AU$2) ),2,2)-1),""""))"),"")</f>
        <v/>
      </c>
      <c r="AY101" s="50" t="str">
        <f t="shared" si="20"/>
        <v/>
      </c>
      <c r="AZ101" s="50" t="str">
        <f t="shared" si="21"/>
        <v/>
      </c>
      <c r="BA101" s="50" t="str">
        <f t="shared" si="22"/>
        <v/>
      </c>
      <c r="BB101" s="14" t="str">
        <f t="shared" si="23"/>
        <v/>
      </c>
      <c r="BC101" s="14" t="str">
        <f>IF(ISBLANK(AH101),"",IFERROR(VLOOKUP(AH101,Transactions!D:F,3,0)))</f>
        <v/>
      </c>
      <c r="BD101" s="50" t="str">
        <f t="shared" si="24"/>
        <v/>
      </c>
      <c r="BE101" s="50" t="str">
        <f t="shared" si="25"/>
        <v/>
      </c>
      <c r="BF101" s="14" t="str">
        <f t="shared" si="26"/>
        <v/>
      </c>
      <c r="BG101" s="180" t="str">
        <f>IF(ISBLANK(AH101),"",IFERROR(VLOOKUP(AH101,Transactions!D:G,4,0)))</f>
        <v/>
      </c>
    </row>
    <row r="102">
      <c r="A102" s="14" t="str">
        <f t="shared" ref="A102:C102" si="125">AG102</f>
        <v/>
      </c>
      <c r="B102" s="14" t="str">
        <f t="shared" si="125"/>
        <v/>
      </c>
      <c r="C102" s="175" t="str">
        <f t="shared" si="125"/>
        <v/>
      </c>
      <c r="D102" s="176" t="str">
        <f>IFERROR(__xludf.DUMMYFUNCTION("IF(ISBLANK(B102),"""",IFERROR(IF(OR(AF102=""GPB"",AF102=""ZAR""),IF(AF102=Dashboard!$L$1,AJ102,(AJ102*GOOGLEFINANCE(""CURRENCY:""&amp;AF102&amp;""""&amp;Dashboard!$L$1&amp;""""))/100),IF(AF102=Dashboard!$L$1,AJ102,AJ102*GOOGLEFINANCE(""CURRENCY:""&amp;AF102&amp;""""&amp;Dashboard!$L"&amp;"$1&amp;""""))),AJ102))"),"")</f>
        <v/>
      </c>
      <c r="E102" s="177" t="str">
        <f>IFERROR(__xludf.DUMMYFUNCTION("IFERROR(IF(OR(AF102=""GBP"",AF102=""ZAR""),IF(B102="""","""",IF(AF102=Dashboard!$L$1,AK102,AK102*GOOGLEFINANCE(""CURRENCY:""&amp;AF102&amp;""""&amp;Dashboard!$L$1&amp;"""")))/100,If(B102="""","""",IF(AF102=Dashboard!$L$1,AK102,AK102*GOOGLEFINANCE(""CURRENCY:""&amp;AF102&amp;"""""&amp;"&amp;Dashboard!$L$1&amp;"""")))),AK102)"),"")</f>
        <v/>
      </c>
      <c r="F102" s="145" t="str">
        <f t="shared" si="65"/>
        <v/>
      </c>
      <c r="G102" s="96" t="str">
        <f>IFERROR(__xludf.DUMMYFUNCTION("IF(ISBLANK(B102),"""",IFERROR(SPARKLINE(INDEX(GOOGLEFINANCE(B102,""price"",TODAY()-$G$2,TODAY()),,2),{""charttype"",""column"";""color"",""17a7e0""}),""""))"),"")</f>
        <v/>
      </c>
      <c r="H102" s="50" t="str">
        <f t="shared" si="3"/>
        <v/>
      </c>
      <c r="I102" s="96" t="str">
        <f>IFERROR(__xludf.DUMMYFUNCTION("IF(ISBLANK(B102),"""",IFERROR(IF(OR(AF102=""GPB"",AF102=""ZAR""),IF(AF102=Dashboard!$L$1,AN102,(AN102*GOOGLEFINANCE(""CURRENCY:""&amp;AF102&amp;""""&amp;Dashboard!$L$1&amp;""""))/100),IF(AF102=Dashboard!$L$1,AN102,AN102*GOOGLEFINANCE(""CURRENCY:""&amp;AF102&amp;""""&amp;Dashboard!$L"&amp;"$1&amp;""""))),AN102))"),"")</f>
        <v/>
      </c>
      <c r="J102" s="178" t="str">
        <f>IF(ISBLANK(B102),"",IFERROR(((C102-SUMIFS(Transactions!I:I,Transactions!H:H,"Crypto Interest",Transactions!D:D,B102))*D102),""))</f>
        <v/>
      </c>
      <c r="K102" s="178" t="str">
        <f t="shared" si="4"/>
        <v/>
      </c>
      <c r="L102" s="145">
        <f>IF(ISBLANK(AF102),"",SUMIFS(Transactions!$M$3:$M149,Transactions!$H$3:$H149,"Buy",Transactions!$D$3:$D149,AF102))</f>
        <v>0</v>
      </c>
      <c r="M102" s="145">
        <f>IF(ISBLANK(AG102),"",SUMIFS(Transactions!$M$3:$M149,Transactions!$H$3:$H149,"Dividend",Transactions!$D$3:$D149,AG102))</f>
        <v>0</v>
      </c>
      <c r="N102" s="145" t="str">
        <f>IF(ISBLANK(AH102),"",SUMIFS(Transactions!$M$3:$M149,Transactions!$H$3:$H149,"Sell",Transactions!$D$3:$D149,AH102))</f>
        <v/>
      </c>
      <c r="O102" s="50" t="str">
        <f t="shared" si="5"/>
        <v/>
      </c>
      <c r="P102" s="178" t="str">
        <f t="shared" si="6"/>
        <v/>
      </c>
      <c r="Q102" s="178" t="str">
        <f>IFERROR(__xludf.DUMMYFUNCTION("IF(ISBLANK(B102),"""",IFERROR(IF(OR(AF102=""GPB"",AF102=""ZAR""),IF(AF102=Dashboard!$L$1,AS102,(AS102*GOOGLEFINANCE(""CURRENCY:""&amp;AF102&amp;""""&amp;Dashboard!$L$1&amp;""""))/100),IF(AF102=Dashboard!$L$1,AS102,AS102*GOOGLEFINANCE(""CURRENCY:""&amp;AF102&amp;""""&amp;Dashboard!$L"&amp;"$1&amp;""""))),AS102))"),"")</f>
        <v/>
      </c>
      <c r="R102" s="178" t="str">
        <f t="shared" si="7"/>
        <v/>
      </c>
      <c r="S102" s="50" t="str">
        <f>IFERROR(__xludf.DUMMYFUNCTION("IF(ISBLANK(B102),"""",IFERROR((GOOGLEFINANCE(B102,""price"")/INDEX(GOOGLEFINANCE(B102,""price"",DATEVALUE(TODAY()-$S$2) ),2,2)-1),""""))"),"")</f>
        <v/>
      </c>
      <c r="U102" s="50" t="str">
        <f>IFERROR(__xludf.DUMMYFUNCTION("IF(ISBLANK(B102),"""",IFERROR((GOOGLEFINANCE($U$2,""price"")/INDEX(GOOGLEFINANCE($U$2,""price"",DATEVALUE(TODAY()-$S$2) ),2,2)-1),""""))"),"")</f>
        <v/>
      </c>
      <c r="W102" s="50" t="str">
        <f t="shared" si="8"/>
        <v/>
      </c>
      <c r="X102" s="50" t="str">
        <f t="shared" si="9"/>
        <v/>
      </c>
      <c r="Y102" s="50"/>
      <c r="Z102" s="50" t="str">
        <f t="shared" si="10"/>
        <v/>
      </c>
      <c r="AA102" s="14" t="str">
        <f t="shared" si="11"/>
        <v/>
      </c>
      <c r="AB102" s="50" t="str">
        <f t="shared" si="12"/>
        <v/>
      </c>
      <c r="AC102" s="179" t="str">
        <f t="shared" si="13"/>
        <v/>
      </c>
      <c r="AD102" s="50" t="str">
        <f t="shared" si="14"/>
        <v/>
      </c>
      <c r="AE102" s="180" t="str">
        <f t="shared" si="15"/>
        <v/>
      </c>
      <c r="AF102" s="14" t="str">
        <f t="array" ref="AF102">IFERROR(IF(ISBLANK(AH102),"",IF(VLOOKUP(AH102,Transactions!D:F,3,0)="Stablecoin",AH102,INDEX(Transactions!$B$3:$B149,MATCH(AH102,Transactions!$D$3:$D149,0),0))))</f>
        <v/>
      </c>
      <c r="AG102" s="14" t="str">
        <f>IF(ISBLANK(AH102),"",VLOOKUP(AH102,Transactions!D:E,2,0))</f>
        <v/>
      </c>
      <c r="AH102" s="14"/>
      <c r="AI102" s="146" t="str">
        <f>IF(ISBLANK(AH102),"",IF(
SUMIFS(Transactions!$I$3:$I149,Transactions!$H$3:$H149,"Buy",Transactions!$F$3:$F149,"Stock",Transactions!$D$3:$D149,AH102)
+SUMIFS(Transactions!$I$3:$I149,Transactions!$H$3:$H149,"DRIP",Transactions!$F$3:$F149,"Stock",Transactions!$D$3:$D149,AH102)
+SUMIFS(Transactions!$I$3:$I149,Transactions!$H$3:$H149,"Transfer Deposit",Transactions!$F$3:$F149,"Stock",Transactions!$D$3:$D149,AH102)
+SUMIFS(Transactions!$I$3:$I149,Transactions!$H$3:$H149,"Buy",Transactions!$F$3:$F149,"ETF",Transactions!$D$3:$D149,AH102)
+SUMIFS(Transactions!$I$3:$I149,Transactions!$H$3:$H149,"DRIP",Transactions!$F$3:$F149,"ETF",Transactions!$D$3:$D149,AH102)
+SUMIFS(Transactions!$I$3:$I149,Transactions!$H$3:$H149,"Transfer Deposit",Transactions!$F$3:$F149,"ETF",Transactions!$D$3:$D149,AH102)
+SUMIFS(Transactions!$I$3:$I149,Transactions!$H$3:$H149,"Buy",Transactions!$F$3:$F149,"Commodity",Transactions!$D$3:$D149,AH102)
+SUMIFS(Transactions!$I$3:$I149,Transactions!$H$3:$H149,"DRIP",Transactions!$F$3:$F149,"Commodity",Transactions!$D$3:$D149,AH102)
+SUMIFS(Transactions!$I$3:$I149,Transactions!$H$3:$H149,"Transfer Deposit",Transactions!$F$3:$F149,"Commodity",Transactions!$D$3:$D149,AH102)
+SUMIFS(Transactions!$I$3:$I149,Transactions!$H$3:$H149,"Buy",Transactions!$F$3:$F149,"Managed Fund",Transactions!$D$3:$D149,AH102)
+SUMIFS(Transactions!$I$3:$I149,Transactions!$H$3:$H149,"DRIP",Transactions!$F$3:$F149,"Managed Fund",Transactions!$D$3:$D149,AH102)
+SUMIFS(Transactions!$I$3:$I149,Transactions!$H$3:$H149,"Transfer Deposit",Transactions!$F$3:$F149,"Managed Fund",Transactions!$D$3:$D149,AH102)
+SUMIFS(Transactions!$I$3:$I149,Transactions!$H$3:$H149,"Buy",Transactions!$F$3:$F149,"REIT",Transactions!$D$3:$D149,AH102)
+SUMIFS(Transactions!$I$3:$I149,Transactions!$H$3:$H149,"DRIP",Transactions!$F$3:$F149,"REIT",Transactions!$D$3:$D149,AH102)
+SUMIFS(Transactions!$I$3:$I149,Transactions!$H$3:$H149,"Transfer Deposit",Transactions!$F$3:$F149,"REIT",Transactions!$D$3:$D149,AH102)
-SUMIFS(Transactions!$I$3:$I149,Transactions!$H$3:$H149,"Sell",Transactions!$F$3:$F149,"Stock",Transactions!$D$3:$D149,AH102)
-SUMIFS(Transactions!$I$3:$I149,Transactions!$H$3:$H149,"Transfer Send",Transactions!$F$3:$F149,"Stock",Transactions!$D$3:$D149,AH102)
-SUMIFS(Transactions!$I$3:$I149,Transactions!$H$3:$H149,"Sell",Transactions!$F$3:$F149,"ETF",Transactions!$D$3:$D149,AH102)
-SUMIFS(Transactions!$I$3:$I149,Transactions!$H$3:$H149,"Transfer Send",Transactions!$F$3:$F149,"ETF",Transactions!$D$3:$D149,AH102)
-SUMIFS(Transactions!$I$3:$I149,Transactions!$H$3:$H149,"Sell",Transactions!$F$3:$F149,"Commodity",Transactions!$D$3:$D149,AH102)
-SUMIFS(Transactions!$I$3:$I149,Transactions!$H$3:$H149,"Transfer Send",Transactions!$F$3:$F149,"Commodity",Transactions!$D$3:$D149,AH102)
-SUMIFS(Transactions!$I$3:$I149,Transactions!$H$3:$H149,"Sell",Transactions!$F$3:$F149,"Managed Fund",Transactions!$D$3:$D149,AH102)
-SUMIFS(Transactions!$I$3:$I149,Transactions!$H$3:$H149,"Transfer Send",Transactions!$F$3:$F149,"Managed Fund",Transactions!$D$3:$D149,AH102)
-SUMIFS(Transactions!$I$3:$I149,Transactions!$H$3:$H149,"Sell",Transactions!$F$3:$F149,"REIT",Transactions!$D$3:$D149,AH102)
-SUMIFS(Transactions!$I$3:$I149,Transactions!$H$3:$H149,"Transfer Send",Transactions!$F$3:$F149,"REIT",Transactions!$D$3:$D149,AH102)
+SUMIFS(Transactions!$I$3:$I149,Transactions!$H$3:$H149,"Buy",Transactions!$F$3:$F149,"Crypto",Transactions!$D$3:$D149,AH102)
+SUMIFS(Transactions!$I$3:$I149,Transactions!$H$3:$H149,"Crypto Interest",Transactions!$F$3:$F149,"Crypto",Transactions!$D$3:$D149,AH102)
+SUMIFS(Transactions!$I$3:$I149,Transactions!$H$3:$H149,"Transfer Deposit",Transactions!$F$3:$F149,"Crypto",Transactions!$D$3:$D149,AH102)
-SUMIFS(Transactions!$I$3:$I149,Transactions!$H$3:$H149,"Transfer Send",Transactions!$F$3:$F149,"Crypto",Transactions!$D$3:$D149,AH102)
-SUMIFS(Transactions!$I$3:$I149,Transactions!$H$3:$H149,"Sell",Transactions!$F$3:$F149,"Crypto",Transactions!$D$3:$D149,AH102)
+SUMIFS(Transactions!$I$3:$I149,Transactions!$H$3:$H149,"Buy",Transactions!$F$3:$F149,"Stablecoin",Transactions!$D$3:$D149,AH102)
+SUMIFS(Transactions!$I$3:$I149,Transactions!$H$3:$H149,"Crypto Interest",Transactions!$F$3:$F149,"Stablecoin",Transactions!$D$3:$D149,AH102)
+SUMIFS(Transactions!$I$3:$I149,Transactions!$H$3:$H149,"Transfer Deposit",Transactions!$F$3:$F149,"Stablecoin",Transactions!$D$3:$D149,AH102)
-SUMIFS(Transactions!$I$3:$I149,Transactions!$H$3:$H149,"Transfer Send",Transactions!$F$3:$F149,"Stablecoin",Transactions!$D$3:$D149,AH102)
-SUMIFS(Transactions!$I$3:$I149,Transactions!$H$3:$H149,"Sell",Transactions!$F$3:$F149,"Stablecoin",Transactions!$D$3:$D149,AH102)
-SUMIFS(Transactions!$M$3:$M149,Transactions!$H$3:$H149,"Buy",Transactions!$B$3:$B149,AH102)=0,"Sold All",
SUMIFS(Transactions!$I$3:$I149,Transactions!$H$3:$H149,"Buy",Transactions!$F$3:$F149,"Stock",Transactions!$D$3:$D149,AH102)
+SUMIFS(Transactions!$I$3:$I149,Transactions!$H$3:$H149,"DRIP",Transactions!$F$3:$F149,"Stock",Transactions!$D$3:$D149,AH102)
+SUMIFS(Transactions!$I$3:$I149,Transactions!$H$3:$H149,"Transfer Deposit",Transactions!$F$3:$F149,"Stock",Transactions!$D$3:$D149,AH102)
+SUMIFS(Transactions!$I$3:$I149,Transactions!$H$3:$H149,"Buy",Transactions!$F$3:$F149,"ETF",Transactions!$D$3:$D149,AH102)
+SUMIFS(Transactions!$I$3:$I149,Transactions!$H$3:$H149,"DRIP",Transactions!$F$3:$F149,"ETF",Transactions!$D$3:$D149,AH102)
+SUMIFS(Transactions!$I$3:$I149,Transactions!$H$3:$H149,"Transfer Deposit",Transactions!$F$3:$F149,"ETF",Transactions!$D$3:$D149,AH102)
+SUMIFS(Transactions!$I$3:$I149,Transactions!$H$3:$H149,"Buy",Transactions!$F$3:$F149,"Commodity",Transactions!$D$3:$D149,AH102)
+SUMIFS(Transactions!$I$3:$I149,Transactions!$H$3:$H149,"DRIP",Transactions!$F$3:$F149,"Commodity",Transactions!$D$3:$D149,AH102)
+SUMIFS(Transactions!$I$3:$I149,Transactions!$H$3:$H149,"Transfer Deposit",Transactions!$F$3:$F149,"Commodity",Transactions!$D$3:$D149,AH102)
+SUMIFS(Transactions!$I$3:$I149,Transactions!$H$3:$H149,"Buy",Transactions!$F$3:$F149,"Managed Fund",Transactions!$D$3:$D149,AH102)
+SUMIFS(Transactions!$I$3:$I149,Transactions!$H$3:$H149,"DRIP",Transactions!$F$3:$F149,"Managed Fund",Transactions!$D$3:$D149,AH102)
+SUMIFS(Transactions!$I$3:$I149,Transactions!$H$3:$H149,"Transfer Deposit",Transactions!$F$3:$F149,"Managed Fund",Transactions!$D$3:$D149,AH102)
+SUMIFS(Transactions!$I$3:$I149,Transactions!$H$3:$H149,"Buy",Transactions!$F$3:$F149,"REIT",Transactions!$D$3:$D149,AH102)
+SUMIFS(Transactions!$I$3:$I149,Transactions!$H$3:$H149,"DRIP",Transactions!$F$3:$F149,"REIT",Transactions!$D$3:$D149,AH102)
+SUMIFS(Transactions!$I$3:$I149,Transactions!$H$3:$H149,"Transfer Deposit",Transactions!$F$3:$F149,"REIT",Transactions!$D$3:$D149,AH102)
-SUMIFS(Transactions!$I$3:$I149,Transactions!$H$3:$H149,"Sell",Transactions!$F$3:$F149,"Stock",Transactions!$D$3:$D149,AH102)
-SUMIFS(Transactions!$I$3:$I149,Transactions!$H$3:$H149,"Transfer Send",Transactions!$F$3:$F149,"Stock",Transactions!$D$3:$D149,AH102)
-SUMIFS(Transactions!$I$3:$I149,Transactions!$H$3:$H149,"Sell",Transactions!$F$3:$F149,"ETF",Transactions!$D$3:$D149,AH102)
-SUMIFS(Transactions!$I$3:$I149,Transactions!$H$3:$H149,"Transfer Send",Transactions!$F$3:$F149,"ETF",Transactions!$D$3:$D149,AH102)
-SUMIFS(Transactions!$I$3:$I149,Transactions!$H$3:$H149,"Sell",Transactions!$F$3:$F149,"Commodity",Transactions!$D$3:$D149,AH102)
-SUMIFS(Transactions!$I$3:$I149,Transactions!$H$3:$H149,"Transfer Send",Transactions!$F$3:$F149,"Commodity",Transactions!$D$3:$D149,AH102)
-SUMIFS(Transactions!$I$3:$I149,Transactions!$H$3:$H149,"Sell",Transactions!$F$3:$F149,"Managed Fund",Transactions!$D$3:$D149,AH102)
-SUMIFS(Transactions!$I$3:$I149,Transactions!$H$3:$H149,"Transfer Send",Transactions!$F$3:$F149,"Managed Fund",Transactions!$D$3:$D149,AH102)
-SUMIFS(Transactions!$I$3:$I149,Transactions!$H$3:$H149,"Sell",Transactions!$F$3:$F149,"REIT",Transactions!$D$3:$D149,AH102)
-SUMIFS(Transactions!$I$3:$I149,Transactions!$H$3:$H149,"Transfer Send",Transactions!$F$3:$F149,"REIT",Transactions!$D$3:$D149,AH102)
+SUMIFS(Transactions!$I$3:$I149,Transactions!$H$3:$H149,"Buy",Transactions!$F$3:$F149,"Crypto",Transactions!$D$3:$D149,AH102)
+SUMIFS(Transactions!$I$3:$I149,Transactions!$H$3:$H149,"Crypto Interest",Transactions!$F$3:$F149,"Crypto",Transactions!$D$3:$D149,AH102)
+SUMIFS(Transactions!$I$3:$I149,Transactions!$H$3:$H149,"Transfer Deposit",Transactions!$F$3:$F149,"Crypto",Transactions!$D$3:$D149,AH102)
-SUMIFS(Transactions!$I$3:$I149,Transactions!$H$3:$H149,"Transfer Send",Transactions!$F$3:$F149,"Crypto",Transactions!$D$3:$D149,AH102)
-SUMIFS(Transactions!$I$3:$I149,Transactions!$H$3:$H149,"Sell",Transactions!$F$3:$F149,"Crypto",Transactions!$D$3:$D149,AH102)
+SUMIFS(Transactions!$I$3:$I149,Transactions!$H$3:$H149,"Buy",Transactions!$F$3:$F149,"Stablecoin",Transactions!$D$3:$D149,AH102)
+SUMIFS(Transactions!$I$3:$I149,Transactions!$H$3:$H149,"Crypto Interest",Transactions!$F$3:$F149,"Stablecoin",Transactions!$D$3:$D149,AH102)
+SUMIFS(Transactions!$I$3:$I149,Transactions!$H$3:$H149,"Transfer Deposit",Transactions!$F$3:$F149,"Stablecoin",Transactions!$D$3:$D149,AH102)
-SUMIFS(Transactions!$I$3:$I149,Transactions!$H$3:$H149,"Transfer Send",Transactions!$F$3:$F149,"Stablecoin",Transactions!$D$3:$D149,AH102)
-SUMIFS(Transactions!$I$3:$I149,Transactions!$H$3:$H149,"Sell",Transactions!$F$3:$F149,"Stablecoin",Transactions!$D$3:$D149,AH102)
-SUMIFS(Transactions!$M$3:$M149,Transactions!$H$3:$H149,"Buy",Transactions!$B$3:$B149,AH102)))</f>
        <v/>
      </c>
      <c r="AJ102" s="181" t="str">
        <f>IFERROR(__xludf.DUMMYFUNCTION("IF(ISBLANK(AH102),"""",VLOOKUP(9^99,FILTER({ROW(Transactions!P:P),Transactions!P:P},Transactions!D:D=AH102),2))"),"")</f>
        <v/>
      </c>
      <c r="AK102" s="181" t="str">
        <f>IFERROR(__xludf.DUMMYFUNCTION("IF(ISBLANK(AH102),"""",IFERROR(GOOGLEFINANCE(AH102,""price""),IFERROR(GOOGLEFINANCE(""CURRENCY:""&amp;AH102&amp;""""),IFERROR(INDEX(YAHOO_STOCK(TRIM(AH102), $G$2),0,1),INDEX(IMPORTHTML(CONCAT(""https://coinmarketcap.com/currencies/"",AG102),""table"",1),1,2)))))"),"")</f>
        <v/>
      </c>
      <c r="AL102" s="14" t="str">
        <f>IFERROR(__xludf.DUMMYFUNCTION("IF(ISBLANK(AH102),"""",IFERROR(SPARKLINE(INDEX(GOOGLEFINANCE(AH102,""price"",TODAY()-$AL$2,TODAY()),,2),{""charttype"",""column"";""color"",""17a7e0""}),""""))"),"")</f>
        <v/>
      </c>
      <c r="AM102" s="50" t="str">
        <f>IFERROR(__xludf.DUMMYFUNCTION("IFNA(IFERROR(IF(AH102="""","""",GOOGLEFINANCE(AH102,""changepct"")/100),(GOOGLEFINANCE(AH102)-(INDEX(GOOGLEFINANCE(""CURRENCY:""&amp;AH102&amp;"""",""price"",TODAY()-1),2,2)))/(INDEX(GOOGLEFINANCE(""CURRENCY:""&amp;AH102&amp;"""",""price"",TODAY()-1),2,2))),)"),"")</f>
        <v/>
      </c>
      <c r="AN102" s="96" t="str">
        <f>IFERROR(__xludf.DUMMYFUNCTION("IFNA(IFERROR(IF(AH102="""","""",GOOGLEFINANCE(AH102,""change"")*AI102),(GOOGLEFINANCE(AH102)-(INDEX(GOOGLEFINANCE(""CURRENCY:""&amp;AH102&amp;"""",""price"",TODAY()-1),2,2)))*AI102),"""")"),"")</f>
        <v/>
      </c>
      <c r="AO102" s="96" t="str">
        <f>IF(ISBLANK(AH102),"",IFERROR(((AI102-SUMIFS(Transactions!I:I,Transactions!H:H,"Crypto Interest",Transactions!D:D,AH102))*AJ102),""))</f>
        <v/>
      </c>
      <c r="AP102" s="96" t="str">
        <f t="shared" si="16"/>
        <v/>
      </c>
      <c r="AQ102" s="50" t="str">
        <f t="shared" si="17"/>
        <v/>
      </c>
      <c r="AR102" s="96" t="str">
        <f t="shared" si="18"/>
        <v/>
      </c>
      <c r="AS102" s="96" t="str">
        <f>IF(ISBLANK(AH102),"",SUMIFS(Transactions!$X$3:$X149,Transactions!$H$3:$H149,"Sell",Transactions!$D$3:$D149,AH102))</f>
        <v/>
      </c>
      <c r="AT102" s="96" t="str">
        <f t="shared" si="19"/>
        <v/>
      </c>
      <c r="AU102" s="50" t="str">
        <f>IFERROR(__xludf.DUMMYFUNCTION("IF(ISBLANK(AH102),"""",IFERROR((GOOGLEFINANCE(AH102,""price"")/INDEX(GOOGLEFINANCE(AH102,""price"",DATEVALUE(TODAY()-$AU$2) ),2,2)-1),""""))"),"")</f>
        <v/>
      </c>
      <c r="AW102" s="50" t="str">
        <f>IFERROR(__xludf.DUMMYFUNCTION("IF(ISBLANK(AH102),"""",IFERROR((GOOGLEFINANCE($AW$2,""price"")/INDEX(GOOGLEFINANCE($AW$2,""price"",DATEVALUE(TODAY()-$AU$2) ),2,2)-1),""""))"),"")</f>
        <v/>
      </c>
      <c r="AY102" s="50" t="str">
        <f t="shared" si="20"/>
        <v/>
      </c>
      <c r="AZ102" s="50" t="str">
        <f t="shared" si="21"/>
        <v/>
      </c>
      <c r="BA102" s="50" t="str">
        <f t="shared" si="22"/>
        <v/>
      </c>
      <c r="BB102" s="14" t="str">
        <f t="shared" si="23"/>
        <v/>
      </c>
      <c r="BC102" s="14" t="str">
        <f>IF(ISBLANK(AH102),"",IFERROR(VLOOKUP(AH102,Transactions!D:F,3,0)))</f>
        <v/>
      </c>
      <c r="BD102" s="50" t="str">
        <f t="shared" si="24"/>
        <v/>
      </c>
      <c r="BE102" s="50" t="str">
        <f t="shared" si="25"/>
        <v/>
      </c>
      <c r="BF102" s="14" t="str">
        <f t="shared" si="26"/>
        <v/>
      </c>
      <c r="BG102" s="180" t="str">
        <f>IF(ISBLANK(AH102),"",IFERROR(VLOOKUP(AH102,Transactions!D:G,4,0)))</f>
        <v/>
      </c>
    </row>
    <row r="103">
      <c r="A103" s="14" t="str">
        <f t="shared" ref="A103:C103" si="126">AG103</f>
        <v/>
      </c>
      <c r="B103" s="14" t="str">
        <f t="shared" si="126"/>
        <v/>
      </c>
      <c r="C103" s="175" t="str">
        <f t="shared" si="126"/>
        <v/>
      </c>
      <c r="D103" s="176" t="str">
        <f>IFERROR(__xludf.DUMMYFUNCTION("IF(ISBLANK(B103),"""",IFERROR(IF(OR(AF103=""GPB"",AF103=""ZAR""),IF(AF103=Dashboard!$L$1,AJ103,(AJ103*GOOGLEFINANCE(""CURRENCY:""&amp;AF103&amp;""""&amp;Dashboard!$L$1&amp;""""))/100),IF(AF103=Dashboard!$L$1,AJ103,AJ103*GOOGLEFINANCE(""CURRENCY:""&amp;AF103&amp;""""&amp;Dashboard!$L"&amp;"$1&amp;""""))),AJ103))"),"")</f>
        <v/>
      </c>
      <c r="E103" s="177" t="str">
        <f>IFERROR(__xludf.DUMMYFUNCTION("IFERROR(IF(OR(AF103=""GBP"",AF103=""ZAR""),IF(B103="""","""",IF(AF103=Dashboard!$L$1,AK103,AK103*GOOGLEFINANCE(""CURRENCY:""&amp;AF103&amp;""""&amp;Dashboard!$L$1&amp;"""")))/100,If(B103="""","""",IF(AF103=Dashboard!$L$1,AK103,AK103*GOOGLEFINANCE(""CURRENCY:""&amp;AF103&amp;"""""&amp;"&amp;Dashboard!$L$1&amp;"""")))),AK103)"),"")</f>
        <v/>
      </c>
      <c r="F103" s="145" t="str">
        <f t="shared" si="65"/>
        <v/>
      </c>
      <c r="G103" s="96" t="str">
        <f>IFERROR(__xludf.DUMMYFUNCTION("IF(ISBLANK(B103),"""",IFERROR(SPARKLINE(INDEX(GOOGLEFINANCE(B103,""price"",TODAY()-$G$2,TODAY()),,2),{""charttype"",""column"";""color"",""17a7e0""}),""""))"),"")</f>
        <v/>
      </c>
      <c r="H103" s="50" t="str">
        <f t="shared" si="3"/>
        <v/>
      </c>
      <c r="I103" s="96" t="str">
        <f>IFERROR(__xludf.DUMMYFUNCTION("IF(ISBLANK(B103),"""",IFERROR(IF(OR(AF103=""GPB"",AF103=""ZAR""),IF(AF103=Dashboard!$L$1,AN103,(AN103*GOOGLEFINANCE(""CURRENCY:""&amp;AF103&amp;""""&amp;Dashboard!$L$1&amp;""""))/100),IF(AF103=Dashboard!$L$1,AN103,AN103*GOOGLEFINANCE(""CURRENCY:""&amp;AF103&amp;""""&amp;Dashboard!$L"&amp;"$1&amp;""""))),AN103))"),"")</f>
        <v/>
      </c>
      <c r="J103" s="178" t="str">
        <f>IF(ISBLANK(B103),"",IFERROR(((C103-SUMIFS(Transactions!I:I,Transactions!H:H,"Crypto Interest",Transactions!D:D,B103))*D103),""))</f>
        <v/>
      </c>
      <c r="K103" s="178" t="str">
        <f t="shared" si="4"/>
        <v/>
      </c>
      <c r="L103" s="145">
        <f>IF(ISBLANK(AF103),"",SUMIFS(Transactions!$M$3:$M149,Transactions!$H$3:$H149,"Buy",Transactions!$D$3:$D149,AF103))</f>
        <v>0</v>
      </c>
      <c r="M103" s="145">
        <f>IF(ISBLANK(AG103),"",SUMIFS(Transactions!$M$3:$M149,Transactions!$H$3:$H149,"Dividend",Transactions!$D$3:$D149,AG103))</f>
        <v>0</v>
      </c>
      <c r="N103" s="145" t="str">
        <f>IF(ISBLANK(AH103),"",SUMIFS(Transactions!$M$3:$M149,Transactions!$H$3:$H149,"Sell",Transactions!$D$3:$D149,AH103))</f>
        <v/>
      </c>
      <c r="O103" s="50" t="str">
        <f t="shared" si="5"/>
        <v/>
      </c>
      <c r="P103" s="178" t="str">
        <f t="shared" si="6"/>
        <v/>
      </c>
      <c r="Q103" s="178" t="str">
        <f>IFERROR(__xludf.DUMMYFUNCTION("IF(ISBLANK(B103),"""",IFERROR(IF(OR(AF103=""GPB"",AF103=""ZAR""),IF(AF103=Dashboard!$L$1,AS103,(AS103*GOOGLEFINANCE(""CURRENCY:""&amp;AF103&amp;""""&amp;Dashboard!$L$1&amp;""""))/100),IF(AF103=Dashboard!$L$1,AS103,AS103*GOOGLEFINANCE(""CURRENCY:""&amp;AF103&amp;""""&amp;Dashboard!$L"&amp;"$1&amp;""""))),AS103))"),"")</f>
        <v/>
      </c>
      <c r="R103" s="178" t="str">
        <f t="shared" si="7"/>
        <v/>
      </c>
      <c r="S103" s="50" t="str">
        <f>IFERROR(__xludf.DUMMYFUNCTION("IF(ISBLANK(B103),"""",IFERROR((GOOGLEFINANCE(B103,""price"")/INDEX(GOOGLEFINANCE(B103,""price"",DATEVALUE(TODAY()-$S$2) ),2,2)-1),""""))"),"")</f>
        <v/>
      </c>
      <c r="U103" s="50" t="str">
        <f>IFERROR(__xludf.DUMMYFUNCTION("IF(ISBLANK(B103),"""",IFERROR((GOOGLEFINANCE($U$2,""price"")/INDEX(GOOGLEFINANCE($U$2,""price"",DATEVALUE(TODAY()-$S$2) ),2,2)-1),""""))"),"")</f>
        <v/>
      </c>
      <c r="W103" s="50" t="str">
        <f t="shared" si="8"/>
        <v/>
      </c>
      <c r="X103" s="50" t="str">
        <f t="shared" si="9"/>
        <v/>
      </c>
      <c r="Y103" s="50"/>
      <c r="Z103" s="50" t="str">
        <f t="shared" si="10"/>
        <v/>
      </c>
      <c r="AA103" s="14" t="str">
        <f t="shared" si="11"/>
        <v/>
      </c>
      <c r="AB103" s="50" t="str">
        <f t="shared" si="12"/>
        <v/>
      </c>
      <c r="AC103" s="179" t="str">
        <f t="shared" si="13"/>
        <v/>
      </c>
      <c r="AD103" s="50" t="str">
        <f t="shared" si="14"/>
        <v/>
      </c>
      <c r="AE103" s="180" t="str">
        <f t="shared" si="15"/>
        <v/>
      </c>
      <c r="AF103" s="14" t="str">
        <f t="array" ref="AF103">IFERROR(IF(ISBLANK(AH103),"",IF(VLOOKUP(AH103,Transactions!D:F,3,0)="Stablecoin",AH103,INDEX(Transactions!$B$3:$B149,MATCH(AH103,Transactions!$D$3:$D149,0),0))))</f>
        <v/>
      </c>
      <c r="AG103" s="14" t="str">
        <f>IF(ISBLANK(AH103),"",VLOOKUP(AH103,Transactions!D:E,2,0))</f>
        <v/>
      </c>
      <c r="AH103" s="14"/>
      <c r="AI103" s="146" t="str">
        <f>IF(ISBLANK(AH103),"",IF(
SUMIFS(Transactions!$I$3:$I149,Transactions!$H$3:$H149,"Buy",Transactions!$F$3:$F149,"Stock",Transactions!$D$3:$D149,AH103)
+SUMIFS(Transactions!$I$3:$I149,Transactions!$H$3:$H149,"DRIP",Transactions!$F$3:$F149,"Stock",Transactions!$D$3:$D149,AH103)
+SUMIFS(Transactions!$I$3:$I149,Transactions!$H$3:$H149,"Transfer Deposit",Transactions!$F$3:$F149,"Stock",Transactions!$D$3:$D149,AH103)
+SUMIFS(Transactions!$I$3:$I149,Transactions!$H$3:$H149,"Buy",Transactions!$F$3:$F149,"ETF",Transactions!$D$3:$D149,AH103)
+SUMIFS(Transactions!$I$3:$I149,Transactions!$H$3:$H149,"DRIP",Transactions!$F$3:$F149,"ETF",Transactions!$D$3:$D149,AH103)
+SUMIFS(Transactions!$I$3:$I149,Transactions!$H$3:$H149,"Transfer Deposit",Transactions!$F$3:$F149,"ETF",Transactions!$D$3:$D149,AH103)
+SUMIFS(Transactions!$I$3:$I149,Transactions!$H$3:$H149,"Buy",Transactions!$F$3:$F149,"Commodity",Transactions!$D$3:$D149,AH103)
+SUMIFS(Transactions!$I$3:$I149,Transactions!$H$3:$H149,"DRIP",Transactions!$F$3:$F149,"Commodity",Transactions!$D$3:$D149,AH103)
+SUMIFS(Transactions!$I$3:$I149,Transactions!$H$3:$H149,"Transfer Deposit",Transactions!$F$3:$F149,"Commodity",Transactions!$D$3:$D149,AH103)
+SUMIFS(Transactions!$I$3:$I149,Transactions!$H$3:$H149,"Buy",Transactions!$F$3:$F149,"Managed Fund",Transactions!$D$3:$D149,AH103)
+SUMIFS(Transactions!$I$3:$I149,Transactions!$H$3:$H149,"DRIP",Transactions!$F$3:$F149,"Managed Fund",Transactions!$D$3:$D149,AH103)
+SUMIFS(Transactions!$I$3:$I149,Transactions!$H$3:$H149,"Transfer Deposit",Transactions!$F$3:$F149,"Managed Fund",Transactions!$D$3:$D149,AH103)
+SUMIFS(Transactions!$I$3:$I149,Transactions!$H$3:$H149,"Buy",Transactions!$F$3:$F149,"REIT",Transactions!$D$3:$D149,AH103)
+SUMIFS(Transactions!$I$3:$I149,Transactions!$H$3:$H149,"DRIP",Transactions!$F$3:$F149,"REIT",Transactions!$D$3:$D149,AH103)
+SUMIFS(Transactions!$I$3:$I149,Transactions!$H$3:$H149,"Transfer Deposit",Transactions!$F$3:$F149,"REIT",Transactions!$D$3:$D149,AH103)
-SUMIFS(Transactions!$I$3:$I149,Transactions!$H$3:$H149,"Sell",Transactions!$F$3:$F149,"Stock",Transactions!$D$3:$D149,AH103)
-SUMIFS(Transactions!$I$3:$I149,Transactions!$H$3:$H149,"Transfer Send",Transactions!$F$3:$F149,"Stock",Transactions!$D$3:$D149,AH103)
-SUMIFS(Transactions!$I$3:$I149,Transactions!$H$3:$H149,"Sell",Transactions!$F$3:$F149,"ETF",Transactions!$D$3:$D149,AH103)
-SUMIFS(Transactions!$I$3:$I149,Transactions!$H$3:$H149,"Transfer Send",Transactions!$F$3:$F149,"ETF",Transactions!$D$3:$D149,AH103)
-SUMIFS(Transactions!$I$3:$I149,Transactions!$H$3:$H149,"Sell",Transactions!$F$3:$F149,"Commodity",Transactions!$D$3:$D149,AH103)
-SUMIFS(Transactions!$I$3:$I149,Transactions!$H$3:$H149,"Transfer Send",Transactions!$F$3:$F149,"Commodity",Transactions!$D$3:$D149,AH103)
-SUMIFS(Transactions!$I$3:$I149,Transactions!$H$3:$H149,"Sell",Transactions!$F$3:$F149,"Managed Fund",Transactions!$D$3:$D149,AH103)
-SUMIFS(Transactions!$I$3:$I149,Transactions!$H$3:$H149,"Transfer Send",Transactions!$F$3:$F149,"Managed Fund",Transactions!$D$3:$D149,AH103)
-SUMIFS(Transactions!$I$3:$I149,Transactions!$H$3:$H149,"Sell",Transactions!$F$3:$F149,"REIT",Transactions!$D$3:$D149,AH103)
-SUMIFS(Transactions!$I$3:$I149,Transactions!$H$3:$H149,"Transfer Send",Transactions!$F$3:$F149,"REIT",Transactions!$D$3:$D149,AH103)
+SUMIFS(Transactions!$I$3:$I149,Transactions!$H$3:$H149,"Buy",Transactions!$F$3:$F149,"Crypto",Transactions!$D$3:$D149,AH103)
+SUMIFS(Transactions!$I$3:$I149,Transactions!$H$3:$H149,"Crypto Interest",Transactions!$F$3:$F149,"Crypto",Transactions!$D$3:$D149,AH103)
+SUMIFS(Transactions!$I$3:$I149,Transactions!$H$3:$H149,"Transfer Deposit",Transactions!$F$3:$F149,"Crypto",Transactions!$D$3:$D149,AH103)
-SUMIFS(Transactions!$I$3:$I149,Transactions!$H$3:$H149,"Transfer Send",Transactions!$F$3:$F149,"Crypto",Transactions!$D$3:$D149,AH103)
-SUMIFS(Transactions!$I$3:$I149,Transactions!$H$3:$H149,"Sell",Transactions!$F$3:$F149,"Crypto",Transactions!$D$3:$D149,AH103)
+SUMIFS(Transactions!$I$3:$I149,Transactions!$H$3:$H149,"Buy",Transactions!$F$3:$F149,"Stablecoin",Transactions!$D$3:$D149,AH103)
+SUMIFS(Transactions!$I$3:$I149,Transactions!$H$3:$H149,"Crypto Interest",Transactions!$F$3:$F149,"Stablecoin",Transactions!$D$3:$D149,AH103)
+SUMIFS(Transactions!$I$3:$I149,Transactions!$H$3:$H149,"Transfer Deposit",Transactions!$F$3:$F149,"Stablecoin",Transactions!$D$3:$D149,AH103)
-SUMIFS(Transactions!$I$3:$I149,Transactions!$H$3:$H149,"Transfer Send",Transactions!$F$3:$F149,"Stablecoin",Transactions!$D$3:$D149,AH103)
-SUMIFS(Transactions!$I$3:$I149,Transactions!$H$3:$H149,"Sell",Transactions!$F$3:$F149,"Stablecoin",Transactions!$D$3:$D149,AH103)
-SUMIFS(Transactions!$M$3:$M149,Transactions!$H$3:$H149,"Buy",Transactions!$B$3:$B149,AH103)=0,"Sold All",
SUMIFS(Transactions!$I$3:$I149,Transactions!$H$3:$H149,"Buy",Transactions!$F$3:$F149,"Stock",Transactions!$D$3:$D149,AH103)
+SUMIFS(Transactions!$I$3:$I149,Transactions!$H$3:$H149,"DRIP",Transactions!$F$3:$F149,"Stock",Transactions!$D$3:$D149,AH103)
+SUMIFS(Transactions!$I$3:$I149,Transactions!$H$3:$H149,"Transfer Deposit",Transactions!$F$3:$F149,"Stock",Transactions!$D$3:$D149,AH103)
+SUMIFS(Transactions!$I$3:$I149,Transactions!$H$3:$H149,"Buy",Transactions!$F$3:$F149,"ETF",Transactions!$D$3:$D149,AH103)
+SUMIFS(Transactions!$I$3:$I149,Transactions!$H$3:$H149,"DRIP",Transactions!$F$3:$F149,"ETF",Transactions!$D$3:$D149,AH103)
+SUMIFS(Transactions!$I$3:$I149,Transactions!$H$3:$H149,"Transfer Deposit",Transactions!$F$3:$F149,"ETF",Transactions!$D$3:$D149,AH103)
+SUMIFS(Transactions!$I$3:$I149,Transactions!$H$3:$H149,"Buy",Transactions!$F$3:$F149,"Commodity",Transactions!$D$3:$D149,AH103)
+SUMIFS(Transactions!$I$3:$I149,Transactions!$H$3:$H149,"DRIP",Transactions!$F$3:$F149,"Commodity",Transactions!$D$3:$D149,AH103)
+SUMIFS(Transactions!$I$3:$I149,Transactions!$H$3:$H149,"Transfer Deposit",Transactions!$F$3:$F149,"Commodity",Transactions!$D$3:$D149,AH103)
+SUMIFS(Transactions!$I$3:$I149,Transactions!$H$3:$H149,"Buy",Transactions!$F$3:$F149,"Managed Fund",Transactions!$D$3:$D149,AH103)
+SUMIFS(Transactions!$I$3:$I149,Transactions!$H$3:$H149,"DRIP",Transactions!$F$3:$F149,"Managed Fund",Transactions!$D$3:$D149,AH103)
+SUMIFS(Transactions!$I$3:$I149,Transactions!$H$3:$H149,"Transfer Deposit",Transactions!$F$3:$F149,"Managed Fund",Transactions!$D$3:$D149,AH103)
+SUMIFS(Transactions!$I$3:$I149,Transactions!$H$3:$H149,"Buy",Transactions!$F$3:$F149,"REIT",Transactions!$D$3:$D149,AH103)
+SUMIFS(Transactions!$I$3:$I149,Transactions!$H$3:$H149,"DRIP",Transactions!$F$3:$F149,"REIT",Transactions!$D$3:$D149,AH103)
+SUMIFS(Transactions!$I$3:$I149,Transactions!$H$3:$H149,"Transfer Deposit",Transactions!$F$3:$F149,"REIT",Transactions!$D$3:$D149,AH103)
-SUMIFS(Transactions!$I$3:$I149,Transactions!$H$3:$H149,"Sell",Transactions!$F$3:$F149,"Stock",Transactions!$D$3:$D149,AH103)
-SUMIFS(Transactions!$I$3:$I149,Transactions!$H$3:$H149,"Transfer Send",Transactions!$F$3:$F149,"Stock",Transactions!$D$3:$D149,AH103)
-SUMIFS(Transactions!$I$3:$I149,Transactions!$H$3:$H149,"Sell",Transactions!$F$3:$F149,"ETF",Transactions!$D$3:$D149,AH103)
-SUMIFS(Transactions!$I$3:$I149,Transactions!$H$3:$H149,"Transfer Send",Transactions!$F$3:$F149,"ETF",Transactions!$D$3:$D149,AH103)
-SUMIFS(Transactions!$I$3:$I149,Transactions!$H$3:$H149,"Sell",Transactions!$F$3:$F149,"Commodity",Transactions!$D$3:$D149,AH103)
-SUMIFS(Transactions!$I$3:$I149,Transactions!$H$3:$H149,"Transfer Send",Transactions!$F$3:$F149,"Commodity",Transactions!$D$3:$D149,AH103)
-SUMIFS(Transactions!$I$3:$I149,Transactions!$H$3:$H149,"Sell",Transactions!$F$3:$F149,"Managed Fund",Transactions!$D$3:$D149,AH103)
-SUMIFS(Transactions!$I$3:$I149,Transactions!$H$3:$H149,"Transfer Send",Transactions!$F$3:$F149,"Managed Fund",Transactions!$D$3:$D149,AH103)
-SUMIFS(Transactions!$I$3:$I149,Transactions!$H$3:$H149,"Sell",Transactions!$F$3:$F149,"REIT",Transactions!$D$3:$D149,AH103)
-SUMIFS(Transactions!$I$3:$I149,Transactions!$H$3:$H149,"Transfer Send",Transactions!$F$3:$F149,"REIT",Transactions!$D$3:$D149,AH103)
+SUMIFS(Transactions!$I$3:$I149,Transactions!$H$3:$H149,"Buy",Transactions!$F$3:$F149,"Crypto",Transactions!$D$3:$D149,AH103)
+SUMIFS(Transactions!$I$3:$I149,Transactions!$H$3:$H149,"Crypto Interest",Transactions!$F$3:$F149,"Crypto",Transactions!$D$3:$D149,AH103)
+SUMIFS(Transactions!$I$3:$I149,Transactions!$H$3:$H149,"Transfer Deposit",Transactions!$F$3:$F149,"Crypto",Transactions!$D$3:$D149,AH103)
-SUMIFS(Transactions!$I$3:$I149,Transactions!$H$3:$H149,"Transfer Send",Transactions!$F$3:$F149,"Crypto",Transactions!$D$3:$D149,AH103)
-SUMIFS(Transactions!$I$3:$I149,Transactions!$H$3:$H149,"Sell",Transactions!$F$3:$F149,"Crypto",Transactions!$D$3:$D149,AH103)
+SUMIFS(Transactions!$I$3:$I149,Transactions!$H$3:$H149,"Buy",Transactions!$F$3:$F149,"Stablecoin",Transactions!$D$3:$D149,AH103)
+SUMIFS(Transactions!$I$3:$I149,Transactions!$H$3:$H149,"Crypto Interest",Transactions!$F$3:$F149,"Stablecoin",Transactions!$D$3:$D149,AH103)
+SUMIFS(Transactions!$I$3:$I149,Transactions!$H$3:$H149,"Transfer Deposit",Transactions!$F$3:$F149,"Stablecoin",Transactions!$D$3:$D149,AH103)
-SUMIFS(Transactions!$I$3:$I149,Transactions!$H$3:$H149,"Transfer Send",Transactions!$F$3:$F149,"Stablecoin",Transactions!$D$3:$D149,AH103)
-SUMIFS(Transactions!$I$3:$I149,Transactions!$H$3:$H149,"Sell",Transactions!$F$3:$F149,"Stablecoin",Transactions!$D$3:$D149,AH103)
-SUMIFS(Transactions!$M$3:$M149,Transactions!$H$3:$H149,"Buy",Transactions!$B$3:$B149,AH103)))</f>
        <v/>
      </c>
      <c r="AJ103" s="181" t="str">
        <f>IFERROR(__xludf.DUMMYFUNCTION("IF(ISBLANK(AH103),"""",VLOOKUP(9^99,FILTER({ROW(Transactions!P:P),Transactions!P:P},Transactions!D:D=AH103),2))"),"")</f>
        <v/>
      </c>
      <c r="AK103" s="181" t="str">
        <f>IFERROR(__xludf.DUMMYFUNCTION("IF(ISBLANK(AH103),"""",IFERROR(GOOGLEFINANCE(AH103,""price""),IFERROR(GOOGLEFINANCE(""CURRENCY:""&amp;AH103&amp;""""),IFERROR(INDEX(YAHOO_STOCK(TRIM(AH103), $G$2),0,1),INDEX(IMPORTHTML(CONCAT(""https://coinmarketcap.com/currencies/"",AG103),""table"",1),1,2)))))"),"")</f>
        <v/>
      </c>
      <c r="AL103" s="14" t="str">
        <f>IFERROR(__xludf.DUMMYFUNCTION("IF(ISBLANK(AH103),"""",IFERROR(SPARKLINE(INDEX(GOOGLEFINANCE(AH103,""price"",TODAY()-$AL$2,TODAY()),,2),{""charttype"",""column"";""color"",""17a7e0""}),""""))"),"")</f>
        <v/>
      </c>
      <c r="AM103" s="50" t="str">
        <f>IFERROR(__xludf.DUMMYFUNCTION("IFNA(IFERROR(IF(AH103="""","""",GOOGLEFINANCE(AH103,""changepct"")/100),(GOOGLEFINANCE(AH103)-(INDEX(GOOGLEFINANCE(""CURRENCY:""&amp;AH103&amp;"""",""price"",TODAY()-1),2,2)))/(INDEX(GOOGLEFINANCE(""CURRENCY:""&amp;AH103&amp;"""",""price"",TODAY()-1),2,2))),)"),"")</f>
        <v/>
      </c>
      <c r="AN103" s="96" t="str">
        <f>IFERROR(__xludf.DUMMYFUNCTION("IFNA(IFERROR(IF(AH103="""","""",GOOGLEFINANCE(AH103,""change"")*AI103),(GOOGLEFINANCE(AH103)-(INDEX(GOOGLEFINANCE(""CURRENCY:""&amp;AH103&amp;"""",""price"",TODAY()-1),2,2)))*AI103),"""")"),"")</f>
        <v/>
      </c>
      <c r="AO103" s="96" t="str">
        <f>IF(ISBLANK(AH103),"",IFERROR(((AI103-SUMIFS(Transactions!I:I,Transactions!H:H,"Crypto Interest",Transactions!D:D,AH103))*AJ103),""))</f>
        <v/>
      </c>
      <c r="AP103" s="96" t="str">
        <f t="shared" si="16"/>
        <v/>
      </c>
      <c r="AQ103" s="50" t="str">
        <f t="shared" si="17"/>
        <v/>
      </c>
      <c r="AR103" s="96" t="str">
        <f t="shared" si="18"/>
        <v/>
      </c>
      <c r="AS103" s="96" t="str">
        <f>IF(ISBLANK(AH103),"",SUMIFS(Transactions!$X$3:$X149,Transactions!$H$3:$H149,"Sell",Transactions!$D$3:$D149,AH103))</f>
        <v/>
      </c>
      <c r="AT103" s="96" t="str">
        <f t="shared" si="19"/>
        <v/>
      </c>
      <c r="AU103" s="50" t="str">
        <f>IFERROR(__xludf.DUMMYFUNCTION("IF(ISBLANK(AH103),"""",IFERROR((GOOGLEFINANCE(AH103,""price"")/INDEX(GOOGLEFINANCE(AH103,""price"",DATEVALUE(TODAY()-$AU$2) ),2,2)-1),""""))"),"")</f>
        <v/>
      </c>
      <c r="AW103" s="50" t="str">
        <f>IFERROR(__xludf.DUMMYFUNCTION("IF(ISBLANK(AH103),"""",IFERROR((GOOGLEFINANCE($AW$2,""price"")/INDEX(GOOGLEFINANCE($AW$2,""price"",DATEVALUE(TODAY()-$AU$2) ),2,2)-1),""""))"),"")</f>
        <v/>
      </c>
      <c r="AY103" s="50" t="str">
        <f t="shared" si="20"/>
        <v/>
      </c>
      <c r="AZ103" s="50" t="str">
        <f t="shared" si="21"/>
        <v/>
      </c>
      <c r="BA103" s="50" t="str">
        <f t="shared" si="22"/>
        <v/>
      </c>
      <c r="BB103" s="14" t="str">
        <f t="shared" si="23"/>
        <v/>
      </c>
      <c r="BC103" s="14" t="str">
        <f>IF(ISBLANK(AH103),"",IFERROR(VLOOKUP(AH103,Transactions!D:F,3,0)))</f>
        <v/>
      </c>
      <c r="BD103" s="50" t="str">
        <f t="shared" si="24"/>
        <v/>
      </c>
      <c r="BE103" s="50" t="str">
        <f t="shared" si="25"/>
        <v/>
      </c>
      <c r="BF103" s="14" t="str">
        <f t="shared" si="26"/>
        <v/>
      </c>
      <c r="BG103" s="180" t="str">
        <f>IF(ISBLANK(AH103),"",IFERROR(VLOOKUP(AH103,Transactions!D:G,4,0)))</f>
        <v/>
      </c>
    </row>
    <row r="104">
      <c r="A104" s="14" t="str">
        <f t="shared" ref="A104:C104" si="127">AG104</f>
        <v/>
      </c>
      <c r="B104" s="14" t="str">
        <f t="shared" si="127"/>
        <v/>
      </c>
      <c r="C104" s="175" t="str">
        <f t="shared" si="127"/>
        <v/>
      </c>
      <c r="D104" s="176" t="str">
        <f>IFERROR(__xludf.DUMMYFUNCTION("IF(ISBLANK(B104),"""",IFERROR(IF(OR(AF104=""GPB"",AF104=""ZAR""),IF(AF104=Dashboard!$L$1,AJ104,(AJ104*GOOGLEFINANCE(""CURRENCY:""&amp;AF104&amp;""""&amp;Dashboard!$L$1&amp;""""))/100),IF(AF104=Dashboard!$L$1,AJ104,AJ104*GOOGLEFINANCE(""CURRENCY:""&amp;AF104&amp;""""&amp;Dashboard!$L"&amp;"$1&amp;""""))),AJ104))"),"")</f>
        <v/>
      </c>
      <c r="E104" s="177" t="str">
        <f>IFERROR(__xludf.DUMMYFUNCTION("IFERROR(IF(OR(AF104=""GBP"",AF104=""ZAR""),IF(B104="""","""",IF(AF104=Dashboard!$L$1,AK104,AK104*GOOGLEFINANCE(""CURRENCY:""&amp;AF104&amp;""""&amp;Dashboard!$L$1&amp;"""")))/100,If(B104="""","""",IF(AF104=Dashboard!$L$1,AK104,AK104*GOOGLEFINANCE(""CURRENCY:""&amp;AF104&amp;"""""&amp;"&amp;Dashboard!$L$1&amp;"""")))),AK104)"),"")</f>
        <v/>
      </c>
      <c r="F104" s="145" t="str">
        <f t="shared" si="65"/>
        <v/>
      </c>
      <c r="G104" s="96" t="str">
        <f>IFERROR(__xludf.DUMMYFUNCTION("IF(ISBLANK(B104),"""",IFERROR(SPARKLINE(INDEX(GOOGLEFINANCE(B104,""price"",TODAY()-$G$2,TODAY()),,2),{""charttype"",""column"";""color"",""17a7e0""}),""""))"),"")</f>
        <v/>
      </c>
      <c r="H104" s="50" t="str">
        <f t="shared" si="3"/>
        <v/>
      </c>
      <c r="I104" s="96" t="str">
        <f>IFERROR(__xludf.DUMMYFUNCTION("IF(ISBLANK(B104),"""",IFERROR(IF(OR(AF104=""GPB"",AF104=""ZAR""),IF(AF104=Dashboard!$L$1,AN104,(AN104*GOOGLEFINANCE(""CURRENCY:""&amp;AF104&amp;""""&amp;Dashboard!$L$1&amp;""""))/100),IF(AF104=Dashboard!$L$1,AN104,AN104*GOOGLEFINANCE(""CURRENCY:""&amp;AF104&amp;""""&amp;Dashboard!$L"&amp;"$1&amp;""""))),AN104))"),"")</f>
        <v/>
      </c>
      <c r="J104" s="178" t="str">
        <f>IF(ISBLANK(B104),"",IFERROR(((C104-SUMIFS(Transactions!I:I,Transactions!H:H,"Crypto Interest",Transactions!D:D,B104))*D104),""))</f>
        <v/>
      </c>
      <c r="K104" s="178" t="str">
        <f t="shared" si="4"/>
        <v/>
      </c>
      <c r="L104" s="145">
        <f>IF(ISBLANK(AF104),"",SUMIFS(Transactions!$M$3:$M149,Transactions!$H$3:$H149,"Buy",Transactions!$D$3:$D149,AF104))</f>
        <v>0</v>
      </c>
      <c r="M104" s="145">
        <f>IF(ISBLANK(AG104),"",SUMIFS(Transactions!$M$3:$M149,Transactions!$H$3:$H149,"Dividend",Transactions!$D$3:$D149,AG104))</f>
        <v>0</v>
      </c>
      <c r="N104" s="145" t="str">
        <f>IF(ISBLANK(AH104),"",SUMIFS(Transactions!$M$3:$M149,Transactions!$H$3:$H149,"Sell",Transactions!$D$3:$D149,AH104))</f>
        <v/>
      </c>
      <c r="O104" s="50" t="str">
        <f t="shared" si="5"/>
        <v/>
      </c>
      <c r="P104" s="178" t="str">
        <f t="shared" si="6"/>
        <v/>
      </c>
      <c r="Q104" s="178" t="str">
        <f>IFERROR(__xludf.DUMMYFUNCTION("IF(ISBLANK(B104),"""",IFERROR(IF(OR(AF104=""GPB"",AF104=""ZAR""),IF(AF104=Dashboard!$L$1,AS104,(AS104*GOOGLEFINANCE(""CURRENCY:""&amp;AF104&amp;""""&amp;Dashboard!$L$1&amp;""""))/100),IF(AF104=Dashboard!$L$1,AS104,AS104*GOOGLEFINANCE(""CURRENCY:""&amp;AF104&amp;""""&amp;Dashboard!$L"&amp;"$1&amp;""""))),AS104))"),"")</f>
        <v/>
      </c>
      <c r="R104" s="178" t="str">
        <f t="shared" si="7"/>
        <v/>
      </c>
      <c r="S104" s="50" t="str">
        <f>IFERROR(__xludf.DUMMYFUNCTION("IF(ISBLANK(B104),"""",IFERROR((GOOGLEFINANCE(B104,""price"")/INDEX(GOOGLEFINANCE(B104,""price"",DATEVALUE(TODAY()-$S$2) ),2,2)-1),""""))"),"")</f>
        <v/>
      </c>
      <c r="U104" s="50" t="str">
        <f>IFERROR(__xludf.DUMMYFUNCTION("IF(ISBLANK(B104),"""",IFERROR((GOOGLEFINANCE($U$2,""price"")/INDEX(GOOGLEFINANCE($U$2,""price"",DATEVALUE(TODAY()-$S$2) ),2,2)-1),""""))"),"")</f>
        <v/>
      </c>
      <c r="W104" s="50" t="str">
        <f t="shared" si="8"/>
        <v/>
      </c>
      <c r="X104" s="50" t="str">
        <f t="shared" si="9"/>
        <v/>
      </c>
      <c r="Y104" s="50"/>
      <c r="Z104" s="50" t="str">
        <f t="shared" si="10"/>
        <v/>
      </c>
      <c r="AA104" s="14" t="str">
        <f t="shared" si="11"/>
        <v/>
      </c>
      <c r="AB104" s="50" t="str">
        <f t="shared" si="12"/>
        <v/>
      </c>
      <c r="AC104" s="179" t="str">
        <f t="shared" si="13"/>
        <v/>
      </c>
      <c r="AD104" s="50" t="str">
        <f t="shared" si="14"/>
        <v/>
      </c>
      <c r="AE104" s="180" t="str">
        <f t="shared" si="15"/>
        <v/>
      </c>
      <c r="AF104" s="14" t="str">
        <f t="array" ref="AF104">IFERROR(IF(ISBLANK(AH104),"",IF(VLOOKUP(AH104,Transactions!D:F,3,0)="Stablecoin",AH104,INDEX(Transactions!$B$3:$B149,MATCH(AH104,Transactions!$D$3:$D149,0),0))))</f>
        <v/>
      </c>
      <c r="AG104" s="14" t="str">
        <f>IF(ISBLANK(AH104),"",VLOOKUP(AH104,Transactions!D:E,2,0))</f>
        <v/>
      </c>
      <c r="AH104" s="14"/>
      <c r="AI104" s="146" t="str">
        <f>IF(ISBLANK(AH104),"",IF(
SUMIFS(Transactions!$I$3:$I149,Transactions!$H$3:$H149,"Buy",Transactions!$F$3:$F149,"Stock",Transactions!$D$3:$D149,AH104)
+SUMIFS(Transactions!$I$3:$I149,Transactions!$H$3:$H149,"DRIP",Transactions!$F$3:$F149,"Stock",Transactions!$D$3:$D149,AH104)
+SUMIFS(Transactions!$I$3:$I149,Transactions!$H$3:$H149,"Transfer Deposit",Transactions!$F$3:$F149,"Stock",Transactions!$D$3:$D149,AH104)
+SUMIFS(Transactions!$I$3:$I149,Transactions!$H$3:$H149,"Buy",Transactions!$F$3:$F149,"ETF",Transactions!$D$3:$D149,AH104)
+SUMIFS(Transactions!$I$3:$I149,Transactions!$H$3:$H149,"DRIP",Transactions!$F$3:$F149,"ETF",Transactions!$D$3:$D149,AH104)
+SUMIFS(Transactions!$I$3:$I149,Transactions!$H$3:$H149,"Transfer Deposit",Transactions!$F$3:$F149,"ETF",Transactions!$D$3:$D149,AH104)
+SUMIFS(Transactions!$I$3:$I149,Transactions!$H$3:$H149,"Buy",Transactions!$F$3:$F149,"Commodity",Transactions!$D$3:$D149,AH104)
+SUMIFS(Transactions!$I$3:$I149,Transactions!$H$3:$H149,"DRIP",Transactions!$F$3:$F149,"Commodity",Transactions!$D$3:$D149,AH104)
+SUMIFS(Transactions!$I$3:$I149,Transactions!$H$3:$H149,"Transfer Deposit",Transactions!$F$3:$F149,"Commodity",Transactions!$D$3:$D149,AH104)
+SUMIFS(Transactions!$I$3:$I149,Transactions!$H$3:$H149,"Buy",Transactions!$F$3:$F149,"Managed Fund",Transactions!$D$3:$D149,AH104)
+SUMIFS(Transactions!$I$3:$I149,Transactions!$H$3:$H149,"DRIP",Transactions!$F$3:$F149,"Managed Fund",Transactions!$D$3:$D149,AH104)
+SUMIFS(Transactions!$I$3:$I149,Transactions!$H$3:$H149,"Transfer Deposit",Transactions!$F$3:$F149,"Managed Fund",Transactions!$D$3:$D149,AH104)
+SUMIFS(Transactions!$I$3:$I149,Transactions!$H$3:$H149,"Buy",Transactions!$F$3:$F149,"REIT",Transactions!$D$3:$D149,AH104)
+SUMIFS(Transactions!$I$3:$I149,Transactions!$H$3:$H149,"DRIP",Transactions!$F$3:$F149,"REIT",Transactions!$D$3:$D149,AH104)
+SUMIFS(Transactions!$I$3:$I149,Transactions!$H$3:$H149,"Transfer Deposit",Transactions!$F$3:$F149,"REIT",Transactions!$D$3:$D149,AH104)
-SUMIFS(Transactions!$I$3:$I149,Transactions!$H$3:$H149,"Sell",Transactions!$F$3:$F149,"Stock",Transactions!$D$3:$D149,AH104)
-SUMIFS(Transactions!$I$3:$I149,Transactions!$H$3:$H149,"Transfer Send",Transactions!$F$3:$F149,"Stock",Transactions!$D$3:$D149,AH104)
-SUMIFS(Transactions!$I$3:$I149,Transactions!$H$3:$H149,"Sell",Transactions!$F$3:$F149,"ETF",Transactions!$D$3:$D149,AH104)
-SUMIFS(Transactions!$I$3:$I149,Transactions!$H$3:$H149,"Transfer Send",Transactions!$F$3:$F149,"ETF",Transactions!$D$3:$D149,AH104)
-SUMIFS(Transactions!$I$3:$I149,Transactions!$H$3:$H149,"Sell",Transactions!$F$3:$F149,"Commodity",Transactions!$D$3:$D149,AH104)
-SUMIFS(Transactions!$I$3:$I149,Transactions!$H$3:$H149,"Transfer Send",Transactions!$F$3:$F149,"Commodity",Transactions!$D$3:$D149,AH104)
-SUMIFS(Transactions!$I$3:$I149,Transactions!$H$3:$H149,"Sell",Transactions!$F$3:$F149,"Managed Fund",Transactions!$D$3:$D149,AH104)
-SUMIFS(Transactions!$I$3:$I149,Transactions!$H$3:$H149,"Transfer Send",Transactions!$F$3:$F149,"Managed Fund",Transactions!$D$3:$D149,AH104)
-SUMIFS(Transactions!$I$3:$I149,Transactions!$H$3:$H149,"Sell",Transactions!$F$3:$F149,"REIT",Transactions!$D$3:$D149,AH104)
-SUMIFS(Transactions!$I$3:$I149,Transactions!$H$3:$H149,"Transfer Send",Transactions!$F$3:$F149,"REIT",Transactions!$D$3:$D149,AH104)
+SUMIFS(Transactions!$I$3:$I149,Transactions!$H$3:$H149,"Buy",Transactions!$F$3:$F149,"Crypto",Transactions!$D$3:$D149,AH104)
+SUMIFS(Transactions!$I$3:$I149,Transactions!$H$3:$H149,"Crypto Interest",Transactions!$F$3:$F149,"Crypto",Transactions!$D$3:$D149,AH104)
+SUMIFS(Transactions!$I$3:$I149,Transactions!$H$3:$H149,"Transfer Deposit",Transactions!$F$3:$F149,"Crypto",Transactions!$D$3:$D149,AH104)
-SUMIFS(Transactions!$I$3:$I149,Transactions!$H$3:$H149,"Transfer Send",Transactions!$F$3:$F149,"Crypto",Transactions!$D$3:$D149,AH104)
-SUMIFS(Transactions!$I$3:$I149,Transactions!$H$3:$H149,"Sell",Transactions!$F$3:$F149,"Crypto",Transactions!$D$3:$D149,AH104)
+SUMIFS(Transactions!$I$3:$I149,Transactions!$H$3:$H149,"Buy",Transactions!$F$3:$F149,"Stablecoin",Transactions!$D$3:$D149,AH104)
+SUMIFS(Transactions!$I$3:$I149,Transactions!$H$3:$H149,"Crypto Interest",Transactions!$F$3:$F149,"Stablecoin",Transactions!$D$3:$D149,AH104)
+SUMIFS(Transactions!$I$3:$I149,Transactions!$H$3:$H149,"Transfer Deposit",Transactions!$F$3:$F149,"Stablecoin",Transactions!$D$3:$D149,AH104)
-SUMIFS(Transactions!$I$3:$I149,Transactions!$H$3:$H149,"Transfer Send",Transactions!$F$3:$F149,"Stablecoin",Transactions!$D$3:$D149,AH104)
-SUMIFS(Transactions!$I$3:$I149,Transactions!$H$3:$H149,"Sell",Transactions!$F$3:$F149,"Stablecoin",Transactions!$D$3:$D149,AH104)
-SUMIFS(Transactions!$M$3:$M149,Transactions!$H$3:$H149,"Buy",Transactions!$B$3:$B149,AH104)=0,"Sold All",
SUMIFS(Transactions!$I$3:$I149,Transactions!$H$3:$H149,"Buy",Transactions!$F$3:$F149,"Stock",Transactions!$D$3:$D149,AH104)
+SUMIFS(Transactions!$I$3:$I149,Transactions!$H$3:$H149,"DRIP",Transactions!$F$3:$F149,"Stock",Transactions!$D$3:$D149,AH104)
+SUMIFS(Transactions!$I$3:$I149,Transactions!$H$3:$H149,"Transfer Deposit",Transactions!$F$3:$F149,"Stock",Transactions!$D$3:$D149,AH104)
+SUMIFS(Transactions!$I$3:$I149,Transactions!$H$3:$H149,"Buy",Transactions!$F$3:$F149,"ETF",Transactions!$D$3:$D149,AH104)
+SUMIFS(Transactions!$I$3:$I149,Transactions!$H$3:$H149,"DRIP",Transactions!$F$3:$F149,"ETF",Transactions!$D$3:$D149,AH104)
+SUMIFS(Transactions!$I$3:$I149,Transactions!$H$3:$H149,"Transfer Deposit",Transactions!$F$3:$F149,"ETF",Transactions!$D$3:$D149,AH104)
+SUMIFS(Transactions!$I$3:$I149,Transactions!$H$3:$H149,"Buy",Transactions!$F$3:$F149,"Commodity",Transactions!$D$3:$D149,AH104)
+SUMIFS(Transactions!$I$3:$I149,Transactions!$H$3:$H149,"DRIP",Transactions!$F$3:$F149,"Commodity",Transactions!$D$3:$D149,AH104)
+SUMIFS(Transactions!$I$3:$I149,Transactions!$H$3:$H149,"Transfer Deposit",Transactions!$F$3:$F149,"Commodity",Transactions!$D$3:$D149,AH104)
+SUMIFS(Transactions!$I$3:$I149,Transactions!$H$3:$H149,"Buy",Transactions!$F$3:$F149,"Managed Fund",Transactions!$D$3:$D149,AH104)
+SUMIFS(Transactions!$I$3:$I149,Transactions!$H$3:$H149,"DRIP",Transactions!$F$3:$F149,"Managed Fund",Transactions!$D$3:$D149,AH104)
+SUMIFS(Transactions!$I$3:$I149,Transactions!$H$3:$H149,"Transfer Deposit",Transactions!$F$3:$F149,"Managed Fund",Transactions!$D$3:$D149,AH104)
+SUMIFS(Transactions!$I$3:$I149,Transactions!$H$3:$H149,"Buy",Transactions!$F$3:$F149,"REIT",Transactions!$D$3:$D149,AH104)
+SUMIFS(Transactions!$I$3:$I149,Transactions!$H$3:$H149,"DRIP",Transactions!$F$3:$F149,"REIT",Transactions!$D$3:$D149,AH104)
+SUMIFS(Transactions!$I$3:$I149,Transactions!$H$3:$H149,"Transfer Deposit",Transactions!$F$3:$F149,"REIT",Transactions!$D$3:$D149,AH104)
-SUMIFS(Transactions!$I$3:$I149,Transactions!$H$3:$H149,"Sell",Transactions!$F$3:$F149,"Stock",Transactions!$D$3:$D149,AH104)
-SUMIFS(Transactions!$I$3:$I149,Transactions!$H$3:$H149,"Transfer Send",Transactions!$F$3:$F149,"Stock",Transactions!$D$3:$D149,AH104)
-SUMIFS(Transactions!$I$3:$I149,Transactions!$H$3:$H149,"Sell",Transactions!$F$3:$F149,"ETF",Transactions!$D$3:$D149,AH104)
-SUMIFS(Transactions!$I$3:$I149,Transactions!$H$3:$H149,"Transfer Send",Transactions!$F$3:$F149,"ETF",Transactions!$D$3:$D149,AH104)
-SUMIFS(Transactions!$I$3:$I149,Transactions!$H$3:$H149,"Sell",Transactions!$F$3:$F149,"Commodity",Transactions!$D$3:$D149,AH104)
-SUMIFS(Transactions!$I$3:$I149,Transactions!$H$3:$H149,"Transfer Send",Transactions!$F$3:$F149,"Commodity",Transactions!$D$3:$D149,AH104)
-SUMIFS(Transactions!$I$3:$I149,Transactions!$H$3:$H149,"Sell",Transactions!$F$3:$F149,"Managed Fund",Transactions!$D$3:$D149,AH104)
-SUMIFS(Transactions!$I$3:$I149,Transactions!$H$3:$H149,"Transfer Send",Transactions!$F$3:$F149,"Managed Fund",Transactions!$D$3:$D149,AH104)
-SUMIFS(Transactions!$I$3:$I149,Transactions!$H$3:$H149,"Sell",Transactions!$F$3:$F149,"REIT",Transactions!$D$3:$D149,AH104)
-SUMIFS(Transactions!$I$3:$I149,Transactions!$H$3:$H149,"Transfer Send",Transactions!$F$3:$F149,"REIT",Transactions!$D$3:$D149,AH104)
+SUMIFS(Transactions!$I$3:$I149,Transactions!$H$3:$H149,"Buy",Transactions!$F$3:$F149,"Crypto",Transactions!$D$3:$D149,AH104)
+SUMIFS(Transactions!$I$3:$I149,Transactions!$H$3:$H149,"Crypto Interest",Transactions!$F$3:$F149,"Crypto",Transactions!$D$3:$D149,AH104)
+SUMIFS(Transactions!$I$3:$I149,Transactions!$H$3:$H149,"Transfer Deposit",Transactions!$F$3:$F149,"Crypto",Transactions!$D$3:$D149,AH104)
-SUMIFS(Transactions!$I$3:$I149,Transactions!$H$3:$H149,"Transfer Send",Transactions!$F$3:$F149,"Crypto",Transactions!$D$3:$D149,AH104)
-SUMIFS(Transactions!$I$3:$I149,Transactions!$H$3:$H149,"Sell",Transactions!$F$3:$F149,"Crypto",Transactions!$D$3:$D149,AH104)
+SUMIFS(Transactions!$I$3:$I149,Transactions!$H$3:$H149,"Buy",Transactions!$F$3:$F149,"Stablecoin",Transactions!$D$3:$D149,AH104)
+SUMIFS(Transactions!$I$3:$I149,Transactions!$H$3:$H149,"Crypto Interest",Transactions!$F$3:$F149,"Stablecoin",Transactions!$D$3:$D149,AH104)
+SUMIFS(Transactions!$I$3:$I149,Transactions!$H$3:$H149,"Transfer Deposit",Transactions!$F$3:$F149,"Stablecoin",Transactions!$D$3:$D149,AH104)
-SUMIFS(Transactions!$I$3:$I149,Transactions!$H$3:$H149,"Transfer Send",Transactions!$F$3:$F149,"Stablecoin",Transactions!$D$3:$D149,AH104)
-SUMIFS(Transactions!$I$3:$I149,Transactions!$H$3:$H149,"Sell",Transactions!$F$3:$F149,"Stablecoin",Transactions!$D$3:$D149,AH104)
-SUMIFS(Transactions!$M$3:$M149,Transactions!$H$3:$H149,"Buy",Transactions!$B$3:$B149,AH104)))</f>
        <v/>
      </c>
      <c r="AJ104" s="181" t="str">
        <f>IFERROR(__xludf.DUMMYFUNCTION("IF(ISBLANK(AH104),"""",VLOOKUP(9^99,FILTER({ROW(Transactions!P:P),Transactions!P:P},Transactions!D:D=AH104),2))"),"")</f>
        <v/>
      </c>
      <c r="AK104" s="181" t="str">
        <f>IFERROR(__xludf.DUMMYFUNCTION("IF(ISBLANK(AH104),"""",IFERROR(GOOGLEFINANCE(AH104,""price""),IFERROR(GOOGLEFINANCE(""CURRENCY:""&amp;AH104&amp;""""),IFERROR(INDEX(YAHOO_STOCK(TRIM(AH104), $G$2),0,1),INDEX(IMPORTHTML(CONCAT(""https://coinmarketcap.com/currencies/"",AG104),""table"",1),1,2)))))"),"")</f>
        <v/>
      </c>
      <c r="AL104" s="14" t="str">
        <f>IFERROR(__xludf.DUMMYFUNCTION("IF(ISBLANK(AH104),"""",IFERROR(SPARKLINE(INDEX(GOOGLEFINANCE(AH104,""price"",TODAY()-$AL$2,TODAY()),,2),{""charttype"",""column"";""color"",""17a7e0""}),""""))"),"")</f>
        <v/>
      </c>
      <c r="AM104" s="50" t="str">
        <f>IFERROR(__xludf.DUMMYFUNCTION("IFNA(IFERROR(IF(AH104="""","""",GOOGLEFINANCE(AH104,""changepct"")/100),(GOOGLEFINANCE(AH104)-(INDEX(GOOGLEFINANCE(""CURRENCY:""&amp;AH104&amp;"""",""price"",TODAY()-1),2,2)))/(INDEX(GOOGLEFINANCE(""CURRENCY:""&amp;AH104&amp;"""",""price"",TODAY()-1),2,2))),)"),"")</f>
        <v/>
      </c>
      <c r="AN104" s="96" t="str">
        <f>IFERROR(__xludf.DUMMYFUNCTION("IFNA(IFERROR(IF(AH104="""","""",GOOGLEFINANCE(AH104,""change"")*AI104),(GOOGLEFINANCE(AH104)-(INDEX(GOOGLEFINANCE(""CURRENCY:""&amp;AH104&amp;"""",""price"",TODAY()-1),2,2)))*AI104),"""")"),"")</f>
        <v/>
      </c>
      <c r="AO104" s="96" t="str">
        <f>IF(ISBLANK(AH104),"",IFERROR(((AI104-SUMIFS(Transactions!I:I,Transactions!H:H,"Crypto Interest",Transactions!D:D,AH104))*AJ104),""))</f>
        <v/>
      </c>
      <c r="AP104" s="96" t="str">
        <f t="shared" si="16"/>
        <v/>
      </c>
      <c r="AQ104" s="50" t="str">
        <f t="shared" si="17"/>
        <v/>
      </c>
      <c r="AR104" s="96" t="str">
        <f t="shared" si="18"/>
        <v/>
      </c>
      <c r="AS104" s="96" t="str">
        <f>IF(ISBLANK(AH104),"",SUMIFS(Transactions!$X$3:$X149,Transactions!$H$3:$H149,"Sell",Transactions!$D$3:$D149,AH104))</f>
        <v/>
      </c>
      <c r="AT104" s="96" t="str">
        <f t="shared" si="19"/>
        <v/>
      </c>
      <c r="AU104" s="50" t="str">
        <f>IFERROR(__xludf.DUMMYFUNCTION("IF(ISBLANK(AH104),"""",IFERROR((GOOGLEFINANCE(AH104,""price"")/INDEX(GOOGLEFINANCE(AH104,""price"",DATEVALUE(TODAY()-$AU$2) ),2,2)-1),""""))"),"")</f>
        <v/>
      </c>
      <c r="AW104" s="50" t="str">
        <f>IFERROR(__xludf.DUMMYFUNCTION("IF(ISBLANK(AH104),"""",IFERROR((GOOGLEFINANCE($AW$2,""price"")/INDEX(GOOGLEFINANCE($AW$2,""price"",DATEVALUE(TODAY()-$AU$2) ),2,2)-1),""""))"),"")</f>
        <v/>
      </c>
      <c r="AY104" s="50" t="str">
        <f t="shared" si="20"/>
        <v/>
      </c>
      <c r="AZ104" s="50" t="str">
        <f t="shared" si="21"/>
        <v/>
      </c>
      <c r="BA104" s="50" t="str">
        <f t="shared" si="22"/>
        <v/>
      </c>
      <c r="BB104" s="14" t="str">
        <f t="shared" si="23"/>
        <v/>
      </c>
      <c r="BC104" s="14" t="str">
        <f>IF(ISBLANK(AH104),"",IFERROR(VLOOKUP(AH104,Transactions!D:F,3,0)))</f>
        <v/>
      </c>
      <c r="BD104" s="50" t="str">
        <f t="shared" si="24"/>
        <v/>
      </c>
      <c r="BE104" s="50" t="str">
        <f t="shared" si="25"/>
        <v/>
      </c>
      <c r="BF104" s="14" t="str">
        <f t="shared" si="26"/>
        <v/>
      </c>
      <c r="BG104" s="180" t="str">
        <f>IF(ISBLANK(AH104),"",IFERROR(VLOOKUP(AH104,Transactions!D:G,4,0)))</f>
        <v/>
      </c>
    </row>
    <row r="105">
      <c r="A105" s="14" t="str">
        <f t="shared" ref="A105:C105" si="128">AG105</f>
        <v/>
      </c>
      <c r="B105" s="14" t="str">
        <f t="shared" si="128"/>
        <v/>
      </c>
      <c r="C105" s="175" t="str">
        <f t="shared" si="128"/>
        <v/>
      </c>
      <c r="D105" s="176" t="str">
        <f>IFERROR(__xludf.DUMMYFUNCTION("IF(ISBLANK(B105),"""",IFERROR(IF(OR(AF105=""GPB"",AF105=""ZAR""),IF(AF105=Dashboard!$L$1,AJ105,(AJ105*GOOGLEFINANCE(""CURRENCY:""&amp;AF105&amp;""""&amp;Dashboard!$L$1&amp;""""))/100),IF(AF105=Dashboard!$L$1,AJ105,AJ105*GOOGLEFINANCE(""CURRENCY:""&amp;AF105&amp;""""&amp;Dashboard!$L"&amp;"$1&amp;""""))),AJ105))"),"")</f>
        <v/>
      </c>
      <c r="E105" s="177" t="str">
        <f>IFERROR(__xludf.DUMMYFUNCTION("IFERROR(IF(OR(AF105=""GBP"",AF105=""ZAR""),IF(B105="""","""",IF(AF105=Dashboard!$L$1,AK105,AK105*GOOGLEFINANCE(""CURRENCY:""&amp;AF105&amp;""""&amp;Dashboard!$L$1&amp;"""")))/100,If(B105="""","""",IF(AF105=Dashboard!$L$1,AK105,AK105*GOOGLEFINANCE(""CURRENCY:""&amp;AF105&amp;"""""&amp;"&amp;Dashboard!$L$1&amp;"""")))),AK105)"),"")</f>
        <v/>
      </c>
      <c r="F105" s="145" t="str">
        <f t="shared" si="65"/>
        <v/>
      </c>
      <c r="G105" s="96" t="str">
        <f>IFERROR(__xludf.DUMMYFUNCTION("IF(ISBLANK(B105),"""",IFERROR(SPARKLINE(INDEX(GOOGLEFINANCE(B105,""price"",TODAY()-$G$2,TODAY()),,2),{""charttype"",""column"";""color"",""17a7e0""}),""""))"),"")</f>
        <v/>
      </c>
      <c r="H105" s="50" t="str">
        <f t="shared" si="3"/>
        <v/>
      </c>
      <c r="I105" s="96" t="str">
        <f>IFERROR(__xludf.DUMMYFUNCTION("IF(ISBLANK(B105),"""",IFERROR(IF(OR(AF105=""GPB"",AF105=""ZAR""),IF(AF105=Dashboard!$L$1,AN105,(AN105*GOOGLEFINANCE(""CURRENCY:""&amp;AF105&amp;""""&amp;Dashboard!$L$1&amp;""""))/100),IF(AF105=Dashboard!$L$1,AN105,AN105*GOOGLEFINANCE(""CURRENCY:""&amp;AF105&amp;""""&amp;Dashboard!$L"&amp;"$1&amp;""""))),AN105))"),"")</f>
        <v/>
      </c>
      <c r="J105" s="178" t="str">
        <f>IF(ISBLANK(B105),"",IFERROR(((C105-SUMIFS(Transactions!I:I,Transactions!H:H,"Crypto Interest",Transactions!D:D,B105))*D105),""))</f>
        <v/>
      </c>
      <c r="K105" s="178" t="str">
        <f t="shared" si="4"/>
        <v/>
      </c>
      <c r="L105" s="145">
        <f>IF(ISBLANK(AF105),"",SUMIFS(Transactions!$M$3:$M149,Transactions!$H$3:$H149,"Buy",Transactions!$D$3:$D149,AF105))</f>
        <v>0</v>
      </c>
      <c r="M105" s="145">
        <f>IF(ISBLANK(AG105),"",SUMIFS(Transactions!$M$3:$M149,Transactions!$H$3:$H149,"Dividend",Transactions!$D$3:$D149,AG105))</f>
        <v>0</v>
      </c>
      <c r="N105" s="145" t="str">
        <f>IF(ISBLANK(AH105),"",SUMIFS(Transactions!$M$3:$M149,Transactions!$H$3:$H149,"Sell",Transactions!$D$3:$D149,AH105))</f>
        <v/>
      </c>
      <c r="O105" s="50" t="str">
        <f t="shared" si="5"/>
        <v/>
      </c>
      <c r="P105" s="178" t="str">
        <f t="shared" si="6"/>
        <v/>
      </c>
      <c r="Q105" s="178" t="str">
        <f>IFERROR(__xludf.DUMMYFUNCTION("IF(ISBLANK(B105),"""",IFERROR(IF(OR(AF105=""GPB"",AF105=""ZAR""),IF(AF105=Dashboard!$L$1,AS105,(AS105*GOOGLEFINANCE(""CURRENCY:""&amp;AF105&amp;""""&amp;Dashboard!$L$1&amp;""""))/100),IF(AF105=Dashboard!$L$1,AS105,AS105*GOOGLEFINANCE(""CURRENCY:""&amp;AF105&amp;""""&amp;Dashboard!$L"&amp;"$1&amp;""""))),AS105))"),"")</f>
        <v/>
      </c>
      <c r="R105" s="178" t="str">
        <f t="shared" si="7"/>
        <v/>
      </c>
      <c r="S105" s="50" t="str">
        <f>IFERROR(__xludf.DUMMYFUNCTION("IF(ISBLANK(B105),"""",IFERROR((GOOGLEFINANCE(B105,""price"")/INDEX(GOOGLEFINANCE(B105,""price"",DATEVALUE(TODAY()-$S$2) ),2,2)-1),""""))"),"")</f>
        <v/>
      </c>
      <c r="U105" s="50" t="str">
        <f>IFERROR(__xludf.DUMMYFUNCTION("IF(ISBLANK(B105),"""",IFERROR((GOOGLEFINANCE($U$2,""price"")/INDEX(GOOGLEFINANCE($U$2,""price"",DATEVALUE(TODAY()-$S$2) ),2,2)-1),""""))"),"")</f>
        <v/>
      </c>
      <c r="W105" s="50" t="str">
        <f t="shared" si="8"/>
        <v/>
      </c>
      <c r="X105" s="50" t="str">
        <f t="shared" si="9"/>
        <v/>
      </c>
      <c r="Y105" s="50"/>
      <c r="Z105" s="50" t="str">
        <f t="shared" si="10"/>
        <v/>
      </c>
      <c r="AA105" s="14" t="str">
        <f t="shared" si="11"/>
        <v/>
      </c>
      <c r="AB105" s="50" t="str">
        <f t="shared" si="12"/>
        <v/>
      </c>
      <c r="AC105" s="179" t="str">
        <f t="shared" si="13"/>
        <v/>
      </c>
      <c r="AD105" s="50" t="str">
        <f t="shared" si="14"/>
        <v/>
      </c>
      <c r="AE105" s="180" t="str">
        <f t="shared" si="15"/>
        <v/>
      </c>
      <c r="AF105" s="14" t="str">
        <f t="array" ref="AF105">IFERROR(IF(ISBLANK(AH105),"",IF(VLOOKUP(AH105,Transactions!D:F,3,0)="Stablecoin",AH105,INDEX(Transactions!$B$3:$B149,MATCH(AH105,Transactions!$D$3:$D149,0),0))))</f>
        <v/>
      </c>
      <c r="AG105" s="14" t="str">
        <f>IF(ISBLANK(AH105),"",VLOOKUP(AH105,Transactions!D:E,2,0))</f>
        <v/>
      </c>
      <c r="AH105" s="14"/>
      <c r="AI105" s="146" t="str">
        <f>IF(ISBLANK(AH105),"",IF(
SUMIFS(Transactions!$I$3:$I149,Transactions!$H$3:$H149,"Buy",Transactions!$F$3:$F149,"Stock",Transactions!$D$3:$D149,AH105)
+SUMIFS(Transactions!$I$3:$I149,Transactions!$H$3:$H149,"DRIP",Transactions!$F$3:$F149,"Stock",Transactions!$D$3:$D149,AH105)
+SUMIFS(Transactions!$I$3:$I149,Transactions!$H$3:$H149,"Transfer Deposit",Transactions!$F$3:$F149,"Stock",Transactions!$D$3:$D149,AH105)
+SUMIFS(Transactions!$I$3:$I149,Transactions!$H$3:$H149,"Buy",Transactions!$F$3:$F149,"ETF",Transactions!$D$3:$D149,AH105)
+SUMIFS(Transactions!$I$3:$I149,Transactions!$H$3:$H149,"DRIP",Transactions!$F$3:$F149,"ETF",Transactions!$D$3:$D149,AH105)
+SUMIFS(Transactions!$I$3:$I149,Transactions!$H$3:$H149,"Transfer Deposit",Transactions!$F$3:$F149,"ETF",Transactions!$D$3:$D149,AH105)
+SUMIFS(Transactions!$I$3:$I149,Transactions!$H$3:$H149,"Buy",Transactions!$F$3:$F149,"Commodity",Transactions!$D$3:$D149,AH105)
+SUMIFS(Transactions!$I$3:$I149,Transactions!$H$3:$H149,"DRIP",Transactions!$F$3:$F149,"Commodity",Transactions!$D$3:$D149,AH105)
+SUMIFS(Transactions!$I$3:$I149,Transactions!$H$3:$H149,"Transfer Deposit",Transactions!$F$3:$F149,"Commodity",Transactions!$D$3:$D149,AH105)
+SUMIFS(Transactions!$I$3:$I149,Transactions!$H$3:$H149,"Buy",Transactions!$F$3:$F149,"Managed Fund",Transactions!$D$3:$D149,AH105)
+SUMIFS(Transactions!$I$3:$I149,Transactions!$H$3:$H149,"DRIP",Transactions!$F$3:$F149,"Managed Fund",Transactions!$D$3:$D149,AH105)
+SUMIFS(Transactions!$I$3:$I149,Transactions!$H$3:$H149,"Transfer Deposit",Transactions!$F$3:$F149,"Managed Fund",Transactions!$D$3:$D149,AH105)
+SUMIFS(Transactions!$I$3:$I149,Transactions!$H$3:$H149,"Buy",Transactions!$F$3:$F149,"REIT",Transactions!$D$3:$D149,AH105)
+SUMIFS(Transactions!$I$3:$I149,Transactions!$H$3:$H149,"DRIP",Transactions!$F$3:$F149,"REIT",Transactions!$D$3:$D149,AH105)
+SUMIFS(Transactions!$I$3:$I149,Transactions!$H$3:$H149,"Transfer Deposit",Transactions!$F$3:$F149,"REIT",Transactions!$D$3:$D149,AH105)
-SUMIFS(Transactions!$I$3:$I149,Transactions!$H$3:$H149,"Sell",Transactions!$F$3:$F149,"Stock",Transactions!$D$3:$D149,AH105)
-SUMIFS(Transactions!$I$3:$I149,Transactions!$H$3:$H149,"Transfer Send",Transactions!$F$3:$F149,"Stock",Transactions!$D$3:$D149,AH105)
-SUMIFS(Transactions!$I$3:$I149,Transactions!$H$3:$H149,"Sell",Transactions!$F$3:$F149,"ETF",Transactions!$D$3:$D149,AH105)
-SUMIFS(Transactions!$I$3:$I149,Transactions!$H$3:$H149,"Transfer Send",Transactions!$F$3:$F149,"ETF",Transactions!$D$3:$D149,AH105)
-SUMIFS(Transactions!$I$3:$I149,Transactions!$H$3:$H149,"Sell",Transactions!$F$3:$F149,"Commodity",Transactions!$D$3:$D149,AH105)
-SUMIFS(Transactions!$I$3:$I149,Transactions!$H$3:$H149,"Transfer Send",Transactions!$F$3:$F149,"Commodity",Transactions!$D$3:$D149,AH105)
-SUMIFS(Transactions!$I$3:$I149,Transactions!$H$3:$H149,"Sell",Transactions!$F$3:$F149,"Managed Fund",Transactions!$D$3:$D149,AH105)
-SUMIFS(Transactions!$I$3:$I149,Transactions!$H$3:$H149,"Transfer Send",Transactions!$F$3:$F149,"Managed Fund",Transactions!$D$3:$D149,AH105)
-SUMIFS(Transactions!$I$3:$I149,Transactions!$H$3:$H149,"Sell",Transactions!$F$3:$F149,"REIT",Transactions!$D$3:$D149,AH105)
-SUMIFS(Transactions!$I$3:$I149,Transactions!$H$3:$H149,"Transfer Send",Transactions!$F$3:$F149,"REIT",Transactions!$D$3:$D149,AH105)
+SUMIFS(Transactions!$I$3:$I149,Transactions!$H$3:$H149,"Buy",Transactions!$F$3:$F149,"Crypto",Transactions!$D$3:$D149,AH105)
+SUMIFS(Transactions!$I$3:$I149,Transactions!$H$3:$H149,"Crypto Interest",Transactions!$F$3:$F149,"Crypto",Transactions!$D$3:$D149,AH105)
+SUMIFS(Transactions!$I$3:$I149,Transactions!$H$3:$H149,"Transfer Deposit",Transactions!$F$3:$F149,"Crypto",Transactions!$D$3:$D149,AH105)
-SUMIFS(Transactions!$I$3:$I149,Transactions!$H$3:$H149,"Transfer Send",Transactions!$F$3:$F149,"Crypto",Transactions!$D$3:$D149,AH105)
-SUMIFS(Transactions!$I$3:$I149,Transactions!$H$3:$H149,"Sell",Transactions!$F$3:$F149,"Crypto",Transactions!$D$3:$D149,AH105)
+SUMIFS(Transactions!$I$3:$I149,Transactions!$H$3:$H149,"Buy",Transactions!$F$3:$F149,"Stablecoin",Transactions!$D$3:$D149,AH105)
+SUMIFS(Transactions!$I$3:$I149,Transactions!$H$3:$H149,"Crypto Interest",Transactions!$F$3:$F149,"Stablecoin",Transactions!$D$3:$D149,AH105)
+SUMIFS(Transactions!$I$3:$I149,Transactions!$H$3:$H149,"Transfer Deposit",Transactions!$F$3:$F149,"Stablecoin",Transactions!$D$3:$D149,AH105)
-SUMIFS(Transactions!$I$3:$I149,Transactions!$H$3:$H149,"Transfer Send",Transactions!$F$3:$F149,"Stablecoin",Transactions!$D$3:$D149,AH105)
-SUMIFS(Transactions!$I$3:$I149,Transactions!$H$3:$H149,"Sell",Transactions!$F$3:$F149,"Stablecoin",Transactions!$D$3:$D149,AH105)
-SUMIFS(Transactions!$M$3:$M149,Transactions!$H$3:$H149,"Buy",Transactions!$B$3:$B149,AH105)=0,"Sold All",
SUMIFS(Transactions!$I$3:$I149,Transactions!$H$3:$H149,"Buy",Transactions!$F$3:$F149,"Stock",Transactions!$D$3:$D149,AH105)
+SUMIFS(Transactions!$I$3:$I149,Transactions!$H$3:$H149,"DRIP",Transactions!$F$3:$F149,"Stock",Transactions!$D$3:$D149,AH105)
+SUMIFS(Transactions!$I$3:$I149,Transactions!$H$3:$H149,"Transfer Deposit",Transactions!$F$3:$F149,"Stock",Transactions!$D$3:$D149,AH105)
+SUMIFS(Transactions!$I$3:$I149,Transactions!$H$3:$H149,"Buy",Transactions!$F$3:$F149,"ETF",Transactions!$D$3:$D149,AH105)
+SUMIFS(Transactions!$I$3:$I149,Transactions!$H$3:$H149,"DRIP",Transactions!$F$3:$F149,"ETF",Transactions!$D$3:$D149,AH105)
+SUMIFS(Transactions!$I$3:$I149,Transactions!$H$3:$H149,"Transfer Deposit",Transactions!$F$3:$F149,"ETF",Transactions!$D$3:$D149,AH105)
+SUMIFS(Transactions!$I$3:$I149,Transactions!$H$3:$H149,"Buy",Transactions!$F$3:$F149,"Commodity",Transactions!$D$3:$D149,AH105)
+SUMIFS(Transactions!$I$3:$I149,Transactions!$H$3:$H149,"DRIP",Transactions!$F$3:$F149,"Commodity",Transactions!$D$3:$D149,AH105)
+SUMIFS(Transactions!$I$3:$I149,Transactions!$H$3:$H149,"Transfer Deposit",Transactions!$F$3:$F149,"Commodity",Transactions!$D$3:$D149,AH105)
+SUMIFS(Transactions!$I$3:$I149,Transactions!$H$3:$H149,"Buy",Transactions!$F$3:$F149,"Managed Fund",Transactions!$D$3:$D149,AH105)
+SUMIFS(Transactions!$I$3:$I149,Transactions!$H$3:$H149,"DRIP",Transactions!$F$3:$F149,"Managed Fund",Transactions!$D$3:$D149,AH105)
+SUMIFS(Transactions!$I$3:$I149,Transactions!$H$3:$H149,"Transfer Deposit",Transactions!$F$3:$F149,"Managed Fund",Transactions!$D$3:$D149,AH105)
+SUMIFS(Transactions!$I$3:$I149,Transactions!$H$3:$H149,"Buy",Transactions!$F$3:$F149,"REIT",Transactions!$D$3:$D149,AH105)
+SUMIFS(Transactions!$I$3:$I149,Transactions!$H$3:$H149,"DRIP",Transactions!$F$3:$F149,"REIT",Transactions!$D$3:$D149,AH105)
+SUMIFS(Transactions!$I$3:$I149,Transactions!$H$3:$H149,"Transfer Deposit",Transactions!$F$3:$F149,"REIT",Transactions!$D$3:$D149,AH105)
-SUMIFS(Transactions!$I$3:$I149,Transactions!$H$3:$H149,"Sell",Transactions!$F$3:$F149,"Stock",Transactions!$D$3:$D149,AH105)
-SUMIFS(Transactions!$I$3:$I149,Transactions!$H$3:$H149,"Transfer Send",Transactions!$F$3:$F149,"Stock",Transactions!$D$3:$D149,AH105)
-SUMIFS(Transactions!$I$3:$I149,Transactions!$H$3:$H149,"Sell",Transactions!$F$3:$F149,"ETF",Transactions!$D$3:$D149,AH105)
-SUMIFS(Transactions!$I$3:$I149,Transactions!$H$3:$H149,"Transfer Send",Transactions!$F$3:$F149,"ETF",Transactions!$D$3:$D149,AH105)
-SUMIFS(Transactions!$I$3:$I149,Transactions!$H$3:$H149,"Sell",Transactions!$F$3:$F149,"Commodity",Transactions!$D$3:$D149,AH105)
-SUMIFS(Transactions!$I$3:$I149,Transactions!$H$3:$H149,"Transfer Send",Transactions!$F$3:$F149,"Commodity",Transactions!$D$3:$D149,AH105)
-SUMIFS(Transactions!$I$3:$I149,Transactions!$H$3:$H149,"Sell",Transactions!$F$3:$F149,"Managed Fund",Transactions!$D$3:$D149,AH105)
-SUMIFS(Transactions!$I$3:$I149,Transactions!$H$3:$H149,"Transfer Send",Transactions!$F$3:$F149,"Managed Fund",Transactions!$D$3:$D149,AH105)
-SUMIFS(Transactions!$I$3:$I149,Transactions!$H$3:$H149,"Sell",Transactions!$F$3:$F149,"REIT",Transactions!$D$3:$D149,AH105)
-SUMIFS(Transactions!$I$3:$I149,Transactions!$H$3:$H149,"Transfer Send",Transactions!$F$3:$F149,"REIT",Transactions!$D$3:$D149,AH105)
+SUMIFS(Transactions!$I$3:$I149,Transactions!$H$3:$H149,"Buy",Transactions!$F$3:$F149,"Crypto",Transactions!$D$3:$D149,AH105)
+SUMIFS(Transactions!$I$3:$I149,Transactions!$H$3:$H149,"Crypto Interest",Transactions!$F$3:$F149,"Crypto",Transactions!$D$3:$D149,AH105)
+SUMIFS(Transactions!$I$3:$I149,Transactions!$H$3:$H149,"Transfer Deposit",Transactions!$F$3:$F149,"Crypto",Transactions!$D$3:$D149,AH105)
-SUMIFS(Transactions!$I$3:$I149,Transactions!$H$3:$H149,"Transfer Send",Transactions!$F$3:$F149,"Crypto",Transactions!$D$3:$D149,AH105)
-SUMIFS(Transactions!$I$3:$I149,Transactions!$H$3:$H149,"Sell",Transactions!$F$3:$F149,"Crypto",Transactions!$D$3:$D149,AH105)
+SUMIFS(Transactions!$I$3:$I149,Transactions!$H$3:$H149,"Buy",Transactions!$F$3:$F149,"Stablecoin",Transactions!$D$3:$D149,AH105)
+SUMIFS(Transactions!$I$3:$I149,Transactions!$H$3:$H149,"Crypto Interest",Transactions!$F$3:$F149,"Stablecoin",Transactions!$D$3:$D149,AH105)
+SUMIFS(Transactions!$I$3:$I149,Transactions!$H$3:$H149,"Transfer Deposit",Transactions!$F$3:$F149,"Stablecoin",Transactions!$D$3:$D149,AH105)
-SUMIFS(Transactions!$I$3:$I149,Transactions!$H$3:$H149,"Transfer Send",Transactions!$F$3:$F149,"Stablecoin",Transactions!$D$3:$D149,AH105)
-SUMIFS(Transactions!$I$3:$I149,Transactions!$H$3:$H149,"Sell",Transactions!$F$3:$F149,"Stablecoin",Transactions!$D$3:$D149,AH105)
-SUMIFS(Transactions!$M$3:$M149,Transactions!$H$3:$H149,"Buy",Transactions!$B$3:$B149,AH105)))</f>
        <v/>
      </c>
      <c r="AJ105" s="181" t="str">
        <f>IFERROR(__xludf.DUMMYFUNCTION("IF(ISBLANK(AH105),"""",VLOOKUP(9^99,FILTER({ROW(Transactions!P:P),Transactions!P:P},Transactions!D:D=AH105),2))"),"")</f>
        <v/>
      </c>
      <c r="AK105" s="181" t="str">
        <f>IFERROR(__xludf.DUMMYFUNCTION("IF(ISBLANK(AH105),"""",IFERROR(GOOGLEFINANCE(AH105,""price""),IFERROR(GOOGLEFINANCE(""CURRENCY:""&amp;AH105&amp;""""),IFERROR(INDEX(YAHOO_STOCK(TRIM(AH105), $G$2),0,1),INDEX(IMPORTHTML(CONCAT(""https://coinmarketcap.com/currencies/"",AG105),""table"",1),1,2)))))"),"")</f>
        <v/>
      </c>
      <c r="AL105" s="14" t="str">
        <f>IFERROR(__xludf.DUMMYFUNCTION("IF(ISBLANK(AH105),"""",IFERROR(SPARKLINE(INDEX(GOOGLEFINANCE(AH105,""price"",TODAY()-$AL$2,TODAY()),,2),{""charttype"",""column"";""color"",""17a7e0""}),""""))"),"")</f>
        <v/>
      </c>
      <c r="AM105" s="50" t="str">
        <f>IFERROR(__xludf.DUMMYFUNCTION("IFNA(IFERROR(IF(AH105="""","""",GOOGLEFINANCE(AH105,""changepct"")/100),(GOOGLEFINANCE(AH105)-(INDEX(GOOGLEFINANCE(""CURRENCY:""&amp;AH105&amp;"""",""price"",TODAY()-1),2,2)))/(INDEX(GOOGLEFINANCE(""CURRENCY:""&amp;AH105&amp;"""",""price"",TODAY()-1),2,2))),)"),"")</f>
        <v/>
      </c>
      <c r="AN105" s="96" t="str">
        <f>IFERROR(__xludf.DUMMYFUNCTION("IFNA(IFERROR(IF(AH105="""","""",GOOGLEFINANCE(AH105,""change"")*AI105),(GOOGLEFINANCE(AH105)-(INDEX(GOOGLEFINANCE(""CURRENCY:""&amp;AH105&amp;"""",""price"",TODAY()-1),2,2)))*AI105),"""")"),"")</f>
        <v/>
      </c>
      <c r="AO105" s="96" t="str">
        <f>IF(ISBLANK(AH105),"",IFERROR(((AI105-SUMIFS(Transactions!I:I,Transactions!H:H,"Crypto Interest",Transactions!D:D,AH105))*AJ105),""))</f>
        <v/>
      </c>
      <c r="AP105" s="96" t="str">
        <f t="shared" si="16"/>
        <v/>
      </c>
      <c r="AQ105" s="50" t="str">
        <f t="shared" si="17"/>
        <v/>
      </c>
      <c r="AR105" s="96" t="str">
        <f t="shared" si="18"/>
        <v/>
      </c>
      <c r="AS105" s="96" t="str">
        <f>IF(ISBLANK(AH105),"",SUMIFS(Transactions!$X$3:$X149,Transactions!$H$3:$H149,"Sell",Transactions!$D$3:$D149,AH105))</f>
        <v/>
      </c>
      <c r="AT105" s="96" t="str">
        <f t="shared" si="19"/>
        <v/>
      </c>
      <c r="AU105" s="50" t="str">
        <f>IFERROR(__xludf.DUMMYFUNCTION("IF(ISBLANK(AH105),"""",IFERROR((GOOGLEFINANCE(AH105,""price"")/INDEX(GOOGLEFINANCE(AH105,""price"",DATEVALUE(TODAY()-$AU$2) ),2,2)-1),""""))"),"")</f>
        <v/>
      </c>
      <c r="AW105" s="50" t="str">
        <f>IFERROR(__xludf.DUMMYFUNCTION("IF(ISBLANK(AH105),"""",IFERROR((GOOGLEFINANCE($AW$2,""price"")/INDEX(GOOGLEFINANCE($AW$2,""price"",DATEVALUE(TODAY()-$AU$2) ),2,2)-1),""""))"),"")</f>
        <v/>
      </c>
      <c r="AY105" s="50" t="str">
        <f t="shared" si="20"/>
        <v/>
      </c>
      <c r="AZ105" s="50" t="str">
        <f t="shared" si="21"/>
        <v/>
      </c>
      <c r="BA105" s="50" t="str">
        <f t="shared" si="22"/>
        <v/>
      </c>
      <c r="BB105" s="14" t="str">
        <f t="shared" si="23"/>
        <v/>
      </c>
      <c r="BC105" s="14" t="str">
        <f>IF(ISBLANK(AH105),"",IFERROR(VLOOKUP(AH105,Transactions!D:F,3,0)))</f>
        <v/>
      </c>
      <c r="BD105" s="50" t="str">
        <f t="shared" si="24"/>
        <v/>
      </c>
      <c r="BE105" s="50" t="str">
        <f t="shared" si="25"/>
        <v/>
      </c>
      <c r="BF105" s="14" t="str">
        <f t="shared" si="26"/>
        <v/>
      </c>
      <c r="BG105" s="180" t="str">
        <f>IF(ISBLANK(AH105),"",IFERROR(VLOOKUP(AH105,Transactions!D:G,4,0)))</f>
        <v/>
      </c>
    </row>
    <row r="106">
      <c r="A106" s="14" t="str">
        <f t="shared" ref="A106:C106" si="129">AG106</f>
        <v/>
      </c>
      <c r="B106" s="14" t="str">
        <f t="shared" si="129"/>
        <v/>
      </c>
      <c r="C106" s="175" t="str">
        <f t="shared" si="129"/>
        <v/>
      </c>
      <c r="D106" s="176" t="str">
        <f>IFERROR(__xludf.DUMMYFUNCTION("IF(ISBLANK(B106),"""",IFERROR(IF(OR(AF106=""GPB"",AF106=""ZAR""),IF(AF106=Dashboard!$L$1,AJ106,(AJ106*GOOGLEFINANCE(""CURRENCY:""&amp;AF106&amp;""""&amp;Dashboard!$L$1&amp;""""))/100),IF(AF106=Dashboard!$L$1,AJ106,AJ106*GOOGLEFINANCE(""CURRENCY:""&amp;AF106&amp;""""&amp;Dashboard!$L"&amp;"$1&amp;""""))),AJ106))"),"")</f>
        <v/>
      </c>
      <c r="E106" s="177" t="str">
        <f>IFERROR(__xludf.DUMMYFUNCTION("IFERROR(IF(OR(AF106=""GBP"",AF106=""ZAR""),IF(B106="""","""",IF(AF106=Dashboard!$L$1,AK106,AK106*GOOGLEFINANCE(""CURRENCY:""&amp;AF106&amp;""""&amp;Dashboard!$L$1&amp;"""")))/100,If(B106="""","""",IF(AF106=Dashboard!$L$1,AK106,AK106*GOOGLEFINANCE(""CURRENCY:""&amp;AF106&amp;"""""&amp;"&amp;Dashboard!$L$1&amp;"""")))),AK106)"),"")</f>
        <v/>
      </c>
      <c r="F106" s="145" t="str">
        <f t="shared" si="65"/>
        <v/>
      </c>
      <c r="G106" s="96" t="str">
        <f>IFERROR(__xludf.DUMMYFUNCTION("IF(ISBLANK(B106),"""",IFERROR(SPARKLINE(INDEX(GOOGLEFINANCE(B106,""price"",TODAY()-$G$2,TODAY()),,2),{""charttype"",""column"";""color"",""17a7e0""}),""""))"),"")</f>
        <v/>
      </c>
      <c r="H106" s="50" t="str">
        <f t="shared" si="3"/>
        <v/>
      </c>
      <c r="I106" s="96" t="str">
        <f>IFERROR(__xludf.DUMMYFUNCTION("IF(ISBLANK(B106),"""",IFERROR(IF(OR(AF106=""GPB"",AF106=""ZAR""),IF(AF106=Dashboard!$L$1,AN106,(AN106*GOOGLEFINANCE(""CURRENCY:""&amp;AF106&amp;""""&amp;Dashboard!$L$1&amp;""""))/100),IF(AF106=Dashboard!$L$1,AN106,AN106*GOOGLEFINANCE(""CURRENCY:""&amp;AF106&amp;""""&amp;Dashboard!$L"&amp;"$1&amp;""""))),AN106))"),"")</f>
        <v/>
      </c>
      <c r="J106" s="178" t="str">
        <f>IF(ISBLANK(B106),"",IFERROR(((C106-SUMIFS(Transactions!I:I,Transactions!H:H,"Crypto Interest",Transactions!D:D,B106))*D106),""))</f>
        <v/>
      </c>
      <c r="K106" s="178" t="str">
        <f t="shared" si="4"/>
        <v/>
      </c>
      <c r="L106" s="145">
        <f>IF(ISBLANK(AF106),"",SUMIFS(Transactions!$M$3:$M149,Transactions!$H$3:$H149,"Buy",Transactions!$D$3:$D149,AF106))</f>
        <v>0</v>
      </c>
      <c r="M106" s="145">
        <f>IF(ISBLANK(AG106),"",SUMIFS(Transactions!$M$3:$M149,Transactions!$H$3:$H149,"Dividend",Transactions!$D$3:$D149,AG106))</f>
        <v>0</v>
      </c>
      <c r="N106" s="145" t="str">
        <f>IF(ISBLANK(AH106),"",SUMIFS(Transactions!$M$3:$M149,Transactions!$H$3:$H149,"Sell",Transactions!$D$3:$D149,AH106))</f>
        <v/>
      </c>
      <c r="O106" s="50" t="str">
        <f t="shared" si="5"/>
        <v/>
      </c>
      <c r="P106" s="178" t="str">
        <f t="shared" si="6"/>
        <v/>
      </c>
      <c r="Q106" s="178" t="str">
        <f>IFERROR(__xludf.DUMMYFUNCTION("IF(ISBLANK(B106),"""",IFERROR(IF(OR(AF106=""GPB"",AF106=""ZAR""),IF(AF106=Dashboard!$L$1,AS106,(AS106*GOOGLEFINANCE(""CURRENCY:""&amp;AF106&amp;""""&amp;Dashboard!$L$1&amp;""""))/100),IF(AF106=Dashboard!$L$1,AS106,AS106*GOOGLEFINANCE(""CURRENCY:""&amp;AF106&amp;""""&amp;Dashboard!$L"&amp;"$1&amp;""""))),AS106))"),"")</f>
        <v/>
      </c>
      <c r="R106" s="178" t="str">
        <f t="shared" si="7"/>
        <v/>
      </c>
      <c r="S106" s="50" t="str">
        <f>IFERROR(__xludf.DUMMYFUNCTION("IF(ISBLANK(B106),"""",IFERROR((GOOGLEFINANCE(B106,""price"")/INDEX(GOOGLEFINANCE(B106,""price"",DATEVALUE(TODAY()-$S$2) ),2,2)-1),""""))"),"")</f>
        <v/>
      </c>
      <c r="U106" s="50" t="str">
        <f>IFERROR(__xludf.DUMMYFUNCTION("IF(ISBLANK(B106),"""",IFERROR((GOOGLEFINANCE($U$2,""price"")/INDEX(GOOGLEFINANCE($U$2,""price"",DATEVALUE(TODAY()-$S$2) ),2,2)-1),""""))"),"")</f>
        <v/>
      </c>
      <c r="W106" s="50" t="str">
        <f t="shared" si="8"/>
        <v/>
      </c>
      <c r="X106" s="50" t="str">
        <f t="shared" si="9"/>
        <v/>
      </c>
      <c r="Y106" s="50"/>
      <c r="Z106" s="50" t="str">
        <f t="shared" si="10"/>
        <v/>
      </c>
      <c r="AA106" s="14" t="str">
        <f t="shared" si="11"/>
        <v/>
      </c>
      <c r="AB106" s="50" t="str">
        <f t="shared" si="12"/>
        <v/>
      </c>
      <c r="AC106" s="179" t="str">
        <f t="shared" si="13"/>
        <v/>
      </c>
      <c r="AD106" s="50" t="str">
        <f t="shared" si="14"/>
        <v/>
      </c>
      <c r="AE106" s="180" t="str">
        <f t="shared" si="15"/>
        <v/>
      </c>
      <c r="AF106" s="14" t="str">
        <f t="array" ref="AF106">IFERROR(IF(ISBLANK(AH106),"",IF(VLOOKUP(AH106,Transactions!D:F,3,0)="Stablecoin",AH106,INDEX(Transactions!$B$3:$B149,MATCH(AH106,Transactions!$D$3:$D149,0),0))))</f>
        <v/>
      </c>
      <c r="AG106" s="14" t="str">
        <f>IF(ISBLANK(AH106),"",VLOOKUP(AH106,Transactions!D:E,2,0))</f>
        <v/>
      </c>
      <c r="AH106" s="14"/>
      <c r="AI106" s="146" t="str">
        <f>IF(ISBLANK(AH106),"",IF(
SUMIFS(Transactions!$I$3:$I149,Transactions!$H$3:$H149,"Buy",Transactions!$F$3:$F149,"Stock",Transactions!$D$3:$D149,AH106)
+SUMIFS(Transactions!$I$3:$I149,Transactions!$H$3:$H149,"DRIP",Transactions!$F$3:$F149,"Stock",Transactions!$D$3:$D149,AH106)
+SUMIFS(Transactions!$I$3:$I149,Transactions!$H$3:$H149,"Transfer Deposit",Transactions!$F$3:$F149,"Stock",Transactions!$D$3:$D149,AH106)
+SUMIFS(Transactions!$I$3:$I149,Transactions!$H$3:$H149,"Buy",Transactions!$F$3:$F149,"ETF",Transactions!$D$3:$D149,AH106)
+SUMIFS(Transactions!$I$3:$I149,Transactions!$H$3:$H149,"DRIP",Transactions!$F$3:$F149,"ETF",Transactions!$D$3:$D149,AH106)
+SUMIFS(Transactions!$I$3:$I149,Transactions!$H$3:$H149,"Transfer Deposit",Transactions!$F$3:$F149,"ETF",Transactions!$D$3:$D149,AH106)
+SUMIFS(Transactions!$I$3:$I149,Transactions!$H$3:$H149,"Buy",Transactions!$F$3:$F149,"Commodity",Transactions!$D$3:$D149,AH106)
+SUMIFS(Transactions!$I$3:$I149,Transactions!$H$3:$H149,"DRIP",Transactions!$F$3:$F149,"Commodity",Transactions!$D$3:$D149,AH106)
+SUMIFS(Transactions!$I$3:$I149,Transactions!$H$3:$H149,"Transfer Deposit",Transactions!$F$3:$F149,"Commodity",Transactions!$D$3:$D149,AH106)
+SUMIFS(Transactions!$I$3:$I149,Transactions!$H$3:$H149,"Buy",Transactions!$F$3:$F149,"Managed Fund",Transactions!$D$3:$D149,AH106)
+SUMIFS(Transactions!$I$3:$I149,Transactions!$H$3:$H149,"DRIP",Transactions!$F$3:$F149,"Managed Fund",Transactions!$D$3:$D149,AH106)
+SUMIFS(Transactions!$I$3:$I149,Transactions!$H$3:$H149,"Transfer Deposit",Transactions!$F$3:$F149,"Managed Fund",Transactions!$D$3:$D149,AH106)
+SUMIFS(Transactions!$I$3:$I149,Transactions!$H$3:$H149,"Buy",Transactions!$F$3:$F149,"REIT",Transactions!$D$3:$D149,AH106)
+SUMIFS(Transactions!$I$3:$I149,Transactions!$H$3:$H149,"DRIP",Transactions!$F$3:$F149,"REIT",Transactions!$D$3:$D149,AH106)
+SUMIFS(Transactions!$I$3:$I149,Transactions!$H$3:$H149,"Transfer Deposit",Transactions!$F$3:$F149,"REIT",Transactions!$D$3:$D149,AH106)
-SUMIFS(Transactions!$I$3:$I149,Transactions!$H$3:$H149,"Sell",Transactions!$F$3:$F149,"Stock",Transactions!$D$3:$D149,AH106)
-SUMIFS(Transactions!$I$3:$I149,Transactions!$H$3:$H149,"Transfer Send",Transactions!$F$3:$F149,"Stock",Transactions!$D$3:$D149,AH106)
-SUMIFS(Transactions!$I$3:$I149,Transactions!$H$3:$H149,"Sell",Transactions!$F$3:$F149,"ETF",Transactions!$D$3:$D149,AH106)
-SUMIFS(Transactions!$I$3:$I149,Transactions!$H$3:$H149,"Transfer Send",Transactions!$F$3:$F149,"ETF",Transactions!$D$3:$D149,AH106)
-SUMIFS(Transactions!$I$3:$I149,Transactions!$H$3:$H149,"Sell",Transactions!$F$3:$F149,"Commodity",Transactions!$D$3:$D149,AH106)
-SUMIFS(Transactions!$I$3:$I149,Transactions!$H$3:$H149,"Transfer Send",Transactions!$F$3:$F149,"Commodity",Transactions!$D$3:$D149,AH106)
-SUMIFS(Transactions!$I$3:$I149,Transactions!$H$3:$H149,"Sell",Transactions!$F$3:$F149,"Managed Fund",Transactions!$D$3:$D149,AH106)
-SUMIFS(Transactions!$I$3:$I149,Transactions!$H$3:$H149,"Transfer Send",Transactions!$F$3:$F149,"Managed Fund",Transactions!$D$3:$D149,AH106)
-SUMIFS(Transactions!$I$3:$I149,Transactions!$H$3:$H149,"Sell",Transactions!$F$3:$F149,"REIT",Transactions!$D$3:$D149,AH106)
-SUMIFS(Transactions!$I$3:$I149,Transactions!$H$3:$H149,"Transfer Send",Transactions!$F$3:$F149,"REIT",Transactions!$D$3:$D149,AH106)
+SUMIFS(Transactions!$I$3:$I149,Transactions!$H$3:$H149,"Buy",Transactions!$F$3:$F149,"Crypto",Transactions!$D$3:$D149,AH106)
+SUMIFS(Transactions!$I$3:$I149,Transactions!$H$3:$H149,"Crypto Interest",Transactions!$F$3:$F149,"Crypto",Transactions!$D$3:$D149,AH106)
+SUMIFS(Transactions!$I$3:$I149,Transactions!$H$3:$H149,"Transfer Deposit",Transactions!$F$3:$F149,"Crypto",Transactions!$D$3:$D149,AH106)
-SUMIFS(Transactions!$I$3:$I149,Transactions!$H$3:$H149,"Transfer Send",Transactions!$F$3:$F149,"Crypto",Transactions!$D$3:$D149,AH106)
-SUMIFS(Transactions!$I$3:$I149,Transactions!$H$3:$H149,"Sell",Transactions!$F$3:$F149,"Crypto",Transactions!$D$3:$D149,AH106)
+SUMIFS(Transactions!$I$3:$I149,Transactions!$H$3:$H149,"Buy",Transactions!$F$3:$F149,"Stablecoin",Transactions!$D$3:$D149,AH106)
+SUMIFS(Transactions!$I$3:$I149,Transactions!$H$3:$H149,"Crypto Interest",Transactions!$F$3:$F149,"Stablecoin",Transactions!$D$3:$D149,AH106)
+SUMIFS(Transactions!$I$3:$I149,Transactions!$H$3:$H149,"Transfer Deposit",Transactions!$F$3:$F149,"Stablecoin",Transactions!$D$3:$D149,AH106)
-SUMIFS(Transactions!$I$3:$I149,Transactions!$H$3:$H149,"Transfer Send",Transactions!$F$3:$F149,"Stablecoin",Transactions!$D$3:$D149,AH106)
-SUMIFS(Transactions!$I$3:$I149,Transactions!$H$3:$H149,"Sell",Transactions!$F$3:$F149,"Stablecoin",Transactions!$D$3:$D149,AH106)
-SUMIFS(Transactions!$M$3:$M149,Transactions!$H$3:$H149,"Buy",Transactions!$B$3:$B149,AH106)=0,"Sold All",
SUMIFS(Transactions!$I$3:$I149,Transactions!$H$3:$H149,"Buy",Transactions!$F$3:$F149,"Stock",Transactions!$D$3:$D149,AH106)
+SUMIFS(Transactions!$I$3:$I149,Transactions!$H$3:$H149,"DRIP",Transactions!$F$3:$F149,"Stock",Transactions!$D$3:$D149,AH106)
+SUMIFS(Transactions!$I$3:$I149,Transactions!$H$3:$H149,"Transfer Deposit",Transactions!$F$3:$F149,"Stock",Transactions!$D$3:$D149,AH106)
+SUMIFS(Transactions!$I$3:$I149,Transactions!$H$3:$H149,"Buy",Transactions!$F$3:$F149,"ETF",Transactions!$D$3:$D149,AH106)
+SUMIFS(Transactions!$I$3:$I149,Transactions!$H$3:$H149,"DRIP",Transactions!$F$3:$F149,"ETF",Transactions!$D$3:$D149,AH106)
+SUMIFS(Transactions!$I$3:$I149,Transactions!$H$3:$H149,"Transfer Deposit",Transactions!$F$3:$F149,"ETF",Transactions!$D$3:$D149,AH106)
+SUMIFS(Transactions!$I$3:$I149,Transactions!$H$3:$H149,"Buy",Transactions!$F$3:$F149,"Commodity",Transactions!$D$3:$D149,AH106)
+SUMIFS(Transactions!$I$3:$I149,Transactions!$H$3:$H149,"DRIP",Transactions!$F$3:$F149,"Commodity",Transactions!$D$3:$D149,AH106)
+SUMIFS(Transactions!$I$3:$I149,Transactions!$H$3:$H149,"Transfer Deposit",Transactions!$F$3:$F149,"Commodity",Transactions!$D$3:$D149,AH106)
+SUMIFS(Transactions!$I$3:$I149,Transactions!$H$3:$H149,"Buy",Transactions!$F$3:$F149,"Managed Fund",Transactions!$D$3:$D149,AH106)
+SUMIFS(Transactions!$I$3:$I149,Transactions!$H$3:$H149,"DRIP",Transactions!$F$3:$F149,"Managed Fund",Transactions!$D$3:$D149,AH106)
+SUMIFS(Transactions!$I$3:$I149,Transactions!$H$3:$H149,"Transfer Deposit",Transactions!$F$3:$F149,"Managed Fund",Transactions!$D$3:$D149,AH106)
+SUMIFS(Transactions!$I$3:$I149,Transactions!$H$3:$H149,"Buy",Transactions!$F$3:$F149,"REIT",Transactions!$D$3:$D149,AH106)
+SUMIFS(Transactions!$I$3:$I149,Transactions!$H$3:$H149,"DRIP",Transactions!$F$3:$F149,"REIT",Transactions!$D$3:$D149,AH106)
+SUMIFS(Transactions!$I$3:$I149,Transactions!$H$3:$H149,"Transfer Deposit",Transactions!$F$3:$F149,"REIT",Transactions!$D$3:$D149,AH106)
-SUMIFS(Transactions!$I$3:$I149,Transactions!$H$3:$H149,"Sell",Transactions!$F$3:$F149,"Stock",Transactions!$D$3:$D149,AH106)
-SUMIFS(Transactions!$I$3:$I149,Transactions!$H$3:$H149,"Transfer Send",Transactions!$F$3:$F149,"Stock",Transactions!$D$3:$D149,AH106)
-SUMIFS(Transactions!$I$3:$I149,Transactions!$H$3:$H149,"Sell",Transactions!$F$3:$F149,"ETF",Transactions!$D$3:$D149,AH106)
-SUMIFS(Transactions!$I$3:$I149,Transactions!$H$3:$H149,"Transfer Send",Transactions!$F$3:$F149,"ETF",Transactions!$D$3:$D149,AH106)
-SUMIFS(Transactions!$I$3:$I149,Transactions!$H$3:$H149,"Sell",Transactions!$F$3:$F149,"Commodity",Transactions!$D$3:$D149,AH106)
-SUMIFS(Transactions!$I$3:$I149,Transactions!$H$3:$H149,"Transfer Send",Transactions!$F$3:$F149,"Commodity",Transactions!$D$3:$D149,AH106)
-SUMIFS(Transactions!$I$3:$I149,Transactions!$H$3:$H149,"Sell",Transactions!$F$3:$F149,"Managed Fund",Transactions!$D$3:$D149,AH106)
-SUMIFS(Transactions!$I$3:$I149,Transactions!$H$3:$H149,"Transfer Send",Transactions!$F$3:$F149,"Managed Fund",Transactions!$D$3:$D149,AH106)
-SUMIFS(Transactions!$I$3:$I149,Transactions!$H$3:$H149,"Sell",Transactions!$F$3:$F149,"REIT",Transactions!$D$3:$D149,AH106)
-SUMIFS(Transactions!$I$3:$I149,Transactions!$H$3:$H149,"Transfer Send",Transactions!$F$3:$F149,"REIT",Transactions!$D$3:$D149,AH106)
+SUMIFS(Transactions!$I$3:$I149,Transactions!$H$3:$H149,"Buy",Transactions!$F$3:$F149,"Crypto",Transactions!$D$3:$D149,AH106)
+SUMIFS(Transactions!$I$3:$I149,Transactions!$H$3:$H149,"Crypto Interest",Transactions!$F$3:$F149,"Crypto",Transactions!$D$3:$D149,AH106)
+SUMIFS(Transactions!$I$3:$I149,Transactions!$H$3:$H149,"Transfer Deposit",Transactions!$F$3:$F149,"Crypto",Transactions!$D$3:$D149,AH106)
-SUMIFS(Transactions!$I$3:$I149,Transactions!$H$3:$H149,"Transfer Send",Transactions!$F$3:$F149,"Crypto",Transactions!$D$3:$D149,AH106)
-SUMIFS(Transactions!$I$3:$I149,Transactions!$H$3:$H149,"Sell",Transactions!$F$3:$F149,"Crypto",Transactions!$D$3:$D149,AH106)
+SUMIFS(Transactions!$I$3:$I149,Transactions!$H$3:$H149,"Buy",Transactions!$F$3:$F149,"Stablecoin",Transactions!$D$3:$D149,AH106)
+SUMIFS(Transactions!$I$3:$I149,Transactions!$H$3:$H149,"Crypto Interest",Transactions!$F$3:$F149,"Stablecoin",Transactions!$D$3:$D149,AH106)
+SUMIFS(Transactions!$I$3:$I149,Transactions!$H$3:$H149,"Transfer Deposit",Transactions!$F$3:$F149,"Stablecoin",Transactions!$D$3:$D149,AH106)
-SUMIFS(Transactions!$I$3:$I149,Transactions!$H$3:$H149,"Transfer Send",Transactions!$F$3:$F149,"Stablecoin",Transactions!$D$3:$D149,AH106)
-SUMIFS(Transactions!$I$3:$I149,Transactions!$H$3:$H149,"Sell",Transactions!$F$3:$F149,"Stablecoin",Transactions!$D$3:$D149,AH106)
-SUMIFS(Transactions!$M$3:$M149,Transactions!$H$3:$H149,"Buy",Transactions!$B$3:$B149,AH106)))</f>
        <v/>
      </c>
      <c r="AJ106" s="181" t="str">
        <f>IFERROR(__xludf.DUMMYFUNCTION("IF(ISBLANK(AH106),"""",VLOOKUP(9^99,FILTER({ROW(Transactions!P:P),Transactions!P:P},Transactions!D:D=AH106),2))"),"")</f>
        <v/>
      </c>
      <c r="AK106" s="181" t="str">
        <f>IFERROR(__xludf.DUMMYFUNCTION("IF(ISBLANK(AH106),"""",IFERROR(GOOGLEFINANCE(AH106,""price""),IFERROR(GOOGLEFINANCE(""CURRENCY:""&amp;AH106&amp;""""),IFERROR(INDEX(YAHOO_STOCK(TRIM(AH106), $G$2),0,1),INDEX(IMPORTHTML(CONCAT(""https://coinmarketcap.com/currencies/"",AG106),""table"",1),1,2)))))"),"")</f>
        <v/>
      </c>
      <c r="AL106" s="14" t="str">
        <f>IFERROR(__xludf.DUMMYFUNCTION("IF(ISBLANK(AH106),"""",IFERROR(SPARKLINE(INDEX(GOOGLEFINANCE(AH106,""price"",TODAY()-$AL$2,TODAY()),,2),{""charttype"",""column"";""color"",""17a7e0""}),""""))"),"")</f>
        <v/>
      </c>
      <c r="AM106" s="50" t="str">
        <f>IFERROR(__xludf.DUMMYFUNCTION("IFNA(IFERROR(IF(AH106="""","""",GOOGLEFINANCE(AH106,""changepct"")/100),(GOOGLEFINANCE(AH106)-(INDEX(GOOGLEFINANCE(""CURRENCY:""&amp;AH106&amp;"""",""price"",TODAY()-1),2,2)))/(INDEX(GOOGLEFINANCE(""CURRENCY:""&amp;AH106&amp;"""",""price"",TODAY()-1),2,2))),)"),"")</f>
        <v/>
      </c>
      <c r="AN106" s="96" t="str">
        <f>IFERROR(__xludf.DUMMYFUNCTION("IFNA(IFERROR(IF(AH106="""","""",GOOGLEFINANCE(AH106,""change"")*AI106),(GOOGLEFINANCE(AH106)-(INDEX(GOOGLEFINANCE(""CURRENCY:""&amp;AH106&amp;"""",""price"",TODAY()-1),2,2)))*AI106),"""")"),"")</f>
        <v/>
      </c>
      <c r="AO106" s="96" t="str">
        <f>IF(ISBLANK(AH106),"",IFERROR(((AI106-SUMIFS(Transactions!I:I,Transactions!H:H,"Crypto Interest",Transactions!D:D,AH106))*AJ106),""))</f>
        <v/>
      </c>
      <c r="AP106" s="96" t="str">
        <f t="shared" si="16"/>
        <v/>
      </c>
      <c r="AQ106" s="50" t="str">
        <f t="shared" si="17"/>
        <v/>
      </c>
      <c r="AR106" s="96" t="str">
        <f t="shared" si="18"/>
        <v/>
      </c>
      <c r="AS106" s="96" t="str">
        <f>IF(ISBLANK(AH106),"",SUMIFS(Transactions!$X$3:$X149,Transactions!$H$3:$H149,"Sell",Transactions!$D$3:$D149,AH106))</f>
        <v/>
      </c>
      <c r="AT106" s="96" t="str">
        <f t="shared" si="19"/>
        <v/>
      </c>
      <c r="AU106" s="50" t="str">
        <f>IFERROR(__xludf.DUMMYFUNCTION("IF(ISBLANK(AH106),"""",IFERROR((GOOGLEFINANCE(AH106,""price"")/INDEX(GOOGLEFINANCE(AH106,""price"",DATEVALUE(TODAY()-$AU$2) ),2,2)-1),""""))"),"")</f>
        <v/>
      </c>
      <c r="AW106" s="50" t="str">
        <f>IFERROR(__xludf.DUMMYFUNCTION("IF(ISBLANK(AH106),"""",IFERROR((GOOGLEFINANCE($AW$2,""price"")/INDEX(GOOGLEFINANCE($AW$2,""price"",DATEVALUE(TODAY()-$AU$2) ),2,2)-1),""""))"),"")</f>
        <v/>
      </c>
      <c r="AY106" s="50" t="str">
        <f t="shared" si="20"/>
        <v/>
      </c>
      <c r="AZ106" s="50" t="str">
        <f t="shared" si="21"/>
        <v/>
      </c>
      <c r="BA106" s="50" t="str">
        <f t="shared" si="22"/>
        <v/>
      </c>
      <c r="BB106" s="14" t="str">
        <f t="shared" si="23"/>
        <v/>
      </c>
      <c r="BC106" s="14" t="str">
        <f>IF(ISBLANK(AH106),"",IFERROR(VLOOKUP(AH106,Transactions!D:F,3,0)))</f>
        <v/>
      </c>
      <c r="BD106" s="50" t="str">
        <f t="shared" si="24"/>
        <v/>
      </c>
      <c r="BE106" s="50" t="str">
        <f t="shared" si="25"/>
        <v/>
      </c>
      <c r="BF106" s="14" t="str">
        <f t="shared" si="26"/>
        <v/>
      </c>
      <c r="BG106" s="180" t="str">
        <f>IF(ISBLANK(AH106),"",IFERROR(VLOOKUP(AH106,Transactions!D:G,4,0)))</f>
        <v/>
      </c>
    </row>
    <row r="107">
      <c r="A107" s="14" t="str">
        <f t="shared" ref="A107:C107" si="130">AG107</f>
        <v/>
      </c>
      <c r="B107" s="14" t="str">
        <f t="shared" si="130"/>
        <v/>
      </c>
      <c r="C107" s="175" t="str">
        <f t="shared" si="130"/>
        <v/>
      </c>
      <c r="D107" s="176" t="str">
        <f>IFERROR(__xludf.DUMMYFUNCTION("IF(ISBLANK(B107),"""",IFERROR(IF(OR(AF107=""GPB"",AF107=""ZAR""),IF(AF107=Dashboard!$L$1,AJ107,(AJ107*GOOGLEFINANCE(""CURRENCY:""&amp;AF107&amp;""""&amp;Dashboard!$L$1&amp;""""))/100),IF(AF107=Dashboard!$L$1,AJ107,AJ107*GOOGLEFINANCE(""CURRENCY:""&amp;AF107&amp;""""&amp;Dashboard!$L"&amp;"$1&amp;""""))),AJ107))"),"")</f>
        <v/>
      </c>
      <c r="E107" s="177" t="str">
        <f>IFERROR(__xludf.DUMMYFUNCTION("IFERROR(IF(OR(AF107=""GBP"",AF107=""ZAR""),IF(B107="""","""",IF(AF107=Dashboard!$L$1,AK107,AK107*GOOGLEFINANCE(""CURRENCY:""&amp;AF107&amp;""""&amp;Dashboard!$L$1&amp;"""")))/100,If(B107="""","""",IF(AF107=Dashboard!$L$1,AK107,AK107*GOOGLEFINANCE(""CURRENCY:""&amp;AF107&amp;"""""&amp;"&amp;Dashboard!$L$1&amp;"""")))),AK107)"),"")</f>
        <v/>
      </c>
      <c r="F107" s="145" t="str">
        <f t="shared" si="65"/>
        <v/>
      </c>
      <c r="G107" s="96" t="str">
        <f>IFERROR(__xludf.DUMMYFUNCTION("IF(ISBLANK(B107),"""",IFERROR(SPARKLINE(INDEX(GOOGLEFINANCE(B107,""price"",TODAY()-$G$2,TODAY()),,2),{""charttype"",""column"";""color"",""17a7e0""}),""""))"),"")</f>
        <v/>
      </c>
      <c r="H107" s="50" t="str">
        <f t="shared" si="3"/>
        <v/>
      </c>
      <c r="I107" s="96" t="str">
        <f>IFERROR(__xludf.DUMMYFUNCTION("IF(ISBLANK(B107),"""",IFERROR(IF(OR(AF107=""GPB"",AF107=""ZAR""),IF(AF107=Dashboard!$L$1,AN107,(AN107*GOOGLEFINANCE(""CURRENCY:""&amp;AF107&amp;""""&amp;Dashboard!$L$1&amp;""""))/100),IF(AF107=Dashboard!$L$1,AN107,AN107*GOOGLEFINANCE(""CURRENCY:""&amp;AF107&amp;""""&amp;Dashboard!$L"&amp;"$1&amp;""""))),AN107))"),"")</f>
        <v/>
      </c>
      <c r="J107" s="178" t="str">
        <f>IF(ISBLANK(B107),"",IFERROR(((C107-SUMIFS(Transactions!I:I,Transactions!H:H,"Crypto Interest",Transactions!D:D,B107))*D107),""))</f>
        <v/>
      </c>
      <c r="K107" s="178" t="str">
        <f t="shared" si="4"/>
        <v/>
      </c>
      <c r="L107" s="145">
        <f>IF(ISBLANK(AF107),"",SUMIFS(Transactions!$M$3:$M149,Transactions!$H$3:$H149,"Buy",Transactions!$D$3:$D149,AF107))</f>
        <v>0</v>
      </c>
      <c r="M107" s="145">
        <f>IF(ISBLANK(AG107),"",SUMIFS(Transactions!$M$3:$M149,Transactions!$H$3:$H149,"Dividend",Transactions!$D$3:$D149,AG107))</f>
        <v>0</v>
      </c>
      <c r="N107" s="145" t="str">
        <f>IF(ISBLANK(AH107),"",SUMIFS(Transactions!$M$3:$M149,Transactions!$H$3:$H149,"Sell",Transactions!$D$3:$D149,AH107))</f>
        <v/>
      </c>
      <c r="O107" s="50" t="str">
        <f t="shared" si="5"/>
        <v/>
      </c>
      <c r="P107" s="178" t="str">
        <f t="shared" si="6"/>
        <v/>
      </c>
      <c r="Q107" s="178" t="str">
        <f>IFERROR(__xludf.DUMMYFUNCTION("IF(ISBLANK(B107),"""",IFERROR(IF(OR(AF107=""GPB"",AF107=""ZAR""),IF(AF107=Dashboard!$L$1,AS107,(AS107*GOOGLEFINANCE(""CURRENCY:""&amp;AF107&amp;""""&amp;Dashboard!$L$1&amp;""""))/100),IF(AF107=Dashboard!$L$1,AS107,AS107*GOOGLEFINANCE(""CURRENCY:""&amp;AF107&amp;""""&amp;Dashboard!$L"&amp;"$1&amp;""""))),AS107))"),"")</f>
        <v/>
      </c>
      <c r="R107" s="178" t="str">
        <f t="shared" si="7"/>
        <v/>
      </c>
      <c r="S107" s="50" t="str">
        <f>IFERROR(__xludf.DUMMYFUNCTION("IF(ISBLANK(B107),"""",IFERROR((GOOGLEFINANCE(B107,""price"")/INDEX(GOOGLEFINANCE(B107,""price"",DATEVALUE(TODAY()-$S$2) ),2,2)-1),""""))"),"")</f>
        <v/>
      </c>
      <c r="U107" s="50" t="str">
        <f>IFERROR(__xludf.DUMMYFUNCTION("IF(ISBLANK(B107),"""",IFERROR((GOOGLEFINANCE($U$2,""price"")/INDEX(GOOGLEFINANCE($U$2,""price"",DATEVALUE(TODAY()-$S$2) ),2,2)-1),""""))"),"")</f>
        <v/>
      </c>
      <c r="W107" s="50" t="str">
        <f t="shared" si="8"/>
        <v/>
      </c>
      <c r="X107" s="50" t="str">
        <f t="shared" si="9"/>
        <v/>
      </c>
      <c r="Y107" s="50"/>
      <c r="Z107" s="50" t="str">
        <f t="shared" si="10"/>
        <v/>
      </c>
      <c r="AA107" s="14" t="str">
        <f t="shared" si="11"/>
        <v/>
      </c>
      <c r="AB107" s="50" t="str">
        <f t="shared" si="12"/>
        <v/>
      </c>
      <c r="AC107" s="179" t="str">
        <f t="shared" si="13"/>
        <v/>
      </c>
      <c r="AD107" s="50" t="str">
        <f t="shared" si="14"/>
        <v/>
      </c>
      <c r="AE107" s="180" t="str">
        <f t="shared" si="15"/>
        <v/>
      </c>
      <c r="AF107" s="14" t="str">
        <f t="array" ref="AF107">IFERROR(IF(ISBLANK(AH107),"",IF(VLOOKUP(AH107,Transactions!D:F,3,0)="Stablecoin",AH107,INDEX(Transactions!$B$3:$B149,MATCH(AH107,Transactions!$D$3:$D149,0),0))))</f>
        <v/>
      </c>
      <c r="AG107" s="14" t="str">
        <f>IF(ISBLANK(AH107),"",VLOOKUP(AH107,Transactions!D:E,2,0))</f>
        <v/>
      </c>
      <c r="AH107" s="14"/>
      <c r="AI107" s="146" t="str">
        <f>IF(ISBLANK(AH107),"",IF(
SUMIFS(Transactions!$I$3:$I149,Transactions!$H$3:$H149,"Buy",Transactions!$F$3:$F149,"Stock",Transactions!$D$3:$D149,AH107)
+SUMIFS(Transactions!$I$3:$I149,Transactions!$H$3:$H149,"DRIP",Transactions!$F$3:$F149,"Stock",Transactions!$D$3:$D149,AH107)
+SUMIFS(Transactions!$I$3:$I149,Transactions!$H$3:$H149,"Transfer Deposit",Transactions!$F$3:$F149,"Stock",Transactions!$D$3:$D149,AH107)
+SUMIFS(Transactions!$I$3:$I149,Transactions!$H$3:$H149,"Buy",Transactions!$F$3:$F149,"ETF",Transactions!$D$3:$D149,AH107)
+SUMIFS(Transactions!$I$3:$I149,Transactions!$H$3:$H149,"DRIP",Transactions!$F$3:$F149,"ETF",Transactions!$D$3:$D149,AH107)
+SUMIFS(Transactions!$I$3:$I149,Transactions!$H$3:$H149,"Transfer Deposit",Transactions!$F$3:$F149,"ETF",Transactions!$D$3:$D149,AH107)
+SUMIFS(Transactions!$I$3:$I149,Transactions!$H$3:$H149,"Buy",Transactions!$F$3:$F149,"Commodity",Transactions!$D$3:$D149,AH107)
+SUMIFS(Transactions!$I$3:$I149,Transactions!$H$3:$H149,"DRIP",Transactions!$F$3:$F149,"Commodity",Transactions!$D$3:$D149,AH107)
+SUMIFS(Transactions!$I$3:$I149,Transactions!$H$3:$H149,"Transfer Deposit",Transactions!$F$3:$F149,"Commodity",Transactions!$D$3:$D149,AH107)
+SUMIFS(Transactions!$I$3:$I149,Transactions!$H$3:$H149,"Buy",Transactions!$F$3:$F149,"Managed Fund",Transactions!$D$3:$D149,AH107)
+SUMIFS(Transactions!$I$3:$I149,Transactions!$H$3:$H149,"DRIP",Transactions!$F$3:$F149,"Managed Fund",Transactions!$D$3:$D149,AH107)
+SUMIFS(Transactions!$I$3:$I149,Transactions!$H$3:$H149,"Transfer Deposit",Transactions!$F$3:$F149,"Managed Fund",Transactions!$D$3:$D149,AH107)
+SUMIFS(Transactions!$I$3:$I149,Transactions!$H$3:$H149,"Buy",Transactions!$F$3:$F149,"REIT",Transactions!$D$3:$D149,AH107)
+SUMIFS(Transactions!$I$3:$I149,Transactions!$H$3:$H149,"DRIP",Transactions!$F$3:$F149,"REIT",Transactions!$D$3:$D149,AH107)
+SUMIFS(Transactions!$I$3:$I149,Transactions!$H$3:$H149,"Transfer Deposit",Transactions!$F$3:$F149,"REIT",Transactions!$D$3:$D149,AH107)
-SUMIFS(Transactions!$I$3:$I149,Transactions!$H$3:$H149,"Sell",Transactions!$F$3:$F149,"Stock",Transactions!$D$3:$D149,AH107)
-SUMIFS(Transactions!$I$3:$I149,Transactions!$H$3:$H149,"Transfer Send",Transactions!$F$3:$F149,"Stock",Transactions!$D$3:$D149,AH107)
-SUMIFS(Transactions!$I$3:$I149,Transactions!$H$3:$H149,"Sell",Transactions!$F$3:$F149,"ETF",Transactions!$D$3:$D149,AH107)
-SUMIFS(Transactions!$I$3:$I149,Transactions!$H$3:$H149,"Transfer Send",Transactions!$F$3:$F149,"ETF",Transactions!$D$3:$D149,AH107)
-SUMIFS(Transactions!$I$3:$I149,Transactions!$H$3:$H149,"Sell",Transactions!$F$3:$F149,"Commodity",Transactions!$D$3:$D149,AH107)
-SUMIFS(Transactions!$I$3:$I149,Transactions!$H$3:$H149,"Transfer Send",Transactions!$F$3:$F149,"Commodity",Transactions!$D$3:$D149,AH107)
-SUMIFS(Transactions!$I$3:$I149,Transactions!$H$3:$H149,"Sell",Transactions!$F$3:$F149,"Managed Fund",Transactions!$D$3:$D149,AH107)
-SUMIFS(Transactions!$I$3:$I149,Transactions!$H$3:$H149,"Transfer Send",Transactions!$F$3:$F149,"Managed Fund",Transactions!$D$3:$D149,AH107)
-SUMIFS(Transactions!$I$3:$I149,Transactions!$H$3:$H149,"Sell",Transactions!$F$3:$F149,"REIT",Transactions!$D$3:$D149,AH107)
-SUMIFS(Transactions!$I$3:$I149,Transactions!$H$3:$H149,"Transfer Send",Transactions!$F$3:$F149,"REIT",Transactions!$D$3:$D149,AH107)
+SUMIFS(Transactions!$I$3:$I149,Transactions!$H$3:$H149,"Buy",Transactions!$F$3:$F149,"Crypto",Transactions!$D$3:$D149,AH107)
+SUMIFS(Transactions!$I$3:$I149,Transactions!$H$3:$H149,"Crypto Interest",Transactions!$F$3:$F149,"Crypto",Transactions!$D$3:$D149,AH107)
+SUMIFS(Transactions!$I$3:$I149,Transactions!$H$3:$H149,"Transfer Deposit",Transactions!$F$3:$F149,"Crypto",Transactions!$D$3:$D149,AH107)
-SUMIFS(Transactions!$I$3:$I149,Transactions!$H$3:$H149,"Transfer Send",Transactions!$F$3:$F149,"Crypto",Transactions!$D$3:$D149,AH107)
-SUMIFS(Transactions!$I$3:$I149,Transactions!$H$3:$H149,"Sell",Transactions!$F$3:$F149,"Crypto",Transactions!$D$3:$D149,AH107)
+SUMIFS(Transactions!$I$3:$I149,Transactions!$H$3:$H149,"Buy",Transactions!$F$3:$F149,"Stablecoin",Transactions!$D$3:$D149,AH107)
+SUMIFS(Transactions!$I$3:$I149,Transactions!$H$3:$H149,"Crypto Interest",Transactions!$F$3:$F149,"Stablecoin",Transactions!$D$3:$D149,AH107)
+SUMIFS(Transactions!$I$3:$I149,Transactions!$H$3:$H149,"Transfer Deposit",Transactions!$F$3:$F149,"Stablecoin",Transactions!$D$3:$D149,AH107)
-SUMIFS(Transactions!$I$3:$I149,Transactions!$H$3:$H149,"Transfer Send",Transactions!$F$3:$F149,"Stablecoin",Transactions!$D$3:$D149,AH107)
-SUMIFS(Transactions!$I$3:$I149,Transactions!$H$3:$H149,"Sell",Transactions!$F$3:$F149,"Stablecoin",Transactions!$D$3:$D149,AH107)
-SUMIFS(Transactions!$M$3:$M149,Transactions!$H$3:$H149,"Buy",Transactions!$B$3:$B149,AH107)=0,"Sold All",
SUMIFS(Transactions!$I$3:$I149,Transactions!$H$3:$H149,"Buy",Transactions!$F$3:$F149,"Stock",Transactions!$D$3:$D149,AH107)
+SUMIFS(Transactions!$I$3:$I149,Transactions!$H$3:$H149,"DRIP",Transactions!$F$3:$F149,"Stock",Transactions!$D$3:$D149,AH107)
+SUMIFS(Transactions!$I$3:$I149,Transactions!$H$3:$H149,"Transfer Deposit",Transactions!$F$3:$F149,"Stock",Transactions!$D$3:$D149,AH107)
+SUMIFS(Transactions!$I$3:$I149,Transactions!$H$3:$H149,"Buy",Transactions!$F$3:$F149,"ETF",Transactions!$D$3:$D149,AH107)
+SUMIFS(Transactions!$I$3:$I149,Transactions!$H$3:$H149,"DRIP",Transactions!$F$3:$F149,"ETF",Transactions!$D$3:$D149,AH107)
+SUMIFS(Transactions!$I$3:$I149,Transactions!$H$3:$H149,"Transfer Deposit",Transactions!$F$3:$F149,"ETF",Transactions!$D$3:$D149,AH107)
+SUMIFS(Transactions!$I$3:$I149,Transactions!$H$3:$H149,"Buy",Transactions!$F$3:$F149,"Commodity",Transactions!$D$3:$D149,AH107)
+SUMIFS(Transactions!$I$3:$I149,Transactions!$H$3:$H149,"DRIP",Transactions!$F$3:$F149,"Commodity",Transactions!$D$3:$D149,AH107)
+SUMIFS(Transactions!$I$3:$I149,Transactions!$H$3:$H149,"Transfer Deposit",Transactions!$F$3:$F149,"Commodity",Transactions!$D$3:$D149,AH107)
+SUMIFS(Transactions!$I$3:$I149,Transactions!$H$3:$H149,"Buy",Transactions!$F$3:$F149,"Managed Fund",Transactions!$D$3:$D149,AH107)
+SUMIFS(Transactions!$I$3:$I149,Transactions!$H$3:$H149,"DRIP",Transactions!$F$3:$F149,"Managed Fund",Transactions!$D$3:$D149,AH107)
+SUMIFS(Transactions!$I$3:$I149,Transactions!$H$3:$H149,"Transfer Deposit",Transactions!$F$3:$F149,"Managed Fund",Transactions!$D$3:$D149,AH107)
+SUMIFS(Transactions!$I$3:$I149,Transactions!$H$3:$H149,"Buy",Transactions!$F$3:$F149,"REIT",Transactions!$D$3:$D149,AH107)
+SUMIFS(Transactions!$I$3:$I149,Transactions!$H$3:$H149,"DRIP",Transactions!$F$3:$F149,"REIT",Transactions!$D$3:$D149,AH107)
+SUMIFS(Transactions!$I$3:$I149,Transactions!$H$3:$H149,"Transfer Deposit",Transactions!$F$3:$F149,"REIT",Transactions!$D$3:$D149,AH107)
-SUMIFS(Transactions!$I$3:$I149,Transactions!$H$3:$H149,"Sell",Transactions!$F$3:$F149,"Stock",Transactions!$D$3:$D149,AH107)
-SUMIFS(Transactions!$I$3:$I149,Transactions!$H$3:$H149,"Transfer Send",Transactions!$F$3:$F149,"Stock",Transactions!$D$3:$D149,AH107)
-SUMIFS(Transactions!$I$3:$I149,Transactions!$H$3:$H149,"Sell",Transactions!$F$3:$F149,"ETF",Transactions!$D$3:$D149,AH107)
-SUMIFS(Transactions!$I$3:$I149,Transactions!$H$3:$H149,"Transfer Send",Transactions!$F$3:$F149,"ETF",Transactions!$D$3:$D149,AH107)
-SUMIFS(Transactions!$I$3:$I149,Transactions!$H$3:$H149,"Sell",Transactions!$F$3:$F149,"Commodity",Transactions!$D$3:$D149,AH107)
-SUMIFS(Transactions!$I$3:$I149,Transactions!$H$3:$H149,"Transfer Send",Transactions!$F$3:$F149,"Commodity",Transactions!$D$3:$D149,AH107)
-SUMIFS(Transactions!$I$3:$I149,Transactions!$H$3:$H149,"Sell",Transactions!$F$3:$F149,"Managed Fund",Transactions!$D$3:$D149,AH107)
-SUMIFS(Transactions!$I$3:$I149,Transactions!$H$3:$H149,"Transfer Send",Transactions!$F$3:$F149,"Managed Fund",Transactions!$D$3:$D149,AH107)
-SUMIFS(Transactions!$I$3:$I149,Transactions!$H$3:$H149,"Sell",Transactions!$F$3:$F149,"REIT",Transactions!$D$3:$D149,AH107)
-SUMIFS(Transactions!$I$3:$I149,Transactions!$H$3:$H149,"Transfer Send",Transactions!$F$3:$F149,"REIT",Transactions!$D$3:$D149,AH107)
+SUMIFS(Transactions!$I$3:$I149,Transactions!$H$3:$H149,"Buy",Transactions!$F$3:$F149,"Crypto",Transactions!$D$3:$D149,AH107)
+SUMIFS(Transactions!$I$3:$I149,Transactions!$H$3:$H149,"Crypto Interest",Transactions!$F$3:$F149,"Crypto",Transactions!$D$3:$D149,AH107)
+SUMIFS(Transactions!$I$3:$I149,Transactions!$H$3:$H149,"Transfer Deposit",Transactions!$F$3:$F149,"Crypto",Transactions!$D$3:$D149,AH107)
-SUMIFS(Transactions!$I$3:$I149,Transactions!$H$3:$H149,"Transfer Send",Transactions!$F$3:$F149,"Crypto",Transactions!$D$3:$D149,AH107)
-SUMIFS(Transactions!$I$3:$I149,Transactions!$H$3:$H149,"Sell",Transactions!$F$3:$F149,"Crypto",Transactions!$D$3:$D149,AH107)
+SUMIFS(Transactions!$I$3:$I149,Transactions!$H$3:$H149,"Buy",Transactions!$F$3:$F149,"Stablecoin",Transactions!$D$3:$D149,AH107)
+SUMIFS(Transactions!$I$3:$I149,Transactions!$H$3:$H149,"Crypto Interest",Transactions!$F$3:$F149,"Stablecoin",Transactions!$D$3:$D149,AH107)
+SUMIFS(Transactions!$I$3:$I149,Transactions!$H$3:$H149,"Transfer Deposit",Transactions!$F$3:$F149,"Stablecoin",Transactions!$D$3:$D149,AH107)
-SUMIFS(Transactions!$I$3:$I149,Transactions!$H$3:$H149,"Transfer Send",Transactions!$F$3:$F149,"Stablecoin",Transactions!$D$3:$D149,AH107)
-SUMIFS(Transactions!$I$3:$I149,Transactions!$H$3:$H149,"Sell",Transactions!$F$3:$F149,"Stablecoin",Transactions!$D$3:$D149,AH107)
-SUMIFS(Transactions!$M$3:$M149,Transactions!$H$3:$H149,"Buy",Transactions!$B$3:$B149,AH107)))</f>
        <v/>
      </c>
      <c r="AJ107" s="181" t="str">
        <f>IFERROR(__xludf.DUMMYFUNCTION("IF(ISBLANK(AH107),"""",VLOOKUP(9^99,FILTER({ROW(Transactions!P:P),Transactions!P:P},Transactions!D:D=AH107),2))"),"")</f>
        <v/>
      </c>
      <c r="AK107" s="181" t="str">
        <f>IFERROR(__xludf.DUMMYFUNCTION("IF(ISBLANK(AH107),"""",IFERROR(GOOGLEFINANCE(AH107,""price""),IFERROR(GOOGLEFINANCE(""CURRENCY:""&amp;AH107&amp;""""),IFERROR(INDEX(YAHOO_STOCK(TRIM(AH107), $G$2),0,1),INDEX(IMPORTHTML(CONCAT(""https://coinmarketcap.com/currencies/"",AG107),""table"",1),1,2)))))"),"")</f>
        <v/>
      </c>
      <c r="AL107" s="14" t="str">
        <f>IFERROR(__xludf.DUMMYFUNCTION("IF(ISBLANK(AH107),"""",IFERROR(SPARKLINE(INDEX(GOOGLEFINANCE(AH107,""price"",TODAY()-$AL$2,TODAY()),,2),{""charttype"",""column"";""color"",""17a7e0""}),""""))"),"")</f>
        <v/>
      </c>
      <c r="AM107" s="50" t="str">
        <f>IFERROR(__xludf.DUMMYFUNCTION("IFNA(IFERROR(IF(AH107="""","""",GOOGLEFINANCE(AH107,""changepct"")/100),(GOOGLEFINANCE(AH107)-(INDEX(GOOGLEFINANCE(""CURRENCY:""&amp;AH107&amp;"""",""price"",TODAY()-1),2,2)))/(INDEX(GOOGLEFINANCE(""CURRENCY:""&amp;AH107&amp;"""",""price"",TODAY()-1),2,2))),)"),"")</f>
        <v/>
      </c>
      <c r="AN107" s="96" t="str">
        <f>IFERROR(__xludf.DUMMYFUNCTION("IFNA(IFERROR(IF(AH107="""","""",GOOGLEFINANCE(AH107,""change"")*AI107),(GOOGLEFINANCE(AH107)-(INDEX(GOOGLEFINANCE(""CURRENCY:""&amp;AH107&amp;"""",""price"",TODAY()-1),2,2)))*AI107),"""")"),"")</f>
        <v/>
      </c>
      <c r="AO107" s="96" t="str">
        <f>IF(ISBLANK(AH107),"",IFERROR(((AI107-SUMIFS(Transactions!I:I,Transactions!H:H,"Crypto Interest",Transactions!D:D,AH107))*AJ107),""))</f>
        <v/>
      </c>
      <c r="AP107" s="96" t="str">
        <f t="shared" si="16"/>
        <v/>
      </c>
      <c r="AQ107" s="50" t="str">
        <f t="shared" si="17"/>
        <v/>
      </c>
      <c r="AR107" s="96" t="str">
        <f t="shared" si="18"/>
        <v/>
      </c>
      <c r="AS107" s="96" t="str">
        <f>IF(ISBLANK(AH107),"",SUMIFS(Transactions!$X$3:$X149,Transactions!$H$3:$H149,"Sell",Transactions!$D$3:$D149,AH107))</f>
        <v/>
      </c>
      <c r="AT107" s="96" t="str">
        <f t="shared" si="19"/>
        <v/>
      </c>
      <c r="AU107" s="50" t="str">
        <f>IFERROR(__xludf.DUMMYFUNCTION("IF(ISBLANK(AH107),"""",IFERROR((GOOGLEFINANCE(AH107,""price"")/INDEX(GOOGLEFINANCE(AH107,""price"",DATEVALUE(TODAY()-$AU$2) ),2,2)-1),""""))"),"")</f>
        <v/>
      </c>
      <c r="AW107" s="50" t="str">
        <f>IFERROR(__xludf.DUMMYFUNCTION("IF(ISBLANK(AH107),"""",IFERROR((GOOGLEFINANCE($AW$2,""price"")/INDEX(GOOGLEFINANCE($AW$2,""price"",DATEVALUE(TODAY()-$AU$2) ),2,2)-1),""""))"),"")</f>
        <v/>
      </c>
      <c r="AY107" s="50" t="str">
        <f t="shared" si="20"/>
        <v/>
      </c>
      <c r="AZ107" s="50" t="str">
        <f t="shared" si="21"/>
        <v/>
      </c>
      <c r="BA107" s="50" t="str">
        <f t="shared" si="22"/>
        <v/>
      </c>
      <c r="BB107" s="14" t="str">
        <f t="shared" si="23"/>
        <v/>
      </c>
      <c r="BC107" s="14" t="str">
        <f>IF(ISBLANK(AH107),"",IFERROR(VLOOKUP(AH107,Transactions!D:F,3,0)))</f>
        <v/>
      </c>
      <c r="BD107" s="50" t="str">
        <f t="shared" si="24"/>
        <v/>
      </c>
      <c r="BE107" s="50" t="str">
        <f t="shared" si="25"/>
        <v/>
      </c>
      <c r="BF107" s="14" t="str">
        <f t="shared" si="26"/>
        <v/>
      </c>
      <c r="BG107" s="180" t="str">
        <f>IF(ISBLANK(AH107),"",IFERROR(VLOOKUP(AH107,Transactions!D:G,4,0)))</f>
        <v/>
      </c>
    </row>
    <row r="108">
      <c r="A108" s="14" t="str">
        <f t="shared" ref="A108:C108" si="131">AG108</f>
        <v/>
      </c>
      <c r="B108" s="14" t="str">
        <f t="shared" si="131"/>
        <v/>
      </c>
      <c r="C108" s="175" t="str">
        <f t="shared" si="131"/>
        <v/>
      </c>
      <c r="D108" s="176" t="str">
        <f>IFERROR(__xludf.DUMMYFUNCTION("IF(ISBLANK(B108),"""",IFERROR(IF(OR(AF108=""GPB"",AF108=""ZAR""),IF(AF108=Dashboard!$L$1,AJ108,(AJ108*GOOGLEFINANCE(""CURRENCY:""&amp;AF108&amp;""""&amp;Dashboard!$L$1&amp;""""))/100),IF(AF108=Dashboard!$L$1,AJ108,AJ108*GOOGLEFINANCE(""CURRENCY:""&amp;AF108&amp;""""&amp;Dashboard!$L"&amp;"$1&amp;""""))),AJ108))"),"")</f>
        <v/>
      </c>
      <c r="E108" s="177" t="str">
        <f>IFERROR(__xludf.DUMMYFUNCTION("IFERROR(IF(OR(AF108=""GBP"",AF108=""ZAR""),IF(B108="""","""",IF(AF108=Dashboard!$L$1,AK108,AK108*GOOGLEFINANCE(""CURRENCY:""&amp;AF108&amp;""""&amp;Dashboard!$L$1&amp;"""")))/100,If(B108="""","""",IF(AF108=Dashboard!$L$1,AK108,AK108*GOOGLEFINANCE(""CURRENCY:""&amp;AF108&amp;"""""&amp;"&amp;Dashboard!$L$1&amp;"""")))),AK108)"),"")</f>
        <v/>
      </c>
      <c r="F108" s="145" t="str">
        <f t="shared" si="65"/>
        <v/>
      </c>
      <c r="G108" s="96" t="str">
        <f>IFERROR(__xludf.DUMMYFUNCTION("IF(ISBLANK(B108),"""",IFERROR(SPARKLINE(INDEX(GOOGLEFINANCE(B108,""price"",TODAY()-$G$2,TODAY()),,2),{""charttype"",""column"";""color"",""17a7e0""}),""""))"),"")</f>
        <v/>
      </c>
      <c r="H108" s="50" t="str">
        <f t="shared" si="3"/>
        <v/>
      </c>
      <c r="I108" s="96" t="str">
        <f>IFERROR(__xludf.DUMMYFUNCTION("IF(ISBLANK(B108),"""",IFERROR(IF(OR(AF108=""GPB"",AF108=""ZAR""),IF(AF108=Dashboard!$L$1,AN108,(AN108*GOOGLEFINANCE(""CURRENCY:""&amp;AF108&amp;""""&amp;Dashboard!$L$1&amp;""""))/100),IF(AF108=Dashboard!$L$1,AN108,AN108*GOOGLEFINANCE(""CURRENCY:""&amp;AF108&amp;""""&amp;Dashboard!$L"&amp;"$1&amp;""""))),AN108))"),"")</f>
        <v/>
      </c>
      <c r="J108" s="178" t="str">
        <f>IF(ISBLANK(B108),"",IFERROR(((C108-SUMIFS(Transactions!I:I,Transactions!H:H,"Crypto Interest",Transactions!D:D,B108))*D108),""))</f>
        <v/>
      </c>
      <c r="K108" s="178" t="str">
        <f t="shared" si="4"/>
        <v/>
      </c>
      <c r="L108" s="145">
        <f>IF(ISBLANK(AF108),"",SUMIFS(Transactions!$M$3:$M149,Transactions!$H$3:$H149,"Buy",Transactions!$D$3:$D149,AF108))</f>
        <v>0</v>
      </c>
      <c r="M108" s="145">
        <f>IF(ISBLANK(AG108),"",SUMIFS(Transactions!$M$3:$M149,Transactions!$H$3:$H149,"Dividend",Transactions!$D$3:$D149,AG108))</f>
        <v>0</v>
      </c>
      <c r="N108" s="145" t="str">
        <f>IF(ISBLANK(AH108),"",SUMIFS(Transactions!$M$3:$M149,Transactions!$H$3:$H149,"Sell",Transactions!$D$3:$D149,AH108))</f>
        <v/>
      </c>
      <c r="O108" s="50" t="str">
        <f t="shared" si="5"/>
        <v/>
      </c>
      <c r="P108" s="178" t="str">
        <f t="shared" si="6"/>
        <v/>
      </c>
      <c r="Q108" s="178" t="str">
        <f>IFERROR(__xludf.DUMMYFUNCTION("IF(ISBLANK(B108),"""",IFERROR(IF(OR(AF108=""GPB"",AF108=""ZAR""),IF(AF108=Dashboard!$L$1,AS108,(AS108*GOOGLEFINANCE(""CURRENCY:""&amp;AF108&amp;""""&amp;Dashboard!$L$1&amp;""""))/100),IF(AF108=Dashboard!$L$1,AS108,AS108*GOOGLEFINANCE(""CURRENCY:""&amp;AF108&amp;""""&amp;Dashboard!$L"&amp;"$1&amp;""""))),AS108))"),"")</f>
        <v/>
      </c>
      <c r="R108" s="178" t="str">
        <f t="shared" si="7"/>
        <v/>
      </c>
      <c r="S108" s="50" t="str">
        <f>IFERROR(__xludf.DUMMYFUNCTION("IF(ISBLANK(B108),"""",IFERROR((GOOGLEFINANCE(B108,""price"")/INDEX(GOOGLEFINANCE(B108,""price"",DATEVALUE(TODAY()-$S$2) ),2,2)-1),""""))"),"")</f>
        <v/>
      </c>
      <c r="U108" s="50" t="str">
        <f>IFERROR(__xludf.DUMMYFUNCTION("IF(ISBLANK(B108),"""",IFERROR((GOOGLEFINANCE($U$2,""price"")/INDEX(GOOGLEFINANCE($U$2,""price"",DATEVALUE(TODAY()-$S$2) ),2,2)-1),""""))"),"")</f>
        <v/>
      </c>
      <c r="W108" s="50" t="str">
        <f t="shared" si="8"/>
        <v/>
      </c>
      <c r="X108" s="50" t="str">
        <f t="shared" si="9"/>
        <v/>
      </c>
      <c r="Y108" s="50"/>
      <c r="Z108" s="50" t="str">
        <f t="shared" si="10"/>
        <v/>
      </c>
      <c r="AA108" s="14" t="str">
        <f t="shared" si="11"/>
        <v/>
      </c>
      <c r="AB108" s="50" t="str">
        <f t="shared" si="12"/>
        <v/>
      </c>
      <c r="AC108" s="179" t="str">
        <f t="shared" si="13"/>
        <v/>
      </c>
      <c r="AD108" s="50" t="str">
        <f t="shared" si="14"/>
        <v/>
      </c>
      <c r="AE108" s="180" t="str">
        <f t="shared" si="15"/>
        <v/>
      </c>
      <c r="AF108" s="14" t="str">
        <f t="array" ref="AF108">IFERROR(IF(ISBLANK(AH108),"",IF(VLOOKUP(AH108,Transactions!D:F,3,0)="Stablecoin",AH108,INDEX(Transactions!$B$3:$B149,MATCH(AH108,Transactions!$D$3:$D149,0),0))))</f>
        <v/>
      </c>
      <c r="AG108" s="14" t="str">
        <f>IF(ISBLANK(AH108),"",VLOOKUP(AH108,Transactions!D:E,2,0))</f>
        <v/>
      </c>
      <c r="AH108" s="14"/>
      <c r="AI108" s="146" t="str">
        <f>IF(ISBLANK(AH108),"",IF(
SUMIFS(Transactions!$I$3:$I149,Transactions!$H$3:$H149,"Buy",Transactions!$F$3:$F149,"Stock",Transactions!$D$3:$D149,AH108)
+SUMIFS(Transactions!$I$3:$I149,Transactions!$H$3:$H149,"DRIP",Transactions!$F$3:$F149,"Stock",Transactions!$D$3:$D149,AH108)
+SUMIFS(Transactions!$I$3:$I149,Transactions!$H$3:$H149,"Transfer Deposit",Transactions!$F$3:$F149,"Stock",Transactions!$D$3:$D149,AH108)
+SUMIFS(Transactions!$I$3:$I149,Transactions!$H$3:$H149,"Buy",Transactions!$F$3:$F149,"ETF",Transactions!$D$3:$D149,AH108)
+SUMIFS(Transactions!$I$3:$I149,Transactions!$H$3:$H149,"DRIP",Transactions!$F$3:$F149,"ETF",Transactions!$D$3:$D149,AH108)
+SUMIFS(Transactions!$I$3:$I149,Transactions!$H$3:$H149,"Transfer Deposit",Transactions!$F$3:$F149,"ETF",Transactions!$D$3:$D149,AH108)
+SUMIFS(Transactions!$I$3:$I149,Transactions!$H$3:$H149,"Buy",Transactions!$F$3:$F149,"Commodity",Transactions!$D$3:$D149,AH108)
+SUMIFS(Transactions!$I$3:$I149,Transactions!$H$3:$H149,"DRIP",Transactions!$F$3:$F149,"Commodity",Transactions!$D$3:$D149,AH108)
+SUMIFS(Transactions!$I$3:$I149,Transactions!$H$3:$H149,"Transfer Deposit",Transactions!$F$3:$F149,"Commodity",Transactions!$D$3:$D149,AH108)
+SUMIFS(Transactions!$I$3:$I149,Transactions!$H$3:$H149,"Buy",Transactions!$F$3:$F149,"Managed Fund",Transactions!$D$3:$D149,AH108)
+SUMIFS(Transactions!$I$3:$I149,Transactions!$H$3:$H149,"DRIP",Transactions!$F$3:$F149,"Managed Fund",Transactions!$D$3:$D149,AH108)
+SUMIFS(Transactions!$I$3:$I149,Transactions!$H$3:$H149,"Transfer Deposit",Transactions!$F$3:$F149,"Managed Fund",Transactions!$D$3:$D149,AH108)
+SUMIFS(Transactions!$I$3:$I149,Transactions!$H$3:$H149,"Buy",Transactions!$F$3:$F149,"REIT",Transactions!$D$3:$D149,AH108)
+SUMIFS(Transactions!$I$3:$I149,Transactions!$H$3:$H149,"DRIP",Transactions!$F$3:$F149,"REIT",Transactions!$D$3:$D149,AH108)
+SUMIFS(Transactions!$I$3:$I149,Transactions!$H$3:$H149,"Transfer Deposit",Transactions!$F$3:$F149,"REIT",Transactions!$D$3:$D149,AH108)
-SUMIFS(Transactions!$I$3:$I149,Transactions!$H$3:$H149,"Sell",Transactions!$F$3:$F149,"Stock",Transactions!$D$3:$D149,AH108)
-SUMIFS(Transactions!$I$3:$I149,Transactions!$H$3:$H149,"Transfer Send",Transactions!$F$3:$F149,"Stock",Transactions!$D$3:$D149,AH108)
-SUMIFS(Transactions!$I$3:$I149,Transactions!$H$3:$H149,"Sell",Transactions!$F$3:$F149,"ETF",Transactions!$D$3:$D149,AH108)
-SUMIFS(Transactions!$I$3:$I149,Transactions!$H$3:$H149,"Transfer Send",Transactions!$F$3:$F149,"ETF",Transactions!$D$3:$D149,AH108)
-SUMIFS(Transactions!$I$3:$I149,Transactions!$H$3:$H149,"Sell",Transactions!$F$3:$F149,"Commodity",Transactions!$D$3:$D149,AH108)
-SUMIFS(Transactions!$I$3:$I149,Transactions!$H$3:$H149,"Transfer Send",Transactions!$F$3:$F149,"Commodity",Transactions!$D$3:$D149,AH108)
-SUMIFS(Transactions!$I$3:$I149,Transactions!$H$3:$H149,"Sell",Transactions!$F$3:$F149,"Managed Fund",Transactions!$D$3:$D149,AH108)
-SUMIFS(Transactions!$I$3:$I149,Transactions!$H$3:$H149,"Transfer Send",Transactions!$F$3:$F149,"Managed Fund",Transactions!$D$3:$D149,AH108)
-SUMIFS(Transactions!$I$3:$I149,Transactions!$H$3:$H149,"Sell",Transactions!$F$3:$F149,"REIT",Transactions!$D$3:$D149,AH108)
-SUMIFS(Transactions!$I$3:$I149,Transactions!$H$3:$H149,"Transfer Send",Transactions!$F$3:$F149,"REIT",Transactions!$D$3:$D149,AH108)
+SUMIFS(Transactions!$I$3:$I149,Transactions!$H$3:$H149,"Buy",Transactions!$F$3:$F149,"Crypto",Transactions!$D$3:$D149,AH108)
+SUMIFS(Transactions!$I$3:$I149,Transactions!$H$3:$H149,"Crypto Interest",Transactions!$F$3:$F149,"Crypto",Transactions!$D$3:$D149,AH108)
+SUMIFS(Transactions!$I$3:$I149,Transactions!$H$3:$H149,"Transfer Deposit",Transactions!$F$3:$F149,"Crypto",Transactions!$D$3:$D149,AH108)
-SUMIFS(Transactions!$I$3:$I149,Transactions!$H$3:$H149,"Transfer Send",Transactions!$F$3:$F149,"Crypto",Transactions!$D$3:$D149,AH108)
-SUMIFS(Transactions!$I$3:$I149,Transactions!$H$3:$H149,"Sell",Transactions!$F$3:$F149,"Crypto",Transactions!$D$3:$D149,AH108)
+SUMIFS(Transactions!$I$3:$I149,Transactions!$H$3:$H149,"Buy",Transactions!$F$3:$F149,"Stablecoin",Transactions!$D$3:$D149,AH108)
+SUMIFS(Transactions!$I$3:$I149,Transactions!$H$3:$H149,"Crypto Interest",Transactions!$F$3:$F149,"Stablecoin",Transactions!$D$3:$D149,AH108)
+SUMIFS(Transactions!$I$3:$I149,Transactions!$H$3:$H149,"Transfer Deposit",Transactions!$F$3:$F149,"Stablecoin",Transactions!$D$3:$D149,AH108)
-SUMIFS(Transactions!$I$3:$I149,Transactions!$H$3:$H149,"Transfer Send",Transactions!$F$3:$F149,"Stablecoin",Transactions!$D$3:$D149,AH108)
-SUMIFS(Transactions!$I$3:$I149,Transactions!$H$3:$H149,"Sell",Transactions!$F$3:$F149,"Stablecoin",Transactions!$D$3:$D149,AH108)
-SUMIFS(Transactions!$M$3:$M149,Transactions!$H$3:$H149,"Buy",Transactions!$B$3:$B149,AH108)=0,"Sold All",
SUMIFS(Transactions!$I$3:$I149,Transactions!$H$3:$H149,"Buy",Transactions!$F$3:$F149,"Stock",Transactions!$D$3:$D149,AH108)
+SUMIFS(Transactions!$I$3:$I149,Transactions!$H$3:$H149,"DRIP",Transactions!$F$3:$F149,"Stock",Transactions!$D$3:$D149,AH108)
+SUMIFS(Transactions!$I$3:$I149,Transactions!$H$3:$H149,"Transfer Deposit",Transactions!$F$3:$F149,"Stock",Transactions!$D$3:$D149,AH108)
+SUMIFS(Transactions!$I$3:$I149,Transactions!$H$3:$H149,"Buy",Transactions!$F$3:$F149,"ETF",Transactions!$D$3:$D149,AH108)
+SUMIFS(Transactions!$I$3:$I149,Transactions!$H$3:$H149,"DRIP",Transactions!$F$3:$F149,"ETF",Transactions!$D$3:$D149,AH108)
+SUMIFS(Transactions!$I$3:$I149,Transactions!$H$3:$H149,"Transfer Deposit",Transactions!$F$3:$F149,"ETF",Transactions!$D$3:$D149,AH108)
+SUMIFS(Transactions!$I$3:$I149,Transactions!$H$3:$H149,"Buy",Transactions!$F$3:$F149,"Commodity",Transactions!$D$3:$D149,AH108)
+SUMIFS(Transactions!$I$3:$I149,Transactions!$H$3:$H149,"DRIP",Transactions!$F$3:$F149,"Commodity",Transactions!$D$3:$D149,AH108)
+SUMIFS(Transactions!$I$3:$I149,Transactions!$H$3:$H149,"Transfer Deposit",Transactions!$F$3:$F149,"Commodity",Transactions!$D$3:$D149,AH108)
+SUMIFS(Transactions!$I$3:$I149,Transactions!$H$3:$H149,"Buy",Transactions!$F$3:$F149,"Managed Fund",Transactions!$D$3:$D149,AH108)
+SUMIFS(Transactions!$I$3:$I149,Transactions!$H$3:$H149,"DRIP",Transactions!$F$3:$F149,"Managed Fund",Transactions!$D$3:$D149,AH108)
+SUMIFS(Transactions!$I$3:$I149,Transactions!$H$3:$H149,"Transfer Deposit",Transactions!$F$3:$F149,"Managed Fund",Transactions!$D$3:$D149,AH108)
+SUMIFS(Transactions!$I$3:$I149,Transactions!$H$3:$H149,"Buy",Transactions!$F$3:$F149,"REIT",Transactions!$D$3:$D149,AH108)
+SUMIFS(Transactions!$I$3:$I149,Transactions!$H$3:$H149,"DRIP",Transactions!$F$3:$F149,"REIT",Transactions!$D$3:$D149,AH108)
+SUMIFS(Transactions!$I$3:$I149,Transactions!$H$3:$H149,"Transfer Deposit",Transactions!$F$3:$F149,"REIT",Transactions!$D$3:$D149,AH108)
-SUMIFS(Transactions!$I$3:$I149,Transactions!$H$3:$H149,"Sell",Transactions!$F$3:$F149,"Stock",Transactions!$D$3:$D149,AH108)
-SUMIFS(Transactions!$I$3:$I149,Transactions!$H$3:$H149,"Transfer Send",Transactions!$F$3:$F149,"Stock",Transactions!$D$3:$D149,AH108)
-SUMIFS(Transactions!$I$3:$I149,Transactions!$H$3:$H149,"Sell",Transactions!$F$3:$F149,"ETF",Transactions!$D$3:$D149,AH108)
-SUMIFS(Transactions!$I$3:$I149,Transactions!$H$3:$H149,"Transfer Send",Transactions!$F$3:$F149,"ETF",Transactions!$D$3:$D149,AH108)
-SUMIFS(Transactions!$I$3:$I149,Transactions!$H$3:$H149,"Sell",Transactions!$F$3:$F149,"Commodity",Transactions!$D$3:$D149,AH108)
-SUMIFS(Transactions!$I$3:$I149,Transactions!$H$3:$H149,"Transfer Send",Transactions!$F$3:$F149,"Commodity",Transactions!$D$3:$D149,AH108)
-SUMIFS(Transactions!$I$3:$I149,Transactions!$H$3:$H149,"Sell",Transactions!$F$3:$F149,"Managed Fund",Transactions!$D$3:$D149,AH108)
-SUMIFS(Transactions!$I$3:$I149,Transactions!$H$3:$H149,"Transfer Send",Transactions!$F$3:$F149,"Managed Fund",Transactions!$D$3:$D149,AH108)
-SUMIFS(Transactions!$I$3:$I149,Transactions!$H$3:$H149,"Sell",Transactions!$F$3:$F149,"REIT",Transactions!$D$3:$D149,AH108)
-SUMIFS(Transactions!$I$3:$I149,Transactions!$H$3:$H149,"Transfer Send",Transactions!$F$3:$F149,"REIT",Transactions!$D$3:$D149,AH108)
+SUMIFS(Transactions!$I$3:$I149,Transactions!$H$3:$H149,"Buy",Transactions!$F$3:$F149,"Crypto",Transactions!$D$3:$D149,AH108)
+SUMIFS(Transactions!$I$3:$I149,Transactions!$H$3:$H149,"Crypto Interest",Transactions!$F$3:$F149,"Crypto",Transactions!$D$3:$D149,AH108)
+SUMIFS(Transactions!$I$3:$I149,Transactions!$H$3:$H149,"Transfer Deposit",Transactions!$F$3:$F149,"Crypto",Transactions!$D$3:$D149,AH108)
-SUMIFS(Transactions!$I$3:$I149,Transactions!$H$3:$H149,"Transfer Send",Transactions!$F$3:$F149,"Crypto",Transactions!$D$3:$D149,AH108)
-SUMIFS(Transactions!$I$3:$I149,Transactions!$H$3:$H149,"Sell",Transactions!$F$3:$F149,"Crypto",Transactions!$D$3:$D149,AH108)
+SUMIFS(Transactions!$I$3:$I149,Transactions!$H$3:$H149,"Buy",Transactions!$F$3:$F149,"Stablecoin",Transactions!$D$3:$D149,AH108)
+SUMIFS(Transactions!$I$3:$I149,Transactions!$H$3:$H149,"Crypto Interest",Transactions!$F$3:$F149,"Stablecoin",Transactions!$D$3:$D149,AH108)
+SUMIFS(Transactions!$I$3:$I149,Transactions!$H$3:$H149,"Transfer Deposit",Transactions!$F$3:$F149,"Stablecoin",Transactions!$D$3:$D149,AH108)
-SUMIFS(Transactions!$I$3:$I149,Transactions!$H$3:$H149,"Transfer Send",Transactions!$F$3:$F149,"Stablecoin",Transactions!$D$3:$D149,AH108)
-SUMIFS(Transactions!$I$3:$I149,Transactions!$H$3:$H149,"Sell",Transactions!$F$3:$F149,"Stablecoin",Transactions!$D$3:$D149,AH108)
-SUMIFS(Transactions!$M$3:$M149,Transactions!$H$3:$H149,"Buy",Transactions!$B$3:$B149,AH108)))</f>
        <v/>
      </c>
      <c r="AJ108" s="181" t="str">
        <f>IFERROR(__xludf.DUMMYFUNCTION("IF(ISBLANK(AH108),"""",VLOOKUP(9^99,FILTER({ROW(Transactions!P:P),Transactions!P:P},Transactions!D:D=AH108),2))"),"")</f>
        <v/>
      </c>
      <c r="AK108" s="181" t="str">
        <f>IFERROR(__xludf.DUMMYFUNCTION("IF(ISBLANK(AH108),"""",IFERROR(GOOGLEFINANCE(AH108,""price""),IFERROR(GOOGLEFINANCE(""CURRENCY:""&amp;AH108&amp;""""),IFERROR(INDEX(YAHOO_STOCK(TRIM(AH108), $G$2),0,1),INDEX(IMPORTHTML(CONCAT(""https://coinmarketcap.com/currencies/"",AG108),""table"",1),1,2)))))"),"")</f>
        <v/>
      </c>
      <c r="AL108" s="14" t="str">
        <f>IFERROR(__xludf.DUMMYFUNCTION("IF(ISBLANK(AH108),"""",IFERROR(SPARKLINE(INDEX(GOOGLEFINANCE(AH108,""price"",TODAY()-$AL$2,TODAY()),,2),{""charttype"",""column"";""color"",""17a7e0""}),""""))"),"")</f>
        <v/>
      </c>
      <c r="AM108" s="50" t="str">
        <f>IFERROR(__xludf.DUMMYFUNCTION("IFNA(IFERROR(IF(AH108="""","""",GOOGLEFINANCE(AH108,""changepct"")/100),(GOOGLEFINANCE(AH108)-(INDEX(GOOGLEFINANCE(""CURRENCY:""&amp;AH108&amp;"""",""price"",TODAY()-1),2,2)))/(INDEX(GOOGLEFINANCE(""CURRENCY:""&amp;AH108&amp;"""",""price"",TODAY()-1),2,2))),)"),"")</f>
        <v/>
      </c>
      <c r="AN108" s="96" t="str">
        <f>IFERROR(__xludf.DUMMYFUNCTION("IFNA(IFERROR(IF(AH108="""","""",GOOGLEFINANCE(AH108,""change"")*AI108),(GOOGLEFINANCE(AH108)-(INDEX(GOOGLEFINANCE(""CURRENCY:""&amp;AH108&amp;"""",""price"",TODAY()-1),2,2)))*AI108),"""")"),"")</f>
        <v/>
      </c>
      <c r="AO108" s="96" t="str">
        <f>IF(ISBLANK(AH108),"",IFERROR(((AI108-SUMIFS(Transactions!I:I,Transactions!H:H,"Crypto Interest",Transactions!D:D,AH108))*AJ108),""))</f>
        <v/>
      </c>
      <c r="AP108" s="96" t="str">
        <f t="shared" si="16"/>
        <v/>
      </c>
      <c r="AQ108" s="50" t="str">
        <f t="shared" si="17"/>
        <v/>
      </c>
      <c r="AR108" s="96" t="str">
        <f t="shared" si="18"/>
        <v/>
      </c>
      <c r="AS108" s="96" t="str">
        <f>IF(ISBLANK(AH108),"",SUMIFS(Transactions!$X$3:$X149,Transactions!$H$3:$H149,"Sell",Transactions!$D$3:$D149,AH108))</f>
        <v/>
      </c>
      <c r="AT108" s="96" t="str">
        <f t="shared" si="19"/>
        <v/>
      </c>
      <c r="AU108" s="50" t="str">
        <f>IFERROR(__xludf.DUMMYFUNCTION("IF(ISBLANK(AH108),"""",IFERROR((GOOGLEFINANCE(AH108,""price"")/INDEX(GOOGLEFINANCE(AH108,""price"",DATEVALUE(TODAY()-$AU$2) ),2,2)-1),""""))"),"")</f>
        <v/>
      </c>
      <c r="AW108" s="50" t="str">
        <f>IFERROR(__xludf.DUMMYFUNCTION("IF(ISBLANK(AH108),"""",IFERROR((GOOGLEFINANCE($AW$2,""price"")/INDEX(GOOGLEFINANCE($AW$2,""price"",DATEVALUE(TODAY()-$AU$2) ),2,2)-1),""""))"),"")</f>
        <v/>
      </c>
      <c r="AY108" s="50" t="str">
        <f t="shared" si="20"/>
        <v/>
      </c>
      <c r="AZ108" s="50" t="str">
        <f t="shared" si="21"/>
        <v/>
      </c>
      <c r="BA108" s="50" t="str">
        <f t="shared" si="22"/>
        <v/>
      </c>
      <c r="BB108" s="14" t="str">
        <f t="shared" si="23"/>
        <v/>
      </c>
      <c r="BC108" s="14" t="str">
        <f>IF(ISBLANK(AH108),"",IFERROR(VLOOKUP(AH108,Transactions!D:F,3,0)))</f>
        <v/>
      </c>
      <c r="BD108" s="50" t="str">
        <f t="shared" si="24"/>
        <v/>
      </c>
      <c r="BE108" s="50" t="str">
        <f t="shared" si="25"/>
        <v/>
      </c>
      <c r="BF108" s="14" t="str">
        <f t="shared" si="26"/>
        <v/>
      </c>
      <c r="BG108" s="180" t="str">
        <f>IF(ISBLANK(AH108),"",IFERROR(VLOOKUP(AH108,Transactions!D:G,4,0)))</f>
        <v/>
      </c>
    </row>
    <row r="109">
      <c r="A109" s="14" t="str">
        <f t="shared" ref="A109:C109" si="132">AG109</f>
        <v/>
      </c>
      <c r="B109" s="14" t="str">
        <f t="shared" si="132"/>
        <v/>
      </c>
      <c r="C109" s="175" t="str">
        <f t="shared" si="132"/>
        <v/>
      </c>
      <c r="D109" s="176" t="str">
        <f>IFERROR(__xludf.DUMMYFUNCTION("IF(ISBLANK(B109),"""",IFERROR(IF(OR(AF109=""GPB"",AF109=""ZAR""),IF(AF109=Dashboard!$L$1,AJ109,(AJ109*GOOGLEFINANCE(""CURRENCY:""&amp;AF109&amp;""""&amp;Dashboard!$L$1&amp;""""))/100),IF(AF109=Dashboard!$L$1,AJ109,AJ109*GOOGLEFINANCE(""CURRENCY:""&amp;AF109&amp;""""&amp;Dashboard!$L"&amp;"$1&amp;""""))),AJ109))"),"")</f>
        <v/>
      </c>
      <c r="E109" s="177" t="str">
        <f>IFERROR(__xludf.DUMMYFUNCTION("IFERROR(IF(OR(AF109=""GBP"",AF109=""ZAR""),IF(B109="""","""",IF(AF109=Dashboard!$L$1,AK109,AK109*GOOGLEFINANCE(""CURRENCY:""&amp;AF109&amp;""""&amp;Dashboard!$L$1&amp;"""")))/100,If(B109="""","""",IF(AF109=Dashboard!$L$1,AK109,AK109*GOOGLEFINANCE(""CURRENCY:""&amp;AF109&amp;"""""&amp;"&amp;Dashboard!$L$1&amp;"""")))),AK109)"),"")</f>
        <v/>
      </c>
      <c r="F109" s="145" t="str">
        <f t="shared" si="65"/>
        <v/>
      </c>
      <c r="G109" s="96" t="str">
        <f>IFERROR(__xludf.DUMMYFUNCTION("IF(ISBLANK(B109),"""",IFERROR(SPARKLINE(INDEX(GOOGLEFINANCE(B109,""price"",TODAY()-$G$2,TODAY()),,2),{""charttype"",""column"";""color"",""17a7e0""}),""""))"),"")</f>
        <v/>
      </c>
      <c r="H109" s="50" t="str">
        <f t="shared" si="3"/>
        <v/>
      </c>
      <c r="I109" s="96" t="str">
        <f>IFERROR(__xludf.DUMMYFUNCTION("IF(ISBLANK(B109),"""",IFERROR(IF(OR(AF109=""GPB"",AF109=""ZAR""),IF(AF109=Dashboard!$L$1,AN109,(AN109*GOOGLEFINANCE(""CURRENCY:""&amp;AF109&amp;""""&amp;Dashboard!$L$1&amp;""""))/100),IF(AF109=Dashboard!$L$1,AN109,AN109*GOOGLEFINANCE(""CURRENCY:""&amp;AF109&amp;""""&amp;Dashboard!$L"&amp;"$1&amp;""""))),AN109))"),"")</f>
        <v/>
      </c>
      <c r="J109" s="178" t="str">
        <f>IF(ISBLANK(B109),"",IFERROR(((C109-SUMIFS(Transactions!I:I,Transactions!H:H,"Crypto Interest",Transactions!D:D,B109))*D109),""))</f>
        <v/>
      </c>
      <c r="K109" s="178" t="str">
        <f t="shared" si="4"/>
        <v/>
      </c>
      <c r="L109" s="145">
        <f>IF(ISBLANK(AF109),"",SUMIFS(Transactions!$M$3:$M149,Transactions!$H$3:$H149,"Buy",Transactions!$D$3:$D149,AF109))</f>
        <v>0</v>
      </c>
      <c r="M109" s="145">
        <f>IF(ISBLANK(AG109),"",SUMIFS(Transactions!$M$3:$M149,Transactions!$H$3:$H149,"Dividend",Transactions!$D$3:$D149,AG109))</f>
        <v>0</v>
      </c>
      <c r="N109" s="145" t="str">
        <f>IF(ISBLANK(AH109),"",SUMIFS(Transactions!$M$3:$M149,Transactions!$H$3:$H149,"Sell",Transactions!$D$3:$D149,AH109))</f>
        <v/>
      </c>
      <c r="O109" s="50" t="str">
        <f t="shared" si="5"/>
        <v/>
      </c>
      <c r="P109" s="178" t="str">
        <f t="shared" si="6"/>
        <v/>
      </c>
      <c r="Q109" s="178" t="str">
        <f>IFERROR(__xludf.DUMMYFUNCTION("IF(ISBLANK(B109),"""",IFERROR(IF(OR(AF109=""GPB"",AF109=""ZAR""),IF(AF109=Dashboard!$L$1,AS109,(AS109*GOOGLEFINANCE(""CURRENCY:""&amp;AF109&amp;""""&amp;Dashboard!$L$1&amp;""""))/100),IF(AF109=Dashboard!$L$1,AS109,AS109*GOOGLEFINANCE(""CURRENCY:""&amp;AF109&amp;""""&amp;Dashboard!$L"&amp;"$1&amp;""""))),AS109))"),"")</f>
        <v/>
      </c>
      <c r="R109" s="178" t="str">
        <f t="shared" si="7"/>
        <v/>
      </c>
      <c r="S109" s="50" t="str">
        <f>IFERROR(__xludf.DUMMYFUNCTION("IF(ISBLANK(B109),"""",IFERROR((GOOGLEFINANCE(B109,""price"")/INDEX(GOOGLEFINANCE(B109,""price"",DATEVALUE(TODAY()-$S$2) ),2,2)-1),""""))"),"")</f>
        <v/>
      </c>
      <c r="U109" s="50" t="str">
        <f>IFERROR(__xludf.DUMMYFUNCTION("IF(ISBLANK(B109),"""",IFERROR((GOOGLEFINANCE($U$2,""price"")/INDEX(GOOGLEFINANCE($U$2,""price"",DATEVALUE(TODAY()-$S$2) ),2,2)-1),""""))"),"")</f>
        <v/>
      </c>
      <c r="W109" s="50" t="str">
        <f t="shared" si="8"/>
        <v/>
      </c>
      <c r="X109" s="50" t="str">
        <f t="shared" si="9"/>
        <v/>
      </c>
      <c r="Y109" s="50"/>
      <c r="Z109" s="50" t="str">
        <f t="shared" si="10"/>
        <v/>
      </c>
      <c r="AA109" s="14" t="str">
        <f t="shared" si="11"/>
        <v/>
      </c>
      <c r="AB109" s="50" t="str">
        <f t="shared" si="12"/>
        <v/>
      </c>
      <c r="AC109" s="179" t="str">
        <f t="shared" si="13"/>
        <v/>
      </c>
      <c r="AD109" s="50" t="str">
        <f t="shared" si="14"/>
        <v/>
      </c>
      <c r="AE109" s="180" t="str">
        <f t="shared" si="15"/>
        <v/>
      </c>
      <c r="AF109" s="14" t="str">
        <f t="array" ref="AF109">IFERROR(IF(ISBLANK(AH109),"",IF(VLOOKUP(AH109,Transactions!D:F,3,0)="Stablecoin",AH109,INDEX(Transactions!$B$3:$B149,MATCH(AH109,Transactions!$D$3:$D149,0),0))))</f>
        <v/>
      </c>
      <c r="AG109" s="14" t="str">
        <f>IF(ISBLANK(AH109),"",VLOOKUP(AH109,Transactions!D:E,2,0))</f>
        <v/>
      </c>
      <c r="AH109" s="14"/>
      <c r="AI109" s="146" t="str">
        <f>IF(ISBLANK(AH109),"",IF(
SUMIFS(Transactions!$I$3:$I149,Transactions!$H$3:$H149,"Buy",Transactions!$F$3:$F149,"Stock",Transactions!$D$3:$D149,AH109)
+SUMIFS(Transactions!$I$3:$I149,Transactions!$H$3:$H149,"DRIP",Transactions!$F$3:$F149,"Stock",Transactions!$D$3:$D149,AH109)
+SUMIFS(Transactions!$I$3:$I149,Transactions!$H$3:$H149,"Transfer Deposit",Transactions!$F$3:$F149,"Stock",Transactions!$D$3:$D149,AH109)
+SUMIFS(Transactions!$I$3:$I149,Transactions!$H$3:$H149,"Buy",Transactions!$F$3:$F149,"ETF",Transactions!$D$3:$D149,AH109)
+SUMIFS(Transactions!$I$3:$I149,Transactions!$H$3:$H149,"DRIP",Transactions!$F$3:$F149,"ETF",Transactions!$D$3:$D149,AH109)
+SUMIFS(Transactions!$I$3:$I149,Transactions!$H$3:$H149,"Transfer Deposit",Transactions!$F$3:$F149,"ETF",Transactions!$D$3:$D149,AH109)
+SUMIFS(Transactions!$I$3:$I149,Transactions!$H$3:$H149,"Buy",Transactions!$F$3:$F149,"Commodity",Transactions!$D$3:$D149,AH109)
+SUMIFS(Transactions!$I$3:$I149,Transactions!$H$3:$H149,"DRIP",Transactions!$F$3:$F149,"Commodity",Transactions!$D$3:$D149,AH109)
+SUMIFS(Transactions!$I$3:$I149,Transactions!$H$3:$H149,"Transfer Deposit",Transactions!$F$3:$F149,"Commodity",Transactions!$D$3:$D149,AH109)
+SUMIFS(Transactions!$I$3:$I149,Transactions!$H$3:$H149,"Buy",Transactions!$F$3:$F149,"Managed Fund",Transactions!$D$3:$D149,AH109)
+SUMIFS(Transactions!$I$3:$I149,Transactions!$H$3:$H149,"DRIP",Transactions!$F$3:$F149,"Managed Fund",Transactions!$D$3:$D149,AH109)
+SUMIFS(Transactions!$I$3:$I149,Transactions!$H$3:$H149,"Transfer Deposit",Transactions!$F$3:$F149,"Managed Fund",Transactions!$D$3:$D149,AH109)
+SUMIFS(Transactions!$I$3:$I149,Transactions!$H$3:$H149,"Buy",Transactions!$F$3:$F149,"REIT",Transactions!$D$3:$D149,AH109)
+SUMIFS(Transactions!$I$3:$I149,Transactions!$H$3:$H149,"DRIP",Transactions!$F$3:$F149,"REIT",Transactions!$D$3:$D149,AH109)
+SUMIFS(Transactions!$I$3:$I149,Transactions!$H$3:$H149,"Transfer Deposit",Transactions!$F$3:$F149,"REIT",Transactions!$D$3:$D149,AH109)
-SUMIFS(Transactions!$I$3:$I149,Transactions!$H$3:$H149,"Sell",Transactions!$F$3:$F149,"Stock",Transactions!$D$3:$D149,AH109)
-SUMIFS(Transactions!$I$3:$I149,Transactions!$H$3:$H149,"Transfer Send",Transactions!$F$3:$F149,"Stock",Transactions!$D$3:$D149,AH109)
-SUMIFS(Transactions!$I$3:$I149,Transactions!$H$3:$H149,"Sell",Transactions!$F$3:$F149,"ETF",Transactions!$D$3:$D149,AH109)
-SUMIFS(Transactions!$I$3:$I149,Transactions!$H$3:$H149,"Transfer Send",Transactions!$F$3:$F149,"ETF",Transactions!$D$3:$D149,AH109)
-SUMIFS(Transactions!$I$3:$I149,Transactions!$H$3:$H149,"Sell",Transactions!$F$3:$F149,"Commodity",Transactions!$D$3:$D149,AH109)
-SUMIFS(Transactions!$I$3:$I149,Transactions!$H$3:$H149,"Transfer Send",Transactions!$F$3:$F149,"Commodity",Transactions!$D$3:$D149,AH109)
-SUMIFS(Transactions!$I$3:$I149,Transactions!$H$3:$H149,"Sell",Transactions!$F$3:$F149,"Managed Fund",Transactions!$D$3:$D149,AH109)
-SUMIFS(Transactions!$I$3:$I149,Transactions!$H$3:$H149,"Transfer Send",Transactions!$F$3:$F149,"Managed Fund",Transactions!$D$3:$D149,AH109)
-SUMIFS(Transactions!$I$3:$I149,Transactions!$H$3:$H149,"Sell",Transactions!$F$3:$F149,"REIT",Transactions!$D$3:$D149,AH109)
-SUMIFS(Transactions!$I$3:$I149,Transactions!$H$3:$H149,"Transfer Send",Transactions!$F$3:$F149,"REIT",Transactions!$D$3:$D149,AH109)
+SUMIFS(Transactions!$I$3:$I149,Transactions!$H$3:$H149,"Buy",Transactions!$F$3:$F149,"Crypto",Transactions!$D$3:$D149,AH109)
+SUMIFS(Transactions!$I$3:$I149,Transactions!$H$3:$H149,"Crypto Interest",Transactions!$F$3:$F149,"Crypto",Transactions!$D$3:$D149,AH109)
+SUMIFS(Transactions!$I$3:$I149,Transactions!$H$3:$H149,"Transfer Deposit",Transactions!$F$3:$F149,"Crypto",Transactions!$D$3:$D149,AH109)
-SUMIFS(Transactions!$I$3:$I149,Transactions!$H$3:$H149,"Transfer Send",Transactions!$F$3:$F149,"Crypto",Transactions!$D$3:$D149,AH109)
-SUMIFS(Transactions!$I$3:$I149,Transactions!$H$3:$H149,"Sell",Transactions!$F$3:$F149,"Crypto",Transactions!$D$3:$D149,AH109)
+SUMIFS(Transactions!$I$3:$I149,Transactions!$H$3:$H149,"Buy",Transactions!$F$3:$F149,"Stablecoin",Transactions!$D$3:$D149,AH109)
+SUMIFS(Transactions!$I$3:$I149,Transactions!$H$3:$H149,"Crypto Interest",Transactions!$F$3:$F149,"Stablecoin",Transactions!$D$3:$D149,AH109)
+SUMIFS(Transactions!$I$3:$I149,Transactions!$H$3:$H149,"Transfer Deposit",Transactions!$F$3:$F149,"Stablecoin",Transactions!$D$3:$D149,AH109)
-SUMIFS(Transactions!$I$3:$I149,Transactions!$H$3:$H149,"Transfer Send",Transactions!$F$3:$F149,"Stablecoin",Transactions!$D$3:$D149,AH109)
-SUMIFS(Transactions!$I$3:$I149,Transactions!$H$3:$H149,"Sell",Transactions!$F$3:$F149,"Stablecoin",Transactions!$D$3:$D149,AH109)
-SUMIFS(Transactions!$M$3:$M149,Transactions!$H$3:$H149,"Buy",Transactions!$B$3:$B149,AH109)=0,"Sold All",
SUMIFS(Transactions!$I$3:$I149,Transactions!$H$3:$H149,"Buy",Transactions!$F$3:$F149,"Stock",Transactions!$D$3:$D149,AH109)
+SUMIFS(Transactions!$I$3:$I149,Transactions!$H$3:$H149,"DRIP",Transactions!$F$3:$F149,"Stock",Transactions!$D$3:$D149,AH109)
+SUMIFS(Transactions!$I$3:$I149,Transactions!$H$3:$H149,"Transfer Deposit",Transactions!$F$3:$F149,"Stock",Transactions!$D$3:$D149,AH109)
+SUMIFS(Transactions!$I$3:$I149,Transactions!$H$3:$H149,"Buy",Transactions!$F$3:$F149,"ETF",Transactions!$D$3:$D149,AH109)
+SUMIFS(Transactions!$I$3:$I149,Transactions!$H$3:$H149,"DRIP",Transactions!$F$3:$F149,"ETF",Transactions!$D$3:$D149,AH109)
+SUMIFS(Transactions!$I$3:$I149,Transactions!$H$3:$H149,"Transfer Deposit",Transactions!$F$3:$F149,"ETF",Transactions!$D$3:$D149,AH109)
+SUMIFS(Transactions!$I$3:$I149,Transactions!$H$3:$H149,"Buy",Transactions!$F$3:$F149,"Commodity",Transactions!$D$3:$D149,AH109)
+SUMIFS(Transactions!$I$3:$I149,Transactions!$H$3:$H149,"DRIP",Transactions!$F$3:$F149,"Commodity",Transactions!$D$3:$D149,AH109)
+SUMIFS(Transactions!$I$3:$I149,Transactions!$H$3:$H149,"Transfer Deposit",Transactions!$F$3:$F149,"Commodity",Transactions!$D$3:$D149,AH109)
+SUMIFS(Transactions!$I$3:$I149,Transactions!$H$3:$H149,"Buy",Transactions!$F$3:$F149,"Managed Fund",Transactions!$D$3:$D149,AH109)
+SUMIFS(Transactions!$I$3:$I149,Transactions!$H$3:$H149,"DRIP",Transactions!$F$3:$F149,"Managed Fund",Transactions!$D$3:$D149,AH109)
+SUMIFS(Transactions!$I$3:$I149,Transactions!$H$3:$H149,"Transfer Deposit",Transactions!$F$3:$F149,"Managed Fund",Transactions!$D$3:$D149,AH109)
+SUMIFS(Transactions!$I$3:$I149,Transactions!$H$3:$H149,"Buy",Transactions!$F$3:$F149,"REIT",Transactions!$D$3:$D149,AH109)
+SUMIFS(Transactions!$I$3:$I149,Transactions!$H$3:$H149,"DRIP",Transactions!$F$3:$F149,"REIT",Transactions!$D$3:$D149,AH109)
+SUMIFS(Transactions!$I$3:$I149,Transactions!$H$3:$H149,"Transfer Deposit",Transactions!$F$3:$F149,"REIT",Transactions!$D$3:$D149,AH109)
-SUMIFS(Transactions!$I$3:$I149,Transactions!$H$3:$H149,"Sell",Transactions!$F$3:$F149,"Stock",Transactions!$D$3:$D149,AH109)
-SUMIFS(Transactions!$I$3:$I149,Transactions!$H$3:$H149,"Transfer Send",Transactions!$F$3:$F149,"Stock",Transactions!$D$3:$D149,AH109)
-SUMIFS(Transactions!$I$3:$I149,Transactions!$H$3:$H149,"Sell",Transactions!$F$3:$F149,"ETF",Transactions!$D$3:$D149,AH109)
-SUMIFS(Transactions!$I$3:$I149,Transactions!$H$3:$H149,"Transfer Send",Transactions!$F$3:$F149,"ETF",Transactions!$D$3:$D149,AH109)
-SUMIFS(Transactions!$I$3:$I149,Transactions!$H$3:$H149,"Sell",Transactions!$F$3:$F149,"Commodity",Transactions!$D$3:$D149,AH109)
-SUMIFS(Transactions!$I$3:$I149,Transactions!$H$3:$H149,"Transfer Send",Transactions!$F$3:$F149,"Commodity",Transactions!$D$3:$D149,AH109)
-SUMIFS(Transactions!$I$3:$I149,Transactions!$H$3:$H149,"Sell",Transactions!$F$3:$F149,"Managed Fund",Transactions!$D$3:$D149,AH109)
-SUMIFS(Transactions!$I$3:$I149,Transactions!$H$3:$H149,"Transfer Send",Transactions!$F$3:$F149,"Managed Fund",Transactions!$D$3:$D149,AH109)
-SUMIFS(Transactions!$I$3:$I149,Transactions!$H$3:$H149,"Sell",Transactions!$F$3:$F149,"REIT",Transactions!$D$3:$D149,AH109)
-SUMIFS(Transactions!$I$3:$I149,Transactions!$H$3:$H149,"Transfer Send",Transactions!$F$3:$F149,"REIT",Transactions!$D$3:$D149,AH109)
+SUMIFS(Transactions!$I$3:$I149,Transactions!$H$3:$H149,"Buy",Transactions!$F$3:$F149,"Crypto",Transactions!$D$3:$D149,AH109)
+SUMIFS(Transactions!$I$3:$I149,Transactions!$H$3:$H149,"Crypto Interest",Transactions!$F$3:$F149,"Crypto",Transactions!$D$3:$D149,AH109)
+SUMIFS(Transactions!$I$3:$I149,Transactions!$H$3:$H149,"Transfer Deposit",Transactions!$F$3:$F149,"Crypto",Transactions!$D$3:$D149,AH109)
-SUMIFS(Transactions!$I$3:$I149,Transactions!$H$3:$H149,"Transfer Send",Transactions!$F$3:$F149,"Crypto",Transactions!$D$3:$D149,AH109)
-SUMIFS(Transactions!$I$3:$I149,Transactions!$H$3:$H149,"Sell",Transactions!$F$3:$F149,"Crypto",Transactions!$D$3:$D149,AH109)
+SUMIFS(Transactions!$I$3:$I149,Transactions!$H$3:$H149,"Buy",Transactions!$F$3:$F149,"Stablecoin",Transactions!$D$3:$D149,AH109)
+SUMIFS(Transactions!$I$3:$I149,Transactions!$H$3:$H149,"Crypto Interest",Transactions!$F$3:$F149,"Stablecoin",Transactions!$D$3:$D149,AH109)
+SUMIFS(Transactions!$I$3:$I149,Transactions!$H$3:$H149,"Transfer Deposit",Transactions!$F$3:$F149,"Stablecoin",Transactions!$D$3:$D149,AH109)
-SUMIFS(Transactions!$I$3:$I149,Transactions!$H$3:$H149,"Transfer Send",Transactions!$F$3:$F149,"Stablecoin",Transactions!$D$3:$D149,AH109)
-SUMIFS(Transactions!$I$3:$I149,Transactions!$H$3:$H149,"Sell",Transactions!$F$3:$F149,"Stablecoin",Transactions!$D$3:$D149,AH109)
-SUMIFS(Transactions!$M$3:$M149,Transactions!$H$3:$H149,"Buy",Transactions!$B$3:$B149,AH109)))</f>
        <v/>
      </c>
      <c r="AJ109" s="181" t="str">
        <f>IFERROR(__xludf.DUMMYFUNCTION("IF(ISBLANK(AH109),"""",VLOOKUP(9^99,FILTER({ROW(Transactions!P:P),Transactions!P:P},Transactions!D:D=AH109),2))"),"")</f>
        <v/>
      </c>
      <c r="AK109" s="181" t="str">
        <f>IFERROR(__xludf.DUMMYFUNCTION("IF(ISBLANK(AH109),"""",IFERROR(GOOGLEFINANCE(AH109,""price""),IFERROR(GOOGLEFINANCE(""CURRENCY:""&amp;AH109&amp;""""),IFERROR(INDEX(YAHOO_STOCK(TRIM(AH109), $G$2),0,1),INDEX(IMPORTHTML(CONCAT(""https://coinmarketcap.com/currencies/"",AG109),""table"",1),1,2)))))"),"")</f>
        <v/>
      </c>
      <c r="AL109" s="14" t="str">
        <f>IFERROR(__xludf.DUMMYFUNCTION("IF(ISBLANK(AH109),"""",IFERROR(SPARKLINE(INDEX(GOOGLEFINANCE(AH109,""price"",TODAY()-$AL$2,TODAY()),,2),{""charttype"",""column"";""color"",""17a7e0""}),""""))"),"")</f>
        <v/>
      </c>
      <c r="AM109" s="50" t="str">
        <f>IFERROR(__xludf.DUMMYFUNCTION("IFNA(IFERROR(IF(AH109="""","""",GOOGLEFINANCE(AH109,""changepct"")/100),(GOOGLEFINANCE(AH109)-(INDEX(GOOGLEFINANCE(""CURRENCY:""&amp;AH109&amp;"""",""price"",TODAY()-1),2,2)))/(INDEX(GOOGLEFINANCE(""CURRENCY:""&amp;AH109&amp;"""",""price"",TODAY()-1),2,2))),)"),"")</f>
        <v/>
      </c>
      <c r="AN109" s="96" t="str">
        <f>IFERROR(__xludf.DUMMYFUNCTION("IFNA(IFERROR(IF(AH109="""","""",GOOGLEFINANCE(AH109,""change"")*AI109),(GOOGLEFINANCE(AH109)-(INDEX(GOOGLEFINANCE(""CURRENCY:""&amp;AH109&amp;"""",""price"",TODAY()-1),2,2)))*AI109),"""")"),"")</f>
        <v/>
      </c>
      <c r="AO109" s="96" t="str">
        <f>IF(ISBLANK(AH109),"",IFERROR(((AI109-SUMIFS(Transactions!I:I,Transactions!H:H,"Crypto Interest",Transactions!D:D,AH109))*AJ109),""))</f>
        <v/>
      </c>
      <c r="AP109" s="96" t="str">
        <f t="shared" si="16"/>
        <v/>
      </c>
      <c r="AQ109" s="50" t="str">
        <f t="shared" si="17"/>
        <v/>
      </c>
      <c r="AR109" s="96" t="str">
        <f t="shared" si="18"/>
        <v/>
      </c>
      <c r="AS109" s="96" t="str">
        <f>IF(ISBLANK(AH109),"",SUMIFS(Transactions!$X$3:$X149,Transactions!$H$3:$H149,"Sell",Transactions!$D$3:$D149,AH109))</f>
        <v/>
      </c>
      <c r="AT109" s="96" t="str">
        <f t="shared" si="19"/>
        <v/>
      </c>
      <c r="AU109" s="50" t="str">
        <f>IFERROR(__xludf.DUMMYFUNCTION("IF(ISBLANK(AH109),"""",IFERROR((GOOGLEFINANCE(AH109,""price"")/INDEX(GOOGLEFINANCE(AH109,""price"",DATEVALUE(TODAY()-$AU$2) ),2,2)-1),""""))"),"")</f>
        <v/>
      </c>
      <c r="AW109" s="50" t="str">
        <f>IFERROR(__xludf.DUMMYFUNCTION("IF(ISBLANK(AH109),"""",IFERROR((GOOGLEFINANCE($AW$2,""price"")/INDEX(GOOGLEFINANCE($AW$2,""price"",DATEVALUE(TODAY()-$AU$2) ),2,2)-1),""""))"),"")</f>
        <v/>
      </c>
      <c r="AY109" s="50" t="str">
        <f t="shared" si="20"/>
        <v/>
      </c>
      <c r="AZ109" s="50" t="str">
        <f t="shared" si="21"/>
        <v/>
      </c>
      <c r="BA109" s="50" t="str">
        <f t="shared" si="22"/>
        <v/>
      </c>
      <c r="BB109" s="14" t="str">
        <f t="shared" si="23"/>
        <v/>
      </c>
      <c r="BC109" s="14" t="str">
        <f>IF(ISBLANK(AH109),"",IFERROR(VLOOKUP(AH109,Transactions!D:F,3,0)))</f>
        <v/>
      </c>
      <c r="BD109" s="50" t="str">
        <f t="shared" si="24"/>
        <v/>
      </c>
      <c r="BE109" s="50" t="str">
        <f t="shared" si="25"/>
        <v/>
      </c>
      <c r="BF109" s="14" t="str">
        <f t="shared" si="26"/>
        <v/>
      </c>
      <c r="BG109" s="180" t="str">
        <f>IF(ISBLANK(AH109),"",IFERROR(VLOOKUP(AH109,Transactions!D:G,4,0)))</f>
        <v/>
      </c>
    </row>
    <row r="110">
      <c r="A110" s="14" t="str">
        <f t="shared" ref="A110:C110" si="133">AG110</f>
        <v/>
      </c>
      <c r="B110" s="14" t="str">
        <f t="shared" si="133"/>
        <v/>
      </c>
      <c r="C110" s="175" t="str">
        <f t="shared" si="133"/>
        <v/>
      </c>
      <c r="D110" s="176" t="str">
        <f>IFERROR(__xludf.DUMMYFUNCTION("IF(ISBLANK(B110),"""",IFERROR(IF(OR(AF110=""GPB"",AF110=""ZAR""),IF(AF110=Dashboard!$L$1,AJ110,(AJ110*GOOGLEFINANCE(""CURRENCY:""&amp;AF110&amp;""""&amp;Dashboard!$L$1&amp;""""))/100),IF(AF110=Dashboard!$L$1,AJ110,AJ110*GOOGLEFINANCE(""CURRENCY:""&amp;AF110&amp;""""&amp;Dashboard!$L"&amp;"$1&amp;""""))),AJ110))"),"")</f>
        <v/>
      </c>
      <c r="E110" s="177" t="str">
        <f>IFERROR(__xludf.DUMMYFUNCTION("IFERROR(IF(OR(AF110=""GBP"",AF110=""ZAR""),IF(B110="""","""",IF(AF110=Dashboard!$L$1,AK110,AK110*GOOGLEFINANCE(""CURRENCY:""&amp;AF110&amp;""""&amp;Dashboard!$L$1&amp;"""")))/100,If(B110="""","""",IF(AF110=Dashboard!$L$1,AK110,AK110*GOOGLEFINANCE(""CURRENCY:""&amp;AF110&amp;"""""&amp;"&amp;Dashboard!$L$1&amp;"""")))),AK110)"),"")</f>
        <v/>
      </c>
      <c r="F110" s="145" t="str">
        <f t="shared" si="65"/>
        <v/>
      </c>
      <c r="G110" s="96" t="str">
        <f>IFERROR(__xludf.DUMMYFUNCTION("IF(ISBLANK(B110),"""",IFERROR(SPARKLINE(INDEX(GOOGLEFINANCE(B110,""price"",TODAY()-$G$2,TODAY()),,2),{""charttype"",""column"";""color"",""17a7e0""}),""""))"),"")</f>
        <v/>
      </c>
      <c r="H110" s="50" t="str">
        <f t="shared" si="3"/>
        <v/>
      </c>
      <c r="I110" s="96" t="str">
        <f>IFERROR(__xludf.DUMMYFUNCTION("IF(ISBLANK(B110),"""",IFERROR(IF(OR(AF110=""GPB"",AF110=""ZAR""),IF(AF110=Dashboard!$L$1,AN110,(AN110*GOOGLEFINANCE(""CURRENCY:""&amp;AF110&amp;""""&amp;Dashboard!$L$1&amp;""""))/100),IF(AF110=Dashboard!$L$1,AN110,AN110*GOOGLEFINANCE(""CURRENCY:""&amp;AF110&amp;""""&amp;Dashboard!$L"&amp;"$1&amp;""""))),AN110))"),"")</f>
        <v/>
      </c>
      <c r="J110" s="178" t="str">
        <f>IF(ISBLANK(B110),"",IFERROR(((C110-SUMIFS(Transactions!I:I,Transactions!H:H,"Crypto Interest",Transactions!D:D,B110))*D110),""))</f>
        <v/>
      </c>
      <c r="K110" s="178" t="str">
        <f t="shared" si="4"/>
        <v/>
      </c>
      <c r="L110" s="145">
        <f>IF(ISBLANK(AF110),"",SUMIFS(Transactions!$M$3:$M149,Transactions!$H$3:$H149,"Buy",Transactions!$D$3:$D149,AF110))</f>
        <v>0</v>
      </c>
      <c r="M110" s="145">
        <f>IF(ISBLANK(AG110),"",SUMIFS(Transactions!$M$3:$M149,Transactions!$H$3:$H149,"Dividend",Transactions!$D$3:$D149,AG110))</f>
        <v>0</v>
      </c>
      <c r="N110" s="145" t="str">
        <f>IF(ISBLANK(AH110),"",SUMIFS(Transactions!$M$3:$M149,Transactions!$H$3:$H149,"Sell",Transactions!$D$3:$D149,AH110))</f>
        <v/>
      </c>
      <c r="O110" s="50" t="str">
        <f t="shared" si="5"/>
        <v/>
      </c>
      <c r="P110" s="178" t="str">
        <f t="shared" si="6"/>
        <v/>
      </c>
      <c r="Q110" s="178" t="str">
        <f>IFERROR(__xludf.DUMMYFUNCTION("IF(ISBLANK(B110),"""",IFERROR(IF(OR(AF110=""GPB"",AF110=""ZAR""),IF(AF110=Dashboard!$L$1,AS110,(AS110*GOOGLEFINANCE(""CURRENCY:""&amp;AF110&amp;""""&amp;Dashboard!$L$1&amp;""""))/100),IF(AF110=Dashboard!$L$1,AS110,AS110*GOOGLEFINANCE(""CURRENCY:""&amp;AF110&amp;""""&amp;Dashboard!$L"&amp;"$1&amp;""""))),AS110))"),"")</f>
        <v/>
      </c>
      <c r="R110" s="178" t="str">
        <f t="shared" si="7"/>
        <v/>
      </c>
      <c r="S110" s="50" t="str">
        <f>IFERROR(__xludf.DUMMYFUNCTION("IF(ISBLANK(B110),"""",IFERROR((GOOGLEFINANCE(B110,""price"")/INDEX(GOOGLEFINANCE(B110,""price"",DATEVALUE(TODAY()-$S$2) ),2,2)-1),""""))"),"")</f>
        <v/>
      </c>
      <c r="U110" s="50" t="str">
        <f>IFERROR(__xludf.DUMMYFUNCTION("IF(ISBLANK(B110),"""",IFERROR((GOOGLEFINANCE($U$2,""price"")/INDEX(GOOGLEFINANCE($U$2,""price"",DATEVALUE(TODAY()-$S$2) ),2,2)-1),""""))"),"")</f>
        <v/>
      </c>
      <c r="W110" s="50" t="str">
        <f t="shared" si="8"/>
        <v/>
      </c>
      <c r="X110" s="50" t="str">
        <f t="shared" si="9"/>
        <v/>
      </c>
      <c r="Y110" s="50"/>
      <c r="Z110" s="50" t="str">
        <f t="shared" si="10"/>
        <v/>
      </c>
      <c r="AA110" s="14" t="str">
        <f t="shared" si="11"/>
        <v/>
      </c>
      <c r="AB110" s="50" t="str">
        <f t="shared" si="12"/>
        <v/>
      </c>
      <c r="AC110" s="179" t="str">
        <f t="shared" si="13"/>
        <v/>
      </c>
      <c r="AD110" s="50" t="str">
        <f t="shared" si="14"/>
        <v/>
      </c>
      <c r="AE110" s="180" t="str">
        <f t="shared" si="15"/>
        <v/>
      </c>
      <c r="AF110" s="14" t="str">
        <f t="array" ref="AF110">IFERROR(IF(ISBLANK(AH110),"",IF(VLOOKUP(AH110,Transactions!D:F,3,0)="Stablecoin",AH110,INDEX(Transactions!$B$3:$B149,MATCH(AH110,Transactions!$D$3:$D149,0),0))))</f>
        <v/>
      </c>
      <c r="AG110" s="14" t="str">
        <f>IF(ISBLANK(AH110),"",VLOOKUP(AH110,Transactions!D:E,2,0))</f>
        <v/>
      </c>
      <c r="AH110" s="14"/>
      <c r="AI110" s="146" t="str">
        <f>IF(ISBLANK(AH110),"",IF(
SUMIFS(Transactions!$I$3:$I149,Transactions!$H$3:$H149,"Buy",Transactions!$F$3:$F149,"Stock",Transactions!$D$3:$D149,AH110)
+SUMIFS(Transactions!$I$3:$I149,Transactions!$H$3:$H149,"DRIP",Transactions!$F$3:$F149,"Stock",Transactions!$D$3:$D149,AH110)
+SUMIFS(Transactions!$I$3:$I149,Transactions!$H$3:$H149,"Transfer Deposit",Transactions!$F$3:$F149,"Stock",Transactions!$D$3:$D149,AH110)
+SUMIFS(Transactions!$I$3:$I149,Transactions!$H$3:$H149,"Buy",Transactions!$F$3:$F149,"ETF",Transactions!$D$3:$D149,AH110)
+SUMIFS(Transactions!$I$3:$I149,Transactions!$H$3:$H149,"DRIP",Transactions!$F$3:$F149,"ETF",Transactions!$D$3:$D149,AH110)
+SUMIFS(Transactions!$I$3:$I149,Transactions!$H$3:$H149,"Transfer Deposit",Transactions!$F$3:$F149,"ETF",Transactions!$D$3:$D149,AH110)
+SUMIFS(Transactions!$I$3:$I149,Transactions!$H$3:$H149,"Buy",Transactions!$F$3:$F149,"Commodity",Transactions!$D$3:$D149,AH110)
+SUMIFS(Transactions!$I$3:$I149,Transactions!$H$3:$H149,"DRIP",Transactions!$F$3:$F149,"Commodity",Transactions!$D$3:$D149,AH110)
+SUMIFS(Transactions!$I$3:$I149,Transactions!$H$3:$H149,"Transfer Deposit",Transactions!$F$3:$F149,"Commodity",Transactions!$D$3:$D149,AH110)
+SUMIFS(Transactions!$I$3:$I149,Transactions!$H$3:$H149,"Buy",Transactions!$F$3:$F149,"Managed Fund",Transactions!$D$3:$D149,AH110)
+SUMIFS(Transactions!$I$3:$I149,Transactions!$H$3:$H149,"DRIP",Transactions!$F$3:$F149,"Managed Fund",Transactions!$D$3:$D149,AH110)
+SUMIFS(Transactions!$I$3:$I149,Transactions!$H$3:$H149,"Transfer Deposit",Transactions!$F$3:$F149,"Managed Fund",Transactions!$D$3:$D149,AH110)
+SUMIFS(Transactions!$I$3:$I149,Transactions!$H$3:$H149,"Buy",Transactions!$F$3:$F149,"REIT",Transactions!$D$3:$D149,AH110)
+SUMIFS(Transactions!$I$3:$I149,Transactions!$H$3:$H149,"DRIP",Transactions!$F$3:$F149,"REIT",Transactions!$D$3:$D149,AH110)
+SUMIFS(Transactions!$I$3:$I149,Transactions!$H$3:$H149,"Transfer Deposit",Transactions!$F$3:$F149,"REIT",Transactions!$D$3:$D149,AH110)
-SUMIFS(Transactions!$I$3:$I149,Transactions!$H$3:$H149,"Sell",Transactions!$F$3:$F149,"Stock",Transactions!$D$3:$D149,AH110)
-SUMIFS(Transactions!$I$3:$I149,Transactions!$H$3:$H149,"Transfer Send",Transactions!$F$3:$F149,"Stock",Transactions!$D$3:$D149,AH110)
-SUMIFS(Transactions!$I$3:$I149,Transactions!$H$3:$H149,"Sell",Transactions!$F$3:$F149,"ETF",Transactions!$D$3:$D149,AH110)
-SUMIFS(Transactions!$I$3:$I149,Transactions!$H$3:$H149,"Transfer Send",Transactions!$F$3:$F149,"ETF",Transactions!$D$3:$D149,AH110)
-SUMIFS(Transactions!$I$3:$I149,Transactions!$H$3:$H149,"Sell",Transactions!$F$3:$F149,"Commodity",Transactions!$D$3:$D149,AH110)
-SUMIFS(Transactions!$I$3:$I149,Transactions!$H$3:$H149,"Transfer Send",Transactions!$F$3:$F149,"Commodity",Transactions!$D$3:$D149,AH110)
-SUMIFS(Transactions!$I$3:$I149,Transactions!$H$3:$H149,"Sell",Transactions!$F$3:$F149,"Managed Fund",Transactions!$D$3:$D149,AH110)
-SUMIFS(Transactions!$I$3:$I149,Transactions!$H$3:$H149,"Transfer Send",Transactions!$F$3:$F149,"Managed Fund",Transactions!$D$3:$D149,AH110)
-SUMIFS(Transactions!$I$3:$I149,Transactions!$H$3:$H149,"Sell",Transactions!$F$3:$F149,"REIT",Transactions!$D$3:$D149,AH110)
-SUMIFS(Transactions!$I$3:$I149,Transactions!$H$3:$H149,"Transfer Send",Transactions!$F$3:$F149,"REIT",Transactions!$D$3:$D149,AH110)
+SUMIFS(Transactions!$I$3:$I149,Transactions!$H$3:$H149,"Buy",Transactions!$F$3:$F149,"Crypto",Transactions!$D$3:$D149,AH110)
+SUMIFS(Transactions!$I$3:$I149,Transactions!$H$3:$H149,"Crypto Interest",Transactions!$F$3:$F149,"Crypto",Transactions!$D$3:$D149,AH110)
+SUMIFS(Transactions!$I$3:$I149,Transactions!$H$3:$H149,"Transfer Deposit",Transactions!$F$3:$F149,"Crypto",Transactions!$D$3:$D149,AH110)
-SUMIFS(Transactions!$I$3:$I149,Transactions!$H$3:$H149,"Transfer Send",Transactions!$F$3:$F149,"Crypto",Transactions!$D$3:$D149,AH110)
-SUMIFS(Transactions!$I$3:$I149,Transactions!$H$3:$H149,"Sell",Transactions!$F$3:$F149,"Crypto",Transactions!$D$3:$D149,AH110)
+SUMIFS(Transactions!$I$3:$I149,Transactions!$H$3:$H149,"Buy",Transactions!$F$3:$F149,"Stablecoin",Transactions!$D$3:$D149,AH110)
+SUMIFS(Transactions!$I$3:$I149,Transactions!$H$3:$H149,"Crypto Interest",Transactions!$F$3:$F149,"Stablecoin",Transactions!$D$3:$D149,AH110)
+SUMIFS(Transactions!$I$3:$I149,Transactions!$H$3:$H149,"Transfer Deposit",Transactions!$F$3:$F149,"Stablecoin",Transactions!$D$3:$D149,AH110)
-SUMIFS(Transactions!$I$3:$I149,Transactions!$H$3:$H149,"Transfer Send",Transactions!$F$3:$F149,"Stablecoin",Transactions!$D$3:$D149,AH110)
-SUMIFS(Transactions!$I$3:$I149,Transactions!$H$3:$H149,"Sell",Transactions!$F$3:$F149,"Stablecoin",Transactions!$D$3:$D149,AH110)
-SUMIFS(Transactions!$M$3:$M149,Transactions!$H$3:$H149,"Buy",Transactions!$B$3:$B149,AH110)=0,"Sold All",
SUMIFS(Transactions!$I$3:$I149,Transactions!$H$3:$H149,"Buy",Transactions!$F$3:$F149,"Stock",Transactions!$D$3:$D149,AH110)
+SUMIFS(Transactions!$I$3:$I149,Transactions!$H$3:$H149,"DRIP",Transactions!$F$3:$F149,"Stock",Transactions!$D$3:$D149,AH110)
+SUMIFS(Transactions!$I$3:$I149,Transactions!$H$3:$H149,"Transfer Deposit",Transactions!$F$3:$F149,"Stock",Transactions!$D$3:$D149,AH110)
+SUMIFS(Transactions!$I$3:$I149,Transactions!$H$3:$H149,"Buy",Transactions!$F$3:$F149,"ETF",Transactions!$D$3:$D149,AH110)
+SUMIFS(Transactions!$I$3:$I149,Transactions!$H$3:$H149,"DRIP",Transactions!$F$3:$F149,"ETF",Transactions!$D$3:$D149,AH110)
+SUMIFS(Transactions!$I$3:$I149,Transactions!$H$3:$H149,"Transfer Deposit",Transactions!$F$3:$F149,"ETF",Transactions!$D$3:$D149,AH110)
+SUMIFS(Transactions!$I$3:$I149,Transactions!$H$3:$H149,"Buy",Transactions!$F$3:$F149,"Commodity",Transactions!$D$3:$D149,AH110)
+SUMIFS(Transactions!$I$3:$I149,Transactions!$H$3:$H149,"DRIP",Transactions!$F$3:$F149,"Commodity",Transactions!$D$3:$D149,AH110)
+SUMIFS(Transactions!$I$3:$I149,Transactions!$H$3:$H149,"Transfer Deposit",Transactions!$F$3:$F149,"Commodity",Transactions!$D$3:$D149,AH110)
+SUMIFS(Transactions!$I$3:$I149,Transactions!$H$3:$H149,"Buy",Transactions!$F$3:$F149,"Managed Fund",Transactions!$D$3:$D149,AH110)
+SUMIFS(Transactions!$I$3:$I149,Transactions!$H$3:$H149,"DRIP",Transactions!$F$3:$F149,"Managed Fund",Transactions!$D$3:$D149,AH110)
+SUMIFS(Transactions!$I$3:$I149,Transactions!$H$3:$H149,"Transfer Deposit",Transactions!$F$3:$F149,"Managed Fund",Transactions!$D$3:$D149,AH110)
+SUMIFS(Transactions!$I$3:$I149,Transactions!$H$3:$H149,"Buy",Transactions!$F$3:$F149,"REIT",Transactions!$D$3:$D149,AH110)
+SUMIFS(Transactions!$I$3:$I149,Transactions!$H$3:$H149,"DRIP",Transactions!$F$3:$F149,"REIT",Transactions!$D$3:$D149,AH110)
+SUMIFS(Transactions!$I$3:$I149,Transactions!$H$3:$H149,"Transfer Deposit",Transactions!$F$3:$F149,"REIT",Transactions!$D$3:$D149,AH110)
-SUMIFS(Transactions!$I$3:$I149,Transactions!$H$3:$H149,"Sell",Transactions!$F$3:$F149,"Stock",Transactions!$D$3:$D149,AH110)
-SUMIFS(Transactions!$I$3:$I149,Transactions!$H$3:$H149,"Transfer Send",Transactions!$F$3:$F149,"Stock",Transactions!$D$3:$D149,AH110)
-SUMIFS(Transactions!$I$3:$I149,Transactions!$H$3:$H149,"Sell",Transactions!$F$3:$F149,"ETF",Transactions!$D$3:$D149,AH110)
-SUMIFS(Transactions!$I$3:$I149,Transactions!$H$3:$H149,"Transfer Send",Transactions!$F$3:$F149,"ETF",Transactions!$D$3:$D149,AH110)
-SUMIFS(Transactions!$I$3:$I149,Transactions!$H$3:$H149,"Sell",Transactions!$F$3:$F149,"Commodity",Transactions!$D$3:$D149,AH110)
-SUMIFS(Transactions!$I$3:$I149,Transactions!$H$3:$H149,"Transfer Send",Transactions!$F$3:$F149,"Commodity",Transactions!$D$3:$D149,AH110)
-SUMIFS(Transactions!$I$3:$I149,Transactions!$H$3:$H149,"Sell",Transactions!$F$3:$F149,"Managed Fund",Transactions!$D$3:$D149,AH110)
-SUMIFS(Transactions!$I$3:$I149,Transactions!$H$3:$H149,"Transfer Send",Transactions!$F$3:$F149,"Managed Fund",Transactions!$D$3:$D149,AH110)
-SUMIFS(Transactions!$I$3:$I149,Transactions!$H$3:$H149,"Sell",Transactions!$F$3:$F149,"REIT",Transactions!$D$3:$D149,AH110)
-SUMIFS(Transactions!$I$3:$I149,Transactions!$H$3:$H149,"Transfer Send",Transactions!$F$3:$F149,"REIT",Transactions!$D$3:$D149,AH110)
+SUMIFS(Transactions!$I$3:$I149,Transactions!$H$3:$H149,"Buy",Transactions!$F$3:$F149,"Crypto",Transactions!$D$3:$D149,AH110)
+SUMIFS(Transactions!$I$3:$I149,Transactions!$H$3:$H149,"Crypto Interest",Transactions!$F$3:$F149,"Crypto",Transactions!$D$3:$D149,AH110)
+SUMIFS(Transactions!$I$3:$I149,Transactions!$H$3:$H149,"Transfer Deposit",Transactions!$F$3:$F149,"Crypto",Transactions!$D$3:$D149,AH110)
-SUMIFS(Transactions!$I$3:$I149,Transactions!$H$3:$H149,"Transfer Send",Transactions!$F$3:$F149,"Crypto",Transactions!$D$3:$D149,AH110)
-SUMIFS(Transactions!$I$3:$I149,Transactions!$H$3:$H149,"Sell",Transactions!$F$3:$F149,"Crypto",Transactions!$D$3:$D149,AH110)
+SUMIFS(Transactions!$I$3:$I149,Transactions!$H$3:$H149,"Buy",Transactions!$F$3:$F149,"Stablecoin",Transactions!$D$3:$D149,AH110)
+SUMIFS(Transactions!$I$3:$I149,Transactions!$H$3:$H149,"Crypto Interest",Transactions!$F$3:$F149,"Stablecoin",Transactions!$D$3:$D149,AH110)
+SUMIFS(Transactions!$I$3:$I149,Transactions!$H$3:$H149,"Transfer Deposit",Transactions!$F$3:$F149,"Stablecoin",Transactions!$D$3:$D149,AH110)
-SUMIFS(Transactions!$I$3:$I149,Transactions!$H$3:$H149,"Transfer Send",Transactions!$F$3:$F149,"Stablecoin",Transactions!$D$3:$D149,AH110)
-SUMIFS(Transactions!$I$3:$I149,Transactions!$H$3:$H149,"Sell",Transactions!$F$3:$F149,"Stablecoin",Transactions!$D$3:$D149,AH110)
-SUMIFS(Transactions!$M$3:$M149,Transactions!$H$3:$H149,"Buy",Transactions!$B$3:$B149,AH110)))</f>
        <v/>
      </c>
      <c r="AJ110" s="181" t="str">
        <f>IFERROR(__xludf.DUMMYFUNCTION("IF(ISBLANK(AH110),"""",VLOOKUP(9^99,FILTER({ROW(Transactions!P:P),Transactions!P:P},Transactions!D:D=AH110),2))"),"")</f>
        <v/>
      </c>
      <c r="AK110" s="181" t="str">
        <f>IFERROR(__xludf.DUMMYFUNCTION("IF(ISBLANK(AH110),"""",IFERROR(GOOGLEFINANCE(AH110,""price""),IFERROR(GOOGLEFINANCE(""CURRENCY:""&amp;AH110&amp;""""),IFERROR(INDEX(YAHOO_STOCK(TRIM(AH110), $G$2),0,1),INDEX(IMPORTHTML(CONCAT(""https://coinmarketcap.com/currencies/"",AG110),""table"",1),1,2)))))"),"")</f>
        <v/>
      </c>
      <c r="AL110" s="14" t="str">
        <f>IFERROR(__xludf.DUMMYFUNCTION("IF(ISBLANK(AH110),"""",IFERROR(SPARKLINE(INDEX(GOOGLEFINANCE(AH110,""price"",TODAY()-$AL$2,TODAY()),,2),{""charttype"",""column"";""color"",""17a7e0""}),""""))"),"")</f>
        <v/>
      </c>
      <c r="AM110" s="50" t="str">
        <f>IFERROR(__xludf.DUMMYFUNCTION("IFNA(IFERROR(IF(AH110="""","""",GOOGLEFINANCE(AH110,""changepct"")/100),(GOOGLEFINANCE(AH110)-(INDEX(GOOGLEFINANCE(""CURRENCY:""&amp;AH110&amp;"""",""price"",TODAY()-1),2,2)))/(INDEX(GOOGLEFINANCE(""CURRENCY:""&amp;AH110&amp;"""",""price"",TODAY()-1),2,2))),)"),"")</f>
        <v/>
      </c>
      <c r="AN110" s="96" t="str">
        <f>IFERROR(__xludf.DUMMYFUNCTION("IFNA(IFERROR(IF(AH110="""","""",GOOGLEFINANCE(AH110,""change"")*AI110),(GOOGLEFINANCE(AH110)-(INDEX(GOOGLEFINANCE(""CURRENCY:""&amp;AH110&amp;"""",""price"",TODAY()-1),2,2)))*AI110),"""")"),"")</f>
        <v/>
      </c>
      <c r="AO110" s="96" t="str">
        <f>IF(ISBLANK(AH110),"",IFERROR(((AI110-SUMIFS(Transactions!I:I,Transactions!H:H,"Crypto Interest",Transactions!D:D,AH110))*AJ110),""))</f>
        <v/>
      </c>
      <c r="AP110" s="96" t="str">
        <f t="shared" si="16"/>
        <v/>
      </c>
      <c r="AQ110" s="50" t="str">
        <f t="shared" si="17"/>
        <v/>
      </c>
      <c r="AR110" s="96" t="str">
        <f t="shared" si="18"/>
        <v/>
      </c>
      <c r="AS110" s="96" t="str">
        <f>IF(ISBLANK(AH110),"",SUMIFS(Transactions!$X$3:$X149,Transactions!$H$3:$H149,"Sell",Transactions!$D$3:$D149,AH110))</f>
        <v/>
      </c>
      <c r="AT110" s="96" t="str">
        <f t="shared" si="19"/>
        <v/>
      </c>
      <c r="AU110" s="50" t="str">
        <f>IFERROR(__xludf.DUMMYFUNCTION("IF(ISBLANK(AH110),"""",IFERROR((GOOGLEFINANCE(AH110,""price"")/INDEX(GOOGLEFINANCE(AH110,""price"",DATEVALUE(TODAY()-$AU$2) ),2,2)-1),""""))"),"")</f>
        <v/>
      </c>
      <c r="AW110" s="50" t="str">
        <f>IFERROR(__xludf.DUMMYFUNCTION("IF(ISBLANK(AH110),"""",IFERROR((GOOGLEFINANCE($AW$2,""price"")/INDEX(GOOGLEFINANCE($AW$2,""price"",DATEVALUE(TODAY()-$AU$2) ),2,2)-1),""""))"),"")</f>
        <v/>
      </c>
      <c r="AY110" s="50" t="str">
        <f t="shared" si="20"/>
        <v/>
      </c>
      <c r="AZ110" s="50" t="str">
        <f t="shared" si="21"/>
        <v/>
      </c>
      <c r="BA110" s="50" t="str">
        <f t="shared" si="22"/>
        <v/>
      </c>
      <c r="BB110" s="14" t="str">
        <f t="shared" si="23"/>
        <v/>
      </c>
      <c r="BC110" s="14" t="str">
        <f>IF(ISBLANK(AH110),"",IFERROR(VLOOKUP(AH110,Transactions!D:F,3,0)))</f>
        <v/>
      </c>
      <c r="BD110" s="50" t="str">
        <f t="shared" si="24"/>
        <v/>
      </c>
      <c r="BE110" s="50" t="str">
        <f t="shared" si="25"/>
        <v/>
      </c>
      <c r="BF110" s="14" t="str">
        <f t="shared" si="26"/>
        <v/>
      </c>
      <c r="BG110" s="180" t="str">
        <f>IF(ISBLANK(AH110),"",IFERROR(VLOOKUP(AH110,Transactions!D:G,4,0)))</f>
        <v/>
      </c>
    </row>
    <row r="111">
      <c r="A111" s="14" t="str">
        <f t="shared" ref="A111:C111" si="134">AG111</f>
        <v/>
      </c>
      <c r="B111" s="14" t="str">
        <f t="shared" si="134"/>
        <v/>
      </c>
      <c r="C111" s="175" t="str">
        <f t="shared" si="134"/>
        <v/>
      </c>
      <c r="D111" s="176" t="str">
        <f>IFERROR(__xludf.DUMMYFUNCTION("IF(ISBLANK(B111),"""",IFERROR(IF(OR(AF111=""GPB"",AF111=""ZAR""),IF(AF111=Dashboard!$L$1,AJ111,(AJ111*GOOGLEFINANCE(""CURRENCY:""&amp;AF111&amp;""""&amp;Dashboard!$L$1&amp;""""))/100),IF(AF111=Dashboard!$L$1,AJ111,AJ111*GOOGLEFINANCE(""CURRENCY:""&amp;AF111&amp;""""&amp;Dashboard!$L"&amp;"$1&amp;""""))),AJ111))"),"")</f>
        <v/>
      </c>
      <c r="E111" s="177" t="str">
        <f>IFERROR(__xludf.DUMMYFUNCTION("IFERROR(IF(OR(AF111=""GBP"",AF111=""ZAR""),IF(B111="""","""",IF(AF111=Dashboard!$L$1,AK111,AK111*GOOGLEFINANCE(""CURRENCY:""&amp;AF111&amp;""""&amp;Dashboard!$L$1&amp;"""")))/100,If(B111="""","""",IF(AF111=Dashboard!$L$1,AK111,AK111*GOOGLEFINANCE(""CURRENCY:""&amp;AF111&amp;"""""&amp;"&amp;Dashboard!$L$1&amp;"""")))),AK111)"),"")</f>
        <v/>
      </c>
      <c r="F111" s="145" t="str">
        <f t="shared" si="65"/>
        <v/>
      </c>
      <c r="G111" s="96" t="str">
        <f>IFERROR(__xludf.DUMMYFUNCTION("IF(ISBLANK(B111),"""",IFERROR(SPARKLINE(INDEX(GOOGLEFINANCE(B111,""price"",TODAY()-$G$2,TODAY()),,2),{""charttype"",""column"";""color"",""17a7e0""}),""""))"),"")</f>
        <v/>
      </c>
      <c r="H111" s="50" t="str">
        <f t="shared" si="3"/>
        <v/>
      </c>
      <c r="I111" s="96" t="str">
        <f>IFERROR(__xludf.DUMMYFUNCTION("IF(ISBLANK(B111),"""",IFERROR(IF(OR(AF111=""GPB"",AF111=""ZAR""),IF(AF111=Dashboard!$L$1,AN111,(AN111*GOOGLEFINANCE(""CURRENCY:""&amp;AF111&amp;""""&amp;Dashboard!$L$1&amp;""""))/100),IF(AF111=Dashboard!$L$1,AN111,AN111*GOOGLEFINANCE(""CURRENCY:""&amp;AF111&amp;""""&amp;Dashboard!$L"&amp;"$1&amp;""""))),AN111))"),"")</f>
        <v/>
      </c>
      <c r="J111" s="178" t="str">
        <f>IF(ISBLANK(B111),"",IFERROR(((C111-SUMIFS(Transactions!I:I,Transactions!H:H,"Crypto Interest",Transactions!D:D,B111))*D111),""))</f>
        <v/>
      </c>
      <c r="K111" s="178" t="str">
        <f t="shared" si="4"/>
        <v/>
      </c>
      <c r="L111" s="145">
        <f>IF(ISBLANK(AF111),"",SUMIFS(Transactions!$M$3:$M149,Transactions!$H$3:$H149,"Buy",Transactions!$D$3:$D149,AF111))</f>
        <v>0</v>
      </c>
      <c r="M111" s="145">
        <f>IF(ISBLANK(AG111),"",SUMIFS(Transactions!$M$3:$M149,Transactions!$H$3:$H149,"Dividend",Transactions!$D$3:$D149,AG111))</f>
        <v>0</v>
      </c>
      <c r="N111" s="145" t="str">
        <f>IF(ISBLANK(AH111),"",SUMIFS(Transactions!$M$3:$M149,Transactions!$H$3:$H149,"Sell",Transactions!$D$3:$D149,AH111))</f>
        <v/>
      </c>
      <c r="O111" s="50" t="str">
        <f t="shared" si="5"/>
        <v/>
      </c>
      <c r="P111" s="178" t="str">
        <f t="shared" si="6"/>
        <v/>
      </c>
      <c r="Q111" s="178" t="str">
        <f>IFERROR(__xludf.DUMMYFUNCTION("IF(ISBLANK(B111),"""",IFERROR(IF(OR(AF111=""GPB"",AF111=""ZAR""),IF(AF111=Dashboard!$L$1,AS111,(AS111*GOOGLEFINANCE(""CURRENCY:""&amp;AF111&amp;""""&amp;Dashboard!$L$1&amp;""""))/100),IF(AF111=Dashboard!$L$1,AS111,AS111*GOOGLEFINANCE(""CURRENCY:""&amp;AF111&amp;""""&amp;Dashboard!$L"&amp;"$1&amp;""""))),AS111))"),"")</f>
        <v/>
      </c>
      <c r="R111" s="178" t="str">
        <f t="shared" si="7"/>
        <v/>
      </c>
      <c r="S111" s="50" t="str">
        <f>IFERROR(__xludf.DUMMYFUNCTION("IF(ISBLANK(B111),"""",IFERROR((GOOGLEFINANCE(B111,""price"")/INDEX(GOOGLEFINANCE(B111,""price"",DATEVALUE(TODAY()-$S$2) ),2,2)-1),""""))"),"")</f>
        <v/>
      </c>
      <c r="U111" s="50" t="str">
        <f>IFERROR(__xludf.DUMMYFUNCTION("IF(ISBLANK(B111),"""",IFERROR((GOOGLEFINANCE($U$2,""price"")/INDEX(GOOGLEFINANCE($U$2,""price"",DATEVALUE(TODAY()-$S$2) ),2,2)-1),""""))"),"")</f>
        <v/>
      </c>
      <c r="W111" s="50" t="str">
        <f t="shared" si="8"/>
        <v/>
      </c>
      <c r="X111" s="50" t="str">
        <f t="shared" si="9"/>
        <v/>
      </c>
      <c r="Y111" s="50"/>
      <c r="Z111" s="50" t="str">
        <f t="shared" si="10"/>
        <v/>
      </c>
      <c r="AA111" s="14" t="str">
        <f t="shared" si="11"/>
        <v/>
      </c>
      <c r="AB111" s="50" t="str">
        <f t="shared" si="12"/>
        <v/>
      </c>
      <c r="AC111" s="179" t="str">
        <f t="shared" si="13"/>
        <v/>
      </c>
      <c r="AD111" s="50" t="str">
        <f t="shared" si="14"/>
        <v/>
      </c>
      <c r="AE111" s="180" t="str">
        <f t="shared" si="15"/>
        <v/>
      </c>
      <c r="AF111" s="14" t="str">
        <f t="array" ref="AF111">IFERROR(IF(ISBLANK(AH111),"",IF(VLOOKUP(AH111,Transactions!D:F,3,0)="Stablecoin",AH111,INDEX(Transactions!$B$3:$B149,MATCH(AH111,Transactions!$D$3:$D149,0),0))))</f>
        <v/>
      </c>
      <c r="AG111" s="14" t="str">
        <f>IF(ISBLANK(AH111),"",VLOOKUP(AH111,Transactions!D:E,2,0))</f>
        <v/>
      </c>
      <c r="AH111" s="14"/>
      <c r="AI111" s="146" t="str">
        <f>IF(ISBLANK(AH111),"",IF(
SUMIFS(Transactions!$I$3:$I149,Transactions!$H$3:$H149,"Buy",Transactions!$F$3:$F149,"Stock",Transactions!$D$3:$D149,AH111)
+SUMIFS(Transactions!$I$3:$I149,Transactions!$H$3:$H149,"DRIP",Transactions!$F$3:$F149,"Stock",Transactions!$D$3:$D149,AH111)
+SUMIFS(Transactions!$I$3:$I149,Transactions!$H$3:$H149,"Transfer Deposit",Transactions!$F$3:$F149,"Stock",Transactions!$D$3:$D149,AH111)
+SUMIFS(Transactions!$I$3:$I149,Transactions!$H$3:$H149,"Buy",Transactions!$F$3:$F149,"ETF",Transactions!$D$3:$D149,AH111)
+SUMIFS(Transactions!$I$3:$I149,Transactions!$H$3:$H149,"DRIP",Transactions!$F$3:$F149,"ETF",Transactions!$D$3:$D149,AH111)
+SUMIFS(Transactions!$I$3:$I149,Transactions!$H$3:$H149,"Transfer Deposit",Transactions!$F$3:$F149,"ETF",Transactions!$D$3:$D149,AH111)
+SUMIFS(Transactions!$I$3:$I149,Transactions!$H$3:$H149,"Buy",Transactions!$F$3:$F149,"Commodity",Transactions!$D$3:$D149,AH111)
+SUMIFS(Transactions!$I$3:$I149,Transactions!$H$3:$H149,"DRIP",Transactions!$F$3:$F149,"Commodity",Transactions!$D$3:$D149,AH111)
+SUMIFS(Transactions!$I$3:$I149,Transactions!$H$3:$H149,"Transfer Deposit",Transactions!$F$3:$F149,"Commodity",Transactions!$D$3:$D149,AH111)
+SUMIFS(Transactions!$I$3:$I149,Transactions!$H$3:$H149,"Buy",Transactions!$F$3:$F149,"Managed Fund",Transactions!$D$3:$D149,AH111)
+SUMIFS(Transactions!$I$3:$I149,Transactions!$H$3:$H149,"DRIP",Transactions!$F$3:$F149,"Managed Fund",Transactions!$D$3:$D149,AH111)
+SUMIFS(Transactions!$I$3:$I149,Transactions!$H$3:$H149,"Transfer Deposit",Transactions!$F$3:$F149,"Managed Fund",Transactions!$D$3:$D149,AH111)
+SUMIFS(Transactions!$I$3:$I149,Transactions!$H$3:$H149,"Buy",Transactions!$F$3:$F149,"REIT",Transactions!$D$3:$D149,AH111)
+SUMIFS(Transactions!$I$3:$I149,Transactions!$H$3:$H149,"DRIP",Transactions!$F$3:$F149,"REIT",Transactions!$D$3:$D149,AH111)
+SUMIFS(Transactions!$I$3:$I149,Transactions!$H$3:$H149,"Transfer Deposit",Transactions!$F$3:$F149,"REIT",Transactions!$D$3:$D149,AH111)
-SUMIFS(Transactions!$I$3:$I149,Transactions!$H$3:$H149,"Sell",Transactions!$F$3:$F149,"Stock",Transactions!$D$3:$D149,AH111)
-SUMIFS(Transactions!$I$3:$I149,Transactions!$H$3:$H149,"Transfer Send",Transactions!$F$3:$F149,"Stock",Transactions!$D$3:$D149,AH111)
-SUMIFS(Transactions!$I$3:$I149,Transactions!$H$3:$H149,"Sell",Transactions!$F$3:$F149,"ETF",Transactions!$D$3:$D149,AH111)
-SUMIFS(Transactions!$I$3:$I149,Transactions!$H$3:$H149,"Transfer Send",Transactions!$F$3:$F149,"ETF",Transactions!$D$3:$D149,AH111)
-SUMIFS(Transactions!$I$3:$I149,Transactions!$H$3:$H149,"Sell",Transactions!$F$3:$F149,"Commodity",Transactions!$D$3:$D149,AH111)
-SUMIFS(Transactions!$I$3:$I149,Transactions!$H$3:$H149,"Transfer Send",Transactions!$F$3:$F149,"Commodity",Transactions!$D$3:$D149,AH111)
-SUMIFS(Transactions!$I$3:$I149,Transactions!$H$3:$H149,"Sell",Transactions!$F$3:$F149,"Managed Fund",Transactions!$D$3:$D149,AH111)
-SUMIFS(Transactions!$I$3:$I149,Transactions!$H$3:$H149,"Transfer Send",Transactions!$F$3:$F149,"Managed Fund",Transactions!$D$3:$D149,AH111)
-SUMIFS(Transactions!$I$3:$I149,Transactions!$H$3:$H149,"Sell",Transactions!$F$3:$F149,"REIT",Transactions!$D$3:$D149,AH111)
-SUMIFS(Transactions!$I$3:$I149,Transactions!$H$3:$H149,"Transfer Send",Transactions!$F$3:$F149,"REIT",Transactions!$D$3:$D149,AH111)
+SUMIFS(Transactions!$I$3:$I149,Transactions!$H$3:$H149,"Buy",Transactions!$F$3:$F149,"Crypto",Transactions!$D$3:$D149,AH111)
+SUMIFS(Transactions!$I$3:$I149,Transactions!$H$3:$H149,"Crypto Interest",Transactions!$F$3:$F149,"Crypto",Transactions!$D$3:$D149,AH111)
+SUMIFS(Transactions!$I$3:$I149,Transactions!$H$3:$H149,"Transfer Deposit",Transactions!$F$3:$F149,"Crypto",Transactions!$D$3:$D149,AH111)
-SUMIFS(Transactions!$I$3:$I149,Transactions!$H$3:$H149,"Transfer Send",Transactions!$F$3:$F149,"Crypto",Transactions!$D$3:$D149,AH111)
-SUMIFS(Transactions!$I$3:$I149,Transactions!$H$3:$H149,"Sell",Transactions!$F$3:$F149,"Crypto",Transactions!$D$3:$D149,AH111)
+SUMIFS(Transactions!$I$3:$I149,Transactions!$H$3:$H149,"Buy",Transactions!$F$3:$F149,"Stablecoin",Transactions!$D$3:$D149,AH111)
+SUMIFS(Transactions!$I$3:$I149,Transactions!$H$3:$H149,"Crypto Interest",Transactions!$F$3:$F149,"Stablecoin",Transactions!$D$3:$D149,AH111)
+SUMIFS(Transactions!$I$3:$I149,Transactions!$H$3:$H149,"Transfer Deposit",Transactions!$F$3:$F149,"Stablecoin",Transactions!$D$3:$D149,AH111)
-SUMIFS(Transactions!$I$3:$I149,Transactions!$H$3:$H149,"Transfer Send",Transactions!$F$3:$F149,"Stablecoin",Transactions!$D$3:$D149,AH111)
-SUMIFS(Transactions!$I$3:$I149,Transactions!$H$3:$H149,"Sell",Transactions!$F$3:$F149,"Stablecoin",Transactions!$D$3:$D149,AH111)
-SUMIFS(Transactions!$M$3:$M149,Transactions!$H$3:$H149,"Buy",Transactions!$B$3:$B149,AH111)=0,"Sold All",
SUMIFS(Transactions!$I$3:$I149,Transactions!$H$3:$H149,"Buy",Transactions!$F$3:$F149,"Stock",Transactions!$D$3:$D149,AH111)
+SUMIFS(Transactions!$I$3:$I149,Transactions!$H$3:$H149,"DRIP",Transactions!$F$3:$F149,"Stock",Transactions!$D$3:$D149,AH111)
+SUMIFS(Transactions!$I$3:$I149,Transactions!$H$3:$H149,"Transfer Deposit",Transactions!$F$3:$F149,"Stock",Transactions!$D$3:$D149,AH111)
+SUMIFS(Transactions!$I$3:$I149,Transactions!$H$3:$H149,"Buy",Transactions!$F$3:$F149,"ETF",Transactions!$D$3:$D149,AH111)
+SUMIFS(Transactions!$I$3:$I149,Transactions!$H$3:$H149,"DRIP",Transactions!$F$3:$F149,"ETF",Transactions!$D$3:$D149,AH111)
+SUMIFS(Transactions!$I$3:$I149,Transactions!$H$3:$H149,"Transfer Deposit",Transactions!$F$3:$F149,"ETF",Transactions!$D$3:$D149,AH111)
+SUMIFS(Transactions!$I$3:$I149,Transactions!$H$3:$H149,"Buy",Transactions!$F$3:$F149,"Commodity",Transactions!$D$3:$D149,AH111)
+SUMIFS(Transactions!$I$3:$I149,Transactions!$H$3:$H149,"DRIP",Transactions!$F$3:$F149,"Commodity",Transactions!$D$3:$D149,AH111)
+SUMIFS(Transactions!$I$3:$I149,Transactions!$H$3:$H149,"Transfer Deposit",Transactions!$F$3:$F149,"Commodity",Transactions!$D$3:$D149,AH111)
+SUMIFS(Transactions!$I$3:$I149,Transactions!$H$3:$H149,"Buy",Transactions!$F$3:$F149,"Managed Fund",Transactions!$D$3:$D149,AH111)
+SUMIFS(Transactions!$I$3:$I149,Transactions!$H$3:$H149,"DRIP",Transactions!$F$3:$F149,"Managed Fund",Transactions!$D$3:$D149,AH111)
+SUMIFS(Transactions!$I$3:$I149,Transactions!$H$3:$H149,"Transfer Deposit",Transactions!$F$3:$F149,"Managed Fund",Transactions!$D$3:$D149,AH111)
+SUMIFS(Transactions!$I$3:$I149,Transactions!$H$3:$H149,"Buy",Transactions!$F$3:$F149,"REIT",Transactions!$D$3:$D149,AH111)
+SUMIFS(Transactions!$I$3:$I149,Transactions!$H$3:$H149,"DRIP",Transactions!$F$3:$F149,"REIT",Transactions!$D$3:$D149,AH111)
+SUMIFS(Transactions!$I$3:$I149,Transactions!$H$3:$H149,"Transfer Deposit",Transactions!$F$3:$F149,"REIT",Transactions!$D$3:$D149,AH111)
-SUMIFS(Transactions!$I$3:$I149,Transactions!$H$3:$H149,"Sell",Transactions!$F$3:$F149,"Stock",Transactions!$D$3:$D149,AH111)
-SUMIFS(Transactions!$I$3:$I149,Transactions!$H$3:$H149,"Transfer Send",Transactions!$F$3:$F149,"Stock",Transactions!$D$3:$D149,AH111)
-SUMIFS(Transactions!$I$3:$I149,Transactions!$H$3:$H149,"Sell",Transactions!$F$3:$F149,"ETF",Transactions!$D$3:$D149,AH111)
-SUMIFS(Transactions!$I$3:$I149,Transactions!$H$3:$H149,"Transfer Send",Transactions!$F$3:$F149,"ETF",Transactions!$D$3:$D149,AH111)
-SUMIFS(Transactions!$I$3:$I149,Transactions!$H$3:$H149,"Sell",Transactions!$F$3:$F149,"Commodity",Transactions!$D$3:$D149,AH111)
-SUMIFS(Transactions!$I$3:$I149,Transactions!$H$3:$H149,"Transfer Send",Transactions!$F$3:$F149,"Commodity",Transactions!$D$3:$D149,AH111)
-SUMIFS(Transactions!$I$3:$I149,Transactions!$H$3:$H149,"Sell",Transactions!$F$3:$F149,"Managed Fund",Transactions!$D$3:$D149,AH111)
-SUMIFS(Transactions!$I$3:$I149,Transactions!$H$3:$H149,"Transfer Send",Transactions!$F$3:$F149,"Managed Fund",Transactions!$D$3:$D149,AH111)
-SUMIFS(Transactions!$I$3:$I149,Transactions!$H$3:$H149,"Sell",Transactions!$F$3:$F149,"REIT",Transactions!$D$3:$D149,AH111)
-SUMIFS(Transactions!$I$3:$I149,Transactions!$H$3:$H149,"Transfer Send",Transactions!$F$3:$F149,"REIT",Transactions!$D$3:$D149,AH111)
+SUMIFS(Transactions!$I$3:$I149,Transactions!$H$3:$H149,"Buy",Transactions!$F$3:$F149,"Crypto",Transactions!$D$3:$D149,AH111)
+SUMIFS(Transactions!$I$3:$I149,Transactions!$H$3:$H149,"Crypto Interest",Transactions!$F$3:$F149,"Crypto",Transactions!$D$3:$D149,AH111)
+SUMIFS(Transactions!$I$3:$I149,Transactions!$H$3:$H149,"Transfer Deposit",Transactions!$F$3:$F149,"Crypto",Transactions!$D$3:$D149,AH111)
-SUMIFS(Transactions!$I$3:$I149,Transactions!$H$3:$H149,"Transfer Send",Transactions!$F$3:$F149,"Crypto",Transactions!$D$3:$D149,AH111)
-SUMIFS(Transactions!$I$3:$I149,Transactions!$H$3:$H149,"Sell",Transactions!$F$3:$F149,"Crypto",Transactions!$D$3:$D149,AH111)
+SUMIFS(Transactions!$I$3:$I149,Transactions!$H$3:$H149,"Buy",Transactions!$F$3:$F149,"Stablecoin",Transactions!$D$3:$D149,AH111)
+SUMIFS(Transactions!$I$3:$I149,Transactions!$H$3:$H149,"Crypto Interest",Transactions!$F$3:$F149,"Stablecoin",Transactions!$D$3:$D149,AH111)
+SUMIFS(Transactions!$I$3:$I149,Transactions!$H$3:$H149,"Transfer Deposit",Transactions!$F$3:$F149,"Stablecoin",Transactions!$D$3:$D149,AH111)
-SUMIFS(Transactions!$I$3:$I149,Transactions!$H$3:$H149,"Transfer Send",Transactions!$F$3:$F149,"Stablecoin",Transactions!$D$3:$D149,AH111)
-SUMIFS(Transactions!$I$3:$I149,Transactions!$H$3:$H149,"Sell",Transactions!$F$3:$F149,"Stablecoin",Transactions!$D$3:$D149,AH111)
-SUMIFS(Transactions!$M$3:$M149,Transactions!$H$3:$H149,"Buy",Transactions!$B$3:$B149,AH111)))</f>
        <v/>
      </c>
      <c r="AJ111" s="181" t="str">
        <f>IFERROR(__xludf.DUMMYFUNCTION("IF(ISBLANK(AH111),"""",VLOOKUP(9^99,FILTER({ROW(Transactions!P:P),Transactions!P:P},Transactions!D:D=AH111),2))"),"")</f>
        <v/>
      </c>
      <c r="AK111" s="181" t="str">
        <f>IFERROR(__xludf.DUMMYFUNCTION("IF(ISBLANK(AH111),"""",IFERROR(GOOGLEFINANCE(AH111,""price""),IFERROR(GOOGLEFINANCE(""CURRENCY:""&amp;AH111&amp;""""),IFERROR(INDEX(YAHOO_STOCK(TRIM(AH111), $G$2),0,1),INDEX(IMPORTHTML(CONCAT(""https://coinmarketcap.com/currencies/"",AG111),""table"",1),1,2)))))"),"")</f>
        <v/>
      </c>
      <c r="AL111" s="14" t="str">
        <f>IFERROR(__xludf.DUMMYFUNCTION("IF(ISBLANK(AH111),"""",IFERROR(SPARKLINE(INDEX(GOOGLEFINANCE(AH111,""price"",TODAY()-$AL$2,TODAY()),,2),{""charttype"",""column"";""color"",""17a7e0""}),""""))"),"")</f>
        <v/>
      </c>
      <c r="AM111" s="50" t="str">
        <f>IFERROR(__xludf.DUMMYFUNCTION("IFNA(IFERROR(IF(AH111="""","""",GOOGLEFINANCE(AH111,""changepct"")/100),(GOOGLEFINANCE(AH111)-(INDEX(GOOGLEFINANCE(""CURRENCY:""&amp;AH111&amp;"""",""price"",TODAY()-1),2,2)))/(INDEX(GOOGLEFINANCE(""CURRENCY:""&amp;AH111&amp;"""",""price"",TODAY()-1),2,2))),)"),"")</f>
        <v/>
      </c>
      <c r="AN111" s="96" t="str">
        <f>IFERROR(__xludf.DUMMYFUNCTION("IFNA(IFERROR(IF(AH111="""","""",GOOGLEFINANCE(AH111,""change"")*AI111),(GOOGLEFINANCE(AH111)-(INDEX(GOOGLEFINANCE(""CURRENCY:""&amp;AH111&amp;"""",""price"",TODAY()-1),2,2)))*AI111),"""")"),"")</f>
        <v/>
      </c>
      <c r="AO111" s="96" t="str">
        <f>IF(ISBLANK(AH111),"",IFERROR(((AI111-SUMIFS(Transactions!I:I,Transactions!H:H,"Crypto Interest",Transactions!D:D,AH111))*AJ111),""))</f>
        <v/>
      </c>
      <c r="AP111" s="96" t="str">
        <f t="shared" si="16"/>
        <v/>
      </c>
      <c r="AQ111" s="50" t="str">
        <f t="shared" si="17"/>
        <v/>
      </c>
      <c r="AR111" s="96" t="str">
        <f t="shared" si="18"/>
        <v/>
      </c>
      <c r="AS111" s="96" t="str">
        <f>IF(ISBLANK(AH111),"",SUMIFS(Transactions!$X$3:$X149,Transactions!$H$3:$H149,"Sell",Transactions!$D$3:$D149,AH111))</f>
        <v/>
      </c>
      <c r="AT111" s="96" t="str">
        <f t="shared" si="19"/>
        <v/>
      </c>
      <c r="AU111" s="50" t="str">
        <f>IFERROR(__xludf.DUMMYFUNCTION("IF(ISBLANK(AH111),"""",IFERROR((GOOGLEFINANCE(AH111,""price"")/INDEX(GOOGLEFINANCE(AH111,""price"",DATEVALUE(TODAY()-$AU$2) ),2,2)-1),""""))"),"")</f>
        <v/>
      </c>
      <c r="AW111" s="50" t="str">
        <f>IFERROR(__xludf.DUMMYFUNCTION("IF(ISBLANK(AH111),"""",IFERROR((GOOGLEFINANCE($AW$2,""price"")/INDEX(GOOGLEFINANCE($AW$2,""price"",DATEVALUE(TODAY()-$AU$2) ),2,2)-1),""""))"),"")</f>
        <v/>
      </c>
      <c r="AY111" s="50" t="str">
        <f t="shared" si="20"/>
        <v/>
      </c>
      <c r="AZ111" s="50" t="str">
        <f t="shared" si="21"/>
        <v/>
      </c>
      <c r="BA111" s="50" t="str">
        <f t="shared" si="22"/>
        <v/>
      </c>
      <c r="BB111" s="14" t="str">
        <f t="shared" si="23"/>
        <v/>
      </c>
      <c r="BC111" s="14" t="str">
        <f>IF(ISBLANK(AH111),"",IFERROR(VLOOKUP(AH111,Transactions!D:F,3,0)))</f>
        <v/>
      </c>
      <c r="BD111" s="50" t="str">
        <f t="shared" si="24"/>
        <v/>
      </c>
      <c r="BE111" s="50" t="str">
        <f t="shared" si="25"/>
        <v/>
      </c>
      <c r="BF111" s="14" t="str">
        <f t="shared" si="26"/>
        <v/>
      </c>
      <c r="BG111" s="180" t="str">
        <f>IF(ISBLANK(AH111),"",IFERROR(VLOOKUP(AH111,Transactions!D:G,4,0)))</f>
        <v/>
      </c>
    </row>
    <row r="112">
      <c r="A112" s="14" t="str">
        <f t="shared" ref="A112:C112" si="135">AG112</f>
        <v/>
      </c>
      <c r="B112" s="14" t="str">
        <f t="shared" si="135"/>
        <v/>
      </c>
      <c r="C112" s="175" t="str">
        <f t="shared" si="135"/>
        <v/>
      </c>
      <c r="D112" s="176" t="str">
        <f>IFERROR(__xludf.DUMMYFUNCTION("IF(ISBLANK(B112),"""",IFERROR(IF(OR(AF112=""GPB"",AF112=""ZAR""),IF(AF112=Dashboard!$L$1,AJ112,(AJ112*GOOGLEFINANCE(""CURRENCY:""&amp;AF112&amp;""""&amp;Dashboard!$L$1&amp;""""))/100),IF(AF112=Dashboard!$L$1,AJ112,AJ112*GOOGLEFINANCE(""CURRENCY:""&amp;AF112&amp;""""&amp;Dashboard!$L"&amp;"$1&amp;""""))),AJ112))"),"")</f>
        <v/>
      </c>
      <c r="E112" s="177" t="str">
        <f>IFERROR(__xludf.DUMMYFUNCTION("IFERROR(IF(OR(AF112=""GBP"",AF112=""ZAR""),IF(B112="""","""",IF(AF112=Dashboard!$L$1,AK112,AK112*GOOGLEFINANCE(""CURRENCY:""&amp;AF112&amp;""""&amp;Dashboard!$L$1&amp;"""")))/100,If(B112="""","""",IF(AF112=Dashboard!$L$1,AK112,AK112*GOOGLEFINANCE(""CURRENCY:""&amp;AF112&amp;"""""&amp;"&amp;Dashboard!$L$1&amp;"""")))),AK112)"),"")</f>
        <v/>
      </c>
      <c r="F112" s="145" t="str">
        <f t="shared" si="65"/>
        <v/>
      </c>
      <c r="G112" s="96" t="str">
        <f>IFERROR(__xludf.DUMMYFUNCTION("IF(ISBLANK(B112),"""",IFERROR(SPARKLINE(INDEX(GOOGLEFINANCE(B112,""price"",TODAY()-$G$2,TODAY()),,2),{""charttype"",""column"";""color"",""17a7e0""}),""""))"),"")</f>
        <v/>
      </c>
      <c r="H112" s="50" t="str">
        <f t="shared" si="3"/>
        <v/>
      </c>
      <c r="I112" s="96" t="str">
        <f>IFERROR(__xludf.DUMMYFUNCTION("IF(ISBLANK(B112),"""",IFERROR(IF(OR(AF112=""GPB"",AF112=""ZAR""),IF(AF112=Dashboard!$L$1,AN112,(AN112*GOOGLEFINANCE(""CURRENCY:""&amp;AF112&amp;""""&amp;Dashboard!$L$1&amp;""""))/100),IF(AF112=Dashboard!$L$1,AN112,AN112*GOOGLEFINANCE(""CURRENCY:""&amp;AF112&amp;""""&amp;Dashboard!$L"&amp;"$1&amp;""""))),AN112))"),"")</f>
        <v/>
      </c>
      <c r="J112" s="178" t="str">
        <f>IF(ISBLANK(B112),"",IFERROR(((C112-SUMIFS(Transactions!I:I,Transactions!H:H,"Crypto Interest",Transactions!D:D,B112))*D112),""))</f>
        <v/>
      </c>
      <c r="K112" s="178" t="str">
        <f t="shared" si="4"/>
        <v/>
      </c>
      <c r="L112" s="145">
        <f>IF(ISBLANK(AF112),"",SUMIFS(Transactions!$M$3:$M149,Transactions!$H$3:$H149,"Buy",Transactions!$D$3:$D149,AF112))</f>
        <v>0</v>
      </c>
      <c r="M112" s="145">
        <f>IF(ISBLANK(AG112),"",SUMIFS(Transactions!$M$3:$M149,Transactions!$H$3:$H149,"Dividend",Transactions!$D$3:$D149,AG112))</f>
        <v>0</v>
      </c>
      <c r="N112" s="145" t="str">
        <f>IF(ISBLANK(AH112),"",SUMIFS(Transactions!$M$3:$M149,Transactions!$H$3:$H149,"Sell",Transactions!$D$3:$D149,AH112))</f>
        <v/>
      </c>
      <c r="O112" s="50" t="str">
        <f t="shared" si="5"/>
        <v/>
      </c>
      <c r="P112" s="178" t="str">
        <f t="shared" si="6"/>
        <v/>
      </c>
      <c r="Q112" s="178" t="str">
        <f>IFERROR(__xludf.DUMMYFUNCTION("IF(ISBLANK(B112),"""",IFERROR(IF(OR(AF112=""GPB"",AF112=""ZAR""),IF(AF112=Dashboard!$L$1,AS112,(AS112*GOOGLEFINANCE(""CURRENCY:""&amp;AF112&amp;""""&amp;Dashboard!$L$1&amp;""""))/100),IF(AF112=Dashboard!$L$1,AS112,AS112*GOOGLEFINANCE(""CURRENCY:""&amp;AF112&amp;""""&amp;Dashboard!$L"&amp;"$1&amp;""""))),AS112))"),"")</f>
        <v/>
      </c>
      <c r="R112" s="178" t="str">
        <f t="shared" si="7"/>
        <v/>
      </c>
      <c r="S112" s="50" t="str">
        <f>IFERROR(__xludf.DUMMYFUNCTION("IF(ISBLANK(B112),"""",IFERROR((GOOGLEFINANCE(B112,""price"")/INDEX(GOOGLEFINANCE(B112,""price"",DATEVALUE(TODAY()-$S$2) ),2,2)-1),""""))"),"")</f>
        <v/>
      </c>
      <c r="U112" s="50" t="str">
        <f>IFERROR(__xludf.DUMMYFUNCTION("IF(ISBLANK(B112),"""",IFERROR((GOOGLEFINANCE($U$2,""price"")/INDEX(GOOGLEFINANCE($U$2,""price"",DATEVALUE(TODAY()-$S$2) ),2,2)-1),""""))"),"")</f>
        <v/>
      </c>
      <c r="W112" s="50" t="str">
        <f t="shared" si="8"/>
        <v/>
      </c>
      <c r="X112" s="50" t="str">
        <f t="shared" si="9"/>
        <v/>
      </c>
      <c r="Y112" s="50"/>
      <c r="Z112" s="50" t="str">
        <f t="shared" si="10"/>
        <v/>
      </c>
      <c r="AA112" s="14" t="str">
        <f t="shared" si="11"/>
        <v/>
      </c>
      <c r="AB112" s="50" t="str">
        <f t="shared" si="12"/>
        <v/>
      </c>
      <c r="AC112" s="179" t="str">
        <f t="shared" si="13"/>
        <v/>
      </c>
      <c r="AD112" s="50" t="str">
        <f t="shared" si="14"/>
        <v/>
      </c>
      <c r="AE112" s="180" t="str">
        <f t="shared" si="15"/>
        <v/>
      </c>
      <c r="AF112" s="14" t="str">
        <f t="array" ref="AF112">IFERROR(IF(ISBLANK(AH112),"",IF(VLOOKUP(AH112,Transactions!D:F,3,0)="Stablecoin",AH112,INDEX(Transactions!$B$3:$B149,MATCH(AH112,Transactions!$D$3:$D149,0),0))))</f>
        <v/>
      </c>
      <c r="AG112" s="14" t="str">
        <f>IF(ISBLANK(AH112),"",VLOOKUP(AH112,Transactions!D:E,2,0))</f>
        <v/>
      </c>
      <c r="AH112" s="14"/>
      <c r="AI112" s="146" t="str">
        <f>IF(ISBLANK(AH112),"",IF(
SUMIFS(Transactions!$I$3:$I149,Transactions!$H$3:$H149,"Buy",Transactions!$F$3:$F149,"Stock",Transactions!$D$3:$D149,AH112)
+SUMIFS(Transactions!$I$3:$I149,Transactions!$H$3:$H149,"DRIP",Transactions!$F$3:$F149,"Stock",Transactions!$D$3:$D149,AH112)
+SUMIFS(Transactions!$I$3:$I149,Transactions!$H$3:$H149,"Transfer Deposit",Transactions!$F$3:$F149,"Stock",Transactions!$D$3:$D149,AH112)
+SUMIFS(Transactions!$I$3:$I149,Transactions!$H$3:$H149,"Buy",Transactions!$F$3:$F149,"ETF",Transactions!$D$3:$D149,AH112)
+SUMIFS(Transactions!$I$3:$I149,Transactions!$H$3:$H149,"DRIP",Transactions!$F$3:$F149,"ETF",Transactions!$D$3:$D149,AH112)
+SUMIFS(Transactions!$I$3:$I149,Transactions!$H$3:$H149,"Transfer Deposit",Transactions!$F$3:$F149,"ETF",Transactions!$D$3:$D149,AH112)
+SUMIFS(Transactions!$I$3:$I149,Transactions!$H$3:$H149,"Buy",Transactions!$F$3:$F149,"Commodity",Transactions!$D$3:$D149,AH112)
+SUMIFS(Transactions!$I$3:$I149,Transactions!$H$3:$H149,"DRIP",Transactions!$F$3:$F149,"Commodity",Transactions!$D$3:$D149,AH112)
+SUMIFS(Transactions!$I$3:$I149,Transactions!$H$3:$H149,"Transfer Deposit",Transactions!$F$3:$F149,"Commodity",Transactions!$D$3:$D149,AH112)
+SUMIFS(Transactions!$I$3:$I149,Transactions!$H$3:$H149,"Buy",Transactions!$F$3:$F149,"Managed Fund",Transactions!$D$3:$D149,AH112)
+SUMIFS(Transactions!$I$3:$I149,Transactions!$H$3:$H149,"DRIP",Transactions!$F$3:$F149,"Managed Fund",Transactions!$D$3:$D149,AH112)
+SUMIFS(Transactions!$I$3:$I149,Transactions!$H$3:$H149,"Transfer Deposit",Transactions!$F$3:$F149,"Managed Fund",Transactions!$D$3:$D149,AH112)
+SUMIFS(Transactions!$I$3:$I149,Transactions!$H$3:$H149,"Buy",Transactions!$F$3:$F149,"REIT",Transactions!$D$3:$D149,AH112)
+SUMIFS(Transactions!$I$3:$I149,Transactions!$H$3:$H149,"DRIP",Transactions!$F$3:$F149,"REIT",Transactions!$D$3:$D149,AH112)
+SUMIFS(Transactions!$I$3:$I149,Transactions!$H$3:$H149,"Transfer Deposit",Transactions!$F$3:$F149,"REIT",Transactions!$D$3:$D149,AH112)
-SUMIFS(Transactions!$I$3:$I149,Transactions!$H$3:$H149,"Sell",Transactions!$F$3:$F149,"Stock",Transactions!$D$3:$D149,AH112)
-SUMIFS(Transactions!$I$3:$I149,Transactions!$H$3:$H149,"Transfer Send",Transactions!$F$3:$F149,"Stock",Transactions!$D$3:$D149,AH112)
-SUMIFS(Transactions!$I$3:$I149,Transactions!$H$3:$H149,"Sell",Transactions!$F$3:$F149,"ETF",Transactions!$D$3:$D149,AH112)
-SUMIFS(Transactions!$I$3:$I149,Transactions!$H$3:$H149,"Transfer Send",Transactions!$F$3:$F149,"ETF",Transactions!$D$3:$D149,AH112)
-SUMIFS(Transactions!$I$3:$I149,Transactions!$H$3:$H149,"Sell",Transactions!$F$3:$F149,"Commodity",Transactions!$D$3:$D149,AH112)
-SUMIFS(Transactions!$I$3:$I149,Transactions!$H$3:$H149,"Transfer Send",Transactions!$F$3:$F149,"Commodity",Transactions!$D$3:$D149,AH112)
-SUMIFS(Transactions!$I$3:$I149,Transactions!$H$3:$H149,"Sell",Transactions!$F$3:$F149,"Managed Fund",Transactions!$D$3:$D149,AH112)
-SUMIFS(Transactions!$I$3:$I149,Transactions!$H$3:$H149,"Transfer Send",Transactions!$F$3:$F149,"Managed Fund",Transactions!$D$3:$D149,AH112)
-SUMIFS(Transactions!$I$3:$I149,Transactions!$H$3:$H149,"Sell",Transactions!$F$3:$F149,"REIT",Transactions!$D$3:$D149,AH112)
-SUMIFS(Transactions!$I$3:$I149,Transactions!$H$3:$H149,"Transfer Send",Transactions!$F$3:$F149,"REIT",Transactions!$D$3:$D149,AH112)
+SUMIFS(Transactions!$I$3:$I149,Transactions!$H$3:$H149,"Buy",Transactions!$F$3:$F149,"Crypto",Transactions!$D$3:$D149,AH112)
+SUMIFS(Transactions!$I$3:$I149,Transactions!$H$3:$H149,"Crypto Interest",Transactions!$F$3:$F149,"Crypto",Transactions!$D$3:$D149,AH112)
+SUMIFS(Transactions!$I$3:$I149,Transactions!$H$3:$H149,"Transfer Deposit",Transactions!$F$3:$F149,"Crypto",Transactions!$D$3:$D149,AH112)
-SUMIFS(Transactions!$I$3:$I149,Transactions!$H$3:$H149,"Transfer Send",Transactions!$F$3:$F149,"Crypto",Transactions!$D$3:$D149,AH112)
-SUMIFS(Transactions!$I$3:$I149,Transactions!$H$3:$H149,"Sell",Transactions!$F$3:$F149,"Crypto",Transactions!$D$3:$D149,AH112)
+SUMIFS(Transactions!$I$3:$I149,Transactions!$H$3:$H149,"Buy",Transactions!$F$3:$F149,"Stablecoin",Transactions!$D$3:$D149,AH112)
+SUMIFS(Transactions!$I$3:$I149,Transactions!$H$3:$H149,"Crypto Interest",Transactions!$F$3:$F149,"Stablecoin",Transactions!$D$3:$D149,AH112)
+SUMIFS(Transactions!$I$3:$I149,Transactions!$H$3:$H149,"Transfer Deposit",Transactions!$F$3:$F149,"Stablecoin",Transactions!$D$3:$D149,AH112)
-SUMIFS(Transactions!$I$3:$I149,Transactions!$H$3:$H149,"Transfer Send",Transactions!$F$3:$F149,"Stablecoin",Transactions!$D$3:$D149,AH112)
-SUMIFS(Transactions!$I$3:$I149,Transactions!$H$3:$H149,"Sell",Transactions!$F$3:$F149,"Stablecoin",Transactions!$D$3:$D149,AH112)
-SUMIFS(Transactions!$M$3:$M149,Transactions!$H$3:$H149,"Buy",Transactions!$B$3:$B149,AH112)=0,"Sold All",
SUMIFS(Transactions!$I$3:$I149,Transactions!$H$3:$H149,"Buy",Transactions!$F$3:$F149,"Stock",Transactions!$D$3:$D149,AH112)
+SUMIFS(Transactions!$I$3:$I149,Transactions!$H$3:$H149,"DRIP",Transactions!$F$3:$F149,"Stock",Transactions!$D$3:$D149,AH112)
+SUMIFS(Transactions!$I$3:$I149,Transactions!$H$3:$H149,"Transfer Deposit",Transactions!$F$3:$F149,"Stock",Transactions!$D$3:$D149,AH112)
+SUMIFS(Transactions!$I$3:$I149,Transactions!$H$3:$H149,"Buy",Transactions!$F$3:$F149,"ETF",Transactions!$D$3:$D149,AH112)
+SUMIFS(Transactions!$I$3:$I149,Transactions!$H$3:$H149,"DRIP",Transactions!$F$3:$F149,"ETF",Transactions!$D$3:$D149,AH112)
+SUMIFS(Transactions!$I$3:$I149,Transactions!$H$3:$H149,"Transfer Deposit",Transactions!$F$3:$F149,"ETF",Transactions!$D$3:$D149,AH112)
+SUMIFS(Transactions!$I$3:$I149,Transactions!$H$3:$H149,"Buy",Transactions!$F$3:$F149,"Commodity",Transactions!$D$3:$D149,AH112)
+SUMIFS(Transactions!$I$3:$I149,Transactions!$H$3:$H149,"DRIP",Transactions!$F$3:$F149,"Commodity",Transactions!$D$3:$D149,AH112)
+SUMIFS(Transactions!$I$3:$I149,Transactions!$H$3:$H149,"Transfer Deposit",Transactions!$F$3:$F149,"Commodity",Transactions!$D$3:$D149,AH112)
+SUMIFS(Transactions!$I$3:$I149,Transactions!$H$3:$H149,"Buy",Transactions!$F$3:$F149,"Managed Fund",Transactions!$D$3:$D149,AH112)
+SUMIFS(Transactions!$I$3:$I149,Transactions!$H$3:$H149,"DRIP",Transactions!$F$3:$F149,"Managed Fund",Transactions!$D$3:$D149,AH112)
+SUMIFS(Transactions!$I$3:$I149,Transactions!$H$3:$H149,"Transfer Deposit",Transactions!$F$3:$F149,"Managed Fund",Transactions!$D$3:$D149,AH112)
+SUMIFS(Transactions!$I$3:$I149,Transactions!$H$3:$H149,"Buy",Transactions!$F$3:$F149,"REIT",Transactions!$D$3:$D149,AH112)
+SUMIFS(Transactions!$I$3:$I149,Transactions!$H$3:$H149,"DRIP",Transactions!$F$3:$F149,"REIT",Transactions!$D$3:$D149,AH112)
+SUMIFS(Transactions!$I$3:$I149,Transactions!$H$3:$H149,"Transfer Deposit",Transactions!$F$3:$F149,"REIT",Transactions!$D$3:$D149,AH112)
-SUMIFS(Transactions!$I$3:$I149,Transactions!$H$3:$H149,"Sell",Transactions!$F$3:$F149,"Stock",Transactions!$D$3:$D149,AH112)
-SUMIFS(Transactions!$I$3:$I149,Transactions!$H$3:$H149,"Transfer Send",Transactions!$F$3:$F149,"Stock",Transactions!$D$3:$D149,AH112)
-SUMIFS(Transactions!$I$3:$I149,Transactions!$H$3:$H149,"Sell",Transactions!$F$3:$F149,"ETF",Transactions!$D$3:$D149,AH112)
-SUMIFS(Transactions!$I$3:$I149,Transactions!$H$3:$H149,"Transfer Send",Transactions!$F$3:$F149,"ETF",Transactions!$D$3:$D149,AH112)
-SUMIFS(Transactions!$I$3:$I149,Transactions!$H$3:$H149,"Sell",Transactions!$F$3:$F149,"Commodity",Transactions!$D$3:$D149,AH112)
-SUMIFS(Transactions!$I$3:$I149,Transactions!$H$3:$H149,"Transfer Send",Transactions!$F$3:$F149,"Commodity",Transactions!$D$3:$D149,AH112)
-SUMIFS(Transactions!$I$3:$I149,Transactions!$H$3:$H149,"Sell",Transactions!$F$3:$F149,"Managed Fund",Transactions!$D$3:$D149,AH112)
-SUMIFS(Transactions!$I$3:$I149,Transactions!$H$3:$H149,"Transfer Send",Transactions!$F$3:$F149,"Managed Fund",Transactions!$D$3:$D149,AH112)
-SUMIFS(Transactions!$I$3:$I149,Transactions!$H$3:$H149,"Sell",Transactions!$F$3:$F149,"REIT",Transactions!$D$3:$D149,AH112)
-SUMIFS(Transactions!$I$3:$I149,Transactions!$H$3:$H149,"Transfer Send",Transactions!$F$3:$F149,"REIT",Transactions!$D$3:$D149,AH112)
+SUMIFS(Transactions!$I$3:$I149,Transactions!$H$3:$H149,"Buy",Transactions!$F$3:$F149,"Crypto",Transactions!$D$3:$D149,AH112)
+SUMIFS(Transactions!$I$3:$I149,Transactions!$H$3:$H149,"Crypto Interest",Transactions!$F$3:$F149,"Crypto",Transactions!$D$3:$D149,AH112)
+SUMIFS(Transactions!$I$3:$I149,Transactions!$H$3:$H149,"Transfer Deposit",Transactions!$F$3:$F149,"Crypto",Transactions!$D$3:$D149,AH112)
-SUMIFS(Transactions!$I$3:$I149,Transactions!$H$3:$H149,"Transfer Send",Transactions!$F$3:$F149,"Crypto",Transactions!$D$3:$D149,AH112)
-SUMIFS(Transactions!$I$3:$I149,Transactions!$H$3:$H149,"Sell",Transactions!$F$3:$F149,"Crypto",Transactions!$D$3:$D149,AH112)
+SUMIFS(Transactions!$I$3:$I149,Transactions!$H$3:$H149,"Buy",Transactions!$F$3:$F149,"Stablecoin",Transactions!$D$3:$D149,AH112)
+SUMIFS(Transactions!$I$3:$I149,Transactions!$H$3:$H149,"Crypto Interest",Transactions!$F$3:$F149,"Stablecoin",Transactions!$D$3:$D149,AH112)
+SUMIFS(Transactions!$I$3:$I149,Transactions!$H$3:$H149,"Transfer Deposit",Transactions!$F$3:$F149,"Stablecoin",Transactions!$D$3:$D149,AH112)
-SUMIFS(Transactions!$I$3:$I149,Transactions!$H$3:$H149,"Transfer Send",Transactions!$F$3:$F149,"Stablecoin",Transactions!$D$3:$D149,AH112)
-SUMIFS(Transactions!$I$3:$I149,Transactions!$H$3:$H149,"Sell",Transactions!$F$3:$F149,"Stablecoin",Transactions!$D$3:$D149,AH112)
-SUMIFS(Transactions!$M$3:$M149,Transactions!$H$3:$H149,"Buy",Transactions!$B$3:$B149,AH112)))</f>
        <v/>
      </c>
      <c r="AJ112" s="181" t="str">
        <f>IFERROR(__xludf.DUMMYFUNCTION("IF(ISBLANK(AH112),"""",VLOOKUP(9^99,FILTER({ROW(Transactions!P:P),Transactions!P:P},Transactions!D:D=AH112),2))"),"")</f>
        <v/>
      </c>
      <c r="AK112" s="181" t="str">
        <f>IFERROR(__xludf.DUMMYFUNCTION("IF(ISBLANK(AH112),"""",IFERROR(GOOGLEFINANCE(AH112,""price""),IFERROR(GOOGLEFINANCE(""CURRENCY:""&amp;AH112&amp;""""),IFERROR(INDEX(YAHOO_STOCK(TRIM(AH112), $G$2),0,1),INDEX(IMPORTHTML(CONCAT(""https://coinmarketcap.com/currencies/"",AG112),""table"",1),1,2)))))"),"")</f>
        <v/>
      </c>
      <c r="AL112" s="14" t="str">
        <f>IFERROR(__xludf.DUMMYFUNCTION("IF(ISBLANK(AH112),"""",IFERROR(SPARKLINE(INDEX(GOOGLEFINANCE(AH112,""price"",TODAY()-$AL$2,TODAY()),,2),{""charttype"",""column"";""color"",""17a7e0""}),""""))"),"")</f>
        <v/>
      </c>
      <c r="AM112" s="50" t="str">
        <f>IFERROR(__xludf.DUMMYFUNCTION("IFNA(IFERROR(IF(AH112="""","""",GOOGLEFINANCE(AH112,""changepct"")/100),(GOOGLEFINANCE(AH112)-(INDEX(GOOGLEFINANCE(""CURRENCY:""&amp;AH112&amp;"""",""price"",TODAY()-1),2,2)))/(INDEX(GOOGLEFINANCE(""CURRENCY:""&amp;AH112&amp;"""",""price"",TODAY()-1),2,2))),)"),"")</f>
        <v/>
      </c>
      <c r="AN112" s="96" t="str">
        <f>IFERROR(__xludf.DUMMYFUNCTION("IFNA(IFERROR(IF(AH112="""","""",GOOGLEFINANCE(AH112,""change"")*AI112),(GOOGLEFINANCE(AH112)-(INDEX(GOOGLEFINANCE(""CURRENCY:""&amp;AH112&amp;"""",""price"",TODAY()-1),2,2)))*AI112),"""")"),"")</f>
        <v/>
      </c>
      <c r="AO112" s="96" t="str">
        <f>IF(ISBLANK(AH112),"",IFERROR(((AI112-SUMIFS(Transactions!I:I,Transactions!H:H,"Crypto Interest",Transactions!D:D,AH112))*AJ112),""))</f>
        <v/>
      </c>
      <c r="AP112" s="96" t="str">
        <f t="shared" si="16"/>
        <v/>
      </c>
      <c r="AQ112" s="50" t="str">
        <f t="shared" si="17"/>
        <v/>
      </c>
      <c r="AR112" s="96" t="str">
        <f t="shared" si="18"/>
        <v/>
      </c>
      <c r="AS112" s="96" t="str">
        <f>IF(ISBLANK(AH112),"",SUMIFS(Transactions!$X$3:$X149,Transactions!$H$3:$H149,"Sell",Transactions!$D$3:$D149,AH112))</f>
        <v/>
      </c>
      <c r="AT112" s="96" t="str">
        <f t="shared" si="19"/>
        <v/>
      </c>
      <c r="AU112" s="50" t="str">
        <f>IFERROR(__xludf.DUMMYFUNCTION("IF(ISBLANK(AH112),"""",IFERROR((GOOGLEFINANCE(AH112,""price"")/INDEX(GOOGLEFINANCE(AH112,""price"",DATEVALUE(TODAY()-$AU$2) ),2,2)-1),""""))"),"")</f>
        <v/>
      </c>
      <c r="AW112" s="50" t="str">
        <f>IFERROR(__xludf.DUMMYFUNCTION("IF(ISBLANK(AH112),"""",IFERROR((GOOGLEFINANCE($AW$2,""price"")/INDEX(GOOGLEFINANCE($AW$2,""price"",DATEVALUE(TODAY()-$AU$2) ),2,2)-1),""""))"),"")</f>
        <v/>
      </c>
      <c r="AY112" s="50" t="str">
        <f t="shared" si="20"/>
        <v/>
      </c>
      <c r="AZ112" s="50" t="str">
        <f t="shared" si="21"/>
        <v/>
      </c>
      <c r="BA112" s="50" t="str">
        <f t="shared" si="22"/>
        <v/>
      </c>
      <c r="BB112" s="14" t="str">
        <f t="shared" si="23"/>
        <v/>
      </c>
      <c r="BC112" s="14" t="str">
        <f>IF(ISBLANK(AH112),"",IFERROR(VLOOKUP(AH112,Transactions!D:F,3,0)))</f>
        <v/>
      </c>
      <c r="BD112" s="50" t="str">
        <f t="shared" si="24"/>
        <v/>
      </c>
      <c r="BE112" s="50" t="str">
        <f t="shared" si="25"/>
        <v/>
      </c>
      <c r="BF112" s="14" t="str">
        <f t="shared" si="26"/>
        <v/>
      </c>
      <c r="BG112" s="180" t="str">
        <f>IF(ISBLANK(AH112),"",IFERROR(VLOOKUP(AH112,Transactions!D:G,4,0)))</f>
        <v/>
      </c>
    </row>
    <row r="113">
      <c r="A113" s="14" t="str">
        <f t="shared" ref="A113:C113" si="136">AG113</f>
        <v/>
      </c>
      <c r="B113" s="14" t="str">
        <f t="shared" si="136"/>
        <v/>
      </c>
      <c r="C113" s="175" t="str">
        <f t="shared" si="136"/>
        <v/>
      </c>
      <c r="D113" s="176" t="str">
        <f>IFERROR(__xludf.DUMMYFUNCTION("IF(ISBLANK(B113),"""",IFERROR(IF(OR(AF113=""GPB"",AF113=""ZAR""),IF(AF113=Dashboard!$L$1,AJ113,(AJ113*GOOGLEFINANCE(""CURRENCY:""&amp;AF113&amp;""""&amp;Dashboard!$L$1&amp;""""))/100),IF(AF113=Dashboard!$L$1,AJ113,AJ113*GOOGLEFINANCE(""CURRENCY:""&amp;AF113&amp;""""&amp;Dashboard!$L"&amp;"$1&amp;""""))),AJ113))"),"")</f>
        <v/>
      </c>
      <c r="E113" s="177" t="str">
        <f>IFERROR(__xludf.DUMMYFUNCTION("IFERROR(IF(OR(AF113=""GBP"",AF113=""ZAR""),IF(B113="""","""",IF(AF113=Dashboard!$L$1,AK113,AK113*GOOGLEFINANCE(""CURRENCY:""&amp;AF113&amp;""""&amp;Dashboard!$L$1&amp;"""")))/100,If(B113="""","""",IF(AF113=Dashboard!$L$1,AK113,AK113*GOOGLEFINANCE(""CURRENCY:""&amp;AF113&amp;"""""&amp;"&amp;Dashboard!$L$1&amp;"""")))),AK113)"),"")</f>
        <v/>
      </c>
      <c r="F113" s="145" t="str">
        <f t="shared" si="65"/>
        <v/>
      </c>
      <c r="G113" s="96" t="str">
        <f>IFERROR(__xludf.DUMMYFUNCTION("IF(ISBLANK(B113),"""",IFERROR(SPARKLINE(INDEX(GOOGLEFINANCE(B113,""price"",TODAY()-$G$2,TODAY()),,2),{""charttype"",""column"";""color"",""17a7e0""}),""""))"),"")</f>
        <v/>
      </c>
      <c r="H113" s="50" t="str">
        <f t="shared" si="3"/>
        <v/>
      </c>
      <c r="I113" s="96" t="str">
        <f>IFERROR(__xludf.DUMMYFUNCTION("IF(ISBLANK(B113),"""",IFERROR(IF(OR(AF113=""GPB"",AF113=""ZAR""),IF(AF113=Dashboard!$L$1,AN113,(AN113*GOOGLEFINANCE(""CURRENCY:""&amp;AF113&amp;""""&amp;Dashboard!$L$1&amp;""""))/100),IF(AF113=Dashboard!$L$1,AN113,AN113*GOOGLEFINANCE(""CURRENCY:""&amp;AF113&amp;""""&amp;Dashboard!$L"&amp;"$1&amp;""""))),AN113))"),"")</f>
        <v/>
      </c>
      <c r="J113" s="178" t="str">
        <f>IF(ISBLANK(B113),"",IFERROR(((C113-SUMIFS(Transactions!I:I,Transactions!H:H,"Crypto Interest",Transactions!D:D,B113))*D113),""))</f>
        <v/>
      </c>
      <c r="K113" s="178" t="str">
        <f t="shared" si="4"/>
        <v/>
      </c>
      <c r="L113" s="145">
        <f>IF(ISBLANK(AF113),"",SUMIFS(Transactions!$M$3:$M149,Transactions!$H$3:$H149,"Buy",Transactions!$D$3:$D149,AF113))</f>
        <v>0</v>
      </c>
      <c r="M113" s="145">
        <f>IF(ISBLANK(AG113),"",SUMIFS(Transactions!$M$3:$M149,Transactions!$H$3:$H149,"Dividend",Transactions!$D$3:$D149,AG113))</f>
        <v>0</v>
      </c>
      <c r="N113" s="145" t="str">
        <f>IF(ISBLANK(AH113),"",SUMIFS(Transactions!$M$3:$M149,Transactions!$H$3:$H149,"Sell",Transactions!$D$3:$D149,AH113))</f>
        <v/>
      </c>
      <c r="O113" s="50" t="str">
        <f t="shared" si="5"/>
        <v/>
      </c>
      <c r="P113" s="178" t="str">
        <f t="shared" si="6"/>
        <v/>
      </c>
      <c r="Q113" s="178" t="str">
        <f>IFERROR(__xludf.DUMMYFUNCTION("IF(ISBLANK(B113),"""",IFERROR(IF(OR(AF113=""GPB"",AF113=""ZAR""),IF(AF113=Dashboard!$L$1,AS113,(AS113*GOOGLEFINANCE(""CURRENCY:""&amp;AF113&amp;""""&amp;Dashboard!$L$1&amp;""""))/100),IF(AF113=Dashboard!$L$1,AS113,AS113*GOOGLEFINANCE(""CURRENCY:""&amp;AF113&amp;""""&amp;Dashboard!$L"&amp;"$1&amp;""""))),AS113))"),"")</f>
        <v/>
      </c>
      <c r="R113" s="178" t="str">
        <f t="shared" si="7"/>
        <v/>
      </c>
      <c r="S113" s="50" t="str">
        <f>IFERROR(__xludf.DUMMYFUNCTION("IF(ISBLANK(B113),"""",IFERROR((GOOGLEFINANCE(B113,""price"")/INDEX(GOOGLEFINANCE(B113,""price"",DATEVALUE(TODAY()-$S$2) ),2,2)-1),""""))"),"")</f>
        <v/>
      </c>
      <c r="U113" s="50" t="str">
        <f>IFERROR(__xludf.DUMMYFUNCTION("IF(ISBLANK(B113),"""",IFERROR((GOOGLEFINANCE($U$2,""price"")/INDEX(GOOGLEFINANCE($U$2,""price"",DATEVALUE(TODAY()-$S$2) ),2,2)-1),""""))"),"")</f>
        <v/>
      </c>
      <c r="W113" s="50" t="str">
        <f t="shared" si="8"/>
        <v/>
      </c>
      <c r="X113" s="50" t="str">
        <f t="shared" si="9"/>
        <v/>
      </c>
      <c r="Y113" s="50"/>
      <c r="Z113" s="50" t="str">
        <f t="shared" si="10"/>
        <v/>
      </c>
      <c r="AA113" s="14" t="str">
        <f t="shared" si="11"/>
        <v/>
      </c>
      <c r="AB113" s="50" t="str">
        <f t="shared" si="12"/>
        <v/>
      </c>
      <c r="AC113" s="179" t="str">
        <f t="shared" si="13"/>
        <v/>
      </c>
      <c r="AD113" s="50" t="str">
        <f t="shared" si="14"/>
        <v/>
      </c>
      <c r="AE113" s="180" t="str">
        <f t="shared" si="15"/>
        <v/>
      </c>
      <c r="AF113" s="14" t="str">
        <f t="array" ref="AF113">IFERROR(IF(ISBLANK(AH113),"",IF(VLOOKUP(AH113,Transactions!D:F,3,0)="Stablecoin",AH113,INDEX(Transactions!$B$3:$B149,MATCH(AH113,Transactions!$D$3:$D149,0),0))))</f>
        <v/>
      </c>
      <c r="AG113" s="14" t="str">
        <f>IF(ISBLANK(AH113),"",VLOOKUP(AH113,Transactions!D:E,2,0))</f>
        <v/>
      </c>
      <c r="AH113" s="14"/>
      <c r="AI113" s="146" t="str">
        <f>IF(ISBLANK(AH113),"",IF(
SUMIFS(Transactions!$I$3:$I149,Transactions!$H$3:$H149,"Buy",Transactions!$F$3:$F149,"Stock",Transactions!$D$3:$D149,AH113)
+SUMIFS(Transactions!$I$3:$I149,Transactions!$H$3:$H149,"DRIP",Transactions!$F$3:$F149,"Stock",Transactions!$D$3:$D149,AH113)
+SUMIFS(Transactions!$I$3:$I149,Transactions!$H$3:$H149,"Transfer Deposit",Transactions!$F$3:$F149,"Stock",Transactions!$D$3:$D149,AH113)
+SUMIFS(Transactions!$I$3:$I149,Transactions!$H$3:$H149,"Buy",Transactions!$F$3:$F149,"ETF",Transactions!$D$3:$D149,AH113)
+SUMIFS(Transactions!$I$3:$I149,Transactions!$H$3:$H149,"DRIP",Transactions!$F$3:$F149,"ETF",Transactions!$D$3:$D149,AH113)
+SUMIFS(Transactions!$I$3:$I149,Transactions!$H$3:$H149,"Transfer Deposit",Transactions!$F$3:$F149,"ETF",Transactions!$D$3:$D149,AH113)
+SUMIFS(Transactions!$I$3:$I149,Transactions!$H$3:$H149,"Buy",Transactions!$F$3:$F149,"Commodity",Transactions!$D$3:$D149,AH113)
+SUMIFS(Transactions!$I$3:$I149,Transactions!$H$3:$H149,"DRIP",Transactions!$F$3:$F149,"Commodity",Transactions!$D$3:$D149,AH113)
+SUMIFS(Transactions!$I$3:$I149,Transactions!$H$3:$H149,"Transfer Deposit",Transactions!$F$3:$F149,"Commodity",Transactions!$D$3:$D149,AH113)
+SUMIFS(Transactions!$I$3:$I149,Transactions!$H$3:$H149,"Buy",Transactions!$F$3:$F149,"Managed Fund",Transactions!$D$3:$D149,AH113)
+SUMIFS(Transactions!$I$3:$I149,Transactions!$H$3:$H149,"DRIP",Transactions!$F$3:$F149,"Managed Fund",Transactions!$D$3:$D149,AH113)
+SUMIFS(Transactions!$I$3:$I149,Transactions!$H$3:$H149,"Transfer Deposit",Transactions!$F$3:$F149,"Managed Fund",Transactions!$D$3:$D149,AH113)
+SUMIFS(Transactions!$I$3:$I149,Transactions!$H$3:$H149,"Buy",Transactions!$F$3:$F149,"REIT",Transactions!$D$3:$D149,AH113)
+SUMIFS(Transactions!$I$3:$I149,Transactions!$H$3:$H149,"DRIP",Transactions!$F$3:$F149,"REIT",Transactions!$D$3:$D149,AH113)
+SUMIFS(Transactions!$I$3:$I149,Transactions!$H$3:$H149,"Transfer Deposit",Transactions!$F$3:$F149,"REIT",Transactions!$D$3:$D149,AH113)
-SUMIFS(Transactions!$I$3:$I149,Transactions!$H$3:$H149,"Sell",Transactions!$F$3:$F149,"Stock",Transactions!$D$3:$D149,AH113)
-SUMIFS(Transactions!$I$3:$I149,Transactions!$H$3:$H149,"Transfer Send",Transactions!$F$3:$F149,"Stock",Transactions!$D$3:$D149,AH113)
-SUMIFS(Transactions!$I$3:$I149,Transactions!$H$3:$H149,"Sell",Transactions!$F$3:$F149,"ETF",Transactions!$D$3:$D149,AH113)
-SUMIFS(Transactions!$I$3:$I149,Transactions!$H$3:$H149,"Transfer Send",Transactions!$F$3:$F149,"ETF",Transactions!$D$3:$D149,AH113)
-SUMIFS(Transactions!$I$3:$I149,Transactions!$H$3:$H149,"Sell",Transactions!$F$3:$F149,"Commodity",Transactions!$D$3:$D149,AH113)
-SUMIFS(Transactions!$I$3:$I149,Transactions!$H$3:$H149,"Transfer Send",Transactions!$F$3:$F149,"Commodity",Transactions!$D$3:$D149,AH113)
-SUMIFS(Transactions!$I$3:$I149,Transactions!$H$3:$H149,"Sell",Transactions!$F$3:$F149,"Managed Fund",Transactions!$D$3:$D149,AH113)
-SUMIFS(Transactions!$I$3:$I149,Transactions!$H$3:$H149,"Transfer Send",Transactions!$F$3:$F149,"Managed Fund",Transactions!$D$3:$D149,AH113)
-SUMIFS(Transactions!$I$3:$I149,Transactions!$H$3:$H149,"Sell",Transactions!$F$3:$F149,"REIT",Transactions!$D$3:$D149,AH113)
-SUMIFS(Transactions!$I$3:$I149,Transactions!$H$3:$H149,"Transfer Send",Transactions!$F$3:$F149,"REIT",Transactions!$D$3:$D149,AH113)
+SUMIFS(Transactions!$I$3:$I149,Transactions!$H$3:$H149,"Buy",Transactions!$F$3:$F149,"Crypto",Transactions!$D$3:$D149,AH113)
+SUMIFS(Transactions!$I$3:$I149,Transactions!$H$3:$H149,"Crypto Interest",Transactions!$F$3:$F149,"Crypto",Transactions!$D$3:$D149,AH113)
+SUMIFS(Transactions!$I$3:$I149,Transactions!$H$3:$H149,"Transfer Deposit",Transactions!$F$3:$F149,"Crypto",Transactions!$D$3:$D149,AH113)
-SUMIFS(Transactions!$I$3:$I149,Transactions!$H$3:$H149,"Transfer Send",Transactions!$F$3:$F149,"Crypto",Transactions!$D$3:$D149,AH113)
-SUMIFS(Transactions!$I$3:$I149,Transactions!$H$3:$H149,"Sell",Transactions!$F$3:$F149,"Crypto",Transactions!$D$3:$D149,AH113)
+SUMIFS(Transactions!$I$3:$I149,Transactions!$H$3:$H149,"Buy",Transactions!$F$3:$F149,"Stablecoin",Transactions!$D$3:$D149,AH113)
+SUMIFS(Transactions!$I$3:$I149,Transactions!$H$3:$H149,"Crypto Interest",Transactions!$F$3:$F149,"Stablecoin",Transactions!$D$3:$D149,AH113)
+SUMIFS(Transactions!$I$3:$I149,Transactions!$H$3:$H149,"Transfer Deposit",Transactions!$F$3:$F149,"Stablecoin",Transactions!$D$3:$D149,AH113)
-SUMIFS(Transactions!$I$3:$I149,Transactions!$H$3:$H149,"Transfer Send",Transactions!$F$3:$F149,"Stablecoin",Transactions!$D$3:$D149,AH113)
-SUMIFS(Transactions!$I$3:$I149,Transactions!$H$3:$H149,"Sell",Transactions!$F$3:$F149,"Stablecoin",Transactions!$D$3:$D149,AH113)
-SUMIFS(Transactions!$M$3:$M149,Transactions!$H$3:$H149,"Buy",Transactions!$B$3:$B149,AH113)=0,"Sold All",
SUMIFS(Transactions!$I$3:$I149,Transactions!$H$3:$H149,"Buy",Transactions!$F$3:$F149,"Stock",Transactions!$D$3:$D149,AH113)
+SUMIFS(Transactions!$I$3:$I149,Transactions!$H$3:$H149,"DRIP",Transactions!$F$3:$F149,"Stock",Transactions!$D$3:$D149,AH113)
+SUMIFS(Transactions!$I$3:$I149,Transactions!$H$3:$H149,"Transfer Deposit",Transactions!$F$3:$F149,"Stock",Transactions!$D$3:$D149,AH113)
+SUMIFS(Transactions!$I$3:$I149,Transactions!$H$3:$H149,"Buy",Transactions!$F$3:$F149,"ETF",Transactions!$D$3:$D149,AH113)
+SUMIFS(Transactions!$I$3:$I149,Transactions!$H$3:$H149,"DRIP",Transactions!$F$3:$F149,"ETF",Transactions!$D$3:$D149,AH113)
+SUMIFS(Transactions!$I$3:$I149,Transactions!$H$3:$H149,"Transfer Deposit",Transactions!$F$3:$F149,"ETF",Transactions!$D$3:$D149,AH113)
+SUMIFS(Transactions!$I$3:$I149,Transactions!$H$3:$H149,"Buy",Transactions!$F$3:$F149,"Commodity",Transactions!$D$3:$D149,AH113)
+SUMIFS(Transactions!$I$3:$I149,Transactions!$H$3:$H149,"DRIP",Transactions!$F$3:$F149,"Commodity",Transactions!$D$3:$D149,AH113)
+SUMIFS(Transactions!$I$3:$I149,Transactions!$H$3:$H149,"Transfer Deposit",Transactions!$F$3:$F149,"Commodity",Transactions!$D$3:$D149,AH113)
+SUMIFS(Transactions!$I$3:$I149,Transactions!$H$3:$H149,"Buy",Transactions!$F$3:$F149,"Managed Fund",Transactions!$D$3:$D149,AH113)
+SUMIFS(Transactions!$I$3:$I149,Transactions!$H$3:$H149,"DRIP",Transactions!$F$3:$F149,"Managed Fund",Transactions!$D$3:$D149,AH113)
+SUMIFS(Transactions!$I$3:$I149,Transactions!$H$3:$H149,"Transfer Deposit",Transactions!$F$3:$F149,"Managed Fund",Transactions!$D$3:$D149,AH113)
+SUMIFS(Transactions!$I$3:$I149,Transactions!$H$3:$H149,"Buy",Transactions!$F$3:$F149,"REIT",Transactions!$D$3:$D149,AH113)
+SUMIFS(Transactions!$I$3:$I149,Transactions!$H$3:$H149,"DRIP",Transactions!$F$3:$F149,"REIT",Transactions!$D$3:$D149,AH113)
+SUMIFS(Transactions!$I$3:$I149,Transactions!$H$3:$H149,"Transfer Deposit",Transactions!$F$3:$F149,"REIT",Transactions!$D$3:$D149,AH113)
-SUMIFS(Transactions!$I$3:$I149,Transactions!$H$3:$H149,"Sell",Transactions!$F$3:$F149,"Stock",Transactions!$D$3:$D149,AH113)
-SUMIFS(Transactions!$I$3:$I149,Transactions!$H$3:$H149,"Transfer Send",Transactions!$F$3:$F149,"Stock",Transactions!$D$3:$D149,AH113)
-SUMIFS(Transactions!$I$3:$I149,Transactions!$H$3:$H149,"Sell",Transactions!$F$3:$F149,"ETF",Transactions!$D$3:$D149,AH113)
-SUMIFS(Transactions!$I$3:$I149,Transactions!$H$3:$H149,"Transfer Send",Transactions!$F$3:$F149,"ETF",Transactions!$D$3:$D149,AH113)
-SUMIFS(Transactions!$I$3:$I149,Transactions!$H$3:$H149,"Sell",Transactions!$F$3:$F149,"Commodity",Transactions!$D$3:$D149,AH113)
-SUMIFS(Transactions!$I$3:$I149,Transactions!$H$3:$H149,"Transfer Send",Transactions!$F$3:$F149,"Commodity",Transactions!$D$3:$D149,AH113)
-SUMIFS(Transactions!$I$3:$I149,Transactions!$H$3:$H149,"Sell",Transactions!$F$3:$F149,"Managed Fund",Transactions!$D$3:$D149,AH113)
-SUMIFS(Transactions!$I$3:$I149,Transactions!$H$3:$H149,"Transfer Send",Transactions!$F$3:$F149,"Managed Fund",Transactions!$D$3:$D149,AH113)
-SUMIFS(Transactions!$I$3:$I149,Transactions!$H$3:$H149,"Sell",Transactions!$F$3:$F149,"REIT",Transactions!$D$3:$D149,AH113)
-SUMIFS(Transactions!$I$3:$I149,Transactions!$H$3:$H149,"Transfer Send",Transactions!$F$3:$F149,"REIT",Transactions!$D$3:$D149,AH113)
+SUMIFS(Transactions!$I$3:$I149,Transactions!$H$3:$H149,"Buy",Transactions!$F$3:$F149,"Crypto",Transactions!$D$3:$D149,AH113)
+SUMIFS(Transactions!$I$3:$I149,Transactions!$H$3:$H149,"Crypto Interest",Transactions!$F$3:$F149,"Crypto",Transactions!$D$3:$D149,AH113)
+SUMIFS(Transactions!$I$3:$I149,Transactions!$H$3:$H149,"Transfer Deposit",Transactions!$F$3:$F149,"Crypto",Transactions!$D$3:$D149,AH113)
-SUMIFS(Transactions!$I$3:$I149,Transactions!$H$3:$H149,"Transfer Send",Transactions!$F$3:$F149,"Crypto",Transactions!$D$3:$D149,AH113)
-SUMIFS(Transactions!$I$3:$I149,Transactions!$H$3:$H149,"Sell",Transactions!$F$3:$F149,"Crypto",Transactions!$D$3:$D149,AH113)
+SUMIFS(Transactions!$I$3:$I149,Transactions!$H$3:$H149,"Buy",Transactions!$F$3:$F149,"Stablecoin",Transactions!$D$3:$D149,AH113)
+SUMIFS(Transactions!$I$3:$I149,Transactions!$H$3:$H149,"Crypto Interest",Transactions!$F$3:$F149,"Stablecoin",Transactions!$D$3:$D149,AH113)
+SUMIFS(Transactions!$I$3:$I149,Transactions!$H$3:$H149,"Transfer Deposit",Transactions!$F$3:$F149,"Stablecoin",Transactions!$D$3:$D149,AH113)
-SUMIFS(Transactions!$I$3:$I149,Transactions!$H$3:$H149,"Transfer Send",Transactions!$F$3:$F149,"Stablecoin",Transactions!$D$3:$D149,AH113)
-SUMIFS(Transactions!$I$3:$I149,Transactions!$H$3:$H149,"Sell",Transactions!$F$3:$F149,"Stablecoin",Transactions!$D$3:$D149,AH113)
-SUMIFS(Transactions!$M$3:$M149,Transactions!$H$3:$H149,"Buy",Transactions!$B$3:$B149,AH113)))</f>
        <v/>
      </c>
      <c r="AJ113" s="181" t="str">
        <f>IFERROR(__xludf.DUMMYFUNCTION("IF(ISBLANK(AH113),"""",VLOOKUP(9^99,FILTER({ROW(Transactions!P:P),Transactions!P:P},Transactions!D:D=AH113),2))"),"")</f>
        <v/>
      </c>
      <c r="AK113" s="181" t="str">
        <f>IFERROR(__xludf.DUMMYFUNCTION("IF(ISBLANK(AH113),"""",IFERROR(GOOGLEFINANCE(AH113,""price""),IFERROR(GOOGLEFINANCE(""CURRENCY:""&amp;AH113&amp;""""),IFERROR(INDEX(YAHOO_STOCK(TRIM(AH113), $G$2),0,1),INDEX(IMPORTHTML(CONCAT(""https://coinmarketcap.com/currencies/"",AG113),""table"",1),1,2)))))"),"")</f>
        <v/>
      </c>
      <c r="AL113" s="14" t="str">
        <f>IFERROR(__xludf.DUMMYFUNCTION("IF(ISBLANK(AH113),"""",IFERROR(SPARKLINE(INDEX(GOOGLEFINANCE(AH113,""price"",TODAY()-$AL$2,TODAY()),,2),{""charttype"",""column"";""color"",""17a7e0""}),""""))"),"")</f>
        <v/>
      </c>
      <c r="AM113" s="50" t="str">
        <f>IFERROR(__xludf.DUMMYFUNCTION("IFNA(IFERROR(IF(AH113="""","""",GOOGLEFINANCE(AH113,""changepct"")/100),(GOOGLEFINANCE(AH113)-(INDEX(GOOGLEFINANCE(""CURRENCY:""&amp;AH113&amp;"""",""price"",TODAY()-1),2,2)))/(INDEX(GOOGLEFINANCE(""CURRENCY:""&amp;AH113&amp;"""",""price"",TODAY()-1),2,2))),)"),"")</f>
        <v/>
      </c>
      <c r="AN113" s="96" t="str">
        <f>IFERROR(__xludf.DUMMYFUNCTION("IFNA(IFERROR(IF(AH113="""","""",GOOGLEFINANCE(AH113,""change"")*AI113),(GOOGLEFINANCE(AH113)-(INDEX(GOOGLEFINANCE(""CURRENCY:""&amp;AH113&amp;"""",""price"",TODAY()-1),2,2)))*AI113),"""")"),"")</f>
        <v/>
      </c>
      <c r="AO113" s="96" t="str">
        <f>IF(ISBLANK(AH113),"",IFERROR(((AI113-SUMIFS(Transactions!I:I,Transactions!H:H,"Crypto Interest",Transactions!D:D,AH113))*AJ113),""))</f>
        <v/>
      </c>
      <c r="AP113" s="96" t="str">
        <f t="shared" si="16"/>
        <v/>
      </c>
      <c r="AQ113" s="50" t="str">
        <f t="shared" si="17"/>
        <v/>
      </c>
      <c r="AR113" s="96" t="str">
        <f t="shared" si="18"/>
        <v/>
      </c>
      <c r="AS113" s="96" t="str">
        <f>IF(ISBLANK(AH113),"",SUMIFS(Transactions!$X$3:$X149,Transactions!$H$3:$H149,"Sell",Transactions!$D$3:$D149,AH113))</f>
        <v/>
      </c>
      <c r="AT113" s="96" t="str">
        <f t="shared" si="19"/>
        <v/>
      </c>
      <c r="AU113" s="50" t="str">
        <f>IFERROR(__xludf.DUMMYFUNCTION("IF(ISBLANK(AH113),"""",IFERROR((GOOGLEFINANCE(AH113,""price"")/INDEX(GOOGLEFINANCE(AH113,""price"",DATEVALUE(TODAY()-$AU$2) ),2,2)-1),""""))"),"")</f>
        <v/>
      </c>
      <c r="AW113" s="50" t="str">
        <f>IFERROR(__xludf.DUMMYFUNCTION("IF(ISBLANK(AH113),"""",IFERROR((GOOGLEFINANCE($AW$2,""price"")/INDEX(GOOGLEFINANCE($AW$2,""price"",DATEVALUE(TODAY()-$AU$2) ),2,2)-1),""""))"),"")</f>
        <v/>
      </c>
      <c r="AY113" s="50" t="str">
        <f t="shared" si="20"/>
        <v/>
      </c>
      <c r="AZ113" s="50" t="str">
        <f t="shared" si="21"/>
        <v/>
      </c>
      <c r="BA113" s="50" t="str">
        <f t="shared" si="22"/>
        <v/>
      </c>
      <c r="BB113" s="14" t="str">
        <f t="shared" si="23"/>
        <v/>
      </c>
      <c r="BC113" s="14" t="str">
        <f>IF(ISBLANK(AH113),"",IFERROR(VLOOKUP(AH113,Transactions!D:F,3,0)))</f>
        <v/>
      </c>
      <c r="BD113" s="50" t="str">
        <f t="shared" si="24"/>
        <v/>
      </c>
      <c r="BE113" s="50" t="str">
        <f t="shared" si="25"/>
        <v/>
      </c>
      <c r="BF113" s="14" t="str">
        <f t="shared" si="26"/>
        <v/>
      </c>
      <c r="BG113" s="180" t="str">
        <f>IF(ISBLANK(AH113),"",IFERROR(VLOOKUP(AH113,Transactions!D:G,4,0)))</f>
        <v/>
      </c>
    </row>
    <row r="114">
      <c r="A114" s="14" t="str">
        <f t="shared" ref="A114:C114" si="137">AG114</f>
        <v/>
      </c>
      <c r="B114" s="14" t="str">
        <f t="shared" si="137"/>
        <v/>
      </c>
      <c r="C114" s="175" t="str">
        <f t="shared" si="137"/>
        <v/>
      </c>
      <c r="D114" s="176" t="str">
        <f>IFERROR(__xludf.DUMMYFUNCTION("IF(ISBLANK(B114),"""",IFERROR(IF(OR(AF114=""GPB"",AF114=""ZAR""),IF(AF114=Dashboard!$L$1,AJ114,(AJ114*GOOGLEFINANCE(""CURRENCY:""&amp;AF114&amp;""""&amp;Dashboard!$L$1&amp;""""))/100),IF(AF114=Dashboard!$L$1,AJ114,AJ114*GOOGLEFINANCE(""CURRENCY:""&amp;AF114&amp;""""&amp;Dashboard!$L"&amp;"$1&amp;""""))),AJ114))"),"")</f>
        <v/>
      </c>
      <c r="E114" s="177" t="str">
        <f>IFERROR(__xludf.DUMMYFUNCTION("IFERROR(IF(OR(AF114=""GBP"",AF114=""ZAR""),IF(B114="""","""",IF(AF114=Dashboard!$L$1,AK114,AK114*GOOGLEFINANCE(""CURRENCY:""&amp;AF114&amp;""""&amp;Dashboard!$L$1&amp;"""")))/100,If(B114="""","""",IF(AF114=Dashboard!$L$1,AK114,AK114*GOOGLEFINANCE(""CURRENCY:""&amp;AF114&amp;"""""&amp;"&amp;Dashboard!$L$1&amp;"""")))),AK114)"),"")</f>
        <v/>
      </c>
      <c r="F114" s="145" t="str">
        <f t="shared" si="65"/>
        <v/>
      </c>
      <c r="G114" s="96" t="str">
        <f>IFERROR(__xludf.DUMMYFUNCTION("IF(ISBLANK(B114),"""",IFERROR(SPARKLINE(INDEX(GOOGLEFINANCE(B114,""price"",TODAY()-$G$2,TODAY()),,2),{""charttype"",""column"";""color"",""17a7e0""}),""""))"),"")</f>
        <v/>
      </c>
      <c r="H114" s="50" t="str">
        <f t="shared" si="3"/>
        <v/>
      </c>
      <c r="I114" s="96" t="str">
        <f>IFERROR(__xludf.DUMMYFUNCTION("IF(ISBLANK(B114),"""",IFERROR(IF(OR(AF114=""GPB"",AF114=""ZAR""),IF(AF114=Dashboard!$L$1,AN114,(AN114*GOOGLEFINANCE(""CURRENCY:""&amp;AF114&amp;""""&amp;Dashboard!$L$1&amp;""""))/100),IF(AF114=Dashboard!$L$1,AN114,AN114*GOOGLEFINANCE(""CURRENCY:""&amp;AF114&amp;""""&amp;Dashboard!$L"&amp;"$1&amp;""""))),AN114))"),"")</f>
        <v/>
      </c>
      <c r="J114" s="178" t="str">
        <f>IF(ISBLANK(B114),"",IFERROR(((C114-SUMIFS(Transactions!I:I,Transactions!H:H,"Crypto Interest",Transactions!D:D,B114))*D114),""))</f>
        <v/>
      </c>
      <c r="K114" s="178" t="str">
        <f t="shared" si="4"/>
        <v/>
      </c>
      <c r="L114" s="145">
        <f>IF(ISBLANK(AF114),"",SUMIFS(Transactions!$M$3:$M149,Transactions!$H$3:$H149,"Buy",Transactions!$D$3:$D149,AF114))</f>
        <v>0</v>
      </c>
      <c r="M114" s="145">
        <f>IF(ISBLANK(AG114),"",SUMIFS(Transactions!$M$3:$M149,Transactions!$H$3:$H149,"Dividend",Transactions!$D$3:$D149,AG114))</f>
        <v>0</v>
      </c>
      <c r="N114" s="145" t="str">
        <f>IF(ISBLANK(AH114),"",SUMIFS(Transactions!$M$3:$M149,Transactions!$H$3:$H149,"Sell",Transactions!$D$3:$D149,AH114))</f>
        <v/>
      </c>
      <c r="O114" s="50" t="str">
        <f t="shared" si="5"/>
        <v/>
      </c>
      <c r="P114" s="178" t="str">
        <f t="shared" si="6"/>
        <v/>
      </c>
      <c r="Q114" s="178" t="str">
        <f>IFERROR(__xludf.DUMMYFUNCTION("IF(ISBLANK(B114),"""",IFERROR(IF(OR(AF114=""GPB"",AF114=""ZAR""),IF(AF114=Dashboard!$L$1,AS114,(AS114*GOOGLEFINANCE(""CURRENCY:""&amp;AF114&amp;""""&amp;Dashboard!$L$1&amp;""""))/100),IF(AF114=Dashboard!$L$1,AS114,AS114*GOOGLEFINANCE(""CURRENCY:""&amp;AF114&amp;""""&amp;Dashboard!$L"&amp;"$1&amp;""""))),AS114))"),"")</f>
        <v/>
      </c>
      <c r="R114" s="178" t="str">
        <f t="shared" si="7"/>
        <v/>
      </c>
      <c r="S114" s="50" t="str">
        <f>IFERROR(__xludf.DUMMYFUNCTION("IF(ISBLANK(B114),"""",IFERROR((GOOGLEFINANCE(B114,""price"")/INDEX(GOOGLEFINANCE(B114,""price"",DATEVALUE(TODAY()-$S$2) ),2,2)-1),""""))"),"")</f>
        <v/>
      </c>
      <c r="U114" s="50" t="str">
        <f>IFERROR(__xludf.DUMMYFUNCTION("IF(ISBLANK(B114),"""",IFERROR((GOOGLEFINANCE($U$2,""price"")/INDEX(GOOGLEFINANCE($U$2,""price"",DATEVALUE(TODAY()-$S$2) ),2,2)-1),""""))"),"")</f>
        <v/>
      </c>
      <c r="W114" s="50" t="str">
        <f t="shared" si="8"/>
        <v/>
      </c>
      <c r="X114" s="50" t="str">
        <f t="shared" si="9"/>
        <v/>
      </c>
      <c r="Y114" s="50"/>
      <c r="Z114" s="50" t="str">
        <f t="shared" si="10"/>
        <v/>
      </c>
      <c r="AA114" s="14" t="str">
        <f t="shared" si="11"/>
        <v/>
      </c>
      <c r="AB114" s="50" t="str">
        <f t="shared" si="12"/>
        <v/>
      </c>
      <c r="AC114" s="179" t="str">
        <f t="shared" si="13"/>
        <v/>
      </c>
      <c r="AD114" s="50" t="str">
        <f t="shared" si="14"/>
        <v/>
      </c>
      <c r="AE114" s="180" t="str">
        <f t="shared" si="15"/>
        <v/>
      </c>
      <c r="AF114" s="14" t="str">
        <f t="array" ref="AF114">IFERROR(IF(ISBLANK(AH114),"",IF(VLOOKUP(AH114,Transactions!D:F,3,0)="Stablecoin",AH114,INDEX(Transactions!$B$3:$B149,MATCH(AH114,Transactions!$D$3:$D149,0),0))))</f>
        <v/>
      </c>
      <c r="AG114" s="14" t="str">
        <f>IF(ISBLANK(AH114),"",VLOOKUP(AH114,Transactions!D:E,2,0))</f>
        <v/>
      </c>
      <c r="AH114" s="14"/>
      <c r="AI114" s="146" t="str">
        <f>IF(ISBLANK(AH114),"",IF(
SUMIFS(Transactions!$I$3:$I149,Transactions!$H$3:$H149,"Buy",Transactions!$F$3:$F149,"Stock",Transactions!$D$3:$D149,AH114)
+SUMIFS(Transactions!$I$3:$I149,Transactions!$H$3:$H149,"DRIP",Transactions!$F$3:$F149,"Stock",Transactions!$D$3:$D149,AH114)
+SUMIFS(Transactions!$I$3:$I149,Transactions!$H$3:$H149,"Transfer Deposit",Transactions!$F$3:$F149,"Stock",Transactions!$D$3:$D149,AH114)
+SUMIFS(Transactions!$I$3:$I149,Transactions!$H$3:$H149,"Buy",Transactions!$F$3:$F149,"ETF",Transactions!$D$3:$D149,AH114)
+SUMIFS(Transactions!$I$3:$I149,Transactions!$H$3:$H149,"DRIP",Transactions!$F$3:$F149,"ETF",Transactions!$D$3:$D149,AH114)
+SUMIFS(Transactions!$I$3:$I149,Transactions!$H$3:$H149,"Transfer Deposit",Transactions!$F$3:$F149,"ETF",Transactions!$D$3:$D149,AH114)
+SUMIFS(Transactions!$I$3:$I149,Transactions!$H$3:$H149,"Buy",Transactions!$F$3:$F149,"Commodity",Transactions!$D$3:$D149,AH114)
+SUMIFS(Transactions!$I$3:$I149,Transactions!$H$3:$H149,"DRIP",Transactions!$F$3:$F149,"Commodity",Transactions!$D$3:$D149,AH114)
+SUMIFS(Transactions!$I$3:$I149,Transactions!$H$3:$H149,"Transfer Deposit",Transactions!$F$3:$F149,"Commodity",Transactions!$D$3:$D149,AH114)
+SUMIFS(Transactions!$I$3:$I149,Transactions!$H$3:$H149,"Buy",Transactions!$F$3:$F149,"Managed Fund",Transactions!$D$3:$D149,AH114)
+SUMIFS(Transactions!$I$3:$I149,Transactions!$H$3:$H149,"DRIP",Transactions!$F$3:$F149,"Managed Fund",Transactions!$D$3:$D149,AH114)
+SUMIFS(Transactions!$I$3:$I149,Transactions!$H$3:$H149,"Transfer Deposit",Transactions!$F$3:$F149,"Managed Fund",Transactions!$D$3:$D149,AH114)
+SUMIFS(Transactions!$I$3:$I149,Transactions!$H$3:$H149,"Buy",Transactions!$F$3:$F149,"REIT",Transactions!$D$3:$D149,AH114)
+SUMIFS(Transactions!$I$3:$I149,Transactions!$H$3:$H149,"DRIP",Transactions!$F$3:$F149,"REIT",Transactions!$D$3:$D149,AH114)
+SUMIFS(Transactions!$I$3:$I149,Transactions!$H$3:$H149,"Transfer Deposit",Transactions!$F$3:$F149,"REIT",Transactions!$D$3:$D149,AH114)
-SUMIFS(Transactions!$I$3:$I149,Transactions!$H$3:$H149,"Sell",Transactions!$F$3:$F149,"Stock",Transactions!$D$3:$D149,AH114)
-SUMIFS(Transactions!$I$3:$I149,Transactions!$H$3:$H149,"Transfer Send",Transactions!$F$3:$F149,"Stock",Transactions!$D$3:$D149,AH114)
-SUMIFS(Transactions!$I$3:$I149,Transactions!$H$3:$H149,"Sell",Transactions!$F$3:$F149,"ETF",Transactions!$D$3:$D149,AH114)
-SUMIFS(Transactions!$I$3:$I149,Transactions!$H$3:$H149,"Transfer Send",Transactions!$F$3:$F149,"ETF",Transactions!$D$3:$D149,AH114)
-SUMIFS(Transactions!$I$3:$I149,Transactions!$H$3:$H149,"Sell",Transactions!$F$3:$F149,"Commodity",Transactions!$D$3:$D149,AH114)
-SUMIFS(Transactions!$I$3:$I149,Transactions!$H$3:$H149,"Transfer Send",Transactions!$F$3:$F149,"Commodity",Transactions!$D$3:$D149,AH114)
-SUMIFS(Transactions!$I$3:$I149,Transactions!$H$3:$H149,"Sell",Transactions!$F$3:$F149,"Managed Fund",Transactions!$D$3:$D149,AH114)
-SUMIFS(Transactions!$I$3:$I149,Transactions!$H$3:$H149,"Transfer Send",Transactions!$F$3:$F149,"Managed Fund",Transactions!$D$3:$D149,AH114)
-SUMIFS(Transactions!$I$3:$I149,Transactions!$H$3:$H149,"Sell",Transactions!$F$3:$F149,"REIT",Transactions!$D$3:$D149,AH114)
-SUMIFS(Transactions!$I$3:$I149,Transactions!$H$3:$H149,"Transfer Send",Transactions!$F$3:$F149,"REIT",Transactions!$D$3:$D149,AH114)
+SUMIFS(Transactions!$I$3:$I149,Transactions!$H$3:$H149,"Buy",Transactions!$F$3:$F149,"Crypto",Transactions!$D$3:$D149,AH114)
+SUMIFS(Transactions!$I$3:$I149,Transactions!$H$3:$H149,"Crypto Interest",Transactions!$F$3:$F149,"Crypto",Transactions!$D$3:$D149,AH114)
+SUMIFS(Transactions!$I$3:$I149,Transactions!$H$3:$H149,"Transfer Deposit",Transactions!$F$3:$F149,"Crypto",Transactions!$D$3:$D149,AH114)
-SUMIFS(Transactions!$I$3:$I149,Transactions!$H$3:$H149,"Transfer Send",Transactions!$F$3:$F149,"Crypto",Transactions!$D$3:$D149,AH114)
-SUMIFS(Transactions!$I$3:$I149,Transactions!$H$3:$H149,"Sell",Transactions!$F$3:$F149,"Crypto",Transactions!$D$3:$D149,AH114)
+SUMIFS(Transactions!$I$3:$I149,Transactions!$H$3:$H149,"Buy",Transactions!$F$3:$F149,"Stablecoin",Transactions!$D$3:$D149,AH114)
+SUMIFS(Transactions!$I$3:$I149,Transactions!$H$3:$H149,"Crypto Interest",Transactions!$F$3:$F149,"Stablecoin",Transactions!$D$3:$D149,AH114)
+SUMIFS(Transactions!$I$3:$I149,Transactions!$H$3:$H149,"Transfer Deposit",Transactions!$F$3:$F149,"Stablecoin",Transactions!$D$3:$D149,AH114)
-SUMIFS(Transactions!$I$3:$I149,Transactions!$H$3:$H149,"Transfer Send",Transactions!$F$3:$F149,"Stablecoin",Transactions!$D$3:$D149,AH114)
-SUMIFS(Transactions!$I$3:$I149,Transactions!$H$3:$H149,"Sell",Transactions!$F$3:$F149,"Stablecoin",Transactions!$D$3:$D149,AH114)
-SUMIFS(Transactions!$M$3:$M149,Transactions!$H$3:$H149,"Buy",Transactions!$B$3:$B149,AH114)=0,"Sold All",
SUMIFS(Transactions!$I$3:$I149,Transactions!$H$3:$H149,"Buy",Transactions!$F$3:$F149,"Stock",Transactions!$D$3:$D149,AH114)
+SUMIFS(Transactions!$I$3:$I149,Transactions!$H$3:$H149,"DRIP",Transactions!$F$3:$F149,"Stock",Transactions!$D$3:$D149,AH114)
+SUMIFS(Transactions!$I$3:$I149,Transactions!$H$3:$H149,"Transfer Deposit",Transactions!$F$3:$F149,"Stock",Transactions!$D$3:$D149,AH114)
+SUMIFS(Transactions!$I$3:$I149,Transactions!$H$3:$H149,"Buy",Transactions!$F$3:$F149,"ETF",Transactions!$D$3:$D149,AH114)
+SUMIFS(Transactions!$I$3:$I149,Transactions!$H$3:$H149,"DRIP",Transactions!$F$3:$F149,"ETF",Transactions!$D$3:$D149,AH114)
+SUMIFS(Transactions!$I$3:$I149,Transactions!$H$3:$H149,"Transfer Deposit",Transactions!$F$3:$F149,"ETF",Transactions!$D$3:$D149,AH114)
+SUMIFS(Transactions!$I$3:$I149,Transactions!$H$3:$H149,"Buy",Transactions!$F$3:$F149,"Commodity",Transactions!$D$3:$D149,AH114)
+SUMIFS(Transactions!$I$3:$I149,Transactions!$H$3:$H149,"DRIP",Transactions!$F$3:$F149,"Commodity",Transactions!$D$3:$D149,AH114)
+SUMIFS(Transactions!$I$3:$I149,Transactions!$H$3:$H149,"Transfer Deposit",Transactions!$F$3:$F149,"Commodity",Transactions!$D$3:$D149,AH114)
+SUMIFS(Transactions!$I$3:$I149,Transactions!$H$3:$H149,"Buy",Transactions!$F$3:$F149,"Managed Fund",Transactions!$D$3:$D149,AH114)
+SUMIFS(Transactions!$I$3:$I149,Transactions!$H$3:$H149,"DRIP",Transactions!$F$3:$F149,"Managed Fund",Transactions!$D$3:$D149,AH114)
+SUMIFS(Transactions!$I$3:$I149,Transactions!$H$3:$H149,"Transfer Deposit",Transactions!$F$3:$F149,"Managed Fund",Transactions!$D$3:$D149,AH114)
+SUMIFS(Transactions!$I$3:$I149,Transactions!$H$3:$H149,"Buy",Transactions!$F$3:$F149,"REIT",Transactions!$D$3:$D149,AH114)
+SUMIFS(Transactions!$I$3:$I149,Transactions!$H$3:$H149,"DRIP",Transactions!$F$3:$F149,"REIT",Transactions!$D$3:$D149,AH114)
+SUMIFS(Transactions!$I$3:$I149,Transactions!$H$3:$H149,"Transfer Deposit",Transactions!$F$3:$F149,"REIT",Transactions!$D$3:$D149,AH114)
-SUMIFS(Transactions!$I$3:$I149,Transactions!$H$3:$H149,"Sell",Transactions!$F$3:$F149,"Stock",Transactions!$D$3:$D149,AH114)
-SUMIFS(Transactions!$I$3:$I149,Transactions!$H$3:$H149,"Transfer Send",Transactions!$F$3:$F149,"Stock",Transactions!$D$3:$D149,AH114)
-SUMIFS(Transactions!$I$3:$I149,Transactions!$H$3:$H149,"Sell",Transactions!$F$3:$F149,"ETF",Transactions!$D$3:$D149,AH114)
-SUMIFS(Transactions!$I$3:$I149,Transactions!$H$3:$H149,"Transfer Send",Transactions!$F$3:$F149,"ETF",Transactions!$D$3:$D149,AH114)
-SUMIFS(Transactions!$I$3:$I149,Transactions!$H$3:$H149,"Sell",Transactions!$F$3:$F149,"Commodity",Transactions!$D$3:$D149,AH114)
-SUMIFS(Transactions!$I$3:$I149,Transactions!$H$3:$H149,"Transfer Send",Transactions!$F$3:$F149,"Commodity",Transactions!$D$3:$D149,AH114)
-SUMIFS(Transactions!$I$3:$I149,Transactions!$H$3:$H149,"Sell",Transactions!$F$3:$F149,"Managed Fund",Transactions!$D$3:$D149,AH114)
-SUMIFS(Transactions!$I$3:$I149,Transactions!$H$3:$H149,"Transfer Send",Transactions!$F$3:$F149,"Managed Fund",Transactions!$D$3:$D149,AH114)
-SUMIFS(Transactions!$I$3:$I149,Transactions!$H$3:$H149,"Sell",Transactions!$F$3:$F149,"REIT",Transactions!$D$3:$D149,AH114)
-SUMIFS(Transactions!$I$3:$I149,Transactions!$H$3:$H149,"Transfer Send",Transactions!$F$3:$F149,"REIT",Transactions!$D$3:$D149,AH114)
+SUMIFS(Transactions!$I$3:$I149,Transactions!$H$3:$H149,"Buy",Transactions!$F$3:$F149,"Crypto",Transactions!$D$3:$D149,AH114)
+SUMIFS(Transactions!$I$3:$I149,Transactions!$H$3:$H149,"Crypto Interest",Transactions!$F$3:$F149,"Crypto",Transactions!$D$3:$D149,AH114)
+SUMIFS(Transactions!$I$3:$I149,Transactions!$H$3:$H149,"Transfer Deposit",Transactions!$F$3:$F149,"Crypto",Transactions!$D$3:$D149,AH114)
-SUMIFS(Transactions!$I$3:$I149,Transactions!$H$3:$H149,"Transfer Send",Transactions!$F$3:$F149,"Crypto",Transactions!$D$3:$D149,AH114)
-SUMIFS(Transactions!$I$3:$I149,Transactions!$H$3:$H149,"Sell",Transactions!$F$3:$F149,"Crypto",Transactions!$D$3:$D149,AH114)
+SUMIFS(Transactions!$I$3:$I149,Transactions!$H$3:$H149,"Buy",Transactions!$F$3:$F149,"Stablecoin",Transactions!$D$3:$D149,AH114)
+SUMIFS(Transactions!$I$3:$I149,Transactions!$H$3:$H149,"Crypto Interest",Transactions!$F$3:$F149,"Stablecoin",Transactions!$D$3:$D149,AH114)
+SUMIFS(Transactions!$I$3:$I149,Transactions!$H$3:$H149,"Transfer Deposit",Transactions!$F$3:$F149,"Stablecoin",Transactions!$D$3:$D149,AH114)
-SUMIFS(Transactions!$I$3:$I149,Transactions!$H$3:$H149,"Transfer Send",Transactions!$F$3:$F149,"Stablecoin",Transactions!$D$3:$D149,AH114)
-SUMIFS(Transactions!$I$3:$I149,Transactions!$H$3:$H149,"Sell",Transactions!$F$3:$F149,"Stablecoin",Transactions!$D$3:$D149,AH114)
-SUMIFS(Transactions!$M$3:$M149,Transactions!$H$3:$H149,"Buy",Transactions!$B$3:$B149,AH114)))</f>
        <v/>
      </c>
      <c r="AJ114" s="181" t="str">
        <f>IFERROR(__xludf.DUMMYFUNCTION("IF(ISBLANK(AH114),"""",VLOOKUP(9^99,FILTER({ROW(Transactions!P:P),Transactions!P:P},Transactions!D:D=AH114),2))"),"")</f>
        <v/>
      </c>
      <c r="AK114" s="181" t="str">
        <f>IFERROR(__xludf.DUMMYFUNCTION("IF(ISBLANK(AH114),"""",IFERROR(GOOGLEFINANCE(AH114,""price""),IFERROR(GOOGLEFINANCE(""CURRENCY:""&amp;AH114&amp;""""),IFERROR(INDEX(YAHOO_STOCK(TRIM(AH114), $G$2),0,1),INDEX(IMPORTHTML(CONCAT(""https://coinmarketcap.com/currencies/"",AG114),""table"",1),1,2)))))"),"")</f>
        <v/>
      </c>
      <c r="AL114" s="14" t="str">
        <f>IFERROR(__xludf.DUMMYFUNCTION("IF(ISBLANK(AH114),"""",IFERROR(SPARKLINE(INDEX(GOOGLEFINANCE(AH114,""price"",TODAY()-$AL$2,TODAY()),,2),{""charttype"",""column"";""color"",""17a7e0""}),""""))"),"")</f>
        <v/>
      </c>
      <c r="AM114" s="50" t="str">
        <f>IFERROR(__xludf.DUMMYFUNCTION("IFNA(IFERROR(IF(AH114="""","""",GOOGLEFINANCE(AH114,""changepct"")/100),(GOOGLEFINANCE(AH114)-(INDEX(GOOGLEFINANCE(""CURRENCY:""&amp;AH114&amp;"""",""price"",TODAY()-1),2,2)))/(INDEX(GOOGLEFINANCE(""CURRENCY:""&amp;AH114&amp;"""",""price"",TODAY()-1),2,2))),)"),"")</f>
        <v/>
      </c>
      <c r="AN114" s="96" t="str">
        <f>IFERROR(__xludf.DUMMYFUNCTION("IFNA(IFERROR(IF(AH114="""","""",GOOGLEFINANCE(AH114,""change"")*AI114),(GOOGLEFINANCE(AH114)-(INDEX(GOOGLEFINANCE(""CURRENCY:""&amp;AH114&amp;"""",""price"",TODAY()-1),2,2)))*AI114),"""")"),"")</f>
        <v/>
      </c>
      <c r="AO114" s="96" t="str">
        <f>IF(ISBLANK(AH114),"",IFERROR(((AI114-SUMIFS(Transactions!I:I,Transactions!H:H,"Crypto Interest",Transactions!D:D,AH114))*AJ114),""))</f>
        <v/>
      </c>
      <c r="AP114" s="96" t="str">
        <f t="shared" si="16"/>
        <v/>
      </c>
      <c r="AQ114" s="50" t="str">
        <f t="shared" si="17"/>
        <v/>
      </c>
      <c r="AR114" s="96" t="str">
        <f t="shared" si="18"/>
        <v/>
      </c>
      <c r="AS114" s="96" t="str">
        <f>IF(ISBLANK(AH114),"",SUMIFS(Transactions!$X$3:$X149,Transactions!$H$3:$H149,"Sell",Transactions!$D$3:$D149,AH114))</f>
        <v/>
      </c>
      <c r="AT114" s="96" t="str">
        <f t="shared" si="19"/>
        <v/>
      </c>
      <c r="AU114" s="50" t="str">
        <f>IFERROR(__xludf.DUMMYFUNCTION("IF(ISBLANK(AH114),"""",IFERROR((GOOGLEFINANCE(AH114,""price"")/INDEX(GOOGLEFINANCE(AH114,""price"",DATEVALUE(TODAY()-$AU$2) ),2,2)-1),""""))"),"")</f>
        <v/>
      </c>
      <c r="AW114" s="50" t="str">
        <f>IFERROR(__xludf.DUMMYFUNCTION("IF(ISBLANK(AH114),"""",IFERROR((GOOGLEFINANCE($AW$2,""price"")/INDEX(GOOGLEFINANCE($AW$2,""price"",DATEVALUE(TODAY()-$AU$2) ),2,2)-1),""""))"),"")</f>
        <v/>
      </c>
      <c r="AY114" s="50" t="str">
        <f t="shared" si="20"/>
        <v/>
      </c>
      <c r="AZ114" s="50" t="str">
        <f t="shared" si="21"/>
        <v/>
      </c>
      <c r="BA114" s="50" t="str">
        <f t="shared" si="22"/>
        <v/>
      </c>
      <c r="BB114" s="14" t="str">
        <f t="shared" si="23"/>
        <v/>
      </c>
      <c r="BC114" s="14" t="str">
        <f>IF(ISBLANK(AH114),"",IFERROR(VLOOKUP(AH114,Transactions!D:F,3,0)))</f>
        <v/>
      </c>
      <c r="BD114" s="50" t="str">
        <f t="shared" si="24"/>
        <v/>
      </c>
      <c r="BE114" s="50" t="str">
        <f t="shared" si="25"/>
        <v/>
      </c>
      <c r="BF114" s="14" t="str">
        <f t="shared" si="26"/>
        <v/>
      </c>
      <c r="BG114" s="180" t="str">
        <f>IF(ISBLANK(AH114),"",IFERROR(VLOOKUP(AH114,Transactions!D:G,4,0)))</f>
        <v/>
      </c>
    </row>
    <row r="115">
      <c r="A115" s="14" t="str">
        <f t="shared" ref="A115:C115" si="138">AG115</f>
        <v/>
      </c>
      <c r="B115" s="14" t="str">
        <f t="shared" si="138"/>
        <v/>
      </c>
      <c r="C115" s="175" t="str">
        <f t="shared" si="138"/>
        <v/>
      </c>
      <c r="D115" s="176" t="str">
        <f>IFERROR(__xludf.DUMMYFUNCTION("IF(ISBLANK(B115),"""",IFERROR(IF(OR(AF115=""GPB"",AF115=""ZAR""),IF(AF115=Dashboard!$L$1,AJ115,(AJ115*GOOGLEFINANCE(""CURRENCY:""&amp;AF115&amp;""""&amp;Dashboard!$L$1&amp;""""))/100),IF(AF115=Dashboard!$L$1,AJ115,AJ115*GOOGLEFINANCE(""CURRENCY:""&amp;AF115&amp;""""&amp;Dashboard!$L"&amp;"$1&amp;""""))),AJ115))"),"")</f>
        <v/>
      </c>
      <c r="E115" s="177" t="str">
        <f>IFERROR(__xludf.DUMMYFUNCTION("IFERROR(IF(OR(AF115=""GBP"",AF115=""ZAR""),IF(B115="""","""",IF(AF115=Dashboard!$L$1,AK115,AK115*GOOGLEFINANCE(""CURRENCY:""&amp;AF115&amp;""""&amp;Dashboard!$L$1&amp;"""")))/100,If(B115="""","""",IF(AF115=Dashboard!$L$1,AK115,AK115*GOOGLEFINANCE(""CURRENCY:""&amp;AF115&amp;"""""&amp;"&amp;Dashboard!$L$1&amp;"""")))),AK115)"),"")</f>
        <v/>
      </c>
      <c r="F115" s="145" t="str">
        <f t="shared" si="65"/>
        <v/>
      </c>
      <c r="G115" s="96" t="str">
        <f>IFERROR(__xludf.DUMMYFUNCTION("IF(ISBLANK(B115),"""",IFERROR(SPARKLINE(INDEX(GOOGLEFINANCE(B115,""price"",TODAY()-$G$2,TODAY()),,2),{""charttype"",""column"";""color"",""17a7e0""}),""""))"),"")</f>
        <v/>
      </c>
      <c r="H115" s="50" t="str">
        <f t="shared" si="3"/>
        <v/>
      </c>
      <c r="I115" s="96" t="str">
        <f>IFERROR(__xludf.DUMMYFUNCTION("IF(ISBLANK(B115),"""",IFERROR(IF(OR(AF115=""GPB"",AF115=""ZAR""),IF(AF115=Dashboard!$L$1,AN115,(AN115*GOOGLEFINANCE(""CURRENCY:""&amp;AF115&amp;""""&amp;Dashboard!$L$1&amp;""""))/100),IF(AF115=Dashboard!$L$1,AN115,AN115*GOOGLEFINANCE(""CURRENCY:""&amp;AF115&amp;""""&amp;Dashboard!$L"&amp;"$1&amp;""""))),AN115))"),"")</f>
        <v/>
      </c>
      <c r="J115" s="178" t="str">
        <f>IF(ISBLANK(B115),"",IFERROR(((C115-SUMIFS(Transactions!I:I,Transactions!H:H,"Crypto Interest",Transactions!D:D,B115))*D115),""))</f>
        <v/>
      </c>
      <c r="K115" s="178" t="str">
        <f t="shared" si="4"/>
        <v/>
      </c>
      <c r="L115" s="145">
        <f>IF(ISBLANK(AF115),"",SUMIFS(Transactions!$M$3:$M149,Transactions!$H$3:$H149,"Buy",Transactions!$D$3:$D149,AF115))</f>
        <v>0</v>
      </c>
      <c r="M115" s="145">
        <f>IF(ISBLANK(AG115),"",SUMIFS(Transactions!$M$3:$M149,Transactions!$H$3:$H149,"Dividend",Transactions!$D$3:$D149,AG115))</f>
        <v>0</v>
      </c>
      <c r="N115" s="145" t="str">
        <f>IF(ISBLANK(AH115),"",SUMIFS(Transactions!$M$3:$M149,Transactions!$H$3:$H149,"Sell",Transactions!$D$3:$D149,AH115))</f>
        <v/>
      </c>
      <c r="O115" s="50" t="str">
        <f t="shared" si="5"/>
        <v/>
      </c>
      <c r="P115" s="178" t="str">
        <f t="shared" si="6"/>
        <v/>
      </c>
      <c r="Q115" s="178" t="str">
        <f>IFERROR(__xludf.DUMMYFUNCTION("IF(ISBLANK(B115),"""",IFERROR(IF(OR(AF115=""GPB"",AF115=""ZAR""),IF(AF115=Dashboard!$L$1,AS115,(AS115*GOOGLEFINANCE(""CURRENCY:""&amp;AF115&amp;""""&amp;Dashboard!$L$1&amp;""""))/100),IF(AF115=Dashboard!$L$1,AS115,AS115*GOOGLEFINANCE(""CURRENCY:""&amp;AF115&amp;""""&amp;Dashboard!$L"&amp;"$1&amp;""""))),AS115))"),"")</f>
        <v/>
      </c>
      <c r="R115" s="178" t="str">
        <f t="shared" si="7"/>
        <v/>
      </c>
      <c r="S115" s="50" t="str">
        <f>IFERROR(__xludf.DUMMYFUNCTION("IF(ISBLANK(B115),"""",IFERROR((GOOGLEFINANCE(B115,""price"")/INDEX(GOOGLEFINANCE(B115,""price"",DATEVALUE(TODAY()-$S$2) ),2,2)-1),""""))"),"")</f>
        <v/>
      </c>
      <c r="U115" s="50" t="str">
        <f>IFERROR(__xludf.DUMMYFUNCTION("IF(ISBLANK(B115),"""",IFERROR((GOOGLEFINANCE($U$2,""price"")/INDEX(GOOGLEFINANCE($U$2,""price"",DATEVALUE(TODAY()-$S$2) ),2,2)-1),""""))"),"")</f>
        <v/>
      </c>
      <c r="W115" s="50" t="str">
        <f t="shared" si="8"/>
        <v/>
      </c>
      <c r="X115" s="50" t="str">
        <f t="shared" si="9"/>
        <v/>
      </c>
      <c r="Y115" s="50"/>
      <c r="Z115" s="50" t="str">
        <f t="shared" si="10"/>
        <v/>
      </c>
      <c r="AA115" s="14" t="str">
        <f t="shared" si="11"/>
        <v/>
      </c>
      <c r="AB115" s="50" t="str">
        <f t="shared" si="12"/>
        <v/>
      </c>
      <c r="AC115" s="179" t="str">
        <f t="shared" si="13"/>
        <v/>
      </c>
      <c r="AD115" s="50" t="str">
        <f t="shared" si="14"/>
        <v/>
      </c>
      <c r="AE115" s="180" t="str">
        <f t="shared" si="15"/>
        <v/>
      </c>
      <c r="AF115" s="14" t="str">
        <f t="array" ref="AF115">IFERROR(IF(ISBLANK(AH115),"",IF(VLOOKUP(AH115,Transactions!D:F,3,0)="Stablecoin",AH115,INDEX(Transactions!$B$3:$B149,MATCH(AH115,Transactions!$D$3:$D149,0),0))))</f>
        <v/>
      </c>
      <c r="AG115" s="14" t="str">
        <f>IF(ISBLANK(AH115),"",VLOOKUP(AH115,Transactions!D:E,2,0))</f>
        <v/>
      </c>
      <c r="AH115" s="14"/>
      <c r="AI115" s="146" t="str">
        <f>IF(ISBLANK(AH115),"",IF(
SUMIFS(Transactions!$I$3:$I149,Transactions!$H$3:$H149,"Buy",Transactions!$F$3:$F149,"Stock",Transactions!$D$3:$D149,AH115)
+SUMIFS(Transactions!$I$3:$I149,Transactions!$H$3:$H149,"DRIP",Transactions!$F$3:$F149,"Stock",Transactions!$D$3:$D149,AH115)
+SUMIFS(Transactions!$I$3:$I149,Transactions!$H$3:$H149,"Transfer Deposit",Transactions!$F$3:$F149,"Stock",Transactions!$D$3:$D149,AH115)
+SUMIFS(Transactions!$I$3:$I149,Transactions!$H$3:$H149,"Buy",Transactions!$F$3:$F149,"ETF",Transactions!$D$3:$D149,AH115)
+SUMIFS(Transactions!$I$3:$I149,Transactions!$H$3:$H149,"DRIP",Transactions!$F$3:$F149,"ETF",Transactions!$D$3:$D149,AH115)
+SUMIFS(Transactions!$I$3:$I149,Transactions!$H$3:$H149,"Transfer Deposit",Transactions!$F$3:$F149,"ETF",Transactions!$D$3:$D149,AH115)
+SUMIFS(Transactions!$I$3:$I149,Transactions!$H$3:$H149,"Buy",Transactions!$F$3:$F149,"Commodity",Transactions!$D$3:$D149,AH115)
+SUMIFS(Transactions!$I$3:$I149,Transactions!$H$3:$H149,"DRIP",Transactions!$F$3:$F149,"Commodity",Transactions!$D$3:$D149,AH115)
+SUMIFS(Transactions!$I$3:$I149,Transactions!$H$3:$H149,"Transfer Deposit",Transactions!$F$3:$F149,"Commodity",Transactions!$D$3:$D149,AH115)
+SUMIFS(Transactions!$I$3:$I149,Transactions!$H$3:$H149,"Buy",Transactions!$F$3:$F149,"Managed Fund",Transactions!$D$3:$D149,AH115)
+SUMIFS(Transactions!$I$3:$I149,Transactions!$H$3:$H149,"DRIP",Transactions!$F$3:$F149,"Managed Fund",Transactions!$D$3:$D149,AH115)
+SUMIFS(Transactions!$I$3:$I149,Transactions!$H$3:$H149,"Transfer Deposit",Transactions!$F$3:$F149,"Managed Fund",Transactions!$D$3:$D149,AH115)
+SUMIFS(Transactions!$I$3:$I149,Transactions!$H$3:$H149,"Buy",Transactions!$F$3:$F149,"REIT",Transactions!$D$3:$D149,AH115)
+SUMIFS(Transactions!$I$3:$I149,Transactions!$H$3:$H149,"DRIP",Transactions!$F$3:$F149,"REIT",Transactions!$D$3:$D149,AH115)
+SUMIFS(Transactions!$I$3:$I149,Transactions!$H$3:$H149,"Transfer Deposit",Transactions!$F$3:$F149,"REIT",Transactions!$D$3:$D149,AH115)
-SUMIFS(Transactions!$I$3:$I149,Transactions!$H$3:$H149,"Sell",Transactions!$F$3:$F149,"Stock",Transactions!$D$3:$D149,AH115)
-SUMIFS(Transactions!$I$3:$I149,Transactions!$H$3:$H149,"Transfer Send",Transactions!$F$3:$F149,"Stock",Transactions!$D$3:$D149,AH115)
-SUMIFS(Transactions!$I$3:$I149,Transactions!$H$3:$H149,"Sell",Transactions!$F$3:$F149,"ETF",Transactions!$D$3:$D149,AH115)
-SUMIFS(Transactions!$I$3:$I149,Transactions!$H$3:$H149,"Transfer Send",Transactions!$F$3:$F149,"ETF",Transactions!$D$3:$D149,AH115)
-SUMIFS(Transactions!$I$3:$I149,Transactions!$H$3:$H149,"Sell",Transactions!$F$3:$F149,"Commodity",Transactions!$D$3:$D149,AH115)
-SUMIFS(Transactions!$I$3:$I149,Transactions!$H$3:$H149,"Transfer Send",Transactions!$F$3:$F149,"Commodity",Transactions!$D$3:$D149,AH115)
-SUMIFS(Transactions!$I$3:$I149,Transactions!$H$3:$H149,"Sell",Transactions!$F$3:$F149,"Managed Fund",Transactions!$D$3:$D149,AH115)
-SUMIFS(Transactions!$I$3:$I149,Transactions!$H$3:$H149,"Transfer Send",Transactions!$F$3:$F149,"Managed Fund",Transactions!$D$3:$D149,AH115)
-SUMIFS(Transactions!$I$3:$I149,Transactions!$H$3:$H149,"Sell",Transactions!$F$3:$F149,"REIT",Transactions!$D$3:$D149,AH115)
-SUMIFS(Transactions!$I$3:$I149,Transactions!$H$3:$H149,"Transfer Send",Transactions!$F$3:$F149,"REIT",Transactions!$D$3:$D149,AH115)
+SUMIFS(Transactions!$I$3:$I149,Transactions!$H$3:$H149,"Buy",Transactions!$F$3:$F149,"Crypto",Transactions!$D$3:$D149,AH115)
+SUMIFS(Transactions!$I$3:$I149,Transactions!$H$3:$H149,"Crypto Interest",Transactions!$F$3:$F149,"Crypto",Transactions!$D$3:$D149,AH115)
+SUMIFS(Transactions!$I$3:$I149,Transactions!$H$3:$H149,"Transfer Deposit",Transactions!$F$3:$F149,"Crypto",Transactions!$D$3:$D149,AH115)
-SUMIFS(Transactions!$I$3:$I149,Transactions!$H$3:$H149,"Transfer Send",Transactions!$F$3:$F149,"Crypto",Transactions!$D$3:$D149,AH115)
-SUMIFS(Transactions!$I$3:$I149,Transactions!$H$3:$H149,"Sell",Transactions!$F$3:$F149,"Crypto",Transactions!$D$3:$D149,AH115)
+SUMIFS(Transactions!$I$3:$I149,Transactions!$H$3:$H149,"Buy",Transactions!$F$3:$F149,"Stablecoin",Transactions!$D$3:$D149,AH115)
+SUMIFS(Transactions!$I$3:$I149,Transactions!$H$3:$H149,"Crypto Interest",Transactions!$F$3:$F149,"Stablecoin",Transactions!$D$3:$D149,AH115)
+SUMIFS(Transactions!$I$3:$I149,Transactions!$H$3:$H149,"Transfer Deposit",Transactions!$F$3:$F149,"Stablecoin",Transactions!$D$3:$D149,AH115)
-SUMIFS(Transactions!$I$3:$I149,Transactions!$H$3:$H149,"Transfer Send",Transactions!$F$3:$F149,"Stablecoin",Transactions!$D$3:$D149,AH115)
-SUMIFS(Transactions!$I$3:$I149,Transactions!$H$3:$H149,"Sell",Transactions!$F$3:$F149,"Stablecoin",Transactions!$D$3:$D149,AH115)
-SUMIFS(Transactions!$M$3:$M149,Transactions!$H$3:$H149,"Buy",Transactions!$B$3:$B149,AH115)=0,"Sold All",
SUMIFS(Transactions!$I$3:$I149,Transactions!$H$3:$H149,"Buy",Transactions!$F$3:$F149,"Stock",Transactions!$D$3:$D149,AH115)
+SUMIFS(Transactions!$I$3:$I149,Transactions!$H$3:$H149,"DRIP",Transactions!$F$3:$F149,"Stock",Transactions!$D$3:$D149,AH115)
+SUMIFS(Transactions!$I$3:$I149,Transactions!$H$3:$H149,"Transfer Deposit",Transactions!$F$3:$F149,"Stock",Transactions!$D$3:$D149,AH115)
+SUMIFS(Transactions!$I$3:$I149,Transactions!$H$3:$H149,"Buy",Transactions!$F$3:$F149,"ETF",Transactions!$D$3:$D149,AH115)
+SUMIFS(Transactions!$I$3:$I149,Transactions!$H$3:$H149,"DRIP",Transactions!$F$3:$F149,"ETF",Transactions!$D$3:$D149,AH115)
+SUMIFS(Transactions!$I$3:$I149,Transactions!$H$3:$H149,"Transfer Deposit",Transactions!$F$3:$F149,"ETF",Transactions!$D$3:$D149,AH115)
+SUMIFS(Transactions!$I$3:$I149,Transactions!$H$3:$H149,"Buy",Transactions!$F$3:$F149,"Commodity",Transactions!$D$3:$D149,AH115)
+SUMIFS(Transactions!$I$3:$I149,Transactions!$H$3:$H149,"DRIP",Transactions!$F$3:$F149,"Commodity",Transactions!$D$3:$D149,AH115)
+SUMIFS(Transactions!$I$3:$I149,Transactions!$H$3:$H149,"Transfer Deposit",Transactions!$F$3:$F149,"Commodity",Transactions!$D$3:$D149,AH115)
+SUMIFS(Transactions!$I$3:$I149,Transactions!$H$3:$H149,"Buy",Transactions!$F$3:$F149,"Managed Fund",Transactions!$D$3:$D149,AH115)
+SUMIFS(Transactions!$I$3:$I149,Transactions!$H$3:$H149,"DRIP",Transactions!$F$3:$F149,"Managed Fund",Transactions!$D$3:$D149,AH115)
+SUMIFS(Transactions!$I$3:$I149,Transactions!$H$3:$H149,"Transfer Deposit",Transactions!$F$3:$F149,"Managed Fund",Transactions!$D$3:$D149,AH115)
+SUMIFS(Transactions!$I$3:$I149,Transactions!$H$3:$H149,"Buy",Transactions!$F$3:$F149,"REIT",Transactions!$D$3:$D149,AH115)
+SUMIFS(Transactions!$I$3:$I149,Transactions!$H$3:$H149,"DRIP",Transactions!$F$3:$F149,"REIT",Transactions!$D$3:$D149,AH115)
+SUMIFS(Transactions!$I$3:$I149,Transactions!$H$3:$H149,"Transfer Deposit",Transactions!$F$3:$F149,"REIT",Transactions!$D$3:$D149,AH115)
-SUMIFS(Transactions!$I$3:$I149,Transactions!$H$3:$H149,"Sell",Transactions!$F$3:$F149,"Stock",Transactions!$D$3:$D149,AH115)
-SUMIFS(Transactions!$I$3:$I149,Transactions!$H$3:$H149,"Transfer Send",Transactions!$F$3:$F149,"Stock",Transactions!$D$3:$D149,AH115)
-SUMIFS(Transactions!$I$3:$I149,Transactions!$H$3:$H149,"Sell",Transactions!$F$3:$F149,"ETF",Transactions!$D$3:$D149,AH115)
-SUMIFS(Transactions!$I$3:$I149,Transactions!$H$3:$H149,"Transfer Send",Transactions!$F$3:$F149,"ETF",Transactions!$D$3:$D149,AH115)
-SUMIFS(Transactions!$I$3:$I149,Transactions!$H$3:$H149,"Sell",Transactions!$F$3:$F149,"Commodity",Transactions!$D$3:$D149,AH115)
-SUMIFS(Transactions!$I$3:$I149,Transactions!$H$3:$H149,"Transfer Send",Transactions!$F$3:$F149,"Commodity",Transactions!$D$3:$D149,AH115)
-SUMIFS(Transactions!$I$3:$I149,Transactions!$H$3:$H149,"Sell",Transactions!$F$3:$F149,"Managed Fund",Transactions!$D$3:$D149,AH115)
-SUMIFS(Transactions!$I$3:$I149,Transactions!$H$3:$H149,"Transfer Send",Transactions!$F$3:$F149,"Managed Fund",Transactions!$D$3:$D149,AH115)
-SUMIFS(Transactions!$I$3:$I149,Transactions!$H$3:$H149,"Sell",Transactions!$F$3:$F149,"REIT",Transactions!$D$3:$D149,AH115)
-SUMIFS(Transactions!$I$3:$I149,Transactions!$H$3:$H149,"Transfer Send",Transactions!$F$3:$F149,"REIT",Transactions!$D$3:$D149,AH115)
+SUMIFS(Transactions!$I$3:$I149,Transactions!$H$3:$H149,"Buy",Transactions!$F$3:$F149,"Crypto",Transactions!$D$3:$D149,AH115)
+SUMIFS(Transactions!$I$3:$I149,Transactions!$H$3:$H149,"Crypto Interest",Transactions!$F$3:$F149,"Crypto",Transactions!$D$3:$D149,AH115)
+SUMIFS(Transactions!$I$3:$I149,Transactions!$H$3:$H149,"Transfer Deposit",Transactions!$F$3:$F149,"Crypto",Transactions!$D$3:$D149,AH115)
-SUMIFS(Transactions!$I$3:$I149,Transactions!$H$3:$H149,"Transfer Send",Transactions!$F$3:$F149,"Crypto",Transactions!$D$3:$D149,AH115)
-SUMIFS(Transactions!$I$3:$I149,Transactions!$H$3:$H149,"Sell",Transactions!$F$3:$F149,"Crypto",Transactions!$D$3:$D149,AH115)
+SUMIFS(Transactions!$I$3:$I149,Transactions!$H$3:$H149,"Buy",Transactions!$F$3:$F149,"Stablecoin",Transactions!$D$3:$D149,AH115)
+SUMIFS(Transactions!$I$3:$I149,Transactions!$H$3:$H149,"Crypto Interest",Transactions!$F$3:$F149,"Stablecoin",Transactions!$D$3:$D149,AH115)
+SUMIFS(Transactions!$I$3:$I149,Transactions!$H$3:$H149,"Transfer Deposit",Transactions!$F$3:$F149,"Stablecoin",Transactions!$D$3:$D149,AH115)
-SUMIFS(Transactions!$I$3:$I149,Transactions!$H$3:$H149,"Transfer Send",Transactions!$F$3:$F149,"Stablecoin",Transactions!$D$3:$D149,AH115)
-SUMIFS(Transactions!$I$3:$I149,Transactions!$H$3:$H149,"Sell",Transactions!$F$3:$F149,"Stablecoin",Transactions!$D$3:$D149,AH115)
-SUMIFS(Transactions!$M$3:$M149,Transactions!$H$3:$H149,"Buy",Transactions!$B$3:$B149,AH115)))</f>
        <v/>
      </c>
      <c r="AJ115" s="181" t="str">
        <f>IFERROR(__xludf.DUMMYFUNCTION("IF(ISBLANK(AH115),"""",VLOOKUP(9^99,FILTER({ROW(Transactions!P:P),Transactions!P:P},Transactions!D:D=AH115),2))"),"")</f>
        <v/>
      </c>
      <c r="AK115" s="181" t="str">
        <f>IFERROR(__xludf.DUMMYFUNCTION("IF(ISBLANK(AH115),"""",IFERROR(GOOGLEFINANCE(AH115,""price""),IFERROR(GOOGLEFINANCE(""CURRENCY:""&amp;AH115&amp;""""),IFERROR(INDEX(YAHOO_STOCK(TRIM(AH115), $G$2),0,1),INDEX(IMPORTHTML(CONCAT(""https://coinmarketcap.com/currencies/"",AG115),""table"",1),1,2)))))"),"")</f>
        <v/>
      </c>
      <c r="AL115" s="14" t="str">
        <f>IFERROR(__xludf.DUMMYFUNCTION("IF(ISBLANK(AH115),"""",IFERROR(SPARKLINE(INDEX(GOOGLEFINANCE(AH115,""price"",TODAY()-$AL$2,TODAY()),,2),{""charttype"",""column"";""color"",""17a7e0""}),""""))"),"")</f>
        <v/>
      </c>
      <c r="AM115" s="50" t="str">
        <f>IFERROR(__xludf.DUMMYFUNCTION("IFNA(IFERROR(IF(AH115="""","""",GOOGLEFINANCE(AH115,""changepct"")/100),(GOOGLEFINANCE(AH115)-(INDEX(GOOGLEFINANCE(""CURRENCY:""&amp;AH115&amp;"""",""price"",TODAY()-1),2,2)))/(INDEX(GOOGLEFINANCE(""CURRENCY:""&amp;AH115&amp;"""",""price"",TODAY()-1),2,2))),)"),"")</f>
        <v/>
      </c>
      <c r="AN115" s="96" t="str">
        <f>IFERROR(__xludf.DUMMYFUNCTION("IFNA(IFERROR(IF(AH115="""","""",GOOGLEFINANCE(AH115,""change"")*AI115),(GOOGLEFINANCE(AH115)-(INDEX(GOOGLEFINANCE(""CURRENCY:""&amp;AH115&amp;"""",""price"",TODAY()-1),2,2)))*AI115),"""")"),"")</f>
        <v/>
      </c>
      <c r="AO115" s="96" t="str">
        <f>IF(ISBLANK(AH115),"",IFERROR(((AI115-SUMIFS(Transactions!I:I,Transactions!H:H,"Crypto Interest",Transactions!D:D,AH115))*AJ115),""))</f>
        <v/>
      </c>
      <c r="AP115" s="96" t="str">
        <f t="shared" si="16"/>
        <v/>
      </c>
      <c r="AQ115" s="50" t="str">
        <f t="shared" si="17"/>
        <v/>
      </c>
      <c r="AR115" s="96" t="str">
        <f t="shared" si="18"/>
        <v/>
      </c>
      <c r="AS115" s="96" t="str">
        <f>IF(ISBLANK(AH115),"",SUMIFS(Transactions!$X$3:$X149,Transactions!$H$3:$H149,"Sell",Transactions!$D$3:$D149,AH115))</f>
        <v/>
      </c>
      <c r="AT115" s="96" t="str">
        <f t="shared" si="19"/>
        <v/>
      </c>
      <c r="AU115" s="50" t="str">
        <f>IFERROR(__xludf.DUMMYFUNCTION("IF(ISBLANK(AH115),"""",IFERROR((GOOGLEFINANCE(AH115,""price"")/INDEX(GOOGLEFINANCE(AH115,""price"",DATEVALUE(TODAY()-$AU$2) ),2,2)-1),""""))"),"")</f>
        <v/>
      </c>
      <c r="AW115" s="50" t="str">
        <f>IFERROR(__xludf.DUMMYFUNCTION("IF(ISBLANK(AH115),"""",IFERROR((GOOGLEFINANCE($AW$2,""price"")/INDEX(GOOGLEFINANCE($AW$2,""price"",DATEVALUE(TODAY()-$AU$2) ),2,2)-1),""""))"),"")</f>
        <v/>
      </c>
      <c r="AY115" s="50" t="str">
        <f t="shared" si="20"/>
        <v/>
      </c>
      <c r="AZ115" s="50" t="str">
        <f t="shared" si="21"/>
        <v/>
      </c>
      <c r="BA115" s="50" t="str">
        <f t="shared" si="22"/>
        <v/>
      </c>
      <c r="BB115" s="14" t="str">
        <f t="shared" si="23"/>
        <v/>
      </c>
      <c r="BC115" s="14" t="str">
        <f>IF(ISBLANK(AH115),"",IFERROR(VLOOKUP(AH115,Transactions!D:F,3,0)))</f>
        <v/>
      </c>
      <c r="BD115" s="50" t="str">
        <f t="shared" si="24"/>
        <v/>
      </c>
      <c r="BE115" s="50" t="str">
        <f t="shared" si="25"/>
        <v/>
      </c>
      <c r="BF115" s="14" t="str">
        <f t="shared" si="26"/>
        <v/>
      </c>
      <c r="BG115" s="180" t="str">
        <f>IF(ISBLANK(AH115),"",IFERROR(VLOOKUP(AH115,Transactions!D:G,4,0)))</f>
        <v/>
      </c>
    </row>
    <row r="116">
      <c r="A116" s="14" t="str">
        <f t="shared" ref="A116:C116" si="139">AG116</f>
        <v/>
      </c>
      <c r="B116" s="14" t="str">
        <f t="shared" si="139"/>
        <v/>
      </c>
      <c r="C116" s="175" t="str">
        <f t="shared" si="139"/>
        <v/>
      </c>
      <c r="D116" s="176" t="str">
        <f>IFERROR(__xludf.DUMMYFUNCTION("IF(ISBLANK(B116),"""",IFERROR(IF(OR(AF116=""GPB"",AF116=""ZAR""),IF(AF116=Dashboard!$L$1,AJ116,(AJ116*GOOGLEFINANCE(""CURRENCY:""&amp;AF116&amp;""""&amp;Dashboard!$L$1&amp;""""))/100),IF(AF116=Dashboard!$L$1,AJ116,AJ116*GOOGLEFINANCE(""CURRENCY:""&amp;AF116&amp;""""&amp;Dashboard!$L"&amp;"$1&amp;""""))),AJ116))"),"")</f>
        <v/>
      </c>
      <c r="E116" s="177" t="str">
        <f>IFERROR(__xludf.DUMMYFUNCTION("IFERROR(IF(OR(AF116=""GBP"",AF116=""ZAR""),IF(B116="""","""",IF(AF116=Dashboard!$L$1,AK116,AK116*GOOGLEFINANCE(""CURRENCY:""&amp;AF116&amp;""""&amp;Dashboard!$L$1&amp;"""")))/100,If(B116="""","""",IF(AF116=Dashboard!$L$1,AK116,AK116*GOOGLEFINANCE(""CURRENCY:""&amp;AF116&amp;"""""&amp;"&amp;Dashboard!$L$1&amp;"""")))),AK116)"),"")</f>
        <v/>
      </c>
      <c r="F116" s="145" t="str">
        <f t="shared" si="65"/>
        <v/>
      </c>
      <c r="G116" s="96" t="str">
        <f>IFERROR(__xludf.DUMMYFUNCTION("IF(ISBLANK(B116),"""",IFERROR(SPARKLINE(INDEX(GOOGLEFINANCE(B116,""price"",TODAY()-$G$2,TODAY()),,2),{""charttype"",""column"";""color"",""17a7e0""}),""""))"),"")</f>
        <v/>
      </c>
      <c r="H116" s="50" t="str">
        <f t="shared" si="3"/>
        <v/>
      </c>
      <c r="I116" s="96" t="str">
        <f>IFERROR(__xludf.DUMMYFUNCTION("IF(ISBLANK(B116),"""",IFERROR(IF(OR(AF116=""GPB"",AF116=""ZAR""),IF(AF116=Dashboard!$L$1,AN116,(AN116*GOOGLEFINANCE(""CURRENCY:""&amp;AF116&amp;""""&amp;Dashboard!$L$1&amp;""""))/100),IF(AF116=Dashboard!$L$1,AN116,AN116*GOOGLEFINANCE(""CURRENCY:""&amp;AF116&amp;""""&amp;Dashboard!$L"&amp;"$1&amp;""""))),AN116))"),"")</f>
        <v/>
      </c>
      <c r="J116" s="178" t="str">
        <f>IF(ISBLANK(B116),"",IFERROR(((C116-SUMIFS(Transactions!I:I,Transactions!H:H,"Crypto Interest",Transactions!D:D,B116))*D116),""))</f>
        <v/>
      </c>
      <c r="K116" s="178" t="str">
        <f t="shared" si="4"/>
        <v/>
      </c>
      <c r="L116" s="145">
        <f>IF(ISBLANK(AF116),"",SUMIFS(Transactions!$M$3:$M149,Transactions!$H$3:$H149,"Buy",Transactions!$D$3:$D149,AF116))</f>
        <v>0</v>
      </c>
      <c r="M116" s="145">
        <f>IF(ISBLANK(AG116),"",SUMIFS(Transactions!$M$3:$M149,Transactions!$H$3:$H149,"Dividend",Transactions!$D$3:$D149,AG116))</f>
        <v>0</v>
      </c>
      <c r="N116" s="145" t="str">
        <f>IF(ISBLANK(AH116),"",SUMIFS(Transactions!$M$3:$M149,Transactions!$H$3:$H149,"Sell",Transactions!$D$3:$D149,AH116))</f>
        <v/>
      </c>
      <c r="O116" s="50" t="str">
        <f t="shared" si="5"/>
        <v/>
      </c>
      <c r="P116" s="178" t="str">
        <f t="shared" si="6"/>
        <v/>
      </c>
      <c r="Q116" s="178" t="str">
        <f>IFERROR(__xludf.DUMMYFUNCTION("IF(ISBLANK(B116),"""",IFERROR(IF(OR(AF116=""GPB"",AF116=""ZAR""),IF(AF116=Dashboard!$L$1,AS116,(AS116*GOOGLEFINANCE(""CURRENCY:""&amp;AF116&amp;""""&amp;Dashboard!$L$1&amp;""""))/100),IF(AF116=Dashboard!$L$1,AS116,AS116*GOOGLEFINANCE(""CURRENCY:""&amp;AF116&amp;""""&amp;Dashboard!$L"&amp;"$1&amp;""""))),AS116))"),"")</f>
        <v/>
      </c>
      <c r="R116" s="178" t="str">
        <f t="shared" si="7"/>
        <v/>
      </c>
      <c r="S116" s="50" t="str">
        <f>IFERROR(__xludf.DUMMYFUNCTION("IF(ISBLANK(B116),"""",IFERROR((GOOGLEFINANCE(B116,""price"")/INDEX(GOOGLEFINANCE(B116,""price"",DATEVALUE(TODAY()-$S$2) ),2,2)-1),""""))"),"")</f>
        <v/>
      </c>
      <c r="U116" s="50" t="str">
        <f>IFERROR(__xludf.DUMMYFUNCTION("IF(ISBLANK(B116),"""",IFERROR((GOOGLEFINANCE($U$2,""price"")/INDEX(GOOGLEFINANCE($U$2,""price"",DATEVALUE(TODAY()-$S$2) ),2,2)-1),""""))"),"")</f>
        <v/>
      </c>
      <c r="W116" s="50" t="str">
        <f t="shared" si="8"/>
        <v/>
      </c>
      <c r="X116" s="50" t="str">
        <f t="shared" si="9"/>
        <v/>
      </c>
      <c r="Y116" s="50"/>
      <c r="Z116" s="50" t="str">
        <f t="shared" si="10"/>
        <v/>
      </c>
      <c r="AA116" s="14" t="str">
        <f t="shared" si="11"/>
        <v/>
      </c>
      <c r="AB116" s="50" t="str">
        <f t="shared" si="12"/>
        <v/>
      </c>
      <c r="AC116" s="179" t="str">
        <f t="shared" si="13"/>
        <v/>
      </c>
      <c r="AD116" s="50" t="str">
        <f t="shared" si="14"/>
        <v/>
      </c>
      <c r="AE116" s="180" t="str">
        <f t="shared" si="15"/>
        <v/>
      </c>
      <c r="AF116" s="14" t="str">
        <f t="array" ref="AF116">IFERROR(IF(ISBLANK(AH116),"",IF(VLOOKUP(AH116,Transactions!D:F,3,0)="Stablecoin",AH116,INDEX(Transactions!$B$3:$B149,MATCH(AH116,Transactions!$D$3:$D149,0),0))))</f>
        <v/>
      </c>
      <c r="AG116" s="14" t="str">
        <f>IF(ISBLANK(AH116),"",VLOOKUP(AH116,Transactions!D:E,2,0))</f>
        <v/>
      </c>
      <c r="AH116" s="14"/>
      <c r="AI116" s="146" t="str">
        <f>IF(ISBLANK(AH116),"",IF(
SUMIFS(Transactions!$I$3:$I149,Transactions!$H$3:$H149,"Buy",Transactions!$F$3:$F149,"Stock",Transactions!$D$3:$D149,AH116)
+SUMIFS(Transactions!$I$3:$I149,Transactions!$H$3:$H149,"DRIP",Transactions!$F$3:$F149,"Stock",Transactions!$D$3:$D149,AH116)
+SUMIFS(Transactions!$I$3:$I149,Transactions!$H$3:$H149,"Transfer Deposit",Transactions!$F$3:$F149,"Stock",Transactions!$D$3:$D149,AH116)
+SUMIFS(Transactions!$I$3:$I149,Transactions!$H$3:$H149,"Buy",Transactions!$F$3:$F149,"ETF",Transactions!$D$3:$D149,AH116)
+SUMIFS(Transactions!$I$3:$I149,Transactions!$H$3:$H149,"DRIP",Transactions!$F$3:$F149,"ETF",Transactions!$D$3:$D149,AH116)
+SUMIFS(Transactions!$I$3:$I149,Transactions!$H$3:$H149,"Transfer Deposit",Transactions!$F$3:$F149,"ETF",Transactions!$D$3:$D149,AH116)
+SUMIFS(Transactions!$I$3:$I149,Transactions!$H$3:$H149,"Buy",Transactions!$F$3:$F149,"Commodity",Transactions!$D$3:$D149,AH116)
+SUMIFS(Transactions!$I$3:$I149,Transactions!$H$3:$H149,"DRIP",Transactions!$F$3:$F149,"Commodity",Transactions!$D$3:$D149,AH116)
+SUMIFS(Transactions!$I$3:$I149,Transactions!$H$3:$H149,"Transfer Deposit",Transactions!$F$3:$F149,"Commodity",Transactions!$D$3:$D149,AH116)
+SUMIFS(Transactions!$I$3:$I149,Transactions!$H$3:$H149,"Buy",Transactions!$F$3:$F149,"Managed Fund",Transactions!$D$3:$D149,AH116)
+SUMIFS(Transactions!$I$3:$I149,Transactions!$H$3:$H149,"DRIP",Transactions!$F$3:$F149,"Managed Fund",Transactions!$D$3:$D149,AH116)
+SUMIFS(Transactions!$I$3:$I149,Transactions!$H$3:$H149,"Transfer Deposit",Transactions!$F$3:$F149,"Managed Fund",Transactions!$D$3:$D149,AH116)
+SUMIFS(Transactions!$I$3:$I149,Transactions!$H$3:$H149,"Buy",Transactions!$F$3:$F149,"REIT",Transactions!$D$3:$D149,AH116)
+SUMIFS(Transactions!$I$3:$I149,Transactions!$H$3:$H149,"DRIP",Transactions!$F$3:$F149,"REIT",Transactions!$D$3:$D149,AH116)
+SUMIFS(Transactions!$I$3:$I149,Transactions!$H$3:$H149,"Transfer Deposit",Transactions!$F$3:$F149,"REIT",Transactions!$D$3:$D149,AH116)
-SUMIFS(Transactions!$I$3:$I149,Transactions!$H$3:$H149,"Sell",Transactions!$F$3:$F149,"Stock",Transactions!$D$3:$D149,AH116)
-SUMIFS(Transactions!$I$3:$I149,Transactions!$H$3:$H149,"Transfer Send",Transactions!$F$3:$F149,"Stock",Transactions!$D$3:$D149,AH116)
-SUMIFS(Transactions!$I$3:$I149,Transactions!$H$3:$H149,"Sell",Transactions!$F$3:$F149,"ETF",Transactions!$D$3:$D149,AH116)
-SUMIFS(Transactions!$I$3:$I149,Transactions!$H$3:$H149,"Transfer Send",Transactions!$F$3:$F149,"ETF",Transactions!$D$3:$D149,AH116)
-SUMIFS(Transactions!$I$3:$I149,Transactions!$H$3:$H149,"Sell",Transactions!$F$3:$F149,"Commodity",Transactions!$D$3:$D149,AH116)
-SUMIFS(Transactions!$I$3:$I149,Transactions!$H$3:$H149,"Transfer Send",Transactions!$F$3:$F149,"Commodity",Transactions!$D$3:$D149,AH116)
-SUMIFS(Transactions!$I$3:$I149,Transactions!$H$3:$H149,"Sell",Transactions!$F$3:$F149,"Managed Fund",Transactions!$D$3:$D149,AH116)
-SUMIFS(Transactions!$I$3:$I149,Transactions!$H$3:$H149,"Transfer Send",Transactions!$F$3:$F149,"Managed Fund",Transactions!$D$3:$D149,AH116)
-SUMIFS(Transactions!$I$3:$I149,Transactions!$H$3:$H149,"Sell",Transactions!$F$3:$F149,"REIT",Transactions!$D$3:$D149,AH116)
-SUMIFS(Transactions!$I$3:$I149,Transactions!$H$3:$H149,"Transfer Send",Transactions!$F$3:$F149,"REIT",Transactions!$D$3:$D149,AH116)
+SUMIFS(Transactions!$I$3:$I149,Transactions!$H$3:$H149,"Buy",Transactions!$F$3:$F149,"Crypto",Transactions!$D$3:$D149,AH116)
+SUMIFS(Transactions!$I$3:$I149,Transactions!$H$3:$H149,"Crypto Interest",Transactions!$F$3:$F149,"Crypto",Transactions!$D$3:$D149,AH116)
+SUMIFS(Transactions!$I$3:$I149,Transactions!$H$3:$H149,"Transfer Deposit",Transactions!$F$3:$F149,"Crypto",Transactions!$D$3:$D149,AH116)
-SUMIFS(Transactions!$I$3:$I149,Transactions!$H$3:$H149,"Transfer Send",Transactions!$F$3:$F149,"Crypto",Transactions!$D$3:$D149,AH116)
-SUMIFS(Transactions!$I$3:$I149,Transactions!$H$3:$H149,"Sell",Transactions!$F$3:$F149,"Crypto",Transactions!$D$3:$D149,AH116)
+SUMIFS(Transactions!$I$3:$I149,Transactions!$H$3:$H149,"Buy",Transactions!$F$3:$F149,"Stablecoin",Transactions!$D$3:$D149,AH116)
+SUMIFS(Transactions!$I$3:$I149,Transactions!$H$3:$H149,"Crypto Interest",Transactions!$F$3:$F149,"Stablecoin",Transactions!$D$3:$D149,AH116)
+SUMIFS(Transactions!$I$3:$I149,Transactions!$H$3:$H149,"Transfer Deposit",Transactions!$F$3:$F149,"Stablecoin",Transactions!$D$3:$D149,AH116)
-SUMIFS(Transactions!$I$3:$I149,Transactions!$H$3:$H149,"Transfer Send",Transactions!$F$3:$F149,"Stablecoin",Transactions!$D$3:$D149,AH116)
-SUMIFS(Transactions!$I$3:$I149,Transactions!$H$3:$H149,"Sell",Transactions!$F$3:$F149,"Stablecoin",Transactions!$D$3:$D149,AH116)
-SUMIFS(Transactions!$M$3:$M149,Transactions!$H$3:$H149,"Buy",Transactions!$B$3:$B149,AH116)=0,"Sold All",
SUMIFS(Transactions!$I$3:$I149,Transactions!$H$3:$H149,"Buy",Transactions!$F$3:$F149,"Stock",Transactions!$D$3:$D149,AH116)
+SUMIFS(Transactions!$I$3:$I149,Transactions!$H$3:$H149,"DRIP",Transactions!$F$3:$F149,"Stock",Transactions!$D$3:$D149,AH116)
+SUMIFS(Transactions!$I$3:$I149,Transactions!$H$3:$H149,"Transfer Deposit",Transactions!$F$3:$F149,"Stock",Transactions!$D$3:$D149,AH116)
+SUMIFS(Transactions!$I$3:$I149,Transactions!$H$3:$H149,"Buy",Transactions!$F$3:$F149,"ETF",Transactions!$D$3:$D149,AH116)
+SUMIFS(Transactions!$I$3:$I149,Transactions!$H$3:$H149,"DRIP",Transactions!$F$3:$F149,"ETF",Transactions!$D$3:$D149,AH116)
+SUMIFS(Transactions!$I$3:$I149,Transactions!$H$3:$H149,"Transfer Deposit",Transactions!$F$3:$F149,"ETF",Transactions!$D$3:$D149,AH116)
+SUMIFS(Transactions!$I$3:$I149,Transactions!$H$3:$H149,"Buy",Transactions!$F$3:$F149,"Commodity",Transactions!$D$3:$D149,AH116)
+SUMIFS(Transactions!$I$3:$I149,Transactions!$H$3:$H149,"DRIP",Transactions!$F$3:$F149,"Commodity",Transactions!$D$3:$D149,AH116)
+SUMIFS(Transactions!$I$3:$I149,Transactions!$H$3:$H149,"Transfer Deposit",Transactions!$F$3:$F149,"Commodity",Transactions!$D$3:$D149,AH116)
+SUMIFS(Transactions!$I$3:$I149,Transactions!$H$3:$H149,"Buy",Transactions!$F$3:$F149,"Managed Fund",Transactions!$D$3:$D149,AH116)
+SUMIFS(Transactions!$I$3:$I149,Transactions!$H$3:$H149,"DRIP",Transactions!$F$3:$F149,"Managed Fund",Transactions!$D$3:$D149,AH116)
+SUMIFS(Transactions!$I$3:$I149,Transactions!$H$3:$H149,"Transfer Deposit",Transactions!$F$3:$F149,"Managed Fund",Transactions!$D$3:$D149,AH116)
+SUMIFS(Transactions!$I$3:$I149,Transactions!$H$3:$H149,"Buy",Transactions!$F$3:$F149,"REIT",Transactions!$D$3:$D149,AH116)
+SUMIFS(Transactions!$I$3:$I149,Transactions!$H$3:$H149,"DRIP",Transactions!$F$3:$F149,"REIT",Transactions!$D$3:$D149,AH116)
+SUMIFS(Transactions!$I$3:$I149,Transactions!$H$3:$H149,"Transfer Deposit",Transactions!$F$3:$F149,"REIT",Transactions!$D$3:$D149,AH116)
-SUMIFS(Transactions!$I$3:$I149,Transactions!$H$3:$H149,"Sell",Transactions!$F$3:$F149,"Stock",Transactions!$D$3:$D149,AH116)
-SUMIFS(Transactions!$I$3:$I149,Transactions!$H$3:$H149,"Transfer Send",Transactions!$F$3:$F149,"Stock",Transactions!$D$3:$D149,AH116)
-SUMIFS(Transactions!$I$3:$I149,Transactions!$H$3:$H149,"Sell",Transactions!$F$3:$F149,"ETF",Transactions!$D$3:$D149,AH116)
-SUMIFS(Transactions!$I$3:$I149,Transactions!$H$3:$H149,"Transfer Send",Transactions!$F$3:$F149,"ETF",Transactions!$D$3:$D149,AH116)
-SUMIFS(Transactions!$I$3:$I149,Transactions!$H$3:$H149,"Sell",Transactions!$F$3:$F149,"Commodity",Transactions!$D$3:$D149,AH116)
-SUMIFS(Transactions!$I$3:$I149,Transactions!$H$3:$H149,"Transfer Send",Transactions!$F$3:$F149,"Commodity",Transactions!$D$3:$D149,AH116)
-SUMIFS(Transactions!$I$3:$I149,Transactions!$H$3:$H149,"Sell",Transactions!$F$3:$F149,"Managed Fund",Transactions!$D$3:$D149,AH116)
-SUMIFS(Transactions!$I$3:$I149,Transactions!$H$3:$H149,"Transfer Send",Transactions!$F$3:$F149,"Managed Fund",Transactions!$D$3:$D149,AH116)
-SUMIFS(Transactions!$I$3:$I149,Transactions!$H$3:$H149,"Sell",Transactions!$F$3:$F149,"REIT",Transactions!$D$3:$D149,AH116)
-SUMIFS(Transactions!$I$3:$I149,Transactions!$H$3:$H149,"Transfer Send",Transactions!$F$3:$F149,"REIT",Transactions!$D$3:$D149,AH116)
+SUMIFS(Transactions!$I$3:$I149,Transactions!$H$3:$H149,"Buy",Transactions!$F$3:$F149,"Crypto",Transactions!$D$3:$D149,AH116)
+SUMIFS(Transactions!$I$3:$I149,Transactions!$H$3:$H149,"Crypto Interest",Transactions!$F$3:$F149,"Crypto",Transactions!$D$3:$D149,AH116)
+SUMIFS(Transactions!$I$3:$I149,Transactions!$H$3:$H149,"Transfer Deposit",Transactions!$F$3:$F149,"Crypto",Transactions!$D$3:$D149,AH116)
-SUMIFS(Transactions!$I$3:$I149,Transactions!$H$3:$H149,"Transfer Send",Transactions!$F$3:$F149,"Crypto",Transactions!$D$3:$D149,AH116)
-SUMIFS(Transactions!$I$3:$I149,Transactions!$H$3:$H149,"Sell",Transactions!$F$3:$F149,"Crypto",Transactions!$D$3:$D149,AH116)
+SUMIFS(Transactions!$I$3:$I149,Transactions!$H$3:$H149,"Buy",Transactions!$F$3:$F149,"Stablecoin",Transactions!$D$3:$D149,AH116)
+SUMIFS(Transactions!$I$3:$I149,Transactions!$H$3:$H149,"Crypto Interest",Transactions!$F$3:$F149,"Stablecoin",Transactions!$D$3:$D149,AH116)
+SUMIFS(Transactions!$I$3:$I149,Transactions!$H$3:$H149,"Transfer Deposit",Transactions!$F$3:$F149,"Stablecoin",Transactions!$D$3:$D149,AH116)
-SUMIFS(Transactions!$I$3:$I149,Transactions!$H$3:$H149,"Transfer Send",Transactions!$F$3:$F149,"Stablecoin",Transactions!$D$3:$D149,AH116)
-SUMIFS(Transactions!$I$3:$I149,Transactions!$H$3:$H149,"Sell",Transactions!$F$3:$F149,"Stablecoin",Transactions!$D$3:$D149,AH116)
-SUMIFS(Transactions!$M$3:$M149,Transactions!$H$3:$H149,"Buy",Transactions!$B$3:$B149,AH116)))</f>
        <v/>
      </c>
      <c r="AJ116" s="181" t="str">
        <f>IFERROR(__xludf.DUMMYFUNCTION("IF(ISBLANK(AH116),"""",VLOOKUP(9^99,FILTER({ROW(Transactions!P:P),Transactions!P:P},Transactions!D:D=AH116),2))"),"")</f>
        <v/>
      </c>
      <c r="AK116" s="181" t="str">
        <f>IFERROR(__xludf.DUMMYFUNCTION("IF(ISBLANK(AH116),"""",IFERROR(GOOGLEFINANCE(AH116,""price""),IFERROR(GOOGLEFINANCE(""CURRENCY:""&amp;AH116&amp;""""),IFERROR(INDEX(YAHOO_STOCK(TRIM(AH116), $G$2),0,1),INDEX(IMPORTHTML(CONCAT(""https://coinmarketcap.com/currencies/"",AG116),""table"",1),1,2)))))"),"")</f>
        <v/>
      </c>
      <c r="AL116" s="14" t="str">
        <f>IFERROR(__xludf.DUMMYFUNCTION("IF(ISBLANK(AH116),"""",IFERROR(SPARKLINE(INDEX(GOOGLEFINANCE(AH116,""price"",TODAY()-$AL$2,TODAY()),,2),{""charttype"",""column"";""color"",""17a7e0""}),""""))"),"")</f>
        <v/>
      </c>
      <c r="AM116" s="50" t="str">
        <f>IFERROR(__xludf.DUMMYFUNCTION("IFNA(IFERROR(IF(AH116="""","""",GOOGLEFINANCE(AH116,""changepct"")/100),(GOOGLEFINANCE(AH116)-(INDEX(GOOGLEFINANCE(""CURRENCY:""&amp;AH116&amp;"""",""price"",TODAY()-1),2,2)))/(INDEX(GOOGLEFINANCE(""CURRENCY:""&amp;AH116&amp;"""",""price"",TODAY()-1),2,2))),)"),"")</f>
        <v/>
      </c>
      <c r="AN116" s="96" t="str">
        <f>IFERROR(__xludf.DUMMYFUNCTION("IFNA(IFERROR(IF(AH116="""","""",GOOGLEFINANCE(AH116,""change"")*AI116),(GOOGLEFINANCE(AH116)-(INDEX(GOOGLEFINANCE(""CURRENCY:""&amp;AH116&amp;"""",""price"",TODAY()-1),2,2)))*AI116),"""")"),"")</f>
        <v/>
      </c>
      <c r="AO116" s="96" t="str">
        <f>IF(ISBLANK(AH116),"",IFERROR(((AI116-SUMIFS(Transactions!I:I,Transactions!H:H,"Crypto Interest",Transactions!D:D,AH116))*AJ116),""))</f>
        <v/>
      </c>
      <c r="AP116" s="96" t="str">
        <f t="shared" si="16"/>
        <v/>
      </c>
      <c r="AQ116" s="50" t="str">
        <f t="shared" si="17"/>
        <v/>
      </c>
      <c r="AR116" s="96" t="str">
        <f t="shared" si="18"/>
        <v/>
      </c>
      <c r="AS116" s="96" t="str">
        <f>IF(ISBLANK(AH116),"",SUMIFS(Transactions!$X$3:$X149,Transactions!$H$3:$H149,"Sell",Transactions!$D$3:$D149,AH116))</f>
        <v/>
      </c>
      <c r="AT116" s="96" t="str">
        <f t="shared" si="19"/>
        <v/>
      </c>
      <c r="AU116" s="50" t="str">
        <f>IFERROR(__xludf.DUMMYFUNCTION("IF(ISBLANK(AH116),"""",IFERROR((GOOGLEFINANCE(AH116,""price"")/INDEX(GOOGLEFINANCE(AH116,""price"",DATEVALUE(TODAY()-$AU$2) ),2,2)-1),""""))"),"")</f>
        <v/>
      </c>
      <c r="AW116" s="50" t="str">
        <f>IFERROR(__xludf.DUMMYFUNCTION("IF(ISBLANK(AH116),"""",IFERROR((GOOGLEFINANCE($AW$2,""price"")/INDEX(GOOGLEFINANCE($AW$2,""price"",DATEVALUE(TODAY()-$AU$2) ),2,2)-1),""""))"),"")</f>
        <v/>
      </c>
      <c r="AY116" s="50" t="str">
        <f t="shared" si="20"/>
        <v/>
      </c>
      <c r="AZ116" s="50" t="str">
        <f t="shared" si="21"/>
        <v/>
      </c>
      <c r="BA116" s="50" t="str">
        <f t="shared" si="22"/>
        <v/>
      </c>
      <c r="BB116" s="14" t="str">
        <f t="shared" si="23"/>
        <v/>
      </c>
      <c r="BC116" s="14" t="str">
        <f>IF(ISBLANK(AH116),"",IFERROR(VLOOKUP(AH116,Transactions!D:F,3,0)))</f>
        <v/>
      </c>
      <c r="BD116" s="50" t="str">
        <f t="shared" si="24"/>
        <v/>
      </c>
      <c r="BE116" s="50" t="str">
        <f t="shared" si="25"/>
        <v/>
      </c>
      <c r="BF116" s="14" t="str">
        <f t="shared" si="26"/>
        <v/>
      </c>
      <c r="BG116" s="180" t="str">
        <f>IF(ISBLANK(AH116),"",IFERROR(VLOOKUP(AH116,Transactions!D:G,4,0)))</f>
        <v/>
      </c>
    </row>
    <row r="117">
      <c r="A117" s="14" t="str">
        <f t="shared" ref="A117:C117" si="140">AG117</f>
        <v/>
      </c>
      <c r="B117" s="14" t="str">
        <f t="shared" si="140"/>
        <v/>
      </c>
      <c r="C117" s="175" t="str">
        <f t="shared" si="140"/>
        <v/>
      </c>
      <c r="D117" s="176" t="str">
        <f>IFERROR(__xludf.DUMMYFUNCTION("IF(ISBLANK(B117),"""",IFERROR(IF(OR(AF117=""GPB"",AF117=""ZAR""),IF(AF117=Dashboard!$L$1,AJ117,(AJ117*GOOGLEFINANCE(""CURRENCY:""&amp;AF117&amp;""""&amp;Dashboard!$L$1&amp;""""))/100),IF(AF117=Dashboard!$L$1,AJ117,AJ117*GOOGLEFINANCE(""CURRENCY:""&amp;AF117&amp;""""&amp;Dashboard!$L"&amp;"$1&amp;""""))),AJ117))"),"")</f>
        <v/>
      </c>
      <c r="E117" s="177" t="str">
        <f>IFERROR(__xludf.DUMMYFUNCTION("IFERROR(IF(OR(AF117=""GBP"",AF117=""ZAR""),IF(B117="""","""",IF(AF117=Dashboard!$L$1,AK117,AK117*GOOGLEFINANCE(""CURRENCY:""&amp;AF117&amp;""""&amp;Dashboard!$L$1&amp;"""")))/100,If(B117="""","""",IF(AF117=Dashboard!$L$1,AK117,AK117*GOOGLEFINANCE(""CURRENCY:""&amp;AF117&amp;"""""&amp;"&amp;Dashboard!$L$1&amp;"""")))),AK117)"),"")</f>
        <v/>
      </c>
      <c r="F117" s="145" t="str">
        <f t="shared" si="65"/>
        <v/>
      </c>
      <c r="G117" s="96" t="str">
        <f>IFERROR(__xludf.DUMMYFUNCTION("IF(ISBLANK(B117),"""",IFERROR(SPARKLINE(INDEX(GOOGLEFINANCE(B117,""price"",TODAY()-$G$2,TODAY()),,2),{""charttype"",""column"";""color"",""17a7e0""}),""""))"),"")</f>
        <v/>
      </c>
      <c r="H117" s="50" t="str">
        <f t="shared" si="3"/>
        <v/>
      </c>
      <c r="I117" s="96" t="str">
        <f>IFERROR(__xludf.DUMMYFUNCTION("IF(ISBLANK(B117),"""",IFERROR(IF(OR(AF117=""GPB"",AF117=""ZAR""),IF(AF117=Dashboard!$L$1,AN117,(AN117*GOOGLEFINANCE(""CURRENCY:""&amp;AF117&amp;""""&amp;Dashboard!$L$1&amp;""""))/100),IF(AF117=Dashboard!$L$1,AN117,AN117*GOOGLEFINANCE(""CURRENCY:""&amp;AF117&amp;""""&amp;Dashboard!$L"&amp;"$1&amp;""""))),AN117))"),"")</f>
        <v/>
      </c>
      <c r="J117" s="178" t="str">
        <f>IF(ISBLANK(B117),"",IFERROR(((C117-SUMIFS(Transactions!I:I,Transactions!H:H,"Crypto Interest",Transactions!D:D,B117))*D117),""))</f>
        <v/>
      </c>
      <c r="K117" s="178" t="str">
        <f t="shared" si="4"/>
        <v/>
      </c>
      <c r="L117" s="145">
        <f>IF(ISBLANK(AF117),"",SUMIFS(Transactions!$M$3:$M149,Transactions!$H$3:$H149,"Buy",Transactions!$D$3:$D149,AF117))</f>
        <v>0</v>
      </c>
      <c r="M117" s="145">
        <f>IF(ISBLANK(AG117),"",SUMIFS(Transactions!$M$3:$M149,Transactions!$H$3:$H149,"Dividend",Transactions!$D$3:$D149,AG117))</f>
        <v>0</v>
      </c>
      <c r="N117" s="145" t="str">
        <f>IF(ISBLANK(AH117),"",SUMIFS(Transactions!$M$3:$M149,Transactions!$H$3:$H149,"Sell",Transactions!$D$3:$D149,AH117))</f>
        <v/>
      </c>
      <c r="O117" s="50" t="str">
        <f t="shared" si="5"/>
        <v/>
      </c>
      <c r="P117" s="178" t="str">
        <f t="shared" si="6"/>
        <v/>
      </c>
      <c r="Q117" s="178" t="str">
        <f>IFERROR(__xludf.DUMMYFUNCTION("IF(ISBLANK(B117),"""",IFERROR(IF(OR(AF117=""GPB"",AF117=""ZAR""),IF(AF117=Dashboard!$L$1,AS117,(AS117*GOOGLEFINANCE(""CURRENCY:""&amp;AF117&amp;""""&amp;Dashboard!$L$1&amp;""""))/100),IF(AF117=Dashboard!$L$1,AS117,AS117*GOOGLEFINANCE(""CURRENCY:""&amp;AF117&amp;""""&amp;Dashboard!$L"&amp;"$1&amp;""""))),AS117))"),"")</f>
        <v/>
      </c>
      <c r="R117" s="178" t="str">
        <f t="shared" si="7"/>
        <v/>
      </c>
      <c r="S117" s="50" t="str">
        <f>IFERROR(__xludf.DUMMYFUNCTION("IF(ISBLANK(B117),"""",IFERROR((GOOGLEFINANCE(B117,""price"")/INDEX(GOOGLEFINANCE(B117,""price"",DATEVALUE(TODAY()-$S$2) ),2,2)-1),""""))"),"")</f>
        <v/>
      </c>
      <c r="U117" s="50" t="str">
        <f>IFERROR(__xludf.DUMMYFUNCTION("IF(ISBLANK(B117),"""",IFERROR((GOOGLEFINANCE($U$2,""price"")/INDEX(GOOGLEFINANCE($U$2,""price"",DATEVALUE(TODAY()-$S$2) ),2,2)-1),""""))"),"")</f>
        <v/>
      </c>
      <c r="W117" s="50" t="str">
        <f t="shared" si="8"/>
        <v/>
      </c>
      <c r="X117" s="50" t="str">
        <f t="shared" si="9"/>
        <v/>
      </c>
      <c r="Y117" s="50"/>
      <c r="Z117" s="50" t="str">
        <f t="shared" si="10"/>
        <v/>
      </c>
      <c r="AA117" s="14" t="str">
        <f t="shared" si="11"/>
        <v/>
      </c>
      <c r="AB117" s="50" t="str">
        <f t="shared" si="12"/>
        <v/>
      </c>
      <c r="AC117" s="179" t="str">
        <f t="shared" si="13"/>
        <v/>
      </c>
      <c r="AD117" s="50" t="str">
        <f t="shared" si="14"/>
        <v/>
      </c>
      <c r="AE117" s="180" t="str">
        <f t="shared" si="15"/>
        <v/>
      </c>
      <c r="AF117" s="14" t="str">
        <f t="array" ref="AF117">IFERROR(IF(ISBLANK(AH117),"",IF(VLOOKUP(AH117,Transactions!D:F,3,0)="Stablecoin",AH117,INDEX(Transactions!$B$3:$B149,MATCH(AH117,Transactions!$D$3:$D149,0),0))))</f>
        <v/>
      </c>
      <c r="AG117" s="14" t="str">
        <f>IF(ISBLANK(AH117),"",VLOOKUP(AH117,Transactions!D:E,2,0))</f>
        <v/>
      </c>
      <c r="AH117" s="14"/>
      <c r="AI117" s="146" t="str">
        <f>IF(ISBLANK(AH117),"",IF(
SUMIFS(Transactions!$I$3:$I149,Transactions!$H$3:$H149,"Buy",Transactions!$F$3:$F149,"Stock",Transactions!$D$3:$D149,AH117)
+SUMIFS(Transactions!$I$3:$I149,Transactions!$H$3:$H149,"DRIP",Transactions!$F$3:$F149,"Stock",Transactions!$D$3:$D149,AH117)
+SUMIFS(Transactions!$I$3:$I149,Transactions!$H$3:$H149,"Transfer Deposit",Transactions!$F$3:$F149,"Stock",Transactions!$D$3:$D149,AH117)
+SUMIFS(Transactions!$I$3:$I149,Transactions!$H$3:$H149,"Buy",Transactions!$F$3:$F149,"ETF",Transactions!$D$3:$D149,AH117)
+SUMIFS(Transactions!$I$3:$I149,Transactions!$H$3:$H149,"DRIP",Transactions!$F$3:$F149,"ETF",Transactions!$D$3:$D149,AH117)
+SUMIFS(Transactions!$I$3:$I149,Transactions!$H$3:$H149,"Transfer Deposit",Transactions!$F$3:$F149,"ETF",Transactions!$D$3:$D149,AH117)
+SUMIFS(Transactions!$I$3:$I149,Transactions!$H$3:$H149,"Buy",Transactions!$F$3:$F149,"Commodity",Transactions!$D$3:$D149,AH117)
+SUMIFS(Transactions!$I$3:$I149,Transactions!$H$3:$H149,"DRIP",Transactions!$F$3:$F149,"Commodity",Transactions!$D$3:$D149,AH117)
+SUMIFS(Transactions!$I$3:$I149,Transactions!$H$3:$H149,"Transfer Deposit",Transactions!$F$3:$F149,"Commodity",Transactions!$D$3:$D149,AH117)
+SUMIFS(Transactions!$I$3:$I149,Transactions!$H$3:$H149,"Buy",Transactions!$F$3:$F149,"Managed Fund",Transactions!$D$3:$D149,AH117)
+SUMIFS(Transactions!$I$3:$I149,Transactions!$H$3:$H149,"DRIP",Transactions!$F$3:$F149,"Managed Fund",Transactions!$D$3:$D149,AH117)
+SUMIFS(Transactions!$I$3:$I149,Transactions!$H$3:$H149,"Transfer Deposit",Transactions!$F$3:$F149,"Managed Fund",Transactions!$D$3:$D149,AH117)
+SUMIFS(Transactions!$I$3:$I149,Transactions!$H$3:$H149,"Buy",Transactions!$F$3:$F149,"REIT",Transactions!$D$3:$D149,AH117)
+SUMIFS(Transactions!$I$3:$I149,Transactions!$H$3:$H149,"DRIP",Transactions!$F$3:$F149,"REIT",Transactions!$D$3:$D149,AH117)
+SUMIFS(Transactions!$I$3:$I149,Transactions!$H$3:$H149,"Transfer Deposit",Transactions!$F$3:$F149,"REIT",Transactions!$D$3:$D149,AH117)
-SUMIFS(Transactions!$I$3:$I149,Transactions!$H$3:$H149,"Sell",Transactions!$F$3:$F149,"Stock",Transactions!$D$3:$D149,AH117)
-SUMIFS(Transactions!$I$3:$I149,Transactions!$H$3:$H149,"Transfer Send",Transactions!$F$3:$F149,"Stock",Transactions!$D$3:$D149,AH117)
-SUMIFS(Transactions!$I$3:$I149,Transactions!$H$3:$H149,"Sell",Transactions!$F$3:$F149,"ETF",Transactions!$D$3:$D149,AH117)
-SUMIFS(Transactions!$I$3:$I149,Transactions!$H$3:$H149,"Transfer Send",Transactions!$F$3:$F149,"ETF",Transactions!$D$3:$D149,AH117)
-SUMIFS(Transactions!$I$3:$I149,Transactions!$H$3:$H149,"Sell",Transactions!$F$3:$F149,"Commodity",Transactions!$D$3:$D149,AH117)
-SUMIFS(Transactions!$I$3:$I149,Transactions!$H$3:$H149,"Transfer Send",Transactions!$F$3:$F149,"Commodity",Transactions!$D$3:$D149,AH117)
-SUMIFS(Transactions!$I$3:$I149,Transactions!$H$3:$H149,"Sell",Transactions!$F$3:$F149,"Managed Fund",Transactions!$D$3:$D149,AH117)
-SUMIFS(Transactions!$I$3:$I149,Transactions!$H$3:$H149,"Transfer Send",Transactions!$F$3:$F149,"Managed Fund",Transactions!$D$3:$D149,AH117)
-SUMIFS(Transactions!$I$3:$I149,Transactions!$H$3:$H149,"Sell",Transactions!$F$3:$F149,"REIT",Transactions!$D$3:$D149,AH117)
-SUMIFS(Transactions!$I$3:$I149,Transactions!$H$3:$H149,"Transfer Send",Transactions!$F$3:$F149,"REIT",Transactions!$D$3:$D149,AH117)
+SUMIFS(Transactions!$I$3:$I149,Transactions!$H$3:$H149,"Buy",Transactions!$F$3:$F149,"Crypto",Transactions!$D$3:$D149,AH117)
+SUMIFS(Transactions!$I$3:$I149,Transactions!$H$3:$H149,"Crypto Interest",Transactions!$F$3:$F149,"Crypto",Transactions!$D$3:$D149,AH117)
+SUMIFS(Transactions!$I$3:$I149,Transactions!$H$3:$H149,"Transfer Deposit",Transactions!$F$3:$F149,"Crypto",Transactions!$D$3:$D149,AH117)
-SUMIFS(Transactions!$I$3:$I149,Transactions!$H$3:$H149,"Transfer Send",Transactions!$F$3:$F149,"Crypto",Transactions!$D$3:$D149,AH117)
-SUMIFS(Transactions!$I$3:$I149,Transactions!$H$3:$H149,"Sell",Transactions!$F$3:$F149,"Crypto",Transactions!$D$3:$D149,AH117)
+SUMIFS(Transactions!$I$3:$I149,Transactions!$H$3:$H149,"Buy",Transactions!$F$3:$F149,"Stablecoin",Transactions!$D$3:$D149,AH117)
+SUMIFS(Transactions!$I$3:$I149,Transactions!$H$3:$H149,"Crypto Interest",Transactions!$F$3:$F149,"Stablecoin",Transactions!$D$3:$D149,AH117)
+SUMIFS(Transactions!$I$3:$I149,Transactions!$H$3:$H149,"Transfer Deposit",Transactions!$F$3:$F149,"Stablecoin",Transactions!$D$3:$D149,AH117)
-SUMIFS(Transactions!$I$3:$I149,Transactions!$H$3:$H149,"Transfer Send",Transactions!$F$3:$F149,"Stablecoin",Transactions!$D$3:$D149,AH117)
-SUMIFS(Transactions!$I$3:$I149,Transactions!$H$3:$H149,"Sell",Transactions!$F$3:$F149,"Stablecoin",Transactions!$D$3:$D149,AH117)
-SUMIFS(Transactions!$M$3:$M149,Transactions!$H$3:$H149,"Buy",Transactions!$B$3:$B149,AH117)=0,"Sold All",
SUMIFS(Transactions!$I$3:$I149,Transactions!$H$3:$H149,"Buy",Transactions!$F$3:$F149,"Stock",Transactions!$D$3:$D149,AH117)
+SUMIFS(Transactions!$I$3:$I149,Transactions!$H$3:$H149,"DRIP",Transactions!$F$3:$F149,"Stock",Transactions!$D$3:$D149,AH117)
+SUMIFS(Transactions!$I$3:$I149,Transactions!$H$3:$H149,"Transfer Deposit",Transactions!$F$3:$F149,"Stock",Transactions!$D$3:$D149,AH117)
+SUMIFS(Transactions!$I$3:$I149,Transactions!$H$3:$H149,"Buy",Transactions!$F$3:$F149,"ETF",Transactions!$D$3:$D149,AH117)
+SUMIFS(Transactions!$I$3:$I149,Transactions!$H$3:$H149,"DRIP",Transactions!$F$3:$F149,"ETF",Transactions!$D$3:$D149,AH117)
+SUMIFS(Transactions!$I$3:$I149,Transactions!$H$3:$H149,"Transfer Deposit",Transactions!$F$3:$F149,"ETF",Transactions!$D$3:$D149,AH117)
+SUMIFS(Transactions!$I$3:$I149,Transactions!$H$3:$H149,"Buy",Transactions!$F$3:$F149,"Commodity",Transactions!$D$3:$D149,AH117)
+SUMIFS(Transactions!$I$3:$I149,Transactions!$H$3:$H149,"DRIP",Transactions!$F$3:$F149,"Commodity",Transactions!$D$3:$D149,AH117)
+SUMIFS(Transactions!$I$3:$I149,Transactions!$H$3:$H149,"Transfer Deposit",Transactions!$F$3:$F149,"Commodity",Transactions!$D$3:$D149,AH117)
+SUMIFS(Transactions!$I$3:$I149,Transactions!$H$3:$H149,"Buy",Transactions!$F$3:$F149,"Managed Fund",Transactions!$D$3:$D149,AH117)
+SUMIFS(Transactions!$I$3:$I149,Transactions!$H$3:$H149,"DRIP",Transactions!$F$3:$F149,"Managed Fund",Transactions!$D$3:$D149,AH117)
+SUMIFS(Transactions!$I$3:$I149,Transactions!$H$3:$H149,"Transfer Deposit",Transactions!$F$3:$F149,"Managed Fund",Transactions!$D$3:$D149,AH117)
+SUMIFS(Transactions!$I$3:$I149,Transactions!$H$3:$H149,"Buy",Transactions!$F$3:$F149,"REIT",Transactions!$D$3:$D149,AH117)
+SUMIFS(Transactions!$I$3:$I149,Transactions!$H$3:$H149,"DRIP",Transactions!$F$3:$F149,"REIT",Transactions!$D$3:$D149,AH117)
+SUMIFS(Transactions!$I$3:$I149,Transactions!$H$3:$H149,"Transfer Deposit",Transactions!$F$3:$F149,"REIT",Transactions!$D$3:$D149,AH117)
-SUMIFS(Transactions!$I$3:$I149,Transactions!$H$3:$H149,"Sell",Transactions!$F$3:$F149,"Stock",Transactions!$D$3:$D149,AH117)
-SUMIFS(Transactions!$I$3:$I149,Transactions!$H$3:$H149,"Transfer Send",Transactions!$F$3:$F149,"Stock",Transactions!$D$3:$D149,AH117)
-SUMIFS(Transactions!$I$3:$I149,Transactions!$H$3:$H149,"Sell",Transactions!$F$3:$F149,"ETF",Transactions!$D$3:$D149,AH117)
-SUMIFS(Transactions!$I$3:$I149,Transactions!$H$3:$H149,"Transfer Send",Transactions!$F$3:$F149,"ETF",Transactions!$D$3:$D149,AH117)
-SUMIFS(Transactions!$I$3:$I149,Transactions!$H$3:$H149,"Sell",Transactions!$F$3:$F149,"Commodity",Transactions!$D$3:$D149,AH117)
-SUMIFS(Transactions!$I$3:$I149,Transactions!$H$3:$H149,"Transfer Send",Transactions!$F$3:$F149,"Commodity",Transactions!$D$3:$D149,AH117)
-SUMIFS(Transactions!$I$3:$I149,Transactions!$H$3:$H149,"Sell",Transactions!$F$3:$F149,"Managed Fund",Transactions!$D$3:$D149,AH117)
-SUMIFS(Transactions!$I$3:$I149,Transactions!$H$3:$H149,"Transfer Send",Transactions!$F$3:$F149,"Managed Fund",Transactions!$D$3:$D149,AH117)
-SUMIFS(Transactions!$I$3:$I149,Transactions!$H$3:$H149,"Sell",Transactions!$F$3:$F149,"REIT",Transactions!$D$3:$D149,AH117)
-SUMIFS(Transactions!$I$3:$I149,Transactions!$H$3:$H149,"Transfer Send",Transactions!$F$3:$F149,"REIT",Transactions!$D$3:$D149,AH117)
+SUMIFS(Transactions!$I$3:$I149,Transactions!$H$3:$H149,"Buy",Transactions!$F$3:$F149,"Crypto",Transactions!$D$3:$D149,AH117)
+SUMIFS(Transactions!$I$3:$I149,Transactions!$H$3:$H149,"Crypto Interest",Transactions!$F$3:$F149,"Crypto",Transactions!$D$3:$D149,AH117)
+SUMIFS(Transactions!$I$3:$I149,Transactions!$H$3:$H149,"Transfer Deposit",Transactions!$F$3:$F149,"Crypto",Transactions!$D$3:$D149,AH117)
-SUMIFS(Transactions!$I$3:$I149,Transactions!$H$3:$H149,"Transfer Send",Transactions!$F$3:$F149,"Crypto",Transactions!$D$3:$D149,AH117)
-SUMIFS(Transactions!$I$3:$I149,Transactions!$H$3:$H149,"Sell",Transactions!$F$3:$F149,"Crypto",Transactions!$D$3:$D149,AH117)
+SUMIFS(Transactions!$I$3:$I149,Transactions!$H$3:$H149,"Buy",Transactions!$F$3:$F149,"Stablecoin",Transactions!$D$3:$D149,AH117)
+SUMIFS(Transactions!$I$3:$I149,Transactions!$H$3:$H149,"Crypto Interest",Transactions!$F$3:$F149,"Stablecoin",Transactions!$D$3:$D149,AH117)
+SUMIFS(Transactions!$I$3:$I149,Transactions!$H$3:$H149,"Transfer Deposit",Transactions!$F$3:$F149,"Stablecoin",Transactions!$D$3:$D149,AH117)
-SUMIFS(Transactions!$I$3:$I149,Transactions!$H$3:$H149,"Transfer Send",Transactions!$F$3:$F149,"Stablecoin",Transactions!$D$3:$D149,AH117)
-SUMIFS(Transactions!$I$3:$I149,Transactions!$H$3:$H149,"Sell",Transactions!$F$3:$F149,"Stablecoin",Transactions!$D$3:$D149,AH117)
-SUMIFS(Transactions!$M$3:$M149,Transactions!$H$3:$H149,"Buy",Transactions!$B$3:$B149,AH117)))</f>
        <v/>
      </c>
      <c r="AJ117" s="181" t="str">
        <f>IFERROR(__xludf.DUMMYFUNCTION("IF(ISBLANK(AH117),"""",VLOOKUP(9^99,FILTER({ROW(Transactions!P:P),Transactions!P:P},Transactions!D:D=AH117),2))"),"")</f>
        <v/>
      </c>
      <c r="AK117" s="181" t="str">
        <f>IFERROR(__xludf.DUMMYFUNCTION("IF(ISBLANK(AH117),"""",IFERROR(GOOGLEFINANCE(AH117,""price""),IFERROR(GOOGLEFINANCE(""CURRENCY:""&amp;AH117&amp;""""),IFERROR(INDEX(YAHOO_STOCK(TRIM(AH117), $G$2),0,1),INDEX(IMPORTHTML(CONCAT(""https://coinmarketcap.com/currencies/"",AG117),""table"",1),1,2)))))"),"")</f>
        <v/>
      </c>
      <c r="AL117" s="14" t="str">
        <f>IFERROR(__xludf.DUMMYFUNCTION("IF(ISBLANK(AH117),"""",IFERROR(SPARKLINE(INDEX(GOOGLEFINANCE(AH117,""price"",TODAY()-$AL$2,TODAY()),,2),{""charttype"",""column"";""color"",""17a7e0""}),""""))"),"")</f>
        <v/>
      </c>
      <c r="AM117" s="50" t="str">
        <f>IFERROR(__xludf.DUMMYFUNCTION("IFNA(IFERROR(IF(AH117="""","""",GOOGLEFINANCE(AH117,""changepct"")/100),(GOOGLEFINANCE(AH117)-(INDEX(GOOGLEFINANCE(""CURRENCY:""&amp;AH117&amp;"""",""price"",TODAY()-1),2,2)))/(INDEX(GOOGLEFINANCE(""CURRENCY:""&amp;AH117&amp;"""",""price"",TODAY()-1),2,2))),)"),"")</f>
        <v/>
      </c>
      <c r="AN117" s="96" t="str">
        <f>IFERROR(__xludf.DUMMYFUNCTION("IFNA(IFERROR(IF(AH117="""","""",GOOGLEFINANCE(AH117,""change"")*AI117),(GOOGLEFINANCE(AH117)-(INDEX(GOOGLEFINANCE(""CURRENCY:""&amp;AH117&amp;"""",""price"",TODAY()-1),2,2)))*AI117),"""")"),"")</f>
        <v/>
      </c>
      <c r="AO117" s="96" t="str">
        <f>IF(ISBLANK(AH117),"",IFERROR(((AI117-SUMIFS(Transactions!I:I,Transactions!H:H,"Crypto Interest",Transactions!D:D,AH117))*AJ117),""))</f>
        <v/>
      </c>
      <c r="AP117" s="96" t="str">
        <f t="shared" si="16"/>
        <v/>
      </c>
      <c r="AQ117" s="50" t="str">
        <f t="shared" si="17"/>
        <v/>
      </c>
      <c r="AR117" s="96" t="str">
        <f t="shared" si="18"/>
        <v/>
      </c>
      <c r="AS117" s="96" t="str">
        <f>IF(ISBLANK(AH117),"",SUMIFS(Transactions!$X$3:$X149,Transactions!$H$3:$H149,"Sell",Transactions!$D$3:$D149,AH117))</f>
        <v/>
      </c>
      <c r="AT117" s="96" t="str">
        <f t="shared" si="19"/>
        <v/>
      </c>
      <c r="AU117" s="50" t="str">
        <f>IFERROR(__xludf.DUMMYFUNCTION("IF(ISBLANK(AH117),"""",IFERROR((GOOGLEFINANCE(AH117,""price"")/INDEX(GOOGLEFINANCE(AH117,""price"",DATEVALUE(TODAY()-$AU$2) ),2,2)-1),""""))"),"")</f>
        <v/>
      </c>
      <c r="AW117" s="50" t="str">
        <f>IFERROR(__xludf.DUMMYFUNCTION("IF(ISBLANK(AH117),"""",IFERROR((GOOGLEFINANCE($AW$2,""price"")/INDEX(GOOGLEFINANCE($AW$2,""price"",DATEVALUE(TODAY()-$AU$2) ),2,2)-1),""""))"),"")</f>
        <v/>
      </c>
      <c r="AY117" s="50" t="str">
        <f t="shared" si="20"/>
        <v/>
      </c>
      <c r="AZ117" s="50" t="str">
        <f t="shared" si="21"/>
        <v/>
      </c>
      <c r="BA117" s="50" t="str">
        <f t="shared" si="22"/>
        <v/>
      </c>
      <c r="BB117" s="14" t="str">
        <f t="shared" si="23"/>
        <v/>
      </c>
      <c r="BC117" s="14" t="str">
        <f>IF(ISBLANK(AH117),"",IFERROR(VLOOKUP(AH117,Transactions!D:F,3,0)))</f>
        <v/>
      </c>
      <c r="BD117" s="50" t="str">
        <f t="shared" si="24"/>
        <v/>
      </c>
      <c r="BE117" s="50" t="str">
        <f t="shared" si="25"/>
        <v/>
      </c>
      <c r="BF117" s="14" t="str">
        <f t="shared" si="26"/>
        <v/>
      </c>
      <c r="BG117" s="180" t="str">
        <f>IF(ISBLANK(AH117),"",IFERROR(VLOOKUP(AH117,Transactions!D:G,4,0)))</f>
        <v/>
      </c>
    </row>
    <row r="118">
      <c r="A118" s="14" t="str">
        <f t="shared" ref="A118:C118" si="141">AG118</f>
        <v/>
      </c>
      <c r="B118" s="14" t="str">
        <f t="shared" si="141"/>
        <v/>
      </c>
      <c r="C118" s="175" t="str">
        <f t="shared" si="141"/>
        <v/>
      </c>
      <c r="D118" s="176" t="str">
        <f>IFERROR(__xludf.DUMMYFUNCTION("IF(ISBLANK(B118),"""",IFERROR(IF(OR(AF118=""GPB"",AF118=""ZAR""),IF(AF118=Dashboard!$L$1,AJ118,(AJ118*GOOGLEFINANCE(""CURRENCY:""&amp;AF118&amp;""""&amp;Dashboard!$L$1&amp;""""))/100),IF(AF118=Dashboard!$L$1,AJ118,AJ118*GOOGLEFINANCE(""CURRENCY:""&amp;AF118&amp;""""&amp;Dashboard!$L"&amp;"$1&amp;""""))),AJ118))"),"")</f>
        <v/>
      </c>
      <c r="E118" s="177" t="str">
        <f>IFERROR(__xludf.DUMMYFUNCTION("IFERROR(IF(OR(AF118=""GBP"",AF118=""ZAR""),IF(B118="""","""",IF(AF118=Dashboard!$L$1,AK118,AK118*GOOGLEFINANCE(""CURRENCY:""&amp;AF118&amp;""""&amp;Dashboard!$L$1&amp;"""")))/100,If(B118="""","""",IF(AF118=Dashboard!$L$1,AK118,AK118*GOOGLEFINANCE(""CURRENCY:""&amp;AF118&amp;"""""&amp;"&amp;Dashboard!$L$1&amp;"""")))),AK118)"),"")</f>
        <v/>
      </c>
      <c r="F118" s="145" t="str">
        <f t="shared" si="65"/>
        <v/>
      </c>
      <c r="G118" s="96" t="str">
        <f>IFERROR(__xludf.DUMMYFUNCTION("IF(ISBLANK(B118),"""",IFERROR(SPARKLINE(INDEX(GOOGLEFINANCE(B118,""price"",TODAY()-$G$2,TODAY()),,2),{""charttype"",""column"";""color"",""17a7e0""}),""""))"),"")</f>
        <v/>
      </c>
      <c r="H118" s="50" t="str">
        <f t="shared" si="3"/>
        <v/>
      </c>
      <c r="I118" s="96" t="str">
        <f>IFERROR(__xludf.DUMMYFUNCTION("IF(ISBLANK(B118),"""",IFERROR(IF(OR(AF118=""GPB"",AF118=""ZAR""),IF(AF118=Dashboard!$L$1,AN118,(AN118*GOOGLEFINANCE(""CURRENCY:""&amp;AF118&amp;""""&amp;Dashboard!$L$1&amp;""""))/100),IF(AF118=Dashboard!$L$1,AN118,AN118*GOOGLEFINANCE(""CURRENCY:""&amp;AF118&amp;""""&amp;Dashboard!$L"&amp;"$1&amp;""""))),AN118))"),"")</f>
        <v/>
      </c>
      <c r="J118" s="178" t="str">
        <f>IF(ISBLANK(B118),"",IFERROR(((C118-SUMIFS(Transactions!I:I,Transactions!H:H,"Crypto Interest",Transactions!D:D,B118))*D118),""))</f>
        <v/>
      </c>
      <c r="K118" s="178" t="str">
        <f t="shared" si="4"/>
        <v/>
      </c>
      <c r="L118" s="145">
        <f>IF(ISBLANK(AF118),"",SUMIFS(Transactions!$M$3:$M149,Transactions!$H$3:$H149,"Buy",Transactions!$D$3:$D149,AF118))</f>
        <v>0</v>
      </c>
      <c r="M118" s="145">
        <f>IF(ISBLANK(AG118),"",SUMIFS(Transactions!$M$3:$M149,Transactions!$H$3:$H149,"Dividend",Transactions!$D$3:$D149,AG118))</f>
        <v>0</v>
      </c>
      <c r="N118" s="145" t="str">
        <f>IF(ISBLANK(AH118),"",SUMIFS(Transactions!$M$3:$M149,Transactions!$H$3:$H149,"Sell",Transactions!$D$3:$D149,AH118))</f>
        <v/>
      </c>
      <c r="O118" s="50" t="str">
        <f t="shared" si="5"/>
        <v/>
      </c>
      <c r="P118" s="178" t="str">
        <f t="shared" si="6"/>
        <v/>
      </c>
      <c r="Q118" s="178" t="str">
        <f>IFERROR(__xludf.DUMMYFUNCTION("IF(ISBLANK(B118),"""",IFERROR(IF(OR(AF118=""GPB"",AF118=""ZAR""),IF(AF118=Dashboard!$L$1,AS118,(AS118*GOOGLEFINANCE(""CURRENCY:""&amp;AF118&amp;""""&amp;Dashboard!$L$1&amp;""""))/100),IF(AF118=Dashboard!$L$1,AS118,AS118*GOOGLEFINANCE(""CURRENCY:""&amp;AF118&amp;""""&amp;Dashboard!$L"&amp;"$1&amp;""""))),AS118))"),"")</f>
        <v/>
      </c>
      <c r="R118" s="178" t="str">
        <f t="shared" si="7"/>
        <v/>
      </c>
      <c r="S118" s="50" t="str">
        <f>IFERROR(__xludf.DUMMYFUNCTION("IF(ISBLANK(B118),"""",IFERROR((GOOGLEFINANCE(B118,""price"")/INDEX(GOOGLEFINANCE(B118,""price"",DATEVALUE(TODAY()-$S$2) ),2,2)-1),""""))"),"")</f>
        <v/>
      </c>
      <c r="U118" s="50" t="str">
        <f>IFERROR(__xludf.DUMMYFUNCTION("IF(ISBLANK(B118),"""",IFERROR((GOOGLEFINANCE($U$2,""price"")/INDEX(GOOGLEFINANCE($U$2,""price"",DATEVALUE(TODAY()-$S$2) ),2,2)-1),""""))"),"")</f>
        <v/>
      </c>
      <c r="W118" s="50" t="str">
        <f t="shared" si="8"/>
        <v/>
      </c>
      <c r="X118" s="50" t="str">
        <f t="shared" si="9"/>
        <v/>
      </c>
      <c r="Y118" s="50"/>
      <c r="Z118" s="50" t="str">
        <f t="shared" si="10"/>
        <v/>
      </c>
      <c r="AA118" s="14" t="str">
        <f t="shared" si="11"/>
        <v/>
      </c>
      <c r="AB118" s="50" t="str">
        <f t="shared" si="12"/>
        <v/>
      </c>
      <c r="AC118" s="179" t="str">
        <f t="shared" si="13"/>
        <v/>
      </c>
      <c r="AD118" s="50" t="str">
        <f t="shared" si="14"/>
        <v/>
      </c>
      <c r="AE118" s="180" t="str">
        <f t="shared" si="15"/>
        <v/>
      </c>
      <c r="AF118" s="14" t="str">
        <f t="array" ref="AF118">IFERROR(IF(ISBLANK(AH118),"",IF(VLOOKUP(AH118,Transactions!D:F,3,0)="Stablecoin",AH118,INDEX(Transactions!$B$3:$B149,MATCH(AH118,Transactions!$D$3:$D149,0),0))))</f>
        <v/>
      </c>
      <c r="AG118" s="14" t="str">
        <f>IF(ISBLANK(AH118),"",VLOOKUP(AH118,Transactions!D:E,2,0))</f>
        <v/>
      </c>
      <c r="AH118" s="14"/>
      <c r="AI118" s="146" t="str">
        <f>IF(ISBLANK(AH118),"",IF(
SUMIFS(Transactions!$I$3:$I149,Transactions!$H$3:$H149,"Buy",Transactions!$F$3:$F149,"Stock",Transactions!$D$3:$D149,AH118)
+SUMIFS(Transactions!$I$3:$I149,Transactions!$H$3:$H149,"DRIP",Transactions!$F$3:$F149,"Stock",Transactions!$D$3:$D149,AH118)
+SUMIFS(Transactions!$I$3:$I149,Transactions!$H$3:$H149,"Transfer Deposit",Transactions!$F$3:$F149,"Stock",Transactions!$D$3:$D149,AH118)
+SUMIFS(Transactions!$I$3:$I149,Transactions!$H$3:$H149,"Buy",Transactions!$F$3:$F149,"ETF",Transactions!$D$3:$D149,AH118)
+SUMIFS(Transactions!$I$3:$I149,Transactions!$H$3:$H149,"DRIP",Transactions!$F$3:$F149,"ETF",Transactions!$D$3:$D149,AH118)
+SUMIFS(Transactions!$I$3:$I149,Transactions!$H$3:$H149,"Transfer Deposit",Transactions!$F$3:$F149,"ETF",Transactions!$D$3:$D149,AH118)
+SUMIFS(Transactions!$I$3:$I149,Transactions!$H$3:$H149,"Buy",Transactions!$F$3:$F149,"Commodity",Transactions!$D$3:$D149,AH118)
+SUMIFS(Transactions!$I$3:$I149,Transactions!$H$3:$H149,"DRIP",Transactions!$F$3:$F149,"Commodity",Transactions!$D$3:$D149,AH118)
+SUMIFS(Transactions!$I$3:$I149,Transactions!$H$3:$H149,"Transfer Deposit",Transactions!$F$3:$F149,"Commodity",Transactions!$D$3:$D149,AH118)
+SUMIFS(Transactions!$I$3:$I149,Transactions!$H$3:$H149,"Buy",Transactions!$F$3:$F149,"Managed Fund",Transactions!$D$3:$D149,AH118)
+SUMIFS(Transactions!$I$3:$I149,Transactions!$H$3:$H149,"DRIP",Transactions!$F$3:$F149,"Managed Fund",Transactions!$D$3:$D149,AH118)
+SUMIFS(Transactions!$I$3:$I149,Transactions!$H$3:$H149,"Transfer Deposit",Transactions!$F$3:$F149,"Managed Fund",Transactions!$D$3:$D149,AH118)
+SUMIFS(Transactions!$I$3:$I149,Transactions!$H$3:$H149,"Buy",Transactions!$F$3:$F149,"REIT",Transactions!$D$3:$D149,AH118)
+SUMIFS(Transactions!$I$3:$I149,Transactions!$H$3:$H149,"DRIP",Transactions!$F$3:$F149,"REIT",Transactions!$D$3:$D149,AH118)
+SUMIFS(Transactions!$I$3:$I149,Transactions!$H$3:$H149,"Transfer Deposit",Transactions!$F$3:$F149,"REIT",Transactions!$D$3:$D149,AH118)
-SUMIFS(Transactions!$I$3:$I149,Transactions!$H$3:$H149,"Sell",Transactions!$F$3:$F149,"Stock",Transactions!$D$3:$D149,AH118)
-SUMIFS(Transactions!$I$3:$I149,Transactions!$H$3:$H149,"Transfer Send",Transactions!$F$3:$F149,"Stock",Transactions!$D$3:$D149,AH118)
-SUMIFS(Transactions!$I$3:$I149,Transactions!$H$3:$H149,"Sell",Transactions!$F$3:$F149,"ETF",Transactions!$D$3:$D149,AH118)
-SUMIFS(Transactions!$I$3:$I149,Transactions!$H$3:$H149,"Transfer Send",Transactions!$F$3:$F149,"ETF",Transactions!$D$3:$D149,AH118)
-SUMIFS(Transactions!$I$3:$I149,Transactions!$H$3:$H149,"Sell",Transactions!$F$3:$F149,"Commodity",Transactions!$D$3:$D149,AH118)
-SUMIFS(Transactions!$I$3:$I149,Transactions!$H$3:$H149,"Transfer Send",Transactions!$F$3:$F149,"Commodity",Transactions!$D$3:$D149,AH118)
-SUMIFS(Transactions!$I$3:$I149,Transactions!$H$3:$H149,"Sell",Transactions!$F$3:$F149,"Managed Fund",Transactions!$D$3:$D149,AH118)
-SUMIFS(Transactions!$I$3:$I149,Transactions!$H$3:$H149,"Transfer Send",Transactions!$F$3:$F149,"Managed Fund",Transactions!$D$3:$D149,AH118)
-SUMIFS(Transactions!$I$3:$I149,Transactions!$H$3:$H149,"Sell",Transactions!$F$3:$F149,"REIT",Transactions!$D$3:$D149,AH118)
-SUMIFS(Transactions!$I$3:$I149,Transactions!$H$3:$H149,"Transfer Send",Transactions!$F$3:$F149,"REIT",Transactions!$D$3:$D149,AH118)
+SUMIFS(Transactions!$I$3:$I149,Transactions!$H$3:$H149,"Buy",Transactions!$F$3:$F149,"Crypto",Transactions!$D$3:$D149,AH118)
+SUMIFS(Transactions!$I$3:$I149,Transactions!$H$3:$H149,"Crypto Interest",Transactions!$F$3:$F149,"Crypto",Transactions!$D$3:$D149,AH118)
+SUMIFS(Transactions!$I$3:$I149,Transactions!$H$3:$H149,"Transfer Deposit",Transactions!$F$3:$F149,"Crypto",Transactions!$D$3:$D149,AH118)
-SUMIFS(Transactions!$I$3:$I149,Transactions!$H$3:$H149,"Transfer Send",Transactions!$F$3:$F149,"Crypto",Transactions!$D$3:$D149,AH118)
-SUMIFS(Transactions!$I$3:$I149,Transactions!$H$3:$H149,"Sell",Transactions!$F$3:$F149,"Crypto",Transactions!$D$3:$D149,AH118)
+SUMIFS(Transactions!$I$3:$I149,Transactions!$H$3:$H149,"Buy",Transactions!$F$3:$F149,"Stablecoin",Transactions!$D$3:$D149,AH118)
+SUMIFS(Transactions!$I$3:$I149,Transactions!$H$3:$H149,"Crypto Interest",Transactions!$F$3:$F149,"Stablecoin",Transactions!$D$3:$D149,AH118)
+SUMIFS(Transactions!$I$3:$I149,Transactions!$H$3:$H149,"Transfer Deposit",Transactions!$F$3:$F149,"Stablecoin",Transactions!$D$3:$D149,AH118)
-SUMIFS(Transactions!$I$3:$I149,Transactions!$H$3:$H149,"Transfer Send",Transactions!$F$3:$F149,"Stablecoin",Transactions!$D$3:$D149,AH118)
-SUMIFS(Transactions!$I$3:$I149,Transactions!$H$3:$H149,"Sell",Transactions!$F$3:$F149,"Stablecoin",Transactions!$D$3:$D149,AH118)
-SUMIFS(Transactions!$M$3:$M149,Transactions!$H$3:$H149,"Buy",Transactions!$B$3:$B149,AH118)=0,"Sold All",
SUMIFS(Transactions!$I$3:$I149,Transactions!$H$3:$H149,"Buy",Transactions!$F$3:$F149,"Stock",Transactions!$D$3:$D149,AH118)
+SUMIFS(Transactions!$I$3:$I149,Transactions!$H$3:$H149,"DRIP",Transactions!$F$3:$F149,"Stock",Transactions!$D$3:$D149,AH118)
+SUMIFS(Transactions!$I$3:$I149,Transactions!$H$3:$H149,"Transfer Deposit",Transactions!$F$3:$F149,"Stock",Transactions!$D$3:$D149,AH118)
+SUMIFS(Transactions!$I$3:$I149,Transactions!$H$3:$H149,"Buy",Transactions!$F$3:$F149,"ETF",Transactions!$D$3:$D149,AH118)
+SUMIFS(Transactions!$I$3:$I149,Transactions!$H$3:$H149,"DRIP",Transactions!$F$3:$F149,"ETF",Transactions!$D$3:$D149,AH118)
+SUMIFS(Transactions!$I$3:$I149,Transactions!$H$3:$H149,"Transfer Deposit",Transactions!$F$3:$F149,"ETF",Transactions!$D$3:$D149,AH118)
+SUMIFS(Transactions!$I$3:$I149,Transactions!$H$3:$H149,"Buy",Transactions!$F$3:$F149,"Commodity",Transactions!$D$3:$D149,AH118)
+SUMIFS(Transactions!$I$3:$I149,Transactions!$H$3:$H149,"DRIP",Transactions!$F$3:$F149,"Commodity",Transactions!$D$3:$D149,AH118)
+SUMIFS(Transactions!$I$3:$I149,Transactions!$H$3:$H149,"Transfer Deposit",Transactions!$F$3:$F149,"Commodity",Transactions!$D$3:$D149,AH118)
+SUMIFS(Transactions!$I$3:$I149,Transactions!$H$3:$H149,"Buy",Transactions!$F$3:$F149,"Managed Fund",Transactions!$D$3:$D149,AH118)
+SUMIFS(Transactions!$I$3:$I149,Transactions!$H$3:$H149,"DRIP",Transactions!$F$3:$F149,"Managed Fund",Transactions!$D$3:$D149,AH118)
+SUMIFS(Transactions!$I$3:$I149,Transactions!$H$3:$H149,"Transfer Deposit",Transactions!$F$3:$F149,"Managed Fund",Transactions!$D$3:$D149,AH118)
+SUMIFS(Transactions!$I$3:$I149,Transactions!$H$3:$H149,"Buy",Transactions!$F$3:$F149,"REIT",Transactions!$D$3:$D149,AH118)
+SUMIFS(Transactions!$I$3:$I149,Transactions!$H$3:$H149,"DRIP",Transactions!$F$3:$F149,"REIT",Transactions!$D$3:$D149,AH118)
+SUMIFS(Transactions!$I$3:$I149,Transactions!$H$3:$H149,"Transfer Deposit",Transactions!$F$3:$F149,"REIT",Transactions!$D$3:$D149,AH118)
-SUMIFS(Transactions!$I$3:$I149,Transactions!$H$3:$H149,"Sell",Transactions!$F$3:$F149,"Stock",Transactions!$D$3:$D149,AH118)
-SUMIFS(Transactions!$I$3:$I149,Transactions!$H$3:$H149,"Transfer Send",Transactions!$F$3:$F149,"Stock",Transactions!$D$3:$D149,AH118)
-SUMIFS(Transactions!$I$3:$I149,Transactions!$H$3:$H149,"Sell",Transactions!$F$3:$F149,"ETF",Transactions!$D$3:$D149,AH118)
-SUMIFS(Transactions!$I$3:$I149,Transactions!$H$3:$H149,"Transfer Send",Transactions!$F$3:$F149,"ETF",Transactions!$D$3:$D149,AH118)
-SUMIFS(Transactions!$I$3:$I149,Transactions!$H$3:$H149,"Sell",Transactions!$F$3:$F149,"Commodity",Transactions!$D$3:$D149,AH118)
-SUMIFS(Transactions!$I$3:$I149,Transactions!$H$3:$H149,"Transfer Send",Transactions!$F$3:$F149,"Commodity",Transactions!$D$3:$D149,AH118)
-SUMIFS(Transactions!$I$3:$I149,Transactions!$H$3:$H149,"Sell",Transactions!$F$3:$F149,"Managed Fund",Transactions!$D$3:$D149,AH118)
-SUMIFS(Transactions!$I$3:$I149,Transactions!$H$3:$H149,"Transfer Send",Transactions!$F$3:$F149,"Managed Fund",Transactions!$D$3:$D149,AH118)
-SUMIFS(Transactions!$I$3:$I149,Transactions!$H$3:$H149,"Sell",Transactions!$F$3:$F149,"REIT",Transactions!$D$3:$D149,AH118)
-SUMIFS(Transactions!$I$3:$I149,Transactions!$H$3:$H149,"Transfer Send",Transactions!$F$3:$F149,"REIT",Transactions!$D$3:$D149,AH118)
+SUMIFS(Transactions!$I$3:$I149,Transactions!$H$3:$H149,"Buy",Transactions!$F$3:$F149,"Crypto",Transactions!$D$3:$D149,AH118)
+SUMIFS(Transactions!$I$3:$I149,Transactions!$H$3:$H149,"Crypto Interest",Transactions!$F$3:$F149,"Crypto",Transactions!$D$3:$D149,AH118)
+SUMIFS(Transactions!$I$3:$I149,Transactions!$H$3:$H149,"Transfer Deposit",Transactions!$F$3:$F149,"Crypto",Transactions!$D$3:$D149,AH118)
-SUMIFS(Transactions!$I$3:$I149,Transactions!$H$3:$H149,"Transfer Send",Transactions!$F$3:$F149,"Crypto",Transactions!$D$3:$D149,AH118)
-SUMIFS(Transactions!$I$3:$I149,Transactions!$H$3:$H149,"Sell",Transactions!$F$3:$F149,"Crypto",Transactions!$D$3:$D149,AH118)
+SUMIFS(Transactions!$I$3:$I149,Transactions!$H$3:$H149,"Buy",Transactions!$F$3:$F149,"Stablecoin",Transactions!$D$3:$D149,AH118)
+SUMIFS(Transactions!$I$3:$I149,Transactions!$H$3:$H149,"Crypto Interest",Transactions!$F$3:$F149,"Stablecoin",Transactions!$D$3:$D149,AH118)
+SUMIFS(Transactions!$I$3:$I149,Transactions!$H$3:$H149,"Transfer Deposit",Transactions!$F$3:$F149,"Stablecoin",Transactions!$D$3:$D149,AH118)
-SUMIFS(Transactions!$I$3:$I149,Transactions!$H$3:$H149,"Transfer Send",Transactions!$F$3:$F149,"Stablecoin",Transactions!$D$3:$D149,AH118)
-SUMIFS(Transactions!$I$3:$I149,Transactions!$H$3:$H149,"Sell",Transactions!$F$3:$F149,"Stablecoin",Transactions!$D$3:$D149,AH118)
-SUMIFS(Transactions!$M$3:$M149,Transactions!$H$3:$H149,"Buy",Transactions!$B$3:$B149,AH118)))</f>
        <v/>
      </c>
      <c r="AJ118" s="181" t="str">
        <f>IFERROR(__xludf.DUMMYFUNCTION("IF(ISBLANK(AH118),"""",VLOOKUP(9^99,FILTER({ROW(Transactions!P:P),Transactions!P:P},Transactions!D:D=AH118),2))"),"")</f>
        <v/>
      </c>
      <c r="AK118" s="181" t="str">
        <f>IFERROR(__xludf.DUMMYFUNCTION("IF(ISBLANK(AH118),"""",IFERROR(GOOGLEFINANCE(AH118,""price""),IFERROR(GOOGLEFINANCE(""CURRENCY:""&amp;AH118&amp;""""),IFERROR(INDEX(YAHOO_STOCK(TRIM(AH118), $G$2),0,1),INDEX(IMPORTHTML(CONCAT(""https://coinmarketcap.com/currencies/"",AG118),""table"",1),1,2)))))"),"")</f>
        <v/>
      </c>
      <c r="AL118" s="14" t="str">
        <f>IFERROR(__xludf.DUMMYFUNCTION("IF(ISBLANK(AH118),"""",IFERROR(SPARKLINE(INDEX(GOOGLEFINANCE(AH118,""price"",TODAY()-$AL$2,TODAY()),,2),{""charttype"",""column"";""color"",""17a7e0""}),""""))"),"")</f>
        <v/>
      </c>
      <c r="AM118" s="50" t="str">
        <f>IFERROR(__xludf.DUMMYFUNCTION("IFNA(IFERROR(IF(AH118="""","""",GOOGLEFINANCE(AH118,""changepct"")/100),(GOOGLEFINANCE(AH118)-(INDEX(GOOGLEFINANCE(""CURRENCY:""&amp;AH118&amp;"""",""price"",TODAY()-1),2,2)))/(INDEX(GOOGLEFINANCE(""CURRENCY:""&amp;AH118&amp;"""",""price"",TODAY()-1),2,2))),)"),"")</f>
        <v/>
      </c>
      <c r="AN118" s="96" t="str">
        <f>IFERROR(__xludf.DUMMYFUNCTION("IFNA(IFERROR(IF(AH118="""","""",GOOGLEFINANCE(AH118,""change"")*AI118),(GOOGLEFINANCE(AH118)-(INDEX(GOOGLEFINANCE(""CURRENCY:""&amp;AH118&amp;"""",""price"",TODAY()-1),2,2)))*AI118),"""")"),"")</f>
        <v/>
      </c>
      <c r="AO118" s="96" t="str">
        <f>IF(ISBLANK(AH118),"",IFERROR(((AI118-SUMIFS(Transactions!I:I,Transactions!H:H,"Crypto Interest",Transactions!D:D,AH118))*AJ118),""))</f>
        <v/>
      </c>
      <c r="AP118" s="96" t="str">
        <f t="shared" si="16"/>
        <v/>
      </c>
      <c r="AQ118" s="50" t="str">
        <f t="shared" si="17"/>
        <v/>
      </c>
      <c r="AR118" s="96" t="str">
        <f t="shared" si="18"/>
        <v/>
      </c>
      <c r="AS118" s="96" t="str">
        <f>IF(ISBLANK(AH118),"",SUMIFS(Transactions!$X$3:$X149,Transactions!$H$3:$H149,"Sell",Transactions!$D$3:$D149,AH118))</f>
        <v/>
      </c>
      <c r="AT118" s="96" t="str">
        <f t="shared" si="19"/>
        <v/>
      </c>
      <c r="AU118" s="50" t="str">
        <f>IFERROR(__xludf.DUMMYFUNCTION("IF(ISBLANK(AH118),"""",IFERROR((GOOGLEFINANCE(AH118,""price"")/INDEX(GOOGLEFINANCE(AH118,""price"",DATEVALUE(TODAY()-$AU$2) ),2,2)-1),""""))"),"")</f>
        <v/>
      </c>
      <c r="AW118" s="50" t="str">
        <f>IFERROR(__xludf.DUMMYFUNCTION("IF(ISBLANK(AH118),"""",IFERROR((GOOGLEFINANCE($AW$2,""price"")/INDEX(GOOGLEFINANCE($AW$2,""price"",DATEVALUE(TODAY()-$AU$2) ),2,2)-1),""""))"),"")</f>
        <v/>
      </c>
      <c r="AY118" s="50" t="str">
        <f t="shared" si="20"/>
        <v/>
      </c>
      <c r="AZ118" s="50" t="str">
        <f t="shared" si="21"/>
        <v/>
      </c>
      <c r="BA118" s="50" t="str">
        <f t="shared" si="22"/>
        <v/>
      </c>
      <c r="BB118" s="14" t="str">
        <f t="shared" si="23"/>
        <v/>
      </c>
      <c r="BC118" s="14" t="str">
        <f>IF(ISBLANK(AH118),"",IFERROR(VLOOKUP(AH118,Transactions!D:F,3,0)))</f>
        <v/>
      </c>
      <c r="BD118" s="50" t="str">
        <f t="shared" si="24"/>
        <v/>
      </c>
      <c r="BE118" s="50" t="str">
        <f t="shared" si="25"/>
        <v/>
      </c>
      <c r="BF118" s="14" t="str">
        <f t="shared" si="26"/>
        <v/>
      </c>
      <c r="BG118" s="180" t="str">
        <f>IF(ISBLANK(AH118),"",IFERROR(VLOOKUP(AH118,Transactions!D:G,4,0)))</f>
        <v/>
      </c>
    </row>
    <row r="119">
      <c r="A119" s="14" t="str">
        <f t="shared" ref="A119:C119" si="142">AG119</f>
        <v/>
      </c>
      <c r="B119" s="14" t="str">
        <f t="shared" si="142"/>
        <v/>
      </c>
      <c r="C119" s="175" t="str">
        <f t="shared" si="142"/>
        <v/>
      </c>
      <c r="D119" s="176" t="str">
        <f>IFERROR(__xludf.DUMMYFUNCTION("IF(ISBLANK(B119),"""",IFERROR(IF(OR(AF119=""GPB"",AF119=""ZAR""),IF(AF119=Dashboard!$L$1,AJ119,(AJ119*GOOGLEFINANCE(""CURRENCY:""&amp;AF119&amp;""""&amp;Dashboard!$L$1&amp;""""))/100),IF(AF119=Dashboard!$L$1,AJ119,AJ119*GOOGLEFINANCE(""CURRENCY:""&amp;AF119&amp;""""&amp;Dashboard!$L"&amp;"$1&amp;""""))),AJ119))"),"")</f>
        <v/>
      </c>
      <c r="E119" s="177" t="str">
        <f>IFERROR(__xludf.DUMMYFUNCTION("IFERROR(IF(OR(AF119=""GBP"",AF119=""ZAR""),IF(B119="""","""",IF(AF119=Dashboard!$L$1,AK119,AK119*GOOGLEFINANCE(""CURRENCY:""&amp;AF119&amp;""""&amp;Dashboard!$L$1&amp;"""")))/100,If(B119="""","""",IF(AF119=Dashboard!$L$1,AK119,AK119*GOOGLEFINANCE(""CURRENCY:""&amp;AF119&amp;"""""&amp;"&amp;Dashboard!$L$1&amp;"""")))),AK119)"),"")</f>
        <v/>
      </c>
      <c r="F119" s="145" t="str">
        <f t="shared" si="65"/>
        <v/>
      </c>
      <c r="G119" s="96" t="str">
        <f>IFERROR(__xludf.DUMMYFUNCTION("IF(ISBLANK(B119),"""",IFERROR(SPARKLINE(INDEX(GOOGLEFINANCE(B119,""price"",TODAY()-$G$2,TODAY()),,2),{""charttype"",""column"";""color"",""17a7e0""}),""""))"),"")</f>
        <v/>
      </c>
      <c r="H119" s="50" t="str">
        <f t="shared" si="3"/>
        <v/>
      </c>
      <c r="I119" s="96" t="str">
        <f>IFERROR(__xludf.DUMMYFUNCTION("IF(ISBLANK(B119),"""",IFERROR(IF(OR(AF119=""GPB"",AF119=""ZAR""),IF(AF119=Dashboard!$L$1,AN119,(AN119*GOOGLEFINANCE(""CURRENCY:""&amp;AF119&amp;""""&amp;Dashboard!$L$1&amp;""""))/100),IF(AF119=Dashboard!$L$1,AN119,AN119*GOOGLEFINANCE(""CURRENCY:""&amp;AF119&amp;""""&amp;Dashboard!$L"&amp;"$1&amp;""""))),AN119))"),"")</f>
        <v/>
      </c>
      <c r="J119" s="178" t="str">
        <f>IF(ISBLANK(B119),"",IFERROR(((C119-SUMIFS(Transactions!I:I,Transactions!H:H,"Crypto Interest",Transactions!D:D,B119))*D119),""))</f>
        <v/>
      </c>
      <c r="K119" s="178" t="str">
        <f t="shared" si="4"/>
        <v/>
      </c>
      <c r="L119" s="145">
        <f>IF(ISBLANK(AF119),"",SUMIFS(Transactions!$M$3:$M149,Transactions!$H$3:$H149,"Buy",Transactions!$D$3:$D149,AF119))</f>
        <v>0</v>
      </c>
      <c r="M119" s="145">
        <f>IF(ISBLANK(AG119),"",SUMIFS(Transactions!$M$3:$M149,Transactions!$H$3:$H149,"Dividend",Transactions!$D$3:$D149,AG119))</f>
        <v>0</v>
      </c>
      <c r="N119" s="145" t="str">
        <f>IF(ISBLANK(AH119),"",SUMIFS(Transactions!$M$3:$M149,Transactions!$H$3:$H149,"Sell",Transactions!$D$3:$D149,AH119))</f>
        <v/>
      </c>
      <c r="O119" s="50" t="str">
        <f t="shared" si="5"/>
        <v/>
      </c>
      <c r="P119" s="178" t="str">
        <f t="shared" si="6"/>
        <v/>
      </c>
      <c r="Q119" s="178" t="str">
        <f>IFERROR(__xludf.DUMMYFUNCTION("IF(ISBLANK(B119),"""",IFERROR(IF(OR(AF119=""GPB"",AF119=""ZAR""),IF(AF119=Dashboard!$L$1,AS119,(AS119*GOOGLEFINANCE(""CURRENCY:""&amp;AF119&amp;""""&amp;Dashboard!$L$1&amp;""""))/100),IF(AF119=Dashboard!$L$1,AS119,AS119*GOOGLEFINANCE(""CURRENCY:""&amp;AF119&amp;""""&amp;Dashboard!$L"&amp;"$1&amp;""""))),AS119))"),"")</f>
        <v/>
      </c>
      <c r="R119" s="178" t="str">
        <f t="shared" si="7"/>
        <v/>
      </c>
      <c r="S119" s="50" t="str">
        <f>IFERROR(__xludf.DUMMYFUNCTION("IF(ISBLANK(B119),"""",IFERROR((GOOGLEFINANCE(B119,""price"")/INDEX(GOOGLEFINANCE(B119,""price"",DATEVALUE(TODAY()-$S$2) ),2,2)-1),""""))"),"")</f>
        <v/>
      </c>
      <c r="U119" s="50" t="str">
        <f>IFERROR(__xludf.DUMMYFUNCTION("IF(ISBLANK(B119),"""",IFERROR((GOOGLEFINANCE($U$2,""price"")/INDEX(GOOGLEFINANCE($U$2,""price"",DATEVALUE(TODAY()-$S$2) ),2,2)-1),""""))"),"")</f>
        <v/>
      </c>
      <c r="W119" s="50" t="str">
        <f t="shared" si="8"/>
        <v/>
      </c>
      <c r="X119" s="50" t="str">
        <f t="shared" si="9"/>
        <v/>
      </c>
      <c r="Y119" s="50"/>
      <c r="Z119" s="50" t="str">
        <f t="shared" si="10"/>
        <v/>
      </c>
      <c r="AA119" s="14" t="str">
        <f t="shared" si="11"/>
        <v/>
      </c>
      <c r="AB119" s="50" t="str">
        <f t="shared" si="12"/>
        <v/>
      </c>
      <c r="AC119" s="179" t="str">
        <f t="shared" si="13"/>
        <v/>
      </c>
      <c r="AD119" s="50" t="str">
        <f t="shared" si="14"/>
        <v/>
      </c>
      <c r="AE119" s="180" t="str">
        <f t="shared" si="15"/>
        <v/>
      </c>
      <c r="AF119" s="14" t="str">
        <f t="array" ref="AF119">IFERROR(IF(ISBLANK(AH119),"",IF(VLOOKUP(AH119,Transactions!D:F,3,0)="Stablecoin",AH119,INDEX(Transactions!$B$3:$B149,MATCH(AH119,Transactions!$D$3:$D149,0),0))))</f>
        <v/>
      </c>
      <c r="AG119" s="14" t="str">
        <f>IF(ISBLANK(AH119),"",VLOOKUP(AH119,Transactions!D:E,2,0))</f>
        <v/>
      </c>
      <c r="AH119" s="14"/>
      <c r="AI119" s="146" t="str">
        <f>IF(ISBLANK(AH119),"",IF(
SUMIFS(Transactions!$I$3:$I149,Transactions!$H$3:$H149,"Buy",Transactions!$F$3:$F149,"Stock",Transactions!$D$3:$D149,AH119)
+SUMIFS(Transactions!$I$3:$I149,Transactions!$H$3:$H149,"DRIP",Transactions!$F$3:$F149,"Stock",Transactions!$D$3:$D149,AH119)
+SUMIFS(Transactions!$I$3:$I149,Transactions!$H$3:$H149,"Transfer Deposit",Transactions!$F$3:$F149,"Stock",Transactions!$D$3:$D149,AH119)
+SUMIFS(Transactions!$I$3:$I149,Transactions!$H$3:$H149,"Buy",Transactions!$F$3:$F149,"ETF",Transactions!$D$3:$D149,AH119)
+SUMIFS(Transactions!$I$3:$I149,Transactions!$H$3:$H149,"DRIP",Transactions!$F$3:$F149,"ETF",Transactions!$D$3:$D149,AH119)
+SUMIFS(Transactions!$I$3:$I149,Transactions!$H$3:$H149,"Transfer Deposit",Transactions!$F$3:$F149,"ETF",Transactions!$D$3:$D149,AH119)
+SUMIFS(Transactions!$I$3:$I149,Transactions!$H$3:$H149,"Buy",Transactions!$F$3:$F149,"Commodity",Transactions!$D$3:$D149,AH119)
+SUMIFS(Transactions!$I$3:$I149,Transactions!$H$3:$H149,"DRIP",Transactions!$F$3:$F149,"Commodity",Transactions!$D$3:$D149,AH119)
+SUMIFS(Transactions!$I$3:$I149,Transactions!$H$3:$H149,"Transfer Deposit",Transactions!$F$3:$F149,"Commodity",Transactions!$D$3:$D149,AH119)
+SUMIFS(Transactions!$I$3:$I149,Transactions!$H$3:$H149,"Buy",Transactions!$F$3:$F149,"Managed Fund",Transactions!$D$3:$D149,AH119)
+SUMIFS(Transactions!$I$3:$I149,Transactions!$H$3:$H149,"DRIP",Transactions!$F$3:$F149,"Managed Fund",Transactions!$D$3:$D149,AH119)
+SUMIFS(Transactions!$I$3:$I149,Transactions!$H$3:$H149,"Transfer Deposit",Transactions!$F$3:$F149,"Managed Fund",Transactions!$D$3:$D149,AH119)
+SUMIFS(Transactions!$I$3:$I149,Transactions!$H$3:$H149,"Buy",Transactions!$F$3:$F149,"REIT",Transactions!$D$3:$D149,AH119)
+SUMIFS(Transactions!$I$3:$I149,Transactions!$H$3:$H149,"DRIP",Transactions!$F$3:$F149,"REIT",Transactions!$D$3:$D149,AH119)
+SUMIFS(Transactions!$I$3:$I149,Transactions!$H$3:$H149,"Transfer Deposit",Transactions!$F$3:$F149,"REIT",Transactions!$D$3:$D149,AH119)
-SUMIFS(Transactions!$I$3:$I149,Transactions!$H$3:$H149,"Sell",Transactions!$F$3:$F149,"Stock",Transactions!$D$3:$D149,AH119)
-SUMIFS(Transactions!$I$3:$I149,Transactions!$H$3:$H149,"Transfer Send",Transactions!$F$3:$F149,"Stock",Transactions!$D$3:$D149,AH119)
-SUMIFS(Transactions!$I$3:$I149,Transactions!$H$3:$H149,"Sell",Transactions!$F$3:$F149,"ETF",Transactions!$D$3:$D149,AH119)
-SUMIFS(Transactions!$I$3:$I149,Transactions!$H$3:$H149,"Transfer Send",Transactions!$F$3:$F149,"ETF",Transactions!$D$3:$D149,AH119)
-SUMIFS(Transactions!$I$3:$I149,Transactions!$H$3:$H149,"Sell",Transactions!$F$3:$F149,"Commodity",Transactions!$D$3:$D149,AH119)
-SUMIFS(Transactions!$I$3:$I149,Transactions!$H$3:$H149,"Transfer Send",Transactions!$F$3:$F149,"Commodity",Transactions!$D$3:$D149,AH119)
-SUMIFS(Transactions!$I$3:$I149,Transactions!$H$3:$H149,"Sell",Transactions!$F$3:$F149,"Managed Fund",Transactions!$D$3:$D149,AH119)
-SUMIFS(Transactions!$I$3:$I149,Transactions!$H$3:$H149,"Transfer Send",Transactions!$F$3:$F149,"Managed Fund",Transactions!$D$3:$D149,AH119)
-SUMIFS(Transactions!$I$3:$I149,Transactions!$H$3:$H149,"Sell",Transactions!$F$3:$F149,"REIT",Transactions!$D$3:$D149,AH119)
-SUMIFS(Transactions!$I$3:$I149,Transactions!$H$3:$H149,"Transfer Send",Transactions!$F$3:$F149,"REIT",Transactions!$D$3:$D149,AH119)
+SUMIFS(Transactions!$I$3:$I149,Transactions!$H$3:$H149,"Buy",Transactions!$F$3:$F149,"Crypto",Transactions!$D$3:$D149,AH119)
+SUMIFS(Transactions!$I$3:$I149,Transactions!$H$3:$H149,"Crypto Interest",Transactions!$F$3:$F149,"Crypto",Transactions!$D$3:$D149,AH119)
+SUMIFS(Transactions!$I$3:$I149,Transactions!$H$3:$H149,"Transfer Deposit",Transactions!$F$3:$F149,"Crypto",Transactions!$D$3:$D149,AH119)
-SUMIFS(Transactions!$I$3:$I149,Transactions!$H$3:$H149,"Transfer Send",Transactions!$F$3:$F149,"Crypto",Transactions!$D$3:$D149,AH119)
-SUMIFS(Transactions!$I$3:$I149,Transactions!$H$3:$H149,"Sell",Transactions!$F$3:$F149,"Crypto",Transactions!$D$3:$D149,AH119)
+SUMIFS(Transactions!$I$3:$I149,Transactions!$H$3:$H149,"Buy",Transactions!$F$3:$F149,"Stablecoin",Transactions!$D$3:$D149,AH119)
+SUMIFS(Transactions!$I$3:$I149,Transactions!$H$3:$H149,"Crypto Interest",Transactions!$F$3:$F149,"Stablecoin",Transactions!$D$3:$D149,AH119)
+SUMIFS(Transactions!$I$3:$I149,Transactions!$H$3:$H149,"Transfer Deposit",Transactions!$F$3:$F149,"Stablecoin",Transactions!$D$3:$D149,AH119)
-SUMIFS(Transactions!$I$3:$I149,Transactions!$H$3:$H149,"Transfer Send",Transactions!$F$3:$F149,"Stablecoin",Transactions!$D$3:$D149,AH119)
-SUMIFS(Transactions!$I$3:$I149,Transactions!$H$3:$H149,"Sell",Transactions!$F$3:$F149,"Stablecoin",Transactions!$D$3:$D149,AH119)
-SUMIFS(Transactions!$M$3:$M149,Transactions!$H$3:$H149,"Buy",Transactions!$B$3:$B149,AH119)=0,"Sold All",
SUMIFS(Transactions!$I$3:$I149,Transactions!$H$3:$H149,"Buy",Transactions!$F$3:$F149,"Stock",Transactions!$D$3:$D149,AH119)
+SUMIFS(Transactions!$I$3:$I149,Transactions!$H$3:$H149,"DRIP",Transactions!$F$3:$F149,"Stock",Transactions!$D$3:$D149,AH119)
+SUMIFS(Transactions!$I$3:$I149,Transactions!$H$3:$H149,"Transfer Deposit",Transactions!$F$3:$F149,"Stock",Transactions!$D$3:$D149,AH119)
+SUMIFS(Transactions!$I$3:$I149,Transactions!$H$3:$H149,"Buy",Transactions!$F$3:$F149,"ETF",Transactions!$D$3:$D149,AH119)
+SUMIFS(Transactions!$I$3:$I149,Transactions!$H$3:$H149,"DRIP",Transactions!$F$3:$F149,"ETF",Transactions!$D$3:$D149,AH119)
+SUMIFS(Transactions!$I$3:$I149,Transactions!$H$3:$H149,"Transfer Deposit",Transactions!$F$3:$F149,"ETF",Transactions!$D$3:$D149,AH119)
+SUMIFS(Transactions!$I$3:$I149,Transactions!$H$3:$H149,"Buy",Transactions!$F$3:$F149,"Commodity",Transactions!$D$3:$D149,AH119)
+SUMIFS(Transactions!$I$3:$I149,Transactions!$H$3:$H149,"DRIP",Transactions!$F$3:$F149,"Commodity",Transactions!$D$3:$D149,AH119)
+SUMIFS(Transactions!$I$3:$I149,Transactions!$H$3:$H149,"Transfer Deposit",Transactions!$F$3:$F149,"Commodity",Transactions!$D$3:$D149,AH119)
+SUMIFS(Transactions!$I$3:$I149,Transactions!$H$3:$H149,"Buy",Transactions!$F$3:$F149,"Managed Fund",Transactions!$D$3:$D149,AH119)
+SUMIFS(Transactions!$I$3:$I149,Transactions!$H$3:$H149,"DRIP",Transactions!$F$3:$F149,"Managed Fund",Transactions!$D$3:$D149,AH119)
+SUMIFS(Transactions!$I$3:$I149,Transactions!$H$3:$H149,"Transfer Deposit",Transactions!$F$3:$F149,"Managed Fund",Transactions!$D$3:$D149,AH119)
+SUMIFS(Transactions!$I$3:$I149,Transactions!$H$3:$H149,"Buy",Transactions!$F$3:$F149,"REIT",Transactions!$D$3:$D149,AH119)
+SUMIFS(Transactions!$I$3:$I149,Transactions!$H$3:$H149,"DRIP",Transactions!$F$3:$F149,"REIT",Transactions!$D$3:$D149,AH119)
+SUMIFS(Transactions!$I$3:$I149,Transactions!$H$3:$H149,"Transfer Deposit",Transactions!$F$3:$F149,"REIT",Transactions!$D$3:$D149,AH119)
-SUMIFS(Transactions!$I$3:$I149,Transactions!$H$3:$H149,"Sell",Transactions!$F$3:$F149,"Stock",Transactions!$D$3:$D149,AH119)
-SUMIFS(Transactions!$I$3:$I149,Transactions!$H$3:$H149,"Transfer Send",Transactions!$F$3:$F149,"Stock",Transactions!$D$3:$D149,AH119)
-SUMIFS(Transactions!$I$3:$I149,Transactions!$H$3:$H149,"Sell",Transactions!$F$3:$F149,"ETF",Transactions!$D$3:$D149,AH119)
-SUMIFS(Transactions!$I$3:$I149,Transactions!$H$3:$H149,"Transfer Send",Transactions!$F$3:$F149,"ETF",Transactions!$D$3:$D149,AH119)
-SUMIFS(Transactions!$I$3:$I149,Transactions!$H$3:$H149,"Sell",Transactions!$F$3:$F149,"Commodity",Transactions!$D$3:$D149,AH119)
-SUMIFS(Transactions!$I$3:$I149,Transactions!$H$3:$H149,"Transfer Send",Transactions!$F$3:$F149,"Commodity",Transactions!$D$3:$D149,AH119)
-SUMIFS(Transactions!$I$3:$I149,Transactions!$H$3:$H149,"Sell",Transactions!$F$3:$F149,"Managed Fund",Transactions!$D$3:$D149,AH119)
-SUMIFS(Transactions!$I$3:$I149,Transactions!$H$3:$H149,"Transfer Send",Transactions!$F$3:$F149,"Managed Fund",Transactions!$D$3:$D149,AH119)
-SUMIFS(Transactions!$I$3:$I149,Transactions!$H$3:$H149,"Sell",Transactions!$F$3:$F149,"REIT",Transactions!$D$3:$D149,AH119)
-SUMIFS(Transactions!$I$3:$I149,Transactions!$H$3:$H149,"Transfer Send",Transactions!$F$3:$F149,"REIT",Transactions!$D$3:$D149,AH119)
+SUMIFS(Transactions!$I$3:$I149,Transactions!$H$3:$H149,"Buy",Transactions!$F$3:$F149,"Crypto",Transactions!$D$3:$D149,AH119)
+SUMIFS(Transactions!$I$3:$I149,Transactions!$H$3:$H149,"Crypto Interest",Transactions!$F$3:$F149,"Crypto",Transactions!$D$3:$D149,AH119)
+SUMIFS(Transactions!$I$3:$I149,Transactions!$H$3:$H149,"Transfer Deposit",Transactions!$F$3:$F149,"Crypto",Transactions!$D$3:$D149,AH119)
-SUMIFS(Transactions!$I$3:$I149,Transactions!$H$3:$H149,"Transfer Send",Transactions!$F$3:$F149,"Crypto",Transactions!$D$3:$D149,AH119)
-SUMIFS(Transactions!$I$3:$I149,Transactions!$H$3:$H149,"Sell",Transactions!$F$3:$F149,"Crypto",Transactions!$D$3:$D149,AH119)
+SUMIFS(Transactions!$I$3:$I149,Transactions!$H$3:$H149,"Buy",Transactions!$F$3:$F149,"Stablecoin",Transactions!$D$3:$D149,AH119)
+SUMIFS(Transactions!$I$3:$I149,Transactions!$H$3:$H149,"Crypto Interest",Transactions!$F$3:$F149,"Stablecoin",Transactions!$D$3:$D149,AH119)
+SUMIFS(Transactions!$I$3:$I149,Transactions!$H$3:$H149,"Transfer Deposit",Transactions!$F$3:$F149,"Stablecoin",Transactions!$D$3:$D149,AH119)
-SUMIFS(Transactions!$I$3:$I149,Transactions!$H$3:$H149,"Transfer Send",Transactions!$F$3:$F149,"Stablecoin",Transactions!$D$3:$D149,AH119)
-SUMIFS(Transactions!$I$3:$I149,Transactions!$H$3:$H149,"Sell",Transactions!$F$3:$F149,"Stablecoin",Transactions!$D$3:$D149,AH119)
-SUMIFS(Transactions!$M$3:$M149,Transactions!$H$3:$H149,"Buy",Transactions!$B$3:$B149,AH119)))</f>
        <v/>
      </c>
      <c r="AJ119" s="181" t="str">
        <f>IFERROR(__xludf.DUMMYFUNCTION("IF(ISBLANK(AH119),"""",VLOOKUP(9^99,FILTER({ROW(Transactions!P:P),Transactions!P:P},Transactions!D:D=AH119),2))"),"")</f>
        <v/>
      </c>
      <c r="AK119" s="181" t="str">
        <f>IFERROR(__xludf.DUMMYFUNCTION("IF(ISBLANK(AH119),"""",IFERROR(GOOGLEFINANCE(AH119,""price""),IFERROR(GOOGLEFINANCE(""CURRENCY:""&amp;AH119&amp;""""),IFERROR(INDEX(YAHOO_STOCK(TRIM(AH119), $G$2),0,1),INDEX(IMPORTHTML(CONCAT(""https://coinmarketcap.com/currencies/"",AG119),""table"",1),1,2)))))"),"")</f>
        <v/>
      </c>
      <c r="AL119" s="14" t="str">
        <f>IFERROR(__xludf.DUMMYFUNCTION("IF(ISBLANK(AH119),"""",IFERROR(SPARKLINE(INDEX(GOOGLEFINANCE(AH119,""price"",TODAY()-$AL$2,TODAY()),,2),{""charttype"",""column"";""color"",""17a7e0""}),""""))"),"")</f>
        <v/>
      </c>
      <c r="AM119" s="50" t="str">
        <f>IFERROR(__xludf.DUMMYFUNCTION("IFNA(IFERROR(IF(AH119="""","""",GOOGLEFINANCE(AH119,""changepct"")/100),(GOOGLEFINANCE(AH119)-(INDEX(GOOGLEFINANCE(""CURRENCY:""&amp;AH119&amp;"""",""price"",TODAY()-1),2,2)))/(INDEX(GOOGLEFINANCE(""CURRENCY:""&amp;AH119&amp;"""",""price"",TODAY()-1),2,2))),)"),"")</f>
        <v/>
      </c>
      <c r="AN119" s="96" t="str">
        <f>IFERROR(__xludf.DUMMYFUNCTION("IFNA(IFERROR(IF(AH119="""","""",GOOGLEFINANCE(AH119,""change"")*AI119),(GOOGLEFINANCE(AH119)-(INDEX(GOOGLEFINANCE(""CURRENCY:""&amp;AH119&amp;"""",""price"",TODAY()-1),2,2)))*AI119),"""")"),"")</f>
        <v/>
      </c>
      <c r="AO119" s="96" t="str">
        <f>IF(ISBLANK(AH119),"",IFERROR(((AI119-SUMIFS(Transactions!I:I,Transactions!H:H,"Crypto Interest",Transactions!D:D,AH119))*AJ119),""))</f>
        <v/>
      </c>
      <c r="AP119" s="96" t="str">
        <f t="shared" si="16"/>
        <v/>
      </c>
      <c r="AQ119" s="50" t="str">
        <f t="shared" si="17"/>
        <v/>
      </c>
      <c r="AR119" s="96" t="str">
        <f t="shared" si="18"/>
        <v/>
      </c>
      <c r="AS119" s="96" t="str">
        <f>IF(ISBLANK(AH119),"",SUMIFS(Transactions!$X$3:$X149,Transactions!$H$3:$H149,"Sell",Transactions!$D$3:$D149,AH119))</f>
        <v/>
      </c>
      <c r="AT119" s="96" t="str">
        <f t="shared" si="19"/>
        <v/>
      </c>
      <c r="AU119" s="50" t="str">
        <f>IFERROR(__xludf.DUMMYFUNCTION("IF(ISBLANK(AH119),"""",IFERROR((GOOGLEFINANCE(AH119,""price"")/INDEX(GOOGLEFINANCE(AH119,""price"",DATEVALUE(TODAY()-$AU$2) ),2,2)-1),""""))"),"")</f>
        <v/>
      </c>
      <c r="AW119" s="50" t="str">
        <f>IFERROR(__xludf.DUMMYFUNCTION("IF(ISBLANK(AH119),"""",IFERROR((GOOGLEFINANCE($AW$2,""price"")/INDEX(GOOGLEFINANCE($AW$2,""price"",DATEVALUE(TODAY()-$AU$2) ),2,2)-1),""""))"),"")</f>
        <v/>
      </c>
      <c r="AY119" s="50" t="str">
        <f t="shared" si="20"/>
        <v/>
      </c>
      <c r="AZ119" s="50" t="str">
        <f t="shared" si="21"/>
        <v/>
      </c>
      <c r="BA119" s="50" t="str">
        <f t="shared" si="22"/>
        <v/>
      </c>
      <c r="BB119" s="14" t="str">
        <f t="shared" si="23"/>
        <v/>
      </c>
      <c r="BC119" s="14" t="str">
        <f>IF(ISBLANK(AH119),"",IFERROR(VLOOKUP(AH119,Transactions!D:F,3,0)))</f>
        <v/>
      </c>
      <c r="BD119" s="50" t="str">
        <f t="shared" si="24"/>
        <v/>
      </c>
      <c r="BE119" s="50" t="str">
        <f t="shared" si="25"/>
        <v/>
      </c>
      <c r="BF119" s="14" t="str">
        <f t="shared" si="26"/>
        <v/>
      </c>
      <c r="BG119" s="180" t="str">
        <f>IF(ISBLANK(AH119),"",IFERROR(VLOOKUP(AH119,Transactions!D:G,4,0)))</f>
        <v/>
      </c>
    </row>
    <row r="120">
      <c r="A120" s="14" t="str">
        <f t="shared" ref="A120:C120" si="143">AG120</f>
        <v/>
      </c>
      <c r="B120" s="14" t="str">
        <f t="shared" si="143"/>
        <v/>
      </c>
      <c r="C120" s="175" t="str">
        <f t="shared" si="143"/>
        <v/>
      </c>
      <c r="D120" s="176" t="str">
        <f>IFERROR(__xludf.DUMMYFUNCTION("IF(ISBLANK(B120),"""",IFERROR(IF(OR(AF120=""GPB"",AF120=""ZAR""),IF(AF120=Dashboard!$L$1,AJ120,(AJ120*GOOGLEFINANCE(""CURRENCY:""&amp;AF120&amp;""""&amp;Dashboard!$L$1&amp;""""))/100),IF(AF120=Dashboard!$L$1,AJ120,AJ120*GOOGLEFINANCE(""CURRENCY:""&amp;AF120&amp;""""&amp;Dashboard!$L"&amp;"$1&amp;""""))),AJ120))"),"")</f>
        <v/>
      </c>
      <c r="E120" s="177" t="str">
        <f>IFERROR(__xludf.DUMMYFUNCTION("IFERROR(IF(OR(AF120=""GBP"",AF120=""ZAR""),IF(B120="""","""",IF(AF120=Dashboard!$L$1,AK120,AK120*GOOGLEFINANCE(""CURRENCY:""&amp;AF120&amp;""""&amp;Dashboard!$L$1&amp;"""")))/100,If(B120="""","""",IF(AF120=Dashboard!$L$1,AK120,AK120*GOOGLEFINANCE(""CURRENCY:""&amp;AF120&amp;"""""&amp;"&amp;Dashboard!$L$1&amp;"""")))),AK120)"),"")</f>
        <v/>
      </c>
      <c r="F120" s="145" t="str">
        <f t="shared" si="65"/>
        <v/>
      </c>
      <c r="G120" s="96" t="str">
        <f>IFERROR(__xludf.DUMMYFUNCTION("IF(ISBLANK(B120),"""",IFERROR(SPARKLINE(INDEX(GOOGLEFINANCE(B120,""price"",TODAY()-$G$2,TODAY()),,2),{""charttype"",""column"";""color"",""17a7e0""}),""""))"),"")</f>
        <v/>
      </c>
      <c r="H120" s="50" t="str">
        <f t="shared" si="3"/>
        <v/>
      </c>
      <c r="I120" s="96" t="str">
        <f>IFERROR(__xludf.DUMMYFUNCTION("IF(ISBLANK(B120),"""",IFERROR(IF(OR(AF120=""GPB"",AF120=""ZAR""),IF(AF120=Dashboard!$L$1,AN120,(AN120*GOOGLEFINANCE(""CURRENCY:""&amp;AF120&amp;""""&amp;Dashboard!$L$1&amp;""""))/100),IF(AF120=Dashboard!$L$1,AN120,AN120*GOOGLEFINANCE(""CURRENCY:""&amp;AF120&amp;""""&amp;Dashboard!$L"&amp;"$1&amp;""""))),AN120))"),"")</f>
        <v/>
      </c>
      <c r="J120" s="178" t="str">
        <f>IF(ISBLANK(B120),"",IFERROR(((C120-SUMIFS(Transactions!I:I,Transactions!H:H,"Crypto Interest",Transactions!D:D,B120))*D120),""))</f>
        <v/>
      </c>
      <c r="K120" s="178" t="str">
        <f t="shared" si="4"/>
        <v/>
      </c>
      <c r="L120" s="145">
        <f>IF(ISBLANK(AF120),"",SUMIFS(Transactions!$M$3:$M149,Transactions!$H$3:$H149,"Buy",Transactions!$D$3:$D149,AF120))</f>
        <v>0</v>
      </c>
      <c r="M120" s="145">
        <f>IF(ISBLANK(AG120),"",SUMIFS(Transactions!$M$3:$M149,Transactions!$H$3:$H149,"Dividend",Transactions!$D$3:$D149,AG120))</f>
        <v>0</v>
      </c>
      <c r="N120" s="145" t="str">
        <f>IF(ISBLANK(AH120),"",SUMIFS(Transactions!$M$3:$M149,Transactions!$H$3:$H149,"Sell",Transactions!$D$3:$D149,AH120))</f>
        <v/>
      </c>
      <c r="O120" s="50" t="str">
        <f t="shared" si="5"/>
        <v/>
      </c>
      <c r="P120" s="178" t="str">
        <f t="shared" si="6"/>
        <v/>
      </c>
      <c r="Q120" s="178" t="str">
        <f>IFERROR(__xludf.DUMMYFUNCTION("IF(ISBLANK(B120),"""",IFERROR(IF(OR(AF120=""GPB"",AF120=""ZAR""),IF(AF120=Dashboard!$L$1,AS120,(AS120*GOOGLEFINANCE(""CURRENCY:""&amp;AF120&amp;""""&amp;Dashboard!$L$1&amp;""""))/100),IF(AF120=Dashboard!$L$1,AS120,AS120*GOOGLEFINANCE(""CURRENCY:""&amp;AF120&amp;""""&amp;Dashboard!$L"&amp;"$1&amp;""""))),AS120))"),"")</f>
        <v/>
      </c>
      <c r="R120" s="178" t="str">
        <f t="shared" si="7"/>
        <v/>
      </c>
      <c r="S120" s="50" t="str">
        <f>IFERROR(__xludf.DUMMYFUNCTION("IF(ISBLANK(B120),"""",IFERROR((GOOGLEFINANCE(B120,""price"")/INDEX(GOOGLEFINANCE(B120,""price"",DATEVALUE(TODAY()-$S$2) ),2,2)-1),""""))"),"")</f>
        <v/>
      </c>
      <c r="U120" s="50" t="str">
        <f>IFERROR(__xludf.DUMMYFUNCTION("IF(ISBLANK(B120),"""",IFERROR((GOOGLEFINANCE($U$2,""price"")/INDEX(GOOGLEFINANCE($U$2,""price"",DATEVALUE(TODAY()-$S$2) ),2,2)-1),""""))"),"")</f>
        <v/>
      </c>
      <c r="W120" s="50" t="str">
        <f t="shared" si="8"/>
        <v/>
      </c>
      <c r="X120" s="50" t="str">
        <f t="shared" si="9"/>
        <v/>
      </c>
      <c r="Y120" s="50"/>
      <c r="Z120" s="50" t="str">
        <f t="shared" si="10"/>
        <v/>
      </c>
      <c r="AA120" s="14" t="str">
        <f t="shared" si="11"/>
        <v/>
      </c>
      <c r="AB120" s="50" t="str">
        <f t="shared" si="12"/>
        <v/>
      </c>
      <c r="AC120" s="179" t="str">
        <f t="shared" si="13"/>
        <v/>
      </c>
      <c r="AD120" s="50" t="str">
        <f t="shared" si="14"/>
        <v/>
      </c>
      <c r="AE120" s="180" t="str">
        <f t="shared" si="15"/>
        <v/>
      </c>
      <c r="AF120" s="14" t="str">
        <f t="array" ref="AF120">IFERROR(IF(ISBLANK(AH120),"",IF(VLOOKUP(AH120,Transactions!D:F,3,0)="Stablecoin",AH120,INDEX(Transactions!$B$3:$B149,MATCH(AH120,Transactions!$D$3:$D149,0),0))))</f>
        <v/>
      </c>
      <c r="AG120" s="14" t="str">
        <f>IF(ISBLANK(AH120),"",VLOOKUP(AH120,Transactions!D:E,2,0))</f>
        <v/>
      </c>
      <c r="AH120" s="14"/>
      <c r="AI120" s="146" t="str">
        <f>IF(ISBLANK(AH120),"",IF(
SUMIFS(Transactions!$I$3:$I149,Transactions!$H$3:$H149,"Buy",Transactions!$F$3:$F149,"Stock",Transactions!$D$3:$D149,AH120)
+SUMIFS(Transactions!$I$3:$I149,Transactions!$H$3:$H149,"DRIP",Transactions!$F$3:$F149,"Stock",Transactions!$D$3:$D149,AH120)
+SUMIFS(Transactions!$I$3:$I149,Transactions!$H$3:$H149,"Transfer Deposit",Transactions!$F$3:$F149,"Stock",Transactions!$D$3:$D149,AH120)
+SUMIFS(Transactions!$I$3:$I149,Transactions!$H$3:$H149,"Buy",Transactions!$F$3:$F149,"ETF",Transactions!$D$3:$D149,AH120)
+SUMIFS(Transactions!$I$3:$I149,Transactions!$H$3:$H149,"DRIP",Transactions!$F$3:$F149,"ETF",Transactions!$D$3:$D149,AH120)
+SUMIFS(Transactions!$I$3:$I149,Transactions!$H$3:$H149,"Transfer Deposit",Transactions!$F$3:$F149,"ETF",Transactions!$D$3:$D149,AH120)
+SUMIFS(Transactions!$I$3:$I149,Transactions!$H$3:$H149,"Buy",Transactions!$F$3:$F149,"Commodity",Transactions!$D$3:$D149,AH120)
+SUMIFS(Transactions!$I$3:$I149,Transactions!$H$3:$H149,"DRIP",Transactions!$F$3:$F149,"Commodity",Transactions!$D$3:$D149,AH120)
+SUMIFS(Transactions!$I$3:$I149,Transactions!$H$3:$H149,"Transfer Deposit",Transactions!$F$3:$F149,"Commodity",Transactions!$D$3:$D149,AH120)
+SUMIFS(Transactions!$I$3:$I149,Transactions!$H$3:$H149,"Buy",Transactions!$F$3:$F149,"Managed Fund",Transactions!$D$3:$D149,AH120)
+SUMIFS(Transactions!$I$3:$I149,Transactions!$H$3:$H149,"DRIP",Transactions!$F$3:$F149,"Managed Fund",Transactions!$D$3:$D149,AH120)
+SUMIFS(Transactions!$I$3:$I149,Transactions!$H$3:$H149,"Transfer Deposit",Transactions!$F$3:$F149,"Managed Fund",Transactions!$D$3:$D149,AH120)
+SUMIFS(Transactions!$I$3:$I149,Transactions!$H$3:$H149,"Buy",Transactions!$F$3:$F149,"REIT",Transactions!$D$3:$D149,AH120)
+SUMIFS(Transactions!$I$3:$I149,Transactions!$H$3:$H149,"DRIP",Transactions!$F$3:$F149,"REIT",Transactions!$D$3:$D149,AH120)
+SUMIFS(Transactions!$I$3:$I149,Transactions!$H$3:$H149,"Transfer Deposit",Transactions!$F$3:$F149,"REIT",Transactions!$D$3:$D149,AH120)
-SUMIFS(Transactions!$I$3:$I149,Transactions!$H$3:$H149,"Sell",Transactions!$F$3:$F149,"Stock",Transactions!$D$3:$D149,AH120)
-SUMIFS(Transactions!$I$3:$I149,Transactions!$H$3:$H149,"Transfer Send",Transactions!$F$3:$F149,"Stock",Transactions!$D$3:$D149,AH120)
-SUMIFS(Transactions!$I$3:$I149,Transactions!$H$3:$H149,"Sell",Transactions!$F$3:$F149,"ETF",Transactions!$D$3:$D149,AH120)
-SUMIFS(Transactions!$I$3:$I149,Transactions!$H$3:$H149,"Transfer Send",Transactions!$F$3:$F149,"ETF",Transactions!$D$3:$D149,AH120)
-SUMIFS(Transactions!$I$3:$I149,Transactions!$H$3:$H149,"Sell",Transactions!$F$3:$F149,"Commodity",Transactions!$D$3:$D149,AH120)
-SUMIFS(Transactions!$I$3:$I149,Transactions!$H$3:$H149,"Transfer Send",Transactions!$F$3:$F149,"Commodity",Transactions!$D$3:$D149,AH120)
-SUMIFS(Transactions!$I$3:$I149,Transactions!$H$3:$H149,"Sell",Transactions!$F$3:$F149,"Managed Fund",Transactions!$D$3:$D149,AH120)
-SUMIFS(Transactions!$I$3:$I149,Transactions!$H$3:$H149,"Transfer Send",Transactions!$F$3:$F149,"Managed Fund",Transactions!$D$3:$D149,AH120)
-SUMIFS(Transactions!$I$3:$I149,Transactions!$H$3:$H149,"Sell",Transactions!$F$3:$F149,"REIT",Transactions!$D$3:$D149,AH120)
-SUMIFS(Transactions!$I$3:$I149,Transactions!$H$3:$H149,"Transfer Send",Transactions!$F$3:$F149,"REIT",Transactions!$D$3:$D149,AH120)
+SUMIFS(Transactions!$I$3:$I149,Transactions!$H$3:$H149,"Buy",Transactions!$F$3:$F149,"Crypto",Transactions!$D$3:$D149,AH120)
+SUMIFS(Transactions!$I$3:$I149,Transactions!$H$3:$H149,"Crypto Interest",Transactions!$F$3:$F149,"Crypto",Transactions!$D$3:$D149,AH120)
+SUMIFS(Transactions!$I$3:$I149,Transactions!$H$3:$H149,"Transfer Deposit",Transactions!$F$3:$F149,"Crypto",Transactions!$D$3:$D149,AH120)
-SUMIFS(Transactions!$I$3:$I149,Transactions!$H$3:$H149,"Transfer Send",Transactions!$F$3:$F149,"Crypto",Transactions!$D$3:$D149,AH120)
-SUMIFS(Transactions!$I$3:$I149,Transactions!$H$3:$H149,"Sell",Transactions!$F$3:$F149,"Crypto",Transactions!$D$3:$D149,AH120)
+SUMIFS(Transactions!$I$3:$I149,Transactions!$H$3:$H149,"Buy",Transactions!$F$3:$F149,"Stablecoin",Transactions!$D$3:$D149,AH120)
+SUMIFS(Transactions!$I$3:$I149,Transactions!$H$3:$H149,"Crypto Interest",Transactions!$F$3:$F149,"Stablecoin",Transactions!$D$3:$D149,AH120)
+SUMIFS(Transactions!$I$3:$I149,Transactions!$H$3:$H149,"Transfer Deposit",Transactions!$F$3:$F149,"Stablecoin",Transactions!$D$3:$D149,AH120)
-SUMIFS(Transactions!$I$3:$I149,Transactions!$H$3:$H149,"Transfer Send",Transactions!$F$3:$F149,"Stablecoin",Transactions!$D$3:$D149,AH120)
-SUMIFS(Transactions!$I$3:$I149,Transactions!$H$3:$H149,"Sell",Transactions!$F$3:$F149,"Stablecoin",Transactions!$D$3:$D149,AH120)
-SUMIFS(Transactions!$M$3:$M149,Transactions!$H$3:$H149,"Buy",Transactions!$B$3:$B149,AH120)=0,"Sold All",
SUMIFS(Transactions!$I$3:$I149,Transactions!$H$3:$H149,"Buy",Transactions!$F$3:$F149,"Stock",Transactions!$D$3:$D149,AH120)
+SUMIFS(Transactions!$I$3:$I149,Transactions!$H$3:$H149,"DRIP",Transactions!$F$3:$F149,"Stock",Transactions!$D$3:$D149,AH120)
+SUMIFS(Transactions!$I$3:$I149,Transactions!$H$3:$H149,"Transfer Deposit",Transactions!$F$3:$F149,"Stock",Transactions!$D$3:$D149,AH120)
+SUMIFS(Transactions!$I$3:$I149,Transactions!$H$3:$H149,"Buy",Transactions!$F$3:$F149,"ETF",Transactions!$D$3:$D149,AH120)
+SUMIFS(Transactions!$I$3:$I149,Transactions!$H$3:$H149,"DRIP",Transactions!$F$3:$F149,"ETF",Transactions!$D$3:$D149,AH120)
+SUMIFS(Transactions!$I$3:$I149,Transactions!$H$3:$H149,"Transfer Deposit",Transactions!$F$3:$F149,"ETF",Transactions!$D$3:$D149,AH120)
+SUMIFS(Transactions!$I$3:$I149,Transactions!$H$3:$H149,"Buy",Transactions!$F$3:$F149,"Commodity",Transactions!$D$3:$D149,AH120)
+SUMIFS(Transactions!$I$3:$I149,Transactions!$H$3:$H149,"DRIP",Transactions!$F$3:$F149,"Commodity",Transactions!$D$3:$D149,AH120)
+SUMIFS(Transactions!$I$3:$I149,Transactions!$H$3:$H149,"Transfer Deposit",Transactions!$F$3:$F149,"Commodity",Transactions!$D$3:$D149,AH120)
+SUMIFS(Transactions!$I$3:$I149,Transactions!$H$3:$H149,"Buy",Transactions!$F$3:$F149,"Managed Fund",Transactions!$D$3:$D149,AH120)
+SUMIFS(Transactions!$I$3:$I149,Transactions!$H$3:$H149,"DRIP",Transactions!$F$3:$F149,"Managed Fund",Transactions!$D$3:$D149,AH120)
+SUMIFS(Transactions!$I$3:$I149,Transactions!$H$3:$H149,"Transfer Deposit",Transactions!$F$3:$F149,"Managed Fund",Transactions!$D$3:$D149,AH120)
+SUMIFS(Transactions!$I$3:$I149,Transactions!$H$3:$H149,"Buy",Transactions!$F$3:$F149,"REIT",Transactions!$D$3:$D149,AH120)
+SUMIFS(Transactions!$I$3:$I149,Transactions!$H$3:$H149,"DRIP",Transactions!$F$3:$F149,"REIT",Transactions!$D$3:$D149,AH120)
+SUMIFS(Transactions!$I$3:$I149,Transactions!$H$3:$H149,"Transfer Deposit",Transactions!$F$3:$F149,"REIT",Transactions!$D$3:$D149,AH120)
-SUMIFS(Transactions!$I$3:$I149,Transactions!$H$3:$H149,"Sell",Transactions!$F$3:$F149,"Stock",Transactions!$D$3:$D149,AH120)
-SUMIFS(Transactions!$I$3:$I149,Transactions!$H$3:$H149,"Transfer Send",Transactions!$F$3:$F149,"Stock",Transactions!$D$3:$D149,AH120)
-SUMIFS(Transactions!$I$3:$I149,Transactions!$H$3:$H149,"Sell",Transactions!$F$3:$F149,"ETF",Transactions!$D$3:$D149,AH120)
-SUMIFS(Transactions!$I$3:$I149,Transactions!$H$3:$H149,"Transfer Send",Transactions!$F$3:$F149,"ETF",Transactions!$D$3:$D149,AH120)
-SUMIFS(Transactions!$I$3:$I149,Transactions!$H$3:$H149,"Sell",Transactions!$F$3:$F149,"Commodity",Transactions!$D$3:$D149,AH120)
-SUMIFS(Transactions!$I$3:$I149,Transactions!$H$3:$H149,"Transfer Send",Transactions!$F$3:$F149,"Commodity",Transactions!$D$3:$D149,AH120)
-SUMIFS(Transactions!$I$3:$I149,Transactions!$H$3:$H149,"Sell",Transactions!$F$3:$F149,"Managed Fund",Transactions!$D$3:$D149,AH120)
-SUMIFS(Transactions!$I$3:$I149,Transactions!$H$3:$H149,"Transfer Send",Transactions!$F$3:$F149,"Managed Fund",Transactions!$D$3:$D149,AH120)
-SUMIFS(Transactions!$I$3:$I149,Transactions!$H$3:$H149,"Sell",Transactions!$F$3:$F149,"REIT",Transactions!$D$3:$D149,AH120)
-SUMIFS(Transactions!$I$3:$I149,Transactions!$H$3:$H149,"Transfer Send",Transactions!$F$3:$F149,"REIT",Transactions!$D$3:$D149,AH120)
+SUMIFS(Transactions!$I$3:$I149,Transactions!$H$3:$H149,"Buy",Transactions!$F$3:$F149,"Crypto",Transactions!$D$3:$D149,AH120)
+SUMIFS(Transactions!$I$3:$I149,Transactions!$H$3:$H149,"Crypto Interest",Transactions!$F$3:$F149,"Crypto",Transactions!$D$3:$D149,AH120)
+SUMIFS(Transactions!$I$3:$I149,Transactions!$H$3:$H149,"Transfer Deposit",Transactions!$F$3:$F149,"Crypto",Transactions!$D$3:$D149,AH120)
-SUMIFS(Transactions!$I$3:$I149,Transactions!$H$3:$H149,"Transfer Send",Transactions!$F$3:$F149,"Crypto",Transactions!$D$3:$D149,AH120)
-SUMIFS(Transactions!$I$3:$I149,Transactions!$H$3:$H149,"Sell",Transactions!$F$3:$F149,"Crypto",Transactions!$D$3:$D149,AH120)
+SUMIFS(Transactions!$I$3:$I149,Transactions!$H$3:$H149,"Buy",Transactions!$F$3:$F149,"Stablecoin",Transactions!$D$3:$D149,AH120)
+SUMIFS(Transactions!$I$3:$I149,Transactions!$H$3:$H149,"Crypto Interest",Transactions!$F$3:$F149,"Stablecoin",Transactions!$D$3:$D149,AH120)
+SUMIFS(Transactions!$I$3:$I149,Transactions!$H$3:$H149,"Transfer Deposit",Transactions!$F$3:$F149,"Stablecoin",Transactions!$D$3:$D149,AH120)
-SUMIFS(Transactions!$I$3:$I149,Transactions!$H$3:$H149,"Transfer Send",Transactions!$F$3:$F149,"Stablecoin",Transactions!$D$3:$D149,AH120)
-SUMIFS(Transactions!$I$3:$I149,Transactions!$H$3:$H149,"Sell",Transactions!$F$3:$F149,"Stablecoin",Transactions!$D$3:$D149,AH120)
-SUMIFS(Transactions!$M$3:$M149,Transactions!$H$3:$H149,"Buy",Transactions!$B$3:$B149,AH120)))</f>
        <v/>
      </c>
      <c r="AJ120" s="181" t="str">
        <f>IFERROR(__xludf.DUMMYFUNCTION("IF(ISBLANK(AH120),"""",VLOOKUP(9^99,FILTER({ROW(Transactions!P:P),Transactions!P:P},Transactions!D:D=AH120),2))"),"")</f>
        <v/>
      </c>
      <c r="AK120" s="181" t="str">
        <f>IFERROR(__xludf.DUMMYFUNCTION("IF(ISBLANK(AH120),"""",IFERROR(GOOGLEFINANCE(AH120,""price""),IFERROR(GOOGLEFINANCE(""CURRENCY:""&amp;AH120&amp;""""),IFERROR(INDEX(YAHOO_STOCK(TRIM(AH120), $G$2),0,1),INDEX(IMPORTHTML(CONCAT(""https://coinmarketcap.com/currencies/"",AG120),""table"",1),1,2)))))"),"")</f>
        <v/>
      </c>
      <c r="AL120" s="14" t="str">
        <f>IFERROR(__xludf.DUMMYFUNCTION("IF(ISBLANK(AH120),"""",IFERROR(SPARKLINE(INDEX(GOOGLEFINANCE(AH120,""price"",TODAY()-$AL$2,TODAY()),,2),{""charttype"",""column"";""color"",""17a7e0""}),""""))"),"")</f>
        <v/>
      </c>
      <c r="AM120" s="50" t="str">
        <f>IFERROR(__xludf.DUMMYFUNCTION("IFNA(IFERROR(IF(AH120="""","""",GOOGLEFINANCE(AH120,""changepct"")/100),(GOOGLEFINANCE(AH120)-(INDEX(GOOGLEFINANCE(""CURRENCY:""&amp;AH120&amp;"""",""price"",TODAY()-1),2,2)))/(INDEX(GOOGLEFINANCE(""CURRENCY:""&amp;AH120&amp;"""",""price"",TODAY()-1),2,2))),)"),"")</f>
        <v/>
      </c>
      <c r="AN120" s="96" t="str">
        <f>IFERROR(__xludf.DUMMYFUNCTION("IFNA(IFERROR(IF(AH120="""","""",GOOGLEFINANCE(AH120,""change"")*AI120),(GOOGLEFINANCE(AH120)-(INDEX(GOOGLEFINANCE(""CURRENCY:""&amp;AH120&amp;"""",""price"",TODAY()-1),2,2)))*AI120),"""")"),"")</f>
        <v/>
      </c>
      <c r="AO120" s="96" t="str">
        <f>IF(ISBLANK(AH120),"",IFERROR(((AI120-SUMIFS(Transactions!I:I,Transactions!H:H,"Crypto Interest",Transactions!D:D,AH120))*AJ120),""))</f>
        <v/>
      </c>
      <c r="AP120" s="96" t="str">
        <f t="shared" si="16"/>
        <v/>
      </c>
      <c r="AQ120" s="50" t="str">
        <f t="shared" si="17"/>
        <v/>
      </c>
      <c r="AR120" s="96" t="str">
        <f t="shared" si="18"/>
        <v/>
      </c>
      <c r="AS120" s="96" t="str">
        <f>IF(ISBLANK(AH120),"",SUMIFS(Transactions!$X$3:$X149,Transactions!$H$3:$H149,"Sell",Transactions!$D$3:$D149,AH120))</f>
        <v/>
      </c>
      <c r="AT120" s="96" t="str">
        <f t="shared" si="19"/>
        <v/>
      </c>
      <c r="AU120" s="50" t="str">
        <f>IFERROR(__xludf.DUMMYFUNCTION("IF(ISBLANK(AH120),"""",IFERROR((GOOGLEFINANCE(AH120,""price"")/INDEX(GOOGLEFINANCE(AH120,""price"",DATEVALUE(TODAY()-$AU$2) ),2,2)-1),""""))"),"")</f>
        <v/>
      </c>
      <c r="AW120" s="50" t="str">
        <f>IFERROR(__xludf.DUMMYFUNCTION("IF(ISBLANK(AH120),"""",IFERROR((GOOGLEFINANCE($AW$2,""price"")/INDEX(GOOGLEFINANCE($AW$2,""price"",DATEVALUE(TODAY()-$AU$2) ),2,2)-1),""""))"),"")</f>
        <v/>
      </c>
      <c r="AY120" s="50" t="str">
        <f t="shared" si="20"/>
        <v/>
      </c>
      <c r="AZ120" s="50" t="str">
        <f t="shared" si="21"/>
        <v/>
      </c>
      <c r="BA120" s="50" t="str">
        <f t="shared" si="22"/>
        <v/>
      </c>
      <c r="BB120" s="14" t="str">
        <f t="shared" si="23"/>
        <v/>
      </c>
      <c r="BC120" s="14" t="str">
        <f>IF(ISBLANK(AH120),"",IFERROR(VLOOKUP(AH120,Transactions!D:F,3,0)))</f>
        <v/>
      </c>
      <c r="BD120" s="50" t="str">
        <f t="shared" si="24"/>
        <v/>
      </c>
      <c r="BE120" s="50" t="str">
        <f t="shared" si="25"/>
        <v/>
      </c>
      <c r="BF120" s="14" t="str">
        <f t="shared" si="26"/>
        <v/>
      </c>
      <c r="BG120" s="180" t="str">
        <f>IF(ISBLANK(AH120),"",IFERROR(VLOOKUP(AH120,Transactions!D:G,4,0)))</f>
        <v/>
      </c>
    </row>
    <row r="121">
      <c r="A121" s="14" t="str">
        <f t="shared" ref="A121:C121" si="144">AG121</f>
        <v/>
      </c>
      <c r="B121" s="14" t="str">
        <f t="shared" si="144"/>
        <v/>
      </c>
      <c r="C121" s="175" t="str">
        <f t="shared" si="144"/>
        <v/>
      </c>
      <c r="D121" s="176" t="str">
        <f>IFERROR(__xludf.DUMMYFUNCTION("IF(ISBLANK(B121),"""",IFERROR(IF(OR(AF121=""GPB"",AF121=""ZAR""),IF(AF121=Dashboard!$L$1,AJ121,(AJ121*GOOGLEFINANCE(""CURRENCY:""&amp;AF121&amp;""""&amp;Dashboard!$L$1&amp;""""))/100),IF(AF121=Dashboard!$L$1,AJ121,AJ121*GOOGLEFINANCE(""CURRENCY:""&amp;AF121&amp;""""&amp;Dashboard!$L"&amp;"$1&amp;""""))),AJ121))"),"")</f>
        <v/>
      </c>
      <c r="E121" s="177" t="str">
        <f>IFERROR(__xludf.DUMMYFUNCTION("IFERROR(IF(OR(AF121=""GBP"",AF121=""ZAR""),IF(B121="""","""",IF(AF121=Dashboard!$L$1,AK121,AK121*GOOGLEFINANCE(""CURRENCY:""&amp;AF121&amp;""""&amp;Dashboard!$L$1&amp;"""")))/100,If(B121="""","""",IF(AF121=Dashboard!$L$1,AK121,AK121*GOOGLEFINANCE(""CURRENCY:""&amp;AF121&amp;"""""&amp;"&amp;Dashboard!$L$1&amp;"""")))),AK121)"),"")</f>
        <v/>
      </c>
      <c r="F121" s="145" t="str">
        <f t="shared" si="65"/>
        <v/>
      </c>
      <c r="G121" s="96" t="str">
        <f>IFERROR(__xludf.DUMMYFUNCTION("IF(ISBLANK(B121),"""",IFERROR(SPARKLINE(INDEX(GOOGLEFINANCE(B121,""price"",TODAY()-$G$2,TODAY()),,2),{""charttype"",""column"";""color"",""17a7e0""}),""""))"),"")</f>
        <v/>
      </c>
      <c r="H121" s="50" t="str">
        <f t="shared" si="3"/>
        <v/>
      </c>
      <c r="I121" s="96" t="str">
        <f>IFERROR(__xludf.DUMMYFUNCTION("IF(ISBLANK(B121),"""",IFERROR(IF(OR(AF121=""GPB"",AF121=""ZAR""),IF(AF121=Dashboard!$L$1,AN121,(AN121*GOOGLEFINANCE(""CURRENCY:""&amp;AF121&amp;""""&amp;Dashboard!$L$1&amp;""""))/100),IF(AF121=Dashboard!$L$1,AN121,AN121*GOOGLEFINANCE(""CURRENCY:""&amp;AF121&amp;""""&amp;Dashboard!$L"&amp;"$1&amp;""""))),AN121))"),"")</f>
        <v/>
      </c>
      <c r="J121" s="178" t="str">
        <f>IF(ISBLANK(B121),"",IFERROR(((C121-SUMIFS(Transactions!I:I,Transactions!H:H,"Crypto Interest",Transactions!D:D,B121))*D121),""))</f>
        <v/>
      </c>
      <c r="K121" s="178" t="str">
        <f t="shared" si="4"/>
        <v/>
      </c>
      <c r="L121" s="145">
        <f>IF(ISBLANK(AF121),"",SUMIFS(Transactions!$M$3:$M149,Transactions!$H$3:$H149,"Buy",Transactions!$D$3:$D149,AF121))</f>
        <v>0</v>
      </c>
      <c r="M121" s="145">
        <f>IF(ISBLANK(AG121),"",SUMIFS(Transactions!$M$3:$M149,Transactions!$H$3:$H149,"Dividend",Transactions!$D$3:$D149,AG121))</f>
        <v>0</v>
      </c>
      <c r="N121" s="145" t="str">
        <f>IF(ISBLANK(AH121),"",SUMIFS(Transactions!$M$3:$M149,Transactions!$H$3:$H149,"Sell",Transactions!$D$3:$D149,AH121))</f>
        <v/>
      </c>
      <c r="O121" s="50" t="str">
        <f t="shared" si="5"/>
        <v/>
      </c>
      <c r="P121" s="178" t="str">
        <f t="shared" si="6"/>
        <v/>
      </c>
      <c r="Q121" s="178" t="str">
        <f>IFERROR(__xludf.DUMMYFUNCTION("IF(ISBLANK(B121),"""",IFERROR(IF(OR(AF121=""GPB"",AF121=""ZAR""),IF(AF121=Dashboard!$L$1,AS121,(AS121*GOOGLEFINANCE(""CURRENCY:""&amp;AF121&amp;""""&amp;Dashboard!$L$1&amp;""""))/100),IF(AF121=Dashboard!$L$1,AS121,AS121*GOOGLEFINANCE(""CURRENCY:""&amp;AF121&amp;""""&amp;Dashboard!$L"&amp;"$1&amp;""""))),AS121))"),"")</f>
        <v/>
      </c>
      <c r="R121" s="178" t="str">
        <f t="shared" si="7"/>
        <v/>
      </c>
      <c r="S121" s="50" t="str">
        <f>IFERROR(__xludf.DUMMYFUNCTION("IF(ISBLANK(B121),"""",IFERROR((GOOGLEFINANCE(B121,""price"")/INDEX(GOOGLEFINANCE(B121,""price"",DATEVALUE(TODAY()-$S$2) ),2,2)-1),""""))"),"")</f>
        <v/>
      </c>
      <c r="U121" s="50" t="str">
        <f>IFERROR(__xludf.DUMMYFUNCTION("IF(ISBLANK(B121),"""",IFERROR((GOOGLEFINANCE($U$2,""price"")/INDEX(GOOGLEFINANCE($U$2,""price"",DATEVALUE(TODAY()-$S$2) ),2,2)-1),""""))"),"")</f>
        <v/>
      </c>
      <c r="W121" s="50" t="str">
        <f t="shared" si="8"/>
        <v/>
      </c>
      <c r="X121" s="50" t="str">
        <f t="shared" si="9"/>
        <v/>
      </c>
      <c r="Y121" s="50"/>
      <c r="Z121" s="50" t="str">
        <f t="shared" si="10"/>
        <v/>
      </c>
      <c r="AA121" s="14" t="str">
        <f t="shared" si="11"/>
        <v/>
      </c>
      <c r="AB121" s="50" t="str">
        <f t="shared" si="12"/>
        <v/>
      </c>
      <c r="AC121" s="179" t="str">
        <f t="shared" si="13"/>
        <v/>
      </c>
      <c r="AD121" s="50" t="str">
        <f t="shared" si="14"/>
        <v/>
      </c>
      <c r="AE121" s="180" t="str">
        <f t="shared" si="15"/>
        <v/>
      </c>
      <c r="AF121" s="14" t="str">
        <f t="array" ref="AF121">IFERROR(IF(ISBLANK(AH121),"",IF(VLOOKUP(AH121,Transactions!D:F,3,0)="Stablecoin",AH121,INDEX(Transactions!$B$3:$B149,MATCH(AH121,Transactions!$D$3:$D149,0),0))))</f>
        <v/>
      </c>
      <c r="AG121" s="14" t="str">
        <f>IF(ISBLANK(AH121),"",VLOOKUP(AH121,Transactions!D:E,2,0))</f>
        <v/>
      </c>
      <c r="AH121" s="14"/>
      <c r="AI121" s="146" t="str">
        <f>IF(ISBLANK(AH121),"",IF(
SUMIFS(Transactions!$I$3:$I149,Transactions!$H$3:$H149,"Buy",Transactions!$F$3:$F149,"Stock",Transactions!$D$3:$D149,AH121)
+SUMIFS(Transactions!$I$3:$I149,Transactions!$H$3:$H149,"DRIP",Transactions!$F$3:$F149,"Stock",Transactions!$D$3:$D149,AH121)
+SUMIFS(Transactions!$I$3:$I149,Transactions!$H$3:$H149,"Transfer Deposit",Transactions!$F$3:$F149,"Stock",Transactions!$D$3:$D149,AH121)
+SUMIFS(Transactions!$I$3:$I149,Transactions!$H$3:$H149,"Buy",Transactions!$F$3:$F149,"ETF",Transactions!$D$3:$D149,AH121)
+SUMIFS(Transactions!$I$3:$I149,Transactions!$H$3:$H149,"DRIP",Transactions!$F$3:$F149,"ETF",Transactions!$D$3:$D149,AH121)
+SUMIFS(Transactions!$I$3:$I149,Transactions!$H$3:$H149,"Transfer Deposit",Transactions!$F$3:$F149,"ETF",Transactions!$D$3:$D149,AH121)
+SUMIFS(Transactions!$I$3:$I149,Transactions!$H$3:$H149,"Buy",Transactions!$F$3:$F149,"Commodity",Transactions!$D$3:$D149,AH121)
+SUMIFS(Transactions!$I$3:$I149,Transactions!$H$3:$H149,"DRIP",Transactions!$F$3:$F149,"Commodity",Transactions!$D$3:$D149,AH121)
+SUMIFS(Transactions!$I$3:$I149,Transactions!$H$3:$H149,"Transfer Deposit",Transactions!$F$3:$F149,"Commodity",Transactions!$D$3:$D149,AH121)
+SUMIFS(Transactions!$I$3:$I149,Transactions!$H$3:$H149,"Buy",Transactions!$F$3:$F149,"Managed Fund",Transactions!$D$3:$D149,AH121)
+SUMIFS(Transactions!$I$3:$I149,Transactions!$H$3:$H149,"DRIP",Transactions!$F$3:$F149,"Managed Fund",Transactions!$D$3:$D149,AH121)
+SUMIFS(Transactions!$I$3:$I149,Transactions!$H$3:$H149,"Transfer Deposit",Transactions!$F$3:$F149,"Managed Fund",Transactions!$D$3:$D149,AH121)
+SUMIFS(Transactions!$I$3:$I149,Transactions!$H$3:$H149,"Buy",Transactions!$F$3:$F149,"REIT",Transactions!$D$3:$D149,AH121)
+SUMIFS(Transactions!$I$3:$I149,Transactions!$H$3:$H149,"DRIP",Transactions!$F$3:$F149,"REIT",Transactions!$D$3:$D149,AH121)
+SUMIFS(Transactions!$I$3:$I149,Transactions!$H$3:$H149,"Transfer Deposit",Transactions!$F$3:$F149,"REIT",Transactions!$D$3:$D149,AH121)
-SUMIFS(Transactions!$I$3:$I149,Transactions!$H$3:$H149,"Sell",Transactions!$F$3:$F149,"Stock",Transactions!$D$3:$D149,AH121)
-SUMIFS(Transactions!$I$3:$I149,Transactions!$H$3:$H149,"Transfer Send",Transactions!$F$3:$F149,"Stock",Transactions!$D$3:$D149,AH121)
-SUMIFS(Transactions!$I$3:$I149,Transactions!$H$3:$H149,"Sell",Transactions!$F$3:$F149,"ETF",Transactions!$D$3:$D149,AH121)
-SUMIFS(Transactions!$I$3:$I149,Transactions!$H$3:$H149,"Transfer Send",Transactions!$F$3:$F149,"ETF",Transactions!$D$3:$D149,AH121)
-SUMIFS(Transactions!$I$3:$I149,Transactions!$H$3:$H149,"Sell",Transactions!$F$3:$F149,"Commodity",Transactions!$D$3:$D149,AH121)
-SUMIFS(Transactions!$I$3:$I149,Transactions!$H$3:$H149,"Transfer Send",Transactions!$F$3:$F149,"Commodity",Transactions!$D$3:$D149,AH121)
-SUMIFS(Transactions!$I$3:$I149,Transactions!$H$3:$H149,"Sell",Transactions!$F$3:$F149,"Managed Fund",Transactions!$D$3:$D149,AH121)
-SUMIFS(Transactions!$I$3:$I149,Transactions!$H$3:$H149,"Transfer Send",Transactions!$F$3:$F149,"Managed Fund",Transactions!$D$3:$D149,AH121)
-SUMIFS(Transactions!$I$3:$I149,Transactions!$H$3:$H149,"Sell",Transactions!$F$3:$F149,"REIT",Transactions!$D$3:$D149,AH121)
-SUMIFS(Transactions!$I$3:$I149,Transactions!$H$3:$H149,"Transfer Send",Transactions!$F$3:$F149,"REIT",Transactions!$D$3:$D149,AH121)
+SUMIFS(Transactions!$I$3:$I149,Transactions!$H$3:$H149,"Buy",Transactions!$F$3:$F149,"Crypto",Transactions!$D$3:$D149,AH121)
+SUMIFS(Transactions!$I$3:$I149,Transactions!$H$3:$H149,"Crypto Interest",Transactions!$F$3:$F149,"Crypto",Transactions!$D$3:$D149,AH121)
+SUMIFS(Transactions!$I$3:$I149,Transactions!$H$3:$H149,"Transfer Deposit",Transactions!$F$3:$F149,"Crypto",Transactions!$D$3:$D149,AH121)
-SUMIFS(Transactions!$I$3:$I149,Transactions!$H$3:$H149,"Transfer Send",Transactions!$F$3:$F149,"Crypto",Transactions!$D$3:$D149,AH121)
-SUMIFS(Transactions!$I$3:$I149,Transactions!$H$3:$H149,"Sell",Transactions!$F$3:$F149,"Crypto",Transactions!$D$3:$D149,AH121)
+SUMIFS(Transactions!$I$3:$I149,Transactions!$H$3:$H149,"Buy",Transactions!$F$3:$F149,"Stablecoin",Transactions!$D$3:$D149,AH121)
+SUMIFS(Transactions!$I$3:$I149,Transactions!$H$3:$H149,"Crypto Interest",Transactions!$F$3:$F149,"Stablecoin",Transactions!$D$3:$D149,AH121)
+SUMIFS(Transactions!$I$3:$I149,Transactions!$H$3:$H149,"Transfer Deposit",Transactions!$F$3:$F149,"Stablecoin",Transactions!$D$3:$D149,AH121)
-SUMIFS(Transactions!$I$3:$I149,Transactions!$H$3:$H149,"Transfer Send",Transactions!$F$3:$F149,"Stablecoin",Transactions!$D$3:$D149,AH121)
-SUMIFS(Transactions!$I$3:$I149,Transactions!$H$3:$H149,"Sell",Transactions!$F$3:$F149,"Stablecoin",Transactions!$D$3:$D149,AH121)
-SUMIFS(Transactions!$M$3:$M149,Transactions!$H$3:$H149,"Buy",Transactions!$B$3:$B149,AH121)=0,"Sold All",
SUMIFS(Transactions!$I$3:$I149,Transactions!$H$3:$H149,"Buy",Transactions!$F$3:$F149,"Stock",Transactions!$D$3:$D149,AH121)
+SUMIFS(Transactions!$I$3:$I149,Transactions!$H$3:$H149,"DRIP",Transactions!$F$3:$F149,"Stock",Transactions!$D$3:$D149,AH121)
+SUMIFS(Transactions!$I$3:$I149,Transactions!$H$3:$H149,"Transfer Deposit",Transactions!$F$3:$F149,"Stock",Transactions!$D$3:$D149,AH121)
+SUMIFS(Transactions!$I$3:$I149,Transactions!$H$3:$H149,"Buy",Transactions!$F$3:$F149,"ETF",Transactions!$D$3:$D149,AH121)
+SUMIFS(Transactions!$I$3:$I149,Transactions!$H$3:$H149,"DRIP",Transactions!$F$3:$F149,"ETF",Transactions!$D$3:$D149,AH121)
+SUMIFS(Transactions!$I$3:$I149,Transactions!$H$3:$H149,"Transfer Deposit",Transactions!$F$3:$F149,"ETF",Transactions!$D$3:$D149,AH121)
+SUMIFS(Transactions!$I$3:$I149,Transactions!$H$3:$H149,"Buy",Transactions!$F$3:$F149,"Commodity",Transactions!$D$3:$D149,AH121)
+SUMIFS(Transactions!$I$3:$I149,Transactions!$H$3:$H149,"DRIP",Transactions!$F$3:$F149,"Commodity",Transactions!$D$3:$D149,AH121)
+SUMIFS(Transactions!$I$3:$I149,Transactions!$H$3:$H149,"Transfer Deposit",Transactions!$F$3:$F149,"Commodity",Transactions!$D$3:$D149,AH121)
+SUMIFS(Transactions!$I$3:$I149,Transactions!$H$3:$H149,"Buy",Transactions!$F$3:$F149,"Managed Fund",Transactions!$D$3:$D149,AH121)
+SUMIFS(Transactions!$I$3:$I149,Transactions!$H$3:$H149,"DRIP",Transactions!$F$3:$F149,"Managed Fund",Transactions!$D$3:$D149,AH121)
+SUMIFS(Transactions!$I$3:$I149,Transactions!$H$3:$H149,"Transfer Deposit",Transactions!$F$3:$F149,"Managed Fund",Transactions!$D$3:$D149,AH121)
+SUMIFS(Transactions!$I$3:$I149,Transactions!$H$3:$H149,"Buy",Transactions!$F$3:$F149,"REIT",Transactions!$D$3:$D149,AH121)
+SUMIFS(Transactions!$I$3:$I149,Transactions!$H$3:$H149,"DRIP",Transactions!$F$3:$F149,"REIT",Transactions!$D$3:$D149,AH121)
+SUMIFS(Transactions!$I$3:$I149,Transactions!$H$3:$H149,"Transfer Deposit",Transactions!$F$3:$F149,"REIT",Transactions!$D$3:$D149,AH121)
-SUMIFS(Transactions!$I$3:$I149,Transactions!$H$3:$H149,"Sell",Transactions!$F$3:$F149,"Stock",Transactions!$D$3:$D149,AH121)
-SUMIFS(Transactions!$I$3:$I149,Transactions!$H$3:$H149,"Transfer Send",Transactions!$F$3:$F149,"Stock",Transactions!$D$3:$D149,AH121)
-SUMIFS(Transactions!$I$3:$I149,Transactions!$H$3:$H149,"Sell",Transactions!$F$3:$F149,"ETF",Transactions!$D$3:$D149,AH121)
-SUMIFS(Transactions!$I$3:$I149,Transactions!$H$3:$H149,"Transfer Send",Transactions!$F$3:$F149,"ETF",Transactions!$D$3:$D149,AH121)
-SUMIFS(Transactions!$I$3:$I149,Transactions!$H$3:$H149,"Sell",Transactions!$F$3:$F149,"Commodity",Transactions!$D$3:$D149,AH121)
-SUMIFS(Transactions!$I$3:$I149,Transactions!$H$3:$H149,"Transfer Send",Transactions!$F$3:$F149,"Commodity",Transactions!$D$3:$D149,AH121)
-SUMIFS(Transactions!$I$3:$I149,Transactions!$H$3:$H149,"Sell",Transactions!$F$3:$F149,"Managed Fund",Transactions!$D$3:$D149,AH121)
-SUMIFS(Transactions!$I$3:$I149,Transactions!$H$3:$H149,"Transfer Send",Transactions!$F$3:$F149,"Managed Fund",Transactions!$D$3:$D149,AH121)
-SUMIFS(Transactions!$I$3:$I149,Transactions!$H$3:$H149,"Sell",Transactions!$F$3:$F149,"REIT",Transactions!$D$3:$D149,AH121)
-SUMIFS(Transactions!$I$3:$I149,Transactions!$H$3:$H149,"Transfer Send",Transactions!$F$3:$F149,"REIT",Transactions!$D$3:$D149,AH121)
+SUMIFS(Transactions!$I$3:$I149,Transactions!$H$3:$H149,"Buy",Transactions!$F$3:$F149,"Crypto",Transactions!$D$3:$D149,AH121)
+SUMIFS(Transactions!$I$3:$I149,Transactions!$H$3:$H149,"Crypto Interest",Transactions!$F$3:$F149,"Crypto",Transactions!$D$3:$D149,AH121)
+SUMIFS(Transactions!$I$3:$I149,Transactions!$H$3:$H149,"Transfer Deposit",Transactions!$F$3:$F149,"Crypto",Transactions!$D$3:$D149,AH121)
-SUMIFS(Transactions!$I$3:$I149,Transactions!$H$3:$H149,"Transfer Send",Transactions!$F$3:$F149,"Crypto",Transactions!$D$3:$D149,AH121)
-SUMIFS(Transactions!$I$3:$I149,Transactions!$H$3:$H149,"Sell",Transactions!$F$3:$F149,"Crypto",Transactions!$D$3:$D149,AH121)
+SUMIFS(Transactions!$I$3:$I149,Transactions!$H$3:$H149,"Buy",Transactions!$F$3:$F149,"Stablecoin",Transactions!$D$3:$D149,AH121)
+SUMIFS(Transactions!$I$3:$I149,Transactions!$H$3:$H149,"Crypto Interest",Transactions!$F$3:$F149,"Stablecoin",Transactions!$D$3:$D149,AH121)
+SUMIFS(Transactions!$I$3:$I149,Transactions!$H$3:$H149,"Transfer Deposit",Transactions!$F$3:$F149,"Stablecoin",Transactions!$D$3:$D149,AH121)
-SUMIFS(Transactions!$I$3:$I149,Transactions!$H$3:$H149,"Transfer Send",Transactions!$F$3:$F149,"Stablecoin",Transactions!$D$3:$D149,AH121)
-SUMIFS(Transactions!$I$3:$I149,Transactions!$H$3:$H149,"Sell",Transactions!$F$3:$F149,"Stablecoin",Transactions!$D$3:$D149,AH121)
-SUMIFS(Transactions!$M$3:$M149,Transactions!$H$3:$H149,"Buy",Transactions!$B$3:$B149,AH121)))</f>
        <v/>
      </c>
      <c r="AJ121" s="181" t="str">
        <f>IFERROR(__xludf.DUMMYFUNCTION("IF(ISBLANK(AH121),"""",VLOOKUP(9^99,FILTER({ROW(Transactions!P:P),Transactions!P:P},Transactions!D:D=AH121),2))"),"")</f>
        <v/>
      </c>
      <c r="AK121" s="181" t="str">
        <f>IFERROR(__xludf.DUMMYFUNCTION("IF(ISBLANK(AH121),"""",IFERROR(GOOGLEFINANCE(AH121,""price""),IFERROR(GOOGLEFINANCE(""CURRENCY:""&amp;AH121&amp;""""),IFERROR(INDEX(YAHOO_STOCK(TRIM(AH121), $G$2),0,1),INDEX(IMPORTHTML(CONCAT(""https://coinmarketcap.com/currencies/"",AG121),""table"",1),1,2)))))"),"")</f>
        <v/>
      </c>
      <c r="AL121" s="14" t="str">
        <f>IFERROR(__xludf.DUMMYFUNCTION("IF(ISBLANK(AH121),"""",IFERROR(SPARKLINE(INDEX(GOOGLEFINANCE(AH121,""price"",TODAY()-$AL$2,TODAY()),,2),{""charttype"",""column"";""color"",""17a7e0""}),""""))"),"")</f>
        <v/>
      </c>
      <c r="AM121" s="50" t="str">
        <f>IFERROR(__xludf.DUMMYFUNCTION("IFNA(IFERROR(IF(AH121="""","""",GOOGLEFINANCE(AH121,""changepct"")/100),(GOOGLEFINANCE(AH121)-(INDEX(GOOGLEFINANCE(""CURRENCY:""&amp;AH121&amp;"""",""price"",TODAY()-1),2,2)))/(INDEX(GOOGLEFINANCE(""CURRENCY:""&amp;AH121&amp;"""",""price"",TODAY()-1),2,2))),)"),"")</f>
        <v/>
      </c>
      <c r="AN121" s="96" t="str">
        <f>IFERROR(__xludf.DUMMYFUNCTION("IFNA(IFERROR(IF(AH121="""","""",GOOGLEFINANCE(AH121,""change"")*AI121),(GOOGLEFINANCE(AH121)-(INDEX(GOOGLEFINANCE(""CURRENCY:""&amp;AH121&amp;"""",""price"",TODAY()-1),2,2)))*AI121),"""")"),"")</f>
        <v/>
      </c>
      <c r="AO121" s="96" t="str">
        <f>IF(ISBLANK(AH121),"",IFERROR(((AI121-SUMIFS(Transactions!I:I,Transactions!H:H,"Crypto Interest",Transactions!D:D,AH121))*AJ121),""))</f>
        <v/>
      </c>
      <c r="AP121" s="96" t="str">
        <f t="shared" si="16"/>
        <v/>
      </c>
      <c r="AQ121" s="50" t="str">
        <f t="shared" si="17"/>
        <v/>
      </c>
      <c r="AR121" s="96" t="str">
        <f t="shared" si="18"/>
        <v/>
      </c>
      <c r="AS121" s="96" t="str">
        <f>IF(ISBLANK(AH121),"",SUMIFS(Transactions!$X$3:$X149,Transactions!$H$3:$H149,"Sell",Transactions!$D$3:$D149,AH121))</f>
        <v/>
      </c>
      <c r="AT121" s="96" t="str">
        <f t="shared" si="19"/>
        <v/>
      </c>
      <c r="AU121" s="50" t="str">
        <f>IFERROR(__xludf.DUMMYFUNCTION("IF(ISBLANK(AH121),"""",IFERROR((GOOGLEFINANCE(AH121,""price"")/INDEX(GOOGLEFINANCE(AH121,""price"",DATEVALUE(TODAY()-$AU$2) ),2,2)-1),""""))"),"")</f>
        <v/>
      </c>
      <c r="AW121" s="50" t="str">
        <f>IFERROR(__xludf.DUMMYFUNCTION("IF(ISBLANK(AH121),"""",IFERROR((GOOGLEFINANCE($AW$2,""price"")/INDEX(GOOGLEFINANCE($AW$2,""price"",DATEVALUE(TODAY()-$AU$2) ),2,2)-1),""""))"),"")</f>
        <v/>
      </c>
      <c r="AY121" s="50" t="str">
        <f t="shared" si="20"/>
        <v/>
      </c>
      <c r="AZ121" s="50" t="str">
        <f t="shared" si="21"/>
        <v/>
      </c>
      <c r="BA121" s="50" t="str">
        <f t="shared" si="22"/>
        <v/>
      </c>
      <c r="BB121" s="14" t="str">
        <f t="shared" si="23"/>
        <v/>
      </c>
      <c r="BC121" s="14" t="str">
        <f>IF(ISBLANK(AH121),"",IFERROR(VLOOKUP(AH121,Transactions!D:F,3,0)))</f>
        <v/>
      </c>
      <c r="BD121" s="50" t="str">
        <f t="shared" si="24"/>
        <v/>
      </c>
      <c r="BE121" s="50" t="str">
        <f t="shared" si="25"/>
        <v/>
      </c>
      <c r="BF121" s="14" t="str">
        <f t="shared" si="26"/>
        <v/>
      </c>
      <c r="BG121" s="180" t="str">
        <f>IF(ISBLANK(AH121),"",IFERROR(VLOOKUP(AH121,Transactions!D:G,4,0)))</f>
        <v/>
      </c>
    </row>
    <row r="122">
      <c r="A122" s="14" t="str">
        <f t="shared" ref="A122:C122" si="145">AG122</f>
        <v/>
      </c>
      <c r="B122" s="14" t="str">
        <f t="shared" si="145"/>
        <v/>
      </c>
      <c r="C122" s="175" t="str">
        <f t="shared" si="145"/>
        <v/>
      </c>
      <c r="D122" s="176" t="str">
        <f>IFERROR(__xludf.DUMMYFUNCTION("IF(ISBLANK(B122),"""",IFERROR(IF(OR(AF122=""GPB"",AF122=""ZAR""),IF(AF122=Dashboard!$L$1,AJ122,(AJ122*GOOGLEFINANCE(""CURRENCY:""&amp;AF122&amp;""""&amp;Dashboard!$L$1&amp;""""))/100),IF(AF122=Dashboard!$L$1,AJ122,AJ122*GOOGLEFINANCE(""CURRENCY:""&amp;AF122&amp;""""&amp;Dashboard!$L"&amp;"$1&amp;""""))),AJ122))"),"")</f>
        <v/>
      </c>
      <c r="E122" s="177" t="str">
        <f>IFERROR(__xludf.DUMMYFUNCTION("IFERROR(IF(OR(AF122=""GBP"",AF122=""ZAR""),IF(B122="""","""",IF(AF122=Dashboard!$L$1,AK122,AK122*GOOGLEFINANCE(""CURRENCY:""&amp;AF122&amp;""""&amp;Dashboard!$L$1&amp;"""")))/100,If(B122="""","""",IF(AF122=Dashboard!$L$1,AK122,AK122*GOOGLEFINANCE(""CURRENCY:""&amp;AF122&amp;"""""&amp;"&amp;Dashboard!$L$1&amp;"""")))),AK122)"),"")</f>
        <v/>
      </c>
      <c r="F122" s="145" t="str">
        <f t="shared" si="65"/>
        <v/>
      </c>
      <c r="G122" s="96" t="str">
        <f>IFERROR(__xludf.DUMMYFUNCTION("IF(ISBLANK(B122),"""",IFERROR(SPARKLINE(INDEX(GOOGLEFINANCE(B122,""price"",TODAY()-$G$2,TODAY()),,2),{""charttype"",""column"";""color"",""17a7e0""}),""""))"),"")</f>
        <v/>
      </c>
      <c r="H122" s="50" t="str">
        <f t="shared" si="3"/>
        <v/>
      </c>
      <c r="I122" s="96" t="str">
        <f>IFERROR(__xludf.DUMMYFUNCTION("IF(ISBLANK(B122),"""",IFERROR(IF(OR(AF122=""GPB"",AF122=""ZAR""),IF(AF122=Dashboard!$L$1,AN122,(AN122*GOOGLEFINANCE(""CURRENCY:""&amp;AF122&amp;""""&amp;Dashboard!$L$1&amp;""""))/100),IF(AF122=Dashboard!$L$1,AN122,AN122*GOOGLEFINANCE(""CURRENCY:""&amp;AF122&amp;""""&amp;Dashboard!$L"&amp;"$1&amp;""""))),AN122))"),"")</f>
        <v/>
      </c>
      <c r="J122" s="178" t="str">
        <f>IF(ISBLANK(B122),"",IFERROR(((C122-SUMIFS(Transactions!I:I,Transactions!H:H,"Crypto Interest",Transactions!D:D,B122))*D122),""))</f>
        <v/>
      </c>
      <c r="K122" s="178" t="str">
        <f t="shared" si="4"/>
        <v/>
      </c>
      <c r="L122" s="145">
        <f>IF(ISBLANK(AF122),"",SUMIFS(Transactions!$M$3:$M149,Transactions!$H$3:$H149,"Buy",Transactions!$D$3:$D149,AF122))</f>
        <v>0</v>
      </c>
      <c r="M122" s="145">
        <f>IF(ISBLANK(AG122),"",SUMIFS(Transactions!$M$3:$M149,Transactions!$H$3:$H149,"Dividend",Transactions!$D$3:$D149,AG122))</f>
        <v>0</v>
      </c>
      <c r="N122" s="145" t="str">
        <f>IF(ISBLANK(AH122),"",SUMIFS(Transactions!$M$3:$M149,Transactions!$H$3:$H149,"Sell",Transactions!$D$3:$D149,AH122))</f>
        <v/>
      </c>
      <c r="O122" s="50" t="str">
        <f t="shared" si="5"/>
        <v/>
      </c>
      <c r="P122" s="178" t="str">
        <f t="shared" si="6"/>
        <v/>
      </c>
      <c r="Q122" s="178" t="str">
        <f>IFERROR(__xludf.DUMMYFUNCTION("IF(ISBLANK(B122),"""",IFERROR(IF(OR(AF122=""GPB"",AF122=""ZAR""),IF(AF122=Dashboard!$L$1,AS122,(AS122*GOOGLEFINANCE(""CURRENCY:""&amp;AF122&amp;""""&amp;Dashboard!$L$1&amp;""""))/100),IF(AF122=Dashboard!$L$1,AS122,AS122*GOOGLEFINANCE(""CURRENCY:""&amp;AF122&amp;""""&amp;Dashboard!$L"&amp;"$1&amp;""""))),AS122))"),"")</f>
        <v/>
      </c>
      <c r="R122" s="178" t="str">
        <f t="shared" si="7"/>
        <v/>
      </c>
      <c r="S122" s="50" t="str">
        <f>IFERROR(__xludf.DUMMYFUNCTION("IF(ISBLANK(B122),"""",IFERROR((GOOGLEFINANCE(B122,""price"")/INDEX(GOOGLEFINANCE(B122,""price"",DATEVALUE(TODAY()-$S$2) ),2,2)-1),""""))"),"")</f>
        <v/>
      </c>
      <c r="U122" s="50" t="str">
        <f>IFERROR(__xludf.DUMMYFUNCTION("IF(ISBLANK(B122),"""",IFERROR((GOOGLEFINANCE($U$2,""price"")/INDEX(GOOGLEFINANCE($U$2,""price"",DATEVALUE(TODAY()-$S$2) ),2,2)-1),""""))"),"")</f>
        <v/>
      </c>
      <c r="W122" s="50" t="str">
        <f t="shared" si="8"/>
        <v/>
      </c>
      <c r="X122" s="50" t="str">
        <f t="shared" si="9"/>
        <v/>
      </c>
      <c r="Y122" s="50"/>
      <c r="Z122" s="50" t="str">
        <f t="shared" si="10"/>
        <v/>
      </c>
      <c r="AA122" s="14" t="str">
        <f t="shared" si="11"/>
        <v/>
      </c>
      <c r="AB122" s="50" t="str">
        <f t="shared" si="12"/>
        <v/>
      </c>
      <c r="AC122" s="179" t="str">
        <f t="shared" si="13"/>
        <v/>
      </c>
      <c r="AD122" s="50" t="str">
        <f t="shared" si="14"/>
        <v/>
      </c>
      <c r="AE122" s="180" t="str">
        <f t="shared" si="15"/>
        <v/>
      </c>
      <c r="AF122" s="14" t="str">
        <f t="array" ref="AF122">IFERROR(IF(ISBLANK(AH122),"",IF(VLOOKUP(AH122,Transactions!D:F,3,0)="Stablecoin",AH122,INDEX(Transactions!$B$3:$B149,MATCH(AH122,Transactions!$D$3:$D149,0),0))))</f>
        <v/>
      </c>
      <c r="AG122" s="14" t="str">
        <f>IF(ISBLANK(AH122),"",VLOOKUP(AH122,Transactions!D:E,2,0))</f>
        <v/>
      </c>
      <c r="AH122" s="14"/>
      <c r="AI122" s="146" t="str">
        <f>IF(ISBLANK(AH122),"",IF(
SUMIFS(Transactions!$I$3:$I149,Transactions!$H$3:$H149,"Buy",Transactions!$F$3:$F149,"Stock",Transactions!$D$3:$D149,AH122)
+SUMIFS(Transactions!$I$3:$I149,Transactions!$H$3:$H149,"DRIP",Transactions!$F$3:$F149,"Stock",Transactions!$D$3:$D149,AH122)
+SUMIFS(Transactions!$I$3:$I149,Transactions!$H$3:$H149,"Transfer Deposit",Transactions!$F$3:$F149,"Stock",Transactions!$D$3:$D149,AH122)
+SUMIFS(Transactions!$I$3:$I149,Transactions!$H$3:$H149,"Buy",Transactions!$F$3:$F149,"ETF",Transactions!$D$3:$D149,AH122)
+SUMIFS(Transactions!$I$3:$I149,Transactions!$H$3:$H149,"DRIP",Transactions!$F$3:$F149,"ETF",Transactions!$D$3:$D149,AH122)
+SUMIFS(Transactions!$I$3:$I149,Transactions!$H$3:$H149,"Transfer Deposit",Transactions!$F$3:$F149,"ETF",Transactions!$D$3:$D149,AH122)
+SUMIFS(Transactions!$I$3:$I149,Transactions!$H$3:$H149,"Buy",Transactions!$F$3:$F149,"Commodity",Transactions!$D$3:$D149,AH122)
+SUMIFS(Transactions!$I$3:$I149,Transactions!$H$3:$H149,"DRIP",Transactions!$F$3:$F149,"Commodity",Transactions!$D$3:$D149,AH122)
+SUMIFS(Transactions!$I$3:$I149,Transactions!$H$3:$H149,"Transfer Deposit",Transactions!$F$3:$F149,"Commodity",Transactions!$D$3:$D149,AH122)
+SUMIFS(Transactions!$I$3:$I149,Transactions!$H$3:$H149,"Buy",Transactions!$F$3:$F149,"Managed Fund",Transactions!$D$3:$D149,AH122)
+SUMIFS(Transactions!$I$3:$I149,Transactions!$H$3:$H149,"DRIP",Transactions!$F$3:$F149,"Managed Fund",Transactions!$D$3:$D149,AH122)
+SUMIFS(Transactions!$I$3:$I149,Transactions!$H$3:$H149,"Transfer Deposit",Transactions!$F$3:$F149,"Managed Fund",Transactions!$D$3:$D149,AH122)
+SUMIFS(Transactions!$I$3:$I149,Transactions!$H$3:$H149,"Buy",Transactions!$F$3:$F149,"REIT",Transactions!$D$3:$D149,AH122)
+SUMIFS(Transactions!$I$3:$I149,Transactions!$H$3:$H149,"DRIP",Transactions!$F$3:$F149,"REIT",Transactions!$D$3:$D149,AH122)
+SUMIFS(Transactions!$I$3:$I149,Transactions!$H$3:$H149,"Transfer Deposit",Transactions!$F$3:$F149,"REIT",Transactions!$D$3:$D149,AH122)
-SUMIFS(Transactions!$I$3:$I149,Transactions!$H$3:$H149,"Sell",Transactions!$F$3:$F149,"Stock",Transactions!$D$3:$D149,AH122)
-SUMIFS(Transactions!$I$3:$I149,Transactions!$H$3:$H149,"Transfer Send",Transactions!$F$3:$F149,"Stock",Transactions!$D$3:$D149,AH122)
-SUMIFS(Transactions!$I$3:$I149,Transactions!$H$3:$H149,"Sell",Transactions!$F$3:$F149,"ETF",Transactions!$D$3:$D149,AH122)
-SUMIFS(Transactions!$I$3:$I149,Transactions!$H$3:$H149,"Transfer Send",Transactions!$F$3:$F149,"ETF",Transactions!$D$3:$D149,AH122)
-SUMIFS(Transactions!$I$3:$I149,Transactions!$H$3:$H149,"Sell",Transactions!$F$3:$F149,"Commodity",Transactions!$D$3:$D149,AH122)
-SUMIFS(Transactions!$I$3:$I149,Transactions!$H$3:$H149,"Transfer Send",Transactions!$F$3:$F149,"Commodity",Transactions!$D$3:$D149,AH122)
-SUMIFS(Transactions!$I$3:$I149,Transactions!$H$3:$H149,"Sell",Transactions!$F$3:$F149,"Managed Fund",Transactions!$D$3:$D149,AH122)
-SUMIFS(Transactions!$I$3:$I149,Transactions!$H$3:$H149,"Transfer Send",Transactions!$F$3:$F149,"Managed Fund",Transactions!$D$3:$D149,AH122)
-SUMIFS(Transactions!$I$3:$I149,Transactions!$H$3:$H149,"Sell",Transactions!$F$3:$F149,"REIT",Transactions!$D$3:$D149,AH122)
-SUMIFS(Transactions!$I$3:$I149,Transactions!$H$3:$H149,"Transfer Send",Transactions!$F$3:$F149,"REIT",Transactions!$D$3:$D149,AH122)
+SUMIFS(Transactions!$I$3:$I149,Transactions!$H$3:$H149,"Buy",Transactions!$F$3:$F149,"Crypto",Transactions!$D$3:$D149,AH122)
+SUMIFS(Transactions!$I$3:$I149,Transactions!$H$3:$H149,"Crypto Interest",Transactions!$F$3:$F149,"Crypto",Transactions!$D$3:$D149,AH122)
+SUMIFS(Transactions!$I$3:$I149,Transactions!$H$3:$H149,"Transfer Deposit",Transactions!$F$3:$F149,"Crypto",Transactions!$D$3:$D149,AH122)
-SUMIFS(Transactions!$I$3:$I149,Transactions!$H$3:$H149,"Transfer Send",Transactions!$F$3:$F149,"Crypto",Transactions!$D$3:$D149,AH122)
-SUMIFS(Transactions!$I$3:$I149,Transactions!$H$3:$H149,"Sell",Transactions!$F$3:$F149,"Crypto",Transactions!$D$3:$D149,AH122)
+SUMIFS(Transactions!$I$3:$I149,Transactions!$H$3:$H149,"Buy",Transactions!$F$3:$F149,"Stablecoin",Transactions!$D$3:$D149,AH122)
+SUMIFS(Transactions!$I$3:$I149,Transactions!$H$3:$H149,"Crypto Interest",Transactions!$F$3:$F149,"Stablecoin",Transactions!$D$3:$D149,AH122)
+SUMIFS(Transactions!$I$3:$I149,Transactions!$H$3:$H149,"Transfer Deposit",Transactions!$F$3:$F149,"Stablecoin",Transactions!$D$3:$D149,AH122)
-SUMIFS(Transactions!$I$3:$I149,Transactions!$H$3:$H149,"Transfer Send",Transactions!$F$3:$F149,"Stablecoin",Transactions!$D$3:$D149,AH122)
-SUMIFS(Transactions!$I$3:$I149,Transactions!$H$3:$H149,"Sell",Transactions!$F$3:$F149,"Stablecoin",Transactions!$D$3:$D149,AH122)
-SUMIFS(Transactions!$M$3:$M149,Transactions!$H$3:$H149,"Buy",Transactions!$B$3:$B149,AH122)=0,"Sold All",
SUMIFS(Transactions!$I$3:$I149,Transactions!$H$3:$H149,"Buy",Transactions!$F$3:$F149,"Stock",Transactions!$D$3:$D149,AH122)
+SUMIFS(Transactions!$I$3:$I149,Transactions!$H$3:$H149,"DRIP",Transactions!$F$3:$F149,"Stock",Transactions!$D$3:$D149,AH122)
+SUMIFS(Transactions!$I$3:$I149,Transactions!$H$3:$H149,"Transfer Deposit",Transactions!$F$3:$F149,"Stock",Transactions!$D$3:$D149,AH122)
+SUMIFS(Transactions!$I$3:$I149,Transactions!$H$3:$H149,"Buy",Transactions!$F$3:$F149,"ETF",Transactions!$D$3:$D149,AH122)
+SUMIFS(Transactions!$I$3:$I149,Transactions!$H$3:$H149,"DRIP",Transactions!$F$3:$F149,"ETF",Transactions!$D$3:$D149,AH122)
+SUMIFS(Transactions!$I$3:$I149,Transactions!$H$3:$H149,"Transfer Deposit",Transactions!$F$3:$F149,"ETF",Transactions!$D$3:$D149,AH122)
+SUMIFS(Transactions!$I$3:$I149,Transactions!$H$3:$H149,"Buy",Transactions!$F$3:$F149,"Commodity",Transactions!$D$3:$D149,AH122)
+SUMIFS(Transactions!$I$3:$I149,Transactions!$H$3:$H149,"DRIP",Transactions!$F$3:$F149,"Commodity",Transactions!$D$3:$D149,AH122)
+SUMIFS(Transactions!$I$3:$I149,Transactions!$H$3:$H149,"Transfer Deposit",Transactions!$F$3:$F149,"Commodity",Transactions!$D$3:$D149,AH122)
+SUMIFS(Transactions!$I$3:$I149,Transactions!$H$3:$H149,"Buy",Transactions!$F$3:$F149,"Managed Fund",Transactions!$D$3:$D149,AH122)
+SUMIFS(Transactions!$I$3:$I149,Transactions!$H$3:$H149,"DRIP",Transactions!$F$3:$F149,"Managed Fund",Transactions!$D$3:$D149,AH122)
+SUMIFS(Transactions!$I$3:$I149,Transactions!$H$3:$H149,"Transfer Deposit",Transactions!$F$3:$F149,"Managed Fund",Transactions!$D$3:$D149,AH122)
+SUMIFS(Transactions!$I$3:$I149,Transactions!$H$3:$H149,"Buy",Transactions!$F$3:$F149,"REIT",Transactions!$D$3:$D149,AH122)
+SUMIFS(Transactions!$I$3:$I149,Transactions!$H$3:$H149,"DRIP",Transactions!$F$3:$F149,"REIT",Transactions!$D$3:$D149,AH122)
+SUMIFS(Transactions!$I$3:$I149,Transactions!$H$3:$H149,"Transfer Deposit",Transactions!$F$3:$F149,"REIT",Transactions!$D$3:$D149,AH122)
-SUMIFS(Transactions!$I$3:$I149,Transactions!$H$3:$H149,"Sell",Transactions!$F$3:$F149,"Stock",Transactions!$D$3:$D149,AH122)
-SUMIFS(Transactions!$I$3:$I149,Transactions!$H$3:$H149,"Transfer Send",Transactions!$F$3:$F149,"Stock",Transactions!$D$3:$D149,AH122)
-SUMIFS(Transactions!$I$3:$I149,Transactions!$H$3:$H149,"Sell",Transactions!$F$3:$F149,"ETF",Transactions!$D$3:$D149,AH122)
-SUMIFS(Transactions!$I$3:$I149,Transactions!$H$3:$H149,"Transfer Send",Transactions!$F$3:$F149,"ETF",Transactions!$D$3:$D149,AH122)
-SUMIFS(Transactions!$I$3:$I149,Transactions!$H$3:$H149,"Sell",Transactions!$F$3:$F149,"Commodity",Transactions!$D$3:$D149,AH122)
-SUMIFS(Transactions!$I$3:$I149,Transactions!$H$3:$H149,"Transfer Send",Transactions!$F$3:$F149,"Commodity",Transactions!$D$3:$D149,AH122)
-SUMIFS(Transactions!$I$3:$I149,Transactions!$H$3:$H149,"Sell",Transactions!$F$3:$F149,"Managed Fund",Transactions!$D$3:$D149,AH122)
-SUMIFS(Transactions!$I$3:$I149,Transactions!$H$3:$H149,"Transfer Send",Transactions!$F$3:$F149,"Managed Fund",Transactions!$D$3:$D149,AH122)
-SUMIFS(Transactions!$I$3:$I149,Transactions!$H$3:$H149,"Sell",Transactions!$F$3:$F149,"REIT",Transactions!$D$3:$D149,AH122)
-SUMIFS(Transactions!$I$3:$I149,Transactions!$H$3:$H149,"Transfer Send",Transactions!$F$3:$F149,"REIT",Transactions!$D$3:$D149,AH122)
+SUMIFS(Transactions!$I$3:$I149,Transactions!$H$3:$H149,"Buy",Transactions!$F$3:$F149,"Crypto",Transactions!$D$3:$D149,AH122)
+SUMIFS(Transactions!$I$3:$I149,Transactions!$H$3:$H149,"Crypto Interest",Transactions!$F$3:$F149,"Crypto",Transactions!$D$3:$D149,AH122)
+SUMIFS(Transactions!$I$3:$I149,Transactions!$H$3:$H149,"Transfer Deposit",Transactions!$F$3:$F149,"Crypto",Transactions!$D$3:$D149,AH122)
-SUMIFS(Transactions!$I$3:$I149,Transactions!$H$3:$H149,"Transfer Send",Transactions!$F$3:$F149,"Crypto",Transactions!$D$3:$D149,AH122)
-SUMIFS(Transactions!$I$3:$I149,Transactions!$H$3:$H149,"Sell",Transactions!$F$3:$F149,"Crypto",Transactions!$D$3:$D149,AH122)
+SUMIFS(Transactions!$I$3:$I149,Transactions!$H$3:$H149,"Buy",Transactions!$F$3:$F149,"Stablecoin",Transactions!$D$3:$D149,AH122)
+SUMIFS(Transactions!$I$3:$I149,Transactions!$H$3:$H149,"Crypto Interest",Transactions!$F$3:$F149,"Stablecoin",Transactions!$D$3:$D149,AH122)
+SUMIFS(Transactions!$I$3:$I149,Transactions!$H$3:$H149,"Transfer Deposit",Transactions!$F$3:$F149,"Stablecoin",Transactions!$D$3:$D149,AH122)
-SUMIFS(Transactions!$I$3:$I149,Transactions!$H$3:$H149,"Transfer Send",Transactions!$F$3:$F149,"Stablecoin",Transactions!$D$3:$D149,AH122)
-SUMIFS(Transactions!$I$3:$I149,Transactions!$H$3:$H149,"Sell",Transactions!$F$3:$F149,"Stablecoin",Transactions!$D$3:$D149,AH122)
-SUMIFS(Transactions!$M$3:$M149,Transactions!$H$3:$H149,"Buy",Transactions!$B$3:$B149,AH122)))</f>
        <v/>
      </c>
      <c r="AJ122" s="181" t="str">
        <f>IFERROR(__xludf.DUMMYFUNCTION("IF(ISBLANK(AH122),"""",VLOOKUP(9^99,FILTER({ROW(Transactions!P:P),Transactions!P:P},Transactions!D:D=AH122),2))"),"")</f>
        <v/>
      </c>
      <c r="AK122" s="181" t="str">
        <f>IFERROR(__xludf.DUMMYFUNCTION("IF(ISBLANK(AH122),"""",IFERROR(GOOGLEFINANCE(AH122,""price""),IFERROR(GOOGLEFINANCE(""CURRENCY:""&amp;AH122&amp;""""),IFERROR(INDEX(YAHOO_STOCK(TRIM(AH122), $G$2),0,1),INDEX(IMPORTHTML(CONCAT(""https://coinmarketcap.com/currencies/"",AG122),""table"",1),1,2)))))"),"")</f>
        <v/>
      </c>
      <c r="AL122" s="14" t="str">
        <f>IFERROR(__xludf.DUMMYFUNCTION("IF(ISBLANK(AH122),"""",IFERROR(SPARKLINE(INDEX(GOOGLEFINANCE(AH122,""price"",TODAY()-$AL$2,TODAY()),,2),{""charttype"",""column"";""color"",""17a7e0""}),""""))"),"")</f>
        <v/>
      </c>
      <c r="AM122" s="50" t="str">
        <f>IFERROR(__xludf.DUMMYFUNCTION("IFNA(IFERROR(IF(AH122="""","""",GOOGLEFINANCE(AH122,""changepct"")/100),(GOOGLEFINANCE(AH122)-(INDEX(GOOGLEFINANCE(""CURRENCY:""&amp;AH122&amp;"""",""price"",TODAY()-1),2,2)))/(INDEX(GOOGLEFINANCE(""CURRENCY:""&amp;AH122&amp;"""",""price"",TODAY()-1),2,2))),)"),"")</f>
        <v/>
      </c>
      <c r="AN122" s="96" t="str">
        <f>IFERROR(__xludf.DUMMYFUNCTION("IFNA(IFERROR(IF(AH122="""","""",GOOGLEFINANCE(AH122,""change"")*AI122),(GOOGLEFINANCE(AH122)-(INDEX(GOOGLEFINANCE(""CURRENCY:""&amp;AH122&amp;"""",""price"",TODAY()-1),2,2)))*AI122),"""")"),"")</f>
        <v/>
      </c>
      <c r="AO122" s="96" t="str">
        <f>IF(ISBLANK(AH122),"",IFERROR(((AI122-SUMIFS(Transactions!I:I,Transactions!H:H,"Crypto Interest",Transactions!D:D,AH122))*AJ122),""))</f>
        <v/>
      </c>
      <c r="AP122" s="96" t="str">
        <f t="shared" si="16"/>
        <v/>
      </c>
      <c r="AQ122" s="50" t="str">
        <f t="shared" si="17"/>
        <v/>
      </c>
      <c r="AR122" s="96" t="str">
        <f t="shared" si="18"/>
        <v/>
      </c>
      <c r="AS122" s="96" t="str">
        <f>IF(ISBLANK(AH122),"",SUMIFS(Transactions!$X$3:$X149,Transactions!$H$3:$H149,"Sell",Transactions!$D$3:$D149,AH122))</f>
        <v/>
      </c>
      <c r="AT122" s="96" t="str">
        <f t="shared" si="19"/>
        <v/>
      </c>
      <c r="AU122" s="50" t="str">
        <f>IFERROR(__xludf.DUMMYFUNCTION("IF(ISBLANK(AH122),"""",IFERROR((GOOGLEFINANCE(AH122,""price"")/INDEX(GOOGLEFINANCE(AH122,""price"",DATEVALUE(TODAY()-$AU$2) ),2,2)-1),""""))"),"")</f>
        <v/>
      </c>
      <c r="AW122" s="50" t="str">
        <f>IFERROR(__xludf.DUMMYFUNCTION("IF(ISBLANK(AH122),"""",IFERROR((GOOGLEFINANCE($AW$2,""price"")/INDEX(GOOGLEFINANCE($AW$2,""price"",DATEVALUE(TODAY()-$AU$2) ),2,2)-1),""""))"),"")</f>
        <v/>
      </c>
      <c r="AY122" s="50" t="str">
        <f t="shared" si="20"/>
        <v/>
      </c>
      <c r="AZ122" s="50" t="str">
        <f t="shared" si="21"/>
        <v/>
      </c>
      <c r="BA122" s="50" t="str">
        <f t="shared" si="22"/>
        <v/>
      </c>
      <c r="BB122" s="14" t="str">
        <f t="shared" si="23"/>
        <v/>
      </c>
      <c r="BC122" s="14" t="str">
        <f>IF(ISBLANK(AH122),"",IFERROR(VLOOKUP(AH122,Transactions!D:F,3,0)))</f>
        <v/>
      </c>
      <c r="BD122" s="50" t="str">
        <f t="shared" si="24"/>
        <v/>
      </c>
      <c r="BE122" s="50" t="str">
        <f t="shared" si="25"/>
        <v/>
      </c>
      <c r="BF122" s="14" t="str">
        <f t="shared" si="26"/>
        <v/>
      </c>
      <c r="BG122" s="180" t="str">
        <f>IF(ISBLANK(AH122),"",IFERROR(VLOOKUP(AH122,Transactions!D:G,4,0)))</f>
        <v/>
      </c>
    </row>
    <row r="123">
      <c r="A123" s="14" t="str">
        <f t="shared" ref="A123:C123" si="146">AG123</f>
        <v/>
      </c>
      <c r="B123" s="14" t="str">
        <f t="shared" si="146"/>
        <v/>
      </c>
      <c r="C123" s="175" t="str">
        <f t="shared" si="146"/>
        <v/>
      </c>
      <c r="D123" s="176" t="str">
        <f>IFERROR(__xludf.DUMMYFUNCTION("IF(ISBLANK(B123),"""",IFERROR(IF(OR(AF123=""GPB"",AF123=""ZAR""),IF(AF123=Dashboard!$L$1,AJ123,(AJ123*GOOGLEFINANCE(""CURRENCY:""&amp;AF123&amp;""""&amp;Dashboard!$L$1&amp;""""))/100),IF(AF123=Dashboard!$L$1,AJ123,AJ123*GOOGLEFINANCE(""CURRENCY:""&amp;AF123&amp;""""&amp;Dashboard!$L"&amp;"$1&amp;""""))),AJ123))"),"")</f>
        <v/>
      </c>
      <c r="E123" s="177" t="str">
        <f>IFERROR(__xludf.DUMMYFUNCTION("IFERROR(IF(OR(AF123=""GBP"",AF123=""ZAR""),IF(B123="""","""",IF(AF123=Dashboard!$L$1,AK123,AK123*GOOGLEFINANCE(""CURRENCY:""&amp;AF123&amp;""""&amp;Dashboard!$L$1&amp;"""")))/100,If(B123="""","""",IF(AF123=Dashboard!$L$1,AK123,AK123*GOOGLEFINANCE(""CURRENCY:""&amp;AF123&amp;"""""&amp;"&amp;Dashboard!$L$1&amp;"""")))),AK123)"),"")</f>
        <v/>
      </c>
      <c r="F123" s="145" t="str">
        <f t="shared" si="65"/>
        <v/>
      </c>
      <c r="G123" s="96" t="str">
        <f>IFERROR(__xludf.DUMMYFUNCTION("IF(ISBLANK(B123),"""",IFERROR(SPARKLINE(INDEX(GOOGLEFINANCE(B123,""price"",TODAY()-$G$2,TODAY()),,2),{""charttype"",""column"";""color"",""17a7e0""}),""""))"),"")</f>
        <v/>
      </c>
      <c r="H123" s="50" t="str">
        <f t="shared" si="3"/>
        <v/>
      </c>
      <c r="I123" s="96" t="str">
        <f>IFERROR(__xludf.DUMMYFUNCTION("IF(ISBLANK(B123),"""",IFERROR(IF(OR(AF123=""GPB"",AF123=""ZAR""),IF(AF123=Dashboard!$L$1,AN123,(AN123*GOOGLEFINANCE(""CURRENCY:""&amp;AF123&amp;""""&amp;Dashboard!$L$1&amp;""""))/100),IF(AF123=Dashboard!$L$1,AN123,AN123*GOOGLEFINANCE(""CURRENCY:""&amp;AF123&amp;""""&amp;Dashboard!$L"&amp;"$1&amp;""""))),AN123))"),"")</f>
        <v/>
      </c>
      <c r="J123" s="178" t="str">
        <f>IF(ISBLANK(B123),"",IFERROR(((C123-SUMIFS(Transactions!I:I,Transactions!H:H,"Crypto Interest",Transactions!D:D,B123))*D123),""))</f>
        <v/>
      </c>
      <c r="K123" s="178" t="str">
        <f t="shared" si="4"/>
        <v/>
      </c>
      <c r="L123" s="145">
        <f>IF(ISBLANK(AF123),"",SUMIFS(Transactions!$M$3:$M149,Transactions!$H$3:$H149,"Buy",Transactions!$D$3:$D149,AF123))</f>
        <v>0</v>
      </c>
      <c r="M123" s="145">
        <f>IF(ISBLANK(AG123),"",SUMIFS(Transactions!$M$3:$M149,Transactions!$H$3:$H149,"Dividend",Transactions!$D$3:$D149,AG123))</f>
        <v>0</v>
      </c>
      <c r="N123" s="145" t="str">
        <f>IF(ISBLANK(AH123),"",SUMIFS(Transactions!$M$3:$M149,Transactions!$H$3:$H149,"Sell",Transactions!$D$3:$D149,AH123))</f>
        <v/>
      </c>
      <c r="O123" s="50" t="str">
        <f t="shared" si="5"/>
        <v/>
      </c>
      <c r="P123" s="178" t="str">
        <f t="shared" si="6"/>
        <v/>
      </c>
      <c r="Q123" s="178" t="str">
        <f>IFERROR(__xludf.DUMMYFUNCTION("IF(ISBLANK(B123),"""",IFERROR(IF(OR(AF123=""GPB"",AF123=""ZAR""),IF(AF123=Dashboard!$L$1,AS123,(AS123*GOOGLEFINANCE(""CURRENCY:""&amp;AF123&amp;""""&amp;Dashboard!$L$1&amp;""""))/100),IF(AF123=Dashboard!$L$1,AS123,AS123*GOOGLEFINANCE(""CURRENCY:""&amp;AF123&amp;""""&amp;Dashboard!$L"&amp;"$1&amp;""""))),AS123))"),"")</f>
        <v/>
      </c>
      <c r="R123" s="178" t="str">
        <f t="shared" si="7"/>
        <v/>
      </c>
      <c r="S123" s="50" t="str">
        <f>IFERROR(__xludf.DUMMYFUNCTION("IF(ISBLANK(B123),"""",IFERROR((GOOGLEFINANCE(B123,""price"")/INDEX(GOOGLEFINANCE(B123,""price"",DATEVALUE(TODAY()-$S$2) ),2,2)-1),""""))"),"")</f>
        <v/>
      </c>
      <c r="U123" s="50" t="str">
        <f>IFERROR(__xludf.DUMMYFUNCTION("IF(ISBLANK(B123),"""",IFERROR((GOOGLEFINANCE($U$2,""price"")/INDEX(GOOGLEFINANCE($U$2,""price"",DATEVALUE(TODAY()-$S$2) ),2,2)-1),""""))"),"")</f>
        <v/>
      </c>
      <c r="W123" s="50" t="str">
        <f t="shared" si="8"/>
        <v/>
      </c>
      <c r="X123" s="50" t="str">
        <f t="shared" si="9"/>
        <v/>
      </c>
      <c r="Y123" s="50"/>
      <c r="Z123" s="50" t="str">
        <f t="shared" si="10"/>
        <v/>
      </c>
      <c r="AA123" s="14" t="str">
        <f t="shared" si="11"/>
        <v/>
      </c>
      <c r="AB123" s="50" t="str">
        <f t="shared" si="12"/>
        <v/>
      </c>
      <c r="AC123" s="179" t="str">
        <f t="shared" si="13"/>
        <v/>
      </c>
      <c r="AD123" s="50" t="str">
        <f t="shared" si="14"/>
        <v/>
      </c>
      <c r="AE123" s="180" t="str">
        <f t="shared" si="15"/>
        <v/>
      </c>
      <c r="AF123" s="14" t="str">
        <f t="array" ref="AF123">IFERROR(IF(ISBLANK(AH123),"",IF(VLOOKUP(AH123,Transactions!D:F,3,0)="Stablecoin",AH123,INDEX(Transactions!$B$3:$B149,MATCH(AH123,Transactions!$D$3:$D149,0),0))))</f>
        <v/>
      </c>
      <c r="AG123" s="14" t="str">
        <f>IF(ISBLANK(AH123),"",VLOOKUP(AH123,Transactions!D:E,2,0))</f>
        <v/>
      </c>
      <c r="AH123" s="14"/>
      <c r="AI123" s="146" t="str">
        <f>IF(ISBLANK(AH123),"",IF(
SUMIFS(Transactions!$I$3:$I149,Transactions!$H$3:$H149,"Buy",Transactions!$F$3:$F149,"Stock",Transactions!$D$3:$D149,AH123)
+SUMIFS(Transactions!$I$3:$I149,Transactions!$H$3:$H149,"DRIP",Transactions!$F$3:$F149,"Stock",Transactions!$D$3:$D149,AH123)
+SUMIFS(Transactions!$I$3:$I149,Transactions!$H$3:$H149,"Transfer Deposit",Transactions!$F$3:$F149,"Stock",Transactions!$D$3:$D149,AH123)
+SUMIFS(Transactions!$I$3:$I149,Transactions!$H$3:$H149,"Buy",Transactions!$F$3:$F149,"ETF",Transactions!$D$3:$D149,AH123)
+SUMIFS(Transactions!$I$3:$I149,Transactions!$H$3:$H149,"DRIP",Transactions!$F$3:$F149,"ETF",Transactions!$D$3:$D149,AH123)
+SUMIFS(Transactions!$I$3:$I149,Transactions!$H$3:$H149,"Transfer Deposit",Transactions!$F$3:$F149,"ETF",Transactions!$D$3:$D149,AH123)
+SUMIFS(Transactions!$I$3:$I149,Transactions!$H$3:$H149,"Buy",Transactions!$F$3:$F149,"Commodity",Transactions!$D$3:$D149,AH123)
+SUMIFS(Transactions!$I$3:$I149,Transactions!$H$3:$H149,"DRIP",Transactions!$F$3:$F149,"Commodity",Transactions!$D$3:$D149,AH123)
+SUMIFS(Transactions!$I$3:$I149,Transactions!$H$3:$H149,"Transfer Deposit",Transactions!$F$3:$F149,"Commodity",Transactions!$D$3:$D149,AH123)
+SUMIFS(Transactions!$I$3:$I149,Transactions!$H$3:$H149,"Buy",Transactions!$F$3:$F149,"Managed Fund",Transactions!$D$3:$D149,AH123)
+SUMIFS(Transactions!$I$3:$I149,Transactions!$H$3:$H149,"DRIP",Transactions!$F$3:$F149,"Managed Fund",Transactions!$D$3:$D149,AH123)
+SUMIFS(Transactions!$I$3:$I149,Transactions!$H$3:$H149,"Transfer Deposit",Transactions!$F$3:$F149,"Managed Fund",Transactions!$D$3:$D149,AH123)
+SUMIFS(Transactions!$I$3:$I149,Transactions!$H$3:$H149,"Buy",Transactions!$F$3:$F149,"REIT",Transactions!$D$3:$D149,AH123)
+SUMIFS(Transactions!$I$3:$I149,Transactions!$H$3:$H149,"DRIP",Transactions!$F$3:$F149,"REIT",Transactions!$D$3:$D149,AH123)
+SUMIFS(Transactions!$I$3:$I149,Transactions!$H$3:$H149,"Transfer Deposit",Transactions!$F$3:$F149,"REIT",Transactions!$D$3:$D149,AH123)
-SUMIFS(Transactions!$I$3:$I149,Transactions!$H$3:$H149,"Sell",Transactions!$F$3:$F149,"Stock",Transactions!$D$3:$D149,AH123)
-SUMIFS(Transactions!$I$3:$I149,Transactions!$H$3:$H149,"Transfer Send",Transactions!$F$3:$F149,"Stock",Transactions!$D$3:$D149,AH123)
-SUMIFS(Transactions!$I$3:$I149,Transactions!$H$3:$H149,"Sell",Transactions!$F$3:$F149,"ETF",Transactions!$D$3:$D149,AH123)
-SUMIFS(Transactions!$I$3:$I149,Transactions!$H$3:$H149,"Transfer Send",Transactions!$F$3:$F149,"ETF",Transactions!$D$3:$D149,AH123)
-SUMIFS(Transactions!$I$3:$I149,Transactions!$H$3:$H149,"Sell",Transactions!$F$3:$F149,"Commodity",Transactions!$D$3:$D149,AH123)
-SUMIFS(Transactions!$I$3:$I149,Transactions!$H$3:$H149,"Transfer Send",Transactions!$F$3:$F149,"Commodity",Transactions!$D$3:$D149,AH123)
-SUMIFS(Transactions!$I$3:$I149,Transactions!$H$3:$H149,"Sell",Transactions!$F$3:$F149,"Managed Fund",Transactions!$D$3:$D149,AH123)
-SUMIFS(Transactions!$I$3:$I149,Transactions!$H$3:$H149,"Transfer Send",Transactions!$F$3:$F149,"Managed Fund",Transactions!$D$3:$D149,AH123)
-SUMIFS(Transactions!$I$3:$I149,Transactions!$H$3:$H149,"Sell",Transactions!$F$3:$F149,"REIT",Transactions!$D$3:$D149,AH123)
-SUMIFS(Transactions!$I$3:$I149,Transactions!$H$3:$H149,"Transfer Send",Transactions!$F$3:$F149,"REIT",Transactions!$D$3:$D149,AH123)
+SUMIFS(Transactions!$I$3:$I149,Transactions!$H$3:$H149,"Buy",Transactions!$F$3:$F149,"Crypto",Transactions!$D$3:$D149,AH123)
+SUMIFS(Transactions!$I$3:$I149,Transactions!$H$3:$H149,"Crypto Interest",Transactions!$F$3:$F149,"Crypto",Transactions!$D$3:$D149,AH123)
+SUMIFS(Transactions!$I$3:$I149,Transactions!$H$3:$H149,"Transfer Deposit",Transactions!$F$3:$F149,"Crypto",Transactions!$D$3:$D149,AH123)
-SUMIFS(Transactions!$I$3:$I149,Transactions!$H$3:$H149,"Transfer Send",Transactions!$F$3:$F149,"Crypto",Transactions!$D$3:$D149,AH123)
-SUMIFS(Transactions!$I$3:$I149,Transactions!$H$3:$H149,"Sell",Transactions!$F$3:$F149,"Crypto",Transactions!$D$3:$D149,AH123)
+SUMIFS(Transactions!$I$3:$I149,Transactions!$H$3:$H149,"Buy",Transactions!$F$3:$F149,"Stablecoin",Transactions!$D$3:$D149,AH123)
+SUMIFS(Transactions!$I$3:$I149,Transactions!$H$3:$H149,"Crypto Interest",Transactions!$F$3:$F149,"Stablecoin",Transactions!$D$3:$D149,AH123)
+SUMIFS(Transactions!$I$3:$I149,Transactions!$H$3:$H149,"Transfer Deposit",Transactions!$F$3:$F149,"Stablecoin",Transactions!$D$3:$D149,AH123)
-SUMIFS(Transactions!$I$3:$I149,Transactions!$H$3:$H149,"Transfer Send",Transactions!$F$3:$F149,"Stablecoin",Transactions!$D$3:$D149,AH123)
-SUMIFS(Transactions!$I$3:$I149,Transactions!$H$3:$H149,"Sell",Transactions!$F$3:$F149,"Stablecoin",Transactions!$D$3:$D149,AH123)
-SUMIFS(Transactions!$M$3:$M149,Transactions!$H$3:$H149,"Buy",Transactions!$B$3:$B149,AH123)=0,"Sold All",
SUMIFS(Transactions!$I$3:$I149,Transactions!$H$3:$H149,"Buy",Transactions!$F$3:$F149,"Stock",Transactions!$D$3:$D149,AH123)
+SUMIFS(Transactions!$I$3:$I149,Transactions!$H$3:$H149,"DRIP",Transactions!$F$3:$F149,"Stock",Transactions!$D$3:$D149,AH123)
+SUMIFS(Transactions!$I$3:$I149,Transactions!$H$3:$H149,"Transfer Deposit",Transactions!$F$3:$F149,"Stock",Transactions!$D$3:$D149,AH123)
+SUMIFS(Transactions!$I$3:$I149,Transactions!$H$3:$H149,"Buy",Transactions!$F$3:$F149,"ETF",Transactions!$D$3:$D149,AH123)
+SUMIFS(Transactions!$I$3:$I149,Transactions!$H$3:$H149,"DRIP",Transactions!$F$3:$F149,"ETF",Transactions!$D$3:$D149,AH123)
+SUMIFS(Transactions!$I$3:$I149,Transactions!$H$3:$H149,"Transfer Deposit",Transactions!$F$3:$F149,"ETF",Transactions!$D$3:$D149,AH123)
+SUMIFS(Transactions!$I$3:$I149,Transactions!$H$3:$H149,"Buy",Transactions!$F$3:$F149,"Commodity",Transactions!$D$3:$D149,AH123)
+SUMIFS(Transactions!$I$3:$I149,Transactions!$H$3:$H149,"DRIP",Transactions!$F$3:$F149,"Commodity",Transactions!$D$3:$D149,AH123)
+SUMIFS(Transactions!$I$3:$I149,Transactions!$H$3:$H149,"Transfer Deposit",Transactions!$F$3:$F149,"Commodity",Transactions!$D$3:$D149,AH123)
+SUMIFS(Transactions!$I$3:$I149,Transactions!$H$3:$H149,"Buy",Transactions!$F$3:$F149,"Managed Fund",Transactions!$D$3:$D149,AH123)
+SUMIFS(Transactions!$I$3:$I149,Transactions!$H$3:$H149,"DRIP",Transactions!$F$3:$F149,"Managed Fund",Transactions!$D$3:$D149,AH123)
+SUMIFS(Transactions!$I$3:$I149,Transactions!$H$3:$H149,"Transfer Deposit",Transactions!$F$3:$F149,"Managed Fund",Transactions!$D$3:$D149,AH123)
+SUMIFS(Transactions!$I$3:$I149,Transactions!$H$3:$H149,"Buy",Transactions!$F$3:$F149,"REIT",Transactions!$D$3:$D149,AH123)
+SUMIFS(Transactions!$I$3:$I149,Transactions!$H$3:$H149,"DRIP",Transactions!$F$3:$F149,"REIT",Transactions!$D$3:$D149,AH123)
+SUMIFS(Transactions!$I$3:$I149,Transactions!$H$3:$H149,"Transfer Deposit",Transactions!$F$3:$F149,"REIT",Transactions!$D$3:$D149,AH123)
-SUMIFS(Transactions!$I$3:$I149,Transactions!$H$3:$H149,"Sell",Transactions!$F$3:$F149,"Stock",Transactions!$D$3:$D149,AH123)
-SUMIFS(Transactions!$I$3:$I149,Transactions!$H$3:$H149,"Transfer Send",Transactions!$F$3:$F149,"Stock",Transactions!$D$3:$D149,AH123)
-SUMIFS(Transactions!$I$3:$I149,Transactions!$H$3:$H149,"Sell",Transactions!$F$3:$F149,"ETF",Transactions!$D$3:$D149,AH123)
-SUMIFS(Transactions!$I$3:$I149,Transactions!$H$3:$H149,"Transfer Send",Transactions!$F$3:$F149,"ETF",Transactions!$D$3:$D149,AH123)
-SUMIFS(Transactions!$I$3:$I149,Transactions!$H$3:$H149,"Sell",Transactions!$F$3:$F149,"Commodity",Transactions!$D$3:$D149,AH123)
-SUMIFS(Transactions!$I$3:$I149,Transactions!$H$3:$H149,"Transfer Send",Transactions!$F$3:$F149,"Commodity",Transactions!$D$3:$D149,AH123)
-SUMIFS(Transactions!$I$3:$I149,Transactions!$H$3:$H149,"Sell",Transactions!$F$3:$F149,"Managed Fund",Transactions!$D$3:$D149,AH123)
-SUMIFS(Transactions!$I$3:$I149,Transactions!$H$3:$H149,"Transfer Send",Transactions!$F$3:$F149,"Managed Fund",Transactions!$D$3:$D149,AH123)
-SUMIFS(Transactions!$I$3:$I149,Transactions!$H$3:$H149,"Sell",Transactions!$F$3:$F149,"REIT",Transactions!$D$3:$D149,AH123)
-SUMIFS(Transactions!$I$3:$I149,Transactions!$H$3:$H149,"Transfer Send",Transactions!$F$3:$F149,"REIT",Transactions!$D$3:$D149,AH123)
+SUMIFS(Transactions!$I$3:$I149,Transactions!$H$3:$H149,"Buy",Transactions!$F$3:$F149,"Crypto",Transactions!$D$3:$D149,AH123)
+SUMIFS(Transactions!$I$3:$I149,Transactions!$H$3:$H149,"Crypto Interest",Transactions!$F$3:$F149,"Crypto",Transactions!$D$3:$D149,AH123)
+SUMIFS(Transactions!$I$3:$I149,Transactions!$H$3:$H149,"Transfer Deposit",Transactions!$F$3:$F149,"Crypto",Transactions!$D$3:$D149,AH123)
-SUMIFS(Transactions!$I$3:$I149,Transactions!$H$3:$H149,"Transfer Send",Transactions!$F$3:$F149,"Crypto",Transactions!$D$3:$D149,AH123)
-SUMIFS(Transactions!$I$3:$I149,Transactions!$H$3:$H149,"Sell",Transactions!$F$3:$F149,"Crypto",Transactions!$D$3:$D149,AH123)
+SUMIFS(Transactions!$I$3:$I149,Transactions!$H$3:$H149,"Buy",Transactions!$F$3:$F149,"Stablecoin",Transactions!$D$3:$D149,AH123)
+SUMIFS(Transactions!$I$3:$I149,Transactions!$H$3:$H149,"Crypto Interest",Transactions!$F$3:$F149,"Stablecoin",Transactions!$D$3:$D149,AH123)
+SUMIFS(Transactions!$I$3:$I149,Transactions!$H$3:$H149,"Transfer Deposit",Transactions!$F$3:$F149,"Stablecoin",Transactions!$D$3:$D149,AH123)
-SUMIFS(Transactions!$I$3:$I149,Transactions!$H$3:$H149,"Transfer Send",Transactions!$F$3:$F149,"Stablecoin",Transactions!$D$3:$D149,AH123)
-SUMIFS(Transactions!$I$3:$I149,Transactions!$H$3:$H149,"Sell",Transactions!$F$3:$F149,"Stablecoin",Transactions!$D$3:$D149,AH123)
-SUMIFS(Transactions!$M$3:$M149,Transactions!$H$3:$H149,"Buy",Transactions!$B$3:$B149,AH123)))</f>
        <v/>
      </c>
      <c r="AJ123" s="181" t="str">
        <f>IFERROR(__xludf.DUMMYFUNCTION("IF(ISBLANK(AH123),"""",VLOOKUP(9^99,FILTER({ROW(Transactions!P:P),Transactions!P:P},Transactions!D:D=AH123),2))"),"")</f>
        <v/>
      </c>
      <c r="AK123" s="181" t="str">
        <f>IFERROR(__xludf.DUMMYFUNCTION("IF(ISBLANK(AH123),"""",IFERROR(GOOGLEFINANCE(AH123,""price""),IFERROR(GOOGLEFINANCE(""CURRENCY:""&amp;AH123&amp;""""),IFERROR(INDEX(YAHOO_STOCK(TRIM(AH123), $G$2),0,1),INDEX(IMPORTHTML(CONCAT(""https://coinmarketcap.com/currencies/"",AG123),""table"",1),1,2)))))"),"")</f>
        <v/>
      </c>
      <c r="AL123" s="14" t="str">
        <f>IFERROR(__xludf.DUMMYFUNCTION("IF(ISBLANK(AH123),"""",IFERROR(SPARKLINE(INDEX(GOOGLEFINANCE(AH123,""price"",TODAY()-$AL$2,TODAY()),,2),{""charttype"",""column"";""color"",""17a7e0""}),""""))"),"")</f>
        <v/>
      </c>
      <c r="AM123" s="50" t="str">
        <f>IFERROR(__xludf.DUMMYFUNCTION("IFNA(IFERROR(IF(AH123="""","""",GOOGLEFINANCE(AH123,""changepct"")/100),(GOOGLEFINANCE(AH123)-(INDEX(GOOGLEFINANCE(""CURRENCY:""&amp;AH123&amp;"""",""price"",TODAY()-1),2,2)))/(INDEX(GOOGLEFINANCE(""CURRENCY:""&amp;AH123&amp;"""",""price"",TODAY()-1),2,2))),)"),"")</f>
        <v/>
      </c>
      <c r="AN123" s="96" t="str">
        <f>IFERROR(__xludf.DUMMYFUNCTION("IFNA(IFERROR(IF(AH123="""","""",GOOGLEFINANCE(AH123,""change"")*AI123),(GOOGLEFINANCE(AH123)-(INDEX(GOOGLEFINANCE(""CURRENCY:""&amp;AH123&amp;"""",""price"",TODAY()-1),2,2)))*AI123),"""")"),"")</f>
        <v/>
      </c>
      <c r="AO123" s="96" t="str">
        <f>IF(ISBLANK(AH123),"",IFERROR(((AI123-SUMIFS(Transactions!I:I,Transactions!H:H,"Crypto Interest",Transactions!D:D,AH123))*AJ123),""))</f>
        <v/>
      </c>
      <c r="AP123" s="96" t="str">
        <f t="shared" si="16"/>
        <v/>
      </c>
      <c r="AQ123" s="50" t="str">
        <f t="shared" si="17"/>
        <v/>
      </c>
      <c r="AR123" s="96" t="str">
        <f t="shared" si="18"/>
        <v/>
      </c>
      <c r="AS123" s="96" t="str">
        <f>IF(ISBLANK(AH123),"",SUMIFS(Transactions!$X$3:$X149,Transactions!$H$3:$H149,"Sell",Transactions!$D$3:$D149,AH123))</f>
        <v/>
      </c>
      <c r="AT123" s="96" t="str">
        <f t="shared" si="19"/>
        <v/>
      </c>
      <c r="AU123" s="50" t="str">
        <f>IFERROR(__xludf.DUMMYFUNCTION("IF(ISBLANK(AH123),"""",IFERROR((GOOGLEFINANCE(AH123,""price"")/INDEX(GOOGLEFINANCE(AH123,""price"",DATEVALUE(TODAY()-$AU$2) ),2,2)-1),""""))"),"")</f>
        <v/>
      </c>
      <c r="AW123" s="50" t="str">
        <f>IFERROR(__xludf.DUMMYFUNCTION("IF(ISBLANK(AH123),"""",IFERROR((GOOGLEFINANCE($AW$2,""price"")/INDEX(GOOGLEFINANCE($AW$2,""price"",DATEVALUE(TODAY()-$AU$2) ),2,2)-1),""""))"),"")</f>
        <v/>
      </c>
      <c r="AY123" s="50" t="str">
        <f t="shared" si="20"/>
        <v/>
      </c>
      <c r="AZ123" s="50" t="str">
        <f t="shared" si="21"/>
        <v/>
      </c>
      <c r="BA123" s="50" t="str">
        <f t="shared" si="22"/>
        <v/>
      </c>
      <c r="BB123" s="14" t="str">
        <f t="shared" si="23"/>
        <v/>
      </c>
      <c r="BC123" s="14" t="str">
        <f>IF(ISBLANK(AH123),"",IFERROR(VLOOKUP(AH123,Transactions!D:F,3,0)))</f>
        <v/>
      </c>
      <c r="BD123" s="50" t="str">
        <f t="shared" si="24"/>
        <v/>
      </c>
      <c r="BE123" s="50" t="str">
        <f t="shared" si="25"/>
        <v/>
      </c>
      <c r="BF123" s="14" t="str">
        <f t="shared" si="26"/>
        <v/>
      </c>
      <c r="BG123" s="180" t="str">
        <f>IF(ISBLANK(AH123),"",IFERROR(VLOOKUP(AH123,Transactions!D:G,4,0)))</f>
        <v/>
      </c>
    </row>
    <row r="124">
      <c r="A124" s="14" t="str">
        <f t="shared" ref="A124:C124" si="147">AG124</f>
        <v/>
      </c>
      <c r="B124" s="14" t="str">
        <f t="shared" si="147"/>
        <v/>
      </c>
      <c r="C124" s="175" t="str">
        <f t="shared" si="147"/>
        <v/>
      </c>
      <c r="D124" s="176" t="str">
        <f>IFERROR(__xludf.DUMMYFUNCTION("IF(ISBLANK(B124),"""",IFERROR(IF(OR(AF124=""GPB"",AF124=""ZAR""),IF(AF124=Dashboard!$L$1,AJ124,(AJ124*GOOGLEFINANCE(""CURRENCY:""&amp;AF124&amp;""""&amp;Dashboard!$L$1&amp;""""))/100),IF(AF124=Dashboard!$L$1,AJ124,AJ124*GOOGLEFINANCE(""CURRENCY:""&amp;AF124&amp;""""&amp;Dashboard!$L"&amp;"$1&amp;""""))),AJ124))"),"")</f>
        <v/>
      </c>
      <c r="E124" s="177" t="str">
        <f>IFERROR(__xludf.DUMMYFUNCTION("IFERROR(IF(OR(AF124=""GBP"",AF124=""ZAR""),IF(B124="""","""",IF(AF124=Dashboard!$L$1,AK124,AK124*GOOGLEFINANCE(""CURRENCY:""&amp;AF124&amp;""""&amp;Dashboard!$L$1&amp;"""")))/100,If(B124="""","""",IF(AF124=Dashboard!$L$1,AK124,AK124*GOOGLEFINANCE(""CURRENCY:""&amp;AF124&amp;"""""&amp;"&amp;Dashboard!$L$1&amp;"""")))),AK124)"),"")</f>
        <v/>
      </c>
      <c r="F124" s="145" t="str">
        <f t="shared" si="65"/>
        <v/>
      </c>
      <c r="G124" s="96" t="str">
        <f>IFERROR(__xludf.DUMMYFUNCTION("IF(ISBLANK(B124),"""",IFERROR(SPARKLINE(INDEX(GOOGLEFINANCE(B124,""price"",TODAY()-$G$2,TODAY()),,2),{""charttype"",""column"";""color"",""17a7e0""}),""""))"),"")</f>
        <v/>
      </c>
      <c r="H124" s="50" t="str">
        <f t="shared" si="3"/>
        <v/>
      </c>
      <c r="I124" s="96" t="str">
        <f>IFERROR(__xludf.DUMMYFUNCTION("IF(ISBLANK(B124),"""",IFERROR(IF(OR(AF124=""GPB"",AF124=""ZAR""),IF(AF124=Dashboard!$L$1,AN124,(AN124*GOOGLEFINANCE(""CURRENCY:""&amp;AF124&amp;""""&amp;Dashboard!$L$1&amp;""""))/100),IF(AF124=Dashboard!$L$1,AN124,AN124*GOOGLEFINANCE(""CURRENCY:""&amp;AF124&amp;""""&amp;Dashboard!$L"&amp;"$1&amp;""""))),AN124))"),"")</f>
        <v/>
      </c>
      <c r="J124" s="178" t="str">
        <f>IF(ISBLANK(B124),"",IFERROR(((C124-SUMIFS(Transactions!I:I,Transactions!H:H,"Crypto Interest",Transactions!D:D,B124))*D124),""))</f>
        <v/>
      </c>
      <c r="K124" s="178" t="str">
        <f t="shared" si="4"/>
        <v/>
      </c>
      <c r="L124" s="145">
        <f>IF(ISBLANK(AF124),"",SUMIFS(Transactions!$M$3:$M149,Transactions!$H$3:$H149,"Buy",Transactions!$D$3:$D149,AF124))</f>
        <v>0</v>
      </c>
      <c r="M124" s="145">
        <f>IF(ISBLANK(AG124),"",SUMIFS(Transactions!$M$3:$M149,Transactions!$H$3:$H149,"Dividend",Transactions!$D$3:$D149,AG124))</f>
        <v>0</v>
      </c>
      <c r="N124" s="145" t="str">
        <f>IF(ISBLANK(AH124),"",SUMIFS(Transactions!$M$3:$M149,Transactions!$H$3:$H149,"Sell",Transactions!$D$3:$D149,AH124))</f>
        <v/>
      </c>
      <c r="O124" s="50" t="str">
        <f t="shared" si="5"/>
        <v/>
      </c>
      <c r="P124" s="178" t="str">
        <f t="shared" si="6"/>
        <v/>
      </c>
      <c r="Q124" s="178" t="str">
        <f>IFERROR(__xludf.DUMMYFUNCTION("IF(ISBLANK(B124),"""",IFERROR(IF(OR(AF124=""GPB"",AF124=""ZAR""),IF(AF124=Dashboard!$L$1,AS124,(AS124*GOOGLEFINANCE(""CURRENCY:""&amp;AF124&amp;""""&amp;Dashboard!$L$1&amp;""""))/100),IF(AF124=Dashboard!$L$1,AS124,AS124*GOOGLEFINANCE(""CURRENCY:""&amp;AF124&amp;""""&amp;Dashboard!$L"&amp;"$1&amp;""""))),AS124))"),"")</f>
        <v/>
      </c>
      <c r="R124" s="178" t="str">
        <f t="shared" si="7"/>
        <v/>
      </c>
      <c r="S124" s="50" t="str">
        <f>IFERROR(__xludf.DUMMYFUNCTION("IF(ISBLANK(B124),"""",IFERROR((GOOGLEFINANCE(B124,""price"")/INDEX(GOOGLEFINANCE(B124,""price"",DATEVALUE(TODAY()-$S$2) ),2,2)-1),""""))"),"")</f>
        <v/>
      </c>
      <c r="U124" s="50" t="str">
        <f>IFERROR(__xludf.DUMMYFUNCTION("IF(ISBLANK(B124),"""",IFERROR((GOOGLEFINANCE($U$2,""price"")/INDEX(GOOGLEFINANCE($U$2,""price"",DATEVALUE(TODAY()-$S$2) ),2,2)-1),""""))"),"")</f>
        <v/>
      </c>
      <c r="W124" s="50" t="str">
        <f t="shared" si="8"/>
        <v/>
      </c>
      <c r="X124" s="50" t="str">
        <f t="shared" si="9"/>
        <v/>
      </c>
      <c r="Y124" s="50"/>
      <c r="Z124" s="50" t="str">
        <f t="shared" si="10"/>
        <v/>
      </c>
      <c r="AA124" s="14" t="str">
        <f t="shared" si="11"/>
        <v/>
      </c>
      <c r="AB124" s="50" t="str">
        <f t="shared" si="12"/>
        <v/>
      </c>
      <c r="AC124" s="179" t="str">
        <f t="shared" si="13"/>
        <v/>
      </c>
      <c r="AD124" s="50" t="str">
        <f t="shared" si="14"/>
        <v/>
      </c>
      <c r="AE124" s="180" t="str">
        <f t="shared" si="15"/>
        <v/>
      </c>
      <c r="AF124" s="14" t="str">
        <f t="array" ref="AF124">IFERROR(IF(ISBLANK(AH124),"",IF(VLOOKUP(AH124,Transactions!D:F,3,0)="Stablecoin",AH124,INDEX(Transactions!$B$3:$B149,MATCH(AH124,Transactions!$D$3:$D149,0),0))))</f>
        <v/>
      </c>
      <c r="AG124" s="14" t="str">
        <f>IF(ISBLANK(AH124),"",VLOOKUP(AH124,Transactions!D:E,2,0))</f>
        <v/>
      </c>
      <c r="AH124" s="14"/>
      <c r="AI124" s="146" t="str">
        <f>IF(ISBLANK(AH124),"",IF(
SUMIFS(Transactions!$I$3:$I149,Transactions!$H$3:$H149,"Buy",Transactions!$F$3:$F149,"Stock",Transactions!$D$3:$D149,AH124)
+SUMIFS(Transactions!$I$3:$I149,Transactions!$H$3:$H149,"DRIP",Transactions!$F$3:$F149,"Stock",Transactions!$D$3:$D149,AH124)
+SUMIFS(Transactions!$I$3:$I149,Transactions!$H$3:$H149,"Transfer Deposit",Transactions!$F$3:$F149,"Stock",Transactions!$D$3:$D149,AH124)
+SUMIFS(Transactions!$I$3:$I149,Transactions!$H$3:$H149,"Buy",Transactions!$F$3:$F149,"ETF",Transactions!$D$3:$D149,AH124)
+SUMIFS(Transactions!$I$3:$I149,Transactions!$H$3:$H149,"DRIP",Transactions!$F$3:$F149,"ETF",Transactions!$D$3:$D149,AH124)
+SUMIFS(Transactions!$I$3:$I149,Transactions!$H$3:$H149,"Transfer Deposit",Transactions!$F$3:$F149,"ETF",Transactions!$D$3:$D149,AH124)
+SUMIFS(Transactions!$I$3:$I149,Transactions!$H$3:$H149,"Buy",Transactions!$F$3:$F149,"Commodity",Transactions!$D$3:$D149,AH124)
+SUMIFS(Transactions!$I$3:$I149,Transactions!$H$3:$H149,"DRIP",Transactions!$F$3:$F149,"Commodity",Transactions!$D$3:$D149,AH124)
+SUMIFS(Transactions!$I$3:$I149,Transactions!$H$3:$H149,"Transfer Deposit",Transactions!$F$3:$F149,"Commodity",Transactions!$D$3:$D149,AH124)
+SUMIFS(Transactions!$I$3:$I149,Transactions!$H$3:$H149,"Buy",Transactions!$F$3:$F149,"Managed Fund",Transactions!$D$3:$D149,AH124)
+SUMIFS(Transactions!$I$3:$I149,Transactions!$H$3:$H149,"DRIP",Transactions!$F$3:$F149,"Managed Fund",Transactions!$D$3:$D149,AH124)
+SUMIFS(Transactions!$I$3:$I149,Transactions!$H$3:$H149,"Transfer Deposit",Transactions!$F$3:$F149,"Managed Fund",Transactions!$D$3:$D149,AH124)
+SUMIFS(Transactions!$I$3:$I149,Transactions!$H$3:$H149,"Buy",Transactions!$F$3:$F149,"REIT",Transactions!$D$3:$D149,AH124)
+SUMIFS(Transactions!$I$3:$I149,Transactions!$H$3:$H149,"DRIP",Transactions!$F$3:$F149,"REIT",Transactions!$D$3:$D149,AH124)
+SUMIFS(Transactions!$I$3:$I149,Transactions!$H$3:$H149,"Transfer Deposit",Transactions!$F$3:$F149,"REIT",Transactions!$D$3:$D149,AH124)
-SUMIFS(Transactions!$I$3:$I149,Transactions!$H$3:$H149,"Sell",Transactions!$F$3:$F149,"Stock",Transactions!$D$3:$D149,AH124)
-SUMIFS(Transactions!$I$3:$I149,Transactions!$H$3:$H149,"Transfer Send",Transactions!$F$3:$F149,"Stock",Transactions!$D$3:$D149,AH124)
-SUMIFS(Transactions!$I$3:$I149,Transactions!$H$3:$H149,"Sell",Transactions!$F$3:$F149,"ETF",Transactions!$D$3:$D149,AH124)
-SUMIFS(Transactions!$I$3:$I149,Transactions!$H$3:$H149,"Transfer Send",Transactions!$F$3:$F149,"ETF",Transactions!$D$3:$D149,AH124)
-SUMIFS(Transactions!$I$3:$I149,Transactions!$H$3:$H149,"Sell",Transactions!$F$3:$F149,"Commodity",Transactions!$D$3:$D149,AH124)
-SUMIFS(Transactions!$I$3:$I149,Transactions!$H$3:$H149,"Transfer Send",Transactions!$F$3:$F149,"Commodity",Transactions!$D$3:$D149,AH124)
-SUMIFS(Transactions!$I$3:$I149,Transactions!$H$3:$H149,"Sell",Transactions!$F$3:$F149,"Managed Fund",Transactions!$D$3:$D149,AH124)
-SUMIFS(Transactions!$I$3:$I149,Transactions!$H$3:$H149,"Transfer Send",Transactions!$F$3:$F149,"Managed Fund",Transactions!$D$3:$D149,AH124)
-SUMIFS(Transactions!$I$3:$I149,Transactions!$H$3:$H149,"Sell",Transactions!$F$3:$F149,"REIT",Transactions!$D$3:$D149,AH124)
-SUMIFS(Transactions!$I$3:$I149,Transactions!$H$3:$H149,"Transfer Send",Transactions!$F$3:$F149,"REIT",Transactions!$D$3:$D149,AH124)
+SUMIFS(Transactions!$I$3:$I149,Transactions!$H$3:$H149,"Buy",Transactions!$F$3:$F149,"Crypto",Transactions!$D$3:$D149,AH124)
+SUMIFS(Transactions!$I$3:$I149,Transactions!$H$3:$H149,"Crypto Interest",Transactions!$F$3:$F149,"Crypto",Transactions!$D$3:$D149,AH124)
+SUMIFS(Transactions!$I$3:$I149,Transactions!$H$3:$H149,"Transfer Deposit",Transactions!$F$3:$F149,"Crypto",Transactions!$D$3:$D149,AH124)
-SUMIFS(Transactions!$I$3:$I149,Transactions!$H$3:$H149,"Transfer Send",Transactions!$F$3:$F149,"Crypto",Transactions!$D$3:$D149,AH124)
-SUMIFS(Transactions!$I$3:$I149,Transactions!$H$3:$H149,"Sell",Transactions!$F$3:$F149,"Crypto",Transactions!$D$3:$D149,AH124)
+SUMIFS(Transactions!$I$3:$I149,Transactions!$H$3:$H149,"Buy",Transactions!$F$3:$F149,"Stablecoin",Transactions!$D$3:$D149,AH124)
+SUMIFS(Transactions!$I$3:$I149,Transactions!$H$3:$H149,"Crypto Interest",Transactions!$F$3:$F149,"Stablecoin",Transactions!$D$3:$D149,AH124)
+SUMIFS(Transactions!$I$3:$I149,Transactions!$H$3:$H149,"Transfer Deposit",Transactions!$F$3:$F149,"Stablecoin",Transactions!$D$3:$D149,AH124)
-SUMIFS(Transactions!$I$3:$I149,Transactions!$H$3:$H149,"Transfer Send",Transactions!$F$3:$F149,"Stablecoin",Transactions!$D$3:$D149,AH124)
-SUMIFS(Transactions!$I$3:$I149,Transactions!$H$3:$H149,"Sell",Transactions!$F$3:$F149,"Stablecoin",Transactions!$D$3:$D149,AH124)
-SUMIFS(Transactions!$M$3:$M149,Transactions!$H$3:$H149,"Buy",Transactions!$B$3:$B149,AH124)=0,"Sold All",
SUMIFS(Transactions!$I$3:$I149,Transactions!$H$3:$H149,"Buy",Transactions!$F$3:$F149,"Stock",Transactions!$D$3:$D149,AH124)
+SUMIFS(Transactions!$I$3:$I149,Transactions!$H$3:$H149,"DRIP",Transactions!$F$3:$F149,"Stock",Transactions!$D$3:$D149,AH124)
+SUMIFS(Transactions!$I$3:$I149,Transactions!$H$3:$H149,"Transfer Deposit",Transactions!$F$3:$F149,"Stock",Transactions!$D$3:$D149,AH124)
+SUMIFS(Transactions!$I$3:$I149,Transactions!$H$3:$H149,"Buy",Transactions!$F$3:$F149,"ETF",Transactions!$D$3:$D149,AH124)
+SUMIFS(Transactions!$I$3:$I149,Transactions!$H$3:$H149,"DRIP",Transactions!$F$3:$F149,"ETF",Transactions!$D$3:$D149,AH124)
+SUMIFS(Transactions!$I$3:$I149,Transactions!$H$3:$H149,"Transfer Deposit",Transactions!$F$3:$F149,"ETF",Transactions!$D$3:$D149,AH124)
+SUMIFS(Transactions!$I$3:$I149,Transactions!$H$3:$H149,"Buy",Transactions!$F$3:$F149,"Commodity",Transactions!$D$3:$D149,AH124)
+SUMIFS(Transactions!$I$3:$I149,Transactions!$H$3:$H149,"DRIP",Transactions!$F$3:$F149,"Commodity",Transactions!$D$3:$D149,AH124)
+SUMIFS(Transactions!$I$3:$I149,Transactions!$H$3:$H149,"Transfer Deposit",Transactions!$F$3:$F149,"Commodity",Transactions!$D$3:$D149,AH124)
+SUMIFS(Transactions!$I$3:$I149,Transactions!$H$3:$H149,"Buy",Transactions!$F$3:$F149,"Managed Fund",Transactions!$D$3:$D149,AH124)
+SUMIFS(Transactions!$I$3:$I149,Transactions!$H$3:$H149,"DRIP",Transactions!$F$3:$F149,"Managed Fund",Transactions!$D$3:$D149,AH124)
+SUMIFS(Transactions!$I$3:$I149,Transactions!$H$3:$H149,"Transfer Deposit",Transactions!$F$3:$F149,"Managed Fund",Transactions!$D$3:$D149,AH124)
+SUMIFS(Transactions!$I$3:$I149,Transactions!$H$3:$H149,"Buy",Transactions!$F$3:$F149,"REIT",Transactions!$D$3:$D149,AH124)
+SUMIFS(Transactions!$I$3:$I149,Transactions!$H$3:$H149,"DRIP",Transactions!$F$3:$F149,"REIT",Transactions!$D$3:$D149,AH124)
+SUMIFS(Transactions!$I$3:$I149,Transactions!$H$3:$H149,"Transfer Deposit",Transactions!$F$3:$F149,"REIT",Transactions!$D$3:$D149,AH124)
-SUMIFS(Transactions!$I$3:$I149,Transactions!$H$3:$H149,"Sell",Transactions!$F$3:$F149,"Stock",Transactions!$D$3:$D149,AH124)
-SUMIFS(Transactions!$I$3:$I149,Transactions!$H$3:$H149,"Transfer Send",Transactions!$F$3:$F149,"Stock",Transactions!$D$3:$D149,AH124)
-SUMIFS(Transactions!$I$3:$I149,Transactions!$H$3:$H149,"Sell",Transactions!$F$3:$F149,"ETF",Transactions!$D$3:$D149,AH124)
-SUMIFS(Transactions!$I$3:$I149,Transactions!$H$3:$H149,"Transfer Send",Transactions!$F$3:$F149,"ETF",Transactions!$D$3:$D149,AH124)
-SUMIFS(Transactions!$I$3:$I149,Transactions!$H$3:$H149,"Sell",Transactions!$F$3:$F149,"Commodity",Transactions!$D$3:$D149,AH124)
-SUMIFS(Transactions!$I$3:$I149,Transactions!$H$3:$H149,"Transfer Send",Transactions!$F$3:$F149,"Commodity",Transactions!$D$3:$D149,AH124)
-SUMIFS(Transactions!$I$3:$I149,Transactions!$H$3:$H149,"Sell",Transactions!$F$3:$F149,"Managed Fund",Transactions!$D$3:$D149,AH124)
-SUMIFS(Transactions!$I$3:$I149,Transactions!$H$3:$H149,"Transfer Send",Transactions!$F$3:$F149,"Managed Fund",Transactions!$D$3:$D149,AH124)
-SUMIFS(Transactions!$I$3:$I149,Transactions!$H$3:$H149,"Sell",Transactions!$F$3:$F149,"REIT",Transactions!$D$3:$D149,AH124)
-SUMIFS(Transactions!$I$3:$I149,Transactions!$H$3:$H149,"Transfer Send",Transactions!$F$3:$F149,"REIT",Transactions!$D$3:$D149,AH124)
+SUMIFS(Transactions!$I$3:$I149,Transactions!$H$3:$H149,"Buy",Transactions!$F$3:$F149,"Crypto",Transactions!$D$3:$D149,AH124)
+SUMIFS(Transactions!$I$3:$I149,Transactions!$H$3:$H149,"Crypto Interest",Transactions!$F$3:$F149,"Crypto",Transactions!$D$3:$D149,AH124)
+SUMIFS(Transactions!$I$3:$I149,Transactions!$H$3:$H149,"Transfer Deposit",Transactions!$F$3:$F149,"Crypto",Transactions!$D$3:$D149,AH124)
-SUMIFS(Transactions!$I$3:$I149,Transactions!$H$3:$H149,"Transfer Send",Transactions!$F$3:$F149,"Crypto",Transactions!$D$3:$D149,AH124)
-SUMIFS(Transactions!$I$3:$I149,Transactions!$H$3:$H149,"Sell",Transactions!$F$3:$F149,"Crypto",Transactions!$D$3:$D149,AH124)
+SUMIFS(Transactions!$I$3:$I149,Transactions!$H$3:$H149,"Buy",Transactions!$F$3:$F149,"Stablecoin",Transactions!$D$3:$D149,AH124)
+SUMIFS(Transactions!$I$3:$I149,Transactions!$H$3:$H149,"Crypto Interest",Transactions!$F$3:$F149,"Stablecoin",Transactions!$D$3:$D149,AH124)
+SUMIFS(Transactions!$I$3:$I149,Transactions!$H$3:$H149,"Transfer Deposit",Transactions!$F$3:$F149,"Stablecoin",Transactions!$D$3:$D149,AH124)
-SUMIFS(Transactions!$I$3:$I149,Transactions!$H$3:$H149,"Transfer Send",Transactions!$F$3:$F149,"Stablecoin",Transactions!$D$3:$D149,AH124)
-SUMIFS(Transactions!$I$3:$I149,Transactions!$H$3:$H149,"Sell",Transactions!$F$3:$F149,"Stablecoin",Transactions!$D$3:$D149,AH124)
-SUMIFS(Transactions!$M$3:$M149,Transactions!$H$3:$H149,"Buy",Transactions!$B$3:$B149,AH124)))</f>
        <v/>
      </c>
      <c r="AJ124" s="181" t="str">
        <f>IFERROR(__xludf.DUMMYFUNCTION("IF(ISBLANK(AH124),"""",VLOOKUP(9^99,FILTER({ROW(Transactions!P:P),Transactions!P:P},Transactions!D:D=AH124),2))"),"")</f>
        <v/>
      </c>
      <c r="AK124" s="181" t="str">
        <f>IFERROR(__xludf.DUMMYFUNCTION("IF(ISBLANK(AH124),"""",IFERROR(GOOGLEFINANCE(AH124,""price""),IFERROR(GOOGLEFINANCE(""CURRENCY:""&amp;AH124&amp;""""),IFERROR(INDEX(YAHOO_STOCK(TRIM(AH124), $G$2),0,1),INDEX(IMPORTHTML(CONCAT(""https://coinmarketcap.com/currencies/"",AG124),""table"",1),1,2)))))"),"")</f>
        <v/>
      </c>
      <c r="AL124" s="14" t="str">
        <f>IFERROR(__xludf.DUMMYFUNCTION("IF(ISBLANK(AH124),"""",IFERROR(SPARKLINE(INDEX(GOOGLEFINANCE(AH124,""price"",TODAY()-$AL$2,TODAY()),,2),{""charttype"",""column"";""color"",""17a7e0""}),""""))"),"")</f>
        <v/>
      </c>
      <c r="AM124" s="50" t="str">
        <f>IFERROR(__xludf.DUMMYFUNCTION("IFNA(IFERROR(IF(AH124="""","""",GOOGLEFINANCE(AH124,""changepct"")/100),(GOOGLEFINANCE(AH124)-(INDEX(GOOGLEFINANCE(""CURRENCY:""&amp;AH124&amp;"""",""price"",TODAY()-1),2,2)))/(INDEX(GOOGLEFINANCE(""CURRENCY:""&amp;AH124&amp;"""",""price"",TODAY()-1),2,2))),)"),"")</f>
        <v/>
      </c>
      <c r="AN124" s="96" t="str">
        <f>IFERROR(__xludf.DUMMYFUNCTION("IFNA(IFERROR(IF(AH124="""","""",GOOGLEFINANCE(AH124,""change"")*AI124),(GOOGLEFINANCE(AH124)-(INDEX(GOOGLEFINANCE(""CURRENCY:""&amp;AH124&amp;"""",""price"",TODAY()-1),2,2)))*AI124),"""")"),"")</f>
        <v/>
      </c>
      <c r="AO124" s="96" t="str">
        <f>IF(ISBLANK(AH124),"",IFERROR(((AI124-SUMIFS(Transactions!I:I,Transactions!H:H,"Crypto Interest",Transactions!D:D,AH124))*AJ124),""))</f>
        <v/>
      </c>
      <c r="AP124" s="96" t="str">
        <f t="shared" si="16"/>
        <v/>
      </c>
      <c r="AQ124" s="50" t="str">
        <f t="shared" si="17"/>
        <v/>
      </c>
      <c r="AR124" s="96" t="str">
        <f t="shared" si="18"/>
        <v/>
      </c>
      <c r="AS124" s="96" t="str">
        <f>IF(ISBLANK(AH124),"",SUMIFS(Transactions!$X$3:$X149,Transactions!$H$3:$H149,"Sell",Transactions!$D$3:$D149,AH124))</f>
        <v/>
      </c>
      <c r="AT124" s="96" t="str">
        <f t="shared" si="19"/>
        <v/>
      </c>
      <c r="AU124" s="50" t="str">
        <f>IFERROR(__xludf.DUMMYFUNCTION("IF(ISBLANK(AH124),"""",IFERROR((GOOGLEFINANCE(AH124,""price"")/INDEX(GOOGLEFINANCE(AH124,""price"",DATEVALUE(TODAY()-$AU$2) ),2,2)-1),""""))"),"")</f>
        <v/>
      </c>
      <c r="AW124" s="50" t="str">
        <f>IFERROR(__xludf.DUMMYFUNCTION("IF(ISBLANK(AH124),"""",IFERROR((GOOGLEFINANCE($AW$2,""price"")/INDEX(GOOGLEFINANCE($AW$2,""price"",DATEVALUE(TODAY()-$AU$2) ),2,2)-1),""""))"),"")</f>
        <v/>
      </c>
      <c r="AY124" s="50" t="str">
        <f t="shared" si="20"/>
        <v/>
      </c>
      <c r="AZ124" s="50" t="str">
        <f t="shared" si="21"/>
        <v/>
      </c>
      <c r="BA124" s="50" t="str">
        <f t="shared" si="22"/>
        <v/>
      </c>
      <c r="BB124" s="14" t="str">
        <f t="shared" si="23"/>
        <v/>
      </c>
      <c r="BC124" s="14" t="str">
        <f>IF(ISBLANK(AH124),"",IFERROR(VLOOKUP(AH124,Transactions!D:F,3,0)))</f>
        <v/>
      </c>
      <c r="BD124" s="50" t="str">
        <f t="shared" si="24"/>
        <v/>
      </c>
      <c r="BE124" s="50" t="str">
        <f t="shared" si="25"/>
        <v/>
      </c>
      <c r="BF124" s="14" t="str">
        <f t="shared" si="26"/>
        <v/>
      </c>
      <c r="BG124" s="180" t="str">
        <f>IF(ISBLANK(AH124),"",IFERROR(VLOOKUP(AH124,Transactions!D:G,4,0)))</f>
        <v/>
      </c>
    </row>
    <row r="125">
      <c r="A125" s="14" t="str">
        <f t="shared" ref="A125:C125" si="148">AG125</f>
        <v/>
      </c>
      <c r="B125" s="14" t="str">
        <f t="shared" si="148"/>
        <v/>
      </c>
      <c r="C125" s="175" t="str">
        <f t="shared" si="148"/>
        <v/>
      </c>
      <c r="D125" s="176" t="str">
        <f>IFERROR(__xludf.DUMMYFUNCTION("IF(ISBLANK(B125),"""",IFERROR(IF(OR(AF125=""GPB"",AF125=""ZAR""),IF(AF125=Dashboard!$L$1,AJ125,(AJ125*GOOGLEFINANCE(""CURRENCY:""&amp;AF125&amp;""""&amp;Dashboard!$L$1&amp;""""))/100),IF(AF125=Dashboard!$L$1,AJ125,AJ125*GOOGLEFINANCE(""CURRENCY:""&amp;AF125&amp;""""&amp;Dashboard!$L"&amp;"$1&amp;""""))),AJ125))"),"")</f>
        <v/>
      </c>
      <c r="E125" s="177" t="str">
        <f>IFERROR(__xludf.DUMMYFUNCTION("IFERROR(IF(OR(AF125=""GBP"",AF125=""ZAR""),IF(B125="""","""",IF(AF125=Dashboard!$L$1,AK125,AK125*GOOGLEFINANCE(""CURRENCY:""&amp;AF125&amp;""""&amp;Dashboard!$L$1&amp;"""")))/100,If(B125="""","""",IF(AF125=Dashboard!$L$1,AK125,AK125*GOOGLEFINANCE(""CURRENCY:""&amp;AF125&amp;"""""&amp;"&amp;Dashboard!$L$1&amp;"""")))),AK125)"),"")</f>
        <v/>
      </c>
      <c r="F125" s="145" t="str">
        <f t="shared" si="65"/>
        <v/>
      </c>
      <c r="G125" s="96" t="str">
        <f>IFERROR(__xludf.DUMMYFUNCTION("IF(ISBLANK(B125),"""",IFERROR(SPARKLINE(INDEX(GOOGLEFINANCE(B125,""price"",TODAY()-$G$2,TODAY()),,2),{""charttype"",""column"";""color"",""17a7e0""}),""""))"),"")</f>
        <v/>
      </c>
      <c r="H125" s="50" t="str">
        <f t="shared" si="3"/>
        <v/>
      </c>
      <c r="I125" s="96" t="str">
        <f>IFERROR(__xludf.DUMMYFUNCTION("IF(ISBLANK(B125),"""",IFERROR(IF(OR(AF125=""GPB"",AF125=""ZAR""),IF(AF125=Dashboard!$L$1,AN125,(AN125*GOOGLEFINANCE(""CURRENCY:""&amp;AF125&amp;""""&amp;Dashboard!$L$1&amp;""""))/100),IF(AF125=Dashboard!$L$1,AN125,AN125*GOOGLEFINANCE(""CURRENCY:""&amp;AF125&amp;""""&amp;Dashboard!$L"&amp;"$1&amp;""""))),AN125))"),"")</f>
        <v/>
      </c>
      <c r="J125" s="178" t="str">
        <f>IF(ISBLANK(B125),"",IFERROR(((C125-SUMIFS(Transactions!I:I,Transactions!H:H,"Crypto Interest",Transactions!D:D,B125))*D125),""))</f>
        <v/>
      </c>
      <c r="K125" s="178" t="str">
        <f t="shared" si="4"/>
        <v/>
      </c>
      <c r="L125" s="145">
        <f>IF(ISBLANK(AF125),"",SUMIFS(Transactions!$M$3:$M149,Transactions!$H$3:$H149,"Buy",Transactions!$D$3:$D149,AF125))</f>
        <v>0</v>
      </c>
      <c r="M125" s="145">
        <f>IF(ISBLANK(AG125),"",SUMIFS(Transactions!$M$3:$M149,Transactions!$H$3:$H149,"Dividend",Transactions!$D$3:$D149,AG125))</f>
        <v>0</v>
      </c>
      <c r="N125" s="145" t="str">
        <f>IF(ISBLANK(AH125),"",SUMIFS(Transactions!$M$3:$M149,Transactions!$H$3:$H149,"Sell",Transactions!$D$3:$D149,AH125))</f>
        <v/>
      </c>
      <c r="O125" s="50" t="str">
        <f t="shared" si="5"/>
        <v/>
      </c>
      <c r="P125" s="178" t="str">
        <f t="shared" si="6"/>
        <v/>
      </c>
      <c r="Q125" s="178" t="str">
        <f>IFERROR(__xludf.DUMMYFUNCTION("IF(ISBLANK(B125),"""",IFERROR(IF(OR(AF125=""GPB"",AF125=""ZAR""),IF(AF125=Dashboard!$L$1,AS125,(AS125*GOOGLEFINANCE(""CURRENCY:""&amp;AF125&amp;""""&amp;Dashboard!$L$1&amp;""""))/100),IF(AF125=Dashboard!$L$1,AS125,AS125*GOOGLEFINANCE(""CURRENCY:""&amp;AF125&amp;""""&amp;Dashboard!$L"&amp;"$1&amp;""""))),AS125))"),"")</f>
        <v/>
      </c>
      <c r="R125" s="178" t="str">
        <f t="shared" si="7"/>
        <v/>
      </c>
      <c r="S125" s="50" t="str">
        <f>IFERROR(__xludf.DUMMYFUNCTION("IF(ISBLANK(B125),"""",IFERROR((GOOGLEFINANCE(B125,""price"")/INDEX(GOOGLEFINANCE(B125,""price"",DATEVALUE(TODAY()-$S$2) ),2,2)-1),""""))"),"")</f>
        <v/>
      </c>
      <c r="U125" s="50" t="str">
        <f>IFERROR(__xludf.DUMMYFUNCTION("IF(ISBLANK(B125),"""",IFERROR((GOOGLEFINANCE($U$2,""price"")/INDEX(GOOGLEFINANCE($U$2,""price"",DATEVALUE(TODAY()-$S$2) ),2,2)-1),""""))"),"")</f>
        <v/>
      </c>
      <c r="W125" s="50" t="str">
        <f t="shared" si="8"/>
        <v/>
      </c>
      <c r="X125" s="50" t="str">
        <f t="shared" si="9"/>
        <v/>
      </c>
      <c r="Y125" s="50"/>
      <c r="Z125" s="50" t="str">
        <f t="shared" si="10"/>
        <v/>
      </c>
      <c r="AA125" s="14" t="str">
        <f t="shared" si="11"/>
        <v/>
      </c>
      <c r="AB125" s="50" t="str">
        <f t="shared" si="12"/>
        <v/>
      </c>
      <c r="AC125" s="179" t="str">
        <f t="shared" si="13"/>
        <v/>
      </c>
      <c r="AD125" s="50" t="str">
        <f t="shared" si="14"/>
        <v/>
      </c>
      <c r="AE125" s="180" t="str">
        <f t="shared" si="15"/>
        <v/>
      </c>
      <c r="AF125" s="14" t="str">
        <f t="array" ref="AF125">IFERROR(IF(ISBLANK(AH125),"",IF(VLOOKUP(AH125,Transactions!D:F,3,0)="Stablecoin",AH125,INDEX(Transactions!$B$3:$B149,MATCH(AH125,Transactions!$D$3:$D149,0),0))))</f>
        <v/>
      </c>
      <c r="AG125" s="14" t="str">
        <f>IF(ISBLANK(AH125),"",VLOOKUP(AH125,Transactions!D:E,2,0))</f>
        <v/>
      </c>
      <c r="AH125" s="14"/>
      <c r="AI125" s="146" t="str">
        <f>IF(ISBLANK(AH125),"",IF(
SUMIFS(Transactions!$I$3:$I149,Transactions!$H$3:$H149,"Buy",Transactions!$F$3:$F149,"Stock",Transactions!$D$3:$D149,AH125)
+SUMIFS(Transactions!$I$3:$I149,Transactions!$H$3:$H149,"DRIP",Transactions!$F$3:$F149,"Stock",Transactions!$D$3:$D149,AH125)
+SUMIFS(Transactions!$I$3:$I149,Transactions!$H$3:$H149,"Transfer Deposit",Transactions!$F$3:$F149,"Stock",Transactions!$D$3:$D149,AH125)
+SUMIFS(Transactions!$I$3:$I149,Transactions!$H$3:$H149,"Buy",Transactions!$F$3:$F149,"ETF",Transactions!$D$3:$D149,AH125)
+SUMIFS(Transactions!$I$3:$I149,Transactions!$H$3:$H149,"DRIP",Transactions!$F$3:$F149,"ETF",Transactions!$D$3:$D149,AH125)
+SUMIFS(Transactions!$I$3:$I149,Transactions!$H$3:$H149,"Transfer Deposit",Transactions!$F$3:$F149,"ETF",Transactions!$D$3:$D149,AH125)
+SUMIFS(Transactions!$I$3:$I149,Transactions!$H$3:$H149,"Buy",Transactions!$F$3:$F149,"Commodity",Transactions!$D$3:$D149,AH125)
+SUMIFS(Transactions!$I$3:$I149,Transactions!$H$3:$H149,"DRIP",Transactions!$F$3:$F149,"Commodity",Transactions!$D$3:$D149,AH125)
+SUMIFS(Transactions!$I$3:$I149,Transactions!$H$3:$H149,"Transfer Deposit",Transactions!$F$3:$F149,"Commodity",Transactions!$D$3:$D149,AH125)
+SUMIFS(Transactions!$I$3:$I149,Transactions!$H$3:$H149,"Buy",Transactions!$F$3:$F149,"Managed Fund",Transactions!$D$3:$D149,AH125)
+SUMIFS(Transactions!$I$3:$I149,Transactions!$H$3:$H149,"DRIP",Transactions!$F$3:$F149,"Managed Fund",Transactions!$D$3:$D149,AH125)
+SUMIFS(Transactions!$I$3:$I149,Transactions!$H$3:$H149,"Transfer Deposit",Transactions!$F$3:$F149,"Managed Fund",Transactions!$D$3:$D149,AH125)
+SUMIFS(Transactions!$I$3:$I149,Transactions!$H$3:$H149,"Buy",Transactions!$F$3:$F149,"REIT",Transactions!$D$3:$D149,AH125)
+SUMIFS(Transactions!$I$3:$I149,Transactions!$H$3:$H149,"DRIP",Transactions!$F$3:$F149,"REIT",Transactions!$D$3:$D149,AH125)
+SUMIFS(Transactions!$I$3:$I149,Transactions!$H$3:$H149,"Transfer Deposit",Transactions!$F$3:$F149,"REIT",Transactions!$D$3:$D149,AH125)
-SUMIFS(Transactions!$I$3:$I149,Transactions!$H$3:$H149,"Sell",Transactions!$F$3:$F149,"Stock",Transactions!$D$3:$D149,AH125)
-SUMIFS(Transactions!$I$3:$I149,Transactions!$H$3:$H149,"Transfer Send",Transactions!$F$3:$F149,"Stock",Transactions!$D$3:$D149,AH125)
-SUMIFS(Transactions!$I$3:$I149,Transactions!$H$3:$H149,"Sell",Transactions!$F$3:$F149,"ETF",Transactions!$D$3:$D149,AH125)
-SUMIFS(Transactions!$I$3:$I149,Transactions!$H$3:$H149,"Transfer Send",Transactions!$F$3:$F149,"ETF",Transactions!$D$3:$D149,AH125)
-SUMIFS(Transactions!$I$3:$I149,Transactions!$H$3:$H149,"Sell",Transactions!$F$3:$F149,"Commodity",Transactions!$D$3:$D149,AH125)
-SUMIFS(Transactions!$I$3:$I149,Transactions!$H$3:$H149,"Transfer Send",Transactions!$F$3:$F149,"Commodity",Transactions!$D$3:$D149,AH125)
-SUMIFS(Transactions!$I$3:$I149,Transactions!$H$3:$H149,"Sell",Transactions!$F$3:$F149,"Managed Fund",Transactions!$D$3:$D149,AH125)
-SUMIFS(Transactions!$I$3:$I149,Transactions!$H$3:$H149,"Transfer Send",Transactions!$F$3:$F149,"Managed Fund",Transactions!$D$3:$D149,AH125)
-SUMIFS(Transactions!$I$3:$I149,Transactions!$H$3:$H149,"Sell",Transactions!$F$3:$F149,"REIT",Transactions!$D$3:$D149,AH125)
-SUMIFS(Transactions!$I$3:$I149,Transactions!$H$3:$H149,"Transfer Send",Transactions!$F$3:$F149,"REIT",Transactions!$D$3:$D149,AH125)
+SUMIFS(Transactions!$I$3:$I149,Transactions!$H$3:$H149,"Buy",Transactions!$F$3:$F149,"Crypto",Transactions!$D$3:$D149,AH125)
+SUMIFS(Transactions!$I$3:$I149,Transactions!$H$3:$H149,"Crypto Interest",Transactions!$F$3:$F149,"Crypto",Transactions!$D$3:$D149,AH125)
+SUMIFS(Transactions!$I$3:$I149,Transactions!$H$3:$H149,"Transfer Deposit",Transactions!$F$3:$F149,"Crypto",Transactions!$D$3:$D149,AH125)
-SUMIFS(Transactions!$I$3:$I149,Transactions!$H$3:$H149,"Transfer Send",Transactions!$F$3:$F149,"Crypto",Transactions!$D$3:$D149,AH125)
-SUMIFS(Transactions!$I$3:$I149,Transactions!$H$3:$H149,"Sell",Transactions!$F$3:$F149,"Crypto",Transactions!$D$3:$D149,AH125)
+SUMIFS(Transactions!$I$3:$I149,Transactions!$H$3:$H149,"Buy",Transactions!$F$3:$F149,"Stablecoin",Transactions!$D$3:$D149,AH125)
+SUMIFS(Transactions!$I$3:$I149,Transactions!$H$3:$H149,"Crypto Interest",Transactions!$F$3:$F149,"Stablecoin",Transactions!$D$3:$D149,AH125)
+SUMIFS(Transactions!$I$3:$I149,Transactions!$H$3:$H149,"Transfer Deposit",Transactions!$F$3:$F149,"Stablecoin",Transactions!$D$3:$D149,AH125)
-SUMIFS(Transactions!$I$3:$I149,Transactions!$H$3:$H149,"Transfer Send",Transactions!$F$3:$F149,"Stablecoin",Transactions!$D$3:$D149,AH125)
-SUMIFS(Transactions!$I$3:$I149,Transactions!$H$3:$H149,"Sell",Transactions!$F$3:$F149,"Stablecoin",Transactions!$D$3:$D149,AH125)
-SUMIFS(Transactions!$M$3:$M149,Transactions!$H$3:$H149,"Buy",Transactions!$B$3:$B149,AH125)=0,"Sold All",
SUMIFS(Transactions!$I$3:$I149,Transactions!$H$3:$H149,"Buy",Transactions!$F$3:$F149,"Stock",Transactions!$D$3:$D149,AH125)
+SUMIFS(Transactions!$I$3:$I149,Transactions!$H$3:$H149,"DRIP",Transactions!$F$3:$F149,"Stock",Transactions!$D$3:$D149,AH125)
+SUMIFS(Transactions!$I$3:$I149,Transactions!$H$3:$H149,"Transfer Deposit",Transactions!$F$3:$F149,"Stock",Transactions!$D$3:$D149,AH125)
+SUMIFS(Transactions!$I$3:$I149,Transactions!$H$3:$H149,"Buy",Transactions!$F$3:$F149,"ETF",Transactions!$D$3:$D149,AH125)
+SUMIFS(Transactions!$I$3:$I149,Transactions!$H$3:$H149,"DRIP",Transactions!$F$3:$F149,"ETF",Transactions!$D$3:$D149,AH125)
+SUMIFS(Transactions!$I$3:$I149,Transactions!$H$3:$H149,"Transfer Deposit",Transactions!$F$3:$F149,"ETF",Transactions!$D$3:$D149,AH125)
+SUMIFS(Transactions!$I$3:$I149,Transactions!$H$3:$H149,"Buy",Transactions!$F$3:$F149,"Commodity",Transactions!$D$3:$D149,AH125)
+SUMIFS(Transactions!$I$3:$I149,Transactions!$H$3:$H149,"DRIP",Transactions!$F$3:$F149,"Commodity",Transactions!$D$3:$D149,AH125)
+SUMIFS(Transactions!$I$3:$I149,Transactions!$H$3:$H149,"Transfer Deposit",Transactions!$F$3:$F149,"Commodity",Transactions!$D$3:$D149,AH125)
+SUMIFS(Transactions!$I$3:$I149,Transactions!$H$3:$H149,"Buy",Transactions!$F$3:$F149,"Managed Fund",Transactions!$D$3:$D149,AH125)
+SUMIFS(Transactions!$I$3:$I149,Transactions!$H$3:$H149,"DRIP",Transactions!$F$3:$F149,"Managed Fund",Transactions!$D$3:$D149,AH125)
+SUMIFS(Transactions!$I$3:$I149,Transactions!$H$3:$H149,"Transfer Deposit",Transactions!$F$3:$F149,"Managed Fund",Transactions!$D$3:$D149,AH125)
+SUMIFS(Transactions!$I$3:$I149,Transactions!$H$3:$H149,"Buy",Transactions!$F$3:$F149,"REIT",Transactions!$D$3:$D149,AH125)
+SUMIFS(Transactions!$I$3:$I149,Transactions!$H$3:$H149,"DRIP",Transactions!$F$3:$F149,"REIT",Transactions!$D$3:$D149,AH125)
+SUMIFS(Transactions!$I$3:$I149,Transactions!$H$3:$H149,"Transfer Deposit",Transactions!$F$3:$F149,"REIT",Transactions!$D$3:$D149,AH125)
-SUMIFS(Transactions!$I$3:$I149,Transactions!$H$3:$H149,"Sell",Transactions!$F$3:$F149,"Stock",Transactions!$D$3:$D149,AH125)
-SUMIFS(Transactions!$I$3:$I149,Transactions!$H$3:$H149,"Transfer Send",Transactions!$F$3:$F149,"Stock",Transactions!$D$3:$D149,AH125)
-SUMIFS(Transactions!$I$3:$I149,Transactions!$H$3:$H149,"Sell",Transactions!$F$3:$F149,"ETF",Transactions!$D$3:$D149,AH125)
-SUMIFS(Transactions!$I$3:$I149,Transactions!$H$3:$H149,"Transfer Send",Transactions!$F$3:$F149,"ETF",Transactions!$D$3:$D149,AH125)
-SUMIFS(Transactions!$I$3:$I149,Transactions!$H$3:$H149,"Sell",Transactions!$F$3:$F149,"Commodity",Transactions!$D$3:$D149,AH125)
-SUMIFS(Transactions!$I$3:$I149,Transactions!$H$3:$H149,"Transfer Send",Transactions!$F$3:$F149,"Commodity",Transactions!$D$3:$D149,AH125)
-SUMIFS(Transactions!$I$3:$I149,Transactions!$H$3:$H149,"Sell",Transactions!$F$3:$F149,"Managed Fund",Transactions!$D$3:$D149,AH125)
-SUMIFS(Transactions!$I$3:$I149,Transactions!$H$3:$H149,"Transfer Send",Transactions!$F$3:$F149,"Managed Fund",Transactions!$D$3:$D149,AH125)
-SUMIFS(Transactions!$I$3:$I149,Transactions!$H$3:$H149,"Sell",Transactions!$F$3:$F149,"REIT",Transactions!$D$3:$D149,AH125)
-SUMIFS(Transactions!$I$3:$I149,Transactions!$H$3:$H149,"Transfer Send",Transactions!$F$3:$F149,"REIT",Transactions!$D$3:$D149,AH125)
+SUMIFS(Transactions!$I$3:$I149,Transactions!$H$3:$H149,"Buy",Transactions!$F$3:$F149,"Crypto",Transactions!$D$3:$D149,AH125)
+SUMIFS(Transactions!$I$3:$I149,Transactions!$H$3:$H149,"Crypto Interest",Transactions!$F$3:$F149,"Crypto",Transactions!$D$3:$D149,AH125)
+SUMIFS(Transactions!$I$3:$I149,Transactions!$H$3:$H149,"Transfer Deposit",Transactions!$F$3:$F149,"Crypto",Transactions!$D$3:$D149,AH125)
-SUMIFS(Transactions!$I$3:$I149,Transactions!$H$3:$H149,"Transfer Send",Transactions!$F$3:$F149,"Crypto",Transactions!$D$3:$D149,AH125)
-SUMIFS(Transactions!$I$3:$I149,Transactions!$H$3:$H149,"Sell",Transactions!$F$3:$F149,"Crypto",Transactions!$D$3:$D149,AH125)
+SUMIFS(Transactions!$I$3:$I149,Transactions!$H$3:$H149,"Buy",Transactions!$F$3:$F149,"Stablecoin",Transactions!$D$3:$D149,AH125)
+SUMIFS(Transactions!$I$3:$I149,Transactions!$H$3:$H149,"Crypto Interest",Transactions!$F$3:$F149,"Stablecoin",Transactions!$D$3:$D149,AH125)
+SUMIFS(Transactions!$I$3:$I149,Transactions!$H$3:$H149,"Transfer Deposit",Transactions!$F$3:$F149,"Stablecoin",Transactions!$D$3:$D149,AH125)
-SUMIFS(Transactions!$I$3:$I149,Transactions!$H$3:$H149,"Transfer Send",Transactions!$F$3:$F149,"Stablecoin",Transactions!$D$3:$D149,AH125)
-SUMIFS(Transactions!$I$3:$I149,Transactions!$H$3:$H149,"Sell",Transactions!$F$3:$F149,"Stablecoin",Transactions!$D$3:$D149,AH125)
-SUMIFS(Transactions!$M$3:$M149,Transactions!$H$3:$H149,"Buy",Transactions!$B$3:$B149,AH125)))</f>
        <v/>
      </c>
      <c r="AJ125" s="181" t="str">
        <f>IFERROR(__xludf.DUMMYFUNCTION("IF(ISBLANK(AH125),"""",VLOOKUP(9^99,FILTER({ROW(Transactions!P:P),Transactions!P:P},Transactions!D:D=AH125),2))"),"")</f>
        <v/>
      </c>
      <c r="AK125" s="181" t="str">
        <f>IFERROR(__xludf.DUMMYFUNCTION("IF(ISBLANK(AH125),"""",IFERROR(GOOGLEFINANCE(AH125,""price""),IFERROR(GOOGLEFINANCE(""CURRENCY:""&amp;AH125&amp;""""),IFERROR(INDEX(YAHOO_STOCK(TRIM(AH125), $G$2),0,1),INDEX(IMPORTHTML(CONCAT(""https://coinmarketcap.com/currencies/"",AG125),""table"",1),1,2)))))"),"")</f>
        <v/>
      </c>
      <c r="AL125" s="14" t="str">
        <f>IFERROR(__xludf.DUMMYFUNCTION("IF(ISBLANK(AH125),"""",IFERROR(SPARKLINE(INDEX(GOOGLEFINANCE(AH125,""price"",TODAY()-$AL$2,TODAY()),,2),{""charttype"",""column"";""color"",""17a7e0""}),""""))"),"")</f>
        <v/>
      </c>
      <c r="AM125" s="50" t="str">
        <f>IFERROR(__xludf.DUMMYFUNCTION("IFNA(IFERROR(IF(AH125="""","""",GOOGLEFINANCE(AH125,""changepct"")/100),(GOOGLEFINANCE(AH125)-(INDEX(GOOGLEFINANCE(""CURRENCY:""&amp;AH125&amp;"""",""price"",TODAY()-1),2,2)))/(INDEX(GOOGLEFINANCE(""CURRENCY:""&amp;AH125&amp;"""",""price"",TODAY()-1),2,2))),)"),"")</f>
        <v/>
      </c>
      <c r="AN125" s="96" t="str">
        <f>IFERROR(__xludf.DUMMYFUNCTION("IFNA(IFERROR(IF(AH125="""","""",GOOGLEFINANCE(AH125,""change"")*AI125),(GOOGLEFINANCE(AH125)-(INDEX(GOOGLEFINANCE(""CURRENCY:""&amp;AH125&amp;"""",""price"",TODAY()-1),2,2)))*AI125),"""")"),"")</f>
        <v/>
      </c>
      <c r="AO125" s="96" t="str">
        <f>IF(ISBLANK(AH125),"",IFERROR(((AI125-SUMIFS(Transactions!I:I,Transactions!H:H,"Crypto Interest",Transactions!D:D,AH125))*AJ125),""))</f>
        <v/>
      </c>
      <c r="AP125" s="96" t="str">
        <f t="shared" si="16"/>
        <v/>
      </c>
      <c r="AQ125" s="50" t="str">
        <f t="shared" si="17"/>
        <v/>
      </c>
      <c r="AR125" s="96" t="str">
        <f t="shared" si="18"/>
        <v/>
      </c>
      <c r="AS125" s="96" t="str">
        <f>IF(ISBLANK(AH125),"",SUMIFS(Transactions!$X$3:$X149,Transactions!$H$3:$H149,"Sell",Transactions!$D$3:$D149,AH125))</f>
        <v/>
      </c>
      <c r="AT125" s="96" t="str">
        <f t="shared" si="19"/>
        <v/>
      </c>
      <c r="AU125" s="50" t="str">
        <f>IFERROR(__xludf.DUMMYFUNCTION("IF(ISBLANK(AH125),"""",IFERROR((GOOGLEFINANCE(AH125,""price"")/INDEX(GOOGLEFINANCE(AH125,""price"",DATEVALUE(TODAY()-$AU$2) ),2,2)-1),""""))"),"")</f>
        <v/>
      </c>
      <c r="AW125" s="50" t="str">
        <f>IFERROR(__xludf.DUMMYFUNCTION("IF(ISBLANK(AH125),"""",IFERROR((GOOGLEFINANCE($AW$2,""price"")/INDEX(GOOGLEFINANCE($AW$2,""price"",DATEVALUE(TODAY()-$AU$2) ),2,2)-1),""""))"),"")</f>
        <v/>
      </c>
      <c r="AY125" s="50" t="str">
        <f t="shared" si="20"/>
        <v/>
      </c>
      <c r="AZ125" s="50" t="str">
        <f t="shared" si="21"/>
        <v/>
      </c>
      <c r="BA125" s="50" t="str">
        <f t="shared" si="22"/>
        <v/>
      </c>
      <c r="BB125" s="14" t="str">
        <f t="shared" si="23"/>
        <v/>
      </c>
      <c r="BC125" s="14" t="str">
        <f>IF(ISBLANK(AH125),"",IFERROR(VLOOKUP(AH125,Transactions!D:F,3,0)))</f>
        <v/>
      </c>
      <c r="BD125" s="50" t="str">
        <f t="shared" si="24"/>
        <v/>
      </c>
      <c r="BE125" s="50" t="str">
        <f t="shared" si="25"/>
        <v/>
      </c>
      <c r="BF125" s="14" t="str">
        <f t="shared" si="26"/>
        <v/>
      </c>
      <c r="BG125" s="180" t="str">
        <f>IF(ISBLANK(AH125),"",IFERROR(VLOOKUP(AH125,Transactions!D:G,4,0)))</f>
        <v/>
      </c>
    </row>
    <row r="126">
      <c r="A126" s="14" t="str">
        <f t="shared" ref="A126:C126" si="149">AG126</f>
        <v/>
      </c>
      <c r="B126" s="14" t="str">
        <f t="shared" si="149"/>
        <v/>
      </c>
      <c r="C126" s="175" t="str">
        <f t="shared" si="149"/>
        <v/>
      </c>
      <c r="D126" s="176" t="str">
        <f>IFERROR(__xludf.DUMMYFUNCTION("IF(ISBLANK(B126),"""",IFERROR(IF(OR(AF126=""GPB"",AF126=""ZAR""),IF(AF126=Dashboard!$L$1,AJ126,(AJ126*GOOGLEFINANCE(""CURRENCY:""&amp;AF126&amp;""""&amp;Dashboard!$L$1&amp;""""))/100),IF(AF126=Dashboard!$L$1,AJ126,AJ126*GOOGLEFINANCE(""CURRENCY:""&amp;AF126&amp;""""&amp;Dashboard!$L"&amp;"$1&amp;""""))),AJ126))"),"")</f>
        <v/>
      </c>
      <c r="E126" s="177" t="str">
        <f>IFERROR(__xludf.DUMMYFUNCTION("IFERROR(IF(OR(AF126=""GBP"",AF126=""ZAR""),IF(B126="""","""",IF(AF126=Dashboard!$L$1,AK126,AK126*GOOGLEFINANCE(""CURRENCY:""&amp;AF126&amp;""""&amp;Dashboard!$L$1&amp;"""")))/100,If(B126="""","""",IF(AF126=Dashboard!$L$1,AK126,AK126*GOOGLEFINANCE(""CURRENCY:""&amp;AF126&amp;"""""&amp;"&amp;Dashboard!$L$1&amp;"""")))),AK126)"),"")</f>
        <v/>
      </c>
      <c r="F126" s="145" t="str">
        <f t="shared" si="65"/>
        <v/>
      </c>
      <c r="G126" s="96" t="str">
        <f>IFERROR(__xludf.DUMMYFUNCTION("IF(ISBLANK(B126),"""",IFERROR(SPARKLINE(INDEX(GOOGLEFINANCE(B126,""price"",TODAY()-$G$2,TODAY()),,2),{""charttype"",""column"";""color"",""17a7e0""}),""""))"),"")</f>
        <v/>
      </c>
      <c r="H126" s="50" t="str">
        <f t="shared" si="3"/>
        <v/>
      </c>
      <c r="I126" s="96" t="str">
        <f>IFERROR(__xludf.DUMMYFUNCTION("IF(ISBLANK(B126),"""",IFERROR(IF(OR(AF126=""GPB"",AF126=""ZAR""),IF(AF126=Dashboard!$L$1,AN126,(AN126*GOOGLEFINANCE(""CURRENCY:""&amp;AF126&amp;""""&amp;Dashboard!$L$1&amp;""""))/100),IF(AF126=Dashboard!$L$1,AN126,AN126*GOOGLEFINANCE(""CURRENCY:""&amp;AF126&amp;""""&amp;Dashboard!$L"&amp;"$1&amp;""""))),AN126))"),"")</f>
        <v/>
      </c>
      <c r="J126" s="178" t="str">
        <f>IF(ISBLANK(B126),"",IFERROR(((C126-SUMIFS(Transactions!I:I,Transactions!H:H,"Crypto Interest",Transactions!D:D,B126))*D126),""))</f>
        <v/>
      </c>
      <c r="K126" s="178" t="str">
        <f t="shared" si="4"/>
        <v/>
      </c>
      <c r="L126" s="145">
        <f>IF(ISBLANK(AF126),"",SUMIFS(Transactions!$M$3:$M149,Transactions!$H$3:$H149,"Buy",Transactions!$D$3:$D149,AF126))</f>
        <v>0</v>
      </c>
      <c r="M126" s="145">
        <f>IF(ISBLANK(AG126),"",SUMIFS(Transactions!$M$3:$M149,Transactions!$H$3:$H149,"Dividend",Transactions!$D$3:$D149,AG126))</f>
        <v>0</v>
      </c>
      <c r="N126" s="145" t="str">
        <f>IF(ISBLANK(AH126),"",SUMIFS(Transactions!$M$3:$M149,Transactions!$H$3:$H149,"Sell",Transactions!$D$3:$D149,AH126))</f>
        <v/>
      </c>
      <c r="O126" s="50" t="str">
        <f t="shared" si="5"/>
        <v/>
      </c>
      <c r="P126" s="178" t="str">
        <f t="shared" si="6"/>
        <v/>
      </c>
      <c r="Q126" s="178" t="str">
        <f>IFERROR(__xludf.DUMMYFUNCTION("IF(ISBLANK(B126),"""",IFERROR(IF(OR(AF126=""GPB"",AF126=""ZAR""),IF(AF126=Dashboard!$L$1,AS126,(AS126*GOOGLEFINANCE(""CURRENCY:""&amp;AF126&amp;""""&amp;Dashboard!$L$1&amp;""""))/100),IF(AF126=Dashboard!$L$1,AS126,AS126*GOOGLEFINANCE(""CURRENCY:""&amp;AF126&amp;""""&amp;Dashboard!$L"&amp;"$1&amp;""""))),AS126))"),"")</f>
        <v/>
      </c>
      <c r="R126" s="178" t="str">
        <f t="shared" si="7"/>
        <v/>
      </c>
      <c r="S126" s="50" t="str">
        <f>IFERROR(__xludf.DUMMYFUNCTION("IF(ISBLANK(B126),"""",IFERROR((GOOGLEFINANCE(B126,""price"")/INDEX(GOOGLEFINANCE(B126,""price"",DATEVALUE(TODAY()-$S$2) ),2,2)-1),""""))"),"")</f>
        <v/>
      </c>
      <c r="U126" s="50" t="str">
        <f>IFERROR(__xludf.DUMMYFUNCTION("IF(ISBLANK(B126),"""",IFERROR((GOOGLEFINANCE($U$2,""price"")/INDEX(GOOGLEFINANCE($U$2,""price"",DATEVALUE(TODAY()-$S$2) ),2,2)-1),""""))"),"")</f>
        <v/>
      </c>
      <c r="W126" s="50" t="str">
        <f t="shared" si="8"/>
        <v/>
      </c>
      <c r="X126" s="50" t="str">
        <f t="shared" si="9"/>
        <v/>
      </c>
      <c r="Y126" s="50"/>
      <c r="Z126" s="50" t="str">
        <f t="shared" si="10"/>
        <v/>
      </c>
      <c r="AA126" s="14" t="str">
        <f t="shared" si="11"/>
        <v/>
      </c>
      <c r="AB126" s="50" t="str">
        <f t="shared" si="12"/>
        <v/>
      </c>
      <c r="AC126" s="179" t="str">
        <f t="shared" si="13"/>
        <v/>
      </c>
      <c r="AD126" s="50" t="str">
        <f t="shared" si="14"/>
        <v/>
      </c>
      <c r="AE126" s="180" t="str">
        <f t="shared" si="15"/>
        <v/>
      </c>
      <c r="AF126" s="14" t="str">
        <f t="array" ref="AF126">IFERROR(IF(ISBLANK(AH126),"",IF(VLOOKUP(AH126,Transactions!D:F,3,0)="Stablecoin",AH126,INDEX(Transactions!$B$3:$B149,MATCH(AH126,Transactions!$D$3:$D149,0),0))))</f>
        <v/>
      </c>
      <c r="AG126" s="14" t="str">
        <f>IF(ISBLANK(AH126),"",VLOOKUP(AH126,Transactions!D:E,2,0))</f>
        <v/>
      </c>
      <c r="AH126" s="14"/>
      <c r="AI126" s="146" t="str">
        <f>IF(ISBLANK(AH126),"",IF(
SUMIFS(Transactions!$I$3:$I149,Transactions!$H$3:$H149,"Buy",Transactions!$F$3:$F149,"Stock",Transactions!$D$3:$D149,AH126)
+SUMIFS(Transactions!$I$3:$I149,Transactions!$H$3:$H149,"DRIP",Transactions!$F$3:$F149,"Stock",Transactions!$D$3:$D149,AH126)
+SUMIFS(Transactions!$I$3:$I149,Transactions!$H$3:$H149,"Transfer Deposit",Transactions!$F$3:$F149,"Stock",Transactions!$D$3:$D149,AH126)
+SUMIFS(Transactions!$I$3:$I149,Transactions!$H$3:$H149,"Buy",Transactions!$F$3:$F149,"ETF",Transactions!$D$3:$D149,AH126)
+SUMIFS(Transactions!$I$3:$I149,Transactions!$H$3:$H149,"DRIP",Transactions!$F$3:$F149,"ETF",Transactions!$D$3:$D149,AH126)
+SUMIFS(Transactions!$I$3:$I149,Transactions!$H$3:$H149,"Transfer Deposit",Transactions!$F$3:$F149,"ETF",Transactions!$D$3:$D149,AH126)
+SUMIFS(Transactions!$I$3:$I149,Transactions!$H$3:$H149,"Buy",Transactions!$F$3:$F149,"Commodity",Transactions!$D$3:$D149,AH126)
+SUMIFS(Transactions!$I$3:$I149,Transactions!$H$3:$H149,"DRIP",Transactions!$F$3:$F149,"Commodity",Transactions!$D$3:$D149,AH126)
+SUMIFS(Transactions!$I$3:$I149,Transactions!$H$3:$H149,"Transfer Deposit",Transactions!$F$3:$F149,"Commodity",Transactions!$D$3:$D149,AH126)
+SUMIFS(Transactions!$I$3:$I149,Transactions!$H$3:$H149,"Buy",Transactions!$F$3:$F149,"Managed Fund",Transactions!$D$3:$D149,AH126)
+SUMIFS(Transactions!$I$3:$I149,Transactions!$H$3:$H149,"DRIP",Transactions!$F$3:$F149,"Managed Fund",Transactions!$D$3:$D149,AH126)
+SUMIFS(Transactions!$I$3:$I149,Transactions!$H$3:$H149,"Transfer Deposit",Transactions!$F$3:$F149,"Managed Fund",Transactions!$D$3:$D149,AH126)
+SUMIFS(Transactions!$I$3:$I149,Transactions!$H$3:$H149,"Buy",Transactions!$F$3:$F149,"REIT",Transactions!$D$3:$D149,AH126)
+SUMIFS(Transactions!$I$3:$I149,Transactions!$H$3:$H149,"DRIP",Transactions!$F$3:$F149,"REIT",Transactions!$D$3:$D149,AH126)
+SUMIFS(Transactions!$I$3:$I149,Transactions!$H$3:$H149,"Transfer Deposit",Transactions!$F$3:$F149,"REIT",Transactions!$D$3:$D149,AH126)
-SUMIFS(Transactions!$I$3:$I149,Transactions!$H$3:$H149,"Sell",Transactions!$F$3:$F149,"Stock",Transactions!$D$3:$D149,AH126)
-SUMIFS(Transactions!$I$3:$I149,Transactions!$H$3:$H149,"Transfer Send",Transactions!$F$3:$F149,"Stock",Transactions!$D$3:$D149,AH126)
-SUMIFS(Transactions!$I$3:$I149,Transactions!$H$3:$H149,"Sell",Transactions!$F$3:$F149,"ETF",Transactions!$D$3:$D149,AH126)
-SUMIFS(Transactions!$I$3:$I149,Transactions!$H$3:$H149,"Transfer Send",Transactions!$F$3:$F149,"ETF",Transactions!$D$3:$D149,AH126)
-SUMIFS(Transactions!$I$3:$I149,Transactions!$H$3:$H149,"Sell",Transactions!$F$3:$F149,"Commodity",Transactions!$D$3:$D149,AH126)
-SUMIFS(Transactions!$I$3:$I149,Transactions!$H$3:$H149,"Transfer Send",Transactions!$F$3:$F149,"Commodity",Transactions!$D$3:$D149,AH126)
-SUMIFS(Transactions!$I$3:$I149,Transactions!$H$3:$H149,"Sell",Transactions!$F$3:$F149,"Managed Fund",Transactions!$D$3:$D149,AH126)
-SUMIFS(Transactions!$I$3:$I149,Transactions!$H$3:$H149,"Transfer Send",Transactions!$F$3:$F149,"Managed Fund",Transactions!$D$3:$D149,AH126)
-SUMIFS(Transactions!$I$3:$I149,Transactions!$H$3:$H149,"Sell",Transactions!$F$3:$F149,"REIT",Transactions!$D$3:$D149,AH126)
-SUMIFS(Transactions!$I$3:$I149,Transactions!$H$3:$H149,"Transfer Send",Transactions!$F$3:$F149,"REIT",Transactions!$D$3:$D149,AH126)
+SUMIFS(Transactions!$I$3:$I149,Transactions!$H$3:$H149,"Buy",Transactions!$F$3:$F149,"Crypto",Transactions!$D$3:$D149,AH126)
+SUMIFS(Transactions!$I$3:$I149,Transactions!$H$3:$H149,"Crypto Interest",Transactions!$F$3:$F149,"Crypto",Transactions!$D$3:$D149,AH126)
+SUMIFS(Transactions!$I$3:$I149,Transactions!$H$3:$H149,"Transfer Deposit",Transactions!$F$3:$F149,"Crypto",Transactions!$D$3:$D149,AH126)
-SUMIFS(Transactions!$I$3:$I149,Transactions!$H$3:$H149,"Transfer Send",Transactions!$F$3:$F149,"Crypto",Transactions!$D$3:$D149,AH126)
-SUMIFS(Transactions!$I$3:$I149,Transactions!$H$3:$H149,"Sell",Transactions!$F$3:$F149,"Crypto",Transactions!$D$3:$D149,AH126)
+SUMIFS(Transactions!$I$3:$I149,Transactions!$H$3:$H149,"Buy",Transactions!$F$3:$F149,"Stablecoin",Transactions!$D$3:$D149,AH126)
+SUMIFS(Transactions!$I$3:$I149,Transactions!$H$3:$H149,"Crypto Interest",Transactions!$F$3:$F149,"Stablecoin",Transactions!$D$3:$D149,AH126)
+SUMIFS(Transactions!$I$3:$I149,Transactions!$H$3:$H149,"Transfer Deposit",Transactions!$F$3:$F149,"Stablecoin",Transactions!$D$3:$D149,AH126)
-SUMIFS(Transactions!$I$3:$I149,Transactions!$H$3:$H149,"Transfer Send",Transactions!$F$3:$F149,"Stablecoin",Transactions!$D$3:$D149,AH126)
-SUMIFS(Transactions!$I$3:$I149,Transactions!$H$3:$H149,"Sell",Transactions!$F$3:$F149,"Stablecoin",Transactions!$D$3:$D149,AH126)
-SUMIFS(Transactions!$M$3:$M149,Transactions!$H$3:$H149,"Buy",Transactions!$B$3:$B149,AH126)=0,"Sold All",
SUMIFS(Transactions!$I$3:$I149,Transactions!$H$3:$H149,"Buy",Transactions!$F$3:$F149,"Stock",Transactions!$D$3:$D149,AH126)
+SUMIFS(Transactions!$I$3:$I149,Transactions!$H$3:$H149,"DRIP",Transactions!$F$3:$F149,"Stock",Transactions!$D$3:$D149,AH126)
+SUMIFS(Transactions!$I$3:$I149,Transactions!$H$3:$H149,"Transfer Deposit",Transactions!$F$3:$F149,"Stock",Transactions!$D$3:$D149,AH126)
+SUMIFS(Transactions!$I$3:$I149,Transactions!$H$3:$H149,"Buy",Transactions!$F$3:$F149,"ETF",Transactions!$D$3:$D149,AH126)
+SUMIFS(Transactions!$I$3:$I149,Transactions!$H$3:$H149,"DRIP",Transactions!$F$3:$F149,"ETF",Transactions!$D$3:$D149,AH126)
+SUMIFS(Transactions!$I$3:$I149,Transactions!$H$3:$H149,"Transfer Deposit",Transactions!$F$3:$F149,"ETF",Transactions!$D$3:$D149,AH126)
+SUMIFS(Transactions!$I$3:$I149,Transactions!$H$3:$H149,"Buy",Transactions!$F$3:$F149,"Commodity",Transactions!$D$3:$D149,AH126)
+SUMIFS(Transactions!$I$3:$I149,Transactions!$H$3:$H149,"DRIP",Transactions!$F$3:$F149,"Commodity",Transactions!$D$3:$D149,AH126)
+SUMIFS(Transactions!$I$3:$I149,Transactions!$H$3:$H149,"Transfer Deposit",Transactions!$F$3:$F149,"Commodity",Transactions!$D$3:$D149,AH126)
+SUMIFS(Transactions!$I$3:$I149,Transactions!$H$3:$H149,"Buy",Transactions!$F$3:$F149,"Managed Fund",Transactions!$D$3:$D149,AH126)
+SUMIFS(Transactions!$I$3:$I149,Transactions!$H$3:$H149,"DRIP",Transactions!$F$3:$F149,"Managed Fund",Transactions!$D$3:$D149,AH126)
+SUMIFS(Transactions!$I$3:$I149,Transactions!$H$3:$H149,"Transfer Deposit",Transactions!$F$3:$F149,"Managed Fund",Transactions!$D$3:$D149,AH126)
+SUMIFS(Transactions!$I$3:$I149,Transactions!$H$3:$H149,"Buy",Transactions!$F$3:$F149,"REIT",Transactions!$D$3:$D149,AH126)
+SUMIFS(Transactions!$I$3:$I149,Transactions!$H$3:$H149,"DRIP",Transactions!$F$3:$F149,"REIT",Transactions!$D$3:$D149,AH126)
+SUMIFS(Transactions!$I$3:$I149,Transactions!$H$3:$H149,"Transfer Deposit",Transactions!$F$3:$F149,"REIT",Transactions!$D$3:$D149,AH126)
-SUMIFS(Transactions!$I$3:$I149,Transactions!$H$3:$H149,"Sell",Transactions!$F$3:$F149,"Stock",Transactions!$D$3:$D149,AH126)
-SUMIFS(Transactions!$I$3:$I149,Transactions!$H$3:$H149,"Transfer Send",Transactions!$F$3:$F149,"Stock",Transactions!$D$3:$D149,AH126)
-SUMIFS(Transactions!$I$3:$I149,Transactions!$H$3:$H149,"Sell",Transactions!$F$3:$F149,"ETF",Transactions!$D$3:$D149,AH126)
-SUMIFS(Transactions!$I$3:$I149,Transactions!$H$3:$H149,"Transfer Send",Transactions!$F$3:$F149,"ETF",Transactions!$D$3:$D149,AH126)
-SUMIFS(Transactions!$I$3:$I149,Transactions!$H$3:$H149,"Sell",Transactions!$F$3:$F149,"Commodity",Transactions!$D$3:$D149,AH126)
-SUMIFS(Transactions!$I$3:$I149,Transactions!$H$3:$H149,"Transfer Send",Transactions!$F$3:$F149,"Commodity",Transactions!$D$3:$D149,AH126)
-SUMIFS(Transactions!$I$3:$I149,Transactions!$H$3:$H149,"Sell",Transactions!$F$3:$F149,"Managed Fund",Transactions!$D$3:$D149,AH126)
-SUMIFS(Transactions!$I$3:$I149,Transactions!$H$3:$H149,"Transfer Send",Transactions!$F$3:$F149,"Managed Fund",Transactions!$D$3:$D149,AH126)
-SUMIFS(Transactions!$I$3:$I149,Transactions!$H$3:$H149,"Sell",Transactions!$F$3:$F149,"REIT",Transactions!$D$3:$D149,AH126)
-SUMIFS(Transactions!$I$3:$I149,Transactions!$H$3:$H149,"Transfer Send",Transactions!$F$3:$F149,"REIT",Transactions!$D$3:$D149,AH126)
+SUMIFS(Transactions!$I$3:$I149,Transactions!$H$3:$H149,"Buy",Transactions!$F$3:$F149,"Crypto",Transactions!$D$3:$D149,AH126)
+SUMIFS(Transactions!$I$3:$I149,Transactions!$H$3:$H149,"Crypto Interest",Transactions!$F$3:$F149,"Crypto",Transactions!$D$3:$D149,AH126)
+SUMIFS(Transactions!$I$3:$I149,Transactions!$H$3:$H149,"Transfer Deposit",Transactions!$F$3:$F149,"Crypto",Transactions!$D$3:$D149,AH126)
-SUMIFS(Transactions!$I$3:$I149,Transactions!$H$3:$H149,"Transfer Send",Transactions!$F$3:$F149,"Crypto",Transactions!$D$3:$D149,AH126)
-SUMIFS(Transactions!$I$3:$I149,Transactions!$H$3:$H149,"Sell",Transactions!$F$3:$F149,"Crypto",Transactions!$D$3:$D149,AH126)
+SUMIFS(Transactions!$I$3:$I149,Transactions!$H$3:$H149,"Buy",Transactions!$F$3:$F149,"Stablecoin",Transactions!$D$3:$D149,AH126)
+SUMIFS(Transactions!$I$3:$I149,Transactions!$H$3:$H149,"Crypto Interest",Transactions!$F$3:$F149,"Stablecoin",Transactions!$D$3:$D149,AH126)
+SUMIFS(Transactions!$I$3:$I149,Transactions!$H$3:$H149,"Transfer Deposit",Transactions!$F$3:$F149,"Stablecoin",Transactions!$D$3:$D149,AH126)
-SUMIFS(Transactions!$I$3:$I149,Transactions!$H$3:$H149,"Transfer Send",Transactions!$F$3:$F149,"Stablecoin",Transactions!$D$3:$D149,AH126)
-SUMIFS(Transactions!$I$3:$I149,Transactions!$H$3:$H149,"Sell",Transactions!$F$3:$F149,"Stablecoin",Transactions!$D$3:$D149,AH126)
-SUMIFS(Transactions!$M$3:$M149,Transactions!$H$3:$H149,"Buy",Transactions!$B$3:$B149,AH126)))</f>
        <v/>
      </c>
      <c r="AJ126" s="181" t="str">
        <f>IFERROR(__xludf.DUMMYFUNCTION("IF(ISBLANK(AH126),"""",VLOOKUP(9^99,FILTER({ROW(Transactions!P:P),Transactions!P:P},Transactions!D:D=AH126),2))"),"")</f>
        <v/>
      </c>
      <c r="AK126" s="181" t="str">
        <f>IFERROR(__xludf.DUMMYFUNCTION("IF(ISBLANK(AH126),"""",IFERROR(GOOGLEFINANCE(AH126,""price""),IFERROR(GOOGLEFINANCE(""CURRENCY:""&amp;AH126&amp;""""),IFERROR(INDEX(YAHOO_STOCK(TRIM(AH126), $G$2),0,1),INDEX(IMPORTHTML(CONCAT(""https://coinmarketcap.com/currencies/"",AG126),""table"",1),1,2)))))"),"")</f>
        <v/>
      </c>
      <c r="AL126" s="14" t="str">
        <f>IFERROR(__xludf.DUMMYFUNCTION("IF(ISBLANK(AH126),"""",IFERROR(SPARKLINE(INDEX(GOOGLEFINANCE(AH126,""price"",TODAY()-$AL$2,TODAY()),,2),{""charttype"",""column"";""color"",""17a7e0""}),""""))"),"")</f>
        <v/>
      </c>
      <c r="AM126" s="50" t="str">
        <f>IFERROR(__xludf.DUMMYFUNCTION("IFNA(IFERROR(IF(AH126="""","""",GOOGLEFINANCE(AH126,""changepct"")/100),(GOOGLEFINANCE(AH126)-(INDEX(GOOGLEFINANCE(""CURRENCY:""&amp;AH126&amp;"""",""price"",TODAY()-1),2,2)))/(INDEX(GOOGLEFINANCE(""CURRENCY:""&amp;AH126&amp;"""",""price"",TODAY()-1),2,2))),)"),"")</f>
        <v/>
      </c>
      <c r="AN126" s="96" t="str">
        <f>IFERROR(__xludf.DUMMYFUNCTION("IFNA(IFERROR(IF(AH126="""","""",GOOGLEFINANCE(AH126,""change"")*AI126),(GOOGLEFINANCE(AH126)-(INDEX(GOOGLEFINANCE(""CURRENCY:""&amp;AH126&amp;"""",""price"",TODAY()-1),2,2)))*AI126),"""")"),"")</f>
        <v/>
      </c>
      <c r="AO126" s="96" t="str">
        <f>IF(ISBLANK(AH126),"",IFERROR(((AI126-SUMIFS(Transactions!I:I,Transactions!H:H,"Crypto Interest",Transactions!D:D,AH126))*AJ126),""))</f>
        <v/>
      </c>
      <c r="AP126" s="96" t="str">
        <f t="shared" si="16"/>
        <v/>
      </c>
      <c r="AQ126" s="50" t="str">
        <f t="shared" si="17"/>
        <v/>
      </c>
      <c r="AR126" s="96" t="str">
        <f t="shared" si="18"/>
        <v/>
      </c>
      <c r="AS126" s="96" t="str">
        <f>IF(ISBLANK(AH126),"",SUMIFS(Transactions!$X$3:$X149,Transactions!$H$3:$H149,"Sell",Transactions!$D$3:$D149,AH126))</f>
        <v/>
      </c>
      <c r="AT126" s="96" t="str">
        <f t="shared" si="19"/>
        <v/>
      </c>
      <c r="AU126" s="50" t="str">
        <f>IFERROR(__xludf.DUMMYFUNCTION("IF(ISBLANK(AH126),"""",IFERROR((GOOGLEFINANCE(AH126,""price"")/INDEX(GOOGLEFINANCE(AH126,""price"",DATEVALUE(TODAY()-$AU$2) ),2,2)-1),""""))"),"")</f>
        <v/>
      </c>
      <c r="AW126" s="50" t="str">
        <f>IFERROR(__xludf.DUMMYFUNCTION("IF(ISBLANK(AH126),"""",IFERROR((GOOGLEFINANCE($AW$2,""price"")/INDEX(GOOGLEFINANCE($AW$2,""price"",DATEVALUE(TODAY()-$AU$2) ),2,2)-1),""""))"),"")</f>
        <v/>
      </c>
      <c r="AY126" s="50" t="str">
        <f t="shared" si="20"/>
        <v/>
      </c>
      <c r="AZ126" s="50" t="str">
        <f t="shared" si="21"/>
        <v/>
      </c>
      <c r="BA126" s="50" t="str">
        <f t="shared" si="22"/>
        <v/>
      </c>
      <c r="BB126" s="14" t="str">
        <f t="shared" si="23"/>
        <v/>
      </c>
      <c r="BC126" s="14" t="str">
        <f>IF(ISBLANK(AH126),"",IFERROR(VLOOKUP(AH126,Transactions!D:F,3,0)))</f>
        <v/>
      </c>
      <c r="BD126" s="50" t="str">
        <f t="shared" si="24"/>
        <v/>
      </c>
      <c r="BE126" s="50" t="str">
        <f t="shared" si="25"/>
        <v/>
      </c>
      <c r="BF126" s="14" t="str">
        <f t="shared" si="26"/>
        <v/>
      </c>
      <c r="BG126" s="180" t="str">
        <f>IF(ISBLANK(AH126),"",IFERROR(VLOOKUP(AH126,Transactions!D:G,4,0)))</f>
        <v/>
      </c>
    </row>
    <row r="127">
      <c r="A127" s="14" t="str">
        <f t="shared" ref="A127:C127" si="150">AG127</f>
        <v/>
      </c>
      <c r="B127" s="14" t="str">
        <f t="shared" si="150"/>
        <v/>
      </c>
      <c r="C127" s="175" t="str">
        <f t="shared" si="150"/>
        <v/>
      </c>
      <c r="D127" s="176" t="str">
        <f>IFERROR(__xludf.DUMMYFUNCTION("IF(ISBLANK(B127),"""",IFERROR(IF(OR(AF127=""GPB"",AF127=""ZAR""),IF(AF127=Dashboard!$L$1,AJ127,(AJ127*GOOGLEFINANCE(""CURRENCY:""&amp;AF127&amp;""""&amp;Dashboard!$L$1&amp;""""))/100),IF(AF127=Dashboard!$L$1,AJ127,AJ127*GOOGLEFINANCE(""CURRENCY:""&amp;AF127&amp;""""&amp;Dashboard!$L"&amp;"$1&amp;""""))),AJ127))"),"")</f>
        <v/>
      </c>
      <c r="E127" s="177" t="str">
        <f>IFERROR(__xludf.DUMMYFUNCTION("IFERROR(IF(OR(AF127=""GBP"",AF127=""ZAR""),IF(B127="""","""",IF(AF127=Dashboard!$L$1,AK127,AK127*GOOGLEFINANCE(""CURRENCY:""&amp;AF127&amp;""""&amp;Dashboard!$L$1&amp;"""")))/100,If(B127="""","""",IF(AF127=Dashboard!$L$1,AK127,AK127*GOOGLEFINANCE(""CURRENCY:""&amp;AF127&amp;"""""&amp;"&amp;Dashboard!$L$1&amp;"""")))),AK127)"),"")</f>
        <v/>
      </c>
      <c r="F127" s="145" t="str">
        <f t="shared" si="65"/>
        <v/>
      </c>
      <c r="G127" s="96" t="str">
        <f>IFERROR(__xludf.DUMMYFUNCTION("IF(ISBLANK(B127),"""",IFERROR(SPARKLINE(INDEX(GOOGLEFINANCE(B127,""price"",TODAY()-$G$2,TODAY()),,2),{""charttype"",""column"";""color"",""17a7e0""}),""""))"),"")</f>
        <v/>
      </c>
      <c r="H127" s="50" t="str">
        <f t="shared" si="3"/>
        <v/>
      </c>
      <c r="I127" s="96" t="str">
        <f>IFERROR(__xludf.DUMMYFUNCTION("IF(ISBLANK(B127),"""",IFERROR(IF(OR(AF127=""GPB"",AF127=""ZAR""),IF(AF127=Dashboard!$L$1,AN127,(AN127*GOOGLEFINANCE(""CURRENCY:""&amp;AF127&amp;""""&amp;Dashboard!$L$1&amp;""""))/100),IF(AF127=Dashboard!$L$1,AN127,AN127*GOOGLEFINANCE(""CURRENCY:""&amp;AF127&amp;""""&amp;Dashboard!$L"&amp;"$1&amp;""""))),AN127))"),"")</f>
        <v/>
      </c>
      <c r="J127" s="178" t="str">
        <f>IF(ISBLANK(B127),"",IFERROR(((C127-SUMIFS(Transactions!I:I,Transactions!H:H,"Crypto Interest",Transactions!D:D,B127))*D127),""))</f>
        <v/>
      </c>
      <c r="K127" s="178" t="str">
        <f t="shared" si="4"/>
        <v/>
      </c>
      <c r="L127" s="145">
        <f>IF(ISBLANK(AF127),"",SUMIFS(Transactions!$M$3:$M149,Transactions!$H$3:$H149,"Buy",Transactions!$D$3:$D149,AF127))</f>
        <v>0</v>
      </c>
      <c r="M127" s="145">
        <f>IF(ISBLANK(AG127),"",SUMIFS(Transactions!$M$3:$M149,Transactions!$H$3:$H149,"Dividend",Transactions!$D$3:$D149,AG127))</f>
        <v>0</v>
      </c>
      <c r="N127" s="145" t="str">
        <f>IF(ISBLANK(AH127),"",SUMIFS(Transactions!$M$3:$M149,Transactions!$H$3:$H149,"Sell",Transactions!$D$3:$D149,AH127))</f>
        <v/>
      </c>
      <c r="O127" s="50" t="str">
        <f t="shared" si="5"/>
        <v/>
      </c>
      <c r="P127" s="178" t="str">
        <f t="shared" si="6"/>
        <v/>
      </c>
      <c r="Q127" s="178" t="str">
        <f>IFERROR(__xludf.DUMMYFUNCTION("IF(ISBLANK(B127),"""",IFERROR(IF(OR(AF127=""GPB"",AF127=""ZAR""),IF(AF127=Dashboard!$L$1,AS127,(AS127*GOOGLEFINANCE(""CURRENCY:""&amp;AF127&amp;""""&amp;Dashboard!$L$1&amp;""""))/100),IF(AF127=Dashboard!$L$1,AS127,AS127*GOOGLEFINANCE(""CURRENCY:""&amp;AF127&amp;""""&amp;Dashboard!$L"&amp;"$1&amp;""""))),AS127))"),"")</f>
        <v/>
      </c>
      <c r="R127" s="178" t="str">
        <f t="shared" si="7"/>
        <v/>
      </c>
      <c r="S127" s="50" t="str">
        <f>IFERROR(__xludf.DUMMYFUNCTION("IF(ISBLANK(B127),"""",IFERROR((GOOGLEFINANCE(B127,""price"")/INDEX(GOOGLEFINANCE(B127,""price"",DATEVALUE(TODAY()-$S$2) ),2,2)-1),""""))"),"")</f>
        <v/>
      </c>
      <c r="U127" s="50" t="str">
        <f>IFERROR(__xludf.DUMMYFUNCTION("IF(ISBLANK(B127),"""",IFERROR((GOOGLEFINANCE($U$2,""price"")/INDEX(GOOGLEFINANCE($U$2,""price"",DATEVALUE(TODAY()-$S$2) ),2,2)-1),""""))"),"")</f>
        <v/>
      </c>
      <c r="W127" s="50" t="str">
        <f t="shared" si="8"/>
        <v/>
      </c>
      <c r="X127" s="50" t="str">
        <f t="shared" si="9"/>
        <v/>
      </c>
      <c r="Y127" s="50"/>
      <c r="Z127" s="50" t="str">
        <f t="shared" si="10"/>
        <v/>
      </c>
      <c r="AA127" s="14" t="str">
        <f t="shared" si="11"/>
        <v/>
      </c>
      <c r="AB127" s="50" t="str">
        <f t="shared" si="12"/>
        <v/>
      </c>
      <c r="AC127" s="179" t="str">
        <f t="shared" si="13"/>
        <v/>
      </c>
      <c r="AD127" s="50" t="str">
        <f t="shared" si="14"/>
        <v/>
      </c>
      <c r="AE127" s="180" t="str">
        <f t="shared" si="15"/>
        <v/>
      </c>
      <c r="AF127" s="14" t="str">
        <f t="array" ref="AF127">IFERROR(IF(ISBLANK(AH127),"",IF(VLOOKUP(AH127,Transactions!D:F,3,0)="Stablecoin",AH127,INDEX(Transactions!$B$3:$B149,MATCH(AH127,Transactions!$D$3:$D149,0),0))))</f>
        <v/>
      </c>
      <c r="AG127" s="14" t="str">
        <f>IF(ISBLANK(AH127),"",VLOOKUP(AH127,Transactions!D:E,2,0))</f>
        <v/>
      </c>
      <c r="AH127" s="14"/>
      <c r="AI127" s="146" t="str">
        <f>IF(ISBLANK(AH127),"",IF(
SUMIFS(Transactions!$I$3:$I149,Transactions!$H$3:$H149,"Buy",Transactions!$F$3:$F149,"Stock",Transactions!$D$3:$D149,AH127)
+SUMIFS(Transactions!$I$3:$I149,Transactions!$H$3:$H149,"DRIP",Transactions!$F$3:$F149,"Stock",Transactions!$D$3:$D149,AH127)
+SUMIFS(Transactions!$I$3:$I149,Transactions!$H$3:$H149,"Transfer Deposit",Transactions!$F$3:$F149,"Stock",Transactions!$D$3:$D149,AH127)
+SUMIFS(Transactions!$I$3:$I149,Transactions!$H$3:$H149,"Buy",Transactions!$F$3:$F149,"ETF",Transactions!$D$3:$D149,AH127)
+SUMIFS(Transactions!$I$3:$I149,Transactions!$H$3:$H149,"DRIP",Transactions!$F$3:$F149,"ETF",Transactions!$D$3:$D149,AH127)
+SUMIFS(Transactions!$I$3:$I149,Transactions!$H$3:$H149,"Transfer Deposit",Transactions!$F$3:$F149,"ETF",Transactions!$D$3:$D149,AH127)
+SUMIFS(Transactions!$I$3:$I149,Transactions!$H$3:$H149,"Buy",Transactions!$F$3:$F149,"Commodity",Transactions!$D$3:$D149,AH127)
+SUMIFS(Transactions!$I$3:$I149,Transactions!$H$3:$H149,"DRIP",Transactions!$F$3:$F149,"Commodity",Transactions!$D$3:$D149,AH127)
+SUMIFS(Transactions!$I$3:$I149,Transactions!$H$3:$H149,"Transfer Deposit",Transactions!$F$3:$F149,"Commodity",Transactions!$D$3:$D149,AH127)
+SUMIFS(Transactions!$I$3:$I149,Transactions!$H$3:$H149,"Buy",Transactions!$F$3:$F149,"Managed Fund",Transactions!$D$3:$D149,AH127)
+SUMIFS(Transactions!$I$3:$I149,Transactions!$H$3:$H149,"DRIP",Transactions!$F$3:$F149,"Managed Fund",Transactions!$D$3:$D149,AH127)
+SUMIFS(Transactions!$I$3:$I149,Transactions!$H$3:$H149,"Transfer Deposit",Transactions!$F$3:$F149,"Managed Fund",Transactions!$D$3:$D149,AH127)
+SUMIFS(Transactions!$I$3:$I149,Transactions!$H$3:$H149,"Buy",Transactions!$F$3:$F149,"REIT",Transactions!$D$3:$D149,AH127)
+SUMIFS(Transactions!$I$3:$I149,Transactions!$H$3:$H149,"DRIP",Transactions!$F$3:$F149,"REIT",Transactions!$D$3:$D149,AH127)
+SUMIFS(Transactions!$I$3:$I149,Transactions!$H$3:$H149,"Transfer Deposit",Transactions!$F$3:$F149,"REIT",Transactions!$D$3:$D149,AH127)
-SUMIFS(Transactions!$I$3:$I149,Transactions!$H$3:$H149,"Sell",Transactions!$F$3:$F149,"Stock",Transactions!$D$3:$D149,AH127)
-SUMIFS(Transactions!$I$3:$I149,Transactions!$H$3:$H149,"Transfer Send",Transactions!$F$3:$F149,"Stock",Transactions!$D$3:$D149,AH127)
-SUMIFS(Transactions!$I$3:$I149,Transactions!$H$3:$H149,"Sell",Transactions!$F$3:$F149,"ETF",Transactions!$D$3:$D149,AH127)
-SUMIFS(Transactions!$I$3:$I149,Transactions!$H$3:$H149,"Transfer Send",Transactions!$F$3:$F149,"ETF",Transactions!$D$3:$D149,AH127)
-SUMIFS(Transactions!$I$3:$I149,Transactions!$H$3:$H149,"Sell",Transactions!$F$3:$F149,"Commodity",Transactions!$D$3:$D149,AH127)
-SUMIFS(Transactions!$I$3:$I149,Transactions!$H$3:$H149,"Transfer Send",Transactions!$F$3:$F149,"Commodity",Transactions!$D$3:$D149,AH127)
-SUMIFS(Transactions!$I$3:$I149,Transactions!$H$3:$H149,"Sell",Transactions!$F$3:$F149,"Managed Fund",Transactions!$D$3:$D149,AH127)
-SUMIFS(Transactions!$I$3:$I149,Transactions!$H$3:$H149,"Transfer Send",Transactions!$F$3:$F149,"Managed Fund",Transactions!$D$3:$D149,AH127)
-SUMIFS(Transactions!$I$3:$I149,Transactions!$H$3:$H149,"Sell",Transactions!$F$3:$F149,"REIT",Transactions!$D$3:$D149,AH127)
-SUMIFS(Transactions!$I$3:$I149,Transactions!$H$3:$H149,"Transfer Send",Transactions!$F$3:$F149,"REIT",Transactions!$D$3:$D149,AH127)
+SUMIFS(Transactions!$I$3:$I149,Transactions!$H$3:$H149,"Buy",Transactions!$F$3:$F149,"Crypto",Transactions!$D$3:$D149,AH127)
+SUMIFS(Transactions!$I$3:$I149,Transactions!$H$3:$H149,"Crypto Interest",Transactions!$F$3:$F149,"Crypto",Transactions!$D$3:$D149,AH127)
+SUMIFS(Transactions!$I$3:$I149,Transactions!$H$3:$H149,"Transfer Deposit",Transactions!$F$3:$F149,"Crypto",Transactions!$D$3:$D149,AH127)
-SUMIFS(Transactions!$I$3:$I149,Transactions!$H$3:$H149,"Transfer Send",Transactions!$F$3:$F149,"Crypto",Transactions!$D$3:$D149,AH127)
-SUMIFS(Transactions!$I$3:$I149,Transactions!$H$3:$H149,"Sell",Transactions!$F$3:$F149,"Crypto",Transactions!$D$3:$D149,AH127)
+SUMIFS(Transactions!$I$3:$I149,Transactions!$H$3:$H149,"Buy",Transactions!$F$3:$F149,"Stablecoin",Transactions!$D$3:$D149,AH127)
+SUMIFS(Transactions!$I$3:$I149,Transactions!$H$3:$H149,"Crypto Interest",Transactions!$F$3:$F149,"Stablecoin",Transactions!$D$3:$D149,AH127)
+SUMIFS(Transactions!$I$3:$I149,Transactions!$H$3:$H149,"Transfer Deposit",Transactions!$F$3:$F149,"Stablecoin",Transactions!$D$3:$D149,AH127)
-SUMIFS(Transactions!$I$3:$I149,Transactions!$H$3:$H149,"Transfer Send",Transactions!$F$3:$F149,"Stablecoin",Transactions!$D$3:$D149,AH127)
-SUMIFS(Transactions!$I$3:$I149,Transactions!$H$3:$H149,"Sell",Transactions!$F$3:$F149,"Stablecoin",Transactions!$D$3:$D149,AH127)
-SUMIFS(Transactions!$M$3:$M149,Transactions!$H$3:$H149,"Buy",Transactions!$B$3:$B149,AH127)=0,"Sold All",
SUMIFS(Transactions!$I$3:$I149,Transactions!$H$3:$H149,"Buy",Transactions!$F$3:$F149,"Stock",Transactions!$D$3:$D149,AH127)
+SUMIFS(Transactions!$I$3:$I149,Transactions!$H$3:$H149,"DRIP",Transactions!$F$3:$F149,"Stock",Transactions!$D$3:$D149,AH127)
+SUMIFS(Transactions!$I$3:$I149,Transactions!$H$3:$H149,"Transfer Deposit",Transactions!$F$3:$F149,"Stock",Transactions!$D$3:$D149,AH127)
+SUMIFS(Transactions!$I$3:$I149,Transactions!$H$3:$H149,"Buy",Transactions!$F$3:$F149,"ETF",Transactions!$D$3:$D149,AH127)
+SUMIFS(Transactions!$I$3:$I149,Transactions!$H$3:$H149,"DRIP",Transactions!$F$3:$F149,"ETF",Transactions!$D$3:$D149,AH127)
+SUMIFS(Transactions!$I$3:$I149,Transactions!$H$3:$H149,"Transfer Deposit",Transactions!$F$3:$F149,"ETF",Transactions!$D$3:$D149,AH127)
+SUMIFS(Transactions!$I$3:$I149,Transactions!$H$3:$H149,"Buy",Transactions!$F$3:$F149,"Commodity",Transactions!$D$3:$D149,AH127)
+SUMIFS(Transactions!$I$3:$I149,Transactions!$H$3:$H149,"DRIP",Transactions!$F$3:$F149,"Commodity",Transactions!$D$3:$D149,AH127)
+SUMIFS(Transactions!$I$3:$I149,Transactions!$H$3:$H149,"Transfer Deposit",Transactions!$F$3:$F149,"Commodity",Transactions!$D$3:$D149,AH127)
+SUMIFS(Transactions!$I$3:$I149,Transactions!$H$3:$H149,"Buy",Transactions!$F$3:$F149,"Managed Fund",Transactions!$D$3:$D149,AH127)
+SUMIFS(Transactions!$I$3:$I149,Transactions!$H$3:$H149,"DRIP",Transactions!$F$3:$F149,"Managed Fund",Transactions!$D$3:$D149,AH127)
+SUMIFS(Transactions!$I$3:$I149,Transactions!$H$3:$H149,"Transfer Deposit",Transactions!$F$3:$F149,"Managed Fund",Transactions!$D$3:$D149,AH127)
+SUMIFS(Transactions!$I$3:$I149,Transactions!$H$3:$H149,"Buy",Transactions!$F$3:$F149,"REIT",Transactions!$D$3:$D149,AH127)
+SUMIFS(Transactions!$I$3:$I149,Transactions!$H$3:$H149,"DRIP",Transactions!$F$3:$F149,"REIT",Transactions!$D$3:$D149,AH127)
+SUMIFS(Transactions!$I$3:$I149,Transactions!$H$3:$H149,"Transfer Deposit",Transactions!$F$3:$F149,"REIT",Transactions!$D$3:$D149,AH127)
-SUMIFS(Transactions!$I$3:$I149,Transactions!$H$3:$H149,"Sell",Transactions!$F$3:$F149,"Stock",Transactions!$D$3:$D149,AH127)
-SUMIFS(Transactions!$I$3:$I149,Transactions!$H$3:$H149,"Transfer Send",Transactions!$F$3:$F149,"Stock",Transactions!$D$3:$D149,AH127)
-SUMIFS(Transactions!$I$3:$I149,Transactions!$H$3:$H149,"Sell",Transactions!$F$3:$F149,"ETF",Transactions!$D$3:$D149,AH127)
-SUMIFS(Transactions!$I$3:$I149,Transactions!$H$3:$H149,"Transfer Send",Transactions!$F$3:$F149,"ETF",Transactions!$D$3:$D149,AH127)
-SUMIFS(Transactions!$I$3:$I149,Transactions!$H$3:$H149,"Sell",Transactions!$F$3:$F149,"Commodity",Transactions!$D$3:$D149,AH127)
-SUMIFS(Transactions!$I$3:$I149,Transactions!$H$3:$H149,"Transfer Send",Transactions!$F$3:$F149,"Commodity",Transactions!$D$3:$D149,AH127)
-SUMIFS(Transactions!$I$3:$I149,Transactions!$H$3:$H149,"Sell",Transactions!$F$3:$F149,"Managed Fund",Transactions!$D$3:$D149,AH127)
-SUMIFS(Transactions!$I$3:$I149,Transactions!$H$3:$H149,"Transfer Send",Transactions!$F$3:$F149,"Managed Fund",Transactions!$D$3:$D149,AH127)
-SUMIFS(Transactions!$I$3:$I149,Transactions!$H$3:$H149,"Sell",Transactions!$F$3:$F149,"REIT",Transactions!$D$3:$D149,AH127)
-SUMIFS(Transactions!$I$3:$I149,Transactions!$H$3:$H149,"Transfer Send",Transactions!$F$3:$F149,"REIT",Transactions!$D$3:$D149,AH127)
+SUMIFS(Transactions!$I$3:$I149,Transactions!$H$3:$H149,"Buy",Transactions!$F$3:$F149,"Crypto",Transactions!$D$3:$D149,AH127)
+SUMIFS(Transactions!$I$3:$I149,Transactions!$H$3:$H149,"Crypto Interest",Transactions!$F$3:$F149,"Crypto",Transactions!$D$3:$D149,AH127)
+SUMIFS(Transactions!$I$3:$I149,Transactions!$H$3:$H149,"Transfer Deposit",Transactions!$F$3:$F149,"Crypto",Transactions!$D$3:$D149,AH127)
-SUMIFS(Transactions!$I$3:$I149,Transactions!$H$3:$H149,"Transfer Send",Transactions!$F$3:$F149,"Crypto",Transactions!$D$3:$D149,AH127)
-SUMIFS(Transactions!$I$3:$I149,Transactions!$H$3:$H149,"Sell",Transactions!$F$3:$F149,"Crypto",Transactions!$D$3:$D149,AH127)
+SUMIFS(Transactions!$I$3:$I149,Transactions!$H$3:$H149,"Buy",Transactions!$F$3:$F149,"Stablecoin",Transactions!$D$3:$D149,AH127)
+SUMIFS(Transactions!$I$3:$I149,Transactions!$H$3:$H149,"Crypto Interest",Transactions!$F$3:$F149,"Stablecoin",Transactions!$D$3:$D149,AH127)
+SUMIFS(Transactions!$I$3:$I149,Transactions!$H$3:$H149,"Transfer Deposit",Transactions!$F$3:$F149,"Stablecoin",Transactions!$D$3:$D149,AH127)
-SUMIFS(Transactions!$I$3:$I149,Transactions!$H$3:$H149,"Transfer Send",Transactions!$F$3:$F149,"Stablecoin",Transactions!$D$3:$D149,AH127)
-SUMIFS(Transactions!$I$3:$I149,Transactions!$H$3:$H149,"Sell",Transactions!$F$3:$F149,"Stablecoin",Transactions!$D$3:$D149,AH127)
-SUMIFS(Transactions!$M$3:$M149,Transactions!$H$3:$H149,"Buy",Transactions!$B$3:$B149,AH127)))</f>
        <v/>
      </c>
      <c r="AJ127" s="181" t="str">
        <f>IFERROR(__xludf.DUMMYFUNCTION("IF(ISBLANK(AH127),"""",VLOOKUP(9^99,FILTER({ROW(Transactions!P:P),Transactions!P:P},Transactions!D:D=AH127),2))"),"")</f>
        <v/>
      </c>
      <c r="AK127" s="181" t="str">
        <f>IFERROR(__xludf.DUMMYFUNCTION("IF(ISBLANK(AH127),"""",IFERROR(GOOGLEFINANCE(AH127,""price""),IFERROR(GOOGLEFINANCE(""CURRENCY:""&amp;AH127&amp;""""),IFERROR(INDEX(YAHOO_STOCK(TRIM(AH127), $G$2),0,1),INDEX(IMPORTHTML(CONCAT(""https://coinmarketcap.com/currencies/"",AG127),""table"",1),1,2)))))"),"")</f>
        <v/>
      </c>
      <c r="AL127" s="14" t="str">
        <f>IFERROR(__xludf.DUMMYFUNCTION("IF(ISBLANK(AH127),"""",IFERROR(SPARKLINE(INDEX(GOOGLEFINANCE(AH127,""price"",TODAY()-$AL$2,TODAY()),,2),{""charttype"",""column"";""color"",""17a7e0""}),""""))"),"")</f>
        <v/>
      </c>
      <c r="AM127" s="50" t="str">
        <f>IFERROR(__xludf.DUMMYFUNCTION("IFNA(IFERROR(IF(AH127="""","""",GOOGLEFINANCE(AH127,""changepct"")/100),(GOOGLEFINANCE(AH127)-(INDEX(GOOGLEFINANCE(""CURRENCY:""&amp;AH127&amp;"""",""price"",TODAY()-1),2,2)))/(INDEX(GOOGLEFINANCE(""CURRENCY:""&amp;AH127&amp;"""",""price"",TODAY()-1),2,2))),)"),"")</f>
        <v/>
      </c>
      <c r="AN127" s="96" t="str">
        <f>IFERROR(__xludf.DUMMYFUNCTION("IFNA(IFERROR(IF(AH127="""","""",GOOGLEFINANCE(AH127,""change"")*AI127),(GOOGLEFINANCE(AH127)-(INDEX(GOOGLEFINANCE(""CURRENCY:""&amp;AH127&amp;"""",""price"",TODAY()-1),2,2)))*AI127),"""")"),"")</f>
        <v/>
      </c>
      <c r="AO127" s="96" t="str">
        <f>IF(ISBLANK(AH127),"",IFERROR(((AI127-SUMIFS(Transactions!I:I,Transactions!H:H,"Crypto Interest",Transactions!D:D,AH127))*AJ127),""))</f>
        <v/>
      </c>
      <c r="AP127" s="96" t="str">
        <f t="shared" si="16"/>
        <v/>
      </c>
      <c r="AQ127" s="50" t="str">
        <f t="shared" si="17"/>
        <v/>
      </c>
      <c r="AR127" s="96" t="str">
        <f t="shared" si="18"/>
        <v/>
      </c>
      <c r="AS127" s="96" t="str">
        <f>IF(ISBLANK(AH127),"",SUMIFS(Transactions!$X$3:$X149,Transactions!$H$3:$H149,"Sell",Transactions!$D$3:$D149,AH127))</f>
        <v/>
      </c>
      <c r="AT127" s="96" t="str">
        <f t="shared" si="19"/>
        <v/>
      </c>
      <c r="AU127" s="50" t="str">
        <f>IFERROR(__xludf.DUMMYFUNCTION("IF(ISBLANK(AH127),"""",IFERROR((GOOGLEFINANCE(AH127,""price"")/INDEX(GOOGLEFINANCE(AH127,""price"",DATEVALUE(TODAY()-$AU$2) ),2,2)-1),""""))"),"")</f>
        <v/>
      </c>
      <c r="AW127" s="50" t="str">
        <f>IFERROR(__xludf.DUMMYFUNCTION("IF(ISBLANK(AH127),"""",IFERROR((GOOGLEFINANCE($AW$2,""price"")/INDEX(GOOGLEFINANCE($AW$2,""price"",DATEVALUE(TODAY()-$AU$2) ),2,2)-1),""""))"),"")</f>
        <v/>
      </c>
      <c r="AY127" s="50" t="str">
        <f t="shared" si="20"/>
        <v/>
      </c>
      <c r="AZ127" s="50" t="str">
        <f t="shared" si="21"/>
        <v/>
      </c>
      <c r="BA127" s="50" t="str">
        <f t="shared" si="22"/>
        <v/>
      </c>
      <c r="BB127" s="14" t="str">
        <f t="shared" si="23"/>
        <v/>
      </c>
      <c r="BC127" s="14" t="str">
        <f>IF(ISBLANK(AH127),"",IFERROR(VLOOKUP(AH127,Transactions!D:F,3,0)))</f>
        <v/>
      </c>
      <c r="BD127" s="50" t="str">
        <f t="shared" si="24"/>
        <v/>
      </c>
      <c r="BE127" s="50" t="str">
        <f t="shared" si="25"/>
        <v/>
      </c>
      <c r="BF127" s="14" t="str">
        <f t="shared" si="26"/>
        <v/>
      </c>
      <c r="BG127" s="180" t="str">
        <f>IF(ISBLANK(AH127),"",IFERROR(VLOOKUP(AH127,Transactions!D:G,4,0)))</f>
        <v/>
      </c>
    </row>
    <row r="128">
      <c r="A128" s="14" t="str">
        <f t="shared" ref="A128:C128" si="151">AG128</f>
        <v/>
      </c>
      <c r="B128" s="14" t="str">
        <f t="shared" si="151"/>
        <v/>
      </c>
      <c r="C128" s="175" t="str">
        <f t="shared" si="151"/>
        <v/>
      </c>
      <c r="D128" s="176" t="str">
        <f>IFERROR(__xludf.DUMMYFUNCTION("IF(ISBLANK(B128),"""",IFERROR(IF(OR(AF128=""GPB"",AF128=""ZAR""),IF(AF128=Dashboard!$L$1,AJ128,(AJ128*GOOGLEFINANCE(""CURRENCY:""&amp;AF128&amp;""""&amp;Dashboard!$L$1&amp;""""))/100),IF(AF128=Dashboard!$L$1,AJ128,AJ128*GOOGLEFINANCE(""CURRENCY:""&amp;AF128&amp;""""&amp;Dashboard!$L"&amp;"$1&amp;""""))),AJ128))"),"")</f>
        <v/>
      </c>
      <c r="E128" s="177" t="str">
        <f>IFERROR(__xludf.DUMMYFUNCTION("IFERROR(IF(OR(AF128=""GBP"",AF128=""ZAR""),IF(B128="""","""",IF(AF128=Dashboard!$L$1,AK128,AK128*GOOGLEFINANCE(""CURRENCY:""&amp;AF128&amp;""""&amp;Dashboard!$L$1&amp;"""")))/100,If(B128="""","""",IF(AF128=Dashboard!$L$1,AK128,AK128*GOOGLEFINANCE(""CURRENCY:""&amp;AF128&amp;"""""&amp;"&amp;Dashboard!$L$1&amp;"""")))),AK128)"),"")</f>
        <v/>
      </c>
      <c r="F128" s="145" t="str">
        <f t="shared" si="65"/>
        <v/>
      </c>
      <c r="G128" s="96" t="str">
        <f>IFERROR(__xludf.DUMMYFUNCTION("IF(ISBLANK(B128),"""",IFERROR(SPARKLINE(INDEX(GOOGLEFINANCE(B128,""price"",TODAY()-$G$2,TODAY()),,2),{""charttype"",""column"";""color"",""17a7e0""}),""""))"),"")</f>
        <v/>
      </c>
      <c r="H128" s="50" t="str">
        <f t="shared" si="3"/>
        <v/>
      </c>
      <c r="I128" s="96" t="str">
        <f>IFERROR(__xludf.DUMMYFUNCTION("IF(ISBLANK(B128),"""",IFERROR(IF(OR(AF128=""GPB"",AF128=""ZAR""),IF(AF128=Dashboard!$L$1,AN128,(AN128*GOOGLEFINANCE(""CURRENCY:""&amp;AF128&amp;""""&amp;Dashboard!$L$1&amp;""""))/100),IF(AF128=Dashboard!$L$1,AN128,AN128*GOOGLEFINANCE(""CURRENCY:""&amp;AF128&amp;""""&amp;Dashboard!$L"&amp;"$1&amp;""""))),AN128))"),"")</f>
        <v/>
      </c>
      <c r="J128" s="178" t="str">
        <f>IF(ISBLANK(B128),"",IFERROR(((C128-SUMIFS(Transactions!I:I,Transactions!H:H,"Crypto Interest",Transactions!D:D,B128))*D128),""))</f>
        <v/>
      </c>
      <c r="K128" s="178" t="str">
        <f t="shared" si="4"/>
        <v/>
      </c>
      <c r="L128" s="145">
        <f>IF(ISBLANK(AF128),"",SUMIFS(Transactions!$M$3:$M149,Transactions!$H$3:$H149,"Buy",Transactions!$D$3:$D149,AF128))</f>
        <v>0</v>
      </c>
      <c r="M128" s="145">
        <f>IF(ISBLANK(AG128),"",SUMIFS(Transactions!$M$3:$M149,Transactions!$H$3:$H149,"Dividend",Transactions!$D$3:$D149,AG128))</f>
        <v>0</v>
      </c>
      <c r="N128" s="145" t="str">
        <f>IF(ISBLANK(AH128),"",SUMIFS(Transactions!$M$3:$M149,Transactions!$H$3:$H149,"Sell",Transactions!$D$3:$D149,AH128))</f>
        <v/>
      </c>
      <c r="O128" s="50" t="str">
        <f t="shared" si="5"/>
        <v/>
      </c>
      <c r="P128" s="178" t="str">
        <f t="shared" si="6"/>
        <v/>
      </c>
      <c r="Q128" s="178" t="str">
        <f>IFERROR(__xludf.DUMMYFUNCTION("IF(ISBLANK(B128),"""",IFERROR(IF(OR(AF128=""GPB"",AF128=""ZAR""),IF(AF128=Dashboard!$L$1,AS128,(AS128*GOOGLEFINANCE(""CURRENCY:""&amp;AF128&amp;""""&amp;Dashboard!$L$1&amp;""""))/100),IF(AF128=Dashboard!$L$1,AS128,AS128*GOOGLEFINANCE(""CURRENCY:""&amp;AF128&amp;""""&amp;Dashboard!$L"&amp;"$1&amp;""""))),AS128))"),"")</f>
        <v/>
      </c>
      <c r="R128" s="178" t="str">
        <f t="shared" si="7"/>
        <v/>
      </c>
      <c r="S128" s="50" t="str">
        <f>IFERROR(__xludf.DUMMYFUNCTION("IF(ISBLANK(B128),"""",IFERROR((GOOGLEFINANCE(B128,""price"")/INDEX(GOOGLEFINANCE(B128,""price"",DATEVALUE(TODAY()-$S$2) ),2,2)-1),""""))"),"")</f>
        <v/>
      </c>
      <c r="U128" s="50" t="str">
        <f>IFERROR(__xludf.DUMMYFUNCTION("IF(ISBLANK(B128),"""",IFERROR((GOOGLEFINANCE($U$2,""price"")/INDEX(GOOGLEFINANCE($U$2,""price"",DATEVALUE(TODAY()-$S$2) ),2,2)-1),""""))"),"")</f>
        <v/>
      </c>
      <c r="W128" s="50" t="str">
        <f t="shared" si="8"/>
        <v/>
      </c>
      <c r="X128" s="50" t="str">
        <f t="shared" si="9"/>
        <v/>
      </c>
      <c r="Y128" s="50"/>
      <c r="Z128" s="50" t="str">
        <f t="shared" si="10"/>
        <v/>
      </c>
      <c r="AA128" s="14" t="str">
        <f t="shared" si="11"/>
        <v/>
      </c>
      <c r="AB128" s="50" t="str">
        <f t="shared" si="12"/>
        <v/>
      </c>
      <c r="AC128" s="179" t="str">
        <f t="shared" si="13"/>
        <v/>
      </c>
      <c r="AD128" s="50" t="str">
        <f t="shared" si="14"/>
        <v/>
      </c>
      <c r="AE128" s="180" t="str">
        <f t="shared" si="15"/>
        <v/>
      </c>
      <c r="AF128" s="14" t="str">
        <f t="array" ref="AF128">IFERROR(IF(ISBLANK(AH128),"",IF(VLOOKUP(AH128,Transactions!D:F,3,0)="Stablecoin",AH128,INDEX(Transactions!$B$3:$B149,MATCH(AH128,Transactions!$D$3:$D149,0),0))))</f>
        <v/>
      </c>
      <c r="AG128" s="14" t="str">
        <f>IF(ISBLANK(AH128),"",VLOOKUP(AH128,Transactions!D:E,2,0))</f>
        <v/>
      </c>
      <c r="AH128" s="14"/>
      <c r="AI128" s="146" t="str">
        <f>IF(ISBLANK(AH128),"",IF(
SUMIFS(Transactions!$I$3:$I149,Transactions!$H$3:$H149,"Buy",Transactions!$F$3:$F149,"Stock",Transactions!$D$3:$D149,AH128)
+SUMIFS(Transactions!$I$3:$I149,Transactions!$H$3:$H149,"DRIP",Transactions!$F$3:$F149,"Stock",Transactions!$D$3:$D149,AH128)
+SUMIFS(Transactions!$I$3:$I149,Transactions!$H$3:$H149,"Transfer Deposit",Transactions!$F$3:$F149,"Stock",Transactions!$D$3:$D149,AH128)
+SUMIFS(Transactions!$I$3:$I149,Transactions!$H$3:$H149,"Buy",Transactions!$F$3:$F149,"ETF",Transactions!$D$3:$D149,AH128)
+SUMIFS(Transactions!$I$3:$I149,Transactions!$H$3:$H149,"DRIP",Transactions!$F$3:$F149,"ETF",Transactions!$D$3:$D149,AH128)
+SUMIFS(Transactions!$I$3:$I149,Transactions!$H$3:$H149,"Transfer Deposit",Transactions!$F$3:$F149,"ETF",Transactions!$D$3:$D149,AH128)
+SUMIFS(Transactions!$I$3:$I149,Transactions!$H$3:$H149,"Buy",Transactions!$F$3:$F149,"Commodity",Transactions!$D$3:$D149,AH128)
+SUMIFS(Transactions!$I$3:$I149,Transactions!$H$3:$H149,"DRIP",Transactions!$F$3:$F149,"Commodity",Transactions!$D$3:$D149,AH128)
+SUMIFS(Transactions!$I$3:$I149,Transactions!$H$3:$H149,"Transfer Deposit",Transactions!$F$3:$F149,"Commodity",Transactions!$D$3:$D149,AH128)
+SUMIFS(Transactions!$I$3:$I149,Transactions!$H$3:$H149,"Buy",Transactions!$F$3:$F149,"Managed Fund",Transactions!$D$3:$D149,AH128)
+SUMIFS(Transactions!$I$3:$I149,Transactions!$H$3:$H149,"DRIP",Transactions!$F$3:$F149,"Managed Fund",Transactions!$D$3:$D149,AH128)
+SUMIFS(Transactions!$I$3:$I149,Transactions!$H$3:$H149,"Transfer Deposit",Transactions!$F$3:$F149,"Managed Fund",Transactions!$D$3:$D149,AH128)
+SUMIFS(Transactions!$I$3:$I149,Transactions!$H$3:$H149,"Buy",Transactions!$F$3:$F149,"REIT",Transactions!$D$3:$D149,AH128)
+SUMIFS(Transactions!$I$3:$I149,Transactions!$H$3:$H149,"DRIP",Transactions!$F$3:$F149,"REIT",Transactions!$D$3:$D149,AH128)
+SUMIFS(Transactions!$I$3:$I149,Transactions!$H$3:$H149,"Transfer Deposit",Transactions!$F$3:$F149,"REIT",Transactions!$D$3:$D149,AH128)
-SUMIFS(Transactions!$I$3:$I149,Transactions!$H$3:$H149,"Sell",Transactions!$F$3:$F149,"Stock",Transactions!$D$3:$D149,AH128)
-SUMIFS(Transactions!$I$3:$I149,Transactions!$H$3:$H149,"Transfer Send",Transactions!$F$3:$F149,"Stock",Transactions!$D$3:$D149,AH128)
-SUMIFS(Transactions!$I$3:$I149,Transactions!$H$3:$H149,"Sell",Transactions!$F$3:$F149,"ETF",Transactions!$D$3:$D149,AH128)
-SUMIFS(Transactions!$I$3:$I149,Transactions!$H$3:$H149,"Transfer Send",Transactions!$F$3:$F149,"ETF",Transactions!$D$3:$D149,AH128)
-SUMIFS(Transactions!$I$3:$I149,Transactions!$H$3:$H149,"Sell",Transactions!$F$3:$F149,"Commodity",Transactions!$D$3:$D149,AH128)
-SUMIFS(Transactions!$I$3:$I149,Transactions!$H$3:$H149,"Transfer Send",Transactions!$F$3:$F149,"Commodity",Transactions!$D$3:$D149,AH128)
-SUMIFS(Transactions!$I$3:$I149,Transactions!$H$3:$H149,"Sell",Transactions!$F$3:$F149,"Managed Fund",Transactions!$D$3:$D149,AH128)
-SUMIFS(Transactions!$I$3:$I149,Transactions!$H$3:$H149,"Transfer Send",Transactions!$F$3:$F149,"Managed Fund",Transactions!$D$3:$D149,AH128)
-SUMIFS(Transactions!$I$3:$I149,Transactions!$H$3:$H149,"Sell",Transactions!$F$3:$F149,"REIT",Transactions!$D$3:$D149,AH128)
-SUMIFS(Transactions!$I$3:$I149,Transactions!$H$3:$H149,"Transfer Send",Transactions!$F$3:$F149,"REIT",Transactions!$D$3:$D149,AH128)
+SUMIFS(Transactions!$I$3:$I149,Transactions!$H$3:$H149,"Buy",Transactions!$F$3:$F149,"Crypto",Transactions!$D$3:$D149,AH128)
+SUMIFS(Transactions!$I$3:$I149,Transactions!$H$3:$H149,"Crypto Interest",Transactions!$F$3:$F149,"Crypto",Transactions!$D$3:$D149,AH128)
+SUMIFS(Transactions!$I$3:$I149,Transactions!$H$3:$H149,"Transfer Deposit",Transactions!$F$3:$F149,"Crypto",Transactions!$D$3:$D149,AH128)
-SUMIFS(Transactions!$I$3:$I149,Transactions!$H$3:$H149,"Transfer Send",Transactions!$F$3:$F149,"Crypto",Transactions!$D$3:$D149,AH128)
-SUMIFS(Transactions!$I$3:$I149,Transactions!$H$3:$H149,"Sell",Transactions!$F$3:$F149,"Crypto",Transactions!$D$3:$D149,AH128)
+SUMIFS(Transactions!$I$3:$I149,Transactions!$H$3:$H149,"Buy",Transactions!$F$3:$F149,"Stablecoin",Transactions!$D$3:$D149,AH128)
+SUMIFS(Transactions!$I$3:$I149,Transactions!$H$3:$H149,"Crypto Interest",Transactions!$F$3:$F149,"Stablecoin",Transactions!$D$3:$D149,AH128)
+SUMIFS(Transactions!$I$3:$I149,Transactions!$H$3:$H149,"Transfer Deposit",Transactions!$F$3:$F149,"Stablecoin",Transactions!$D$3:$D149,AH128)
-SUMIFS(Transactions!$I$3:$I149,Transactions!$H$3:$H149,"Transfer Send",Transactions!$F$3:$F149,"Stablecoin",Transactions!$D$3:$D149,AH128)
-SUMIFS(Transactions!$I$3:$I149,Transactions!$H$3:$H149,"Sell",Transactions!$F$3:$F149,"Stablecoin",Transactions!$D$3:$D149,AH128)
-SUMIFS(Transactions!$M$3:$M149,Transactions!$H$3:$H149,"Buy",Transactions!$B$3:$B149,AH128)=0,"Sold All",
SUMIFS(Transactions!$I$3:$I149,Transactions!$H$3:$H149,"Buy",Transactions!$F$3:$F149,"Stock",Transactions!$D$3:$D149,AH128)
+SUMIFS(Transactions!$I$3:$I149,Transactions!$H$3:$H149,"DRIP",Transactions!$F$3:$F149,"Stock",Transactions!$D$3:$D149,AH128)
+SUMIFS(Transactions!$I$3:$I149,Transactions!$H$3:$H149,"Transfer Deposit",Transactions!$F$3:$F149,"Stock",Transactions!$D$3:$D149,AH128)
+SUMIFS(Transactions!$I$3:$I149,Transactions!$H$3:$H149,"Buy",Transactions!$F$3:$F149,"ETF",Transactions!$D$3:$D149,AH128)
+SUMIFS(Transactions!$I$3:$I149,Transactions!$H$3:$H149,"DRIP",Transactions!$F$3:$F149,"ETF",Transactions!$D$3:$D149,AH128)
+SUMIFS(Transactions!$I$3:$I149,Transactions!$H$3:$H149,"Transfer Deposit",Transactions!$F$3:$F149,"ETF",Transactions!$D$3:$D149,AH128)
+SUMIFS(Transactions!$I$3:$I149,Transactions!$H$3:$H149,"Buy",Transactions!$F$3:$F149,"Commodity",Transactions!$D$3:$D149,AH128)
+SUMIFS(Transactions!$I$3:$I149,Transactions!$H$3:$H149,"DRIP",Transactions!$F$3:$F149,"Commodity",Transactions!$D$3:$D149,AH128)
+SUMIFS(Transactions!$I$3:$I149,Transactions!$H$3:$H149,"Transfer Deposit",Transactions!$F$3:$F149,"Commodity",Transactions!$D$3:$D149,AH128)
+SUMIFS(Transactions!$I$3:$I149,Transactions!$H$3:$H149,"Buy",Transactions!$F$3:$F149,"Managed Fund",Transactions!$D$3:$D149,AH128)
+SUMIFS(Transactions!$I$3:$I149,Transactions!$H$3:$H149,"DRIP",Transactions!$F$3:$F149,"Managed Fund",Transactions!$D$3:$D149,AH128)
+SUMIFS(Transactions!$I$3:$I149,Transactions!$H$3:$H149,"Transfer Deposit",Transactions!$F$3:$F149,"Managed Fund",Transactions!$D$3:$D149,AH128)
+SUMIFS(Transactions!$I$3:$I149,Transactions!$H$3:$H149,"Buy",Transactions!$F$3:$F149,"REIT",Transactions!$D$3:$D149,AH128)
+SUMIFS(Transactions!$I$3:$I149,Transactions!$H$3:$H149,"DRIP",Transactions!$F$3:$F149,"REIT",Transactions!$D$3:$D149,AH128)
+SUMIFS(Transactions!$I$3:$I149,Transactions!$H$3:$H149,"Transfer Deposit",Transactions!$F$3:$F149,"REIT",Transactions!$D$3:$D149,AH128)
-SUMIFS(Transactions!$I$3:$I149,Transactions!$H$3:$H149,"Sell",Transactions!$F$3:$F149,"Stock",Transactions!$D$3:$D149,AH128)
-SUMIFS(Transactions!$I$3:$I149,Transactions!$H$3:$H149,"Transfer Send",Transactions!$F$3:$F149,"Stock",Transactions!$D$3:$D149,AH128)
-SUMIFS(Transactions!$I$3:$I149,Transactions!$H$3:$H149,"Sell",Transactions!$F$3:$F149,"ETF",Transactions!$D$3:$D149,AH128)
-SUMIFS(Transactions!$I$3:$I149,Transactions!$H$3:$H149,"Transfer Send",Transactions!$F$3:$F149,"ETF",Transactions!$D$3:$D149,AH128)
-SUMIFS(Transactions!$I$3:$I149,Transactions!$H$3:$H149,"Sell",Transactions!$F$3:$F149,"Commodity",Transactions!$D$3:$D149,AH128)
-SUMIFS(Transactions!$I$3:$I149,Transactions!$H$3:$H149,"Transfer Send",Transactions!$F$3:$F149,"Commodity",Transactions!$D$3:$D149,AH128)
-SUMIFS(Transactions!$I$3:$I149,Transactions!$H$3:$H149,"Sell",Transactions!$F$3:$F149,"Managed Fund",Transactions!$D$3:$D149,AH128)
-SUMIFS(Transactions!$I$3:$I149,Transactions!$H$3:$H149,"Transfer Send",Transactions!$F$3:$F149,"Managed Fund",Transactions!$D$3:$D149,AH128)
-SUMIFS(Transactions!$I$3:$I149,Transactions!$H$3:$H149,"Sell",Transactions!$F$3:$F149,"REIT",Transactions!$D$3:$D149,AH128)
-SUMIFS(Transactions!$I$3:$I149,Transactions!$H$3:$H149,"Transfer Send",Transactions!$F$3:$F149,"REIT",Transactions!$D$3:$D149,AH128)
+SUMIFS(Transactions!$I$3:$I149,Transactions!$H$3:$H149,"Buy",Transactions!$F$3:$F149,"Crypto",Transactions!$D$3:$D149,AH128)
+SUMIFS(Transactions!$I$3:$I149,Transactions!$H$3:$H149,"Crypto Interest",Transactions!$F$3:$F149,"Crypto",Transactions!$D$3:$D149,AH128)
+SUMIFS(Transactions!$I$3:$I149,Transactions!$H$3:$H149,"Transfer Deposit",Transactions!$F$3:$F149,"Crypto",Transactions!$D$3:$D149,AH128)
-SUMIFS(Transactions!$I$3:$I149,Transactions!$H$3:$H149,"Transfer Send",Transactions!$F$3:$F149,"Crypto",Transactions!$D$3:$D149,AH128)
-SUMIFS(Transactions!$I$3:$I149,Transactions!$H$3:$H149,"Sell",Transactions!$F$3:$F149,"Crypto",Transactions!$D$3:$D149,AH128)
+SUMIFS(Transactions!$I$3:$I149,Transactions!$H$3:$H149,"Buy",Transactions!$F$3:$F149,"Stablecoin",Transactions!$D$3:$D149,AH128)
+SUMIFS(Transactions!$I$3:$I149,Transactions!$H$3:$H149,"Crypto Interest",Transactions!$F$3:$F149,"Stablecoin",Transactions!$D$3:$D149,AH128)
+SUMIFS(Transactions!$I$3:$I149,Transactions!$H$3:$H149,"Transfer Deposit",Transactions!$F$3:$F149,"Stablecoin",Transactions!$D$3:$D149,AH128)
-SUMIFS(Transactions!$I$3:$I149,Transactions!$H$3:$H149,"Transfer Send",Transactions!$F$3:$F149,"Stablecoin",Transactions!$D$3:$D149,AH128)
-SUMIFS(Transactions!$I$3:$I149,Transactions!$H$3:$H149,"Sell",Transactions!$F$3:$F149,"Stablecoin",Transactions!$D$3:$D149,AH128)
-SUMIFS(Transactions!$M$3:$M149,Transactions!$H$3:$H149,"Buy",Transactions!$B$3:$B149,AH128)))</f>
        <v/>
      </c>
      <c r="AJ128" s="181" t="str">
        <f>IFERROR(__xludf.DUMMYFUNCTION("IF(ISBLANK(AH128),"""",VLOOKUP(9^99,FILTER({ROW(Transactions!P:P),Transactions!P:P},Transactions!D:D=AH128),2))"),"")</f>
        <v/>
      </c>
      <c r="AK128" s="181" t="str">
        <f>IFERROR(__xludf.DUMMYFUNCTION("IF(ISBLANK(AH128),"""",IFERROR(GOOGLEFINANCE(AH128,""price""),IFERROR(GOOGLEFINANCE(""CURRENCY:""&amp;AH128&amp;""""),IFERROR(INDEX(YAHOO_STOCK(TRIM(AH128), $G$2),0,1),INDEX(IMPORTHTML(CONCAT(""https://coinmarketcap.com/currencies/"",AG128),""table"",1),1,2)))))"),"")</f>
        <v/>
      </c>
      <c r="AL128" s="14" t="str">
        <f>IFERROR(__xludf.DUMMYFUNCTION("IF(ISBLANK(AH128),"""",IFERROR(SPARKLINE(INDEX(GOOGLEFINANCE(AH128,""price"",TODAY()-$AL$2,TODAY()),,2),{""charttype"",""column"";""color"",""17a7e0""}),""""))"),"")</f>
        <v/>
      </c>
      <c r="AM128" s="50" t="str">
        <f>IFERROR(__xludf.DUMMYFUNCTION("IFNA(IFERROR(IF(AH128="""","""",GOOGLEFINANCE(AH128,""changepct"")/100),(GOOGLEFINANCE(AH128)-(INDEX(GOOGLEFINANCE(""CURRENCY:""&amp;AH128&amp;"""",""price"",TODAY()-1),2,2)))/(INDEX(GOOGLEFINANCE(""CURRENCY:""&amp;AH128&amp;"""",""price"",TODAY()-1),2,2))),)"),"")</f>
        <v/>
      </c>
      <c r="AN128" s="96" t="str">
        <f>IFERROR(__xludf.DUMMYFUNCTION("IFNA(IFERROR(IF(AH128="""","""",GOOGLEFINANCE(AH128,""change"")*AI128),(GOOGLEFINANCE(AH128)-(INDEX(GOOGLEFINANCE(""CURRENCY:""&amp;AH128&amp;"""",""price"",TODAY()-1),2,2)))*AI128),"""")"),"")</f>
        <v/>
      </c>
      <c r="AO128" s="96" t="str">
        <f>IF(ISBLANK(AH128),"",IFERROR(((AI128-SUMIFS(Transactions!I:I,Transactions!H:H,"Crypto Interest",Transactions!D:D,AH128))*AJ128),""))</f>
        <v/>
      </c>
      <c r="AP128" s="96" t="str">
        <f t="shared" si="16"/>
        <v/>
      </c>
      <c r="AQ128" s="50" t="str">
        <f t="shared" si="17"/>
        <v/>
      </c>
      <c r="AR128" s="96" t="str">
        <f t="shared" si="18"/>
        <v/>
      </c>
      <c r="AS128" s="96" t="str">
        <f>IF(ISBLANK(AH128),"",SUMIFS(Transactions!$X$3:$X149,Transactions!$H$3:$H149,"Sell",Transactions!$D$3:$D149,AH128))</f>
        <v/>
      </c>
      <c r="AT128" s="96" t="str">
        <f t="shared" si="19"/>
        <v/>
      </c>
      <c r="AU128" s="50" t="str">
        <f>IFERROR(__xludf.DUMMYFUNCTION("IF(ISBLANK(AH128),"""",IFERROR((GOOGLEFINANCE(AH128,""price"")/INDEX(GOOGLEFINANCE(AH128,""price"",DATEVALUE(TODAY()-$AU$2) ),2,2)-1),""""))"),"")</f>
        <v/>
      </c>
      <c r="AW128" s="50" t="str">
        <f>IFERROR(__xludf.DUMMYFUNCTION("IF(ISBLANK(AH128),"""",IFERROR((GOOGLEFINANCE($AW$2,""price"")/INDEX(GOOGLEFINANCE($AW$2,""price"",DATEVALUE(TODAY()-$AU$2) ),2,2)-1),""""))"),"")</f>
        <v/>
      </c>
      <c r="AY128" s="50" t="str">
        <f t="shared" si="20"/>
        <v/>
      </c>
      <c r="AZ128" s="50" t="str">
        <f t="shared" si="21"/>
        <v/>
      </c>
      <c r="BA128" s="50" t="str">
        <f t="shared" si="22"/>
        <v/>
      </c>
      <c r="BB128" s="14" t="str">
        <f t="shared" si="23"/>
        <v/>
      </c>
      <c r="BC128" s="14" t="str">
        <f>IF(ISBLANK(AH128),"",IFERROR(VLOOKUP(AH128,Transactions!D:F,3,0)))</f>
        <v/>
      </c>
      <c r="BD128" s="50" t="str">
        <f t="shared" si="24"/>
        <v/>
      </c>
      <c r="BE128" s="50" t="str">
        <f t="shared" si="25"/>
        <v/>
      </c>
      <c r="BF128" s="14" t="str">
        <f t="shared" si="26"/>
        <v/>
      </c>
      <c r="BG128" s="180" t="str">
        <f>IF(ISBLANK(AH128),"",IFERROR(VLOOKUP(AH128,Transactions!D:G,4,0)))</f>
        <v/>
      </c>
    </row>
    <row r="129">
      <c r="A129" s="14" t="str">
        <f t="shared" ref="A129:C129" si="152">AG129</f>
        <v/>
      </c>
      <c r="B129" s="14" t="str">
        <f t="shared" si="152"/>
        <v/>
      </c>
      <c r="C129" s="175" t="str">
        <f t="shared" si="152"/>
        <v/>
      </c>
      <c r="D129" s="176" t="str">
        <f>IFERROR(__xludf.DUMMYFUNCTION("IF(ISBLANK(B129),"""",IFERROR(IF(OR(AF129=""GPB"",AF129=""ZAR""),IF(AF129=Dashboard!$L$1,AJ129,(AJ129*GOOGLEFINANCE(""CURRENCY:""&amp;AF129&amp;""""&amp;Dashboard!$L$1&amp;""""))/100),IF(AF129=Dashboard!$L$1,AJ129,AJ129*GOOGLEFINANCE(""CURRENCY:""&amp;AF129&amp;""""&amp;Dashboard!$L"&amp;"$1&amp;""""))),AJ129))"),"")</f>
        <v/>
      </c>
      <c r="E129" s="177" t="str">
        <f>IFERROR(__xludf.DUMMYFUNCTION("IFERROR(IF(OR(AF129=""GBP"",AF129=""ZAR""),IF(B129="""","""",IF(AF129=Dashboard!$L$1,AK129,AK129*GOOGLEFINANCE(""CURRENCY:""&amp;AF129&amp;""""&amp;Dashboard!$L$1&amp;"""")))/100,If(B129="""","""",IF(AF129=Dashboard!$L$1,AK129,AK129*GOOGLEFINANCE(""CURRENCY:""&amp;AF129&amp;"""""&amp;"&amp;Dashboard!$L$1&amp;"""")))),AK129)"),"")</f>
        <v/>
      </c>
      <c r="F129" s="145" t="str">
        <f t="shared" si="65"/>
        <v/>
      </c>
      <c r="G129" s="96" t="str">
        <f>IFERROR(__xludf.DUMMYFUNCTION("IF(ISBLANK(B129),"""",IFERROR(SPARKLINE(INDEX(GOOGLEFINANCE(B129,""price"",TODAY()-$G$2,TODAY()),,2),{""charttype"",""column"";""color"",""17a7e0""}),""""))"),"")</f>
        <v/>
      </c>
      <c r="H129" s="50" t="str">
        <f t="shared" si="3"/>
        <v/>
      </c>
      <c r="I129" s="96" t="str">
        <f>IFERROR(__xludf.DUMMYFUNCTION("IF(ISBLANK(B129),"""",IFERROR(IF(OR(AF129=""GPB"",AF129=""ZAR""),IF(AF129=Dashboard!$L$1,AN129,(AN129*GOOGLEFINANCE(""CURRENCY:""&amp;AF129&amp;""""&amp;Dashboard!$L$1&amp;""""))/100),IF(AF129=Dashboard!$L$1,AN129,AN129*GOOGLEFINANCE(""CURRENCY:""&amp;AF129&amp;""""&amp;Dashboard!$L"&amp;"$1&amp;""""))),AN129))"),"")</f>
        <v/>
      </c>
      <c r="J129" s="178" t="str">
        <f>IF(ISBLANK(B129),"",IFERROR(((C129-SUMIFS(Transactions!I:I,Transactions!H:H,"Crypto Interest",Transactions!D:D,B129))*D129),""))</f>
        <v/>
      </c>
      <c r="K129" s="178" t="str">
        <f t="shared" si="4"/>
        <v/>
      </c>
      <c r="L129" s="145">
        <f>IF(ISBLANK(AF129),"",SUMIFS(Transactions!$M$3:$M149,Transactions!$H$3:$H149,"Buy",Transactions!$D$3:$D149,AF129))</f>
        <v>0</v>
      </c>
      <c r="M129" s="145">
        <f>IF(ISBLANK(AG129),"",SUMIFS(Transactions!$M$3:$M149,Transactions!$H$3:$H149,"Dividend",Transactions!$D$3:$D149,AG129))</f>
        <v>0</v>
      </c>
      <c r="N129" s="145" t="str">
        <f>IF(ISBLANK(AH129),"",SUMIFS(Transactions!$M$3:$M149,Transactions!$H$3:$H149,"Sell",Transactions!$D$3:$D149,AH129))</f>
        <v/>
      </c>
      <c r="O129" s="50" t="str">
        <f t="shared" si="5"/>
        <v/>
      </c>
      <c r="P129" s="178" t="str">
        <f t="shared" si="6"/>
        <v/>
      </c>
      <c r="Q129" s="178" t="str">
        <f>IFERROR(__xludf.DUMMYFUNCTION("IF(ISBLANK(B129),"""",IFERROR(IF(OR(AF129=""GPB"",AF129=""ZAR""),IF(AF129=Dashboard!$L$1,AS129,(AS129*GOOGLEFINANCE(""CURRENCY:""&amp;AF129&amp;""""&amp;Dashboard!$L$1&amp;""""))/100),IF(AF129=Dashboard!$L$1,AS129,AS129*GOOGLEFINANCE(""CURRENCY:""&amp;AF129&amp;""""&amp;Dashboard!$L"&amp;"$1&amp;""""))),AS129))"),"")</f>
        <v/>
      </c>
      <c r="R129" s="178" t="str">
        <f t="shared" si="7"/>
        <v/>
      </c>
      <c r="S129" s="50" t="str">
        <f>IFERROR(__xludf.DUMMYFUNCTION("IF(ISBLANK(B129),"""",IFERROR((GOOGLEFINANCE(B129,""price"")/INDEX(GOOGLEFINANCE(B129,""price"",DATEVALUE(TODAY()-$S$2) ),2,2)-1),""""))"),"")</f>
        <v/>
      </c>
      <c r="U129" s="50" t="str">
        <f>IFERROR(__xludf.DUMMYFUNCTION("IF(ISBLANK(B129),"""",IFERROR((GOOGLEFINANCE($U$2,""price"")/INDEX(GOOGLEFINANCE($U$2,""price"",DATEVALUE(TODAY()-$S$2) ),2,2)-1),""""))"),"")</f>
        <v/>
      </c>
      <c r="W129" s="50" t="str">
        <f t="shared" si="8"/>
        <v/>
      </c>
      <c r="X129" s="50" t="str">
        <f t="shared" si="9"/>
        <v/>
      </c>
      <c r="Y129" s="50"/>
      <c r="Z129" s="50" t="str">
        <f t="shared" si="10"/>
        <v/>
      </c>
      <c r="AA129" s="14" t="str">
        <f t="shared" si="11"/>
        <v/>
      </c>
      <c r="AB129" s="50" t="str">
        <f t="shared" si="12"/>
        <v/>
      </c>
      <c r="AC129" s="179" t="str">
        <f t="shared" si="13"/>
        <v/>
      </c>
      <c r="AD129" s="50" t="str">
        <f t="shared" si="14"/>
        <v/>
      </c>
      <c r="AE129" s="180" t="str">
        <f t="shared" si="15"/>
        <v/>
      </c>
      <c r="AF129" s="14" t="str">
        <f t="array" ref="AF129">IFERROR(IF(ISBLANK(AH129),"",IF(VLOOKUP(AH129,Transactions!D:F,3,0)="Stablecoin",AH129,INDEX(Transactions!$B$3:$B149,MATCH(AH129,Transactions!$D$3:$D149,0),0))))</f>
        <v/>
      </c>
      <c r="AG129" s="14" t="str">
        <f>IF(ISBLANK(AH129),"",VLOOKUP(AH129,Transactions!D:E,2,0))</f>
        <v/>
      </c>
      <c r="AH129" s="14"/>
      <c r="AI129" s="146" t="str">
        <f>IF(ISBLANK(AH129),"",IF(
SUMIFS(Transactions!$I$3:$I149,Transactions!$H$3:$H149,"Buy",Transactions!$F$3:$F149,"Stock",Transactions!$D$3:$D149,AH129)
+SUMIFS(Transactions!$I$3:$I149,Transactions!$H$3:$H149,"DRIP",Transactions!$F$3:$F149,"Stock",Transactions!$D$3:$D149,AH129)
+SUMIFS(Transactions!$I$3:$I149,Transactions!$H$3:$H149,"Transfer Deposit",Transactions!$F$3:$F149,"Stock",Transactions!$D$3:$D149,AH129)
+SUMIFS(Transactions!$I$3:$I149,Transactions!$H$3:$H149,"Buy",Transactions!$F$3:$F149,"ETF",Transactions!$D$3:$D149,AH129)
+SUMIFS(Transactions!$I$3:$I149,Transactions!$H$3:$H149,"DRIP",Transactions!$F$3:$F149,"ETF",Transactions!$D$3:$D149,AH129)
+SUMIFS(Transactions!$I$3:$I149,Transactions!$H$3:$H149,"Transfer Deposit",Transactions!$F$3:$F149,"ETF",Transactions!$D$3:$D149,AH129)
+SUMIFS(Transactions!$I$3:$I149,Transactions!$H$3:$H149,"Buy",Transactions!$F$3:$F149,"Commodity",Transactions!$D$3:$D149,AH129)
+SUMIFS(Transactions!$I$3:$I149,Transactions!$H$3:$H149,"DRIP",Transactions!$F$3:$F149,"Commodity",Transactions!$D$3:$D149,AH129)
+SUMIFS(Transactions!$I$3:$I149,Transactions!$H$3:$H149,"Transfer Deposit",Transactions!$F$3:$F149,"Commodity",Transactions!$D$3:$D149,AH129)
+SUMIFS(Transactions!$I$3:$I149,Transactions!$H$3:$H149,"Buy",Transactions!$F$3:$F149,"Managed Fund",Transactions!$D$3:$D149,AH129)
+SUMIFS(Transactions!$I$3:$I149,Transactions!$H$3:$H149,"DRIP",Transactions!$F$3:$F149,"Managed Fund",Transactions!$D$3:$D149,AH129)
+SUMIFS(Transactions!$I$3:$I149,Transactions!$H$3:$H149,"Transfer Deposit",Transactions!$F$3:$F149,"Managed Fund",Transactions!$D$3:$D149,AH129)
+SUMIFS(Transactions!$I$3:$I149,Transactions!$H$3:$H149,"Buy",Transactions!$F$3:$F149,"REIT",Transactions!$D$3:$D149,AH129)
+SUMIFS(Transactions!$I$3:$I149,Transactions!$H$3:$H149,"DRIP",Transactions!$F$3:$F149,"REIT",Transactions!$D$3:$D149,AH129)
+SUMIFS(Transactions!$I$3:$I149,Transactions!$H$3:$H149,"Transfer Deposit",Transactions!$F$3:$F149,"REIT",Transactions!$D$3:$D149,AH129)
-SUMIFS(Transactions!$I$3:$I149,Transactions!$H$3:$H149,"Sell",Transactions!$F$3:$F149,"Stock",Transactions!$D$3:$D149,AH129)
-SUMIFS(Transactions!$I$3:$I149,Transactions!$H$3:$H149,"Transfer Send",Transactions!$F$3:$F149,"Stock",Transactions!$D$3:$D149,AH129)
-SUMIFS(Transactions!$I$3:$I149,Transactions!$H$3:$H149,"Sell",Transactions!$F$3:$F149,"ETF",Transactions!$D$3:$D149,AH129)
-SUMIFS(Transactions!$I$3:$I149,Transactions!$H$3:$H149,"Transfer Send",Transactions!$F$3:$F149,"ETF",Transactions!$D$3:$D149,AH129)
-SUMIFS(Transactions!$I$3:$I149,Transactions!$H$3:$H149,"Sell",Transactions!$F$3:$F149,"Commodity",Transactions!$D$3:$D149,AH129)
-SUMIFS(Transactions!$I$3:$I149,Transactions!$H$3:$H149,"Transfer Send",Transactions!$F$3:$F149,"Commodity",Transactions!$D$3:$D149,AH129)
-SUMIFS(Transactions!$I$3:$I149,Transactions!$H$3:$H149,"Sell",Transactions!$F$3:$F149,"Managed Fund",Transactions!$D$3:$D149,AH129)
-SUMIFS(Transactions!$I$3:$I149,Transactions!$H$3:$H149,"Transfer Send",Transactions!$F$3:$F149,"Managed Fund",Transactions!$D$3:$D149,AH129)
-SUMIFS(Transactions!$I$3:$I149,Transactions!$H$3:$H149,"Sell",Transactions!$F$3:$F149,"REIT",Transactions!$D$3:$D149,AH129)
-SUMIFS(Transactions!$I$3:$I149,Transactions!$H$3:$H149,"Transfer Send",Transactions!$F$3:$F149,"REIT",Transactions!$D$3:$D149,AH129)
+SUMIFS(Transactions!$I$3:$I149,Transactions!$H$3:$H149,"Buy",Transactions!$F$3:$F149,"Crypto",Transactions!$D$3:$D149,AH129)
+SUMIFS(Transactions!$I$3:$I149,Transactions!$H$3:$H149,"Crypto Interest",Transactions!$F$3:$F149,"Crypto",Transactions!$D$3:$D149,AH129)
+SUMIFS(Transactions!$I$3:$I149,Transactions!$H$3:$H149,"Transfer Deposit",Transactions!$F$3:$F149,"Crypto",Transactions!$D$3:$D149,AH129)
-SUMIFS(Transactions!$I$3:$I149,Transactions!$H$3:$H149,"Transfer Send",Transactions!$F$3:$F149,"Crypto",Transactions!$D$3:$D149,AH129)
-SUMIFS(Transactions!$I$3:$I149,Transactions!$H$3:$H149,"Sell",Transactions!$F$3:$F149,"Crypto",Transactions!$D$3:$D149,AH129)
+SUMIFS(Transactions!$I$3:$I149,Transactions!$H$3:$H149,"Buy",Transactions!$F$3:$F149,"Stablecoin",Transactions!$D$3:$D149,AH129)
+SUMIFS(Transactions!$I$3:$I149,Transactions!$H$3:$H149,"Crypto Interest",Transactions!$F$3:$F149,"Stablecoin",Transactions!$D$3:$D149,AH129)
+SUMIFS(Transactions!$I$3:$I149,Transactions!$H$3:$H149,"Transfer Deposit",Transactions!$F$3:$F149,"Stablecoin",Transactions!$D$3:$D149,AH129)
-SUMIFS(Transactions!$I$3:$I149,Transactions!$H$3:$H149,"Transfer Send",Transactions!$F$3:$F149,"Stablecoin",Transactions!$D$3:$D149,AH129)
-SUMIFS(Transactions!$I$3:$I149,Transactions!$H$3:$H149,"Sell",Transactions!$F$3:$F149,"Stablecoin",Transactions!$D$3:$D149,AH129)
-SUMIFS(Transactions!$M$3:$M149,Transactions!$H$3:$H149,"Buy",Transactions!$B$3:$B149,AH129)=0,"Sold All",
SUMIFS(Transactions!$I$3:$I149,Transactions!$H$3:$H149,"Buy",Transactions!$F$3:$F149,"Stock",Transactions!$D$3:$D149,AH129)
+SUMIFS(Transactions!$I$3:$I149,Transactions!$H$3:$H149,"DRIP",Transactions!$F$3:$F149,"Stock",Transactions!$D$3:$D149,AH129)
+SUMIFS(Transactions!$I$3:$I149,Transactions!$H$3:$H149,"Transfer Deposit",Transactions!$F$3:$F149,"Stock",Transactions!$D$3:$D149,AH129)
+SUMIFS(Transactions!$I$3:$I149,Transactions!$H$3:$H149,"Buy",Transactions!$F$3:$F149,"ETF",Transactions!$D$3:$D149,AH129)
+SUMIFS(Transactions!$I$3:$I149,Transactions!$H$3:$H149,"DRIP",Transactions!$F$3:$F149,"ETF",Transactions!$D$3:$D149,AH129)
+SUMIFS(Transactions!$I$3:$I149,Transactions!$H$3:$H149,"Transfer Deposit",Transactions!$F$3:$F149,"ETF",Transactions!$D$3:$D149,AH129)
+SUMIFS(Transactions!$I$3:$I149,Transactions!$H$3:$H149,"Buy",Transactions!$F$3:$F149,"Commodity",Transactions!$D$3:$D149,AH129)
+SUMIFS(Transactions!$I$3:$I149,Transactions!$H$3:$H149,"DRIP",Transactions!$F$3:$F149,"Commodity",Transactions!$D$3:$D149,AH129)
+SUMIFS(Transactions!$I$3:$I149,Transactions!$H$3:$H149,"Transfer Deposit",Transactions!$F$3:$F149,"Commodity",Transactions!$D$3:$D149,AH129)
+SUMIFS(Transactions!$I$3:$I149,Transactions!$H$3:$H149,"Buy",Transactions!$F$3:$F149,"Managed Fund",Transactions!$D$3:$D149,AH129)
+SUMIFS(Transactions!$I$3:$I149,Transactions!$H$3:$H149,"DRIP",Transactions!$F$3:$F149,"Managed Fund",Transactions!$D$3:$D149,AH129)
+SUMIFS(Transactions!$I$3:$I149,Transactions!$H$3:$H149,"Transfer Deposit",Transactions!$F$3:$F149,"Managed Fund",Transactions!$D$3:$D149,AH129)
+SUMIFS(Transactions!$I$3:$I149,Transactions!$H$3:$H149,"Buy",Transactions!$F$3:$F149,"REIT",Transactions!$D$3:$D149,AH129)
+SUMIFS(Transactions!$I$3:$I149,Transactions!$H$3:$H149,"DRIP",Transactions!$F$3:$F149,"REIT",Transactions!$D$3:$D149,AH129)
+SUMIFS(Transactions!$I$3:$I149,Transactions!$H$3:$H149,"Transfer Deposit",Transactions!$F$3:$F149,"REIT",Transactions!$D$3:$D149,AH129)
-SUMIFS(Transactions!$I$3:$I149,Transactions!$H$3:$H149,"Sell",Transactions!$F$3:$F149,"Stock",Transactions!$D$3:$D149,AH129)
-SUMIFS(Transactions!$I$3:$I149,Transactions!$H$3:$H149,"Transfer Send",Transactions!$F$3:$F149,"Stock",Transactions!$D$3:$D149,AH129)
-SUMIFS(Transactions!$I$3:$I149,Transactions!$H$3:$H149,"Sell",Transactions!$F$3:$F149,"ETF",Transactions!$D$3:$D149,AH129)
-SUMIFS(Transactions!$I$3:$I149,Transactions!$H$3:$H149,"Transfer Send",Transactions!$F$3:$F149,"ETF",Transactions!$D$3:$D149,AH129)
-SUMIFS(Transactions!$I$3:$I149,Transactions!$H$3:$H149,"Sell",Transactions!$F$3:$F149,"Commodity",Transactions!$D$3:$D149,AH129)
-SUMIFS(Transactions!$I$3:$I149,Transactions!$H$3:$H149,"Transfer Send",Transactions!$F$3:$F149,"Commodity",Transactions!$D$3:$D149,AH129)
-SUMIFS(Transactions!$I$3:$I149,Transactions!$H$3:$H149,"Sell",Transactions!$F$3:$F149,"Managed Fund",Transactions!$D$3:$D149,AH129)
-SUMIFS(Transactions!$I$3:$I149,Transactions!$H$3:$H149,"Transfer Send",Transactions!$F$3:$F149,"Managed Fund",Transactions!$D$3:$D149,AH129)
-SUMIFS(Transactions!$I$3:$I149,Transactions!$H$3:$H149,"Sell",Transactions!$F$3:$F149,"REIT",Transactions!$D$3:$D149,AH129)
-SUMIFS(Transactions!$I$3:$I149,Transactions!$H$3:$H149,"Transfer Send",Transactions!$F$3:$F149,"REIT",Transactions!$D$3:$D149,AH129)
+SUMIFS(Transactions!$I$3:$I149,Transactions!$H$3:$H149,"Buy",Transactions!$F$3:$F149,"Crypto",Transactions!$D$3:$D149,AH129)
+SUMIFS(Transactions!$I$3:$I149,Transactions!$H$3:$H149,"Crypto Interest",Transactions!$F$3:$F149,"Crypto",Transactions!$D$3:$D149,AH129)
+SUMIFS(Transactions!$I$3:$I149,Transactions!$H$3:$H149,"Transfer Deposit",Transactions!$F$3:$F149,"Crypto",Transactions!$D$3:$D149,AH129)
-SUMIFS(Transactions!$I$3:$I149,Transactions!$H$3:$H149,"Transfer Send",Transactions!$F$3:$F149,"Crypto",Transactions!$D$3:$D149,AH129)
-SUMIFS(Transactions!$I$3:$I149,Transactions!$H$3:$H149,"Sell",Transactions!$F$3:$F149,"Crypto",Transactions!$D$3:$D149,AH129)
+SUMIFS(Transactions!$I$3:$I149,Transactions!$H$3:$H149,"Buy",Transactions!$F$3:$F149,"Stablecoin",Transactions!$D$3:$D149,AH129)
+SUMIFS(Transactions!$I$3:$I149,Transactions!$H$3:$H149,"Crypto Interest",Transactions!$F$3:$F149,"Stablecoin",Transactions!$D$3:$D149,AH129)
+SUMIFS(Transactions!$I$3:$I149,Transactions!$H$3:$H149,"Transfer Deposit",Transactions!$F$3:$F149,"Stablecoin",Transactions!$D$3:$D149,AH129)
-SUMIFS(Transactions!$I$3:$I149,Transactions!$H$3:$H149,"Transfer Send",Transactions!$F$3:$F149,"Stablecoin",Transactions!$D$3:$D149,AH129)
-SUMIFS(Transactions!$I$3:$I149,Transactions!$H$3:$H149,"Sell",Transactions!$F$3:$F149,"Stablecoin",Transactions!$D$3:$D149,AH129)
-SUMIFS(Transactions!$M$3:$M149,Transactions!$H$3:$H149,"Buy",Transactions!$B$3:$B149,AH129)))</f>
        <v/>
      </c>
      <c r="AJ129" s="181" t="str">
        <f>IFERROR(__xludf.DUMMYFUNCTION("IF(ISBLANK(AH129),"""",VLOOKUP(9^99,FILTER({ROW(Transactions!P:P),Transactions!P:P},Transactions!D:D=AH129),2))"),"")</f>
        <v/>
      </c>
      <c r="AK129" s="181" t="str">
        <f>IFERROR(__xludf.DUMMYFUNCTION("IF(ISBLANK(AH129),"""",IFERROR(GOOGLEFINANCE(AH129,""price""),IFERROR(GOOGLEFINANCE(""CURRENCY:""&amp;AH129&amp;""""),IFERROR(INDEX(YAHOO_STOCK(TRIM(AH129), $G$2),0,1),INDEX(IMPORTHTML(CONCAT(""https://coinmarketcap.com/currencies/"",AG129),""table"",1),1,2)))))"),"")</f>
        <v/>
      </c>
      <c r="AL129" s="14" t="str">
        <f>IFERROR(__xludf.DUMMYFUNCTION("IF(ISBLANK(AH129),"""",IFERROR(SPARKLINE(INDEX(GOOGLEFINANCE(AH129,""price"",TODAY()-$AL$2,TODAY()),,2),{""charttype"",""column"";""color"",""17a7e0""}),""""))"),"")</f>
        <v/>
      </c>
      <c r="AM129" s="50" t="str">
        <f>IFERROR(__xludf.DUMMYFUNCTION("IFNA(IFERROR(IF(AH129="""","""",GOOGLEFINANCE(AH129,""changepct"")/100),(GOOGLEFINANCE(AH129)-(INDEX(GOOGLEFINANCE(""CURRENCY:""&amp;AH129&amp;"""",""price"",TODAY()-1),2,2)))/(INDEX(GOOGLEFINANCE(""CURRENCY:""&amp;AH129&amp;"""",""price"",TODAY()-1),2,2))),)"),"")</f>
        <v/>
      </c>
      <c r="AN129" s="96" t="str">
        <f>IFERROR(__xludf.DUMMYFUNCTION("IFNA(IFERROR(IF(AH129="""","""",GOOGLEFINANCE(AH129,""change"")*AI129),(GOOGLEFINANCE(AH129)-(INDEX(GOOGLEFINANCE(""CURRENCY:""&amp;AH129&amp;"""",""price"",TODAY()-1),2,2)))*AI129),"""")"),"")</f>
        <v/>
      </c>
      <c r="AO129" s="96" t="str">
        <f>IF(ISBLANK(AH129),"",IFERROR(((AI129-SUMIFS(Transactions!I:I,Transactions!H:H,"Crypto Interest",Transactions!D:D,AH129))*AJ129),""))</f>
        <v/>
      </c>
      <c r="AP129" s="96" t="str">
        <f t="shared" si="16"/>
        <v/>
      </c>
      <c r="AQ129" s="50" t="str">
        <f t="shared" si="17"/>
        <v/>
      </c>
      <c r="AR129" s="96" t="str">
        <f t="shared" si="18"/>
        <v/>
      </c>
      <c r="AS129" s="96" t="str">
        <f>IF(ISBLANK(AH129),"",SUMIFS(Transactions!$X$3:$X149,Transactions!$H$3:$H149,"Sell",Transactions!$D$3:$D149,AH129))</f>
        <v/>
      </c>
      <c r="AT129" s="96" t="str">
        <f t="shared" si="19"/>
        <v/>
      </c>
      <c r="AU129" s="50" t="str">
        <f>IFERROR(__xludf.DUMMYFUNCTION("IF(ISBLANK(AH129),"""",IFERROR((GOOGLEFINANCE(AH129,""price"")/INDEX(GOOGLEFINANCE(AH129,""price"",DATEVALUE(TODAY()-$AU$2) ),2,2)-1),""""))"),"")</f>
        <v/>
      </c>
      <c r="AW129" s="50" t="str">
        <f>IFERROR(__xludf.DUMMYFUNCTION("IF(ISBLANK(AH129),"""",IFERROR((GOOGLEFINANCE($AW$2,""price"")/INDEX(GOOGLEFINANCE($AW$2,""price"",DATEVALUE(TODAY()-$AU$2) ),2,2)-1),""""))"),"")</f>
        <v/>
      </c>
      <c r="AY129" s="50" t="str">
        <f t="shared" si="20"/>
        <v/>
      </c>
      <c r="AZ129" s="50" t="str">
        <f t="shared" si="21"/>
        <v/>
      </c>
      <c r="BA129" s="50" t="str">
        <f t="shared" si="22"/>
        <v/>
      </c>
      <c r="BB129" s="14" t="str">
        <f t="shared" si="23"/>
        <v/>
      </c>
      <c r="BC129" s="14" t="str">
        <f>IF(ISBLANK(AH129),"",IFERROR(VLOOKUP(AH129,Transactions!D:F,3,0)))</f>
        <v/>
      </c>
      <c r="BD129" s="50" t="str">
        <f t="shared" si="24"/>
        <v/>
      </c>
      <c r="BE129" s="50" t="str">
        <f t="shared" si="25"/>
        <v/>
      </c>
      <c r="BF129" s="14" t="str">
        <f t="shared" si="26"/>
        <v/>
      </c>
      <c r="BG129" s="180" t="str">
        <f>IF(ISBLANK(AH129),"",IFERROR(VLOOKUP(AH129,Transactions!D:G,4,0)))</f>
        <v/>
      </c>
    </row>
    <row r="130">
      <c r="A130" s="14" t="str">
        <f t="shared" ref="A130:C130" si="153">AG130</f>
        <v/>
      </c>
      <c r="B130" s="14" t="str">
        <f t="shared" si="153"/>
        <v/>
      </c>
      <c r="C130" s="175" t="str">
        <f t="shared" si="153"/>
        <v/>
      </c>
      <c r="D130" s="176" t="str">
        <f>IFERROR(__xludf.DUMMYFUNCTION("IF(ISBLANK(B130),"""",IFERROR(IF(OR(AF130=""GPB"",AF130=""ZAR""),IF(AF130=Dashboard!$L$1,AJ130,(AJ130*GOOGLEFINANCE(""CURRENCY:""&amp;AF130&amp;""""&amp;Dashboard!$L$1&amp;""""))/100),IF(AF130=Dashboard!$L$1,AJ130,AJ130*GOOGLEFINANCE(""CURRENCY:""&amp;AF130&amp;""""&amp;Dashboard!$L"&amp;"$1&amp;""""))),AJ130))"),"")</f>
        <v/>
      </c>
      <c r="E130" s="177" t="str">
        <f>IFERROR(__xludf.DUMMYFUNCTION("IFERROR(IF(OR(AF130=""GBP"",AF130=""ZAR""),IF(B130="""","""",IF(AF130=Dashboard!$L$1,AK130,AK130*GOOGLEFINANCE(""CURRENCY:""&amp;AF130&amp;""""&amp;Dashboard!$L$1&amp;"""")))/100,If(B130="""","""",IF(AF130=Dashboard!$L$1,AK130,AK130*GOOGLEFINANCE(""CURRENCY:""&amp;AF130&amp;"""""&amp;"&amp;Dashboard!$L$1&amp;"""")))),AK130)"),"")</f>
        <v/>
      </c>
      <c r="F130" s="145" t="str">
        <f t="shared" si="65"/>
        <v/>
      </c>
      <c r="G130" s="96" t="str">
        <f>IFERROR(__xludf.DUMMYFUNCTION("IF(ISBLANK(B130),"""",IFERROR(SPARKLINE(INDEX(GOOGLEFINANCE(B130,""price"",TODAY()-$G$2,TODAY()),,2),{""charttype"",""column"";""color"",""17a7e0""}),""""))"),"")</f>
        <v/>
      </c>
      <c r="H130" s="50" t="str">
        <f t="shared" si="3"/>
        <v/>
      </c>
      <c r="I130" s="96" t="str">
        <f>IFERROR(__xludf.DUMMYFUNCTION("IF(ISBLANK(B130),"""",IFERROR(IF(OR(AF130=""GPB"",AF130=""ZAR""),IF(AF130=Dashboard!$L$1,AN130,(AN130*GOOGLEFINANCE(""CURRENCY:""&amp;AF130&amp;""""&amp;Dashboard!$L$1&amp;""""))/100),IF(AF130=Dashboard!$L$1,AN130,AN130*GOOGLEFINANCE(""CURRENCY:""&amp;AF130&amp;""""&amp;Dashboard!$L"&amp;"$1&amp;""""))),AN130))"),"")</f>
        <v/>
      </c>
      <c r="J130" s="178" t="str">
        <f>IF(ISBLANK(B130),"",IFERROR(((C130-SUMIFS(Transactions!I:I,Transactions!H:H,"Crypto Interest",Transactions!D:D,B130))*D130),""))</f>
        <v/>
      </c>
      <c r="K130" s="178" t="str">
        <f t="shared" si="4"/>
        <v/>
      </c>
      <c r="L130" s="145">
        <f>IF(ISBLANK(AF130),"",SUMIFS(Transactions!$M$3:$M149,Transactions!$H$3:$H149,"Buy",Transactions!$D$3:$D149,AF130))</f>
        <v>0</v>
      </c>
      <c r="M130" s="145">
        <f>IF(ISBLANK(AG130),"",SUMIFS(Transactions!$M$3:$M149,Transactions!$H$3:$H149,"Dividend",Transactions!$D$3:$D149,AG130))</f>
        <v>0</v>
      </c>
      <c r="N130" s="145" t="str">
        <f>IF(ISBLANK(AH130),"",SUMIFS(Transactions!$M$3:$M149,Transactions!$H$3:$H149,"Sell",Transactions!$D$3:$D149,AH130))</f>
        <v/>
      </c>
      <c r="O130" s="50" t="str">
        <f t="shared" si="5"/>
        <v/>
      </c>
      <c r="P130" s="178" t="str">
        <f t="shared" si="6"/>
        <v/>
      </c>
      <c r="Q130" s="178" t="str">
        <f>IFERROR(__xludf.DUMMYFUNCTION("IF(ISBLANK(B130),"""",IFERROR(IF(OR(AF130=""GPB"",AF130=""ZAR""),IF(AF130=Dashboard!$L$1,AS130,(AS130*GOOGLEFINANCE(""CURRENCY:""&amp;AF130&amp;""""&amp;Dashboard!$L$1&amp;""""))/100),IF(AF130=Dashboard!$L$1,AS130,AS130*GOOGLEFINANCE(""CURRENCY:""&amp;AF130&amp;""""&amp;Dashboard!$L"&amp;"$1&amp;""""))),AS130))"),"")</f>
        <v/>
      </c>
      <c r="R130" s="178" t="str">
        <f t="shared" si="7"/>
        <v/>
      </c>
      <c r="S130" s="50" t="str">
        <f>IFERROR(__xludf.DUMMYFUNCTION("IF(ISBLANK(B130),"""",IFERROR((GOOGLEFINANCE(B130,""price"")/INDEX(GOOGLEFINANCE(B130,""price"",DATEVALUE(TODAY()-$S$2) ),2,2)-1),""""))"),"")</f>
        <v/>
      </c>
      <c r="U130" s="50" t="str">
        <f>IFERROR(__xludf.DUMMYFUNCTION("IF(ISBLANK(B130),"""",IFERROR((GOOGLEFINANCE($U$2,""price"")/INDEX(GOOGLEFINANCE($U$2,""price"",DATEVALUE(TODAY()-$S$2) ),2,2)-1),""""))"),"")</f>
        <v/>
      </c>
      <c r="W130" s="50" t="str">
        <f t="shared" si="8"/>
        <v/>
      </c>
      <c r="X130" s="50" t="str">
        <f t="shared" si="9"/>
        <v/>
      </c>
      <c r="Y130" s="50"/>
      <c r="Z130" s="50" t="str">
        <f t="shared" si="10"/>
        <v/>
      </c>
      <c r="AA130" s="14" t="str">
        <f t="shared" si="11"/>
        <v/>
      </c>
      <c r="AB130" s="50" t="str">
        <f t="shared" si="12"/>
        <v/>
      </c>
      <c r="AC130" s="179" t="str">
        <f t="shared" si="13"/>
        <v/>
      </c>
      <c r="AD130" s="50" t="str">
        <f t="shared" si="14"/>
        <v/>
      </c>
      <c r="AE130" s="180" t="str">
        <f t="shared" si="15"/>
        <v/>
      </c>
      <c r="AF130" s="14" t="str">
        <f t="array" ref="AF130">IFERROR(IF(ISBLANK(AH130),"",IF(VLOOKUP(AH130,Transactions!D:F,3,0)="Stablecoin",AH130,INDEX(Transactions!$B$3:$B149,MATCH(AH130,Transactions!$D$3:$D149,0),0))))</f>
        <v/>
      </c>
      <c r="AG130" s="14" t="str">
        <f>IF(ISBLANK(AH130),"",VLOOKUP(AH130,Transactions!D:E,2,0))</f>
        <v/>
      </c>
      <c r="AH130" s="14"/>
      <c r="AI130" s="146" t="str">
        <f>IF(ISBLANK(AH130),"",IF(
SUMIFS(Transactions!$I$3:$I149,Transactions!$H$3:$H149,"Buy",Transactions!$F$3:$F149,"Stock",Transactions!$D$3:$D149,AH130)
+SUMIFS(Transactions!$I$3:$I149,Transactions!$H$3:$H149,"DRIP",Transactions!$F$3:$F149,"Stock",Transactions!$D$3:$D149,AH130)
+SUMIFS(Transactions!$I$3:$I149,Transactions!$H$3:$H149,"Transfer Deposit",Transactions!$F$3:$F149,"Stock",Transactions!$D$3:$D149,AH130)
+SUMIFS(Transactions!$I$3:$I149,Transactions!$H$3:$H149,"Buy",Transactions!$F$3:$F149,"ETF",Transactions!$D$3:$D149,AH130)
+SUMIFS(Transactions!$I$3:$I149,Transactions!$H$3:$H149,"DRIP",Transactions!$F$3:$F149,"ETF",Transactions!$D$3:$D149,AH130)
+SUMIFS(Transactions!$I$3:$I149,Transactions!$H$3:$H149,"Transfer Deposit",Transactions!$F$3:$F149,"ETF",Transactions!$D$3:$D149,AH130)
+SUMIFS(Transactions!$I$3:$I149,Transactions!$H$3:$H149,"Buy",Transactions!$F$3:$F149,"Commodity",Transactions!$D$3:$D149,AH130)
+SUMIFS(Transactions!$I$3:$I149,Transactions!$H$3:$H149,"DRIP",Transactions!$F$3:$F149,"Commodity",Transactions!$D$3:$D149,AH130)
+SUMIFS(Transactions!$I$3:$I149,Transactions!$H$3:$H149,"Transfer Deposit",Transactions!$F$3:$F149,"Commodity",Transactions!$D$3:$D149,AH130)
+SUMIFS(Transactions!$I$3:$I149,Transactions!$H$3:$H149,"Buy",Transactions!$F$3:$F149,"Managed Fund",Transactions!$D$3:$D149,AH130)
+SUMIFS(Transactions!$I$3:$I149,Transactions!$H$3:$H149,"DRIP",Transactions!$F$3:$F149,"Managed Fund",Transactions!$D$3:$D149,AH130)
+SUMIFS(Transactions!$I$3:$I149,Transactions!$H$3:$H149,"Transfer Deposit",Transactions!$F$3:$F149,"Managed Fund",Transactions!$D$3:$D149,AH130)
+SUMIFS(Transactions!$I$3:$I149,Transactions!$H$3:$H149,"Buy",Transactions!$F$3:$F149,"REIT",Transactions!$D$3:$D149,AH130)
+SUMIFS(Transactions!$I$3:$I149,Transactions!$H$3:$H149,"DRIP",Transactions!$F$3:$F149,"REIT",Transactions!$D$3:$D149,AH130)
+SUMIFS(Transactions!$I$3:$I149,Transactions!$H$3:$H149,"Transfer Deposit",Transactions!$F$3:$F149,"REIT",Transactions!$D$3:$D149,AH130)
-SUMIFS(Transactions!$I$3:$I149,Transactions!$H$3:$H149,"Sell",Transactions!$F$3:$F149,"Stock",Transactions!$D$3:$D149,AH130)
-SUMIFS(Transactions!$I$3:$I149,Transactions!$H$3:$H149,"Transfer Send",Transactions!$F$3:$F149,"Stock",Transactions!$D$3:$D149,AH130)
-SUMIFS(Transactions!$I$3:$I149,Transactions!$H$3:$H149,"Sell",Transactions!$F$3:$F149,"ETF",Transactions!$D$3:$D149,AH130)
-SUMIFS(Transactions!$I$3:$I149,Transactions!$H$3:$H149,"Transfer Send",Transactions!$F$3:$F149,"ETF",Transactions!$D$3:$D149,AH130)
-SUMIFS(Transactions!$I$3:$I149,Transactions!$H$3:$H149,"Sell",Transactions!$F$3:$F149,"Commodity",Transactions!$D$3:$D149,AH130)
-SUMIFS(Transactions!$I$3:$I149,Transactions!$H$3:$H149,"Transfer Send",Transactions!$F$3:$F149,"Commodity",Transactions!$D$3:$D149,AH130)
-SUMIFS(Transactions!$I$3:$I149,Transactions!$H$3:$H149,"Sell",Transactions!$F$3:$F149,"Managed Fund",Transactions!$D$3:$D149,AH130)
-SUMIFS(Transactions!$I$3:$I149,Transactions!$H$3:$H149,"Transfer Send",Transactions!$F$3:$F149,"Managed Fund",Transactions!$D$3:$D149,AH130)
-SUMIFS(Transactions!$I$3:$I149,Transactions!$H$3:$H149,"Sell",Transactions!$F$3:$F149,"REIT",Transactions!$D$3:$D149,AH130)
-SUMIFS(Transactions!$I$3:$I149,Transactions!$H$3:$H149,"Transfer Send",Transactions!$F$3:$F149,"REIT",Transactions!$D$3:$D149,AH130)
+SUMIFS(Transactions!$I$3:$I149,Transactions!$H$3:$H149,"Buy",Transactions!$F$3:$F149,"Crypto",Transactions!$D$3:$D149,AH130)
+SUMIFS(Transactions!$I$3:$I149,Transactions!$H$3:$H149,"Crypto Interest",Transactions!$F$3:$F149,"Crypto",Transactions!$D$3:$D149,AH130)
+SUMIFS(Transactions!$I$3:$I149,Transactions!$H$3:$H149,"Transfer Deposit",Transactions!$F$3:$F149,"Crypto",Transactions!$D$3:$D149,AH130)
-SUMIFS(Transactions!$I$3:$I149,Transactions!$H$3:$H149,"Transfer Send",Transactions!$F$3:$F149,"Crypto",Transactions!$D$3:$D149,AH130)
-SUMIFS(Transactions!$I$3:$I149,Transactions!$H$3:$H149,"Sell",Transactions!$F$3:$F149,"Crypto",Transactions!$D$3:$D149,AH130)
+SUMIFS(Transactions!$I$3:$I149,Transactions!$H$3:$H149,"Buy",Transactions!$F$3:$F149,"Stablecoin",Transactions!$D$3:$D149,AH130)
+SUMIFS(Transactions!$I$3:$I149,Transactions!$H$3:$H149,"Crypto Interest",Transactions!$F$3:$F149,"Stablecoin",Transactions!$D$3:$D149,AH130)
+SUMIFS(Transactions!$I$3:$I149,Transactions!$H$3:$H149,"Transfer Deposit",Transactions!$F$3:$F149,"Stablecoin",Transactions!$D$3:$D149,AH130)
-SUMIFS(Transactions!$I$3:$I149,Transactions!$H$3:$H149,"Transfer Send",Transactions!$F$3:$F149,"Stablecoin",Transactions!$D$3:$D149,AH130)
-SUMIFS(Transactions!$I$3:$I149,Transactions!$H$3:$H149,"Sell",Transactions!$F$3:$F149,"Stablecoin",Transactions!$D$3:$D149,AH130)
-SUMIFS(Transactions!$M$3:$M149,Transactions!$H$3:$H149,"Buy",Transactions!$B$3:$B149,AH130)=0,"Sold All",
SUMIFS(Transactions!$I$3:$I149,Transactions!$H$3:$H149,"Buy",Transactions!$F$3:$F149,"Stock",Transactions!$D$3:$D149,AH130)
+SUMIFS(Transactions!$I$3:$I149,Transactions!$H$3:$H149,"DRIP",Transactions!$F$3:$F149,"Stock",Transactions!$D$3:$D149,AH130)
+SUMIFS(Transactions!$I$3:$I149,Transactions!$H$3:$H149,"Transfer Deposit",Transactions!$F$3:$F149,"Stock",Transactions!$D$3:$D149,AH130)
+SUMIFS(Transactions!$I$3:$I149,Transactions!$H$3:$H149,"Buy",Transactions!$F$3:$F149,"ETF",Transactions!$D$3:$D149,AH130)
+SUMIFS(Transactions!$I$3:$I149,Transactions!$H$3:$H149,"DRIP",Transactions!$F$3:$F149,"ETF",Transactions!$D$3:$D149,AH130)
+SUMIFS(Transactions!$I$3:$I149,Transactions!$H$3:$H149,"Transfer Deposit",Transactions!$F$3:$F149,"ETF",Transactions!$D$3:$D149,AH130)
+SUMIFS(Transactions!$I$3:$I149,Transactions!$H$3:$H149,"Buy",Transactions!$F$3:$F149,"Commodity",Transactions!$D$3:$D149,AH130)
+SUMIFS(Transactions!$I$3:$I149,Transactions!$H$3:$H149,"DRIP",Transactions!$F$3:$F149,"Commodity",Transactions!$D$3:$D149,AH130)
+SUMIFS(Transactions!$I$3:$I149,Transactions!$H$3:$H149,"Transfer Deposit",Transactions!$F$3:$F149,"Commodity",Transactions!$D$3:$D149,AH130)
+SUMIFS(Transactions!$I$3:$I149,Transactions!$H$3:$H149,"Buy",Transactions!$F$3:$F149,"Managed Fund",Transactions!$D$3:$D149,AH130)
+SUMIFS(Transactions!$I$3:$I149,Transactions!$H$3:$H149,"DRIP",Transactions!$F$3:$F149,"Managed Fund",Transactions!$D$3:$D149,AH130)
+SUMIFS(Transactions!$I$3:$I149,Transactions!$H$3:$H149,"Transfer Deposit",Transactions!$F$3:$F149,"Managed Fund",Transactions!$D$3:$D149,AH130)
+SUMIFS(Transactions!$I$3:$I149,Transactions!$H$3:$H149,"Buy",Transactions!$F$3:$F149,"REIT",Transactions!$D$3:$D149,AH130)
+SUMIFS(Transactions!$I$3:$I149,Transactions!$H$3:$H149,"DRIP",Transactions!$F$3:$F149,"REIT",Transactions!$D$3:$D149,AH130)
+SUMIFS(Transactions!$I$3:$I149,Transactions!$H$3:$H149,"Transfer Deposit",Transactions!$F$3:$F149,"REIT",Transactions!$D$3:$D149,AH130)
-SUMIFS(Transactions!$I$3:$I149,Transactions!$H$3:$H149,"Sell",Transactions!$F$3:$F149,"Stock",Transactions!$D$3:$D149,AH130)
-SUMIFS(Transactions!$I$3:$I149,Transactions!$H$3:$H149,"Transfer Send",Transactions!$F$3:$F149,"Stock",Transactions!$D$3:$D149,AH130)
-SUMIFS(Transactions!$I$3:$I149,Transactions!$H$3:$H149,"Sell",Transactions!$F$3:$F149,"ETF",Transactions!$D$3:$D149,AH130)
-SUMIFS(Transactions!$I$3:$I149,Transactions!$H$3:$H149,"Transfer Send",Transactions!$F$3:$F149,"ETF",Transactions!$D$3:$D149,AH130)
-SUMIFS(Transactions!$I$3:$I149,Transactions!$H$3:$H149,"Sell",Transactions!$F$3:$F149,"Commodity",Transactions!$D$3:$D149,AH130)
-SUMIFS(Transactions!$I$3:$I149,Transactions!$H$3:$H149,"Transfer Send",Transactions!$F$3:$F149,"Commodity",Transactions!$D$3:$D149,AH130)
-SUMIFS(Transactions!$I$3:$I149,Transactions!$H$3:$H149,"Sell",Transactions!$F$3:$F149,"Managed Fund",Transactions!$D$3:$D149,AH130)
-SUMIFS(Transactions!$I$3:$I149,Transactions!$H$3:$H149,"Transfer Send",Transactions!$F$3:$F149,"Managed Fund",Transactions!$D$3:$D149,AH130)
-SUMIFS(Transactions!$I$3:$I149,Transactions!$H$3:$H149,"Sell",Transactions!$F$3:$F149,"REIT",Transactions!$D$3:$D149,AH130)
-SUMIFS(Transactions!$I$3:$I149,Transactions!$H$3:$H149,"Transfer Send",Transactions!$F$3:$F149,"REIT",Transactions!$D$3:$D149,AH130)
+SUMIFS(Transactions!$I$3:$I149,Transactions!$H$3:$H149,"Buy",Transactions!$F$3:$F149,"Crypto",Transactions!$D$3:$D149,AH130)
+SUMIFS(Transactions!$I$3:$I149,Transactions!$H$3:$H149,"Crypto Interest",Transactions!$F$3:$F149,"Crypto",Transactions!$D$3:$D149,AH130)
+SUMIFS(Transactions!$I$3:$I149,Transactions!$H$3:$H149,"Transfer Deposit",Transactions!$F$3:$F149,"Crypto",Transactions!$D$3:$D149,AH130)
-SUMIFS(Transactions!$I$3:$I149,Transactions!$H$3:$H149,"Transfer Send",Transactions!$F$3:$F149,"Crypto",Transactions!$D$3:$D149,AH130)
-SUMIFS(Transactions!$I$3:$I149,Transactions!$H$3:$H149,"Sell",Transactions!$F$3:$F149,"Crypto",Transactions!$D$3:$D149,AH130)
+SUMIFS(Transactions!$I$3:$I149,Transactions!$H$3:$H149,"Buy",Transactions!$F$3:$F149,"Stablecoin",Transactions!$D$3:$D149,AH130)
+SUMIFS(Transactions!$I$3:$I149,Transactions!$H$3:$H149,"Crypto Interest",Transactions!$F$3:$F149,"Stablecoin",Transactions!$D$3:$D149,AH130)
+SUMIFS(Transactions!$I$3:$I149,Transactions!$H$3:$H149,"Transfer Deposit",Transactions!$F$3:$F149,"Stablecoin",Transactions!$D$3:$D149,AH130)
-SUMIFS(Transactions!$I$3:$I149,Transactions!$H$3:$H149,"Transfer Send",Transactions!$F$3:$F149,"Stablecoin",Transactions!$D$3:$D149,AH130)
-SUMIFS(Transactions!$I$3:$I149,Transactions!$H$3:$H149,"Sell",Transactions!$F$3:$F149,"Stablecoin",Transactions!$D$3:$D149,AH130)
-SUMIFS(Transactions!$M$3:$M149,Transactions!$H$3:$H149,"Buy",Transactions!$B$3:$B149,AH130)))</f>
        <v/>
      </c>
      <c r="AJ130" s="181" t="str">
        <f>IFERROR(__xludf.DUMMYFUNCTION("IF(ISBLANK(AH130),"""",VLOOKUP(9^99,FILTER({ROW(Transactions!P:P),Transactions!P:P},Transactions!D:D=AH130),2))"),"")</f>
        <v/>
      </c>
      <c r="AK130" s="181" t="str">
        <f>IFERROR(__xludf.DUMMYFUNCTION("IF(ISBLANK(AH130),"""",IFERROR(GOOGLEFINANCE(AH130,""price""),IFERROR(GOOGLEFINANCE(""CURRENCY:""&amp;AH130&amp;""""),IFERROR(INDEX(YAHOO_STOCK(TRIM(AH130), $G$2),0,1),INDEX(IMPORTHTML(CONCAT(""https://coinmarketcap.com/currencies/"",AG130),""table"",1),1,2)))))"),"")</f>
        <v/>
      </c>
      <c r="AL130" s="14" t="str">
        <f>IFERROR(__xludf.DUMMYFUNCTION("IF(ISBLANK(AH130),"""",IFERROR(SPARKLINE(INDEX(GOOGLEFINANCE(AH130,""price"",TODAY()-$AL$2,TODAY()),,2),{""charttype"",""column"";""color"",""17a7e0""}),""""))"),"")</f>
        <v/>
      </c>
      <c r="AM130" s="50" t="str">
        <f>IFERROR(__xludf.DUMMYFUNCTION("IFNA(IFERROR(IF(AH130="""","""",GOOGLEFINANCE(AH130,""changepct"")/100),(GOOGLEFINANCE(AH130)-(INDEX(GOOGLEFINANCE(""CURRENCY:""&amp;AH130&amp;"""",""price"",TODAY()-1),2,2)))/(INDEX(GOOGLEFINANCE(""CURRENCY:""&amp;AH130&amp;"""",""price"",TODAY()-1),2,2))),)"),"")</f>
        <v/>
      </c>
      <c r="AN130" s="96" t="str">
        <f>IFERROR(__xludf.DUMMYFUNCTION("IFNA(IFERROR(IF(AH130="""","""",GOOGLEFINANCE(AH130,""change"")*AI130),(GOOGLEFINANCE(AH130)-(INDEX(GOOGLEFINANCE(""CURRENCY:""&amp;AH130&amp;"""",""price"",TODAY()-1),2,2)))*AI130),"""")"),"")</f>
        <v/>
      </c>
      <c r="AO130" s="96" t="str">
        <f>IF(ISBLANK(AH130),"",IFERROR(((AI130-SUMIFS(Transactions!I:I,Transactions!H:H,"Crypto Interest",Transactions!D:D,AH130))*AJ130),""))</f>
        <v/>
      </c>
      <c r="AP130" s="96" t="str">
        <f t="shared" si="16"/>
        <v/>
      </c>
      <c r="AQ130" s="50" t="str">
        <f t="shared" si="17"/>
        <v/>
      </c>
      <c r="AR130" s="96" t="str">
        <f t="shared" si="18"/>
        <v/>
      </c>
      <c r="AS130" s="96" t="str">
        <f>IF(ISBLANK(AH130),"",SUMIFS(Transactions!$X$3:$X149,Transactions!$H$3:$H149,"Sell",Transactions!$D$3:$D149,AH130))</f>
        <v/>
      </c>
      <c r="AT130" s="96" t="str">
        <f t="shared" si="19"/>
        <v/>
      </c>
      <c r="AU130" s="50" t="str">
        <f>IFERROR(__xludf.DUMMYFUNCTION("IF(ISBLANK(AH130),"""",IFERROR((GOOGLEFINANCE(AH130,""price"")/INDEX(GOOGLEFINANCE(AH130,""price"",DATEVALUE(TODAY()-$AU$2) ),2,2)-1),""""))"),"")</f>
        <v/>
      </c>
      <c r="AW130" s="50" t="str">
        <f>IFERROR(__xludf.DUMMYFUNCTION("IF(ISBLANK(AH130),"""",IFERROR((GOOGLEFINANCE($AW$2,""price"")/INDEX(GOOGLEFINANCE($AW$2,""price"",DATEVALUE(TODAY()-$AU$2) ),2,2)-1),""""))"),"")</f>
        <v/>
      </c>
      <c r="AY130" s="50" t="str">
        <f t="shared" si="20"/>
        <v/>
      </c>
      <c r="AZ130" s="50" t="str">
        <f t="shared" si="21"/>
        <v/>
      </c>
      <c r="BA130" s="50" t="str">
        <f t="shared" si="22"/>
        <v/>
      </c>
      <c r="BB130" s="14" t="str">
        <f t="shared" si="23"/>
        <v/>
      </c>
      <c r="BC130" s="14" t="str">
        <f>IF(ISBLANK(AH130),"",IFERROR(VLOOKUP(AH130,Transactions!D:F,3,0)))</f>
        <v/>
      </c>
      <c r="BD130" s="50" t="str">
        <f t="shared" si="24"/>
        <v/>
      </c>
      <c r="BE130" s="50" t="str">
        <f t="shared" si="25"/>
        <v/>
      </c>
      <c r="BF130" s="14" t="str">
        <f t="shared" si="26"/>
        <v/>
      </c>
      <c r="BG130" s="180" t="str">
        <f>IF(ISBLANK(AH130),"",IFERROR(VLOOKUP(AH130,Transactions!D:G,4,0)))</f>
        <v/>
      </c>
    </row>
    <row r="131">
      <c r="A131" s="14" t="str">
        <f t="shared" ref="A131:C131" si="154">AG131</f>
        <v/>
      </c>
      <c r="B131" s="14" t="str">
        <f t="shared" si="154"/>
        <v/>
      </c>
      <c r="C131" s="175" t="str">
        <f t="shared" si="154"/>
        <v/>
      </c>
      <c r="D131" s="176" t="str">
        <f>IFERROR(__xludf.DUMMYFUNCTION("IF(ISBLANK(B131),"""",IFERROR(IF(OR(AF131=""GPB"",AF131=""ZAR""),IF(AF131=Dashboard!$L$1,AJ131,(AJ131*GOOGLEFINANCE(""CURRENCY:""&amp;AF131&amp;""""&amp;Dashboard!$L$1&amp;""""))/100),IF(AF131=Dashboard!$L$1,AJ131,AJ131*GOOGLEFINANCE(""CURRENCY:""&amp;AF131&amp;""""&amp;Dashboard!$L"&amp;"$1&amp;""""))),AJ131))"),"")</f>
        <v/>
      </c>
      <c r="E131" s="177" t="str">
        <f>IFERROR(__xludf.DUMMYFUNCTION("IFERROR(IF(OR(AF131=""GBP"",AF131=""ZAR""),IF(B131="""","""",IF(AF131=Dashboard!$L$1,AK131,AK131*GOOGLEFINANCE(""CURRENCY:""&amp;AF131&amp;""""&amp;Dashboard!$L$1&amp;"""")))/100,If(B131="""","""",IF(AF131=Dashboard!$L$1,AK131,AK131*GOOGLEFINANCE(""CURRENCY:""&amp;AF131&amp;"""""&amp;"&amp;Dashboard!$L$1&amp;"""")))),AK131)"),"")</f>
        <v/>
      </c>
      <c r="F131" s="145" t="str">
        <f t="shared" si="65"/>
        <v/>
      </c>
      <c r="G131" s="96" t="str">
        <f>IFERROR(__xludf.DUMMYFUNCTION("IF(ISBLANK(B131),"""",IFERROR(SPARKLINE(INDEX(GOOGLEFINANCE(B131,""price"",TODAY()-$G$2,TODAY()),,2),{""charttype"",""column"";""color"",""17a7e0""}),""""))"),"")</f>
        <v/>
      </c>
      <c r="H131" s="50" t="str">
        <f t="shared" si="3"/>
        <v/>
      </c>
      <c r="I131" s="96" t="str">
        <f>IFERROR(__xludf.DUMMYFUNCTION("IF(ISBLANK(B131),"""",IFERROR(IF(OR(AF131=""GPB"",AF131=""ZAR""),IF(AF131=Dashboard!$L$1,AN131,(AN131*GOOGLEFINANCE(""CURRENCY:""&amp;AF131&amp;""""&amp;Dashboard!$L$1&amp;""""))/100),IF(AF131=Dashboard!$L$1,AN131,AN131*GOOGLEFINANCE(""CURRENCY:""&amp;AF131&amp;""""&amp;Dashboard!$L"&amp;"$1&amp;""""))),AN131))"),"")</f>
        <v/>
      </c>
      <c r="J131" s="178" t="str">
        <f>IF(ISBLANK(B131),"",IFERROR(((C131-SUMIFS(Transactions!I:I,Transactions!H:H,"Crypto Interest",Transactions!D:D,B131))*D131),""))</f>
        <v/>
      </c>
      <c r="K131" s="178" t="str">
        <f t="shared" si="4"/>
        <v/>
      </c>
      <c r="L131" s="145">
        <f>IF(ISBLANK(AF131),"",SUMIFS(Transactions!$M$3:$M149,Transactions!$H$3:$H149,"Buy",Transactions!$D$3:$D149,AF131))</f>
        <v>0</v>
      </c>
      <c r="M131" s="145">
        <f>IF(ISBLANK(AG131),"",SUMIFS(Transactions!$M$3:$M149,Transactions!$H$3:$H149,"Dividend",Transactions!$D$3:$D149,AG131))</f>
        <v>0</v>
      </c>
      <c r="N131" s="145" t="str">
        <f>IF(ISBLANK(AH131),"",SUMIFS(Transactions!$M$3:$M149,Transactions!$H$3:$H149,"Sell",Transactions!$D$3:$D149,AH131))</f>
        <v/>
      </c>
      <c r="O131" s="50" t="str">
        <f t="shared" si="5"/>
        <v/>
      </c>
      <c r="P131" s="178" t="str">
        <f t="shared" si="6"/>
        <v/>
      </c>
      <c r="Q131" s="178" t="str">
        <f>IFERROR(__xludf.DUMMYFUNCTION("IF(ISBLANK(B131),"""",IFERROR(IF(OR(AF131=""GPB"",AF131=""ZAR""),IF(AF131=Dashboard!$L$1,AS131,(AS131*GOOGLEFINANCE(""CURRENCY:""&amp;AF131&amp;""""&amp;Dashboard!$L$1&amp;""""))/100),IF(AF131=Dashboard!$L$1,AS131,AS131*GOOGLEFINANCE(""CURRENCY:""&amp;AF131&amp;""""&amp;Dashboard!$L"&amp;"$1&amp;""""))),AS131))"),"")</f>
        <v/>
      </c>
      <c r="R131" s="178" t="str">
        <f t="shared" si="7"/>
        <v/>
      </c>
      <c r="S131" s="50" t="str">
        <f>IFERROR(__xludf.DUMMYFUNCTION("IF(ISBLANK(B131),"""",IFERROR((GOOGLEFINANCE(B131,""price"")/INDEX(GOOGLEFINANCE(B131,""price"",DATEVALUE(TODAY()-$S$2) ),2,2)-1),""""))"),"")</f>
        <v/>
      </c>
      <c r="U131" s="50" t="str">
        <f>IFERROR(__xludf.DUMMYFUNCTION("IF(ISBLANK(B131),"""",IFERROR((GOOGLEFINANCE($U$2,""price"")/INDEX(GOOGLEFINANCE($U$2,""price"",DATEVALUE(TODAY()-$S$2) ),2,2)-1),""""))"),"")</f>
        <v/>
      </c>
      <c r="W131" s="50" t="str">
        <f t="shared" si="8"/>
        <v/>
      </c>
      <c r="X131" s="50" t="str">
        <f t="shared" si="9"/>
        <v/>
      </c>
      <c r="Y131" s="50"/>
      <c r="Z131" s="50" t="str">
        <f t="shared" si="10"/>
        <v/>
      </c>
      <c r="AA131" s="14" t="str">
        <f t="shared" si="11"/>
        <v/>
      </c>
      <c r="AB131" s="50" t="str">
        <f t="shared" si="12"/>
        <v/>
      </c>
      <c r="AC131" s="179" t="str">
        <f t="shared" si="13"/>
        <v/>
      </c>
      <c r="AD131" s="50" t="str">
        <f t="shared" si="14"/>
        <v/>
      </c>
      <c r="AE131" s="180" t="str">
        <f t="shared" si="15"/>
        <v/>
      </c>
      <c r="AF131" s="14" t="str">
        <f t="array" ref="AF131">IFERROR(IF(ISBLANK(AH131),"",IF(VLOOKUP(AH131,Transactions!D:F,3,0)="Stablecoin",AH131,INDEX(Transactions!$B$3:$B149,MATCH(AH131,Transactions!$D$3:$D149,0),0))))</f>
        <v/>
      </c>
      <c r="AG131" s="14" t="str">
        <f>IF(ISBLANK(AH131),"",VLOOKUP(AH131,Transactions!D:E,2,0))</f>
        <v/>
      </c>
      <c r="AH131" s="14"/>
      <c r="AI131" s="146" t="str">
        <f>IF(ISBLANK(AH131),"",IF(
SUMIFS(Transactions!$I$3:$I149,Transactions!$H$3:$H149,"Buy",Transactions!$F$3:$F149,"Stock",Transactions!$D$3:$D149,AH131)
+SUMIFS(Transactions!$I$3:$I149,Transactions!$H$3:$H149,"DRIP",Transactions!$F$3:$F149,"Stock",Transactions!$D$3:$D149,AH131)
+SUMIFS(Transactions!$I$3:$I149,Transactions!$H$3:$H149,"Transfer Deposit",Transactions!$F$3:$F149,"Stock",Transactions!$D$3:$D149,AH131)
+SUMIFS(Transactions!$I$3:$I149,Transactions!$H$3:$H149,"Buy",Transactions!$F$3:$F149,"ETF",Transactions!$D$3:$D149,AH131)
+SUMIFS(Transactions!$I$3:$I149,Transactions!$H$3:$H149,"DRIP",Transactions!$F$3:$F149,"ETF",Transactions!$D$3:$D149,AH131)
+SUMIFS(Transactions!$I$3:$I149,Transactions!$H$3:$H149,"Transfer Deposit",Transactions!$F$3:$F149,"ETF",Transactions!$D$3:$D149,AH131)
+SUMIFS(Transactions!$I$3:$I149,Transactions!$H$3:$H149,"Buy",Transactions!$F$3:$F149,"Commodity",Transactions!$D$3:$D149,AH131)
+SUMIFS(Transactions!$I$3:$I149,Transactions!$H$3:$H149,"DRIP",Transactions!$F$3:$F149,"Commodity",Transactions!$D$3:$D149,AH131)
+SUMIFS(Transactions!$I$3:$I149,Transactions!$H$3:$H149,"Transfer Deposit",Transactions!$F$3:$F149,"Commodity",Transactions!$D$3:$D149,AH131)
+SUMIFS(Transactions!$I$3:$I149,Transactions!$H$3:$H149,"Buy",Transactions!$F$3:$F149,"Managed Fund",Transactions!$D$3:$D149,AH131)
+SUMIFS(Transactions!$I$3:$I149,Transactions!$H$3:$H149,"DRIP",Transactions!$F$3:$F149,"Managed Fund",Transactions!$D$3:$D149,AH131)
+SUMIFS(Transactions!$I$3:$I149,Transactions!$H$3:$H149,"Transfer Deposit",Transactions!$F$3:$F149,"Managed Fund",Transactions!$D$3:$D149,AH131)
+SUMIFS(Transactions!$I$3:$I149,Transactions!$H$3:$H149,"Buy",Transactions!$F$3:$F149,"REIT",Transactions!$D$3:$D149,AH131)
+SUMIFS(Transactions!$I$3:$I149,Transactions!$H$3:$H149,"DRIP",Transactions!$F$3:$F149,"REIT",Transactions!$D$3:$D149,AH131)
+SUMIFS(Transactions!$I$3:$I149,Transactions!$H$3:$H149,"Transfer Deposit",Transactions!$F$3:$F149,"REIT",Transactions!$D$3:$D149,AH131)
-SUMIFS(Transactions!$I$3:$I149,Transactions!$H$3:$H149,"Sell",Transactions!$F$3:$F149,"Stock",Transactions!$D$3:$D149,AH131)
-SUMIFS(Transactions!$I$3:$I149,Transactions!$H$3:$H149,"Transfer Send",Transactions!$F$3:$F149,"Stock",Transactions!$D$3:$D149,AH131)
-SUMIFS(Transactions!$I$3:$I149,Transactions!$H$3:$H149,"Sell",Transactions!$F$3:$F149,"ETF",Transactions!$D$3:$D149,AH131)
-SUMIFS(Transactions!$I$3:$I149,Transactions!$H$3:$H149,"Transfer Send",Transactions!$F$3:$F149,"ETF",Transactions!$D$3:$D149,AH131)
-SUMIFS(Transactions!$I$3:$I149,Transactions!$H$3:$H149,"Sell",Transactions!$F$3:$F149,"Commodity",Transactions!$D$3:$D149,AH131)
-SUMIFS(Transactions!$I$3:$I149,Transactions!$H$3:$H149,"Transfer Send",Transactions!$F$3:$F149,"Commodity",Transactions!$D$3:$D149,AH131)
-SUMIFS(Transactions!$I$3:$I149,Transactions!$H$3:$H149,"Sell",Transactions!$F$3:$F149,"Managed Fund",Transactions!$D$3:$D149,AH131)
-SUMIFS(Transactions!$I$3:$I149,Transactions!$H$3:$H149,"Transfer Send",Transactions!$F$3:$F149,"Managed Fund",Transactions!$D$3:$D149,AH131)
-SUMIFS(Transactions!$I$3:$I149,Transactions!$H$3:$H149,"Sell",Transactions!$F$3:$F149,"REIT",Transactions!$D$3:$D149,AH131)
-SUMIFS(Transactions!$I$3:$I149,Transactions!$H$3:$H149,"Transfer Send",Transactions!$F$3:$F149,"REIT",Transactions!$D$3:$D149,AH131)
+SUMIFS(Transactions!$I$3:$I149,Transactions!$H$3:$H149,"Buy",Transactions!$F$3:$F149,"Crypto",Transactions!$D$3:$D149,AH131)
+SUMIFS(Transactions!$I$3:$I149,Transactions!$H$3:$H149,"Crypto Interest",Transactions!$F$3:$F149,"Crypto",Transactions!$D$3:$D149,AH131)
+SUMIFS(Transactions!$I$3:$I149,Transactions!$H$3:$H149,"Transfer Deposit",Transactions!$F$3:$F149,"Crypto",Transactions!$D$3:$D149,AH131)
-SUMIFS(Transactions!$I$3:$I149,Transactions!$H$3:$H149,"Transfer Send",Transactions!$F$3:$F149,"Crypto",Transactions!$D$3:$D149,AH131)
-SUMIFS(Transactions!$I$3:$I149,Transactions!$H$3:$H149,"Sell",Transactions!$F$3:$F149,"Crypto",Transactions!$D$3:$D149,AH131)
+SUMIFS(Transactions!$I$3:$I149,Transactions!$H$3:$H149,"Buy",Transactions!$F$3:$F149,"Stablecoin",Transactions!$D$3:$D149,AH131)
+SUMIFS(Transactions!$I$3:$I149,Transactions!$H$3:$H149,"Crypto Interest",Transactions!$F$3:$F149,"Stablecoin",Transactions!$D$3:$D149,AH131)
+SUMIFS(Transactions!$I$3:$I149,Transactions!$H$3:$H149,"Transfer Deposit",Transactions!$F$3:$F149,"Stablecoin",Transactions!$D$3:$D149,AH131)
-SUMIFS(Transactions!$I$3:$I149,Transactions!$H$3:$H149,"Transfer Send",Transactions!$F$3:$F149,"Stablecoin",Transactions!$D$3:$D149,AH131)
-SUMIFS(Transactions!$I$3:$I149,Transactions!$H$3:$H149,"Sell",Transactions!$F$3:$F149,"Stablecoin",Transactions!$D$3:$D149,AH131)
-SUMIFS(Transactions!$M$3:$M149,Transactions!$H$3:$H149,"Buy",Transactions!$B$3:$B149,AH131)=0,"Sold All",
SUMIFS(Transactions!$I$3:$I149,Transactions!$H$3:$H149,"Buy",Transactions!$F$3:$F149,"Stock",Transactions!$D$3:$D149,AH131)
+SUMIFS(Transactions!$I$3:$I149,Transactions!$H$3:$H149,"DRIP",Transactions!$F$3:$F149,"Stock",Transactions!$D$3:$D149,AH131)
+SUMIFS(Transactions!$I$3:$I149,Transactions!$H$3:$H149,"Transfer Deposit",Transactions!$F$3:$F149,"Stock",Transactions!$D$3:$D149,AH131)
+SUMIFS(Transactions!$I$3:$I149,Transactions!$H$3:$H149,"Buy",Transactions!$F$3:$F149,"ETF",Transactions!$D$3:$D149,AH131)
+SUMIFS(Transactions!$I$3:$I149,Transactions!$H$3:$H149,"DRIP",Transactions!$F$3:$F149,"ETF",Transactions!$D$3:$D149,AH131)
+SUMIFS(Transactions!$I$3:$I149,Transactions!$H$3:$H149,"Transfer Deposit",Transactions!$F$3:$F149,"ETF",Transactions!$D$3:$D149,AH131)
+SUMIFS(Transactions!$I$3:$I149,Transactions!$H$3:$H149,"Buy",Transactions!$F$3:$F149,"Commodity",Transactions!$D$3:$D149,AH131)
+SUMIFS(Transactions!$I$3:$I149,Transactions!$H$3:$H149,"DRIP",Transactions!$F$3:$F149,"Commodity",Transactions!$D$3:$D149,AH131)
+SUMIFS(Transactions!$I$3:$I149,Transactions!$H$3:$H149,"Transfer Deposit",Transactions!$F$3:$F149,"Commodity",Transactions!$D$3:$D149,AH131)
+SUMIFS(Transactions!$I$3:$I149,Transactions!$H$3:$H149,"Buy",Transactions!$F$3:$F149,"Managed Fund",Transactions!$D$3:$D149,AH131)
+SUMIFS(Transactions!$I$3:$I149,Transactions!$H$3:$H149,"DRIP",Transactions!$F$3:$F149,"Managed Fund",Transactions!$D$3:$D149,AH131)
+SUMIFS(Transactions!$I$3:$I149,Transactions!$H$3:$H149,"Transfer Deposit",Transactions!$F$3:$F149,"Managed Fund",Transactions!$D$3:$D149,AH131)
+SUMIFS(Transactions!$I$3:$I149,Transactions!$H$3:$H149,"Buy",Transactions!$F$3:$F149,"REIT",Transactions!$D$3:$D149,AH131)
+SUMIFS(Transactions!$I$3:$I149,Transactions!$H$3:$H149,"DRIP",Transactions!$F$3:$F149,"REIT",Transactions!$D$3:$D149,AH131)
+SUMIFS(Transactions!$I$3:$I149,Transactions!$H$3:$H149,"Transfer Deposit",Transactions!$F$3:$F149,"REIT",Transactions!$D$3:$D149,AH131)
-SUMIFS(Transactions!$I$3:$I149,Transactions!$H$3:$H149,"Sell",Transactions!$F$3:$F149,"Stock",Transactions!$D$3:$D149,AH131)
-SUMIFS(Transactions!$I$3:$I149,Transactions!$H$3:$H149,"Transfer Send",Transactions!$F$3:$F149,"Stock",Transactions!$D$3:$D149,AH131)
-SUMIFS(Transactions!$I$3:$I149,Transactions!$H$3:$H149,"Sell",Transactions!$F$3:$F149,"ETF",Transactions!$D$3:$D149,AH131)
-SUMIFS(Transactions!$I$3:$I149,Transactions!$H$3:$H149,"Transfer Send",Transactions!$F$3:$F149,"ETF",Transactions!$D$3:$D149,AH131)
-SUMIFS(Transactions!$I$3:$I149,Transactions!$H$3:$H149,"Sell",Transactions!$F$3:$F149,"Commodity",Transactions!$D$3:$D149,AH131)
-SUMIFS(Transactions!$I$3:$I149,Transactions!$H$3:$H149,"Transfer Send",Transactions!$F$3:$F149,"Commodity",Transactions!$D$3:$D149,AH131)
-SUMIFS(Transactions!$I$3:$I149,Transactions!$H$3:$H149,"Sell",Transactions!$F$3:$F149,"Managed Fund",Transactions!$D$3:$D149,AH131)
-SUMIFS(Transactions!$I$3:$I149,Transactions!$H$3:$H149,"Transfer Send",Transactions!$F$3:$F149,"Managed Fund",Transactions!$D$3:$D149,AH131)
-SUMIFS(Transactions!$I$3:$I149,Transactions!$H$3:$H149,"Sell",Transactions!$F$3:$F149,"REIT",Transactions!$D$3:$D149,AH131)
-SUMIFS(Transactions!$I$3:$I149,Transactions!$H$3:$H149,"Transfer Send",Transactions!$F$3:$F149,"REIT",Transactions!$D$3:$D149,AH131)
+SUMIFS(Transactions!$I$3:$I149,Transactions!$H$3:$H149,"Buy",Transactions!$F$3:$F149,"Crypto",Transactions!$D$3:$D149,AH131)
+SUMIFS(Transactions!$I$3:$I149,Transactions!$H$3:$H149,"Crypto Interest",Transactions!$F$3:$F149,"Crypto",Transactions!$D$3:$D149,AH131)
+SUMIFS(Transactions!$I$3:$I149,Transactions!$H$3:$H149,"Transfer Deposit",Transactions!$F$3:$F149,"Crypto",Transactions!$D$3:$D149,AH131)
-SUMIFS(Transactions!$I$3:$I149,Transactions!$H$3:$H149,"Transfer Send",Transactions!$F$3:$F149,"Crypto",Transactions!$D$3:$D149,AH131)
-SUMIFS(Transactions!$I$3:$I149,Transactions!$H$3:$H149,"Sell",Transactions!$F$3:$F149,"Crypto",Transactions!$D$3:$D149,AH131)
+SUMIFS(Transactions!$I$3:$I149,Transactions!$H$3:$H149,"Buy",Transactions!$F$3:$F149,"Stablecoin",Transactions!$D$3:$D149,AH131)
+SUMIFS(Transactions!$I$3:$I149,Transactions!$H$3:$H149,"Crypto Interest",Transactions!$F$3:$F149,"Stablecoin",Transactions!$D$3:$D149,AH131)
+SUMIFS(Transactions!$I$3:$I149,Transactions!$H$3:$H149,"Transfer Deposit",Transactions!$F$3:$F149,"Stablecoin",Transactions!$D$3:$D149,AH131)
-SUMIFS(Transactions!$I$3:$I149,Transactions!$H$3:$H149,"Transfer Send",Transactions!$F$3:$F149,"Stablecoin",Transactions!$D$3:$D149,AH131)
-SUMIFS(Transactions!$I$3:$I149,Transactions!$H$3:$H149,"Sell",Transactions!$F$3:$F149,"Stablecoin",Transactions!$D$3:$D149,AH131)
-SUMIFS(Transactions!$M$3:$M149,Transactions!$H$3:$H149,"Buy",Transactions!$B$3:$B149,AH131)))</f>
        <v/>
      </c>
      <c r="AJ131" s="181" t="str">
        <f>IFERROR(__xludf.DUMMYFUNCTION("IF(ISBLANK(AH131),"""",VLOOKUP(9^99,FILTER({ROW(Transactions!P:P),Transactions!P:P},Transactions!D:D=AH131),2))"),"")</f>
        <v/>
      </c>
      <c r="AK131" s="181" t="str">
        <f>IFERROR(__xludf.DUMMYFUNCTION("IF(ISBLANK(AH131),"""",IFERROR(GOOGLEFINANCE(AH131,""price""),IFERROR(GOOGLEFINANCE(""CURRENCY:""&amp;AH131&amp;""""),IFERROR(INDEX(YAHOO_STOCK(TRIM(AH131), $G$2),0,1),INDEX(IMPORTHTML(CONCAT(""https://coinmarketcap.com/currencies/"",AG131),""table"",1),1,2)))))"),"")</f>
        <v/>
      </c>
      <c r="AL131" s="14" t="str">
        <f>IFERROR(__xludf.DUMMYFUNCTION("IF(ISBLANK(AH131),"""",IFERROR(SPARKLINE(INDEX(GOOGLEFINANCE(AH131,""price"",TODAY()-$AL$2,TODAY()),,2),{""charttype"",""column"";""color"",""17a7e0""}),""""))"),"")</f>
        <v/>
      </c>
      <c r="AM131" s="50" t="str">
        <f>IFERROR(__xludf.DUMMYFUNCTION("IFNA(IFERROR(IF(AH131="""","""",GOOGLEFINANCE(AH131,""changepct"")/100),(GOOGLEFINANCE(AH131)-(INDEX(GOOGLEFINANCE(""CURRENCY:""&amp;AH131&amp;"""",""price"",TODAY()-1),2,2)))/(INDEX(GOOGLEFINANCE(""CURRENCY:""&amp;AH131&amp;"""",""price"",TODAY()-1),2,2))),)"),"")</f>
        <v/>
      </c>
      <c r="AN131" s="96" t="str">
        <f>IFERROR(__xludf.DUMMYFUNCTION("IFNA(IFERROR(IF(AH131="""","""",GOOGLEFINANCE(AH131,""change"")*AI131),(GOOGLEFINANCE(AH131)-(INDEX(GOOGLEFINANCE(""CURRENCY:""&amp;AH131&amp;"""",""price"",TODAY()-1),2,2)))*AI131),"""")"),"")</f>
        <v/>
      </c>
      <c r="AO131" s="96" t="str">
        <f>IF(ISBLANK(AH131),"",IFERROR(((AI131-SUMIFS(Transactions!I:I,Transactions!H:H,"Crypto Interest",Transactions!D:D,AH131))*AJ131),""))</f>
        <v/>
      </c>
      <c r="AP131" s="96" t="str">
        <f t="shared" si="16"/>
        <v/>
      </c>
      <c r="AQ131" s="50" t="str">
        <f t="shared" si="17"/>
        <v/>
      </c>
      <c r="AR131" s="96" t="str">
        <f t="shared" si="18"/>
        <v/>
      </c>
      <c r="AS131" s="96" t="str">
        <f>IF(ISBLANK(AH131),"",SUMIFS(Transactions!$X$3:$X149,Transactions!$H$3:$H149,"Sell",Transactions!$D$3:$D149,AH131))</f>
        <v/>
      </c>
      <c r="AT131" s="96" t="str">
        <f t="shared" si="19"/>
        <v/>
      </c>
      <c r="AU131" s="50" t="str">
        <f>IFERROR(__xludf.DUMMYFUNCTION("IF(ISBLANK(AH131),"""",IFERROR((GOOGLEFINANCE(AH131,""price"")/INDEX(GOOGLEFINANCE(AH131,""price"",DATEVALUE(TODAY()-$AU$2) ),2,2)-1),""""))"),"")</f>
        <v/>
      </c>
      <c r="AW131" s="50" t="str">
        <f>IFERROR(__xludf.DUMMYFUNCTION("IF(ISBLANK(AH131),"""",IFERROR((GOOGLEFINANCE($AW$2,""price"")/INDEX(GOOGLEFINANCE($AW$2,""price"",DATEVALUE(TODAY()-$AU$2) ),2,2)-1),""""))"),"")</f>
        <v/>
      </c>
      <c r="AY131" s="50" t="str">
        <f t="shared" si="20"/>
        <v/>
      </c>
      <c r="AZ131" s="50" t="str">
        <f t="shared" si="21"/>
        <v/>
      </c>
      <c r="BA131" s="50" t="str">
        <f t="shared" si="22"/>
        <v/>
      </c>
      <c r="BB131" s="14" t="str">
        <f t="shared" si="23"/>
        <v/>
      </c>
      <c r="BC131" s="14" t="str">
        <f>IF(ISBLANK(AH131),"",IFERROR(VLOOKUP(AH131,Transactions!D:F,3,0)))</f>
        <v/>
      </c>
      <c r="BD131" s="50" t="str">
        <f t="shared" si="24"/>
        <v/>
      </c>
      <c r="BE131" s="50" t="str">
        <f t="shared" si="25"/>
        <v/>
      </c>
      <c r="BF131" s="14" t="str">
        <f t="shared" si="26"/>
        <v/>
      </c>
      <c r="BG131" s="180" t="str">
        <f>IF(ISBLANK(AH131),"",IFERROR(VLOOKUP(AH131,Transactions!D:G,4,0)))</f>
        <v/>
      </c>
    </row>
    <row r="132">
      <c r="A132" s="14" t="str">
        <f t="shared" ref="A132:C132" si="155">AG132</f>
        <v/>
      </c>
      <c r="B132" s="14" t="str">
        <f t="shared" si="155"/>
        <v/>
      </c>
      <c r="C132" s="175" t="str">
        <f t="shared" si="155"/>
        <v/>
      </c>
      <c r="D132" s="176" t="str">
        <f>IFERROR(__xludf.DUMMYFUNCTION("IF(ISBLANK(B132),"""",IFERROR(IF(OR(AF132=""GPB"",AF132=""ZAR""),IF(AF132=Dashboard!$L$1,AJ132,(AJ132*GOOGLEFINANCE(""CURRENCY:""&amp;AF132&amp;""""&amp;Dashboard!$L$1&amp;""""))/100),IF(AF132=Dashboard!$L$1,AJ132,AJ132*GOOGLEFINANCE(""CURRENCY:""&amp;AF132&amp;""""&amp;Dashboard!$L"&amp;"$1&amp;""""))),AJ132))"),"")</f>
        <v/>
      </c>
      <c r="E132" s="177" t="str">
        <f>IFERROR(__xludf.DUMMYFUNCTION("IFERROR(IF(OR(AF132=""GBP"",AF132=""ZAR""),IF(B132="""","""",IF(AF132=Dashboard!$L$1,AK132,AK132*GOOGLEFINANCE(""CURRENCY:""&amp;AF132&amp;""""&amp;Dashboard!$L$1&amp;"""")))/100,If(B132="""","""",IF(AF132=Dashboard!$L$1,AK132,AK132*GOOGLEFINANCE(""CURRENCY:""&amp;AF132&amp;"""""&amp;"&amp;Dashboard!$L$1&amp;"""")))),AK132)"),"")</f>
        <v/>
      </c>
      <c r="F132" s="145" t="str">
        <f t="shared" si="65"/>
        <v/>
      </c>
      <c r="G132" s="96" t="str">
        <f>IFERROR(__xludf.DUMMYFUNCTION("IF(ISBLANK(B132),"""",IFERROR(SPARKLINE(INDEX(GOOGLEFINANCE(B132,""price"",TODAY()-$G$2,TODAY()),,2),{""charttype"",""column"";""color"",""17a7e0""}),""""))"),"")</f>
        <v/>
      </c>
      <c r="H132" s="50" t="str">
        <f t="shared" si="3"/>
        <v/>
      </c>
      <c r="I132" s="96" t="str">
        <f>IFERROR(__xludf.DUMMYFUNCTION("IF(ISBLANK(B132),"""",IFERROR(IF(OR(AF132=""GPB"",AF132=""ZAR""),IF(AF132=Dashboard!$L$1,AN132,(AN132*GOOGLEFINANCE(""CURRENCY:""&amp;AF132&amp;""""&amp;Dashboard!$L$1&amp;""""))/100),IF(AF132=Dashboard!$L$1,AN132,AN132*GOOGLEFINANCE(""CURRENCY:""&amp;AF132&amp;""""&amp;Dashboard!$L"&amp;"$1&amp;""""))),AN132))"),"")</f>
        <v/>
      </c>
      <c r="J132" s="178" t="str">
        <f>IF(ISBLANK(B132),"",IFERROR(((C132-SUMIFS(Transactions!I:I,Transactions!H:H,"Crypto Interest",Transactions!D:D,B132))*D132),""))</f>
        <v/>
      </c>
      <c r="K132" s="178" t="str">
        <f t="shared" si="4"/>
        <v/>
      </c>
      <c r="L132" s="145">
        <f>IF(ISBLANK(AF132),"",SUMIFS(Transactions!$M$3:$M149,Transactions!$H$3:$H149,"Buy",Transactions!$D$3:$D149,AF132))</f>
        <v>0</v>
      </c>
      <c r="M132" s="145">
        <f>IF(ISBLANK(AG132),"",SUMIFS(Transactions!$M$3:$M149,Transactions!$H$3:$H149,"Dividend",Transactions!$D$3:$D149,AG132))</f>
        <v>0</v>
      </c>
      <c r="N132" s="145" t="str">
        <f>IF(ISBLANK(AH132),"",SUMIFS(Transactions!$M$3:$M149,Transactions!$H$3:$H149,"Sell",Transactions!$D$3:$D149,AH132))</f>
        <v/>
      </c>
      <c r="O132" s="50" t="str">
        <f t="shared" si="5"/>
        <v/>
      </c>
      <c r="P132" s="178" t="str">
        <f t="shared" si="6"/>
        <v/>
      </c>
      <c r="Q132" s="178" t="str">
        <f>IFERROR(__xludf.DUMMYFUNCTION("IF(ISBLANK(B132),"""",IFERROR(IF(OR(AF132=""GPB"",AF132=""ZAR""),IF(AF132=Dashboard!$L$1,AS132,(AS132*GOOGLEFINANCE(""CURRENCY:""&amp;AF132&amp;""""&amp;Dashboard!$L$1&amp;""""))/100),IF(AF132=Dashboard!$L$1,AS132,AS132*GOOGLEFINANCE(""CURRENCY:""&amp;AF132&amp;""""&amp;Dashboard!$L"&amp;"$1&amp;""""))),AS132))"),"")</f>
        <v/>
      </c>
      <c r="R132" s="178" t="str">
        <f t="shared" si="7"/>
        <v/>
      </c>
      <c r="S132" s="50" t="str">
        <f>IFERROR(__xludf.DUMMYFUNCTION("IF(ISBLANK(B132),"""",IFERROR((GOOGLEFINANCE(B132,""price"")/INDEX(GOOGLEFINANCE(B132,""price"",DATEVALUE(TODAY()-$S$2) ),2,2)-1),""""))"),"")</f>
        <v/>
      </c>
      <c r="U132" s="50" t="str">
        <f>IFERROR(__xludf.DUMMYFUNCTION("IF(ISBLANK(B132),"""",IFERROR((GOOGLEFINANCE($U$2,""price"")/INDEX(GOOGLEFINANCE($U$2,""price"",DATEVALUE(TODAY()-$S$2) ),2,2)-1),""""))"),"")</f>
        <v/>
      </c>
      <c r="W132" s="50" t="str">
        <f t="shared" si="8"/>
        <v/>
      </c>
      <c r="X132" s="50" t="str">
        <f t="shared" si="9"/>
        <v/>
      </c>
      <c r="Y132" s="50"/>
      <c r="Z132" s="50" t="str">
        <f t="shared" si="10"/>
        <v/>
      </c>
      <c r="AA132" s="14" t="str">
        <f t="shared" si="11"/>
        <v/>
      </c>
      <c r="AB132" s="50" t="str">
        <f t="shared" si="12"/>
        <v/>
      </c>
      <c r="AC132" s="179" t="str">
        <f t="shared" si="13"/>
        <v/>
      </c>
      <c r="AD132" s="50" t="str">
        <f t="shared" si="14"/>
        <v/>
      </c>
      <c r="AE132" s="180" t="str">
        <f t="shared" si="15"/>
        <v/>
      </c>
      <c r="AF132" s="14" t="str">
        <f t="array" ref="AF132">IFERROR(IF(ISBLANK(AH132),"",IF(VLOOKUP(AH132,Transactions!D:F,3,0)="Stablecoin",AH132,INDEX(Transactions!$B$3:$B149,MATCH(AH132,Transactions!$D$3:$D149,0),0))))</f>
        <v/>
      </c>
      <c r="AG132" s="14" t="str">
        <f>IF(ISBLANK(AH132),"",VLOOKUP(AH132,Transactions!D:E,2,0))</f>
        <v/>
      </c>
      <c r="AH132" s="14"/>
      <c r="AI132" s="146" t="str">
        <f>IF(ISBLANK(AH132),"",IF(
SUMIFS(Transactions!$I$3:$I149,Transactions!$H$3:$H149,"Buy",Transactions!$F$3:$F149,"Stock",Transactions!$D$3:$D149,AH132)
+SUMIFS(Transactions!$I$3:$I149,Transactions!$H$3:$H149,"DRIP",Transactions!$F$3:$F149,"Stock",Transactions!$D$3:$D149,AH132)
+SUMIFS(Transactions!$I$3:$I149,Transactions!$H$3:$H149,"Transfer Deposit",Transactions!$F$3:$F149,"Stock",Transactions!$D$3:$D149,AH132)
+SUMIFS(Transactions!$I$3:$I149,Transactions!$H$3:$H149,"Buy",Transactions!$F$3:$F149,"ETF",Transactions!$D$3:$D149,AH132)
+SUMIFS(Transactions!$I$3:$I149,Transactions!$H$3:$H149,"DRIP",Transactions!$F$3:$F149,"ETF",Transactions!$D$3:$D149,AH132)
+SUMIFS(Transactions!$I$3:$I149,Transactions!$H$3:$H149,"Transfer Deposit",Transactions!$F$3:$F149,"ETF",Transactions!$D$3:$D149,AH132)
+SUMIFS(Transactions!$I$3:$I149,Transactions!$H$3:$H149,"Buy",Transactions!$F$3:$F149,"Commodity",Transactions!$D$3:$D149,AH132)
+SUMIFS(Transactions!$I$3:$I149,Transactions!$H$3:$H149,"DRIP",Transactions!$F$3:$F149,"Commodity",Transactions!$D$3:$D149,AH132)
+SUMIFS(Transactions!$I$3:$I149,Transactions!$H$3:$H149,"Transfer Deposit",Transactions!$F$3:$F149,"Commodity",Transactions!$D$3:$D149,AH132)
+SUMIFS(Transactions!$I$3:$I149,Transactions!$H$3:$H149,"Buy",Transactions!$F$3:$F149,"Managed Fund",Transactions!$D$3:$D149,AH132)
+SUMIFS(Transactions!$I$3:$I149,Transactions!$H$3:$H149,"DRIP",Transactions!$F$3:$F149,"Managed Fund",Transactions!$D$3:$D149,AH132)
+SUMIFS(Transactions!$I$3:$I149,Transactions!$H$3:$H149,"Transfer Deposit",Transactions!$F$3:$F149,"Managed Fund",Transactions!$D$3:$D149,AH132)
+SUMIFS(Transactions!$I$3:$I149,Transactions!$H$3:$H149,"Buy",Transactions!$F$3:$F149,"REIT",Transactions!$D$3:$D149,AH132)
+SUMIFS(Transactions!$I$3:$I149,Transactions!$H$3:$H149,"DRIP",Transactions!$F$3:$F149,"REIT",Transactions!$D$3:$D149,AH132)
+SUMIFS(Transactions!$I$3:$I149,Transactions!$H$3:$H149,"Transfer Deposit",Transactions!$F$3:$F149,"REIT",Transactions!$D$3:$D149,AH132)
-SUMIFS(Transactions!$I$3:$I149,Transactions!$H$3:$H149,"Sell",Transactions!$F$3:$F149,"Stock",Transactions!$D$3:$D149,AH132)
-SUMIFS(Transactions!$I$3:$I149,Transactions!$H$3:$H149,"Transfer Send",Transactions!$F$3:$F149,"Stock",Transactions!$D$3:$D149,AH132)
-SUMIFS(Transactions!$I$3:$I149,Transactions!$H$3:$H149,"Sell",Transactions!$F$3:$F149,"ETF",Transactions!$D$3:$D149,AH132)
-SUMIFS(Transactions!$I$3:$I149,Transactions!$H$3:$H149,"Transfer Send",Transactions!$F$3:$F149,"ETF",Transactions!$D$3:$D149,AH132)
-SUMIFS(Transactions!$I$3:$I149,Transactions!$H$3:$H149,"Sell",Transactions!$F$3:$F149,"Commodity",Transactions!$D$3:$D149,AH132)
-SUMIFS(Transactions!$I$3:$I149,Transactions!$H$3:$H149,"Transfer Send",Transactions!$F$3:$F149,"Commodity",Transactions!$D$3:$D149,AH132)
-SUMIFS(Transactions!$I$3:$I149,Transactions!$H$3:$H149,"Sell",Transactions!$F$3:$F149,"Managed Fund",Transactions!$D$3:$D149,AH132)
-SUMIFS(Transactions!$I$3:$I149,Transactions!$H$3:$H149,"Transfer Send",Transactions!$F$3:$F149,"Managed Fund",Transactions!$D$3:$D149,AH132)
-SUMIFS(Transactions!$I$3:$I149,Transactions!$H$3:$H149,"Sell",Transactions!$F$3:$F149,"REIT",Transactions!$D$3:$D149,AH132)
-SUMIFS(Transactions!$I$3:$I149,Transactions!$H$3:$H149,"Transfer Send",Transactions!$F$3:$F149,"REIT",Transactions!$D$3:$D149,AH132)
+SUMIFS(Transactions!$I$3:$I149,Transactions!$H$3:$H149,"Buy",Transactions!$F$3:$F149,"Crypto",Transactions!$D$3:$D149,AH132)
+SUMIFS(Transactions!$I$3:$I149,Transactions!$H$3:$H149,"Crypto Interest",Transactions!$F$3:$F149,"Crypto",Transactions!$D$3:$D149,AH132)
+SUMIFS(Transactions!$I$3:$I149,Transactions!$H$3:$H149,"Transfer Deposit",Transactions!$F$3:$F149,"Crypto",Transactions!$D$3:$D149,AH132)
-SUMIFS(Transactions!$I$3:$I149,Transactions!$H$3:$H149,"Transfer Send",Transactions!$F$3:$F149,"Crypto",Transactions!$D$3:$D149,AH132)
-SUMIFS(Transactions!$I$3:$I149,Transactions!$H$3:$H149,"Sell",Transactions!$F$3:$F149,"Crypto",Transactions!$D$3:$D149,AH132)
+SUMIFS(Transactions!$I$3:$I149,Transactions!$H$3:$H149,"Buy",Transactions!$F$3:$F149,"Stablecoin",Transactions!$D$3:$D149,AH132)
+SUMIFS(Transactions!$I$3:$I149,Transactions!$H$3:$H149,"Crypto Interest",Transactions!$F$3:$F149,"Stablecoin",Transactions!$D$3:$D149,AH132)
+SUMIFS(Transactions!$I$3:$I149,Transactions!$H$3:$H149,"Transfer Deposit",Transactions!$F$3:$F149,"Stablecoin",Transactions!$D$3:$D149,AH132)
-SUMIFS(Transactions!$I$3:$I149,Transactions!$H$3:$H149,"Transfer Send",Transactions!$F$3:$F149,"Stablecoin",Transactions!$D$3:$D149,AH132)
-SUMIFS(Transactions!$I$3:$I149,Transactions!$H$3:$H149,"Sell",Transactions!$F$3:$F149,"Stablecoin",Transactions!$D$3:$D149,AH132)
-SUMIFS(Transactions!$M$3:$M149,Transactions!$H$3:$H149,"Buy",Transactions!$B$3:$B149,AH132)=0,"Sold All",
SUMIFS(Transactions!$I$3:$I149,Transactions!$H$3:$H149,"Buy",Transactions!$F$3:$F149,"Stock",Transactions!$D$3:$D149,AH132)
+SUMIFS(Transactions!$I$3:$I149,Transactions!$H$3:$H149,"DRIP",Transactions!$F$3:$F149,"Stock",Transactions!$D$3:$D149,AH132)
+SUMIFS(Transactions!$I$3:$I149,Transactions!$H$3:$H149,"Transfer Deposit",Transactions!$F$3:$F149,"Stock",Transactions!$D$3:$D149,AH132)
+SUMIFS(Transactions!$I$3:$I149,Transactions!$H$3:$H149,"Buy",Transactions!$F$3:$F149,"ETF",Transactions!$D$3:$D149,AH132)
+SUMIFS(Transactions!$I$3:$I149,Transactions!$H$3:$H149,"DRIP",Transactions!$F$3:$F149,"ETF",Transactions!$D$3:$D149,AH132)
+SUMIFS(Transactions!$I$3:$I149,Transactions!$H$3:$H149,"Transfer Deposit",Transactions!$F$3:$F149,"ETF",Transactions!$D$3:$D149,AH132)
+SUMIFS(Transactions!$I$3:$I149,Transactions!$H$3:$H149,"Buy",Transactions!$F$3:$F149,"Commodity",Transactions!$D$3:$D149,AH132)
+SUMIFS(Transactions!$I$3:$I149,Transactions!$H$3:$H149,"DRIP",Transactions!$F$3:$F149,"Commodity",Transactions!$D$3:$D149,AH132)
+SUMIFS(Transactions!$I$3:$I149,Transactions!$H$3:$H149,"Transfer Deposit",Transactions!$F$3:$F149,"Commodity",Transactions!$D$3:$D149,AH132)
+SUMIFS(Transactions!$I$3:$I149,Transactions!$H$3:$H149,"Buy",Transactions!$F$3:$F149,"Managed Fund",Transactions!$D$3:$D149,AH132)
+SUMIFS(Transactions!$I$3:$I149,Transactions!$H$3:$H149,"DRIP",Transactions!$F$3:$F149,"Managed Fund",Transactions!$D$3:$D149,AH132)
+SUMIFS(Transactions!$I$3:$I149,Transactions!$H$3:$H149,"Transfer Deposit",Transactions!$F$3:$F149,"Managed Fund",Transactions!$D$3:$D149,AH132)
+SUMIFS(Transactions!$I$3:$I149,Transactions!$H$3:$H149,"Buy",Transactions!$F$3:$F149,"REIT",Transactions!$D$3:$D149,AH132)
+SUMIFS(Transactions!$I$3:$I149,Transactions!$H$3:$H149,"DRIP",Transactions!$F$3:$F149,"REIT",Transactions!$D$3:$D149,AH132)
+SUMIFS(Transactions!$I$3:$I149,Transactions!$H$3:$H149,"Transfer Deposit",Transactions!$F$3:$F149,"REIT",Transactions!$D$3:$D149,AH132)
-SUMIFS(Transactions!$I$3:$I149,Transactions!$H$3:$H149,"Sell",Transactions!$F$3:$F149,"Stock",Transactions!$D$3:$D149,AH132)
-SUMIFS(Transactions!$I$3:$I149,Transactions!$H$3:$H149,"Transfer Send",Transactions!$F$3:$F149,"Stock",Transactions!$D$3:$D149,AH132)
-SUMIFS(Transactions!$I$3:$I149,Transactions!$H$3:$H149,"Sell",Transactions!$F$3:$F149,"ETF",Transactions!$D$3:$D149,AH132)
-SUMIFS(Transactions!$I$3:$I149,Transactions!$H$3:$H149,"Transfer Send",Transactions!$F$3:$F149,"ETF",Transactions!$D$3:$D149,AH132)
-SUMIFS(Transactions!$I$3:$I149,Transactions!$H$3:$H149,"Sell",Transactions!$F$3:$F149,"Commodity",Transactions!$D$3:$D149,AH132)
-SUMIFS(Transactions!$I$3:$I149,Transactions!$H$3:$H149,"Transfer Send",Transactions!$F$3:$F149,"Commodity",Transactions!$D$3:$D149,AH132)
-SUMIFS(Transactions!$I$3:$I149,Transactions!$H$3:$H149,"Sell",Transactions!$F$3:$F149,"Managed Fund",Transactions!$D$3:$D149,AH132)
-SUMIFS(Transactions!$I$3:$I149,Transactions!$H$3:$H149,"Transfer Send",Transactions!$F$3:$F149,"Managed Fund",Transactions!$D$3:$D149,AH132)
-SUMIFS(Transactions!$I$3:$I149,Transactions!$H$3:$H149,"Sell",Transactions!$F$3:$F149,"REIT",Transactions!$D$3:$D149,AH132)
-SUMIFS(Transactions!$I$3:$I149,Transactions!$H$3:$H149,"Transfer Send",Transactions!$F$3:$F149,"REIT",Transactions!$D$3:$D149,AH132)
+SUMIFS(Transactions!$I$3:$I149,Transactions!$H$3:$H149,"Buy",Transactions!$F$3:$F149,"Crypto",Transactions!$D$3:$D149,AH132)
+SUMIFS(Transactions!$I$3:$I149,Transactions!$H$3:$H149,"Crypto Interest",Transactions!$F$3:$F149,"Crypto",Transactions!$D$3:$D149,AH132)
+SUMIFS(Transactions!$I$3:$I149,Transactions!$H$3:$H149,"Transfer Deposit",Transactions!$F$3:$F149,"Crypto",Transactions!$D$3:$D149,AH132)
-SUMIFS(Transactions!$I$3:$I149,Transactions!$H$3:$H149,"Transfer Send",Transactions!$F$3:$F149,"Crypto",Transactions!$D$3:$D149,AH132)
-SUMIFS(Transactions!$I$3:$I149,Transactions!$H$3:$H149,"Sell",Transactions!$F$3:$F149,"Crypto",Transactions!$D$3:$D149,AH132)
+SUMIFS(Transactions!$I$3:$I149,Transactions!$H$3:$H149,"Buy",Transactions!$F$3:$F149,"Stablecoin",Transactions!$D$3:$D149,AH132)
+SUMIFS(Transactions!$I$3:$I149,Transactions!$H$3:$H149,"Crypto Interest",Transactions!$F$3:$F149,"Stablecoin",Transactions!$D$3:$D149,AH132)
+SUMIFS(Transactions!$I$3:$I149,Transactions!$H$3:$H149,"Transfer Deposit",Transactions!$F$3:$F149,"Stablecoin",Transactions!$D$3:$D149,AH132)
-SUMIFS(Transactions!$I$3:$I149,Transactions!$H$3:$H149,"Transfer Send",Transactions!$F$3:$F149,"Stablecoin",Transactions!$D$3:$D149,AH132)
-SUMIFS(Transactions!$I$3:$I149,Transactions!$H$3:$H149,"Sell",Transactions!$F$3:$F149,"Stablecoin",Transactions!$D$3:$D149,AH132)
-SUMIFS(Transactions!$M$3:$M149,Transactions!$H$3:$H149,"Buy",Transactions!$B$3:$B149,AH132)))</f>
        <v/>
      </c>
      <c r="AJ132" s="181" t="str">
        <f>IFERROR(__xludf.DUMMYFUNCTION("IF(ISBLANK(AH132),"""",VLOOKUP(9^99,FILTER({ROW(Transactions!P:P),Transactions!P:P},Transactions!D:D=AH132),2))"),"")</f>
        <v/>
      </c>
      <c r="AK132" s="181" t="str">
        <f>IFERROR(__xludf.DUMMYFUNCTION("IF(ISBLANK(AH132),"""",IFERROR(GOOGLEFINANCE(AH132,""price""),IFERROR(GOOGLEFINANCE(""CURRENCY:""&amp;AH132&amp;""""),IFERROR(INDEX(YAHOO_STOCK(TRIM(AH132), $G$2),0,1),INDEX(IMPORTHTML(CONCAT(""https://coinmarketcap.com/currencies/"",AG132),""table"",1),1,2)))))"),"")</f>
        <v/>
      </c>
      <c r="AL132" s="14" t="str">
        <f>IFERROR(__xludf.DUMMYFUNCTION("IF(ISBLANK(AH132),"""",IFERROR(SPARKLINE(INDEX(GOOGLEFINANCE(AH132,""price"",TODAY()-$AL$2,TODAY()),,2),{""charttype"",""column"";""color"",""17a7e0""}),""""))"),"")</f>
        <v/>
      </c>
      <c r="AM132" s="50" t="str">
        <f>IFERROR(__xludf.DUMMYFUNCTION("IFNA(IFERROR(IF(AH132="""","""",GOOGLEFINANCE(AH132,""changepct"")/100),(GOOGLEFINANCE(AH132)-(INDEX(GOOGLEFINANCE(""CURRENCY:""&amp;AH132&amp;"""",""price"",TODAY()-1),2,2)))/(INDEX(GOOGLEFINANCE(""CURRENCY:""&amp;AH132&amp;"""",""price"",TODAY()-1),2,2))),)"),"")</f>
        <v/>
      </c>
      <c r="AN132" s="96" t="str">
        <f>IFERROR(__xludf.DUMMYFUNCTION("IFNA(IFERROR(IF(AH132="""","""",GOOGLEFINANCE(AH132,""change"")*AI132),(GOOGLEFINANCE(AH132)-(INDEX(GOOGLEFINANCE(""CURRENCY:""&amp;AH132&amp;"""",""price"",TODAY()-1),2,2)))*AI132),"""")"),"")</f>
        <v/>
      </c>
      <c r="AO132" s="96" t="str">
        <f>IF(ISBLANK(AH132),"",IFERROR(((AI132-SUMIFS(Transactions!I:I,Transactions!H:H,"Crypto Interest",Transactions!D:D,AH132))*AJ132),""))</f>
        <v/>
      </c>
      <c r="AP132" s="96" t="str">
        <f t="shared" si="16"/>
        <v/>
      </c>
      <c r="AQ132" s="50" t="str">
        <f t="shared" si="17"/>
        <v/>
      </c>
      <c r="AR132" s="96" t="str">
        <f t="shared" si="18"/>
        <v/>
      </c>
      <c r="AS132" s="96" t="str">
        <f>IF(ISBLANK(AH132),"",SUMIFS(Transactions!$X$3:$X149,Transactions!$H$3:$H149,"Sell",Transactions!$D$3:$D149,AH132))</f>
        <v/>
      </c>
      <c r="AT132" s="96" t="str">
        <f t="shared" si="19"/>
        <v/>
      </c>
      <c r="AU132" s="50" t="str">
        <f>IFERROR(__xludf.DUMMYFUNCTION("IF(ISBLANK(AH132),"""",IFERROR((GOOGLEFINANCE(AH132,""price"")/INDEX(GOOGLEFINANCE(AH132,""price"",DATEVALUE(TODAY()-$AU$2) ),2,2)-1),""""))"),"")</f>
        <v/>
      </c>
      <c r="AW132" s="50" t="str">
        <f>IFERROR(__xludf.DUMMYFUNCTION("IF(ISBLANK(AH132),"""",IFERROR((GOOGLEFINANCE($AW$2,""price"")/INDEX(GOOGLEFINANCE($AW$2,""price"",DATEVALUE(TODAY()-$AU$2) ),2,2)-1),""""))"),"")</f>
        <v/>
      </c>
      <c r="AY132" s="50" t="str">
        <f t="shared" si="20"/>
        <v/>
      </c>
      <c r="AZ132" s="50" t="str">
        <f t="shared" si="21"/>
        <v/>
      </c>
      <c r="BA132" s="50" t="str">
        <f t="shared" si="22"/>
        <v/>
      </c>
      <c r="BB132" s="14" t="str">
        <f t="shared" si="23"/>
        <v/>
      </c>
      <c r="BC132" s="14" t="str">
        <f>IF(ISBLANK(AH132),"",IFERROR(VLOOKUP(AH132,Transactions!D:F,3,0)))</f>
        <v/>
      </c>
      <c r="BD132" s="50" t="str">
        <f t="shared" si="24"/>
        <v/>
      </c>
      <c r="BE132" s="50" t="str">
        <f t="shared" si="25"/>
        <v/>
      </c>
      <c r="BF132" s="14" t="str">
        <f t="shared" si="26"/>
        <v/>
      </c>
      <c r="BG132" s="180" t="str">
        <f>IF(ISBLANK(AH132),"",IFERROR(VLOOKUP(AH132,Transactions!D:G,4,0)))</f>
        <v/>
      </c>
    </row>
    <row r="133">
      <c r="A133" s="14" t="str">
        <f t="shared" ref="A133:C133" si="156">AG133</f>
        <v/>
      </c>
      <c r="B133" s="14" t="str">
        <f t="shared" si="156"/>
        <v/>
      </c>
      <c r="C133" s="175" t="str">
        <f t="shared" si="156"/>
        <v/>
      </c>
      <c r="D133" s="176" t="str">
        <f>IFERROR(__xludf.DUMMYFUNCTION("IF(ISBLANK(B133),"""",IFERROR(IF(OR(AF133=""GPB"",AF133=""ZAR""),IF(AF133=Dashboard!$L$1,AJ133,(AJ133*GOOGLEFINANCE(""CURRENCY:""&amp;AF133&amp;""""&amp;Dashboard!$L$1&amp;""""))/100),IF(AF133=Dashboard!$L$1,AJ133,AJ133*GOOGLEFINANCE(""CURRENCY:""&amp;AF133&amp;""""&amp;Dashboard!$L"&amp;"$1&amp;""""))),AJ133))"),"")</f>
        <v/>
      </c>
      <c r="E133" s="177" t="str">
        <f>IFERROR(__xludf.DUMMYFUNCTION("IFERROR(IF(OR(AF133=""GBP"",AF133=""ZAR""),IF(B133="""","""",IF(AF133=Dashboard!$L$1,AK133,AK133*GOOGLEFINANCE(""CURRENCY:""&amp;AF133&amp;""""&amp;Dashboard!$L$1&amp;"""")))/100,If(B133="""","""",IF(AF133=Dashboard!$L$1,AK133,AK133*GOOGLEFINANCE(""CURRENCY:""&amp;AF133&amp;"""""&amp;"&amp;Dashboard!$L$1&amp;"""")))),AK133)"),"")</f>
        <v/>
      </c>
      <c r="F133" s="145" t="str">
        <f t="shared" si="65"/>
        <v/>
      </c>
      <c r="G133" s="96" t="str">
        <f>IFERROR(__xludf.DUMMYFUNCTION("IF(ISBLANK(B133),"""",IFERROR(SPARKLINE(INDEX(GOOGLEFINANCE(B133,""price"",TODAY()-$G$2,TODAY()),,2),{""charttype"",""column"";""color"",""17a7e0""}),""""))"),"")</f>
        <v/>
      </c>
      <c r="H133" s="50" t="str">
        <f t="shared" si="3"/>
        <v/>
      </c>
      <c r="I133" s="96" t="str">
        <f>IFERROR(__xludf.DUMMYFUNCTION("IF(ISBLANK(B133),"""",IFERROR(IF(OR(AF133=""GPB"",AF133=""ZAR""),IF(AF133=Dashboard!$L$1,AN133,(AN133*GOOGLEFINANCE(""CURRENCY:""&amp;AF133&amp;""""&amp;Dashboard!$L$1&amp;""""))/100),IF(AF133=Dashboard!$L$1,AN133,AN133*GOOGLEFINANCE(""CURRENCY:""&amp;AF133&amp;""""&amp;Dashboard!$L"&amp;"$1&amp;""""))),AN133))"),"")</f>
        <v/>
      </c>
      <c r="J133" s="178" t="str">
        <f>IF(ISBLANK(B133),"",IFERROR(((C133-SUMIFS(Transactions!I:I,Transactions!H:H,"Crypto Interest",Transactions!D:D,B133))*D133),""))</f>
        <v/>
      </c>
      <c r="K133" s="178" t="str">
        <f t="shared" si="4"/>
        <v/>
      </c>
      <c r="L133" s="145">
        <f>IF(ISBLANK(AF133),"",SUMIFS(Transactions!$M$3:$M149,Transactions!$H$3:$H149,"Buy",Transactions!$D$3:$D149,AF133))</f>
        <v>0</v>
      </c>
      <c r="M133" s="145">
        <f>IF(ISBLANK(AG133),"",SUMIFS(Transactions!$M$3:$M149,Transactions!$H$3:$H149,"Dividend",Transactions!$D$3:$D149,AG133))</f>
        <v>0</v>
      </c>
      <c r="N133" s="145" t="str">
        <f>IF(ISBLANK(AH133),"",SUMIFS(Transactions!$M$3:$M149,Transactions!$H$3:$H149,"Sell",Transactions!$D$3:$D149,AH133))</f>
        <v/>
      </c>
      <c r="O133" s="50" t="str">
        <f t="shared" si="5"/>
        <v/>
      </c>
      <c r="P133" s="178" t="str">
        <f t="shared" si="6"/>
        <v/>
      </c>
      <c r="Q133" s="178" t="str">
        <f>IFERROR(__xludf.DUMMYFUNCTION("IF(ISBLANK(B133),"""",IFERROR(IF(OR(AF133=""GPB"",AF133=""ZAR""),IF(AF133=Dashboard!$L$1,AS133,(AS133*GOOGLEFINANCE(""CURRENCY:""&amp;AF133&amp;""""&amp;Dashboard!$L$1&amp;""""))/100),IF(AF133=Dashboard!$L$1,AS133,AS133*GOOGLEFINANCE(""CURRENCY:""&amp;AF133&amp;""""&amp;Dashboard!$L"&amp;"$1&amp;""""))),AS133))"),"")</f>
        <v/>
      </c>
      <c r="R133" s="178" t="str">
        <f t="shared" si="7"/>
        <v/>
      </c>
      <c r="S133" s="50" t="str">
        <f>IFERROR(__xludf.DUMMYFUNCTION("IF(ISBLANK(B133),"""",IFERROR((GOOGLEFINANCE(B133,""price"")/INDEX(GOOGLEFINANCE(B133,""price"",DATEVALUE(TODAY()-$S$2) ),2,2)-1),""""))"),"")</f>
        <v/>
      </c>
      <c r="U133" s="50" t="str">
        <f>IFERROR(__xludf.DUMMYFUNCTION("IF(ISBLANK(B133),"""",IFERROR((GOOGLEFINANCE($U$2,""price"")/INDEX(GOOGLEFINANCE($U$2,""price"",DATEVALUE(TODAY()-$S$2) ),2,2)-1),""""))"),"")</f>
        <v/>
      </c>
      <c r="W133" s="50" t="str">
        <f t="shared" si="8"/>
        <v/>
      </c>
      <c r="X133" s="50" t="str">
        <f t="shared" si="9"/>
        <v/>
      </c>
      <c r="Y133" s="50"/>
      <c r="Z133" s="50" t="str">
        <f t="shared" si="10"/>
        <v/>
      </c>
      <c r="AA133" s="14" t="str">
        <f t="shared" si="11"/>
        <v/>
      </c>
      <c r="AB133" s="50" t="str">
        <f t="shared" si="12"/>
        <v/>
      </c>
      <c r="AC133" s="179" t="str">
        <f t="shared" si="13"/>
        <v/>
      </c>
      <c r="AD133" s="50" t="str">
        <f t="shared" si="14"/>
        <v/>
      </c>
      <c r="AE133" s="180" t="str">
        <f t="shared" si="15"/>
        <v/>
      </c>
      <c r="AF133" s="14" t="str">
        <f t="array" ref="AF133">IFERROR(IF(ISBLANK(AH133),"",IF(VLOOKUP(AH133,Transactions!D:F,3,0)="Stablecoin",AH133,INDEX(Transactions!$B$3:$B149,MATCH(AH133,Transactions!$D$3:$D149,0),0))))</f>
        <v/>
      </c>
      <c r="AG133" s="14" t="str">
        <f>IF(ISBLANK(AH133),"",VLOOKUP(AH133,Transactions!D:E,2,0))</f>
        <v/>
      </c>
      <c r="AH133" s="14"/>
      <c r="AI133" s="146" t="str">
        <f>IF(ISBLANK(AH133),"",IF(
SUMIFS(Transactions!$I$3:$I149,Transactions!$H$3:$H149,"Buy",Transactions!$F$3:$F149,"Stock",Transactions!$D$3:$D149,AH133)
+SUMIFS(Transactions!$I$3:$I149,Transactions!$H$3:$H149,"DRIP",Transactions!$F$3:$F149,"Stock",Transactions!$D$3:$D149,AH133)
+SUMIFS(Transactions!$I$3:$I149,Transactions!$H$3:$H149,"Transfer Deposit",Transactions!$F$3:$F149,"Stock",Transactions!$D$3:$D149,AH133)
+SUMIFS(Transactions!$I$3:$I149,Transactions!$H$3:$H149,"Buy",Transactions!$F$3:$F149,"ETF",Transactions!$D$3:$D149,AH133)
+SUMIFS(Transactions!$I$3:$I149,Transactions!$H$3:$H149,"DRIP",Transactions!$F$3:$F149,"ETF",Transactions!$D$3:$D149,AH133)
+SUMIFS(Transactions!$I$3:$I149,Transactions!$H$3:$H149,"Transfer Deposit",Transactions!$F$3:$F149,"ETF",Transactions!$D$3:$D149,AH133)
+SUMIFS(Transactions!$I$3:$I149,Transactions!$H$3:$H149,"Buy",Transactions!$F$3:$F149,"Commodity",Transactions!$D$3:$D149,AH133)
+SUMIFS(Transactions!$I$3:$I149,Transactions!$H$3:$H149,"DRIP",Transactions!$F$3:$F149,"Commodity",Transactions!$D$3:$D149,AH133)
+SUMIFS(Transactions!$I$3:$I149,Transactions!$H$3:$H149,"Transfer Deposit",Transactions!$F$3:$F149,"Commodity",Transactions!$D$3:$D149,AH133)
+SUMIFS(Transactions!$I$3:$I149,Transactions!$H$3:$H149,"Buy",Transactions!$F$3:$F149,"Managed Fund",Transactions!$D$3:$D149,AH133)
+SUMIFS(Transactions!$I$3:$I149,Transactions!$H$3:$H149,"DRIP",Transactions!$F$3:$F149,"Managed Fund",Transactions!$D$3:$D149,AH133)
+SUMIFS(Transactions!$I$3:$I149,Transactions!$H$3:$H149,"Transfer Deposit",Transactions!$F$3:$F149,"Managed Fund",Transactions!$D$3:$D149,AH133)
+SUMIFS(Transactions!$I$3:$I149,Transactions!$H$3:$H149,"Buy",Transactions!$F$3:$F149,"REIT",Transactions!$D$3:$D149,AH133)
+SUMIFS(Transactions!$I$3:$I149,Transactions!$H$3:$H149,"DRIP",Transactions!$F$3:$F149,"REIT",Transactions!$D$3:$D149,AH133)
+SUMIFS(Transactions!$I$3:$I149,Transactions!$H$3:$H149,"Transfer Deposit",Transactions!$F$3:$F149,"REIT",Transactions!$D$3:$D149,AH133)
-SUMIFS(Transactions!$I$3:$I149,Transactions!$H$3:$H149,"Sell",Transactions!$F$3:$F149,"Stock",Transactions!$D$3:$D149,AH133)
-SUMIFS(Transactions!$I$3:$I149,Transactions!$H$3:$H149,"Transfer Send",Transactions!$F$3:$F149,"Stock",Transactions!$D$3:$D149,AH133)
-SUMIFS(Transactions!$I$3:$I149,Transactions!$H$3:$H149,"Sell",Transactions!$F$3:$F149,"ETF",Transactions!$D$3:$D149,AH133)
-SUMIFS(Transactions!$I$3:$I149,Transactions!$H$3:$H149,"Transfer Send",Transactions!$F$3:$F149,"ETF",Transactions!$D$3:$D149,AH133)
-SUMIFS(Transactions!$I$3:$I149,Transactions!$H$3:$H149,"Sell",Transactions!$F$3:$F149,"Commodity",Transactions!$D$3:$D149,AH133)
-SUMIFS(Transactions!$I$3:$I149,Transactions!$H$3:$H149,"Transfer Send",Transactions!$F$3:$F149,"Commodity",Transactions!$D$3:$D149,AH133)
-SUMIFS(Transactions!$I$3:$I149,Transactions!$H$3:$H149,"Sell",Transactions!$F$3:$F149,"Managed Fund",Transactions!$D$3:$D149,AH133)
-SUMIFS(Transactions!$I$3:$I149,Transactions!$H$3:$H149,"Transfer Send",Transactions!$F$3:$F149,"Managed Fund",Transactions!$D$3:$D149,AH133)
-SUMIFS(Transactions!$I$3:$I149,Transactions!$H$3:$H149,"Sell",Transactions!$F$3:$F149,"REIT",Transactions!$D$3:$D149,AH133)
-SUMIFS(Transactions!$I$3:$I149,Transactions!$H$3:$H149,"Transfer Send",Transactions!$F$3:$F149,"REIT",Transactions!$D$3:$D149,AH133)
+SUMIFS(Transactions!$I$3:$I149,Transactions!$H$3:$H149,"Buy",Transactions!$F$3:$F149,"Crypto",Transactions!$D$3:$D149,AH133)
+SUMIFS(Transactions!$I$3:$I149,Transactions!$H$3:$H149,"Crypto Interest",Transactions!$F$3:$F149,"Crypto",Transactions!$D$3:$D149,AH133)
+SUMIFS(Transactions!$I$3:$I149,Transactions!$H$3:$H149,"Transfer Deposit",Transactions!$F$3:$F149,"Crypto",Transactions!$D$3:$D149,AH133)
-SUMIFS(Transactions!$I$3:$I149,Transactions!$H$3:$H149,"Transfer Send",Transactions!$F$3:$F149,"Crypto",Transactions!$D$3:$D149,AH133)
-SUMIFS(Transactions!$I$3:$I149,Transactions!$H$3:$H149,"Sell",Transactions!$F$3:$F149,"Crypto",Transactions!$D$3:$D149,AH133)
+SUMIFS(Transactions!$I$3:$I149,Transactions!$H$3:$H149,"Buy",Transactions!$F$3:$F149,"Stablecoin",Transactions!$D$3:$D149,AH133)
+SUMIFS(Transactions!$I$3:$I149,Transactions!$H$3:$H149,"Crypto Interest",Transactions!$F$3:$F149,"Stablecoin",Transactions!$D$3:$D149,AH133)
+SUMIFS(Transactions!$I$3:$I149,Transactions!$H$3:$H149,"Transfer Deposit",Transactions!$F$3:$F149,"Stablecoin",Transactions!$D$3:$D149,AH133)
-SUMIFS(Transactions!$I$3:$I149,Transactions!$H$3:$H149,"Transfer Send",Transactions!$F$3:$F149,"Stablecoin",Transactions!$D$3:$D149,AH133)
-SUMIFS(Transactions!$I$3:$I149,Transactions!$H$3:$H149,"Sell",Transactions!$F$3:$F149,"Stablecoin",Transactions!$D$3:$D149,AH133)
-SUMIFS(Transactions!$M$3:$M149,Transactions!$H$3:$H149,"Buy",Transactions!$B$3:$B149,AH133)=0,"Sold All",
SUMIFS(Transactions!$I$3:$I149,Transactions!$H$3:$H149,"Buy",Transactions!$F$3:$F149,"Stock",Transactions!$D$3:$D149,AH133)
+SUMIFS(Transactions!$I$3:$I149,Transactions!$H$3:$H149,"DRIP",Transactions!$F$3:$F149,"Stock",Transactions!$D$3:$D149,AH133)
+SUMIFS(Transactions!$I$3:$I149,Transactions!$H$3:$H149,"Transfer Deposit",Transactions!$F$3:$F149,"Stock",Transactions!$D$3:$D149,AH133)
+SUMIFS(Transactions!$I$3:$I149,Transactions!$H$3:$H149,"Buy",Transactions!$F$3:$F149,"ETF",Transactions!$D$3:$D149,AH133)
+SUMIFS(Transactions!$I$3:$I149,Transactions!$H$3:$H149,"DRIP",Transactions!$F$3:$F149,"ETF",Transactions!$D$3:$D149,AH133)
+SUMIFS(Transactions!$I$3:$I149,Transactions!$H$3:$H149,"Transfer Deposit",Transactions!$F$3:$F149,"ETF",Transactions!$D$3:$D149,AH133)
+SUMIFS(Transactions!$I$3:$I149,Transactions!$H$3:$H149,"Buy",Transactions!$F$3:$F149,"Commodity",Transactions!$D$3:$D149,AH133)
+SUMIFS(Transactions!$I$3:$I149,Transactions!$H$3:$H149,"DRIP",Transactions!$F$3:$F149,"Commodity",Transactions!$D$3:$D149,AH133)
+SUMIFS(Transactions!$I$3:$I149,Transactions!$H$3:$H149,"Transfer Deposit",Transactions!$F$3:$F149,"Commodity",Transactions!$D$3:$D149,AH133)
+SUMIFS(Transactions!$I$3:$I149,Transactions!$H$3:$H149,"Buy",Transactions!$F$3:$F149,"Managed Fund",Transactions!$D$3:$D149,AH133)
+SUMIFS(Transactions!$I$3:$I149,Transactions!$H$3:$H149,"DRIP",Transactions!$F$3:$F149,"Managed Fund",Transactions!$D$3:$D149,AH133)
+SUMIFS(Transactions!$I$3:$I149,Transactions!$H$3:$H149,"Transfer Deposit",Transactions!$F$3:$F149,"Managed Fund",Transactions!$D$3:$D149,AH133)
+SUMIFS(Transactions!$I$3:$I149,Transactions!$H$3:$H149,"Buy",Transactions!$F$3:$F149,"REIT",Transactions!$D$3:$D149,AH133)
+SUMIFS(Transactions!$I$3:$I149,Transactions!$H$3:$H149,"DRIP",Transactions!$F$3:$F149,"REIT",Transactions!$D$3:$D149,AH133)
+SUMIFS(Transactions!$I$3:$I149,Transactions!$H$3:$H149,"Transfer Deposit",Transactions!$F$3:$F149,"REIT",Transactions!$D$3:$D149,AH133)
-SUMIFS(Transactions!$I$3:$I149,Transactions!$H$3:$H149,"Sell",Transactions!$F$3:$F149,"Stock",Transactions!$D$3:$D149,AH133)
-SUMIFS(Transactions!$I$3:$I149,Transactions!$H$3:$H149,"Transfer Send",Transactions!$F$3:$F149,"Stock",Transactions!$D$3:$D149,AH133)
-SUMIFS(Transactions!$I$3:$I149,Transactions!$H$3:$H149,"Sell",Transactions!$F$3:$F149,"ETF",Transactions!$D$3:$D149,AH133)
-SUMIFS(Transactions!$I$3:$I149,Transactions!$H$3:$H149,"Transfer Send",Transactions!$F$3:$F149,"ETF",Transactions!$D$3:$D149,AH133)
-SUMIFS(Transactions!$I$3:$I149,Transactions!$H$3:$H149,"Sell",Transactions!$F$3:$F149,"Commodity",Transactions!$D$3:$D149,AH133)
-SUMIFS(Transactions!$I$3:$I149,Transactions!$H$3:$H149,"Transfer Send",Transactions!$F$3:$F149,"Commodity",Transactions!$D$3:$D149,AH133)
-SUMIFS(Transactions!$I$3:$I149,Transactions!$H$3:$H149,"Sell",Transactions!$F$3:$F149,"Managed Fund",Transactions!$D$3:$D149,AH133)
-SUMIFS(Transactions!$I$3:$I149,Transactions!$H$3:$H149,"Transfer Send",Transactions!$F$3:$F149,"Managed Fund",Transactions!$D$3:$D149,AH133)
-SUMIFS(Transactions!$I$3:$I149,Transactions!$H$3:$H149,"Sell",Transactions!$F$3:$F149,"REIT",Transactions!$D$3:$D149,AH133)
-SUMIFS(Transactions!$I$3:$I149,Transactions!$H$3:$H149,"Transfer Send",Transactions!$F$3:$F149,"REIT",Transactions!$D$3:$D149,AH133)
+SUMIFS(Transactions!$I$3:$I149,Transactions!$H$3:$H149,"Buy",Transactions!$F$3:$F149,"Crypto",Transactions!$D$3:$D149,AH133)
+SUMIFS(Transactions!$I$3:$I149,Transactions!$H$3:$H149,"Crypto Interest",Transactions!$F$3:$F149,"Crypto",Transactions!$D$3:$D149,AH133)
+SUMIFS(Transactions!$I$3:$I149,Transactions!$H$3:$H149,"Transfer Deposit",Transactions!$F$3:$F149,"Crypto",Transactions!$D$3:$D149,AH133)
-SUMIFS(Transactions!$I$3:$I149,Transactions!$H$3:$H149,"Transfer Send",Transactions!$F$3:$F149,"Crypto",Transactions!$D$3:$D149,AH133)
-SUMIFS(Transactions!$I$3:$I149,Transactions!$H$3:$H149,"Sell",Transactions!$F$3:$F149,"Crypto",Transactions!$D$3:$D149,AH133)
+SUMIFS(Transactions!$I$3:$I149,Transactions!$H$3:$H149,"Buy",Transactions!$F$3:$F149,"Stablecoin",Transactions!$D$3:$D149,AH133)
+SUMIFS(Transactions!$I$3:$I149,Transactions!$H$3:$H149,"Crypto Interest",Transactions!$F$3:$F149,"Stablecoin",Transactions!$D$3:$D149,AH133)
+SUMIFS(Transactions!$I$3:$I149,Transactions!$H$3:$H149,"Transfer Deposit",Transactions!$F$3:$F149,"Stablecoin",Transactions!$D$3:$D149,AH133)
-SUMIFS(Transactions!$I$3:$I149,Transactions!$H$3:$H149,"Transfer Send",Transactions!$F$3:$F149,"Stablecoin",Transactions!$D$3:$D149,AH133)
-SUMIFS(Transactions!$I$3:$I149,Transactions!$H$3:$H149,"Sell",Transactions!$F$3:$F149,"Stablecoin",Transactions!$D$3:$D149,AH133)
-SUMIFS(Transactions!$M$3:$M149,Transactions!$H$3:$H149,"Buy",Transactions!$B$3:$B149,AH133)))</f>
        <v/>
      </c>
      <c r="AJ133" s="181" t="str">
        <f>IFERROR(__xludf.DUMMYFUNCTION("IF(ISBLANK(AH133),"""",VLOOKUP(9^99,FILTER({ROW(Transactions!P:P),Transactions!P:P},Transactions!D:D=AH133),2))"),"")</f>
        <v/>
      </c>
      <c r="AK133" s="181" t="str">
        <f>IFERROR(__xludf.DUMMYFUNCTION("IF(ISBLANK(AH133),"""",IFERROR(GOOGLEFINANCE(AH133,""price""),IFERROR(GOOGLEFINANCE(""CURRENCY:""&amp;AH133&amp;""""),IFERROR(INDEX(YAHOO_STOCK(TRIM(AH133), $G$2),0,1),INDEX(IMPORTHTML(CONCAT(""https://coinmarketcap.com/currencies/"",AG133),""table"",1),1,2)))))"),"")</f>
        <v/>
      </c>
      <c r="AL133" s="14" t="str">
        <f>IFERROR(__xludf.DUMMYFUNCTION("IF(ISBLANK(AH133),"""",IFERROR(SPARKLINE(INDEX(GOOGLEFINANCE(AH133,""price"",TODAY()-$AL$2,TODAY()),,2),{""charttype"",""column"";""color"",""17a7e0""}),""""))"),"")</f>
        <v/>
      </c>
      <c r="AM133" s="50" t="str">
        <f>IFERROR(__xludf.DUMMYFUNCTION("IFNA(IFERROR(IF(AH133="""","""",GOOGLEFINANCE(AH133,""changepct"")/100),(GOOGLEFINANCE(AH133)-(INDEX(GOOGLEFINANCE(""CURRENCY:""&amp;AH133&amp;"""",""price"",TODAY()-1),2,2)))/(INDEX(GOOGLEFINANCE(""CURRENCY:""&amp;AH133&amp;"""",""price"",TODAY()-1),2,2))),)"),"")</f>
        <v/>
      </c>
      <c r="AN133" s="96" t="str">
        <f>IFERROR(__xludf.DUMMYFUNCTION("IFNA(IFERROR(IF(AH133="""","""",GOOGLEFINANCE(AH133,""change"")*AI133),(GOOGLEFINANCE(AH133)-(INDEX(GOOGLEFINANCE(""CURRENCY:""&amp;AH133&amp;"""",""price"",TODAY()-1),2,2)))*AI133),"""")"),"")</f>
        <v/>
      </c>
      <c r="AO133" s="96" t="str">
        <f>IF(ISBLANK(AH133),"",IFERROR(((AI133-SUMIFS(Transactions!I:I,Transactions!H:H,"Crypto Interest",Transactions!D:D,AH133))*AJ133),""))</f>
        <v/>
      </c>
      <c r="AP133" s="96" t="str">
        <f t="shared" si="16"/>
        <v/>
      </c>
      <c r="AQ133" s="50" t="str">
        <f t="shared" si="17"/>
        <v/>
      </c>
      <c r="AR133" s="96" t="str">
        <f t="shared" si="18"/>
        <v/>
      </c>
      <c r="AS133" s="96" t="str">
        <f>IF(ISBLANK(AH133),"",SUMIFS(Transactions!$X$3:$X149,Transactions!$H$3:$H149,"Sell",Transactions!$D$3:$D149,AH133))</f>
        <v/>
      </c>
      <c r="AT133" s="96" t="str">
        <f t="shared" si="19"/>
        <v/>
      </c>
      <c r="AU133" s="50" t="str">
        <f>IFERROR(__xludf.DUMMYFUNCTION("IF(ISBLANK(AH133),"""",IFERROR((GOOGLEFINANCE(AH133,""price"")/INDEX(GOOGLEFINANCE(AH133,""price"",DATEVALUE(TODAY()-$AU$2) ),2,2)-1),""""))"),"")</f>
        <v/>
      </c>
      <c r="AW133" s="50" t="str">
        <f>IFERROR(__xludf.DUMMYFUNCTION("IF(ISBLANK(AH133),"""",IFERROR((GOOGLEFINANCE($AW$2,""price"")/INDEX(GOOGLEFINANCE($AW$2,""price"",DATEVALUE(TODAY()-$AU$2) ),2,2)-1),""""))"),"")</f>
        <v/>
      </c>
      <c r="AY133" s="50" t="str">
        <f t="shared" si="20"/>
        <v/>
      </c>
      <c r="AZ133" s="50" t="str">
        <f t="shared" si="21"/>
        <v/>
      </c>
      <c r="BA133" s="50" t="str">
        <f t="shared" si="22"/>
        <v/>
      </c>
      <c r="BB133" s="14" t="str">
        <f t="shared" si="23"/>
        <v/>
      </c>
      <c r="BC133" s="14" t="str">
        <f>IF(ISBLANK(AH133),"",IFERROR(VLOOKUP(AH133,Transactions!D:F,3,0)))</f>
        <v/>
      </c>
      <c r="BD133" s="50" t="str">
        <f t="shared" si="24"/>
        <v/>
      </c>
      <c r="BE133" s="50" t="str">
        <f t="shared" si="25"/>
        <v/>
      </c>
      <c r="BF133" s="14" t="str">
        <f t="shared" si="26"/>
        <v/>
      </c>
      <c r="BG133" s="180" t="str">
        <f>IF(ISBLANK(AH133),"",IFERROR(VLOOKUP(AH133,Transactions!D:G,4,0)))</f>
        <v/>
      </c>
    </row>
    <row r="134">
      <c r="A134" s="14" t="str">
        <f t="shared" ref="A134:C134" si="157">AG134</f>
        <v/>
      </c>
      <c r="B134" s="14" t="str">
        <f t="shared" si="157"/>
        <v/>
      </c>
      <c r="C134" s="175" t="str">
        <f t="shared" si="157"/>
        <v/>
      </c>
      <c r="D134" s="176" t="str">
        <f>IFERROR(__xludf.DUMMYFUNCTION("IF(ISBLANK(B134),"""",IFERROR(IF(OR(AF134=""GPB"",AF134=""ZAR""),IF(AF134=Dashboard!$L$1,AJ134,(AJ134*GOOGLEFINANCE(""CURRENCY:""&amp;AF134&amp;""""&amp;Dashboard!$L$1&amp;""""))/100),IF(AF134=Dashboard!$L$1,AJ134,AJ134*GOOGLEFINANCE(""CURRENCY:""&amp;AF134&amp;""""&amp;Dashboard!$L"&amp;"$1&amp;""""))),AJ134))"),"")</f>
        <v/>
      </c>
      <c r="E134" s="177" t="str">
        <f>IFERROR(__xludf.DUMMYFUNCTION("IFERROR(IF(OR(AF134=""GBP"",AF134=""ZAR""),IF(B134="""","""",IF(AF134=Dashboard!$L$1,AK134,AK134*GOOGLEFINANCE(""CURRENCY:""&amp;AF134&amp;""""&amp;Dashboard!$L$1&amp;"""")))/100,If(B134="""","""",IF(AF134=Dashboard!$L$1,AK134,AK134*GOOGLEFINANCE(""CURRENCY:""&amp;AF134&amp;"""""&amp;"&amp;Dashboard!$L$1&amp;"""")))),AK134)"),"")</f>
        <v/>
      </c>
      <c r="F134" s="145" t="str">
        <f t="shared" si="65"/>
        <v/>
      </c>
      <c r="G134" s="96" t="str">
        <f>IFERROR(__xludf.DUMMYFUNCTION("IF(ISBLANK(B134),"""",IFERROR(SPARKLINE(INDEX(GOOGLEFINANCE(B134,""price"",TODAY()-$G$2,TODAY()),,2),{""charttype"",""column"";""color"",""17a7e0""}),""""))"),"")</f>
        <v/>
      </c>
      <c r="H134" s="50" t="str">
        <f t="shared" si="3"/>
        <v/>
      </c>
      <c r="I134" s="96" t="str">
        <f>IFERROR(__xludf.DUMMYFUNCTION("IF(ISBLANK(B134),"""",IFERROR(IF(OR(AF134=""GPB"",AF134=""ZAR""),IF(AF134=Dashboard!$L$1,AN134,(AN134*GOOGLEFINANCE(""CURRENCY:""&amp;AF134&amp;""""&amp;Dashboard!$L$1&amp;""""))/100),IF(AF134=Dashboard!$L$1,AN134,AN134*GOOGLEFINANCE(""CURRENCY:""&amp;AF134&amp;""""&amp;Dashboard!$L"&amp;"$1&amp;""""))),AN134))"),"")</f>
        <v/>
      </c>
      <c r="J134" s="178" t="str">
        <f>IF(ISBLANK(B134),"",IFERROR(((C134-SUMIFS(Transactions!I:I,Transactions!H:H,"Crypto Interest",Transactions!D:D,B134))*D134),""))</f>
        <v/>
      </c>
      <c r="K134" s="178" t="str">
        <f t="shared" si="4"/>
        <v/>
      </c>
      <c r="L134" s="145">
        <f>IF(ISBLANK(AF134),"",SUMIFS(Transactions!$M$3:$M149,Transactions!$H$3:$H149,"Buy",Transactions!$D$3:$D149,AF134))</f>
        <v>0</v>
      </c>
      <c r="M134" s="145">
        <f>IF(ISBLANK(AG134),"",SUMIFS(Transactions!$M$3:$M149,Transactions!$H$3:$H149,"Dividend",Transactions!$D$3:$D149,AG134))</f>
        <v>0</v>
      </c>
      <c r="N134" s="145" t="str">
        <f>IF(ISBLANK(AH134),"",SUMIFS(Transactions!$M$3:$M149,Transactions!$H$3:$H149,"Sell",Transactions!$D$3:$D149,AH134))</f>
        <v/>
      </c>
      <c r="O134" s="50" t="str">
        <f t="shared" si="5"/>
        <v/>
      </c>
      <c r="P134" s="178" t="str">
        <f t="shared" si="6"/>
        <v/>
      </c>
      <c r="Q134" s="178" t="str">
        <f>IFERROR(__xludf.DUMMYFUNCTION("IF(ISBLANK(B134),"""",IFERROR(IF(OR(AF134=""GPB"",AF134=""ZAR""),IF(AF134=Dashboard!$L$1,AS134,(AS134*GOOGLEFINANCE(""CURRENCY:""&amp;AF134&amp;""""&amp;Dashboard!$L$1&amp;""""))/100),IF(AF134=Dashboard!$L$1,AS134,AS134*GOOGLEFINANCE(""CURRENCY:""&amp;AF134&amp;""""&amp;Dashboard!$L"&amp;"$1&amp;""""))),AS134))"),"")</f>
        <v/>
      </c>
      <c r="R134" s="178" t="str">
        <f t="shared" si="7"/>
        <v/>
      </c>
      <c r="S134" s="50" t="str">
        <f>IFERROR(__xludf.DUMMYFUNCTION("IF(ISBLANK(B134),"""",IFERROR((GOOGLEFINANCE(B134,""price"")/INDEX(GOOGLEFINANCE(B134,""price"",DATEVALUE(TODAY()-$S$2) ),2,2)-1),""""))"),"")</f>
        <v/>
      </c>
      <c r="U134" s="50" t="str">
        <f>IFERROR(__xludf.DUMMYFUNCTION("IF(ISBLANK(B134),"""",IFERROR((GOOGLEFINANCE($U$2,""price"")/INDEX(GOOGLEFINANCE($U$2,""price"",DATEVALUE(TODAY()-$S$2) ),2,2)-1),""""))"),"")</f>
        <v/>
      </c>
      <c r="W134" s="50" t="str">
        <f t="shared" si="8"/>
        <v/>
      </c>
      <c r="X134" s="50" t="str">
        <f t="shared" si="9"/>
        <v/>
      </c>
      <c r="Y134" s="50"/>
      <c r="Z134" s="50" t="str">
        <f t="shared" si="10"/>
        <v/>
      </c>
      <c r="AA134" s="14" t="str">
        <f t="shared" si="11"/>
        <v/>
      </c>
      <c r="AB134" s="50" t="str">
        <f t="shared" si="12"/>
        <v/>
      </c>
      <c r="AC134" s="179" t="str">
        <f t="shared" si="13"/>
        <v/>
      </c>
      <c r="AD134" s="50" t="str">
        <f t="shared" si="14"/>
        <v/>
      </c>
      <c r="AE134" s="180" t="str">
        <f t="shared" si="15"/>
        <v/>
      </c>
      <c r="AF134" s="14" t="str">
        <f t="array" ref="AF134">IFERROR(IF(ISBLANK(AH134),"",IF(VLOOKUP(AH134,Transactions!D:F,3,0)="Stablecoin",AH134,INDEX(Transactions!$B$3:$B149,MATCH(AH134,Transactions!$D$3:$D149,0),0))))</f>
        <v/>
      </c>
      <c r="AG134" s="14" t="str">
        <f>IF(ISBLANK(AH134),"",VLOOKUP(AH134,Transactions!D:E,2,0))</f>
        <v/>
      </c>
      <c r="AH134" s="14"/>
      <c r="AI134" s="146" t="str">
        <f>IF(ISBLANK(AH134),"",IF(
SUMIFS(Transactions!$I$3:$I149,Transactions!$H$3:$H149,"Buy",Transactions!$F$3:$F149,"Stock",Transactions!$D$3:$D149,AH134)
+SUMIFS(Transactions!$I$3:$I149,Transactions!$H$3:$H149,"DRIP",Transactions!$F$3:$F149,"Stock",Transactions!$D$3:$D149,AH134)
+SUMIFS(Transactions!$I$3:$I149,Transactions!$H$3:$H149,"Transfer Deposit",Transactions!$F$3:$F149,"Stock",Transactions!$D$3:$D149,AH134)
+SUMIFS(Transactions!$I$3:$I149,Transactions!$H$3:$H149,"Buy",Transactions!$F$3:$F149,"ETF",Transactions!$D$3:$D149,AH134)
+SUMIFS(Transactions!$I$3:$I149,Transactions!$H$3:$H149,"DRIP",Transactions!$F$3:$F149,"ETF",Transactions!$D$3:$D149,AH134)
+SUMIFS(Transactions!$I$3:$I149,Transactions!$H$3:$H149,"Transfer Deposit",Transactions!$F$3:$F149,"ETF",Transactions!$D$3:$D149,AH134)
+SUMIFS(Transactions!$I$3:$I149,Transactions!$H$3:$H149,"Buy",Transactions!$F$3:$F149,"Commodity",Transactions!$D$3:$D149,AH134)
+SUMIFS(Transactions!$I$3:$I149,Transactions!$H$3:$H149,"DRIP",Transactions!$F$3:$F149,"Commodity",Transactions!$D$3:$D149,AH134)
+SUMIFS(Transactions!$I$3:$I149,Transactions!$H$3:$H149,"Transfer Deposit",Transactions!$F$3:$F149,"Commodity",Transactions!$D$3:$D149,AH134)
+SUMIFS(Transactions!$I$3:$I149,Transactions!$H$3:$H149,"Buy",Transactions!$F$3:$F149,"Managed Fund",Transactions!$D$3:$D149,AH134)
+SUMIFS(Transactions!$I$3:$I149,Transactions!$H$3:$H149,"DRIP",Transactions!$F$3:$F149,"Managed Fund",Transactions!$D$3:$D149,AH134)
+SUMIFS(Transactions!$I$3:$I149,Transactions!$H$3:$H149,"Transfer Deposit",Transactions!$F$3:$F149,"Managed Fund",Transactions!$D$3:$D149,AH134)
+SUMIFS(Transactions!$I$3:$I149,Transactions!$H$3:$H149,"Buy",Transactions!$F$3:$F149,"REIT",Transactions!$D$3:$D149,AH134)
+SUMIFS(Transactions!$I$3:$I149,Transactions!$H$3:$H149,"DRIP",Transactions!$F$3:$F149,"REIT",Transactions!$D$3:$D149,AH134)
+SUMIFS(Transactions!$I$3:$I149,Transactions!$H$3:$H149,"Transfer Deposit",Transactions!$F$3:$F149,"REIT",Transactions!$D$3:$D149,AH134)
-SUMIFS(Transactions!$I$3:$I149,Transactions!$H$3:$H149,"Sell",Transactions!$F$3:$F149,"Stock",Transactions!$D$3:$D149,AH134)
-SUMIFS(Transactions!$I$3:$I149,Transactions!$H$3:$H149,"Transfer Send",Transactions!$F$3:$F149,"Stock",Transactions!$D$3:$D149,AH134)
-SUMIFS(Transactions!$I$3:$I149,Transactions!$H$3:$H149,"Sell",Transactions!$F$3:$F149,"ETF",Transactions!$D$3:$D149,AH134)
-SUMIFS(Transactions!$I$3:$I149,Transactions!$H$3:$H149,"Transfer Send",Transactions!$F$3:$F149,"ETF",Transactions!$D$3:$D149,AH134)
-SUMIFS(Transactions!$I$3:$I149,Transactions!$H$3:$H149,"Sell",Transactions!$F$3:$F149,"Commodity",Transactions!$D$3:$D149,AH134)
-SUMIFS(Transactions!$I$3:$I149,Transactions!$H$3:$H149,"Transfer Send",Transactions!$F$3:$F149,"Commodity",Transactions!$D$3:$D149,AH134)
-SUMIFS(Transactions!$I$3:$I149,Transactions!$H$3:$H149,"Sell",Transactions!$F$3:$F149,"Managed Fund",Transactions!$D$3:$D149,AH134)
-SUMIFS(Transactions!$I$3:$I149,Transactions!$H$3:$H149,"Transfer Send",Transactions!$F$3:$F149,"Managed Fund",Transactions!$D$3:$D149,AH134)
-SUMIFS(Transactions!$I$3:$I149,Transactions!$H$3:$H149,"Sell",Transactions!$F$3:$F149,"REIT",Transactions!$D$3:$D149,AH134)
-SUMIFS(Transactions!$I$3:$I149,Transactions!$H$3:$H149,"Transfer Send",Transactions!$F$3:$F149,"REIT",Transactions!$D$3:$D149,AH134)
+SUMIFS(Transactions!$I$3:$I149,Transactions!$H$3:$H149,"Buy",Transactions!$F$3:$F149,"Crypto",Transactions!$D$3:$D149,AH134)
+SUMIFS(Transactions!$I$3:$I149,Transactions!$H$3:$H149,"Crypto Interest",Transactions!$F$3:$F149,"Crypto",Transactions!$D$3:$D149,AH134)
+SUMIFS(Transactions!$I$3:$I149,Transactions!$H$3:$H149,"Transfer Deposit",Transactions!$F$3:$F149,"Crypto",Transactions!$D$3:$D149,AH134)
-SUMIFS(Transactions!$I$3:$I149,Transactions!$H$3:$H149,"Transfer Send",Transactions!$F$3:$F149,"Crypto",Transactions!$D$3:$D149,AH134)
-SUMIFS(Transactions!$I$3:$I149,Transactions!$H$3:$H149,"Sell",Transactions!$F$3:$F149,"Crypto",Transactions!$D$3:$D149,AH134)
+SUMIFS(Transactions!$I$3:$I149,Transactions!$H$3:$H149,"Buy",Transactions!$F$3:$F149,"Stablecoin",Transactions!$D$3:$D149,AH134)
+SUMIFS(Transactions!$I$3:$I149,Transactions!$H$3:$H149,"Crypto Interest",Transactions!$F$3:$F149,"Stablecoin",Transactions!$D$3:$D149,AH134)
+SUMIFS(Transactions!$I$3:$I149,Transactions!$H$3:$H149,"Transfer Deposit",Transactions!$F$3:$F149,"Stablecoin",Transactions!$D$3:$D149,AH134)
-SUMIFS(Transactions!$I$3:$I149,Transactions!$H$3:$H149,"Transfer Send",Transactions!$F$3:$F149,"Stablecoin",Transactions!$D$3:$D149,AH134)
-SUMIFS(Transactions!$I$3:$I149,Transactions!$H$3:$H149,"Sell",Transactions!$F$3:$F149,"Stablecoin",Transactions!$D$3:$D149,AH134)
-SUMIFS(Transactions!$M$3:$M149,Transactions!$H$3:$H149,"Buy",Transactions!$B$3:$B149,AH134)=0,"Sold All",
SUMIFS(Transactions!$I$3:$I149,Transactions!$H$3:$H149,"Buy",Transactions!$F$3:$F149,"Stock",Transactions!$D$3:$D149,AH134)
+SUMIFS(Transactions!$I$3:$I149,Transactions!$H$3:$H149,"DRIP",Transactions!$F$3:$F149,"Stock",Transactions!$D$3:$D149,AH134)
+SUMIFS(Transactions!$I$3:$I149,Transactions!$H$3:$H149,"Transfer Deposit",Transactions!$F$3:$F149,"Stock",Transactions!$D$3:$D149,AH134)
+SUMIFS(Transactions!$I$3:$I149,Transactions!$H$3:$H149,"Buy",Transactions!$F$3:$F149,"ETF",Transactions!$D$3:$D149,AH134)
+SUMIFS(Transactions!$I$3:$I149,Transactions!$H$3:$H149,"DRIP",Transactions!$F$3:$F149,"ETF",Transactions!$D$3:$D149,AH134)
+SUMIFS(Transactions!$I$3:$I149,Transactions!$H$3:$H149,"Transfer Deposit",Transactions!$F$3:$F149,"ETF",Transactions!$D$3:$D149,AH134)
+SUMIFS(Transactions!$I$3:$I149,Transactions!$H$3:$H149,"Buy",Transactions!$F$3:$F149,"Commodity",Transactions!$D$3:$D149,AH134)
+SUMIFS(Transactions!$I$3:$I149,Transactions!$H$3:$H149,"DRIP",Transactions!$F$3:$F149,"Commodity",Transactions!$D$3:$D149,AH134)
+SUMIFS(Transactions!$I$3:$I149,Transactions!$H$3:$H149,"Transfer Deposit",Transactions!$F$3:$F149,"Commodity",Transactions!$D$3:$D149,AH134)
+SUMIFS(Transactions!$I$3:$I149,Transactions!$H$3:$H149,"Buy",Transactions!$F$3:$F149,"Managed Fund",Transactions!$D$3:$D149,AH134)
+SUMIFS(Transactions!$I$3:$I149,Transactions!$H$3:$H149,"DRIP",Transactions!$F$3:$F149,"Managed Fund",Transactions!$D$3:$D149,AH134)
+SUMIFS(Transactions!$I$3:$I149,Transactions!$H$3:$H149,"Transfer Deposit",Transactions!$F$3:$F149,"Managed Fund",Transactions!$D$3:$D149,AH134)
+SUMIFS(Transactions!$I$3:$I149,Transactions!$H$3:$H149,"Buy",Transactions!$F$3:$F149,"REIT",Transactions!$D$3:$D149,AH134)
+SUMIFS(Transactions!$I$3:$I149,Transactions!$H$3:$H149,"DRIP",Transactions!$F$3:$F149,"REIT",Transactions!$D$3:$D149,AH134)
+SUMIFS(Transactions!$I$3:$I149,Transactions!$H$3:$H149,"Transfer Deposit",Transactions!$F$3:$F149,"REIT",Transactions!$D$3:$D149,AH134)
-SUMIFS(Transactions!$I$3:$I149,Transactions!$H$3:$H149,"Sell",Transactions!$F$3:$F149,"Stock",Transactions!$D$3:$D149,AH134)
-SUMIFS(Transactions!$I$3:$I149,Transactions!$H$3:$H149,"Transfer Send",Transactions!$F$3:$F149,"Stock",Transactions!$D$3:$D149,AH134)
-SUMIFS(Transactions!$I$3:$I149,Transactions!$H$3:$H149,"Sell",Transactions!$F$3:$F149,"ETF",Transactions!$D$3:$D149,AH134)
-SUMIFS(Transactions!$I$3:$I149,Transactions!$H$3:$H149,"Transfer Send",Transactions!$F$3:$F149,"ETF",Transactions!$D$3:$D149,AH134)
-SUMIFS(Transactions!$I$3:$I149,Transactions!$H$3:$H149,"Sell",Transactions!$F$3:$F149,"Commodity",Transactions!$D$3:$D149,AH134)
-SUMIFS(Transactions!$I$3:$I149,Transactions!$H$3:$H149,"Transfer Send",Transactions!$F$3:$F149,"Commodity",Transactions!$D$3:$D149,AH134)
-SUMIFS(Transactions!$I$3:$I149,Transactions!$H$3:$H149,"Sell",Transactions!$F$3:$F149,"Managed Fund",Transactions!$D$3:$D149,AH134)
-SUMIFS(Transactions!$I$3:$I149,Transactions!$H$3:$H149,"Transfer Send",Transactions!$F$3:$F149,"Managed Fund",Transactions!$D$3:$D149,AH134)
-SUMIFS(Transactions!$I$3:$I149,Transactions!$H$3:$H149,"Sell",Transactions!$F$3:$F149,"REIT",Transactions!$D$3:$D149,AH134)
-SUMIFS(Transactions!$I$3:$I149,Transactions!$H$3:$H149,"Transfer Send",Transactions!$F$3:$F149,"REIT",Transactions!$D$3:$D149,AH134)
+SUMIFS(Transactions!$I$3:$I149,Transactions!$H$3:$H149,"Buy",Transactions!$F$3:$F149,"Crypto",Transactions!$D$3:$D149,AH134)
+SUMIFS(Transactions!$I$3:$I149,Transactions!$H$3:$H149,"Crypto Interest",Transactions!$F$3:$F149,"Crypto",Transactions!$D$3:$D149,AH134)
+SUMIFS(Transactions!$I$3:$I149,Transactions!$H$3:$H149,"Transfer Deposit",Transactions!$F$3:$F149,"Crypto",Transactions!$D$3:$D149,AH134)
-SUMIFS(Transactions!$I$3:$I149,Transactions!$H$3:$H149,"Transfer Send",Transactions!$F$3:$F149,"Crypto",Transactions!$D$3:$D149,AH134)
-SUMIFS(Transactions!$I$3:$I149,Transactions!$H$3:$H149,"Sell",Transactions!$F$3:$F149,"Crypto",Transactions!$D$3:$D149,AH134)
+SUMIFS(Transactions!$I$3:$I149,Transactions!$H$3:$H149,"Buy",Transactions!$F$3:$F149,"Stablecoin",Transactions!$D$3:$D149,AH134)
+SUMIFS(Transactions!$I$3:$I149,Transactions!$H$3:$H149,"Crypto Interest",Transactions!$F$3:$F149,"Stablecoin",Transactions!$D$3:$D149,AH134)
+SUMIFS(Transactions!$I$3:$I149,Transactions!$H$3:$H149,"Transfer Deposit",Transactions!$F$3:$F149,"Stablecoin",Transactions!$D$3:$D149,AH134)
-SUMIFS(Transactions!$I$3:$I149,Transactions!$H$3:$H149,"Transfer Send",Transactions!$F$3:$F149,"Stablecoin",Transactions!$D$3:$D149,AH134)
-SUMIFS(Transactions!$I$3:$I149,Transactions!$H$3:$H149,"Sell",Transactions!$F$3:$F149,"Stablecoin",Transactions!$D$3:$D149,AH134)
-SUMIFS(Transactions!$M$3:$M149,Transactions!$H$3:$H149,"Buy",Transactions!$B$3:$B149,AH134)))</f>
        <v/>
      </c>
      <c r="AJ134" s="181" t="str">
        <f>IFERROR(__xludf.DUMMYFUNCTION("IF(ISBLANK(AH134),"""",VLOOKUP(9^99,FILTER({ROW(Transactions!P:P),Transactions!P:P},Transactions!D:D=AH134),2))"),"")</f>
        <v/>
      </c>
      <c r="AK134" s="181" t="str">
        <f>IFERROR(__xludf.DUMMYFUNCTION("IF(ISBLANK(AH134),"""",IFERROR(GOOGLEFINANCE(AH134,""price""),IFERROR(GOOGLEFINANCE(""CURRENCY:""&amp;AH134&amp;""""),IFERROR(INDEX(YAHOO_STOCK(TRIM(AH134), $G$2),0,1),INDEX(IMPORTHTML(CONCAT(""https://coinmarketcap.com/currencies/"",AG134),""table"",1),1,2)))))"),"")</f>
        <v/>
      </c>
      <c r="AL134" s="14" t="str">
        <f>IFERROR(__xludf.DUMMYFUNCTION("IF(ISBLANK(AH134),"""",IFERROR(SPARKLINE(INDEX(GOOGLEFINANCE(AH134,""price"",TODAY()-$AL$2,TODAY()),,2),{""charttype"",""column"";""color"",""17a7e0""}),""""))"),"")</f>
        <v/>
      </c>
      <c r="AM134" s="50" t="str">
        <f>IFERROR(__xludf.DUMMYFUNCTION("IFNA(IFERROR(IF(AH134="""","""",GOOGLEFINANCE(AH134,""changepct"")/100),(GOOGLEFINANCE(AH134)-(INDEX(GOOGLEFINANCE(""CURRENCY:""&amp;AH134&amp;"""",""price"",TODAY()-1),2,2)))/(INDEX(GOOGLEFINANCE(""CURRENCY:""&amp;AH134&amp;"""",""price"",TODAY()-1),2,2))),)"),"")</f>
        <v/>
      </c>
      <c r="AN134" s="96" t="str">
        <f>IFERROR(__xludf.DUMMYFUNCTION("IFNA(IFERROR(IF(AH134="""","""",GOOGLEFINANCE(AH134,""change"")*AI134),(GOOGLEFINANCE(AH134)-(INDEX(GOOGLEFINANCE(""CURRENCY:""&amp;AH134&amp;"""",""price"",TODAY()-1),2,2)))*AI134),"""")"),"")</f>
        <v/>
      </c>
      <c r="AO134" s="96" t="str">
        <f>IF(ISBLANK(AH134),"",IFERROR(((AI134-SUMIFS(Transactions!I:I,Transactions!H:H,"Crypto Interest",Transactions!D:D,AH134))*AJ134),""))</f>
        <v/>
      </c>
      <c r="AP134" s="96" t="str">
        <f t="shared" si="16"/>
        <v/>
      </c>
      <c r="AQ134" s="50" t="str">
        <f t="shared" si="17"/>
        <v/>
      </c>
      <c r="AR134" s="96" t="str">
        <f t="shared" si="18"/>
        <v/>
      </c>
      <c r="AS134" s="96" t="str">
        <f>IF(ISBLANK(AH134),"",SUMIFS(Transactions!$X$3:$X149,Transactions!$H$3:$H149,"Sell",Transactions!$D$3:$D149,AH134))</f>
        <v/>
      </c>
      <c r="AT134" s="96" t="str">
        <f t="shared" si="19"/>
        <v/>
      </c>
      <c r="AU134" s="50" t="str">
        <f>IFERROR(__xludf.DUMMYFUNCTION("IF(ISBLANK(AH134),"""",IFERROR((GOOGLEFINANCE(AH134,""price"")/INDEX(GOOGLEFINANCE(AH134,""price"",DATEVALUE(TODAY()-$AU$2) ),2,2)-1),""""))"),"")</f>
        <v/>
      </c>
      <c r="AW134" s="50" t="str">
        <f>IFERROR(__xludf.DUMMYFUNCTION("IF(ISBLANK(AH134),"""",IFERROR((GOOGLEFINANCE($AW$2,""price"")/INDEX(GOOGLEFINANCE($AW$2,""price"",DATEVALUE(TODAY()-$AU$2) ),2,2)-1),""""))"),"")</f>
        <v/>
      </c>
      <c r="AY134" s="50" t="str">
        <f t="shared" si="20"/>
        <v/>
      </c>
      <c r="AZ134" s="50" t="str">
        <f t="shared" si="21"/>
        <v/>
      </c>
      <c r="BA134" s="50" t="str">
        <f t="shared" si="22"/>
        <v/>
      </c>
      <c r="BB134" s="14" t="str">
        <f t="shared" si="23"/>
        <v/>
      </c>
      <c r="BC134" s="14" t="str">
        <f>IF(ISBLANK(AH134),"",IFERROR(VLOOKUP(AH134,Transactions!D:F,3,0)))</f>
        <v/>
      </c>
      <c r="BD134" s="50" t="str">
        <f t="shared" si="24"/>
        <v/>
      </c>
      <c r="BE134" s="50" t="str">
        <f t="shared" si="25"/>
        <v/>
      </c>
      <c r="BF134" s="14" t="str">
        <f t="shared" si="26"/>
        <v/>
      </c>
      <c r="BG134" s="180" t="str">
        <f>IF(ISBLANK(AH134),"",IFERROR(VLOOKUP(AH134,Transactions!D:G,4,0)))</f>
        <v/>
      </c>
    </row>
    <row r="135">
      <c r="A135" s="14" t="str">
        <f t="shared" ref="A135:C135" si="158">AG135</f>
        <v/>
      </c>
      <c r="B135" s="14" t="str">
        <f t="shared" si="158"/>
        <v/>
      </c>
      <c r="C135" s="175" t="str">
        <f t="shared" si="158"/>
        <v/>
      </c>
      <c r="D135" s="176" t="str">
        <f>IFERROR(__xludf.DUMMYFUNCTION("IF(ISBLANK(B135),"""",IFERROR(IF(OR(AF135=""GPB"",AF135=""ZAR""),IF(AF135=Dashboard!$L$1,AJ135,(AJ135*GOOGLEFINANCE(""CURRENCY:""&amp;AF135&amp;""""&amp;Dashboard!$L$1&amp;""""))/100),IF(AF135=Dashboard!$L$1,AJ135,AJ135*GOOGLEFINANCE(""CURRENCY:""&amp;AF135&amp;""""&amp;Dashboard!$L"&amp;"$1&amp;""""))),AJ135))"),"")</f>
        <v/>
      </c>
      <c r="E135" s="177" t="str">
        <f>IFERROR(__xludf.DUMMYFUNCTION("IFERROR(IF(OR(AF135=""GBP"",AF135=""ZAR""),IF(B135="""","""",IF(AF135=Dashboard!$L$1,AK135,AK135*GOOGLEFINANCE(""CURRENCY:""&amp;AF135&amp;""""&amp;Dashboard!$L$1&amp;"""")))/100,If(B135="""","""",IF(AF135=Dashboard!$L$1,AK135,AK135*GOOGLEFINANCE(""CURRENCY:""&amp;AF135&amp;"""""&amp;"&amp;Dashboard!$L$1&amp;"""")))),AK135)"),"")</f>
        <v/>
      </c>
      <c r="F135" s="145" t="str">
        <f t="shared" si="65"/>
        <v/>
      </c>
      <c r="G135" s="96" t="str">
        <f>IFERROR(__xludf.DUMMYFUNCTION("IF(ISBLANK(B135),"""",IFERROR(SPARKLINE(INDEX(GOOGLEFINANCE(B135,""price"",TODAY()-$G$2,TODAY()),,2),{""charttype"",""column"";""color"",""17a7e0""}),""""))"),"")</f>
        <v/>
      </c>
      <c r="H135" s="50" t="str">
        <f t="shared" si="3"/>
        <v/>
      </c>
      <c r="I135" s="96" t="str">
        <f>IFERROR(__xludf.DUMMYFUNCTION("IF(ISBLANK(B135),"""",IFERROR(IF(OR(AF135=""GPB"",AF135=""ZAR""),IF(AF135=Dashboard!$L$1,AN135,(AN135*GOOGLEFINANCE(""CURRENCY:""&amp;AF135&amp;""""&amp;Dashboard!$L$1&amp;""""))/100),IF(AF135=Dashboard!$L$1,AN135,AN135*GOOGLEFINANCE(""CURRENCY:""&amp;AF135&amp;""""&amp;Dashboard!$L"&amp;"$1&amp;""""))),AN135))"),"")</f>
        <v/>
      </c>
      <c r="J135" s="178" t="str">
        <f>IF(ISBLANK(B135),"",IFERROR(((C135-SUMIFS(Transactions!I:I,Transactions!H:H,"Crypto Interest",Transactions!D:D,B135))*D135),""))</f>
        <v/>
      </c>
      <c r="K135" s="178" t="str">
        <f t="shared" si="4"/>
        <v/>
      </c>
      <c r="L135" s="145">
        <f>IF(ISBLANK(AF135),"",SUMIFS(Transactions!$M$3:$M149,Transactions!$H$3:$H149,"Buy",Transactions!$D$3:$D149,AF135))</f>
        <v>0</v>
      </c>
      <c r="M135" s="145">
        <f>IF(ISBLANK(AG135),"",SUMIFS(Transactions!$M$3:$M149,Transactions!$H$3:$H149,"Dividend",Transactions!$D$3:$D149,AG135))</f>
        <v>0</v>
      </c>
      <c r="N135" s="145" t="str">
        <f>IF(ISBLANK(AH135),"",SUMIFS(Transactions!$M$3:$M149,Transactions!$H$3:$H149,"Sell",Transactions!$D$3:$D149,AH135))</f>
        <v/>
      </c>
      <c r="O135" s="50" t="str">
        <f t="shared" si="5"/>
        <v/>
      </c>
      <c r="P135" s="178" t="str">
        <f t="shared" si="6"/>
        <v/>
      </c>
      <c r="Q135" s="178" t="str">
        <f>IFERROR(__xludf.DUMMYFUNCTION("IF(ISBLANK(B135),"""",IFERROR(IF(OR(AF135=""GPB"",AF135=""ZAR""),IF(AF135=Dashboard!$L$1,AS135,(AS135*GOOGLEFINANCE(""CURRENCY:""&amp;AF135&amp;""""&amp;Dashboard!$L$1&amp;""""))/100),IF(AF135=Dashboard!$L$1,AS135,AS135*GOOGLEFINANCE(""CURRENCY:""&amp;AF135&amp;""""&amp;Dashboard!$L"&amp;"$1&amp;""""))),AS135))"),"")</f>
        <v/>
      </c>
      <c r="R135" s="178" t="str">
        <f t="shared" si="7"/>
        <v/>
      </c>
      <c r="S135" s="50" t="str">
        <f>IFERROR(__xludf.DUMMYFUNCTION("IF(ISBLANK(B135),"""",IFERROR((GOOGLEFINANCE(B135,""price"")/INDEX(GOOGLEFINANCE(B135,""price"",DATEVALUE(TODAY()-$S$2) ),2,2)-1),""""))"),"")</f>
        <v/>
      </c>
      <c r="U135" s="50" t="str">
        <f>IFERROR(__xludf.DUMMYFUNCTION("IF(ISBLANK(B135),"""",IFERROR((GOOGLEFINANCE($U$2,""price"")/INDEX(GOOGLEFINANCE($U$2,""price"",DATEVALUE(TODAY()-$S$2) ),2,2)-1),""""))"),"")</f>
        <v/>
      </c>
      <c r="W135" s="50" t="str">
        <f t="shared" si="8"/>
        <v/>
      </c>
      <c r="X135" s="50" t="str">
        <f t="shared" si="9"/>
        <v/>
      </c>
      <c r="Y135" s="50"/>
      <c r="Z135" s="50" t="str">
        <f t="shared" si="10"/>
        <v/>
      </c>
      <c r="AA135" s="14" t="str">
        <f t="shared" si="11"/>
        <v/>
      </c>
      <c r="AB135" s="50" t="str">
        <f t="shared" si="12"/>
        <v/>
      </c>
      <c r="AC135" s="179" t="str">
        <f t="shared" si="13"/>
        <v/>
      </c>
      <c r="AD135" s="50" t="str">
        <f t="shared" si="14"/>
        <v/>
      </c>
      <c r="AE135" s="180" t="str">
        <f t="shared" si="15"/>
        <v/>
      </c>
      <c r="AF135" s="14" t="str">
        <f t="array" ref="AF135">IFERROR(IF(ISBLANK(AH135),"",IF(VLOOKUP(AH135,Transactions!D:F,3,0)="Stablecoin",AH135,INDEX(Transactions!$B$3:$B149,MATCH(AH135,Transactions!$D$3:$D149,0),0))))</f>
        <v/>
      </c>
      <c r="AG135" s="14" t="str">
        <f>IF(ISBLANK(AH135),"",VLOOKUP(AH135,Transactions!D:E,2,0))</f>
        <v/>
      </c>
      <c r="AH135" s="14"/>
      <c r="AI135" s="146" t="str">
        <f>IF(ISBLANK(AH135),"",IF(
SUMIFS(Transactions!$I$3:$I149,Transactions!$H$3:$H149,"Buy",Transactions!$F$3:$F149,"Stock",Transactions!$D$3:$D149,AH135)
+SUMIFS(Transactions!$I$3:$I149,Transactions!$H$3:$H149,"DRIP",Transactions!$F$3:$F149,"Stock",Transactions!$D$3:$D149,AH135)
+SUMIFS(Transactions!$I$3:$I149,Transactions!$H$3:$H149,"Transfer Deposit",Transactions!$F$3:$F149,"Stock",Transactions!$D$3:$D149,AH135)
+SUMIFS(Transactions!$I$3:$I149,Transactions!$H$3:$H149,"Buy",Transactions!$F$3:$F149,"ETF",Transactions!$D$3:$D149,AH135)
+SUMIFS(Transactions!$I$3:$I149,Transactions!$H$3:$H149,"DRIP",Transactions!$F$3:$F149,"ETF",Transactions!$D$3:$D149,AH135)
+SUMIFS(Transactions!$I$3:$I149,Transactions!$H$3:$H149,"Transfer Deposit",Transactions!$F$3:$F149,"ETF",Transactions!$D$3:$D149,AH135)
+SUMIFS(Transactions!$I$3:$I149,Transactions!$H$3:$H149,"Buy",Transactions!$F$3:$F149,"Commodity",Transactions!$D$3:$D149,AH135)
+SUMIFS(Transactions!$I$3:$I149,Transactions!$H$3:$H149,"DRIP",Transactions!$F$3:$F149,"Commodity",Transactions!$D$3:$D149,AH135)
+SUMIFS(Transactions!$I$3:$I149,Transactions!$H$3:$H149,"Transfer Deposit",Transactions!$F$3:$F149,"Commodity",Transactions!$D$3:$D149,AH135)
+SUMIFS(Transactions!$I$3:$I149,Transactions!$H$3:$H149,"Buy",Transactions!$F$3:$F149,"Managed Fund",Transactions!$D$3:$D149,AH135)
+SUMIFS(Transactions!$I$3:$I149,Transactions!$H$3:$H149,"DRIP",Transactions!$F$3:$F149,"Managed Fund",Transactions!$D$3:$D149,AH135)
+SUMIFS(Transactions!$I$3:$I149,Transactions!$H$3:$H149,"Transfer Deposit",Transactions!$F$3:$F149,"Managed Fund",Transactions!$D$3:$D149,AH135)
+SUMIFS(Transactions!$I$3:$I149,Transactions!$H$3:$H149,"Buy",Transactions!$F$3:$F149,"REIT",Transactions!$D$3:$D149,AH135)
+SUMIFS(Transactions!$I$3:$I149,Transactions!$H$3:$H149,"DRIP",Transactions!$F$3:$F149,"REIT",Transactions!$D$3:$D149,AH135)
+SUMIFS(Transactions!$I$3:$I149,Transactions!$H$3:$H149,"Transfer Deposit",Transactions!$F$3:$F149,"REIT",Transactions!$D$3:$D149,AH135)
-SUMIFS(Transactions!$I$3:$I149,Transactions!$H$3:$H149,"Sell",Transactions!$F$3:$F149,"Stock",Transactions!$D$3:$D149,AH135)
-SUMIFS(Transactions!$I$3:$I149,Transactions!$H$3:$H149,"Transfer Send",Transactions!$F$3:$F149,"Stock",Transactions!$D$3:$D149,AH135)
-SUMIFS(Transactions!$I$3:$I149,Transactions!$H$3:$H149,"Sell",Transactions!$F$3:$F149,"ETF",Transactions!$D$3:$D149,AH135)
-SUMIFS(Transactions!$I$3:$I149,Transactions!$H$3:$H149,"Transfer Send",Transactions!$F$3:$F149,"ETF",Transactions!$D$3:$D149,AH135)
-SUMIFS(Transactions!$I$3:$I149,Transactions!$H$3:$H149,"Sell",Transactions!$F$3:$F149,"Commodity",Transactions!$D$3:$D149,AH135)
-SUMIFS(Transactions!$I$3:$I149,Transactions!$H$3:$H149,"Transfer Send",Transactions!$F$3:$F149,"Commodity",Transactions!$D$3:$D149,AH135)
-SUMIFS(Transactions!$I$3:$I149,Transactions!$H$3:$H149,"Sell",Transactions!$F$3:$F149,"Managed Fund",Transactions!$D$3:$D149,AH135)
-SUMIFS(Transactions!$I$3:$I149,Transactions!$H$3:$H149,"Transfer Send",Transactions!$F$3:$F149,"Managed Fund",Transactions!$D$3:$D149,AH135)
-SUMIFS(Transactions!$I$3:$I149,Transactions!$H$3:$H149,"Sell",Transactions!$F$3:$F149,"REIT",Transactions!$D$3:$D149,AH135)
-SUMIFS(Transactions!$I$3:$I149,Transactions!$H$3:$H149,"Transfer Send",Transactions!$F$3:$F149,"REIT",Transactions!$D$3:$D149,AH135)
+SUMIFS(Transactions!$I$3:$I149,Transactions!$H$3:$H149,"Buy",Transactions!$F$3:$F149,"Crypto",Transactions!$D$3:$D149,AH135)
+SUMIFS(Transactions!$I$3:$I149,Transactions!$H$3:$H149,"Crypto Interest",Transactions!$F$3:$F149,"Crypto",Transactions!$D$3:$D149,AH135)
+SUMIFS(Transactions!$I$3:$I149,Transactions!$H$3:$H149,"Transfer Deposit",Transactions!$F$3:$F149,"Crypto",Transactions!$D$3:$D149,AH135)
-SUMIFS(Transactions!$I$3:$I149,Transactions!$H$3:$H149,"Transfer Send",Transactions!$F$3:$F149,"Crypto",Transactions!$D$3:$D149,AH135)
-SUMIFS(Transactions!$I$3:$I149,Transactions!$H$3:$H149,"Sell",Transactions!$F$3:$F149,"Crypto",Transactions!$D$3:$D149,AH135)
+SUMIFS(Transactions!$I$3:$I149,Transactions!$H$3:$H149,"Buy",Transactions!$F$3:$F149,"Stablecoin",Transactions!$D$3:$D149,AH135)
+SUMIFS(Transactions!$I$3:$I149,Transactions!$H$3:$H149,"Crypto Interest",Transactions!$F$3:$F149,"Stablecoin",Transactions!$D$3:$D149,AH135)
+SUMIFS(Transactions!$I$3:$I149,Transactions!$H$3:$H149,"Transfer Deposit",Transactions!$F$3:$F149,"Stablecoin",Transactions!$D$3:$D149,AH135)
-SUMIFS(Transactions!$I$3:$I149,Transactions!$H$3:$H149,"Transfer Send",Transactions!$F$3:$F149,"Stablecoin",Transactions!$D$3:$D149,AH135)
-SUMIFS(Transactions!$I$3:$I149,Transactions!$H$3:$H149,"Sell",Transactions!$F$3:$F149,"Stablecoin",Transactions!$D$3:$D149,AH135)
-SUMIFS(Transactions!$M$3:$M149,Transactions!$H$3:$H149,"Buy",Transactions!$B$3:$B149,AH135)=0,"Sold All",
SUMIFS(Transactions!$I$3:$I149,Transactions!$H$3:$H149,"Buy",Transactions!$F$3:$F149,"Stock",Transactions!$D$3:$D149,AH135)
+SUMIFS(Transactions!$I$3:$I149,Transactions!$H$3:$H149,"DRIP",Transactions!$F$3:$F149,"Stock",Transactions!$D$3:$D149,AH135)
+SUMIFS(Transactions!$I$3:$I149,Transactions!$H$3:$H149,"Transfer Deposit",Transactions!$F$3:$F149,"Stock",Transactions!$D$3:$D149,AH135)
+SUMIFS(Transactions!$I$3:$I149,Transactions!$H$3:$H149,"Buy",Transactions!$F$3:$F149,"ETF",Transactions!$D$3:$D149,AH135)
+SUMIFS(Transactions!$I$3:$I149,Transactions!$H$3:$H149,"DRIP",Transactions!$F$3:$F149,"ETF",Transactions!$D$3:$D149,AH135)
+SUMIFS(Transactions!$I$3:$I149,Transactions!$H$3:$H149,"Transfer Deposit",Transactions!$F$3:$F149,"ETF",Transactions!$D$3:$D149,AH135)
+SUMIFS(Transactions!$I$3:$I149,Transactions!$H$3:$H149,"Buy",Transactions!$F$3:$F149,"Commodity",Transactions!$D$3:$D149,AH135)
+SUMIFS(Transactions!$I$3:$I149,Transactions!$H$3:$H149,"DRIP",Transactions!$F$3:$F149,"Commodity",Transactions!$D$3:$D149,AH135)
+SUMIFS(Transactions!$I$3:$I149,Transactions!$H$3:$H149,"Transfer Deposit",Transactions!$F$3:$F149,"Commodity",Transactions!$D$3:$D149,AH135)
+SUMIFS(Transactions!$I$3:$I149,Transactions!$H$3:$H149,"Buy",Transactions!$F$3:$F149,"Managed Fund",Transactions!$D$3:$D149,AH135)
+SUMIFS(Transactions!$I$3:$I149,Transactions!$H$3:$H149,"DRIP",Transactions!$F$3:$F149,"Managed Fund",Transactions!$D$3:$D149,AH135)
+SUMIFS(Transactions!$I$3:$I149,Transactions!$H$3:$H149,"Transfer Deposit",Transactions!$F$3:$F149,"Managed Fund",Transactions!$D$3:$D149,AH135)
+SUMIFS(Transactions!$I$3:$I149,Transactions!$H$3:$H149,"Buy",Transactions!$F$3:$F149,"REIT",Transactions!$D$3:$D149,AH135)
+SUMIFS(Transactions!$I$3:$I149,Transactions!$H$3:$H149,"DRIP",Transactions!$F$3:$F149,"REIT",Transactions!$D$3:$D149,AH135)
+SUMIFS(Transactions!$I$3:$I149,Transactions!$H$3:$H149,"Transfer Deposit",Transactions!$F$3:$F149,"REIT",Transactions!$D$3:$D149,AH135)
-SUMIFS(Transactions!$I$3:$I149,Transactions!$H$3:$H149,"Sell",Transactions!$F$3:$F149,"Stock",Transactions!$D$3:$D149,AH135)
-SUMIFS(Transactions!$I$3:$I149,Transactions!$H$3:$H149,"Transfer Send",Transactions!$F$3:$F149,"Stock",Transactions!$D$3:$D149,AH135)
-SUMIFS(Transactions!$I$3:$I149,Transactions!$H$3:$H149,"Sell",Transactions!$F$3:$F149,"ETF",Transactions!$D$3:$D149,AH135)
-SUMIFS(Transactions!$I$3:$I149,Transactions!$H$3:$H149,"Transfer Send",Transactions!$F$3:$F149,"ETF",Transactions!$D$3:$D149,AH135)
-SUMIFS(Transactions!$I$3:$I149,Transactions!$H$3:$H149,"Sell",Transactions!$F$3:$F149,"Commodity",Transactions!$D$3:$D149,AH135)
-SUMIFS(Transactions!$I$3:$I149,Transactions!$H$3:$H149,"Transfer Send",Transactions!$F$3:$F149,"Commodity",Transactions!$D$3:$D149,AH135)
-SUMIFS(Transactions!$I$3:$I149,Transactions!$H$3:$H149,"Sell",Transactions!$F$3:$F149,"Managed Fund",Transactions!$D$3:$D149,AH135)
-SUMIFS(Transactions!$I$3:$I149,Transactions!$H$3:$H149,"Transfer Send",Transactions!$F$3:$F149,"Managed Fund",Transactions!$D$3:$D149,AH135)
-SUMIFS(Transactions!$I$3:$I149,Transactions!$H$3:$H149,"Sell",Transactions!$F$3:$F149,"REIT",Transactions!$D$3:$D149,AH135)
-SUMIFS(Transactions!$I$3:$I149,Transactions!$H$3:$H149,"Transfer Send",Transactions!$F$3:$F149,"REIT",Transactions!$D$3:$D149,AH135)
+SUMIFS(Transactions!$I$3:$I149,Transactions!$H$3:$H149,"Buy",Transactions!$F$3:$F149,"Crypto",Transactions!$D$3:$D149,AH135)
+SUMIFS(Transactions!$I$3:$I149,Transactions!$H$3:$H149,"Crypto Interest",Transactions!$F$3:$F149,"Crypto",Transactions!$D$3:$D149,AH135)
+SUMIFS(Transactions!$I$3:$I149,Transactions!$H$3:$H149,"Transfer Deposit",Transactions!$F$3:$F149,"Crypto",Transactions!$D$3:$D149,AH135)
-SUMIFS(Transactions!$I$3:$I149,Transactions!$H$3:$H149,"Transfer Send",Transactions!$F$3:$F149,"Crypto",Transactions!$D$3:$D149,AH135)
-SUMIFS(Transactions!$I$3:$I149,Transactions!$H$3:$H149,"Sell",Transactions!$F$3:$F149,"Crypto",Transactions!$D$3:$D149,AH135)
+SUMIFS(Transactions!$I$3:$I149,Transactions!$H$3:$H149,"Buy",Transactions!$F$3:$F149,"Stablecoin",Transactions!$D$3:$D149,AH135)
+SUMIFS(Transactions!$I$3:$I149,Transactions!$H$3:$H149,"Crypto Interest",Transactions!$F$3:$F149,"Stablecoin",Transactions!$D$3:$D149,AH135)
+SUMIFS(Transactions!$I$3:$I149,Transactions!$H$3:$H149,"Transfer Deposit",Transactions!$F$3:$F149,"Stablecoin",Transactions!$D$3:$D149,AH135)
-SUMIFS(Transactions!$I$3:$I149,Transactions!$H$3:$H149,"Transfer Send",Transactions!$F$3:$F149,"Stablecoin",Transactions!$D$3:$D149,AH135)
-SUMIFS(Transactions!$I$3:$I149,Transactions!$H$3:$H149,"Sell",Transactions!$F$3:$F149,"Stablecoin",Transactions!$D$3:$D149,AH135)
-SUMIFS(Transactions!$M$3:$M149,Transactions!$H$3:$H149,"Buy",Transactions!$B$3:$B149,AH135)))</f>
        <v/>
      </c>
      <c r="AJ135" s="181" t="str">
        <f>IFERROR(__xludf.DUMMYFUNCTION("IF(ISBLANK(AH135),"""",VLOOKUP(9^99,FILTER({ROW(Transactions!P:P),Transactions!P:P},Transactions!D:D=AH135),2))"),"")</f>
        <v/>
      </c>
      <c r="AK135" s="181" t="str">
        <f>IFERROR(__xludf.DUMMYFUNCTION("IF(ISBLANK(AH135),"""",IFERROR(GOOGLEFINANCE(AH135,""price""),IFERROR(GOOGLEFINANCE(""CURRENCY:""&amp;AH135&amp;""""),IFERROR(INDEX(YAHOO_STOCK(TRIM(AH135), $G$2),0,1),INDEX(IMPORTHTML(CONCAT(""https://coinmarketcap.com/currencies/"",AG135),""table"",1),1,2)))))"),"")</f>
        <v/>
      </c>
      <c r="AL135" s="14" t="str">
        <f>IFERROR(__xludf.DUMMYFUNCTION("IF(ISBLANK(AH135),"""",IFERROR(SPARKLINE(INDEX(GOOGLEFINANCE(AH135,""price"",TODAY()-$AL$2,TODAY()),,2),{""charttype"",""column"";""color"",""17a7e0""}),""""))"),"")</f>
        <v/>
      </c>
      <c r="AM135" s="50" t="str">
        <f>IFERROR(__xludf.DUMMYFUNCTION("IFNA(IFERROR(IF(AH135="""","""",GOOGLEFINANCE(AH135,""changepct"")/100),(GOOGLEFINANCE(AH135)-(INDEX(GOOGLEFINANCE(""CURRENCY:""&amp;AH135&amp;"""",""price"",TODAY()-1),2,2)))/(INDEX(GOOGLEFINANCE(""CURRENCY:""&amp;AH135&amp;"""",""price"",TODAY()-1),2,2))),)"),"")</f>
        <v/>
      </c>
      <c r="AN135" s="96" t="str">
        <f>IFERROR(__xludf.DUMMYFUNCTION("IFNA(IFERROR(IF(AH135="""","""",GOOGLEFINANCE(AH135,""change"")*AI135),(GOOGLEFINANCE(AH135)-(INDEX(GOOGLEFINANCE(""CURRENCY:""&amp;AH135&amp;"""",""price"",TODAY()-1),2,2)))*AI135),"""")"),"")</f>
        <v/>
      </c>
      <c r="AO135" s="96" t="str">
        <f>IF(ISBLANK(AH135),"",IFERROR(((AI135-SUMIFS(Transactions!I:I,Transactions!H:H,"Crypto Interest",Transactions!D:D,AH135))*AJ135),""))</f>
        <v/>
      </c>
      <c r="AP135" s="96" t="str">
        <f t="shared" si="16"/>
        <v/>
      </c>
      <c r="AQ135" s="50" t="str">
        <f t="shared" si="17"/>
        <v/>
      </c>
      <c r="AR135" s="96" t="str">
        <f t="shared" si="18"/>
        <v/>
      </c>
      <c r="AS135" s="96" t="str">
        <f>IF(ISBLANK(AH135),"",SUMIFS(Transactions!$X$3:$X149,Transactions!$H$3:$H149,"Sell",Transactions!$D$3:$D149,AH135))</f>
        <v/>
      </c>
      <c r="AT135" s="96" t="str">
        <f t="shared" si="19"/>
        <v/>
      </c>
      <c r="AU135" s="50" t="str">
        <f>IFERROR(__xludf.DUMMYFUNCTION("IF(ISBLANK(AH135),"""",IFERROR((GOOGLEFINANCE(AH135,""price"")/INDEX(GOOGLEFINANCE(AH135,""price"",DATEVALUE(TODAY()-$AU$2) ),2,2)-1),""""))"),"")</f>
        <v/>
      </c>
      <c r="AW135" s="50" t="str">
        <f>IFERROR(__xludf.DUMMYFUNCTION("IF(ISBLANK(AH135),"""",IFERROR((GOOGLEFINANCE($AW$2,""price"")/INDEX(GOOGLEFINANCE($AW$2,""price"",DATEVALUE(TODAY()-$AU$2) ),2,2)-1),""""))"),"")</f>
        <v/>
      </c>
      <c r="AY135" s="50" t="str">
        <f t="shared" si="20"/>
        <v/>
      </c>
      <c r="AZ135" s="50" t="str">
        <f t="shared" si="21"/>
        <v/>
      </c>
      <c r="BA135" s="50" t="str">
        <f t="shared" si="22"/>
        <v/>
      </c>
      <c r="BB135" s="14" t="str">
        <f t="shared" si="23"/>
        <v/>
      </c>
      <c r="BC135" s="14" t="str">
        <f>IF(ISBLANK(AH135),"",IFERROR(VLOOKUP(AH135,Transactions!D:F,3,0)))</f>
        <v/>
      </c>
      <c r="BD135" s="50" t="str">
        <f t="shared" si="24"/>
        <v/>
      </c>
      <c r="BE135" s="50" t="str">
        <f t="shared" si="25"/>
        <v/>
      </c>
      <c r="BF135" s="14" t="str">
        <f t="shared" si="26"/>
        <v/>
      </c>
      <c r="BG135" s="180" t="str">
        <f>IF(ISBLANK(AH135),"",IFERROR(VLOOKUP(AH135,Transactions!D:G,4,0)))</f>
        <v/>
      </c>
    </row>
    <row r="136">
      <c r="A136" s="14" t="str">
        <f t="shared" ref="A136:C136" si="159">AG136</f>
        <v/>
      </c>
      <c r="B136" s="14" t="str">
        <f t="shared" si="159"/>
        <v/>
      </c>
      <c r="C136" s="175" t="str">
        <f t="shared" si="159"/>
        <v/>
      </c>
      <c r="D136" s="176" t="str">
        <f>IFERROR(__xludf.DUMMYFUNCTION("IF(ISBLANK(B136),"""",IFERROR(IF(OR(AF136=""GPB"",AF136=""ZAR""),IF(AF136=Dashboard!$L$1,AJ136,(AJ136*GOOGLEFINANCE(""CURRENCY:""&amp;AF136&amp;""""&amp;Dashboard!$L$1&amp;""""))/100),IF(AF136=Dashboard!$L$1,AJ136,AJ136*GOOGLEFINANCE(""CURRENCY:""&amp;AF136&amp;""""&amp;Dashboard!$L"&amp;"$1&amp;""""))),AJ136))"),"")</f>
        <v/>
      </c>
      <c r="E136" s="177" t="str">
        <f>IFERROR(__xludf.DUMMYFUNCTION("IFERROR(IF(OR(AF136=""GBP"",AF136=""ZAR""),IF(B136="""","""",IF(AF136=Dashboard!$L$1,AK136,AK136*GOOGLEFINANCE(""CURRENCY:""&amp;AF136&amp;""""&amp;Dashboard!$L$1&amp;"""")))/100,If(B136="""","""",IF(AF136=Dashboard!$L$1,AK136,AK136*GOOGLEFINANCE(""CURRENCY:""&amp;AF136&amp;"""""&amp;"&amp;Dashboard!$L$1&amp;"""")))),AK136)"),"")</f>
        <v/>
      </c>
      <c r="F136" s="145" t="str">
        <f t="shared" si="65"/>
        <v/>
      </c>
      <c r="G136" s="96" t="str">
        <f>IFERROR(__xludf.DUMMYFUNCTION("IF(ISBLANK(B136),"""",IFERROR(SPARKLINE(INDEX(GOOGLEFINANCE(B136,""price"",TODAY()-$G$2,TODAY()),,2),{""charttype"",""column"";""color"",""17a7e0""}),""""))"),"")</f>
        <v/>
      </c>
      <c r="H136" s="50" t="str">
        <f t="shared" si="3"/>
        <v/>
      </c>
      <c r="I136" s="96" t="str">
        <f>IFERROR(__xludf.DUMMYFUNCTION("IF(ISBLANK(B136),"""",IFERROR(IF(OR(AF136=""GPB"",AF136=""ZAR""),IF(AF136=Dashboard!$L$1,AN136,(AN136*GOOGLEFINANCE(""CURRENCY:""&amp;AF136&amp;""""&amp;Dashboard!$L$1&amp;""""))/100),IF(AF136=Dashboard!$L$1,AN136,AN136*GOOGLEFINANCE(""CURRENCY:""&amp;AF136&amp;""""&amp;Dashboard!$L"&amp;"$1&amp;""""))),AN136))"),"")</f>
        <v/>
      </c>
      <c r="J136" s="178" t="str">
        <f>IF(ISBLANK(B136),"",IFERROR(((C136-SUMIFS(Transactions!I:I,Transactions!H:H,"Crypto Interest",Transactions!D:D,B136))*D136),""))</f>
        <v/>
      </c>
      <c r="K136" s="178" t="str">
        <f t="shared" si="4"/>
        <v/>
      </c>
      <c r="L136" s="145">
        <f>IF(ISBLANK(AF136),"",SUMIFS(Transactions!$M$3:$M149,Transactions!$H$3:$H149,"Buy",Transactions!$D$3:$D149,AF136))</f>
        <v>0</v>
      </c>
      <c r="M136" s="145">
        <f>IF(ISBLANK(AG136),"",SUMIFS(Transactions!$M$3:$M149,Transactions!$H$3:$H149,"Dividend",Transactions!$D$3:$D149,AG136))</f>
        <v>0</v>
      </c>
      <c r="N136" s="145" t="str">
        <f>IF(ISBLANK(AH136),"",SUMIFS(Transactions!$M$3:$M149,Transactions!$H$3:$H149,"Sell",Transactions!$D$3:$D149,AH136))</f>
        <v/>
      </c>
      <c r="O136" s="50" t="str">
        <f t="shared" si="5"/>
        <v/>
      </c>
      <c r="P136" s="178" t="str">
        <f t="shared" si="6"/>
        <v/>
      </c>
      <c r="Q136" s="178" t="str">
        <f>IFERROR(__xludf.DUMMYFUNCTION("IF(ISBLANK(B136),"""",IFERROR(IF(OR(AF136=""GPB"",AF136=""ZAR""),IF(AF136=Dashboard!$L$1,AS136,(AS136*GOOGLEFINANCE(""CURRENCY:""&amp;AF136&amp;""""&amp;Dashboard!$L$1&amp;""""))/100),IF(AF136=Dashboard!$L$1,AS136,AS136*GOOGLEFINANCE(""CURRENCY:""&amp;AF136&amp;""""&amp;Dashboard!$L"&amp;"$1&amp;""""))),AS136))"),"")</f>
        <v/>
      </c>
      <c r="R136" s="178" t="str">
        <f t="shared" si="7"/>
        <v/>
      </c>
      <c r="S136" s="50" t="str">
        <f>IFERROR(__xludf.DUMMYFUNCTION("IF(ISBLANK(B136),"""",IFERROR((GOOGLEFINANCE(B136,""price"")/INDEX(GOOGLEFINANCE(B136,""price"",DATEVALUE(TODAY()-$S$2) ),2,2)-1),""""))"),"")</f>
        <v/>
      </c>
      <c r="U136" s="50" t="str">
        <f>IFERROR(__xludf.DUMMYFUNCTION("IF(ISBLANK(B136),"""",IFERROR((GOOGLEFINANCE($U$2,""price"")/INDEX(GOOGLEFINANCE($U$2,""price"",DATEVALUE(TODAY()-$S$2) ),2,2)-1),""""))"),"")</f>
        <v/>
      </c>
      <c r="W136" s="50" t="str">
        <f t="shared" si="8"/>
        <v/>
      </c>
      <c r="X136" s="50" t="str">
        <f t="shared" si="9"/>
        <v/>
      </c>
      <c r="Y136" s="50"/>
      <c r="Z136" s="50" t="str">
        <f t="shared" si="10"/>
        <v/>
      </c>
      <c r="AA136" s="14" t="str">
        <f t="shared" si="11"/>
        <v/>
      </c>
      <c r="AB136" s="50" t="str">
        <f t="shared" si="12"/>
        <v/>
      </c>
      <c r="AC136" s="179" t="str">
        <f t="shared" si="13"/>
        <v/>
      </c>
      <c r="AD136" s="50" t="str">
        <f t="shared" si="14"/>
        <v/>
      </c>
      <c r="AE136" s="180" t="str">
        <f t="shared" si="15"/>
        <v/>
      </c>
      <c r="AF136" s="14" t="str">
        <f t="array" ref="AF136">IFERROR(IF(ISBLANK(AH136),"",IF(VLOOKUP(AH136,Transactions!D:F,3,0)="Stablecoin",AH136,INDEX(Transactions!$B$3:$B149,MATCH(AH136,Transactions!$D$3:$D149,0),0))))</f>
        <v/>
      </c>
      <c r="AG136" s="14" t="str">
        <f>IF(ISBLANK(AH136),"",VLOOKUP(AH136,Transactions!D:E,2,0))</f>
        <v/>
      </c>
      <c r="AH136" s="14"/>
      <c r="AI136" s="146" t="str">
        <f>IF(ISBLANK(AH136),"",IF(
SUMIFS(Transactions!$I$3:$I149,Transactions!$H$3:$H149,"Buy",Transactions!$F$3:$F149,"Stock",Transactions!$D$3:$D149,AH136)
+SUMIFS(Transactions!$I$3:$I149,Transactions!$H$3:$H149,"DRIP",Transactions!$F$3:$F149,"Stock",Transactions!$D$3:$D149,AH136)
+SUMIFS(Transactions!$I$3:$I149,Transactions!$H$3:$H149,"Transfer Deposit",Transactions!$F$3:$F149,"Stock",Transactions!$D$3:$D149,AH136)
+SUMIFS(Transactions!$I$3:$I149,Transactions!$H$3:$H149,"Buy",Transactions!$F$3:$F149,"ETF",Transactions!$D$3:$D149,AH136)
+SUMIFS(Transactions!$I$3:$I149,Transactions!$H$3:$H149,"DRIP",Transactions!$F$3:$F149,"ETF",Transactions!$D$3:$D149,AH136)
+SUMIFS(Transactions!$I$3:$I149,Transactions!$H$3:$H149,"Transfer Deposit",Transactions!$F$3:$F149,"ETF",Transactions!$D$3:$D149,AH136)
+SUMIFS(Transactions!$I$3:$I149,Transactions!$H$3:$H149,"Buy",Transactions!$F$3:$F149,"Commodity",Transactions!$D$3:$D149,AH136)
+SUMIFS(Transactions!$I$3:$I149,Transactions!$H$3:$H149,"DRIP",Transactions!$F$3:$F149,"Commodity",Transactions!$D$3:$D149,AH136)
+SUMIFS(Transactions!$I$3:$I149,Transactions!$H$3:$H149,"Transfer Deposit",Transactions!$F$3:$F149,"Commodity",Transactions!$D$3:$D149,AH136)
+SUMIFS(Transactions!$I$3:$I149,Transactions!$H$3:$H149,"Buy",Transactions!$F$3:$F149,"Managed Fund",Transactions!$D$3:$D149,AH136)
+SUMIFS(Transactions!$I$3:$I149,Transactions!$H$3:$H149,"DRIP",Transactions!$F$3:$F149,"Managed Fund",Transactions!$D$3:$D149,AH136)
+SUMIFS(Transactions!$I$3:$I149,Transactions!$H$3:$H149,"Transfer Deposit",Transactions!$F$3:$F149,"Managed Fund",Transactions!$D$3:$D149,AH136)
+SUMIFS(Transactions!$I$3:$I149,Transactions!$H$3:$H149,"Buy",Transactions!$F$3:$F149,"REIT",Transactions!$D$3:$D149,AH136)
+SUMIFS(Transactions!$I$3:$I149,Transactions!$H$3:$H149,"DRIP",Transactions!$F$3:$F149,"REIT",Transactions!$D$3:$D149,AH136)
+SUMIFS(Transactions!$I$3:$I149,Transactions!$H$3:$H149,"Transfer Deposit",Transactions!$F$3:$F149,"REIT",Transactions!$D$3:$D149,AH136)
-SUMIFS(Transactions!$I$3:$I149,Transactions!$H$3:$H149,"Sell",Transactions!$F$3:$F149,"Stock",Transactions!$D$3:$D149,AH136)
-SUMIFS(Transactions!$I$3:$I149,Transactions!$H$3:$H149,"Transfer Send",Transactions!$F$3:$F149,"Stock",Transactions!$D$3:$D149,AH136)
-SUMIFS(Transactions!$I$3:$I149,Transactions!$H$3:$H149,"Sell",Transactions!$F$3:$F149,"ETF",Transactions!$D$3:$D149,AH136)
-SUMIFS(Transactions!$I$3:$I149,Transactions!$H$3:$H149,"Transfer Send",Transactions!$F$3:$F149,"ETF",Transactions!$D$3:$D149,AH136)
-SUMIFS(Transactions!$I$3:$I149,Transactions!$H$3:$H149,"Sell",Transactions!$F$3:$F149,"Commodity",Transactions!$D$3:$D149,AH136)
-SUMIFS(Transactions!$I$3:$I149,Transactions!$H$3:$H149,"Transfer Send",Transactions!$F$3:$F149,"Commodity",Transactions!$D$3:$D149,AH136)
-SUMIFS(Transactions!$I$3:$I149,Transactions!$H$3:$H149,"Sell",Transactions!$F$3:$F149,"Managed Fund",Transactions!$D$3:$D149,AH136)
-SUMIFS(Transactions!$I$3:$I149,Transactions!$H$3:$H149,"Transfer Send",Transactions!$F$3:$F149,"Managed Fund",Transactions!$D$3:$D149,AH136)
-SUMIFS(Transactions!$I$3:$I149,Transactions!$H$3:$H149,"Sell",Transactions!$F$3:$F149,"REIT",Transactions!$D$3:$D149,AH136)
-SUMIFS(Transactions!$I$3:$I149,Transactions!$H$3:$H149,"Transfer Send",Transactions!$F$3:$F149,"REIT",Transactions!$D$3:$D149,AH136)
+SUMIFS(Transactions!$I$3:$I149,Transactions!$H$3:$H149,"Buy",Transactions!$F$3:$F149,"Crypto",Transactions!$D$3:$D149,AH136)
+SUMIFS(Transactions!$I$3:$I149,Transactions!$H$3:$H149,"Crypto Interest",Transactions!$F$3:$F149,"Crypto",Transactions!$D$3:$D149,AH136)
+SUMIFS(Transactions!$I$3:$I149,Transactions!$H$3:$H149,"Transfer Deposit",Transactions!$F$3:$F149,"Crypto",Transactions!$D$3:$D149,AH136)
-SUMIFS(Transactions!$I$3:$I149,Transactions!$H$3:$H149,"Transfer Send",Transactions!$F$3:$F149,"Crypto",Transactions!$D$3:$D149,AH136)
-SUMIFS(Transactions!$I$3:$I149,Transactions!$H$3:$H149,"Sell",Transactions!$F$3:$F149,"Crypto",Transactions!$D$3:$D149,AH136)
+SUMIFS(Transactions!$I$3:$I149,Transactions!$H$3:$H149,"Buy",Transactions!$F$3:$F149,"Stablecoin",Transactions!$D$3:$D149,AH136)
+SUMIFS(Transactions!$I$3:$I149,Transactions!$H$3:$H149,"Crypto Interest",Transactions!$F$3:$F149,"Stablecoin",Transactions!$D$3:$D149,AH136)
+SUMIFS(Transactions!$I$3:$I149,Transactions!$H$3:$H149,"Transfer Deposit",Transactions!$F$3:$F149,"Stablecoin",Transactions!$D$3:$D149,AH136)
-SUMIFS(Transactions!$I$3:$I149,Transactions!$H$3:$H149,"Transfer Send",Transactions!$F$3:$F149,"Stablecoin",Transactions!$D$3:$D149,AH136)
-SUMIFS(Transactions!$I$3:$I149,Transactions!$H$3:$H149,"Sell",Transactions!$F$3:$F149,"Stablecoin",Transactions!$D$3:$D149,AH136)
-SUMIFS(Transactions!$M$3:$M149,Transactions!$H$3:$H149,"Buy",Transactions!$B$3:$B149,AH136)=0,"Sold All",
SUMIFS(Transactions!$I$3:$I149,Transactions!$H$3:$H149,"Buy",Transactions!$F$3:$F149,"Stock",Transactions!$D$3:$D149,AH136)
+SUMIFS(Transactions!$I$3:$I149,Transactions!$H$3:$H149,"DRIP",Transactions!$F$3:$F149,"Stock",Transactions!$D$3:$D149,AH136)
+SUMIFS(Transactions!$I$3:$I149,Transactions!$H$3:$H149,"Transfer Deposit",Transactions!$F$3:$F149,"Stock",Transactions!$D$3:$D149,AH136)
+SUMIFS(Transactions!$I$3:$I149,Transactions!$H$3:$H149,"Buy",Transactions!$F$3:$F149,"ETF",Transactions!$D$3:$D149,AH136)
+SUMIFS(Transactions!$I$3:$I149,Transactions!$H$3:$H149,"DRIP",Transactions!$F$3:$F149,"ETF",Transactions!$D$3:$D149,AH136)
+SUMIFS(Transactions!$I$3:$I149,Transactions!$H$3:$H149,"Transfer Deposit",Transactions!$F$3:$F149,"ETF",Transactions!$D$3:$D149,AH136)
+SUMIFS(Transactions!$I$3:$I149,Transactions!$H$3:$H149,"Buy",Transactions!$F$3:$F149,"Commodity",Transactions!$D$3:$D149,AH136)
+SUMIFS(Transactions!$I$3:$I149,Transactions!$H$3:$H149,"DRIP",Transactions!$F$3:$F149,"Commodity",Transactions!$D$3:$D149,AH136)
+SUMIFS(Transactions!$I$3:$I149,Transactions!$H$3:$H149,"Transfer Deposit",Transactions!$F$3:$F149,"Commodity",Transactions!$D$3:$D149,AH136)
+SUMIFS(Transactions!$I$3:$I149,Transactions!$H$3:$H149,"Buy",Transactions!$F$3:$F149,"Managed Fund",Transactions!$D$3:$D149,AH136)
+SUMIFS(Transactions!$I$3:$I149,Transactions!$H$3:$H149,"DRIP",Transactions!$F$3:$F149,"Managed Fund",Transactions!$D$3:$D149,AH136)
+SUMIFS(Transactions!$I$3:$I149,Transactions!$H$3:$H149,"Transfer Deposit",Transactions!$F$3:$F149,"Managed Fund",Transactions!$D$3:$D149,AH136)
+SUMIFS(Transactions!$I$3:$I149,Transactions!$H$3:$H149,"Buy",Transactions!$F$3:$F149,"REIT",Transactions!$D$3:$D149,AH136)
+SUMIFS(Transactions!$I$3:$I149,Transactions!$H$3:$H149,"DRIP",Transactions!$F$3:$F149,"REIT",Transactions!$D$3:$D149,AH136)
+SUMIFS(Transactions!$I$3:$I149,Transactions!$H$3:$H149,"Transfer Deposit",Transactions!$F$3:$F149,"REIT",Transactions!$D$3:$D149,AH136)
-SUMIFS(Transactions!$I$3:$I149,Transactions!$H$3:$H149,"Sell",Transactions!$F$3:$F149,"Stock",Transactions!$D$3:$D149,AH136)
-SUMIFS(Transactions!$I$3:$I149,Transactions!$H$3:$H149,"Transfer Send",Transactions!$F$3:$F149,"Stock",Transactions!$D$3:$D149,AH136)
-SUMIFS(Transactions!$I$3:$I149,Transactions!$H$3:$H149,"Sell",Transactions!$F$3:$F149,"ETF",Transactions!$D$3:$D149,AH136)
-SUMIFS(Transactions!$I$3:$I149,Transactions!$H$3:$H149,"Transfer Send",Transactions!$F$3:$F149,"ETF",Transactions!$D$3:$D149,AH136)
-SUMIFS(Transactions!$I$3:$I149,Transactions!$H$3:$H149,"Sell",Transactions!$F$3:$F149,"Commodity",Transactions!$D$3:$D149,AH136)
-SUMIFS(Transactions!$I$3:$I149,Transactions!$H$3:$H149,"Transfer Send",Transactions!$F$3:$F149,"Commodity",Transactions!$D$3:$D149,AH136)
-SUMIFS(Transactions!$I$3:$I149,Transactions!$H$3:$H149,"Sell",Transactions!$F$3:$F149,"Managed Fund",Transactions!$D$3:$D149,AH136)
-SUMIFS(Transactions!$I$3:$I149,Transactions!$H$3:$H149,"Transfer Send",Transactions!$F$3:$F149,"Managed Fund",Transactions!$D$3:$D149,AH136)
-SUMIFS(Transactions!$I$3:$I149,Transactions!$H$3:$H149,"Sell",Transactions!$F$3:$F149,"REIT",Transactions!$D$3:$D149,AH136)
-SUMIFS(Transactions!$I$3:$I149,Transactions!$H$3:$H149,"Transfer Send",Transactions!$F$3:$F149,"REIT",Transactions!$D$3:$D149,AH136)
+SUMIFS(Transactions!$I$3:$I149,Transactions!$H$3:$H149,"Buy",Transactions!$F$3:$F149,"Crypto",Transactions!$D$3:$D149,AH136)
+SUMIFS(Transactions!$I$3:$I149,Transactions!$H$3:$H149,"Crypto Interest",Transactions!$F$3:$F149,"Crypto",Transactions!$D$3:$D149,AH136)
+SUMIFS(Transactions!$I$3:$I149,Transactions!$H$3:$H149,"Transfer Deposit",Transactions!$F$3:$F149,"Crypto",Transactions!$D$3:$D149,AH136)
-SUMIFS(Transactions!$I$3:$I149,Transactions!$H$3:$H149,"Transfer Send",Transactions!$F$3:$F149,"Crypto",Transactions!$D$3:$D149,AH136)
-SUMIFS(Transactions!$I$3:$I149,Transactions!$H$3:$H149,"Sell",Transactions!$F$3:$F149,"Crypto",Transactions!$D$3:$D149,AH136)
+SUMIFS(Transactions!$I$3:$I149,Transactions!$H$3:$H149,"Buy",Transactions!$F$3:$F149,"Stablecoin",Transactions!$D$3:$D149,AH136)
+SUMIFS(Transactions!$I$3:$I149,Transactions!$H$3:$H149,"Crypto Interest",Transactions!$F$3:$F149,"Stablecoin",Transactions!$D$3:$D149,AH136)
+SUMIFS(Transactions!$I$3:$I149,Transactions!$H$3:$H149,"Transfer Deposit",Transactions!$F$3:$F149,"Stablecoin",Transactions!$D$3:$D149,AH136)
-SUMIFS(Transactions!$I$3:$I149,Transactions!$H$3:$H149,"Transfer Send",Transactions!$F$3:$F149,"Stablecoin",Transactions!$D$3:$D149,AH136)
-SUMIFS(Transactions!$I$3:$I149,Transactions!$H$3:$H149,"Sell",Transactions!$F$3:$F149,"Stablecoin",Transactions!$D$3:$D149,AH136)
-SUMIFS(Transactions!$M$3:$M149,Transactions!$H$3:$H149,"Buy",Transactions!$B$3:$B149,AH136)))</f>
        <v/>
      </c>
      <c r="AJ136" s="181" t="str">
        <f>IFERROR(__xludf.DUMMYFUNCTION("IF(ISBLANK(AH136),"""",VLOOKUP(9^99,FILTER({ROW(Transactions!P:P),Transactions!P:P},Transactions!D:D=AH136),2))"),"")</f>
        <v/>
      </c>
      <c r="AK136" s="181" t="str">
        <f>IFERROR(__xludf.DUMMYFUNCTION("IF(ISBLANK(AH136),"""",IFERROR(GOOGLEFINANCE(AH136,""price""),IFERROR(GOOGLEFINANCE(""CURRENCY:""&amp;AH136&amp;""""),IFERROR(INDEX(YAHOO_STOCK(TRIM(AH136), $G$2),0,1),INDEX(IMPORTHTML(CONCAT(""https://coinmarketcap.com/currencies/"",AG136),""table"",1),1,2)))))"),"")</f>
        <v/>
      </c>
      <c r="AL136" s="14" t="str">
        <f>IFERROR(__xludf.DUMMYFUNCTION("IF(ISBLANK(AH136),"""",IFERROR(SPARKLINE(INDEX(GOOGLEFINANCE(AH136,""price"",TODAY()-$AL$2,TODAY()),,2),{""charttype"",""column"";""color"",""17a7e0""}),""""))"),"")</f>
        <v/>
      </c>
      <c r="AM136" s="50" t="str">
        <f>IFERROR(__xludf.DUMMYFUNCTION("IFNA(IFERROR(IF(AH136="""","""",GOOGLEFINANCE(AH136,""changepct"")/100),(GOOGLEFINANCE(AH136)-(INDEX(GOOGLEFINANCE(""CURRENCY:""&amp;AH136&amp;"""",""price"",TODAY()-1),2,2)))/(INDEX(GOOGLEFINANCE(""CURRENCY:""&amp;AH136&amp;"""",""price"",TODAY()-1),2,2))),)"),"")</f>
        <v/>
      </c>
      <c r="AN136" s="96" t="str">
        <f>IFERROR(__xludf.DUMMYFUNCTION("IFNA(IFERROR(IF(AH136="""","""",GOOGLEFINANCE(AH136,""change"")*AI136),(GOOGLEFINANCE(AH136)-(INDEX(GOOGLEFINANCE(""CURRENCY:""&amp;AH136&amp;"""",""price"",TODAY()-1),2,2)))*AI136),"""")"),"")</f>
        <v/>
      </c>
      <c r="AO136" s="96" t="str">
        <f>IF(ISBLANK(AH136),"",IFERROR(((AI136-SUMIFS(Transactions!I:I,Transactions!H:H,"Crypto Interest",Transactions!D:D,AH136))*AJ136),""))</f>
        <v/>
      </c>
      <c r="AP136" s="96" t="str">
        <f t="shared" si="16"/>
        <v/>
      </c>
      <c r="AQ136" s="50" t="str">
        <f t="shared" si="17"/>
        <v/>
      </c>
      <c r="AR136" s="96" t="str">
        <f t="shared" si="18"/>
        <v/>
      </c>
      <c r="AS136" s="96" t="str">
        <f>IF(ISBLANK(AH136),"",SUMIFS(Transactions!$X$3:$X149,Transactions!$H$3:$H149,"Sell",Transactions!$D$3:$D149,AH136))</f>
        <v/>
      </c>
      <c r="AT136" s="96" t="str">
        <f t="shared" si="19"/>
        <v/>
      </c>
      <c r="AU136" s="50" t="str">
        <f>IFERROR(__xludf.DUMMYFUNCTION("IF(ISBLANK(AH136),"""",IFERROR((GOOGLEFINANCE(AH136,""price"")/INDEX(GOOGLEFINANCE(AH136,""price"",DATEVALUE(TODAY()-$AU$2) ),2,2)-1),""""))"),"")</f>
        <v/>
      </c>
      <c r="AW136" s="50" t="str">
        <f>IFERROR(__xludf.DUMMYFUNCTION("IF(ISBLANK(AH136),"""",IFERROR((GOOGLEFINANCE($AW$2,""price"")/INDEX(GOOGLEFINANCE($AW$2,""price"",DATEVALUE(TODAY()-$AU$2) ),2,2)-1),""""))"),"")</f>
        <v/>
      </c>
      <c r="AY136" s="50" t="str">
        <f t="shared" si="20"/>
        <v/>
      </c>
      <c r="AZ136" s="50" t="str">
        <f t="shared" si="21"/>
        <v/>
      </c>
      <c r="BA136" s="50" t="str">
        <f t="shared" si="22"/>
        <v/>
      </c>
      <c r="BB136" s="14" t="str">
        <f t="shared" si="23"/>
        <v/>
      </c>
      <c r="BC136" s="14" t="str">
        <f>IF(ISBLANK(AH136),"",IFERROR(VLOOKUP(AH136,Transactions!D:F,3,0)))</f>
        <v/>
      </c>
      <c r="BD136" s="50" t="str">
        <f t="shared" si="24"/>
        <v/>
      </c>
      <c r="BE136" s="50" t="str">
        <f t="shared" si="25"/>
        <v/>
      </c>
      <c r="BF136" s="14" t="str">
        <f t="shared" si="26"/>
        <v/>
      </c>
      <c r="BG136" s="180" t="str">
        <f>IF(ISBLANK(AH136),"",IFERROR(VLOOKUP(AH136,Transactions!D:G,4,0)))</f>
        <v/>
      </c>
    </row>
    <row r="137">
      <c r="A137" s="14" t="str">
        <f t="shared" ref="A137:C137" si="160">AG137</f>
        <v/>
      </c>
      <c r="B137" s="14" t="str">
        <f t="shared" si="160"/>
        <v/>
      </c>
      <c r="C137" s="175" t="str">
        <f t="shared" si="160"/>
        <v/>
      </c>
      <c r="D137" s="176" t="str">
        <f>IFERROR(__xludf.DUMMYFUNCTION("IF(ISBLANK(B137),"""",IFERROR(IF(OR(AF137=""GPB"",AF137=""ZAR""),IF(AF137=Dashboard!$L$1,AJ137,(AJ137*GOOGLEFINANCE(""CURRENCY:""&amp;AF137&amp;""""&amp;Dashboard!$L$1&amp;""""))/100),IF(AF137=Dashboard!$L$1,AJ137,AJ137*GOOGLEFINANCE(""CURRENCY:""&amp;AF137&amp;""""&amp;Dashboard!$L"&amp;"$1&amp;""""))),AJ137))"),"")</f>
        <v/>
      </c>
      <c r="E137" s="177" t="str">
        <f>IFERROR(__xludf.DUMMYFUNCTION("IFERROR(IF(OR(AF137=""GBP"",AF137=""ZAR""),IF(B137="""","""",IF(AF137=Dashboard!$L$1,AK137,AK137*GOOGLEFINANCE(""CURRENCY:""&amp;AF137&amp;""""&amp;Dashboard!$L$1&amp;"""")))/100,If(B137="""","""",IF(AF137=Dashboard!$L$1,AK137,AK137*GOOGLEFINANCE(""CURRENCY:""&amp;AF137&amp;"""""&amp;"&amp;Dashboard!$L$1&amp;"""")))),AK137)"),"")</f>
        <v/>
      </c>
      <c r="F137" s="145" t="str">
        <f t="shared" si="65"/>
        <v/>
      </c>
      <c r="G137" s="96" t="str">
        <f>IFERROR(__xludf.DUMMYFUNCTION("IF(ISBLANK(B137),"""",IFERROR(SPARKLINE(INDEX(GOOGLEFINANCE(B137,""price"",TODAY()-$G$2,TODAY()),,2),{""charttype"",""column"";""color"",""17a7e0""}),""""))"),"")</f>
        <v/>
      </c>
      <c r="H137" s="50" t="str">
        <f t="shared" si="3"/>
        <v/>
      </c>
      <c r="I137" s="96" t="str">
        <f>IFERROR(__xludf.DUMMYFUNCTION("IF(ISBLANK(B137),"""",IFERROR(IF(OR(AF137=""GPB"",AF137=""ZAR""),IF(AF137=Dashboard!$L$1,AN137,(AN137*GOOGLEFINANCE(""CURRENCY:""&amp;AF137&amp;""""&amp;Dashboard!$L$1&amp;""""))/100),IF(AF137=Dashboard!$L$1,AN137,AN137*GOOGLEFINANCE(""CURRENCY:""&amp;AF137&amp;""""&amp;Dashboard!$L"&amp;"$1&amp;""""))),AN137))"),"")</f>
        <v/>
      </c>
      <c r="J137" s="178" t="str">
        <f>IF(ISBLANK(B137),"",IFERROR(((C137-SUMIFS(Transactions!I:I,Transactions!H:H,"Crypto Interest",Transactions!D:D,B137))*D137),""))</f>
        <v/>
      </c>
      <c r="K137" s="178" t="str">
        <f t="shared" si="4"/>
        <v/>
      </c>
      <c r="L137" s="145">
        <f>IF(ISBLANK(AF137),"",SUMIFS(Transactions!$M$3:$M149,Transactions!$H$3:$H149,"Buy",Transactions!$D$3:$D149,AF137))</f>
        <v>0</v>
      </c>
      <c r="M137" s="145">
        <f>IF(ISBLANK(AG137),"",SUMIFS(Transactions!$M$3:$M149,Transactions!$H$3:$H149,"Dividend",Transactions!$D$3:$D149,AG137))</f>
        <v>0</v>
      </c>
      <c r="N137" s="145" t="str">
        <f>IF(ISBLANK(AH137),"",SUMIFS(Transactions!$M$3:$M149,Transactions!$H$3:$H149,"Sell",Transactions!$D$3:$D149,AH137))</f>
        <v/>
      </c>
      <c r="O137" s="50" t="str">
        <f t="shared" si="5"/>
        <v/>
      </c>
      <c r="P137" s="178" t="str">
        <f t="shared" si="6"/>
        <v/>
      </c>
      <c r="Q137" s="178" t="str">
        <f>IFERROR(__xludf.DUMMYFUNCTION("IF(ISBLANK(B137),"""",IFERROR(IF(OR(AF137=""GPB"",AF137=""ZAR""),IF(AF137=Dashboard!$L$1,AS137,(AS137*GOOGLEFINANCE(""CURRENCY:""&amp;AF137&amp;""""&amp;Dashboard!$L$1&amp;""""))/100),IF(AF137=Dashboard!$L$1,AS137,AS137*GOOGLEFINANCE(""CURRENCY:""&amp;AF137&amp;""""&amp;Dashboard!$L"&amp;"$1&amp;""""))),AS137))"),"")</f>
        <v/>
      </c>
      <c r="R137" s="178" t="str">
        <f t="shared" si="7"/>
        <v/>
      </c>
      <c r="S137" s="50" t="str">
        <f>IFERROR(__xludf.DUMMYFUNCTION("IF(ISBLANK(B137),"""",IFERROR((GOOGLEFINANCE(B137,""price"")/INDEX(GOOGLEFINANCE(B137,""price"",DATEVALUE(TODAY()-$S$2) ),2,2)-1),""""))"),"")</f>
        <v/>
      </c>
      <c r="U137" s="50" t="str">
        <f>IFERROR(__xludf.DUMMYFUNCTION("IF(ISBLANK(B137),"""",IFERROR((GOOGLEFINANCE($U$2,""price"")/INDEX(GOOGLEFINANCE($U$2,""price"",DATEVALUE(TODAY()-$S$2) ),2,2)-1),""""))"),"")</f>
        <v/>
      </c>
      <c r="W137" s="50" t="str">
        <f t="shared" si="8"/>
        <v/>
      </c>
      <c r="X137" s="50" t="str">
        <f t="shared" si="9"/>
        <v/>
      </c>
      <c r="Y137" s="50"/>
      <c r="Z137" s="50" t="str">
        <f t="shared" si="10"/>
        <v/>
      </c>
      <c r="AA137" s="14" t="str">
        <f t="shared" si="11"/>
        <v/>
      </c>
      <c r="AB137" s="50" t="str">
        <f t="shared" si="12"/>
        <v/>
      </c>
      <c r="AC137" s="179" t="str">
        <f t="shared" si="13"/>
        <v/>
      </c>
      <c r="AD137" s="50" t="str">
        <f t="shared" si="14"/>
        <v/>
      </c>
      <c r="AE137" s="180" t="str">
        <f t="shared" si="15"/>
        <v/>
      </c>
      <c r="AF137" s="14" t="str">
        <f t="array" ref="AF137">IFERROR(IF(ISBLANK(AH137),"",IF(VLOOKUP(AH137,Transactions!D:F,3,0)="Stablecoin",AH137,INDEX(Transactions!$B$3:$B149,MATCH(AH137,Transactions!$D$3:$D149,0),0))))</f>
        <v/>
      </c>
      <c r="AG137" s="14" t="str">
        <f>IF(ISBLANK(AH137),"",VLOOKUP(AH137,Transactions!D:E,2,0))</f>
        <v/>
      </c>
      <c r="AH137" s="14"/>
      <c r="AI137" s="146" t="str">
        <f>IF(ISBLANK(AH137),"",IF(
SUMIFS(Transactions!$I$3:$I149,Transactions!$H$3:$H149,"Buy",Transactions!$F$3:$F149,"Stock",Transactions!$D$3:$D149,AH137)
+SUMIFS(Transactions!$I$3:$I149,Transactions!$H$3:$H149,"DRIP",Transactions!$F$3:$F149,"Stock",Transactions!$D$3:$D149,AH137)
+SUMIFS(Transactions!$I$3:$I149,Transactions!$H$3:$H149,"Transfer Deposit",Transactions!$F$3:$F149,"Stock",Transactions!$D$3:$D149,AH137)
+SUMIFS(Transactions!$I$3:$I149,Transactions!$H$3:$H149,"Buy",Transactions!$F$3:$F149,"ETF",Transactions!$D$3:$D149,AH137)
+SUMIFS(Transactions!$I$3:$I149,Transactions!$H$3:$H149,"DRIP",Transactions!$F$3:$F149,"ETF",Transactions!$D$3:$D149,AH137)
+SUMIFS(Transactions!$I$3:$I149,Transactions!$H$3:$H149,"Transfer Deposit",Transactions!$F$3:$F149,"ETF",Transactions!$D$3:$D149,AH137)
+SUMIFS(Transactions!$I$3:$I149,Transactions!$H$3:$H149,"Buy",Transactions!$F$3:$F149,"Commodity",Transactions!$D$3:$D149,AH137)
+SUMIFS(Transactions!$I$3:$I149,Transactions!$H$3:$H149,"DRIP",Transactions!$F$3:$F149,"Commodity",Transactions!$D$3:$D149,AH137)
+SUMIFS(Transactions!$I$3:$I149,Transactions!$H$3:$H149,"Transfer Deposit",Transactions!$F$3:$F149,"Commodity",Transactions!$D$3:$D149,AH137)
+SUMIFS(Transactions!$I$3:$I149,Transactions!$H$3:$H149,"Buy",Transactions!$F$3:$F149,"Managed Fund",Transactions!$D$3:$D149,AH137)
+SUMIFS(Transactions!$I$3:$I149,Transactions!$H$3:$H149,"DRIP",Transactions!$F$3:$F149,"Managed Fund",Transactions!$D$3:$D149,AH137)
+SUMIFS(Transactions!$I$3:$I149,Transactions!$H$3:$H149,"Transfer Deposit",Transactions!$F$3:$F149,"Managed Fund",Transactions!$D$3:$D149,AH137)
+SUMIFS(Transactions!$I$3:$I149,Transactions!$H$3:$H149,"Buy",Transactions!$F$3:$F149,"REIT",Transactions!$D$3:$D149,AH137)
+SUMIFS(Transactions!$I$3:$I149,Transactions!$H$3:$H149,"DRIP",Transactions!$F$3:$F149,"REIT",Transactions!$D$3:$D149,AH137)
+SUMIFS(Transactions!$I$3:$I149,Transactions!$H$3:$H149,"Transfer Deposit",Transactions!$F$3:$F149,"REIT",Transactions!$D$3:$D149,AH137)
-SUMIFS(Transactions!$I$3:$I149,Transactions!$H$3:$H149,"Sell",Transactions!$F$3:$F149,"Stock",Transactions!$D$3:$D149,AH137)
-SUMIFS(Transactions!$I$3:$I149,Transactions!$H$3:$H149,"Transfer Send",Transactions!$F$3:$F149,"Stock",Transactions!$D$3:$D149,AH137)
-SUMIFS(Transactions!$I$3:$I149,Transactions!$H$3:$H149,"Sell",Transactions!$F$3:$F149,"ETF",Transactions!$D$3:$D149,AH137)
-SUMIFS(Transactions!$I$3:$I149,Transactions!$H$3:$H149,"Transfer Send",Transactions!$F$3:$F149,"ETF",Transactions!$D$3:$D149,AH137)
-SUMIFS(Transactions!$I$3:$I149,Transactions!$H$3:$H149,"Sell",Transactions!$F$3:$F149,"Commodity",Transactions!$D$3:$D149,AH137)
-SUMIFS(Transactions!$I$3:$I149,Transactions!$H$3:$H149,"Transfer Send",Transactions!$F$3:$F149,"Commodity",Transactions!$D$3:$D149,AH137)
-SUMIFS(Transactions!$I$3:$I149,Transactions!$H$3:$H149,"Sell",Transactions!$F$3:$F149,"Managed Fund",Transactions!$D$3:$D149,AH137)
-SUMIFS(Transactions!$I$3:$I149,Transactions!$H$3:$H149,"Transfer Send",Transactions!$F$3:$F149,"Managed Fund",Transactions!$D$3:$D149,AH137)
-SUMIFS(Transactions!$I$3:$I149,Transactions!$H$3:$H149,"Sell",Transactions!$F$3:$F149,"REIT",Transactions!$D$3:$D149,AH137)
-SUMIFS(Transactions!$I$3:$I149,Transactions!$H$3:$H149,"Transfer Send",Transactions!$F$3:$F149,"REIT",Transactions!$D$3:$D149,AH137)
+SUMIFS(Transactions!$I$3:$I149,Transactions!$H$3:$H149,"Buy",Transactions!$F$3:$F149,"Crypto",Transactions!$D$3:$D149,AH137)
+SUMIFS(Transactions!$I$3:$I149,Transactions!$H$3:$H149,"Crypto Interest",Transactions!$F$3:$F149,"Crypto",Transactions!$D$3:$D149,AH137)
+SUMIFS(Transactions!$I$3:$I149,Transactions!$H$3:$H149,"Transfer Deposit",Transactions!$F$3:$F149,"Crypto",Transactions!$D$3:$D149,AH137)
-SUMIFS(Transactions!$I$3:$I149,Transactions!$H$3:$H149,"Transfer Send",Transactions!$F$3:$F149,"Crypto",Transactions!$D$3:$D149,AH137)
-SUMIFS(Transactions!$I$3:$I149,Transactions!$H$3:$H149,"Sell",Transactions!$F$3:$F149,"Crypto",Transactions!$D$3:$D149,AH137)
+SUMIFS(Transactions!$I$3:$I149,Transactions!$H$3:$H149,"Buy",Transactions!$F$3:$F149,"Stablecoin",Transactions!$D$3:$D149,AH137)
+SUMIFS(Transactions!$I$3:$I149,Transactions!$H$3:$H149,"Crypto Interest",Transactions!$F$3:$F149,"Stablecoin",Transactions!$D$3:$D149,AH137)
+SUMIFS(Transactions!$I$3:$I149,Transactions!$H$3:$H149,"Transfer Deposit",Transactions!$F$3:$F149,"Stablecoin",Transactions!$D$3:$D149,AH137)
-SUMIFS(Transactions!$I$3:$I149,Transactions!$H$3:$H149,"Transfer Send",Transactions!$F$3:$F149,"Stablecoin",Transactions!$D$3:$D149,AH137)
-SUMIFS(Transactions!$I$3:$I149,Transactions!$H$3:$H149,"Sell",Transactions!$F$3:$F149,"Stablecoin",Transactions!$D$3:$D149,AH137)
-SUMIFS(Transactions!$M$3:$M149,Transactions!$H$3:$H149,"Buy",Transactions!$B$3:$B149,AH137)=0,"Sold All",
SUMIFS(Transactions!$I$3:$I149,Transactions!$H$3:$H149,"Buy",Transactions!$F$3:$F149,"Stock",Transactions!$D$3:$D149,AH137)
+SUMIFS(Transactions!$I$3:$I149,Transactions!$H$3:$H149,"DRIP",Transactions!$F$3:$F149,"Stock",Transactions!$D$3:$D149,AH137)
+SUMIFS(Transactions!$I$3:$I149,Transactions!$H$3:$H149,"Transfer Deposit",Transactions!$F$3:$F149,"Stock",Transactions!$D$3:$D149,AH137)
+SUMIFS(Transactions!$I$3:$I149,Transactions!$H$3:$H149,"Buy",Transactions!$F$3:$F149,"ETF",Transactions!$D$3:$D149,AH137)
+SUMIFS(Transactions!$I$3:$I149,Transactions!$H$3:$H149,"DRIP",Transactions!$F$3:$F149,"ETF",Transactions!$D$3:$D149,AH137)
+SUMIFS(Transactions!$I$3:$I149,Transactions!$H$3:$H149,"Transfer Deposit",Transactions!$F$3:$F149,"ETF",Transactions!$D$3:$D149,AH137)
+SUMIFS(Transactions!$I$3:$I149,Transactions!$H$3:$H149,"Buy",Transactions!$F$3:$F149,"Commodity",Transactions!$D$3:$D149,AH137)
+SUMIFS(Transactions!$I$3:$I149,Transactions!$H$3:$H149,"DRIP",Transactions!$F$3:$F149,"Commodity",Transactions!$D$3:$D149,AH137)
+SUMIFS(Transactions!$I$3:$I149,Transactions!$H$3:$H149,"Transfer Deposit",Transactions!$F$3:$F149,"Commodity",Transactions!$D$3:$D149,AH137)
+SUMIFS(Transactions!$I$3:$I149,Transactions!$H$3:$H149,"Buy",Transactions!$F$3:$F149,"Managed Fund",Transactions!$D$3:$D149,AH137)
+SUMIFS(Transactions!$I$3:$I149,Transactions!$H$3:$H149,"DRIP",Transactions!$F$3:$F149,"Managed Fund",Transactions!$D$3:$D149,AH137)
+SUMIFS(Transactions!$I$3:$I149,Transactions!$H$3:$H149,"Transfer Deposit",Transactions!$F$3:$F149,"Managed Fund",Transactions!$D$3:$D149,AH137)
+SUMIFS(Transactions!$I$3:$I149,Transactions!$H$3:$H149,"Buy",Transactions!$F$3:$F149,"REIT",Transactions!$D$3:$D149,AH137)
+SUMIFS(Transactions!$I$3:$I149,Transactions!$H$3:$H149,"DRIP",Transactions!$F$3:$F149,"REIT",Transactions!$D$3:$D149,AH137)
+SUMIFS(Transactions!$I$3:$I149,Transactions!$H$3:$H149,"Transfer Deposit",Transactions!$F$3:$F149,"REIT",Transactions!$D$3:$D149,AH137)
-SUMIFS(Transactions!$I$3:$I149,Transactions!$H$3:$H149,"Sell",Transactions!$F$3:$F149,"Stock",Transactions!$D$3:$D149,AH137)
-SUMIFS(Transactions!$I$3:$I149,Transactions!$H$3:$H149,"Transfer Send",Transactions!$F$3:$F149,"Stock",Transactions!$D$3:$D149,AH137)
-SUMIFS(Transactions!$I$3:$I149,Transactions!$H$3:$H149,"Sell",Transactions!$F$3:$F149,"ETF",Transactions!$D$3:$D149,AH137)
-SUMIFS(Transactions!$I$3:$I149,Transactions!$H$3:$H149,"Transfer Send",Transactions!$F$3:$F149,"ETF",Transactions!$D$3:$D149,AH137)
-SUMIFS(Transactions!$I$3:$I149,Transactions!$H$3:$H149,"Sell",Transactions!$F$3:$F149,"Commodity",Transactions!$D$3:$D149,AH137)
-SUMIFS(Transactions!$I$3:$I149,Transactions!$H$3:$H149,"Transfer Send",Transactions!$F$3:$F149,"Commodity",Transactions!$D$3:$D149,AH137)
-SUMIFS(Transactions!$I$3:$I149,Transactions!$H$3:$H149,"Sell",Transactions!$F$3:$F149,"Managed Fund",Transactions!$D$3:$D149,AH137)
-SUMIFS(Transactions!$I$3:$I149,Transactions!$H$3:$H149,"Transfer Send",Transactions!$F$3:$F149,"Managed Fund",Transactions!$D$3:$D149,AH137)
-SUMIFS(Transactions!$I$3:$I149,Transactions!$H$3:$H149,"Sell",Transactions!$F$3:$F149,"REIT",Transactions!$D$3:$D149,AH137)
-SUMIFS(Transactions!$I$3:$I149,Transactions!$H$3:$H149,"Transfer Send",Transactions!$F$3:$F149,"REIT",Transactions!$D$3:$D149,AH137)
+SUMIFS(Transactions!$I$3:$I149,Transactions!$H$3:$H149,"Buy",Transactions!$F$3:$F149,"Crypto",Transactions!$D$3:$D149,AH137)
+SUMIFS(Transactions!$I$3:$I149,Transactions!$H$3:$H149,"Crypto Interest",Transactions!$F$3:$F149,"Crypto",Transactions!$D$3:$D149,AH137)
+SUMIFS(Transactions!$I$3:$I149,Transactions!$H$3:$H149,"Transfer Deposit",Transactions!$F$3:$F149,"Crypto",Transactions!$D$3:$D149,AH137)
-SUMIFS(Transactions!$I$3:$I149,Transactions!$H$3:$H149,"Transfer Send",Transactions!$F$3:$F149,"Crypto",Transactions!$D$3:$D149,AH137)
-SUMIFS(Transactions!$I$3:$I149,Transactions!$H$3:$H149,"Sell",Transactions!$F$3:$F149,"Crypto",Transactions!$D$3:$D149,AH137)
+SUMIFS(Transactions!$I$3:$I149,Transactions!$H$3:$H149,"Buy",Transactions!$F$3:$F149,"Stablecoin",Transactions!$D$3:$D149,AH137)
+SUMIFS(Transactions!$I$3:$I149,Transactions!$H$3:$H149,"Crypto Interest",Transactions!$F$3:$F149,"Stablecoin",Transactions!$D$3:$D149,AH137)
+SUMIFS(Transactions!$I$3:$I149,Transactions!$H$3:$H149,"Transfer Deposit",Transactions!$F$3:$F149,"Stablecoin",Transactions!$D$3:$D149,AH137)
-SUMIFS(Transactions!$I$3:$I149,Transactions!$H$3:$H149,"Transfer Send",Transactions!$F$3:$F149,"Stablecoin",Transactions!$D$3:$D149,AH137)
-SUMIFS(Transactions!$I$3:$I149,Transactions!$H$3:$H149,"Sell",Transactions!$F$3:$F149,"Stablecoin",Transactions!$D$3:$D149,AH137)
-SUMIFS(Transactions!$M$3:$M149,Transactions!$H$3:$H149,"Buy",Transactions!$B$3:$B149,AH137)))</f>
        <v/>
      </c>
      <c r="AJ137" s="181" t="str">
        <f>IFERROR(__xludf.DUMMYFUNCTION("IF(ISBLANK(AH137),"""",VLOOKUP(9^99,FILTER({ROW(Transactions!P:P),Transactions!P:P},Transactions!D:D=AH137),2))"),"")</f>
        <v/>
      </c>
      <c r="AK137" s="181" t="str">
        <f>IFERROR(__xludf.DUMMYFUNCTION("IF(ISBLANK(AH137),"""",IFERROR(GOOGLEFINANCE(AH137,""price""),IFERROR(GOOGLEFINANCE(""CURRENCY:""&amp;AH137&amp;""""),IFERROR(INDEX(YAHOO_STOCK(TRIM(AH137), $G$2),0,1),INDEX(IMPORTHTML(CONCAT(""https://coinmarketcap.com/currencies/"",AG137),""table"",1),1,2)))))"),"")</f>
        <v/>
      </c>
      <c r="AL137" s="14" t="str">
        <f>IFERROR(__xludf.DUMMYFUNCTION("IF(ISBLANK(AH137),"""",IFERROR(SPARKLINE(INDEX(GOOGLEFINANCE(AH137,""price"",TODAY()-$AL$2,TODAY()),,2),{""charttype"",""column"";""color"",""17a7e0""}),""""))"),"")</f>
        <v/>
      </c>
      <c r="AM137" s="50" t="str">
        <f>IFERROR(__xludf.DUMMYFUNCTION("IFNA(IFERROR(IF(AH137="""","""",GOOGLEFINANCE(AH137,""changepct"")/100),(GOOGLEFINANCE(AH137)-(INDEX(GOOGLEFINANCE(""CURRENCY:""&amp;AH137&amp;"""",""price"",TODAY()-1),2,2)))/(INDEX(GOOGLEFINANCE(""CURRENCY:""&amp;AH137&amp;"""",""price"",TODAY()-1),2,2))),)"),"")</f>
        <v/>
      </c>
      <c r="AN137" s="96" t="str">
        <f>IFERROR(__xludf.DUMMYFUNCTION("IFNA(IFERROR(IF(AH137="""","""",GOOGLEFINANCE(AH137,""change"")*AI137),(GOOGLEFINANCE(AH137)-(INDEX(GOOGLEFINANCE(""CURRENCY:""&amp;AH137&amp;"""",""price"",TODAY()-1),2,2)))*AI137),"""")"),"")</f>
        <v/>
      </c>
      <c r="AO137" s="96" t="str">
        <f>IF(ISBLANK(AH137),"",IFERROR(((AI137-SUMIFS(Transactions!I:I,Transactions!H:H,"Crypto Interest",Transactions!D:D,AH137))*AJ137),""))</f>
        <v/>
      </c>
      <c r="AP137" s="96" t="str">
        <f t="shared" si="16"/>
        <v/>
      </c>
      <c r="AQ137" s="50" t="str">
        <f t="shared" si="17"/>
        <v/>
      </c>
      <c r="AR137" s="96" t="str">
        <f t="shared" si="18"/>
        <v/>
      </c>
      <c r="AS137" s="96" t="str">
        <f>IF(ISBLANK(AH137),"",SUMIFS(Transactions!$X$3:$X149,Transactions!$H$3:$H149,"Sell",Transactions!$D$3:$D149,AH137))</f>
        <v/>
      </c>
      <c r="AT137" s="96" t="str">
        <f t="shared" si="19"/>
        <v/>
      </c>
      <c r="AU137" s="50" t="str">
        <f>IFERROR(__xludf.DUMMYFUNCTION("IF(ISBLANK(AH137),"""",IFERROR((GOOGLEFINANCE(AH137,""price"")/INDEX(GOOGLEFINANCE(AH137,""price"",DATEVALUE(TODAY()-$AU$2) ),2,2)-1),""""))"),"")</f>
        <v/>
      </c>
      <c r="AW137" s="50" t="str">
        <f>IFERROR(__xludf.DUMMYFUNCTION("IF(ISBLANK(AH137),"""",IFERROR((GOOGLEFINANCE($AW$2,""price"")/INDEX(GOOGLEFINANCE($AW$2,""price"",DATEVALUE(TODAY()-$AU$2) ),2,2)-1),""""))"),"")</f>
        <v/>
      </c>
      <c r="AY137" s="50" t="str">
        <f t="shared" si="20"/>
        <v/>
      </c>
      <c r="AZ137" s="50" t="str">
        <f t="shared" si="21"/>
        <v/>
      </c>
      <c r="BA137" s="50" t="str">
        <f t="shared" si="22"/>
        <v/>
      </c>
      <c r="BB137" s="14" t="str">
        <f t="shared" si="23"/>
        <v/>
      </c>
      <c r="BC137" s="14" t="str">
        <f>IF(ISBLANK(AH137),"",IFERROR(VLOOKUP(AH137,Transactions!D:F,3,0)))</f>
        <v/>
      </c>
      <c r="BD137" s="50" t="str">
        <f t="shared" si="24"/>
        <v/>
      </c>
      <c r="BE137" s="50" t="str">
        <f t="shared" si="25"/>
        <v/>
      </c>
      <c r="BF137" s="14" t="str">
        <f t="shared" si="26"/>
        <v/>
      </c>
      <c r="BG137" s="180" t="str">
        <f>IF(ISBLANK(AH137),"",IFERROR(VLOOKUP(AH137,Transactions!D:G,4,0)))</f>
        <v/>
      </c>
    </row>
    <row r="138">
      <c r="A138" s="14" t="str">
        <f t="shared" ref="A138:C138" si="161">AG138</f>
        <v/>
      </c>
      <c r="B138" s="14" t="str">
        <f t="shared" si="161"/>
        <v/>
      </c>
      <c r="C138" s="175" t="str">
        <f t="shared" si="161"/>
        <v/>
      </c>
      <c r="D138" s="176" t="str">
        <f>IFERROR(__xludf.DUMMYFUNCTION("IF(ISBLANK(B138),"""",IFERROR(IF(OR(AF138=""GPB"",AF138=""ZAR""),IF(AF138=Dashboard!$L$1,AJ138,(AJ138*GOOGLEFINANCE(""CURRENCY:""&amp;AF138&amp;""""&amp;Dashboard!$L$1&amp;""""))/100),IF(AF138=Dashboard!$L$1,AJ138,AJ138*GOOGLEFINANCE(""CURRENCY:""&amp;AF138&amp;""""&amp;Dashboard!$L"&amp;"$1&amp;""""))),AJ138))"),"")</f>
        <v/>
      </c>
      <c r="E138" s="177" t="str">
        <f>IFERROR(__xludf.DUMMYFUNCTION("IFERROR(IF(OR(AF138=""GBP"",AF138=""ZAR""),IF(B138="""","""",IF(AF138=Dashboard!$L$1,AK138,AK138*GOOGLEFINANCE(""CURRENCY:""&amp;AF138&amp;""""&amp;Dashboard!$L$1&amp;"""")))/100,If(B138="""","""",IF(AF138=Dashboard!$L$1,AK138,AK138*GOOGLEFINANCE(""CURRENCY:""&amp;AF138&amp;"""""&amp;"&amp;Dashboard!$L$1&amp;"""")))),AK138)"),"")</f>
        <v/>
      </c>
      <c r="F138" s="145" t="str">
        <f t="shared" si="65"/>
        <v/>
      </c>
      <c r="G138" s="96" t="str">
        <f>IFERROR(__xludf.DUMMYFUNCTION("IF(ISBLANK(B138),"""",IFERROR(SPARKLINE(INDEX(GOOGLEFINANCE(B138,""price"",TODAY()-$G$2,TODAY()),,2),{""charttype"",""column"";""color"",""17a7e0""}),""""))"),"")</f>
        <v/>
      </c>
      <c r="H138" s="50" t="str">
        <f t="shared" si="3"/>
        <v/>
      </c>
      <c r="I138" s="96" t="str">
        <f>IFERROR(__xludf.DUMMYFUNCTION("IF(ISBLANK(B138),"""",IFERROR(IF(OR(AF138=""GPB"",AF138=""ZAR""),IF(AF138=Dashboard!$L$1,AN138,(AN138*GOOGLEFINANCE(""CURRENCY:""&amp;AF138&amp;""""&amp;Dashboard!$L$1&amp;""""))/100),IF(AF138=Dashboard!$L$1,AN138,AN138*GOOGLEFINANCE(""CURRENCY:""&amp;AF138&amp;""""&amp;Dashboard!$L"&amp;"$1&amp;""""))),AN138))"),"")</f>
        <v/>
      </c>
      <c r="J138" s="178" t="str">
        <f>IF(ISBLANK(B138),"",IFERROR(((C138-SUMIFS(Transactions!I:I,Transactions!H:H,"Crypto Interest",Transactions!D:D,B138))*D138),""))</f>
        <v/>
      </c>
      <c r="K138" s="178" t="str">
        <f t="shared" si="4"/>
        <v/>
      </c>
      <c r="L138" s="145">
        <f>IF(ISBLANK(AF138),"",SUMIFS(Transactions!$M$3:$M149,Transactions!$H$3:$H149,"Buy",Transactions!$D$3:$D149,AF138))</f>
        <v>0</v>
      </c>
      <c r="M138" s="145">
        <f>IF(ISBLANK(AG138),"",SUMIFS(Transactions!$M$3:$M149,Transactions!$H$3:$H149,"Dividend",Transactions!$D$3:$D149,AG138))</f>
        <v>0</v>
      </c>
      <c r="N138" s="145" t="str">
        <f>IF(ISBLANK(AH138),"",SUMIFS(Transactions!$M$3:$M149,Transactions!$H$3:$H149,"Sell",Transactions!$D$3:$D149,AH138))</f>
        <v/>
      </c>
      <c r="O138" s="50" t="str">
        <f t="shared" si="5"/>
        <v/>
      </c>
      <c r="P138" s="178" t="str">
        <f t="shared" si="6"/>
        <v/>
      </c>
      <c r="Q138" s="178" t="str">
        <f>IFERROR(__xludf.DUMMYFUNCTION("IF(ISBLANK(B138),"""",IFERROR(IF(OR(AF138=""GPB"",AF138=""ZAR""),IF(AF138=Dashboard!$L$1,AS138,(AS138*GOOGLEFINANCE(""CURRENCY:""&amp;AF138&amp;""""&amp;Dashboard!$L$1&amp;""""))/100),IF(AF138=Dashboard!$L$1,AS138,AS138*GOOGLEFINANCE(""CURRENCY:""&amp;AF138&amp;""""&amp;Dashboard!$L"&amp;"$1&amp;""""))),AS138))"),"")</f>
        <v/>
      </c>
      <c r="R138" s="178" t="str">
        <f t="shared" si="7"/>
        <v/>
      </c>
      <c r="S138" s="50" t="str">
        <f>IFERROR(__xludf.DUMMYFUNCTION("IF(ISBLANK(B138),"""",IFERROR((GOOGLEFINANCE(B138,""price"")/INDEX(GOOGLEFINANCE(B138,""price"",DATEVALUE(TODAY()-$S$2) ),2,2)-1),""""))"),"")</f>
        <v/>
      </c>
      <c r="U138" s="50" t="str">
        <f>IFERROR(__xludf.DUMMYFUNCTION("IF(ISBLANK(B138),"""",IFERROR((GOOGLEFINANCE($U$2,""price"")/INDEX(GOOGLEFINANCE($U$2,""price"",DATEVALUE(TODAY()-$S$2) ),2,2)-1),""""))"),"")</f>
        <v/>
      </c>
      <c r="W138" s="50" t="str">
        <f t="shared" si="8"/>
        <v/>
      </c>
      <c r="X138" s="50" t="str">
        <f t="shared" si="9"/>
        <v/>
      </c>
      <c r="Y138" s="50"/>
      <c r="Z138" s="50" t="str">
        <f t="shared" si="10"/>
        <v/>
      </c>
      <c r="AA138" s="14" t="str">
        <f t="shared" si="11"/>
        <v/>
      </c>
      <c r="AB138" s="50" t="str">
        <f t="shared" si="12"/>
        <v/>
      </c>
      <c r="AC138" s="179" t="str">
        <f t="shared" si="13"/>
        <v/>
      </c>
      <c r="AD138" s="50" t="str">
        <f t="shared" si="14"/>
        <v/>
      </c>
      <c r="AE138" s="180" t="str">
        <f t="shared" si="15"/>
        <v/>
      </c>
      <c r="AF138" s="14" t="str">
        <f t="array" ref="AF138">IFERROR(IF(ISBLANK(AH138),"",IF(VLOOKUP(AH138,Transactions!D:F,3,0)="Stablecoin",AH138,INDEX(Transactions!$B$3:$B149,MATCH(AH138,Transactions!$D$3:$D149,0),0))))</f>
        <v/>
      </c>
      <c r="AG138" s="14" t="str">
        <f>IF(ISBLANK(AH138),"",VLOOKUP(AH138,Transactions!D:E,2,0))</f>
        <v/>
      </c>
      <c r="AH138" s="14"/>
      <c r="AI138" s="146" t="str">
        <f>IF(ISBLANK(AH138),"",IF(
SUMIFS(Transactions!$I$3:$I149,Transactions!$H$3:$H149,"Buy",Transactions!$F$3:$F149,"Stock",Transactions!$D$3:$D149,AH138)
+SUMIFS(Transactions!$I$3:$I149,Transactions!$H$3:$H149,"DRIP",Transactions!$F$3:$F149,"Stock",Transactions!$D$3:$D149,AH138)
+SUMIFS(Transactions!$I$3:$I149,Transactions!$H$3:$H149,"Transfer Deposit",Transactions!$F$3:$F149,"Stock",Transactions!$D$3:$D149,AH138)
+SUMIFS(Transactions!$I$3:$I149,Transactions!$H$3:$H149,"Buy",Transactions!$F$3:$F149,"ETF",Transactions!$D$3:$D149,AH138)
+SUMIFS(Transactions!$I$3:$I149,Transactions!$H$3:$H149,"DRIP",Transactions!$F$3:$F149,"ETF",Transactions!$D$3:$D149,AH138)
+SUMIFS(Transactions!$I$3:$I149,Transactions!$H$3:$H149,"Transfer Deposit",Transactions!$F$3:$F149,"ETF",Transactions!$D$3:$D149,AH138)
+SUMIFS(Transactions!$I$3:$I149,Transactions!$H$3:$H149,"Buy",Transactions!$F$3:$F149,"Commodity",Transactions!$D$3:$D149,AH138)
+SUMIFS(Transactions!$I$3:$I149,Transactions!$H$3:$H149,"DRIP",Transactions!$F$3:$F149,"Commodity",Transactions!$D$3:$D149,AH138)
+SUMIFS(Transactions!$I$3:$I149,Transactions!$H$3:$H149,"Transfer Deposit",Transactions!$F$3:$F149,"Commodity",Transactions!$D$3:$D149,AH138)
+SUMIFS(Transactions!$I$3:$I149,Transactions!$H$3:$H149,"Buy",Transactions!$F$3:$F149,"Managed Fund",Transactions!$D$3:$D149,AH138)
+SUMIFS(Transactions!$I$3:$I149,Transactions!$H$3:$H149,"DRIP",Transactions!$F$3:$F149,"Managed Fund",Transactions!$D$3:$D149,AH138)
+SUMIFS(Transactions!$I$3:$I149,Transactions!$H$3:$H149,"Transfer Deposit",Transactions!$F$3:$F149,"Managed Fund",Transactions!$D$3:$D149,AH138)
+SUMIFS(Transactions!$I$3:$I149,Transactions!$H$3:$H149,"Buy",Transactions!$F$3:$F149,"REIT",Transactions!$D$3:$D149,AH138)
+SUMIFS(Transactions!$I$3:$I149,Transactions!$H$3:$H149,"DRIP",Transactions!$F$3:$F149,"REIT",Transactions!$D$3:$D149,AH138)
+SUMIFS(Transactions!$I$3:$I149,Transactions!$H$3:$H149,"Transfer Deposit",Transactions!$F$3:$F149,"REIT",Transactions!$D$3:$D149,AH138)
-SUMIFS(Transactions!$I$3:$I149,Transactions!$H$3:$H149,"Sell",Transactions!$F$3:$F149,"Stock",Transactions!$D$3:$D149,AH138)
-SUMIFS(Transactions!$I$3:$I149,Transactions!$H$3:$H149,"Transfer Send",Transactions!$F$3:$F149,"Stock",Transactions!$D$3:$D149,AH138)
-SUMIFS(Transactions!$I$3:$I149,Transactions!$H$3:$H149,"Sell",Transactions!$F$3:$F149,"ETF",Transactions!$D$3:$D149,AH138)
-SUMIFS(Transactions!$I$3:$I149,Transactions!$H$3:$H149,"Transfer Send",Transactions!$F$3:$F149,"ETF",Transactions!$D$3:$D149,AH138)
-SUMIFS(Transactions!$I$3:$I149,Transactions!$H$3:$H149,"Sell",Transactions!$F$3:$F149,"Commodity",Transactions!$D$3:$D149,AH138)
-SUMIFS(Transactions!$I$3:$I149,Transactions!$H$3:$H149,"Transfer Send",Transactions!$F$3:$F149,"Commodity",Transactions!$D$3:$D149,AH138)
-SUMIFS(Transactions!$I$3:$I149,Transactions!$H$3:$H149,"Sell",Transactions!$F$3:$F149,"Managed Fund",Transactions!$D$3:$D149,AH138)
-SUMIFS(Transactions!$I$3:$I149,Transactions!$H$3:$H149,"Transfer Send",Transactions!$F$3:$F149,"Managed Fund",Transactions!$D$3:$D149,AH138)
-SUMIFS(Transactions!$I$3:$I149,Transactions!$H$3:$H149,"Sell",Transactions!$F$3:$F149,"REIT",Transactions!$D$3:$D149,AH138)
-SUMIFS(Transactions!$I$3:$I149,Transactions!$H$3:$H149,"Transfer Send",Transactions!$F$3:$F149,"REIT",Transactions!$D$3:$D149,AH138)
+SUMIFS(Transactions!$I$3:$I149,Transactions!$H$3:$H149,"Buy",Transactions!$F$3:$F149,"Crypto",Transactions!$D$3:$D149,AH138)
+SUMIFS(Transactions!$I$3:$I149,Transactions!$H$3:$H149,"Crypto Interest",Transactions!$F$3:$F149,"Crypto",Transactions!$D$3:$D149,AH138)
+SUMIFS(Transactions!$I$3:$I149,Transactions!$H$3:$H149,"Transfer Deposit",Transactions!$F$3:$F149,"Crypto",Transactions!$D$3:$D149,AH138)
-SUMIFS(Transactions!$I$3:$I149,Transactions!$H$3:$H149,"Transfer Send",Transactions!$F$3:$F149,"Crypto",Transactions!$D$3:$D149,AH138)
-SUMIFS(Transactions!$I$3:$I149,Transactions!$H$3:$H149,"Sell",Transactions!$F$3:$F149,"Crypto",Transactions!$D$3:$D149,AH138)
+SUMIFS(Transactions!$I$3:$I149,Transactions!$H$3:$H149,"Buy",Transactions!$F$3:$F149,"Stablecoin",Transactions!$D$3:$D149,AH138)
+SUMIFS(Transactions!$I$3:$I149,Transactions!$H$3:$H149,"Crypto Interest",Transactions!$F$3:$F149,"Stablecoin",Transactions!$D$3:$D149,AH138)
+SUMIFS(Transactions!$I$3:$I149,Transactions!$H$3:$H149,"Transfer Deposit",Transactions!$F$3:$F149,"Stablecoin",Transactions!$D$3:$D149,AH138)
-SUMIFS(Transactions!$I$3:$I149,Transactions!$H$3:$H149,"Transfer Send",Transactions!$F$3:$F149,"Stablecoin",Transactions!$D$3:$D149,AH138)
-SUMIFS(Transactions!$I$3:$I149,Transactions!$H$3:$H149,"Sell",Transactions!$F$3:$F149,"Stablecoin",Transactions!$D$3:$D149,AH138)
-SUMIFS(Transactions!$M$3:$M149,Transactions!$H$3:$H149,"Buy",Transactions!$B$3:$B149,AH138)=0,"Sold All",
SUMIFS(Transactions!$I$3:$I149,Transactions!$H$3:$H149,"Buy",Transactions!$F$3:$F149,"Stock",Transactions!$D$3:$D149,AH138)
+SUMIFS(Transactions!$I$3:$I149,Transactions!$H$3:$H149,"DRIP",Transactions!$F$3:$F149,"Stock",Transactions!$D$3:$D149,AH138)
+SUMIFS(Transactions!$I$3:$I149,Transactions!$H$3:$H149,"Transfer Deposit",Transactions!$F$3:$F149,"Stock",Transactions!$D$3:$D149,AH138)
+SUMIFS(Transactions!$I$3:$I149,Transactions!$H$3:$H149,"Buy",Transactions!$F$3:$F149,"ETF",Transactions!$D$3:$D149,AH138)
+SUMIFS(Transactions!$I$3:$I149,Transactions!$H$3:$H149,"DRIP",Transactions!$F$3:$F149,"ETF",Transactions!$D$3:$D149,AH138)
+SUMIFS(Transactions!$I$3:$I149,Transactions!$H$3:$H149,"Transfer Deposit",Transactions!$F$3:$F149,"ETF",Transactions!$D$3:$D149,AH138)
+SUMIFS(Transactions!$I$3:$I149,Transactions!$H$3:$H149,"Buy",Transactions!$F$3:$F149,"Commodity",Transactions!$D$3:$D149,AH138)
+SUMIFS(Transactions!$I$3:$I149,Transactions!$H$3:$H149,"DRIP",Transactions!$F$3:$F149,"Commodity",Transactions!$D$3:$D149,AH138)
+SUMIFS(Transactions!$I$3:$I149,Transactions!$H$3:$H149,"Transfer Deposit",Transactions!$F$3:$F149,"Commodity",Transactions!$D$3:$D149,AH138)
+SUMIFS(Transactions!$I$3:$I149,Transactions!$H$3:$H149,"Buy",Transactions!$F$3:$F149,"Managed Fund",Transactions!$D$3:$D149,AH138)
+SUMIFS(Transactions!$I$3:$I149,Transactions!$H$3:$H149,"DRIP",Transactions!$F$3:$F149,"Managed Fund",Transactions!$D$3:$D149,AH138)
+SUMIFS(Transactions!$I$3:$I149,Transactions!$H$3:$H149,"Transfer Deposit",Transactions!$F$3:$F149,"Managed Fund",Transactions!$D$3:$D149,AH138)
+SUMIFS(Transactions!$I$3:$I149,Transactions!$H$3:$H149,"Buy",Transactions!$F$3:$F149,"REIT",Transactions!$D$3:$D149,AH138)
+SUMIFS(Transactions!$I$3:$I149,Transactions!$H$3:$H149,"DRIP",Transactions!$F$3:$F149,"REIT",Transactions!$D$3:$D149,AH138)
+SUMIFS(Transactions!$I$3:$I149,Transactions!$H$3:$H149,"Transfer Deposit",Transactions!$F$3:$F149,"REIT",Transactions!$D$3:$D149,AH138)
-SUMIFS(Transactions!$I$3:$I149,Transactions!$H$3:$H149,"Sell",Transactions!$F$3:$F149,"Stock",Transactions!$D$3:$D149,AH138)
-SUMIFS(Transactions!$I$3:$I149,Transactions!$H$3:$H149,"Transfer Send",Transactions!$F$3:$F149,"Stock",Transactions!$D$3:$D149,AH138)
-SUMIFS(Transactions!$I$3:$I149,Transactions!$H$3:$H149,"Sell",Transactions!$F$3:$F149,"ETF",Transactions!$D$3:$D149,AH138)
-SUMIFS(Transactions!$I$3:$I149,Transactions!$H$3:$H149,"Transfer Send",Transactions!$F$3:$F149,"ETF",Transactions!$D$3:$D149,AH138)
-SUMIFS(Transactions!$I$3:$I149,Transactions!$H$3:$H149,"Sell",Transactions!$F$3:$F149,"Commodity",Transactions!$D$3:$D149,AH138)
-SUMIFS(Transactions!$I$3:$I149,Transactions!$H$3:$H149,"Transfer Send",Transactions!$F$3:$F149,"Commodity",Transactions!$D$3:$D149,AH138)
-SUMIFS(Transactions!$I$3:$I149,Transactions!$H$3:$H149,"Sell",Transactions!$F$3:$F149,"Managed Fund",Transactions!$D$3:$D149,AH138)
-SUMIFS(Transactions!$I$3:$I149,Transactions!$H$3:$H149,"Transfer Send",Transactions!$F$3:$F149,"Managed Fund",Transactions!$D$3:$D149,AH138)
-SUMIFS(Transactions!$I$3:$I149,Transactions!$H$3:$H149,"Sell",Transactions!$F$3:$F149,"REIT",Transactions!$D$3:$D149,AH138)
-SUMIFS(Transactions!$I$3:$I149,Transactions!$H$3:$H149,"Transfer Send",Transactions!$F$3:$F149,"REIT",Transactions!$D$3:$D149,AH138)
+SUMIFS(Transactions!$I$3:$I149,Transactions!$H$3:$H149,"Buy",Transactions!$F$3:$F149,"Crypto",Transactions!$D$3:$D149,AH138)
+SUMIFS(Transactions!$I$3:$I149,Transactions!$H$3:$H149,"Crypto Interest",Transactions!$F$3:$F149,"Crypto",Transactions!$D$3:$D149,AH138)
+SUMIFS(Transactions!$I$3:$I149,Transactions!$H$3:$H149,"Transfer Deposit",Transactions!$F$3:$F149,"Crypto",Transactions!$D$3:$D149,AH138)
-SUMIFS(Transactions!$I$3:$I149,Transactions!$H$3:$H149,"Transfer Send",Transactions!$F$3:$F149,"Crypto",Transactions!$D$3:$D149,AH138)
-SUMIFS(Transactions!$I$3:$I149,Transactions!$H$3:$H149,"Sell",Transactions!$F$3:$F149,"Crypto",Transactions!$D$3:$D149,AH138)
+SUMIFS(Transactions!$I$3:$I149,Transactions!$H$3:$H149,"Buy",Transactions!$F$3:$F149,"Stablecoin",Transactions!$D$3:$D149,AH138)
+SUMIFS(Transactions!$I$3:$I149,Transactions!$H$3:$H149,"Crypto Interest",Transactions!$F$3:$F149,"Stablecoin",Transactions!$D$3:$D149,AH138)
+SUMIFS(Transactions!$I$3:$I149,Transactions!$H$3:$H149,"Transfer Deposit",Transactions!$F$3:$F149,"Stablecoin",Transactions!$D$3:$D149,AH138)
-SUMIFS(Transactions!$I$3:$I149,Transactions!$H$3:$H149,"Transfer Send",Transactions!$F$3:$F149,"Stablecoin",Transactions!$D$3:$D149,AH138)
-SUMIFS(Transactions!$I$3:$I149,Transactions!$H$3:$H149,"Sell",Transactions!$F$3:$F149,"Stablecoin",Transactions!$D$3:$D149,AH138)
-SUMIFS(Transactions!$M$3:$M149,Transactions!$H$3:$H149,"Buy",Transactions!$B$3:$B149,AH138)))</f>
        <v/>
      </c>
      <c r="AJ138" s="181" t="str">
        <f>IFERROR(__xludf.DUMMYFUNCTION("IF(ISBLANK(AH138),"""",VLOOKUP(9^99,FILTER({ROW(Transactions!P:P),Transactions!P:P},Transactions!D:D=AH138),2))"),"")</f>
        <v/>
      </c>
      <c r="AK138" s="181" t="str">
        <f>IFERROR(__xludf.DUMMYFUNCTION("IF(ISBLANK(AH138),"""",IFERROR(GOOGLEFINANCE(AH138,""price""),IFERROR(GOOGLEFINANCE(""CURRENCY:""&amp;AH138&amp;""""),IFERROR(INDEX(YAHOO_STOCK(TRIM(AH138), $G$2),0,1),INDEX(IMPORTHTML(CONCAT(""https://coinmarketcap.com/currencies/"",AG138),""table"",1),1,2)))))"),"")</f>
        <v/>
      </c>
      <c r="AL138" s="14" t="str">
        <f>IFERROR(__xludf.DUMMYFUNCTION("IF(ISBLANK(AH138),"""",IFERROR(SPARKLINE(INDEX(GOOGLEFINANCE(AH138,""price"",TODAY()-$AL$2,TODAY()),,2),{""charttype"",""column"";""color"",""17a7e0""}),""""))"),"")</f>
        <v/>
      </c>
      <c r="AM138" s="50" t="str">
        <f>IFERROR(__xludf.DUMMYFUNCTION("IFNA(IFERROR(IF(AH138="""","""",GOOGLEFINANCE(AH138,""changepct"")/100),(GOOGLEFINANCE(AH138)-(INDEX(GOOGLEFINANCE(""CURRENCY:""&amp;AH138&amp;"""",""price"",TODAY()-1),2,2)))/(INDEX(GOOGLEFINANCE(""CURRENCY:""&amp;AH138&amp;"""",""price"",TODAY()-1),2,2))),)"),"")</f>
        <v/>
      </c>
      <c r="AN138" s="96" t="str">
        <f>IFERROR(__xludf.DUMMYFUNCTION("IFNA(IFERROR(IF(AH138="""","""",GOOGLEFINANCE(AH138,""change"")*AI138),(GOOGLEFINANCE(AH138)-(INDEX(GOOGLEFINANCE(""CURRENCY:""&amp;AH138&amp;"""",""price"",TODAY()-1),2,2)))*AI138),"""")"),"")</f>
        <v/>
      </c>
      <c r="AO138" s="96" t="str">
        <f>IF(ISBLANK(AH138),"",IFERROR(((AI138-SUMIFS(Transactions!I:I,Transactions!H:H,"Crypto Interest",Transactions!D:D,AH138))*AJ138),""))</f>
        <v/>
      </c>
      <c r="AP138" s="96" t="str">
        <f t="shared" si="16"/>
        <v/>
      </c>
      <c r="AQ138" s="50" t="str">
        <f t="shared" si="17"/>
        <v/>
      </c>
      <c r="AR138" s="96" t="str">
        <f t="shared" si="18"/>
        <v/>
      </c>
      <c r="AS138" s="96" t="str">
        <f>IF(ISBLANK(AH138),"",SUMIFS(Transactions!$X$3:$X149,Transactions!$H$3:$H149,"Sell",Transactions!$D$3:$D149,AH138))</f>
        <v/>
      </c>
      <c r="AT138" s="96" t="str">
        <f t="shared" si="19"/>
        <v/>
      </c>
      <c r="AU138" s="50" t="str">
        <f>IFERROR(__xludf.DUMMYFUNCTION("IF(ISBLANK(AH138),"""",IFERROR((GOOGLEFINANCE(AH138,""price"")/INDEX(GOOGLEFINANCE(AH138,""price"",DATEVALUE(TODAY()-$AU$2) ),2,2)-1),""""))"),"")</f>
        <v/>
      </c>
      <c r="AW138" s="50" t="str">
        <f>IFERROR(__xludf.DUMMYFUNCTION("IF(ISBLANK(AH138),"""",IFERROR((GOOGLEFINANCE($AW$2,""price"")/INDEX(GOOGLEFINANCE($AW$2,""price"",DATEVALUE(TODAY()-$AU$2) ),2,2)-1),""""))"),"")</f>
        <v/>
      </c>
      <c r="AY138" s="50" t="str">
        <f t="shared" si="20"/>
        <v/>
      </c>
      <c r="AZ138" s="50" t="str">
        <f t="shared" si="21"/>
        <v/>
      </c>
      <c r="BA138" s="50" t="str">
        <f t="shared" si="22"/>
        <v/>
      </c>
      <c r="BB138" s="14" t="str">
        <f t="shared" si="23"/>
        <v/>
      </c>
      <c r="BC138" s="14" t="str">
        <f>IF(ISBLANK(AH138),"",IFERROR(VLOOKUP(AH138,Transactions!D:F,3,0)))</f>
        <v/>
      </c>
      <c r="BD138" s="50" t="str">
        <f t="shared" si="24"/>
        <v/>
      </c>
      <c r="BE138" s="50" t="str">
        <f t="shared" si="25"/>
        <v/>
      </c>
      <c r="BF138" s="14" t="str">
        <f t="shared" si="26"/>
        <v/>
      </c>
      <c r="BG138" s="180" t="str">
        <f>IF(ISBLANK(AH138),"",IFERROR(VLOOKUP(AH138,Transactions!D:G,4,0)))</f>
        <v/>
      </c>
    </row>
    <row r="139">
      <c r="A139" s="14" t="str">
        <f t="shared" ref="A139:C139" si="162">AG139</f>
        <v/>
      </c>
      <c r="B139" s="14" t="str">
        <f t="shared" si="162"/>
        <v/>
      </c>
      <c r="C139" s="175" t="str">
        <f t="shared" si="162"/>
        <v/>
      </c>
      <c r="D139" s="176" t="str">
        <f>IFERROR(__xludf.DUMMYFUNCTION("IF(ISBLANK(B139),"""",IFERROR(IF(OR(AF139=""GPB"",AF139=""ZAR""),IF(AF139=Dashboard!$L$1,AJ139,(AJ139*GOOGLEFINANCE(""CURRENCY:""&amp;AF139&amp;""""&amp;Dashboard!$L$1&amp;""""))/100),IF(AF139=Dashboard!$L$1,AJ139,AJ139*GOOGLEFINANCE(""CURRENCY:""&amp;AF139&amp;""""&amp;Dashboard!$L"&amp;"$1&amp;""""))),AJ139))"),"")</f>
        <v/>
      </c>
      <c r="E139" s="177" t="str">
        <f>IFERROR(__xludf.DUMMYFUNCTION("IFERROR(IF(OR(AF139=""GBP"",AF139=""ZAR""),IF(B139="""","""",IF(AF139=Dashboard!$L$1,AK139,AK139*GOOGLEFINANCE(""CURRENCY:""&amp;AF139&amp;""""&amp;Dashboard!$L$1&amp;"""")))/100,If(B139="""","""",IF(AF139=Dashboard!$L$1,AK139,AK139*GOOGLEFINANCE(""CURRENCY:""&amp;AF139&amp;"""""&amp;"&amp;Dashboard!$L$1&amp;"""")))),AK139)"),"")</f>
        <v/>
      </c>
      <c r="F139" s="145" t="str">
        <f t="shared" si="65"/>
        <v/>
      </c>
      <c r="G139" s="96" t="str">
        <f>IFERROR(__xludf.DUMMYFUNCTION("IF(ISBLANK(B139),"""",IFERROR(SPARKLINE(INDEX(GOOGLEFINANCE(B139,""price"",TODAY()-$G$2,TODAY()),,2),{""charttype"",""column"";""color"",""17a7e0""}),""""))"),"")</f>
        <v/>
      </c>
      <c r="H139" s="50" t="str">
        <f t="shared" si="3"/>
        <v/>
      </c>
      <c r="I139" s="96" t="str">
        <f>IFERROR(__xludf.DUMMYFUNCTION("IF(ISBLANK(B139),"""",IFERROR(IF(OR(AF139=""GPB"",AF139=""ZAR""),IF(AF139=Dashboard!$L$1,AN139,(AN139*GOOGLEFINANCE(""CURRENCY:""&amp;AF139&amp;""""&amp;Dashboard!$L$1&amp;""""))/100),IF(AF139=Dashboard!$L$1,AN139,AN139*GOOGLEFINANCE(""CURRENCY:""&amp;AF139&amp;""""&amp;Dashboard!$L"&amp;"$1&amp;""""))),AN139))"),"")</f>
        <v/>
      </c>
      <c r="J139" s="178" t="str">
        <f>IF(ISBLANK(B139),"",IFERROR(((C139-SUMIFS(Transactions!I:I,Transactions!H:H,"Crypto Interest",Transactions!D:D,B139))*D139),""))</f>
        <v/>
      </c>
      <c r="K139" s="178" t="str">
        <f t="shared" si="4"/>
        <v/>
      </c>
      <c r="L139" s="145">
        <f>IF(ISBLANK(AF139),"",SUMIFS(Transactions!$M$3:$M149,Transactions!$H$3:$H149,"Buy",Transactions!$D$3:$D149,AF139))</f>
        <v>0</v>
      </c>
      <c r="M139" s="145">
        <f>IF(ISBLANK(AG139),"",SUMIFS(Transactions!$M$3:$M149,Transactions!$H$3:$H149,"Dividend",Transactions!$D$3:$D149,AG139))</f>
        <v>0</v>
      </c>
      <c r="N139" s="145" t="str">
        <f>IF(ISBLANK(AH139),"",SUMIFS(Transactions!$M$3:$M149,Transactions!$H$3:$H149,"Sell",Transactions!$D$3:$D149,AH139))</f>
        <v/>
      </c>
      <c r="O139" s="50" t="str">
        <f t="shared" si="5"/>
        <v/>
      </c>
      <c r="P139" s="178" t="str">
        <f t="shared" si="6"/>
        <v/>
      </c>
      <c r="Q139" s="178" t="str">
        <f>IFERROR(__xludf.DUMMYFUNCTION("IF(ISBLANK(B139),"""",IFERROR(IF(OR(AF139=""GPB"",AF139=""ZAR""),IF(AF139=Dashboard!$L$1,AS139,(AS139*GOOGLEFINANCE(""CURRENCY:""&amp;AF139&amp;""""&amp;Dashboard!$L$1&amp;""""))/100),IF(AF139=Dashboard!$L$1,AS139,AS139*GOOGLEFINANCE(""CURRENCY:""&amp;AF139&amp;""""&amp;Dashboard!$L"&amp;"$1&amp;""""))),AS139))"),"")</f>
        <v/>
      </c>
      <c r="R139" s="178" t="str">
        <f t="shared" si="7"/>
        <v/>
      </c>
      <c r="S139" s="50" t="str">
        <f>IFERROR(__xludf.DUMMYFUNCTION("IF(ISBLANK(B139),"""",IFERROR((GOOGLEFINANCE(B139,""price"")/INDEX(GOOGLEFINANCE(B139,""price"",DATEVALUE(TODAY()-$S$2) ),2,2)-1),""""))"),"")</f>
        <v/>
      </c>
      <c r="U139" s="50" t="str">
        <f>IFERROR(__xludf.DUMMYFUNCTION("IF(ISBLANK(B139),"""",IFERROR((GOOGLEFINANCE($U$2,""price"")/INDEX(GOOGLEFINANCE($U$2,""price"",DATEVALUE(TODAY()-$S$2) ),2,2)-1),""""))"),"")</f>
        <v/>
      </c>
      <c r="W139" s="50" t="str">
        <f t="shared" si="8"/>
        <v/>
      </c>
      <c r="X139" s="50" t="str">
        <f t="shared" si="9"/>
        <v/>
      </c>
      <c r="Y139" s="50"/>
      <c r="Z139" s="50" t="str">
        <f t="shared" si="10"/>
        <v/>
      </c>
      <c r="AA139" s="14" t="str">
        <f t="shared" si="11"/>
        <v/>
      </c>
      <c r="AB139" s="50" t="str">
        <f t="shared" si="12"/>
        <v/>
      </c>
      <c r="AC139" s="179" t="str">
        <f t="shared" si="13"/>
        <v/>
      </c>
      <c r="AD139" s="50" t="str">
        <f t="shared" si="14"/>
        <v/>
      </c>
      <c r="AE139" s="180" t="str">
        <f t="shared" si="15"/>
        <v/>
      </c>
      <c r="AF139" s="14" t="str">
        <f t="array" ref="AF139">IFERROR(IF(ISBLANK(AH139),"",IF(VLOOKUP(AH139,Transactions!D:F,3,0)="Stablecoin",AH139,INDEX(Transactions!$B$3:$B149,MATCH(AH139,Transactions!$D$3:$D149,0),0))))</f>
        <v/>
      </c>
      <c r="AG139" s="14" t="str">
        <f>IF(ISBLANK(AH139),"",VLOOKUP(AH139,Transactions!D:E,2,0))</f>
        <v/>
      </c>
      <c r="AH139" s="14"/>
      <c r="AI139" s="146" t="str">
        <f>IF(ISBLANK(AH139),"",IF(
SUMIFS(Transactions!$I$3:$I149,Transactions!$H$3:$H149,"Buy",Transactions!$F$3:$F149,"Stock",Transactions!$D$3:$D149,AH139)
+SUMIFS(Transactions!$I$3:$I149,Transactions!$H$3:$H149,"DRIP",Transactions!$F$3:$F149,"Stock",Transactions!$D$3:$D149,AH139)
+SUMIFS(Transactions!$I$3:$I149,Transactions!$H$3:$H149,"Transfer Deposit",Transactions!$F$3:$F149,"Stock",Transactions!$D$3:$D149,AH139)
+SUMIFS(Transactions!$I$3:$I149,Transactions!$H$3:$H149,"Buy",Transactions!$F$3:$F149,"ETF",Transactions!$D$3:$D149,AH139)
+SUMIFS(Transactions!$I$3:$I149,Transactions!$H$3:$H149,"DRIP",Transactions!$F$3:$F149,"ETF",Transactions!$D$3:$D149,AH139)
+SUMIFS(Transactions!$I$3:$I149,Transactions!$H$3:$H149,"Transfer Deposit",Transactions!$F$3:$F149,"ETF",Transactions!$D$3:$D149,AH139)
+SUMIFS(Transactions!$I$3:$I149,Transactions!$H$3:$H149,"Buy",Transactions!$F$3:$F149,"Commodity",Transactions!$D$3:$D149,AH139)
+SUMIFS(Transactions!$I$3:$I149,Transactions!$H$3:$H149,"DRIP",Transactions!$F$3:$F149,"Commodity",Transactions!$D$3:$D149,AH139)
+SUMIFS(Transactions!$I$3:$I149,Transactions!$H$3:$H149,"Transfer Deposit",Transactions!$F$3:$F149,"Commodity",Transactions!$D$3:$D149,AH139)
+SUMIFS(Transactions!$I$3:$I149,Transactions!$H$3:$H149,"Buy",Transactions!$F$3:$F149,"Managed Fund",Transactions!$D$3:$D149,AH139)
+SUMIFS(Transactions!$I$3:$I149,Transactions!$H$3:$H149,"DRIP",Transactions!$F$3:$F149,"Managed Fund",Transactions!$D$3:$D149,AH139)
+SUMIFS(Transactions!$I$3:$I149,Transactions!$H$3:$H149,"Transfer Deposit",Transactions!$F$3:$F149,"Managed Fund",Transactions!$D$3:$D149,AH139)
+SUMIFS(Transactions!$I$3:$I149,Transactions!$H$3:$H149,"Buy",Transactions!$F$3:$F149,"REIT",Transactions!$D$3:$D149,AH139)
+SUMIFS(Transactions!$I$3:$I149,Transactions!$H$3:$H149,"DRIP",Transactions!$F$3:$F149,"REIT",Transactions!$D$3:$D149,AH139)
+SUMIFS(Transactions!$I$3:$I149,Transactions!$H$3:$H149,"Transfer Deposit",Transactions!$F$3:$F149,"REIT",Transactions!$D$3:$D149,AH139)
-SUMIFS(Transactions!$I$3:$I149,Transactions!$H$3:$H149,"Sell",Transactions!$F$3:$F149,"Stock",Transactions!$D$3:$D149,AH139)
-SUMIFS(Transactions!$I$3:$I149,Transactions!$H$3:$H149,"Transfer Send",Transactions!$F$3:$F149,"Stock",Transactions!$D$3:$D149,AH139)
-SUMIFS(Transactions!$I$3:$I149,Transactions!$H$3:$H149,"Sell",Transactions!$F$3:$F149,"ETF",Transactions!$D$3:$D149,AH139)
-SUMIFS(Transactions!$I$3:$I149,Transactions!$H$3:$H149,"Transfer Send",Transactions!$F$3:$F149,"ETF",Transactions!$D$3:$D149,AH139)
-SUMIFS(Transactions!$I$3:$I149,Transactions!$H$3:$H149,"Sell",Transactions!$F$3:$F149,"Commodity",Transactions!$D$3:$D149,AH139)
-SUMIFS(Transactions!$I$3:$I149,Transactions!$H$3:$H149,"Transfer Send",Transactions!$F$3:$F149,"Commodity",Transactions!$D$3:$D149,AH139)
-SUMIFS(Transactions!$I$3:$I149,Transactions!$H$3:$H149,"Sell",Transactions!$F$3:$F149,"Managed Fund",Transactions!$D$3:$D149,AH139)
-SUMIFS(Transactions!$I$3:$I149,Transactions!$H$3:$H149,"Transfer Send",Transactions!$F$3:$F149,"Managed Fund",Transactions!$D$3:$D149,AH139)
-SUMIFS(Transactions!$I$3:$I149,Transactions!$H$3:$H149,"Sell",Transactions!$F$3:$F149,"REIT",Transactions!$D$3:$D149,AH139)
-SUMIFS(Transactions!$I$3:$I149,Transactions!$H$3:$H149,"Transfer Send",Transactions!$F$3:$F149,"REIT",Transactions!$D$3:$D149,AH139)
+SUMIFS(Transactions!$I$3:$I149,Transactions!$H$3:$H149,"Buy",Transactions!$F$3:$F149,"Crypto",Transactions!$D$3:$D149,AH139)
+SUMIFS(Transactions!$I$3:$I149,Transactions!$H$3:$H149,"Crypto Interest",Transactions!$F$3:$F149,"Crypto",Transactions!$D$3:$D149,AH139)
+SUMIFS(Transactions!$I$3:$I149,Transactions!$H$3:$H149,"Transfer Deposit",Transactions!$F$3:$F149,"Crypto",Transactions!$D$3:$D149,AH139)
-SUMIFS(Transactions!$I$3:$I149,Transactions!$H$3:$H149,"Transfer Send",Transactions!$F$3:$F149,"Crypto",Transactions!$D$3:$D149,AH139)
-SUMIFS(Transactions!$I$3:$I149,Transactions!$H$3:$H149,"Sell",Transactions!$F$3:$F149,"Crypto",Transactions!$D$3:$D149,AH139)
+SUMIFS(Transactions!$I$3:$I149,Transactions!$H$3:$H149,"Buy",Transactions!$F$3:$F149,"Stablecoin",Transactions!$D$3:$D149,AH139)
+SUMIFS(Transactions!$I$3:$I149,Transactions!$H$3:$H149,"Crypto Interest",Transactions!$F$3:$F149,"Stablecoin",Transactions!$D$3:$D149,AH139)
+SUMIFS(Transactions!$I$3:$I149,Transactions!$H$3:$H149,"Transfer Deposit",Transactions!$F$3:$F149,"Stablecoin",Transactions!$D$3:$D149,AH139)
-SUMIFS(Transactions!$I$3:$I149,Transactions!$H$3:$H149,"Transfer Send",Transactions!$F$3:$F149,"Stablecoin",Transactions!$D$3:$D149,AH139)
-SUMIFS(Transactions!$I$3:$I149,Transactions!$H$3:$H149,"Sell",Transactions!$F$3:$F149,"Stablecoin",Transactions!$D$3:$D149,AH139)
-SUMIFS(Transactions!$M$3:$M149,Transactions!$H$3:$H149,"Buy",Transactions!$B$3:$B149,AH139)=0,"Sold All",
SUMIFS(Transactions!$I$3:$I149,Transactions!$H$3:$H149,"Buy",Transactions!$F$3:$F149,"Stock",Transactions!$D$3:$D149,AH139)
+SUMIFS(Transactions!$I$3:$I149,Transactions!$H$3:$H149,"DRIP",Transactions!$F$3:$F149,"Stock",Transactions!$D$3:$D149,AH139)
+SUMIFS(Transactions!$I$3:$I149,Transactions!$H$3:$H149,"Transfer Deposit",Transactions!$F$3:$F149,"Stock",Transactions!$D$3:$D149,AH139)
+SUMIFS(Transactions!$I$3:$I149,Transactions!$H$3:$H149,"Buy",Transactions!$F$3:$F149,"ETF",Transactions!$D$3:$D149,AH139)
+SUMIFS(Transactions!$I$3:$I149,Transactions!$H$3:$H149,"DRIP",Transactions!$F$3:$F149,"ETF",Transactions!$D$3:$D149,AH139)
+SUMIFS(Transactions!$I$3:$I149,Transactions!$H$3:$H149,"Transfer Deposit",Transactions!$F$3:$F149,"ETF",Transactions!$D$3:$D149,AH139)
+SUMIFS(Transactions!$I$3:$I149,Transactions!$H$3:$H149,"Buy",Transactions!$F$3:$F149,"Commodity",Transactions!$D$3:$D149,AH139)
+SUMIFS(Transactions!$I$3:$I149,Transactions!$H$3:$H149,"DRIP",Transactions!$F$3:$F149,"Commodity",Transactions!$D$3:$D149,AH139)
+SUMIFS(Transactions!$I$3:$I149,Transactions!$H$3:$H149,"Transfer Deposit",Transactions!$F$3:$F149,"Commodity",Transactions!$D$3:$D149,AH139)
+SUMIFS(Transactions!$I$3:$I149,Transactions!$H$3:$H149,"Buy",Transactions!$F$3:$F149,"Managed Fund",Transactions!$D$3:$D149,AH139)
+SUMIFS(Transactions!$I$3:$I149,Transactions!$H$3:$H149,"DRIP",Transactions!$F$3:$F149,"Managed Fund",Transactions!$D$3:$D149,AH139)
+SUMIFS(Transactions!$I$3:$I149,Transactions!$H$3:$H149,"Transfer Deposit",Transactions!$F$3:$F149,"Managed Fund",Transactions!$D$3:$D149,AH139)
+SUMIFS(Transactions!$I$3:$I149,Transactions!$H$3:$H149,"Buy",Transactions!$F$3:$F149,"REIT",Transactions!$D$3:$D149,AH139)
+SUMIFS(Transactions!$I$3:$I149,Transactions!$H$3:$H149,"DRIP",Transactions!$F$3:$F149,"REIT",Transactions!$D$3:$D149,AH139)
+SUMIFS(Transactions!$I$3:$I149,Transactions!$H$3:$H149,"Transfer Deposit",Transactions!$F$3:$F149,"REIT",Transactions!$D$3:$D149,AH139)
-SUMIFS(Transactions!$I$3:$I149,Transactions!$H$3:$H149,"Sell",Transactions!$F$3:$F149,"Stock",Transactions!$D$3:$D149,AH139)
-SUMIFS(Transactions!$I$3:$I149,Transactions!$H$3:$H149,"Transfer Send",Transactions!$F$3:$F149,"Stock",Transactions!$D$3:$D149,AH139)
-SUMIFS(Transactions!$I$3:$I149,Transactions!$H$3:$H149,"Sell",Transactions!$F$3:$F149,"ETF",Transactions!$D$3:$D149,AH139)
-SUMIFS(Transactions!$I$3:$I149,Transactions!$H$3:$H149,"Transfer Send",Transactions!$F$3:$F149,"ETF",Transactions!$D$3:$D149,AH139)
-SUMIFS(Transactions!$I$3:$I149,Transactions!$H$3:$H149,"Sell",Transactions!$F$3:$F149,"Commodity",Transactions!$D$3:$D149,AH139)
-SUMIFS(Transactions!$I$3:$I149,Transactions!$H$3:$H149,"Transfer Send",Transactions!$F$3:$F149,"Commodity",Transactions!$D$3:$D149,AH139)
-SUMIFS(Transactions!$I$3:$I149,Transactions!$H$3:$H149,"Sell",Transactions!$F$3:$F149,"Managed Fund",Transactions!$D$3:$D149,AH139)
-SUMIFS(Transactions!$I$3:$I149,Transactions!$H$3:$H149,"Transfer Send",Transactions!$F$3:$F149,"Managed Fund",Transactions!$D$3:$D149,AH139)
-SUMIFS(Transactions!$I$3:$I149,Transactions!$H$3:$H149,"Sell",Transactions!$F$3:$F149,"REIT",Transactions!$D$3:$D149,AH139)
-SUMIFS(Transactions!$I$3:$I149,Transactions!$H$3:$H149,"Transfer Send",Transactions!$F$3:$F149,"REIT",Transactions!$D$3:$D149,AH139)
+SUMIFS(Transactions!$I$3:$I149,Transactions!$H$3:$H149,"Buy",Transactions!$F$3:$F149,"Crypto",Transactions!$D$3:$D149,AH139)
+SUMIFS(Transactions!$I$3:$I149,Transactions!$H$3:$H149,"Crypto Interest",Transactions!$F$3:$F149,"Crypto",Transactions!$D$3:$D149,AH139)
+SUMIFS(Transactions!$I$3:$I149,Transactions!$H$3:$H149,"Transfer Deposit",Transactions!$F$3:$F149,"Crypto",Transactions!$D$3:$D149,AH139)
-SUMIFS(Transactions!$I$3:$I149,Transactions!$H$3:$H149,"Transfer Send",Transactions!$F$3:$F149,"Crypto",Transactions!$D$3:$D149,AH139)
-SUMIFS(Transactions!$I$3:$I149,Transactions!$H$3:$H149,"Sell",Transactions!$F$3:$F149,"Crypto",Transactions!$D$3:$D149,AH139)
+SUMIFS(Transactions!$I$3:$I149,Transactions!$H$3:$H149,"Buy",Transactions!$F$3:$F149,"Stablecoin",Transactions!$D$3:$D149,AH139)
+SUMIFS(Transactions!$I$3:$I149,Transactions!$H$3:$H149,"Crypto Interest",Transactions!$F$3:$F149,"Stablecoin",Transactions!$D$3:$D149,AH139)
+SUMIFS(Transactions!$I$3:$I149,Transactions!$H$3:$H149,"Transfer Deposit",Transactions!$F$3:$F149,"Stablecoin",Transactions!$D$3:$D149,AH139)
-SUMIFS(Transactions!$I$3:$I149,Transactions!$H$3:$H149,"Transfer Send",Transactions!$F$3:$F149,"Stablecoin",Transactions!$D$3:$D149,AH139)
-SUMIFS(Transactions!$I$3:$I149,Transactions!$H$3:$H149,"Sell",Transactions!$F$3:$F149,"Stablecoin",Transactions!$D$3:$D149,AH139)
-SUMIFS(Transactions!$M$3:$M149,Transactions!$H$3:$H149,"Buy",Transactions!$B$3:$B149,AH139)))</f>
        <v/>
      </c>
      <c r="AJ139" s="181" t="str">
        <f>IFERROR(__xludf.DUMMYFUNCTION("IF(ISBLANK(AH139),"""",VLOOKUP(9^99,FILTER({ROW(Transactions!P:P),Transactions!P:P},Transactions!D:D=AH139),2))"),"")</f>
        <v/>
      </c>
      <c r="AK139" s="181" t="str">
        <f>IFERROR(__xludf.DUMMYFUNCTION("IF(ISBLANK(AH139),"""",IFERROR(GOOGLEFINANCE(AH139,""price""),IFERROR(GOOGLEFINANCE(""CURRENCY:""&amp;AH139&amp;""""),IFERROR(INDEX(YAHOO_STOCK(TRIM(AH139), $G$2),0,1),INDEX(IMPORTHTML(CONCAT(""https://coinmarketcap.com/currencies/"",AG139),""table"",1),1,2)))))"),"")</f>
        <v/>
      </c>
      <c r="AL139" s="14" t="str">
        <f>IFERROR(__xludf.DUMMYFUNCTION("IF(ISBLANK(AH139),"""",IFERROR(SPARKLINE(INDEX(GOOGLEFINANCE(AH139,""price"",TODAY()-$AL$2,TODAY()),,2),{""charttype"",""column"";""color"",""17a7e0""}),""""))"),"")</f>
        <v/>
      </c>
      <c r="AM139" s="50" t="str">
        <f>IFERROR(__xludf.DUMMYFUNCTION("IFNA(IFERROR(IF(AH139="""","""",GOOGLEFINANCE(AH139,""changepct"")/100),(GOOGLEFINANCE(AH139)-(INDEX(GOOGLEFINANCE(""CURRENCY:""&amp;AH139&amp;"""",""price"",TODAY()-1),2,2)))/(INDEX(GOOGLEFINANCE(""CURRENCY:""&amp;AH139&amp;"""",""price"",TODAY()-1),2,2))),)"),"")</f>
        <v/>
      </c>
      <c r="AN139" s="96" t="str">
        <f>IFERROR(__xludf.DUMMYFUNCTION("IFNA(IFERROR(IF(AH139="""","""",GOOGLEFINANCE(AH139,""change"")*AI139),(GOOGLEFINANCE(AH139)-(INDEX(GOOGLEFINANCE(""CURRENCY:""&amp;AH139&amp;"""",""price"",TODAY()-1),2,2)))*AI139),"""")"),"")</f>
        <v/>
      </c>
      <c r="AO139" s="96" t="str">
        <f>IF(ISBLANK(AH139),"",IFERROR(((AI139-SUMIFS(Transactions!I:I,Transactions!H:H,"Crypto Interest",Transactions!D:D,AH139))*AJ139),""))</f>
        <v/>
      </c>
      <c r="AP139" s="96" t="str">
        <f t="shared" si="16"/>
        <v/>
      </c>
      <c r="AQ139" s="50" t="str">
        <f t="shared" si="17"/>
        <v/>
      </c>
      <c r="AR139" s="96" t="str">
        <f t="shared" si="18"/>
        <v/>
      </c>
      <c r="AS139" s="96" t="str">
        <f>IF(ISBLANK(AH139),"",SUMIFS(Transactions!$X$3:$X149,Transactions!$H$3:$H149,"Sell",Transactions!$D$3:$D149,AH139))</f>
        <v/>
      </c>
      <c r="AT139" s="96" t="str">
        <f t="shared" si="19"/>
        <v/>
      </c>
      <c r="AU139" s="50" t="str">
        <f>IFERROR(__xludf.DUMMYFUNCTION("IF(ISBLANK(AH139),"""",IFERROR((GOOGLEFINANCE(AH139,""price"")/INDEX(GOOGLEFINANCE(AH139,""price"",DATEVALUE(TODAY()-$AU$2) ),2,2)-1),""""))"),"")</f>
        <v/>
      </c>
      <c r="AW139" s="50" t="str">
        <f>IFERROR(__xludf.DUMMYFUNCTION("IF(ISBLANK(AH139),"""",IFERROR((GOOGLEFINANCE($AW$2,""price"")/INDEX(GOOGLEFINANCE($AW$2,""price"",DATEVALUE(TODAY()-$AU$2) ),2,2)-1),""""))"),"")</f>
        <v/>
      </c>
      <c r="AY139" s="50" t="str">
        <f t="shared" si="20"/>
        <v/>
      </c>
      <c r="AZ139" s="50" t="str">
        <f t="shared" si="21"/>
        <v/>
      </c>
      <c r="BA139" s="50" t="str">
        <f t="shared" si="22"/>
        <v/>
      </c>
      <c r="BB139" s="14" t="str">
        <f t="shared" si="23"/>
        <v/>
      </c>
      <c r="BC139" s="14" t="str">
        <f>IF(ISBLANK(AH139),"",IFERROR(VLOOKUP(AH139,Transactions!D:F,3,0)))</f>
        <v/>
      </c>
      <c r="BD139" s="50" t="str">
        <f t="shared" si="24"/>
        <v/>
      </c>
      <c r="BE139" s="50" t="str">
        <f t="shared" si="25"/>
        <v/>
      </c>
      <c r="BF139" s="14" t="str">
        <f t="shared" si="26"/>
        <v/>
      </c>
      <c r="BG139" s="180" t="str">
        <f>IF(ISBLANK(AH139),"",IFERROR(VLOOKUP(AH139,Transactions!D:G,4,0)))</f>
        <v/>
      </c>
    </row>
    <row r="140">
      <c r="A140" s="14" t="str">
        <f t="shared" ref="A140:C140" si="163">AG140</f>
        <v/>
      </c>
      <c r="B140" s="14" t="str">
        <f t="shared" si="163"/>
        <v/>
      </c>
      <c r="C140" s="175" t="str">
        <f t="shared" si="163"/>
        <v/>
      </c>
      <c r="D140" s="176" t="str">
        <f>IFERROR(__xludf.DUMMYFUNCTION("IF(ISBLANK(B140),"""",IFERROR(IF(OR(AF140=""GPB"",AF140=""ZAR""),IF(AF140=Dashboard!$L$1,AJ140,(AJ140*GOOGLEFINANCE(""CURRENCY:""&amp;AF140&amp;""""&amp;Dashboard!$L$1&amp;""""))/100),IF(AF140=Dashboard!$L$1,AJ140,AJ140*GOOGLEFINANCE(""CURRENCY:""&amp;AF140&amp;""""&amp;Dashboard!$L"&amp;"$1&amp;""""))),AJ140))"),"")</f>
        <v/>
      </c>
      <c r="E140" s="177" t="str">
        <f>IFERROR(__xludf.DUMMYFUNCTION("IFERROR(IF(OR(AF140=""GBP"",AF140=""ZAR""),IF(B140="""","""",IF(AF140=Dashboard!$L$1,AK140,AK140*GOOGLEFINANCE(""CURRENCY:""&amp;AF140&amp;""""&amp;Dashboard!$L$1&amp;"""")))/100,If(B140="""","""",IF(AF140=Dashboard!$L$1,AK140,AK140*GOOGLEFINANCE(""CURRENCY:""&amp;AF140&amp;"""""&amp;"&amp;Dashboard!$L$1&amp;"""")))),AK140)"),"")</f>
        <v/>
      </c>
      <c r="F140" s="145" t="str">
        <f t="shared" si="65"/>
        <v/>
      </c>
      <c r="G140" s="96" t="str">
        <f>IFERROR(__xludf.DUMMYFUNCTION("IF(ISBLANK(B140),"""",IFERROR(SPARKLINE(INDEX(GOOGLEFINANCE(B140,""price"",TODAY()-$G$2,TODAY()),,2),{""charttype"",""column"";""color"",""17a7e0""}),""""))"),"")</f>
        <v/>
      </c>
      <c r="H140" s="50" t="str">
        <f t="shared" si="3"/>
        <v/>
      </c>
      <c r="I140" s="96" t="str">
        <f>IFERROR(__xludf.DUMMYFUNCTION("IF(ISBLANK(B140),"""",IFERROR(IF(OR(AF140=""GPB"",AF140=""ZAR""),IF(AF140=Dashboard!$L$1,AN140,(AN140*GOOGLEFINANCE(""CURRENCY:""&amp;AF140&amp;""""&amp;Dashboard!$L$1&amp;""""))/100),IF(AF140=Dashboard!$L$1,AN140,AN140*GOOGLEFINANCE(""CURRENCY:""&amp;AF140&amp;""""&amp;Dashboard!$L"&amp;"$1&amp;""""))),AN140))"),"")</f>
        <v/>
      </c>
      <c r="J140" s="178" t="str">
        <f>IF(ISBLANK(B140),"",IFERROR(((C140-SUMIFS(Transactions!I:I,Transactions!H:H,"Crypto Interest",Transactions!D:D,B140))*D140),""))</f>
        <v/>
      </c>
      <c r="K140" s="178" t="str">
        <f t="shared" si="4"/>
        <v/>
      </c>
      <c r="L140" s="145">
        <f>IF(ISBLANK(AF140),"",SUMIFS(Transactions!$M$3:$M149,Transactions!$H$3:$H149,"Buy",Transactions!$D$3:$D149,AF140))</f>
        <v>0</v>
      </c>
      <c r="M140" s="145">
        <f>IF(ISBLANK(AG140),"",SUMIFS(Transactions!$M$3:$M149,Transactions!$H$3:$H149,"Dividend",Transactions!$D$3:$D149,AG140))</f>
        <v>0</v>
      </c>
      <c r="N140" s="145" t="str">
        <f>IF(ISBLANK(AH140),"",SUMIFS(Transactions!$M$3:$M149,Transactions!$H$3:$H149,"Sell",Transactions!$D$3:$D149,AH140))</f>
        <v/>
      </c>
      <c r="O140" s="50" t="str">
        <f t="shared" si="5"/>
        <v/>
      </c>
      <c r="P140" s="178" t="str">
        <f t="shared" si="6"/>
        <v/>
      </c>
      <c r="Q140" s="178" t="str">
        <f>IFERROR(__xludf.DUMMYFUNCTION("IF(ISBLANK(B140),"""",IFERROR(IF(OR(AF140=""GPB"",AF140=""ZAR""),IF(AF140=Dashboard!$L$1,AS140,(AS140*GOOGLEFINANCE(""CURRENCY:""&amp;AF140&amp;""""&amp;Dashboard!$L$1&amp;""""))/100),IF(AF140=Dashboard!$L$1,AS140,AS140*GOOGLEFINANCE(""CURRENCY:""&amp;AF140&amp;""""&amp;Dashboard!$L"&amp;"$1&amp;""""))),AS140))"),"")</f>
        <v/>
      </c>
      <c r="R140" s="178" t="str">
        <f t="shared" si="7"/>
        <v/>
      </c>
      <c r="S140" s="50" t="str">
        <f>IFERROR(__xludf.DUMMYFUNCTION("IF(ISBLANK(B140),"""",IFERROR((GOOGLEFINANCE(B140,""price"")/INDEX(GOOGLEFINANCE(B140,""price"",DATEVALUE(TODAY()-$S$2) ),2,2)-1),""""))"),"")</f>
        <v/>
      </c>
      <c r="U140" s="50" t="str">
        <f>IFERROR(__xludf.DUMMYFUNCTION("IF(ISBLANK(B140),"""",IFERROR((GOOGLEFINANCE($U$2,""price"")/INDEX(GOOGLEFINANCE($U$2,""price"",DATEVALUE(TODAY()-$S$2) ),2,2)-1),""""))"),"")</f>
        <v/>
      </c>
      <c r="W140" s="50" t="str">
        <f t="shared" si="8"/>
        <v/>
      </c>
      <c r="X140" s="50" t="str">
        <f t="shared" si="9"/>
        <v/>
      </c>
      <c r="Y140" s="50"/>
      <c r="Z140" s="50" t="str">
        <f t="shared" si="10"/>
        <v/>
      </c>
      <c r="AA140" s="14" t="str">
        <f t="shared" si="11"/>
        <v/>
      </c>
      <c r="AB140" s="50" t="str">
        <f t="shared" si="12"/>
        <v/>
      </c>
      <c r="AC140" s="179" t="str">
        <f t="shared" si="13"/>
        <v/>
      </c>
      <c r="AD140" s="50" t="str">
        <f t="shared" si="14"/>
        <v/>
      </c>
      <c r="AE140" s="180" t="str">
        <f t="shared" si="15"/>
        <v/>
      </c>
      <c r="AF140" s="14" t="str">
        <f t="array" ref="AF140">IFERROR(IF(ISBLANK(AH140),"",IF(VLOOKUP(AH140,Transactions!D:F,3,0)="Stablecoin",AH140,INDEX(Transactions!$B$3:$B149,MATCH(AH140,Transactions!$D$3:$D149,0),0))))</f>
        <v/>
      </c>
      <c r="AG140" s="14" t="str">
        <f>IF(ISBLANK(AH140),"",VLOOKUP(AH140,Transactions!D:E,2,0))</f>
        <v/>
      </c>
      <c r="AH140" s="14"/>
      <c r="AI140" s="146" t="str">
        <f>IF(ISBLANK(AH140),"",IF(
SUMIFS(Transactions!$I$3:$I149,Transactions!$H$3:$H149,"Buy",Transactions!$F$3:$F149,"Stock",Transactions!$D$3:$D149,AH140)
+SUMIFS(Transactions!$I$3:$I149,Transactions!$H$3:$H149,"DRIP",Transactions!$F$3:$F149,"Stock",Transactions!$D$3:$D149,AH140)
+SUMIFS(Transactions!$I$3:$I149,Transactions!$H$3:$H149,"Transfer Deposit",Transactions!$F$3:$F149,"Stock",Transactions!$D$3:$D149,AH140)
+SUMIFS(Transactions!$I$3:$I149,Transactions!$H$3:$H149,"Buy",Transactions!$F$3:$F149,"ETF",Transactions!$D$3:$D149,AH140)
+SUMIFS(Transactions!$I$3:$I149,Transactions!$H$3:$H149,"DRIP",Transactions!$F$3:$F149,"ETF",Transactions!$D$3:$D149,AH140)
+SUMIFS(Transactions!$I$3:$I149,Transactions!$H$3:$H149,"Transfer Deposit",Transactions!$F$3:$F149,"ETF",Transactions!$D$3:$D149,AH140)
+SUMIFS(Transactions!$I$3:$I149,Transactions!$H$3:$H149,"Buy",Transactions!$F$3:$F149,"Commodity",Transactions!$D$3:$D149,AH140)
+SUMIFS(Transactions!$I$3:$I149,Transactions!$H$3:$H149,"DRIP",Transactions!$F$3:$F149,"Commodity",Transactions!$D$3:$D149,AH140)
+SUMIFS(Transactions!$I$3:$I149,Transactions!$H$3:$H149,"Transfer Deposit",Transactions!$F$3:$F149,"Commodity",Transactions!$D$3:$D149,AH140)
+SUMIFS(Transactions!$I$3:$I149,Transactions!$H$3:$H149,"Buy",Transactions!$F$3:$F149,"Managed Fund",Transactions!$D$3:$D149,AH140)
+SUMIFS(Transactions!$I$3:$I149,Transactions!$H$3:$H149,"DRIP",Transactions!$F$3:$F149,"Managed Fund",Transactions!$D$3:$D149,AH140)
+SUMIFS(Transactions!$I$3:$I149,Transactions!$H$3:$H149,"Transfer Deposit",Transactions!$F$3:$F149,"Managed Fund",Transactions!$D$3:$D149,AH140)
+SUMIFS(Transactions!$I$3:$I149,Transactions!$H$3:$H149,"Buy",Transactions!$F$3:$F149,"REIT",Transactions!$D$3:$D149,AH140)
+SUMIFS(Transactions!$I$3:$I149,Transactions!$H$3:$H149,"DRIP",Transactions!$F$3:$F149,"REIT",Transactions!$D$3:$D149,AH140)
+SUMIFS(Transactions!$I$3:$I149,Transactions!$H$3:$H149,"Transfer Deposit",Transactions!$F$3:$F149,"REIT",Transactions!$D$3:$D149,AH140)
-SUMIFS(Transactions!$I$3:$I149,Transactions!$H$3:$H149,"Sell",Transactions!$F$3:$F149,"Stock",Transactions!$D$3:$D149,AH140)
-SUMIFS(Transactions!$I$3:$I149,Transactions!$H$3:$H149,"Transfer Send",Transactions!$F$3:$F149,"Stock",Transactions!$D$3:$D149,AH140)
-SUMIFS(Transactions!$I$3:$I149,Transactions!$H$3:$H149,"Sell",Transactions!$F$3:$F149,"ETF",Transactions!$D$3:$D149,AH140)
-SUMIFS(Transactions!$I$3:$I149,Transactions!$H$3:$H149,"Transfer Send",Transactions!$F$3:$F149,"ETF",Transactions!$D$3:$D149,AH140)
-SUMIFS(Transactions!$I$3:$I149,Transactions!$H$3:$H149,"Sell",Transactions!$F$3:$F149,"Commodity",Transactions!$D$3:$D149,AH140)
-SUMIFS(Transactions!$I$3:$I149,Transactions!$H$3:$H149,"Transfer Send",Transactions!$F$3:$F149,"Commodity",Transactions!$D$3:$D149,AH140)
-SUMIFS(Transactions!$I$3:$I149,Transactions!$H$3:$H149,"Sell",Transactions!$F$3:$F149,"Managed Fund",Transactions!$D$3:$D149,AH140)
-SUMIFS(Transactions!$I$3:$I149,Transactions!$H$3:$H149,"Transfer Send",Transactions!$F$3:$F149,"Managed Fund",Transactions!$D$3:$D149,AH140)
-SUMIFS(Transactions!$I$3:$I149,Transactions!$H$3:$H149,"Sell",Transactions!$F$3:$F149,"REIT",Transactions!$D$3:$D149,AH140)
-SUMIFS(Transactions!$I$3:$I149,Transactions!$H$3:$H149,"Transfer Send",Transactions!$F$3:$F149,"REIT",Transactions!$D$3:$D149,AH140)
+SUMIFS(Transactions!$I$3:$I149,Transactions!$H$3:$H149,"Buy",Transactions!$F$3:$F149,"Crypto",Transactions!$D$3:$D149,AH140)
+SUMIFS(Transactions!$I$3:$I149,Transactions!$H$3:$H149,"Crypto Interest",Transactions!$F$3:$F149,"Crypto",Transactions!$D$3:$D149,AH140)
+SUMIFS(Transactions!$I$3:$I149,Transactions!$H$3:$H149,"Transfer Deposit",Transactions!$F$3:$F149,"Crypto",Transactions!$D$3:$D149,AH140)
-SUMIFS(Transactions!$I$3:$I149,Transactions!$H$3:$H149,"Transfer Send",Transactions!$F$3:$F149,"Crypto",Transactions!$D$3:$D149,AH140)
-SUMIFS(Transactions!$I$3:$I149,Transactions!$H$3:$H149,"Sell",Transactions!$F$3:$F149,"Crypto",Transactions!$D$3:$D149,AH140)
+SUMIFS(Transactions!$I$3:$I149,Transactions!$H$3:$H149,"Buy",Transactions!$F$3:$F149,"Stablecoin",Transactions!$D$3:$D149,AH140)
+SUMIFS(Transactions!$I$3:$I149,Transactions!$H$3:$H149,"Crypto Interest",Transactions!$F$3:$F149,"Stablecoin",Transactions!$D$3:$D149,AH140)
+SUMIFS(Transactions!$I$3:$I149,Transactions!$H$3:$H149,"Transfer Deposit",Transactions!$F$3:$F149,"Stablecoin",Transactions!$D$3:$D149,AH140)
-SUMIFS(Transactions!$I$3:$I149,Transactions!$H$3:$H149,"Transfer Send",Transactions!$F$3:$F149,"Stablecoin",Transactions!$D$3:$D149,AH140)
-SUMIFS(Transactions!$I$3:$I149,Transactions!$H$3:$H149,"Sell",Transactions!$F$3:$F149,"Stablecoin",Transactions!$D$3:$D149,AH140)
-SUMIFS(Transactions!$M$3:$M149,Transactions!$H$3:$H149,"Buy",Transactions!$B$3:$B149,AH140)=0,"Sold All",
SUMIFS(Transactions!$I$3:$I149,Transactions!$H$3:$H149,"Buy",Transactions!$F$3:$F149,"Stock",Transactions!$D$3:$D149,AH140)
+SUMIFS(Transactions!$I$3:$I149,Transactions!$H$3:$H149,"DRIP",Transactions!$F$3:$F149,"Stock",Transactions!$D$3:$D149,AH140)
+SUMIFS(Transactions!$I$3:$I149,Transactions!$H$3:$H149,"Transfer Deposit",Transactions!$F$3:$F149,"Stock",Transactions!$D$3:$D149,AH140)
+SUMIFS(Transactions!$I$3:$I149,Transactions!$H$3:$H149,"Buy",Transactions!$F$3:$F149,"ETF",Transactions!$D$3:$D149,AH140)
+SUMIFS(Transactions!$I$3:$I149,Transactions!$H$3:$H149,"DRIP",Transactions!$F$3:$F149,"ETF",Transactions!$D$3:$D149,AH140)
+SUMIFS(Transactions!$I$3:$I149,Transactions!$H$3:$H149,"Transfer Deposit",Transactions!$F$3:$F149,"ETF",Transactions!$D$3:$D149,AH140)
+SUMIFS(Transactions!$I$3:$I149,Transactions!$H$3:$H149,"Buy",Transactions!$F$3:$F149,"Commodity",Transactions!$D$3:$D149,AH140)
+SUMIFS(Transactions!$I$3:$I149,Transactions!$H$3:$H149,"DRIP",Transactions!$F$3:$F149,"Commodity",Transactions!$D$3:$D149,AH140)
+SUMIFS(Transactions!$I$3:$I149,Transactions!$H$3:$H149,"Transfer Deposit",Transactions!$F$3:$F149,"Commodity",Transactions!$D$3:$D149,AH140)
+SUMIFS(Transactions!$I$3:$I149,Transactions!$H$3:$H149,"Buy",Transactions!$F$3:$F149,"Managed Fund",Transactions!$D$3:$D149,AH140)
+SUMIFS(Transactions!$I$3:$I149,Transactions!$H$3:$H149,"DRIP",Transactions!$F$3:$F149,"Managed Fund",Transactions!$D$3:$D149,AH140)
+SUMIFS(Transactions!$I$3:$I149,Transactions!$H$3:$H149,"Transfer Deposit",Transactions!$F$3:$F149,"Managed Fund",Transactions!$D$3:$D149,AH140)
+SUMIFS(Transactions!$I$3:$I149,Transactions!$H$3:$H149,"Buy",Transactions!$F$3:$F149,"REIT",Transactions!$D$3:$D149,AH140)
+SUMIFS(Transactions!$I$3:$I149,Transactions!$H$3:$H149,"DRIP",Transactions!$F$3:$F149,"REIT",Transactions!$D$3:$D149,AH140)
+SUMIFS(Transactions!$I$3:$I149,Transactions!$H$3:$H149,"Transfer Deposit",Transactions!$F$3:$F149,"REIT",Transactions!$D$3:$D149,AH140)
-SUMIFS(Transactions!$I$3:$I149,Transactions!$H$3:$H149,"Sell",Transactions!$F$3:$F149,"Stock",Transactions!$D$3:$D149,AH140)
-SUMIFS(Transactions!$I$3:$I149,Transactions!$H$3:$H149,"Transfer Send",Transactions!$F$3:$F149,"Stock",Transactions!$D$3:$D149,AH140)
-SUMIFS(Transactions!$I$3:$I149,Transactions!$H$3:$H149,"Sell",Transactions!$F$3:$F149,"ETF",Transactions!$D$3:$D149,AH140)
-SUMIFS(Transactions!$I$3:$I149,Transactions!$H$3:$H149,"Transfer Send",Transactions!$F$3:$F149,"ETF",Transactions!$D$3:$D149,AH140)
-SUMIFS(Transactions!$I$3:$I149,Transactions!$H$3:$H149,"Sell",Transactions!$F$3:$F149,"Commodity",Transactions!$D$3:$D149,AH140)
-SUMIFS(Transactions!$I$3:$I149,Transactions!$H$3:$H149,"Transfer Send",Transactions!$F$3:$F149,"Commodity",Transactions!$D$3:$D149,AH140)
-SUMIFS(Transactions!$I$3:$I149,Transactions!$H$3:$H149,"Sell",Transactions!$F$3:$F149,"Managed Fund",Transactions!$D$3:$D149,AH140)
-SUMIFS(Transactions!$I$3:$I149,Transactions!$H$3:$H149,"Transfer Send",Transactions!$F$3:$F149,"Managed Fund",Transactions!$D$3:$D149,AH140)
-SUMIFS(Transactions!$I$3:$I149,Transactions!$H$3:$H149,"Sell",Transactions!$F$3:$F149,"REIT",Transactions!$D$3:$D149,AH140)
-SUMIFS(Transactions!$I$3:$I149,Transactions!$H$3:$H149,"Transfer Send",Transactions!$F$3:$F149,"REIT",Transactions!$D$3:$D149,AH140)
+SUMIFS(Transactions!$I$3:$I149,Transactions!$H$3:$H149,"Buy",Transactions!$F$3:$F149,"Crypto",Transactions!$D$3:$D149,AH140)
+SUMIFS(Transactions!$I$3:$I149,Transactions!$H$3:$H149,"Crypto Interest",Transactions!$F$3:$F149,"Crypto",Transactions!$D$3:$D149,AH140)
+SUMIFS(Transactions!$I$3:$I149,Transactions!$H$3:$H149,"Transfer Deposit",Transactions!$F$3:$F149,"Crypto",Transactions!$D$3:$D149,AH140)
-SUMIFS(Transactions!$I$3:$I149,Transactions!$H$3:$H149,"Transfer Send",Transactions!$F$3:$F149,"Crypto",Transactions!$D$3:$D149,AH140)
-SUMIFS(Transactions!$I$3:$I149,Transactions!$H$3:$H149,"Sell",Transactions!$F$3:$F149,"Crypto",Transactions!$D$3:$D149,AH140)
+SUMIFS(Transactions!$I$3:$I149,Transactions!$H$3:$H149,"Buy",Transactions!$F$3:$F149,"Stablecoin",Transactions!$D$3:$D149,AH140)
+SUMIFS(Transactions!$I$3:$I149,Transactions!$H$3:$H149,"Crypto Interest",Transactions!$F$3:$F149,"Stablecoin",Transactions!$D$3:$D149,AH140)
+SUMIFS(Transactions!$I$3:$I149,Transactions!$H$3:$H149,"Transfer Deposit",Transactions!$F$3:$F149,"Stablecoin",Transactions!$D$3:$D149,AH140)
-SUMIFS(Transactions!$I$3:$I149,Transactions!$H$3:$H149,"Transfer Send",Transactions!$F$3:$F149,"Stablecoin",Transactions!$D$3:$D149,AH140)
-SUMIFS(Transactions!$I$3:$I149,Transactions!$H$3:$H149,"Sell",Transactions!$F$3:$F149,"Stablecoin",Transactions!$D$3:$D149,AH140)
-SUMIFS(Transactions!$M$3:$M149,Transactions!$H$3:$H149,"Buy",Transactions!$B$3:$B149,AH140)))</f>
        <v/>
      </c>
      <c r="AJ140" s="181" t="str">
        <f>IFERROR(__xludf.DUMMYFUNCTION("IF(ISBLANK(AH140),"""",VLOOKUP(9^99,FILTER({ROW(Transactions!P:P),Transactions!P:P},Transactions!D:D=AH140),2))"),"")</f>
        <v/>
      </c>
      <c r="AK140" s="181" t="str">
        <f>IFERROR(__xludf.DUMMYFUNCTION("IF(ISBLANK(AH140),"""",IFERROR(GOOGLEFINANCE(AH140,""price""),IFERROR(GOOGLEFINANCE(""CURRENCY:""&amp;AH140&amp;""""),IFERROR(INDEX(YAHOO_STOCK(TRIM(AH140), $G$2),0,1),INDEX(IMPORTHTML(CONCAT(""https://coinmarketcap.com/currencies/"",AG140),""table"",1),1,2)))))"),"")</f>
        <v/>
      </c>
      <c r="AL140" s="14" t="str">
        <f>IFERROR(__xludf.DUMMYFUNCTION("IF(ISBLANK(AH140),"""",IFERROR(SPARKLINE(INDEX(GOOGLEFINANCE(AH140,""price"",TODAY()-$AL$2,TODAY()),,2),{""charttype"",""column"";""color"",""17a7e0""}),""""))"),"")</f>
        <v/>
      </c>
      <c r="AM140" s="50" t="str">
        <f>IFERROR(__xludf.DUMMYFUNCTION("IFNA(IFERROR(IF(AH140="""","""",GOOGLEFINANCE(AH140,""changepct"")/100),(GOOGLEFINANCE(AH140)-(INDEX(GOOGLEFINANCE(""CURRENCY:""&amp;AH140&amp;"""",""price"",TODAY()-1),2,2)))/(INDEX(GOOGLEFINANCE(""CURRENCY:""&amp;AH140&amp;"""",""price"",TODAY()-1),2,2))),)"),"")</f>
        <v/>
      </c>
      <c r="AN140" s="96" t="str">
        <f>IFERROR(__xludf.DUMMYFUNCTION("IFNA(IFERROR(IF(AH140="""","""",GOOGLEFINANCE(AH140,""change"")*AI140),(GOOGLEFINANCE(AH140)-(INDEX(GOOGLEFINANCE(""CURRENCY:""&amp;AH140&amp;"""",""price"",TODAY()-1),2,2)))*AI140),"""")"),"")</f>
        <v/>
      </c>
      <c r="AO140" s="96" t="str">
        <f>IF(ISBLANK(AH140),"",IFERROR(((AI140-SUMIFS(Transactions!I:I,Transactions!H:H,"Crypto Interest",Transactions!D:D,AH140))*AJ140),""))</f>
        <v/>
      </c>
      <c r="AP140" s="96" t="str">
        <f t="shared" si="16"/>
        <v/>
      </c>
      <c r="AQ140" s="50" t="str">
        <f t="shared" si="17"/>
        <v/>
      </c>
      <c r="AR140" s="96" t="str">
        <f t="shared" si="18"/>
        <v/>
      </c>
      <c r="AS140" s="96" t="str">
        <f>IF(ISBLANK(AH140),"",SUMIFS(Transactions!$X$3:$X149,Transactions!$H$3:$H149,"Sell",Transactions!$D$3:$D149,AH140))</f>
        <v/>
      </c>
      <c r="AT140" s="96" t="str">
        <f t="shared" si="19"/>
        <v/>
      </c>
      <c r="AU140" s="50" t="str">
        <f>IFERROR(__xludf.DUMMYFUNCTION("IF(ISBLANK(AH140),"""",IFERROR((GOOGLEFINANCE(AH140,""price"")/INDEX(GOOGLEFINANCE(AH140,""price"",DATEVALUE(TODAY()-$AU$2) ),2,2)-1),""""))"),"")</f>
        <v/>
      </c>
      <c r="AW140" s="50" t="str">
        <f>IFERROR(__xludf.DUMMYFUNCTION("IF(ISBLANK(AH140),"""",IFERROR((GOOGLEFINANCE($AW$2,""price"")/INDEX(GOOGLEFINANCE($AW$2,""price"",DATEVALUE(TODAY()-$AU$2) ),2,2)-1),""""))"),"")</f>
        <v/>
      </c>
      <c r="AY140" s="50" t="str">
        <f t="shared" si="20"/>
        <v/>
      </c>
      <c r="AZ140" s="50" t="str">
        <f t="shared" si="21"/>
        <v/>
      </c>
      <c r="BA140" s="50" t="str">
        <f t="shared" si="22"/>
        <v/>
      </c>
      <c r="BB140" s="14" t="str">
        <f t="shared" si="23"/>
        <v/>
      </c>
      <c r="BC140" s="14" t="str">
        <f>IF(ISBLANK(AH140),"",IFERROR(VLOOKUP(AH140,Transactions!D:F,3,0)))</f>
        <v/>
      </c>
      <c r="BD140" s="50" t="str">
        <f t="shared" si="24"/>
        <v/>
      </c>
      <c r="BE140" s="50" t="str">
        <f t="shared" si="25"/>
        <v/>
      </c>
      <c r="BF140" s="14" t="str">
        <f t="shared" si="26"/>
        <v/>
      </c>
      <c r="BG140" s="180" t="str">
        <f>IF(ISBLANK(AH140),"",IFERROR(VLOOKUP(AH140,Transactions!D:G,4,0)))</f>
        <v/>
      </c>
    </row>
    <row r="141">
      <c r="A141" s="14" t="str">
        <f t="shared" ref="A141:C141" si="164">AG141</f>
        <v/>
      </c>
      <c r="B141" s="14" t="str">
        <f t="shared" si="164"/>
        <v/>
      </c>
      <c r="C141" s="175" t="str">
        <f t="shared" si="164"/>
        <v/>
      </c>
      <c r="D141" s="176" t="str">
        <f>IFERROR(__xludf.DUMMYFUNCTION("IF(ISBLANK(B141),"""",IFERROR(IF(OR(AF141=""GPB"",AF141=""ZAR""),IF(AF141=Dashboard!$L$1,AJ141,(AJ141*GOOGLEFINANCE(""CURRENCY:""&amp;AF141&amp;""""&amp;Dashboard!$L$1&amp;""""))/100),IF(AF141=Dashboard!$L$1,AJ141,AJ141*GOOGLEFINANCE(""CURRENCY:""&amp;AF141&amp;""""&amp;Dashboard!$L"&amp;"$1&amp;""""))),AJ141))"),"")</f>
        <v/>
      </c>
      <c r="E141" s="177" t="str">
        <f>IFERROR(__xludf.DUMMYFUNCTION("IFERROR(IF(OR(AF141=""GBP"",AF141=""ZAR""),IF(B141="""","""",IF(AF141=Dashboard!$L$1,AK141,AK141*GOOGLEFINANCE(""CURRENCY:""&amp;AF141&amp;""""&amp;Dashboard!$L$1&amp;"""")))/100,If(B141="""","""",IF(AF141=Dashboard!$L$1,AK141,AK141*GOOGLEFINANCE(""CURRENCY:""&amp;AF141&amp;"""""&amp;"&amp;Dashboard!$L$1&amp;"""")))),AK141)"),"")</f>
        <v/>
      </c>
      <c r="F141" s="145" t="str">
        <f t="shared" si="65"/>
        <v/>
      </c>
      <c r="G141" s="96" t="str">
        <f>IFERROR(__xludf.DUMMYFUNCTION("IF(ISBLANK(B141),"""",IFERROR(SPARKLINE(INDEX(GOOGLEFINANCE(B141,""price"",TODAY()-$G$2,TODAY()),,2),{""charttype"",""column"";""color"",""17a7e0""}),""""))"),"")</f>
        <v/>
      </c>
      <c r="H141" s="50" t="str">
        <f t="shared" si="3"/>
        <v/>
      </c>
      <c r="I141" s="96" t="str">
        <f>IFERROR(__xludf.DUMMYFUNCTION("IF(ISBLANK(B141),"""",IFERROR(IF(OR(AF141=""GPB"",AF141=""ZAR""),IF(AF141=Dashboard!$L$1,AN141,(AN141*GOOGLEFINANCE(""CURRENCY:""&amp;AF141&amp;""""&amp;Dashboard!$L$1&amp;""""))/100),IF(AF141=Dashboard!$L$1,AN141,AN141*GOOGLEFINANCE(""CURRENCY:""&amp;AF141&amp;""""&amp;Dashboard!$L"&amp;"$1&amp;""""))),AN141))"),"")</f>
        <v/>
      </c>
      <c r="J141" s="178" t="str">
        <f>IF(ISBLANK(B141),"",IFERROR(((C141-SUMIFS(Transactions!I:I,Transactions!H:H,"Crypto Interest",Transactions!D:D,B141))*D141),""))</f>
        <v/>
      </c>
      <c r="K141" s="178" t="str">
        <f t="shared" si="4"/>
        <v/>
      </c>
      <c r="L141" s="145">
        <f>IF(ISBLANK(AF141),"",SUMIFS(Transactions!$M$3:$M149,Transactions!$H$3:$H149,"Buy",Transactions!$D$3:$D149,AF141))</f>
        <v>0</v>
      </c>
      <c r="M141" s="145">
        <f>IF(ISBLANK(AG141),"",SUMIFS(Transactions!$M$3:$M149,Transactions!$H$3:$H149,"Dividend",Transactions!$D$3:$D149,AG141))</f>
        <v>0</v>
      </c>
      <c r="N141" s="145" t="str">
        <f>IF(ISBLANK(AH141),"",SUMIFS(Transactions!$M$3:$M149,Transactions!$H$3:$H149,"Sell",Transactions!$D$3:$D149,AH141))</f>
        <v/>
      </c>
      <c r="O141" s="50" t="str">
        <f t="shared" si="5"/>
        <v/>
      </c>
      <c r="P141" s="178" t="str">
        <f t="shared" si="6"/>
        <v/>
      </c>
      <c r="Q141" s="178" t="str">
        <f>IFERROR(__xludf.DUMMYFUNCTION("IF(ISBLANK(B141),"""",IFERROR(IF(OR(AF141=""GPB"",AF141=""ZAR""),IF(AF141=Dashboard!$L$1,AS141,(AS141*GOOGLEFINANCE(""CURRENCY:""&amp;AF141&amp;""""&amp;Dashboard!$L$1&amp;""""))/100),IF(AF141=Dashboard!$L$1,AS141,AS141*GOOGLEFINANCE(""CURRENCY:""&amp;AF141&amp;""""&amp;Dashboard!$L"&amp;"$1&amp;""""))),AS141))"),"")</f>
        <v/>
      </c>
      <c r="R141" s="178" t="str">
        <f t="shared" si="7"/>
        <v/>
      </c>
      <c r="S141" s="50" t="str">
        <f>IFERROR(__xludf.DUMMYFUNCTION("IF(ISBLANK(B141),"""",IFERROR((GOOGLEFINANCE(B141,""price"")/INDEX(GOOGLEFINANCE(B141,""price"",DATEVALUE(TODAY()-$S$2) ),2,2)-1),""""))"),"")</f>
        <v/>
      </c>
      <c r="U141" s="50" t="str">
        <f>IFERROR(__xludf.DUMMYFUNCTION("IF(ISBLANK(B141),"""",IFERROR((GOOGLEFINANCE($U$2,""price"")/INDEX(GOOGLEFINANCE($U$2,""price"",DATEVALUE(TODAY()-$S$2) ),2,2)-1),""""))"),"")</f>
        <v/>
      </c>
      <c r="W141" s="50" t="str">
        <f t="shared" si="8"/>
        <v/>
      </c>
      <c r="X141" s="50" t="str">
        <f t="shared" si="9"/>
        <v/>
      </c>
      <c r="Y141" s="50"/>
      <c r="Z141" s="50" t="str">
        <f t="shared" si="10"/>
        <v/>
      </c>
      <c r="AA141" s="14" t="str">
        <f t="shared" si="11"/>
        <v/>
      </c>
      <c r="AB141" s="50" t="str">
        <f t="shared" si="12"/>
        <v/>
      </c>
      <c r="AC141" s="179" t="str">
        <f t="shared" si="13"/>
        <v/>
      </c>
      <c r="AD141" s="50" t="str">
        <f t="shared" si="14"/>
        <v/>
      </c>
      <c r="AE141" s="180" t="str">
        <f t="shared" si="15"/>
        <v/>
      </c>
      <c r="AF141" s="14" t="str">
        <f t="array" ref="AF141">IFERROR(IF(ISBLANK(AH141),"",IF(VLOOKUP(AH141,Transactions!D:F,3,0)="Stablecoin",AH141,INDEX(Transactions!$B$3:$B149,MATCH(AH141,Transactions!$D$3:$D149,0),0))))</f>
        <v/>
      </c>
      <c r="AG141" s="14" t="str">
        <f>IF(ISBLANK(AH141),"",VLOOKUP(AH141,Transactions!D:E,2,0))</f>
        <v/>
      </c>
      <c r="AH141" s="14"/>
      <c r="AI141" s="146" t="str">
        <f>IF(ISBLANK(AH141),"",IF(
SUMIFS(Transactions!$I$3:$I149,Transactions!$H$3:$H149,"Buy",Transactions!$F$3:$F149,"Stock",Transactions!$D$3:$D149,AH141)
+SUMIFS(Transactions!$I$3:$I149,Transactions!$H$3:$H149,"DRIP",Transactions!$F$3:$F149,"Stock",Transactions!$D$3:$D149,AH141)
+SUMIFS(Transactions!$I$3:$I149,Transactions!$H$3:$H149,"Transfer Deposit",Transactions!$F$3:$F149,"Stock",Transactions!$D$3:$D149,AH141)
+SUMIFS(Transactions!$I$3:$I149,Transactions!$H$3:$H149,"Buy",Transactions!$F$3:$F149,"ETF",Transactions!$D$3:$D149,AH141)
+SUMIFS(Transactions!$I$3:$I149,Transactions!$H$3:$H149,"DRIP",Transactions!$F$3:$F149,"ETF",Transactions!$D$3:$D149,AH141)
+SUMIFS(Transactions!$I$3:$I149,Transactions!$H$3:$H149,"Transfer Deposit",Transactions!$F$3:$F149,"ETF",Transactions!$D$3:$D149,AH141)
+SUMIFS(Transactions!$I$3:$I149,Transactions!$H$3:$H149,"Buy",Transactions!$F$3:$F149,"Commodity",Transactions!$D$3:$D149,AH141)
+SUMIFS(Transactions!$I$3:$I149,Transactions!$H$3:$H149,"DRIP",Transactions!$F$3:$F149,"Commodity",Transactions!$D$3:$D149,AH141)
+SUMIFS(Transactions!$I$3:$I149,Transactions!$H$3:$H149,"Transfer Deposit",Transactions!$F$3:$F149,"Commodity",Transactions!$D$3:$D149,AH141)
+SUMIFS(Transactions!$I$3:$I149,Transactions!$H$3:$H149,"Buy",Transactions!$F$3:$F149,"Managed Fund",Transactions!$D$3:$D149,AH141)
+SUMIFS(Transactions!$I$3:$I149,Transactions!$H$3:$H149,"DRIP",Transactions!$F$3:$F149,"Managed Fund",Transactions!$D$3:$D149,AH141)
+SUMIFS(Transactions!$I$3:$I149,Transactions!$H$3:$H149,"Transfer Deposit",Transactions!$F$3:$F149,"Managed Fund",Transactions!$D$3:$D149,AH141)
+SUMIFS(Transactions!$I$3:$I149,Transactions!$H$3:$H149,"Buy",Transactions!$F$3:$F149,"REIT",Transactions!$D$3:$D149,AH141)
+SUMIFS(Transactions!$I$3:$I149,Transactions!$H$3:$H149,"DRIP",Transactions!$F$3:$F149,"REIT",Transactions!$D$3:$D149,AH141)
+SUMIFS(Transactions!$I$3:$I149,Transactions!$H$3:$H149,"Transfer Deposit",Transactions!$F$3:$F149,"REIT",Transactions!$D$3:$D149,AH141)
-SUMIFS(Transactions!$I$3:$I149,Transactions!$H$3:$H149,"Sell",Transactions!$F$3:$F149,"Stock",Transactions!$D$3:$D149,AH141)
-SUMIFS(Transactions!$I$3:$I149,Transactions!$H$3:$H149,"Transfer Send",Transactions!$F$3:$F149,"Stock",Transactions!$D$3:$D149,AH141)
-SUMIFS(Transactions!$I$3:$I149,Transactions!$H$3:$H149,"Sell",Transactions!$F$3:$F149,"ETF",Transactions!$D$3:$D149,AH141)
-SUMIFS(Transactions!$I$3:$I149,Transactions!$H$3:$H149,"Transfer Send",Transactions!$F$3:$F149,"ETF",Transactions!$D$3:$D149,AH141)
-SUMIFS(Transactions!$I$3:$I149,Transactions!$H$3:$H149,"Sell",Transactions!$F$3:$F149,"Commodity",Transactions!$D$3:$D149,AH141)
-SUMIFS(Transactions!$I$3:$I149,Transactions!$H$3:$H149,"Transfer Send",Transactions!$F$3:$F149,"Commodity",Transactions!$D$3:$D149,AH141)
-SUMIFS(Transactions!$I$3:$I149,Transactions!$H$3:$H149,"Sell",Transactions!$F$3:$F149,"Managed Fund",Transactions!$D$3:$D149,AH141)
-SUMIFS(Transactions!$I$3:$I149,Transactions!$H$3:$H149,"Transfer Send",Transactions!$F$3:$F149,"Managed Fund",Transactions!$D$3:$D149,AH141)
-SUMIFS(Transactions!$I$3:$I149,Transactions!$H$3:$H149,"Sell",Transactions!$F$3:$F149,"REIT",Transactions!$D$3:$D149,AH141)
-SUMIFS(Transactions!$I$3:$I149,Transactions!$H$3:$H149,"Transfer Send",Transactions!$F$3:$F149,"REIT",Transactions!$D$3:$D149,AH141)
+SUMIFS(Transactions!$I$3:$I149,Transactions!$H$3:$H149,"Buy",Transactions!$F$3:$F149,"Crypto",Transactions!$D$3:$D149,AH141)
+SUMIFS(Transactions!$I$3:$I149,Transactions!$H$3:$H149,"Crypto Interest",Transactions!$F$3:$F149,"Crypto",Transactions!$D$3:$D149,AH141)
+SUMIFS(Transactions!$I$3:$I149,Transactions!$H$3:$H149,"Transfer Deposit",Transactions!$F$3:$F149,"Crypto",Transactions!$D$3:$D149,AH141)
-SUMIFS(Transactions!$I$3:$I149,Transactions!$H$3:$H149,"Transfer Send",Transactions!$F$3:$F149,"Crypto",Transactions!$D$3:$D149,AH141)
-SUMIFS(Transactions!$I$3:$I149,Transactions!$H$3:$H149,"Sell",Transactions!$F$3:$F149,"Crypto",Transactions!$D$3:$D149,AH141)
+SUMIFS(Transactions!$I$3:$I149,Transactions!$H$3:$H149,"Buy",Transactions!$F$3:$F149,"Stablecoin",Transactions!$D$3:$D149,AH141)
+SUMIFS(Transactions!$I$3:$I149,Transactions!$H$3:$H149,"Crypto Interest",Transactions!$F$3:$F149,"Stablecoin",Transactions!$D$3:$D149,AH141)
+SUMIFS(Transactions!$I$3:$I149,Transactions!$H$3:$H149,"Transfer Deposit",Transactions!$F$3:$F149,"Stablecoin",Transactions!$D$3:$D149,AH141)
-SUMIFS(Transactions!$I$3:$I149,Transactions!$H$3:$H149,"Transfer Send",Transactions!$F$3:$F149,"Stablecoin",Transactions!$D$3:$D149,AH141)
-SUMIFS(Transactions!$I$3:$I149,Transactions!$H$3:$H149,"Sell",Transactions!$F$3:$F149,"Stablecoin",Transactions!$D$3:$D149,AH141)
-SUMIFS(Transactions!$M$3:$M149,Transactions!$H$3:$H149,"Buy",Transactions!$B$3:$B149,AH141)=0,"Sold All",
SUMIFS(Transactions!$I$3:$I149,Transactions!$H$3:$H149,"Buy",Transactions!$F$3:$F149,"Stock",Transactions!$D$3:$D149,AH141)
+SUMIFS(Transactions!$I$3:$I149,Transactions!$H$3:$H149,"DRIP",Transactions!$F$3:$F149,"Stock",Transactions!$D$3:$D149,AH141)
+SUMIFS(Transactions!$I$3:$I149,Transactions!$H$3:$H149,"Transfer Deposit",Transactions!$F$3:$F149,"Stock",Transactions!$D$3:$D149,AH141)
+SUMIFS(Transactions!$I$3:$I149,Transactions!$H$3:$H149,"Buy",Transactions!$F$3:$F149,"ETF",Transactions!$D$3:$D149,AH141)
+SUMIFS(Transactions!$I$3:$I149,Transactions!$H$3:$H149,"DRIP",Transactions!$F$3:$F149,"ETF",Transactions!$D$3:$D149,AH141)
+SUMIFS(Transactions!$I$3:$I149,Transactions!$H$3:$H149,"Transfer Deposit",Transactions!$F$3:$F149,"ETF",Transactions!$D$3:$D149,AH141)
+SUMIFS(Transactions!$I$3:$I149,Transactions!$H$3:$H149,"Buy",Transactions!$F$3:$F149,"Commodity",Transactions!$D$3:$D149,AH141)
+SUMIFS(Transactions!$I$3:$I149,Transactions!$H$3:$H149,"DRIP",Transactions!$F$3:$F149,"Commodity",Transactions!$D$3:$D149,AH141)
+SUMIFS(Transactions!$I$3:$I149,Transactions!$H$3:$H149,"Transfer Deposit",Transactions!$F$3:$F149,"Commodity",Transactions!$D$3:$D149,AH141)
+SUMIFS(Transactions!$I$3:$I149,Transactions!$H$3:$H149,"Buy",Transactions!$F$3:$F149,"Managed Fund",Transactions!$D$3:$D149,AH141)
+SUMIFS(Transactions!$I$3:$I149,Transactions!$H$3:$H149,"DRIP",Transactions!$F$3:$F149,"Managed Fund",Transactions!$D$3:$D149,AH141)
+SUMIFS(Transactions!$I$3:$I149,Transactions!$H$3:$H149,"Transfer Deposit",Transactions!$F$3:$F149,"Managed Fund",Transactions!$D$3:$D149,AH141)
+SUMIFS(Transactions!$I$3:$I149,Transactions!$H$3:$H149,"Buy",Transactions!$F$3:$F149,"REIT",Transactions!$D$3:$D149,AH141)
+SUMIFS(Transactions!$I$3:$I149,Transactions!$H$3:$H149,"DRIP",Transactions!$F$3:$F149,"REIT",Transactions!$D$3:$D149,AH141)
+SUMIFS(Transactions!$I$3:$I149,Transactions!$H$3:$H149,"Transfer Deposit",Transactions!$F$3:$F149,"REIT",Transactions!$D$3:$D149,AH141)
-SUMIFS(Transactions!$I$3:$I149,Transactions!$H$3:$H149,"Sell",Transactions!$F$3:$F149,"Stock",Transactions!$D$3:$D149,AH141)
-SUMIFS(Transactions!$I$3:$I149,Transactions!$H$3:$H149,"Transfer Send",Transactions!$F$3:$F149,"Stock",Transactions!$D$3:$D149,AH141)
-SUMIFS(Transactions!$I$3:$I149,Transactions!$H$3:$H149,"Sell",Transactions!$F$3:$F149,"ETF",Transactions!$D$3:$D149,AH141)
-SUMIFS(Transactions!$I$3:$I149,Transactions!$H$3:$H149,"Transfer Send",Transactions!$F$3:$F149,"ETF",Transactions!$D$3:$D149,AH141)
-SUMIFS(Transactions!$I$3:$I149,Transactions!$H$3:$H149,"Sell",Transactions!$F$3:$F149,"Commodity",Transactions!$D$3:$D149,AH141)
-SUMIFS(Transactions!$I$3:$I149,Transactions!$H$3:$H149,"Transfer Send",Transactions!$F$3:$F149,"Commodity",Transactions!$D$3:$D149,AH141)
-SUMIFS(Transactions!$I$3:$I149,Transactions!$H$3:$H149,"Sell",Transactions!$F$3:$F149,"Managed Fund",Transactions!$D$3:$D149,AH141)
-SUMIFS(Transactions!$I$3:$I149,Transactions!$H$3:$H149,"Transfer Send",Transactions!$F$3:$F149,"Managed Fund",Transactions!$D$3:$D149,AH141)
-SUMIFS(Transactions!$I$3:$I149,Transactions!$H$3:$H149,"Sell",Transactions!$F$3:$F149,"REIT",Transactions!$D$3:$D149,AH141)
-SUMIFS(Transactions!$I$3:$I149,Transactions!$H$3:$H149,"Transfer Send",Transactions!$F$3:$F149,"REIT",Transactions!$D$3:$D149,AH141)
+SUMIFS(Transactions!$I$3:$I149,Transactions!$H$3:$H149,"Buy",Transactions!$F$3:$F149,"Crypto",Transactions!$D$3:$D149,AH141)
+SUMIFS(Transactions!$I$3:$I149,Transactions!$H$3:$H149,"Crypto Interest",Transactions!$F$3:$F149,"Crypto",Transactions!$D$3:$D149,AH141)
+SUMIFS(Transactions!$I$3:$I149,Transactions!$H$3:$H149,"Transfer Deposit",Transactions!$F$3:$F149,"Crypto",Transactions!$D$3:$D149,AH141)
-SUMIFS(Transactions!$I$3:$I149,Transactions!$H$3:$H149,"Transfer Send",Transactions!$F$3:$F149,"Crypto",Transactions!$D$3:$D149,AH141)
-SUMIFS(Transactions!$I$3:$I149,Transactions!$H$3:$H149,"Sell",Transactions!$F$3:$F149,"Crypto",Transactions!$D$3:$D149,AH141)
+SUMIFS(Transactions!$I$3:$I149,Transactions!$H$3:$H149,"Buy",Transactions!$F$3:$F149,"Stablecoin",Transactions!$D$3:$D149,AH141)
+SUMIFS(Transactions!$I$3:$I149,Transactions!$H$3:$H149,"Crypto Interest",Transactions!$F$3:$F149,"Stablecoin",Transactions!$D$3:$D149,AH141)
+SUMIFS(Transactions!$I$3:$I149,Transactions!$H$3:$H149,"Transfer Deposit",Transactions!$F$3:$F149,"Stablecoin",Transactions!$D$3:$D149,AH141)
-SUMIFS(Transactions!$I$3:$I149,Transactions!$H$3:$H149,"Transfer Send",Transactions!$F$3:$F149,"Stablecoin",Transactions!$D$3:$D149,AH141)
-SUMIFS(Transactions!$I$3:$I149,Transactions!$H$3:$H149,"Sell",Transactions!$F$3:$F149,"Stablecoin",Transactions!$D$3:$D149,AH141)
-SUMIFS(Transactions!$M$3:$M149,Transactions!$H$3:$H149,"Buy",Transactions!$B$3:$B149,AH141)))</f>
        <v/>
      </c>
      <c r="AJ141" s="181" t="str">
        <f>IFERROR(__xludf.DUMMYFUNCTION("IF(ISBLANK(AH141),"""",VLOOKUP(9^99,FILTER({ROW(Transactions!P:P),Transactions!P:P},Transactions!D:D=AH141),2))"),"")</f>
        <v/>
      </c>
      <c r="AK141" s="181" t="str">
        <f>IFERROR(__xludf.DUMMYFUNCTION("IF(ISBLANK(AH141),"""",IFERROR(GOOGLEFINANCE(AH141,""price""),IFERROR(GOOGLEFINANCE(""CURRENCY:""&amp;AH141&amp;""""),IFERROR(INDEX(YAHOO_STOCK(TRIM(AH141), $G$2),0,1),INDEX(IMPORTHTML(CONCAT(""https://coinmarketcap.com/currencies/"",AG141),""table"",1),1,2)))))"),"")</f>
        <v/>
      </c>
      <c r="AL141" s="14" t="str">
        <f>IFERROR(__xludf.DUMMYFUNCTION("IF(ISBLANK(AH141),"""",IFERROR(SPARKLINE(INDEX(GOOGLEFINANCE(AH141,""price"",TODAY()-$AL$2,TODAY()),,2),{""charttype"",""column"";""color"",""17a7e0""}),""""))"),"")</f>
        <v/>
      </c>
      <c r="AM141" s="50" t="str">
        <f>IFERROR(__xludf.DUMMYFUNCTION("IFNA(IFERROR(IF(AH141="""","""",GOOGLEFINANCE(AH141,""changepct"")/100),(GOOGLEFINANCE(AH141)-(INDEX(GOOGLEFINANCE(""CURRENCY:""&amp;AH141&amp;"""",""price"",TODAY()-1),2,2)))/(INDEX(GOOGLEFINANCE(""CURRENCY:""&amp;AH141&amp;"""",""price"",TODAY()-1),2,2))),)"),"")</f>
        <v/>
      </c>
      <c r="AN141" s="96" t="str">
        <f>IFERROR(__xludf.DUMMYFUNCTION("IFNA(IFERROR(IF(AH141="""","""",GOOGLEFINANCE(AH141,""change"")*AI141),(GOOGLEFINANCE(AH141)-(INDEX(GOOGLEFINANCE(""CURRENCY:""&amp;AH141&amp;"""",""price"",TODAY()-1),2,2)))*AI141),"""")"),"")</f>
        <v/>
      </c>
      <c r="AO141" s="96" t="str">
        <f>IF(ISBLANK(AH141),"",IFERROR(((AI141-SUMIFS(Transactions!I:I,Transactions!H:H,"Crypto Interest",Transactions!D:D,AH141))*AJ141),""))</f>
        <v/>
      </c>
      <c r="AP141" s="96" t="str">
        <f t="shared" si="16"/>
        <v/>
      </c>
      <c r="AQ141" s="50" t="str">
        <f t="shared" si="17"/>
        <v/>
      </c>
      <c r="AR141" s="96" t="str">
        <f t="shared" si="18"/>
        <v/>
      </c>
      <c r="AS141" s="96" t="str">
        <f>IF(ISBLANK(AH141),"",SUMIFS(Transactions!$X$3:$X149,Transactions!$H$3:$H149,"Sell",Transactions!$D$3:$D149,AH141))</f>
        <v/>
      </c>
      <c r="AT141" s="96" t="str">
        <f t="shared" si="19"/>
        <v/>
      </c>
      <c r="AU141" s="50" t="str">
        <f>IFERROR(__xludf.DUMMYFUNCTION("IF(ISBLANK(AH141),"""",IFERROR((GOOGLEFINANCE(AH141,""price"")/INDEX(GOOGLEFINANCE(AH141,""price"",DATEVALUE(TODAY()-$AU$2) ),2,2)-1),""""))"),"")</f>
        <v/>
      </c>
      <c r="AW141" s="50" t="str">
        <f>IFERROR(__xludf.DUMMYFUNCTION("IF(ISBLANK(AH141),"""",IFERROR((GOOGLEFINANCE($AW$2,""price"")/INDEX(GOOGLEFINANCE($AW$2,""price"",DATEVALUE(TODAY()-$AU$2) ),2,2)-1),""""))"),"")</f>
        <v/>
      </c>
      <c r="AY141" s="50" t="str">
        <f t="shared" si="20"/>
        <v/>
      </c>
      <c r="AZ141" s="50" t="str">
        <f t="shared" si="21"/>
        <v/>
      </c>
      <c r="BA141" s="50" t="str">
        <f t="shared" si="22"/>
        <v/>
      </c>
      <c r="BB141" s="14" t="str">
        <f t="shared" si="23"/>
        <v/>
      </c>
      <c r="BC141" s="14" t="str">
        <f>IF(ISBLANK(AH141),"",IFERROR(VLOOKUP(AH141,Transactions!D:F,3,0)))</f>
        <v/>
      </c>
      <c r="BD141" s="50" t="str">
        <f t="shared" si="24"/>
        <v/>
      </c>
      <c r="BE141" s="50" t="str">
        <f t="shared" si="25"/>
        <v/>
      </c>
      <c r="BF141" s="14" t="str">
        <f t="shared" si="26"/>
        <v/>
      </c>
      <c r="BG141" s="180" t="str">
        <f>IF(ISBLANK(AH141),"",IFERROR(VLOOKUP(AH141,Transactions!D:G,4,0)))</f>
        <v/>
      </c>
    </row>
    <row r="142">
      <c r="A142" s="14" t="str">
        <f t="shared" ref="A142:C142" si="165">AG142</f>
        <v/>
      </c>
      <c r="B142" s="14" t="str">
        <f t="shared" si="165"/>
        <v/>
      </c>
      <c r="C142" s="175" t="str">
        <f t="shared" si="165"/>
        <v/>
      </c>
      <c r="D142" s="176" t="str">
        <f>IFERROR(__xludf.DUMMYFUNCTION("IF(ISBLANK(B142),"""",IFERROR(IF(OR(AF142=""GPB"",AF142=""ZAR""),IF(AF142=Dashboard!$L$1,AJ142,(AJ142*GOOGLEFINANCE(""CURRENCY:""&amp;AF142&amp;""""&amp;Dashboard!$L$1&amp;""""))/100),IF(AF142=Dashboard!$L$1,AJ142,AJ142*GOOGLEFINANCE(""CURRENCY:""&amp;AF142&amp;""""&amp;Dashboard!$L"&amp;"$1&amp;""""))),AJ142))"),"")</f>
        <v/>
      </c>
      <c r="E142" s="177" t="str">
        <f>IFERROR(__xludf.DUMMYFUNCTION("IFERROR(IF(OR(AF142=""GBP"",AF142=""ZAR""),IF(B142="""","""",IF(AF142=Dashboard!$L$1,AK142,AK142*GOOGLEFINANCE(""CURRENCY:""&amp;AF142&amp;""""&amp;Dashboard!$L$1&amp;"""")))/100,If(B142="""","""",IF(AF142=Dashboard!$L$1,AK142,AK142*GOOGLEFINANCE(""CURRENCY:""&amp;AF142&amp;"""""&amp;"&amp;Dashboard!$L$1&amp;"""")))),AK142)"),"")</f>
        <v/>
      </c>
      <c r="F142" s="145" t="str">
        <f t="shared" si="65"/>
        <v/>
      </c>
      <c r="G142" s="96" t="str">
        <f>IFERROR(__xludf.DUMMYFUNCTION("IF(ISBLANK(B142),"""",IFERROR(SPARKLINE(INDEX(GOOGLEFINANCE(B142,""price"",TODAY()-$G$2,TODAY()),,2),{""charttype"",""column"";""color"",""17a7e0""}),""""))"),"")</f>
        <v/>
      </c>
      <c r="H142" s="50" t="str">
        <f t="shared" si="3"/>
        <v/>
      </c>
      <c r="I142" s="96" t="str">
        <f>IFERROR(__xludf.DUMMYFUNCTION("IF(ISBLANK(B142),"""",IFERROR(IF(OR(AF142=""GPB"",AF142=""ZAR""),IF(AF142=Dashboard!$L$1,AN142,(AN142*GOOGLEFINANCE(""CURRENCY:""&amp;AF142&amp;""""&amp;Dashboard!$L$1&amp;""""))/100),IF(AF142=Dashboard!$L$1,AN142,AN142*GOOGLEFINANCE(""CURRENCY:""&amp;AF142&amp;""""&amp;Dashboard!$L"&amp;"$1&amp;""""))),AN142))"),"")</f>
        <v/>
      </c>
      <c r="J142" s="178" t="str">
        <f>IF(ISBLANK(B142),"",IFERROR(((C142-SUMIFS(Transactions!I:I,Transactions!H:H,"Crypto Interest",Transactions!D:D,B142))*D142),""))</f>
        <v/>
      </c>
      <c r="K142" s="178" t="str">
        <f t="shared" si="4"/>
        <v/>
      </c>
      <c r="L142" s="145">
        <f>IF(ISBLANK(AF142),"",SUMIFS(Transactions!$M$3:$M149,Transactions!$H$3:$H149,"Buy",Transactions!$D$3:$D149,AF142))</f>
        <v>0</v>
      </c>
      <c r="M142" s="145">
        <f>IF(ISBLANK(AG142),"",SUMIFS(Transactions!$M$3:$M149,Transactions!$H$3:$H149,"Dividend",Transactions!$D$3:$D149,AG142))</f>
        <v>0</v>
      </c>
      <c r="N142" s="145" t="str">
        <f>IF(ISBLANK(AH142),"",SUMIFS(Transactions!$M$3:$M149,Transactions!$H$3:$H149,"Sell",Transactions!$D$3:$D149,AH142))</f>
        <v/>
      </c>
      <c r="O142" s="50" t="str">
        <f t="shared" si="5"/>
        <v/>
      </c>
      <c r="P142" s="178" t="str">
        <f t="shared" si="6"/>
        <v/>
      </c>
      <c r="Q142" s="178" t="str">
        <f>IFERROR(__xludf.DUMMYFUNCTION("IF(ISBLANK(B142),"""",IFERROR(IF(OR(AF142=""GPB"",AF142=""ZAR""),IF(AF142=Dashboard!$L$1,AS142,(AS142*GOOGLEFINANCE(""CURRENCY:""&amp;AF142&amp;""""&amp;Dashboard!$L$1&amp;""""))/100),IF(AF142=Dashboard!$L$1,AS142,AS142*GOOGLEFINANCE(""CURRENCY:""&amp;AF142&amp;""""&amp;Dashboard!$L"&amp;"$1&amp;""""))),AS142))"),"")</f>
        <v/>
      </c>
      <c r="R142" s="178" t="str">
        <f t="shared" si="7"/>
        <v/>
      </c>
      <c r="S142" s="50" t="str">
        <f>IFERROR(__xludf.DUMMYFUNCTION("IF(ISBLANK(B142),"""",IFERROR((GOOGLEFINANCE(B142,""price"")/INDEX(GOOGLEFINANCE(B142,""price"",DATEVALUE(TODAY()-$S$2) ),2,2)-1),""""))"),"")</f>
        <v/>
      </c>
      <c r="U142" s="50" t="str">
        <f>IFERROR(__xludf.DUMMYFUNCTION("IF(ISBLANK(B142),"""",IFERROR((GOOGLEFINANCE($U$2,""price"")/INDEX(GOOGLEFINANCE($U$2,""price"",DATEVALUE(TODAY()-$S$2) ),2,2)-1),""""))"),"")</f>
        <v/>
      </c>
      <c r="W142" s="50" t="str">
        <f t="shared" si="8"/>
        <v/>
      </c>
      <c r="X142" s="50" t="str">
        <f t="shared" si="9"/>
        <v/>
      </c>
      <c r="Y142" s="50"/>
      <c r="Z142" s="50" t="str">
        <f t="shared" si="10"/>
        <v/>
      </c>
      <c r="AA142" s="14" t="str">
        <f t="shared" si="11"/>
        <v/>
      </c>
      <c r="AB142" s="50" t="str">
        <f t="shared" si="12"/>
        <v/>
      </c>
      <c r="AC142" s="179" t="str">
        <f t="shared" si="13"/>
        <v/>
      </c>
      <c r="AD142" s="50" t="str">
        <f t="shared" si="14"/>
        <v/>
      </c>
      <c r="AE142" s="180" t="str">
        <f t="shared" si="15"/>
        <v/>
      </c>
      <c r="AF142" s="14" t="str">
        <f t="array" ref="AF142">IFERROR(IF(ISBLANK(AH142),"",IF(VLOOKUP(AH142,Transactions!D:F,3,0)="Stablecoin",AH142,INDEX(Transactions!$B$3:$B149,MATCH(AH142,Transactions!$D$3:$D149,0),0))))</f>
        <v/>
      </c>
      <c r="AG142" s="14" t="str">
        <f>IF(ISBLANK(AH142),"",VLOOKUP(AH142,Transactions!D:E,2,0))</f>
        <v/>
      </c>
      <c r="AH142" s="14"/>
      <c r="AI142" s="146" t="str">
        <f>IF(ISBLANK(AH142),"",IF(
SUMIFS(Transactions!$I$3:$I149,Transactions!$H$3:$H149,"Buy",Transactions!$F$3:$F149,"Stock",Transactions!$D$3:$D149,AH142)
+SUMIFS(Transactions!$I$3:$I149,Transactions!$H$3:$H149,"DRIP",Transactions!$F$3:$F149,"Stock",Transactions!$D$3:$D149,AH142)
+SUMIFS(Transactions!$I$3:$I149,Transactions!$H$3:$H149,"Transfer Deposit",Transactions!$F$3:$F149,"Stock",Transactions!$D$3:$D149,AH142)
+SUMIFS(Transactions!$I$3:$I149,Transactions!$H$3:$H149,"Buy",Transactions!$F$3:$F149,"ETF",Transactions!$D$3:$D149,AH142)
+SUMIFS(Transactions!$I$3:$I149,Transactions!$H$3:$H149,"DRIP",Transactions!$F$3:$F149,"ETF",Transactions!$D$3:$D149,AH142)
+SUMIFS(Transactions!$I$3:$I149,Transactions!$H$3:$H149,"Transfer Deposit",Transactions!$F$3:$F149,"ETF",Transactions!$D$3:$D149,AH142)
+SUMIFS(Transactions!$I$3:$I149,Transactions!$H$3:$H149,"Buy",Transactions!$F$3:$F149,"Commodity",Transactions!$D$3:$D149,AH142)
+SUMIFS(Transactions!$I$3:$I149,Transactions!$H$3:$H149,"DRIP",Transactions!$F$3:$F149,"Commodity",Transactions!$D$3:$D149,AH142)
+SUMIFS(Transactions!$I$3:$I149,Transactions!$H$3:$H149,"Transfer Deposit",Transactions!$F$3:$F149,"Commodity",Transactions!$D$3:$D149,AH142)
+SUMIFS(Transactions!$I$3:$I149,Transactions!$H$3:$H149,"Buy",Transactions!$F$3:$F149,"Managed Fund",Transactions!$D$3:$D149,AH142)
+SUMIFS(Transactions!$I$3:$I149,Transactions!$H$3:$H149,"DRIP",Transactions!$F$3:$F149,"Managed Fund",Transactions!$D$3:$D149,AH142)
+SUMIFS(Transactions!$I$3:$I149,Transactions!$H$3:$H149,"Transfer Deposit",Transactions!$F$3:$F149,"Managed Fund",Transactions!$D$3:$D149,AH142)
+SUMIFS(Transactions!$I$3:$I149,Transactions!$H$3:$H149,"Buy",Transactions!$F$3:$F149,"REIT",Transactions!$D$3:$D149,AH142)
+SUMIFS(Transactions!$I$3:$I149,Transactions!$H$3:$H149,"DRIP",Transactions!$F$3:$F149,"REIT",Transactions!$D$3:$D149,AH142)
+SUMIFS(Transactions!$I$3:$I149,Transactions!$H$3:$H149,"Transfer Deposit",Transactions!$F$3:$F149,"REIT",Transactions!$D$3:$D149,AH142)
-SUMIFS(Transactions!$I$3:$I149,Transactions!$H$3:$H149,"Sell",Transactions!$F$3:$F149,"Stock",Transactions!$D$3:$D149,AH142)
-SUMIFS(Transactions!$I$3:$I149,Transactions!$H$3:$H149,"Transfer Send",Transactions!$F$3:$F149,"Stock",Transactions!$D$3:$D149,AH142)
-SUMIFS(Transactions!$I$3:$I149,Transactions!$H$3:$H149,"Sell",Transactions!$F$3:$F149,"ETF",Transactions!$D$3:$D149,AH142)
-SUMIFS(Transactions!$I$3:$I149,Transactions!$H$3:$H149,"Transfer Send",Transactions!$F$3:$F149,"ETF",Transactions!$D$3:$D149,AH142)
-SUMIFS(Transactions!$I$3:$I149,Transactions!$H$3:$H149,"Sell",Transactions!$F$3:$F149,"Commodity",Transactions!$D$3:$D149,AH142)
-SUMIFS(Transactions!$I$3:$I149,Transactions!$H$3:$H149,"Transfer Send",Transactions!$F$3:$F149,"Commodity",Transactions!$D$3:$D149,AH142)
-SUMIFS(Transactions!$I$3:$I149,Transactions!$H$3:$H149,"Sell",Transactions!$F$3:$F149,"Managed Fund",Transactions!$D$3:$D149,AH142)
-SUMIFS(Transactions!$I$3:$I149,Transactions!$H$3:$H149,"Transfer Send",Transactions!$F$3:$F149,"Managed Fund",Transactions!$D$3:$D149,AH142)
-SUMIFS(Transactions!$I$3:$I149,Transactions!$H$3:$H149,"Sell",Transactions!$F$3:$F149,"REIT",Transactions!$D$3:$D149,AH142)
-SUMIFS(Transactions!$I$3:$I149,Transactions!$H$3:$H149,"Transfer Send",Transactions!$F$3:$F149,"REIT",Transactions!$D$3:$D149,AH142)
+SUMIFS(Transactions!$I$3:$I149,Transactions!$H$3:$H149,"Buy",Transactions!$F$3:$F149,"Crypto",Transactions!$D$3:$D149,AH142)
+SUMIFS(Transactions!$I$3:$I149,Transactions!$H$3:$H149,"Crypto Interest",Transactions!$F$3:$F149,"Crypto",Transactions!$D$3:$D149,AH142)
+SUMIFS(Transactions!$I$3:$I149,Transactions!$H$3:$H149,"Transfer Deposit",Transactions!$F$3:$F149,"Crypto",Transactions!$D$3:$D149,AH142)
-SUMIFS(Transactions!$I$3:$I149,Transactions!$H$3:$H149,"Transfer Send",Transactions!$F$3:$F149,"Crypto",Transactions!$D$3:$D149,AH142)
-SUMIFS(Transactions!$I$3:$I149,Transactions!$H$3:$H149,"Sell",Transactions!$F$3:$F149,"Crypto",Transactions!$D$3:$D149,AH142)
+SUMIFS(Transactions!$I$3:$I149,Transactions!$H$3:$H149,"Buy",Transactions!$F$3:$F149,"Stablecoin",Transactions!$D$3:$D149,AH142)
+SUMIFS(Transactions!$I$3:$I149,Transactions!$H$3:$H149,"Crypto Interest",Transactions!$F$3:$F149,"Stablecoin",Transactions!$D$3:$D149,AH142)
+SUMIFS(Transactions!$I$3:$I149,Transactions!$H$3:$H149,"Transfer Deposit",Transactions!$F$3:$F149,"Stablecoin",Transactions!$D$3:$D149,AH142)
-SUMIFS(Transactions!$I$3:$I149,Transactions!$H$3:$H149,"Transfer Send",Transactions!$F$3:$F149,"Stablecoin",Transactions!$D$3:$D149,AH142)
-SUMIFS(Transactions!$I$3:$I149,Transactions!$H$3:$H149,"Sell",Transactions!$F$3:$F149,"Stablecoin",Transactions!$D$3:$D149,AH142)
-SUMIFS(Transactions!$M$3:$M149,Transactions!$H$3:$H149,"Buy",Transactions!$B$3:$B149,AH142)=0,"Sold All",
SUMIFS(Transactions!$I$3:$I149,Transactions!$H$3:$H149,"Buy",Transactions!$F$3:$F149,"Stock",Transactions!$D$3:$D149,AH142)
+SUMIFS(Transactions!$I$3:$I149,Transactions!$H$3:$H149,"DRIP",Transactions!$F$3:$F149,"Stock",Transactions!$D$3:$D149,AH142)
+SUMIFS(Transactions!$I$3:$I149,Transactions!$H$3:$H149,"Transfer Deposit",Transactions!$F$3:$F149,"Stock",Transactions!$D$3:$D149,AH142)
+SUMIFS(Transactions!$I$3:$I149,Transactions!$H$3:$H149,"Buy",Transactions!$F$3:$F149,"ETF",Transactions!$D$3:$D149,AH142)
+SUMIFS(Transactions!$I$3:$I149,Transactions!$H$3:$H149,"DRIP",Transactions!$F$3:$F149,"ETF",Transactions!$D$3:$D149,AH142)
+SUMIFS(Transactions!$I$3:$I149,Transactions!$H$3:$H149,"Transfer Deposit",Transactions!$F$3:$F149,"ETF",Transactions!$D$3:$D149,AH142)
+SUMIFS(Transactions!$I$3:$I149,Transactions!$H$3:$H149,"Buy",Transactions!$F$3:$F149,"Commodity",Transactions!$D$3:$D149,AH142)
+SUMIFS(Transactions!$I$3:$I149,Transactions!$H$3:$H149,"DRIP",Transactions!$F$3:$F149,"Commodity",Transactions!$D$3:$D149,AH142)
+SUMIFS(Transactions!$I$3:$I149,Transactions!$H$3:$H149,"Transfer Deposit",Transactions!$F$3:$F149,"Commodity",Transactions!$D$3:$D149,AH142)
+SUMIFS(Transactions!$I$3:$I149,Transactions!$H$3:$H149,"Buy",Transactions!$F$3:$F149,"Managed Fund",Transactions!$D$3:$D149,AH142)
+SUMIFS(Transactions!$I$3:$I149,Transactions!$H$3:$H149,"DRIP",Transactions!$F$3:$F149,"Managed Fund",Transactions!$D$3:$D149,AH142)
+SUMIFS(Transactions!$I$3:$I149,Transactions!$H$3:$H149,"Transfer Deposit",Transactions!$F$3:$F149,"Managed Fund",Transactions!$D$3:$D149,AH142)
+SUMIFS(Transactions!$I$3:$I149,Transactions!$H$3:$H149,"Buy",Transactions!$F$3:$F149,"REIT",Transactions!$D$3:$D149,AH142)
+SUMIFS(Transactions!$I$3:$I149,Transactions!$H$3:$H149,"DRIP",Transactions!$F$3:$F149,"REIT",Transactions!$D$3:$D149,AH142)
+SUMIFS(Transactions!$I$3:$I149,Transactions!$H$3:$H149,"Transfer Deposit",Transactions!$F$3:$F149,"REIT",Transactions!$D$3:$D149,AH142)
-SUMIFS(Transactions!$I$3:$I149,Transactions!$H$3:$H149,"Sell",Transactions!$F$3:$F149,"Stock",Transactions!$D$3:$D149,AH142)
-SUMIFS(Transactions!$I$3:$I149,Transactions!$H$3:$H149,"Transfer Send",Transactions!$F$3:$F149,"Stock",Transactions!$D$3:$D149,AH142)
-SUMIFS(Transactions!$I$3:$I149,Transactions!$H$3:$H149,"Sell",Transactions!$F$3:$F149,"ETF",Transactions!$D$3:$D149,AH142)
-SUMIFS(Transactions!$I$3:$I149,Transactions!$H$3:$H149,"Transfer Send",Transactions!$F$3:$F149,"ETF",Transactions!$D$3:$D149,AH142)
-SUMIFS(Transactions!$I$3:$I149,Transactions!$H$3:$H149,"Sell",Transactions!$F$3:$F149,"Commodity",Transactions!$D$3:$D149,AH142)
-SUMIFS(Transactions!$I$3:$I149,Transactions!$H$3:$H149,"Transfer Send",Transactions!$F$3:$F149,"Commodity",Transactions!$D$3:$D149,AH142)
-SUMIFS(Transactions!$I$3:$I149,Transactions!$H$3:$H149,"Sell",Transactions!$F$3:$F149,"Managed Fund",Transactions!$D$3:$D149,AH142)
-SUMIFS(Transactions!$I$3:$I149,Transactions!$H$3:$H149,"Transfer Send",Transactions!$F$3:$F149,"Managed Fund",Transactions!$D$3:$D149,AH142)
-SUMIFS(Transactions!$I$3:$I149,Transactions!$H$3:$H149,"Sell",Transactions!$F$3:$F149,"REIT",Transactions!$D$3:$D149,AH142)
-SUMIFS(Transactions!$I$3:$I149,Transactions!$H$3:$H149,"Transfer Send",Transactions!$F$3:$F149,"REIT",Transactions!$D$3:$D149,AH142)
+SUMIFS(Transactions!$I$3:$I149,Transactions!$H$3:$H149,"Buy",Transactions!$F$3:$F149,"Crypto",Transactions!$D$3:$D149,AH142)
+SUMIFS(Transactions!$I$3:$I149,Transactions!$H$3:$H149,"Crypto Interest",Transactions!$F$3:$F149,"Crypto",Transactions!$D$3:$D149,AH142)
+SUMIFS(Transactions!$I$3:$I149,Transactions!$H$3:$H149,"Transfer Deposit",Transactions!$F$3:$F149,"Crypto",Transactions!$D$3:$D149,AH142)
-SUMIFS(Transactions!$I$3:$I149,Transactions!$H$3:$H149,"Transfer Send",Transactions!$F$3:$F149,"Crypto",Transactions!$D$3:$D149,AH142)
-SUMIFS(Transactions!$I$3:$I149,Transactions!$H$3:$H149,"Sell",Transactions!$F$3:$F149,"Crypto",Transactions!$D$3:$D149,AH142)
+SUMIFS(Transactions!$I$3:$I149,Transactions!$H$3:$H149,"Buy",Transactions!$F$3:$F149,"Stablecoin",Transactions!$D$3:$D149,AH142)
+SUMIFS(Transactions!$I$3:$I149,Transactions!$H$3:$H149,"Crypto Interest",Transactions!$F$3:$F149,"Stablecoin",Transactions!$D$3:$D149,AH142)
+SUMIFS(Transactions!$I$3:$I149,Transactions!$H$3:$H149,"Transfer Deposit",Transactions!$F$3:$F149,"Stablecoin",Transactions!$D$3:$D149,AH142)
-SUMIFS(Transactions!$I$3:$I149,Transactions!$H$3:$H149,"Transfer Send",Transactions!$F$3:$F149,"Stablecoin",Transactions!$D$3:$D149,AH142)
-SUMIFS(Transactions!$I$3:$I149,Transactions!$H$3:$H149,"Sell",Transactions!$F$3:$F149,"Stablecoin",Transactions!$D$3:$D149,AH142)
-SUMIFS(Transactions!$M$3:$M149,Transactions!$H$3:$H149,"Buy",Transactions!$B$3:$B149,AH142)))</f>
        <v/>
      </c>
      <c r="AJ142" s="181" t="str">
        <f>IFERROR(__xludf.DUMMYFUNCTION("IF(ISBLANK(AH142),"""",VLOOKUP(9^99,FILTER({ROW(Transactions!P:P),Transactions!P:P},Transactions!D:D=AH142),2))"),"")</f>
        <v/>
      </c>
      <c r="AK142" s="181" t="str">
        <f>IFERROR(__xludf.DUMMYFUNCTION("IF(ISBLANK(AH142),"""",IFERROR(GOOGLEFINANCE(AH142,""price""),IFERROR(GOOGLEFINANCE(""CURRENCY:""&amp;AH142&amp;""""),IFERROR(INDEX(YAHOO_STOCK(TRIM(AH142), $G$2),0,1),INDEX(IMPORTHTML(CONCAT(""https://coinmarketcap.com/currencies/"",AG142),""table"",1),1,2)))))"),"")</f>
        <v/>
      </c>
      <c r="AL142" s="14" t="str">
        <f>IFERROR(__xludf.DUMMYFUNCTION("IF(ISBLANK(AH142),"""",IFERROR(SPARKLINE(INDEX(GOOGLEFINANCE(AH142,""price"",TODAY()-$AL$2,TODAY()),,2),{""charttype"",""column"";""color"",""17a7e0""}),""""))"),"")</f>
        <v/>
      </c>
      <c r="AM142" s="50" t="str">
        <f>IFERROR(__xludf.DUMMYFUNCTION("IFNA(IFERROR(IF(AH142="""","""",GOOGLEFINANCE(AH142,""changepct"")/100),(GOOGLEFINANCE(AH142)-(INDEX(GOOGLEFINANCE(""CURRENCY:""&amp;AH142&amp;"""",""price"",TODAY()-1),2,2)))/(INDEX(GOOGLEFINANCE(""CURRENCY:""&amp;AH142&amp;"""",""price"",TODAY()-1),2,2))),)"),"")</f>
        <v/>
      </c>
      <c r="AN142" s="96" t="str">
        <f>IFERROR(__xludf.DUMMYFUNCTION("IFNA(IFERROR(IF(AH142="""","""",GOOGLEFINANCE(AH142,""change"")*AI142),(GOOGLEFINANCE(AH142)-(INDEX(GOOGLEFINANCE(""CURRENCY:""&amp;AH142&amp;"""",""price"",TODAY()-1),2,2)))*AI142),"""")"),"")</f>
        <v/>
      </c>
      <c r="AO142" s="96" t="str">
        <f>IF(ISBLANK(AH142),"",IFERROR(((AI142-SUMIFS(Transactions!I:I,Transactions!H:H,"Crypto Interest",Transactions!D:D,AH142))*AJ142),""))</f>
        <v/>
      </c>
      <c r="AP142" s="96" t="str">
        <f t="shared" si="16"/>
        <v/>
      </c>
      <c r="AQ142" s="50" t="str">
        <f t="shared" si="17"/>
        <v/>
      </c>
      <c r="AR142" s="96" t="str">
        <f t="shared" si="18"/>
        <v/>
      </c>
      <c r="AS142" s="96" t="str">
        <f>IF(ISBLANK(AH142),"",SUMIFS(Transactions!$X$3:$X149,Transactions!$H$3:$H149,"Sell",Transactions!$D$3:$D149,AH142))</f>
        <v/>
      </c>
      <c r="AT142" s="96" t="str">
        <f t="shared" si="19"/>
        <v/>
      </c>
      <c r="AU142" s="50" t="str">
        <f>IFERROR(__xludf.DUMMYFUNCTION("IF(ISBLANK(AH142),"""",IFERROR((GOOGLEFINANCE(AH142,""price"")/INDEX(GOOGLEFINANCE(AH142,""price"",DATEVALUE(TODAY()-$AU$2) ),2,2)-1),""""))"),"")</f>
        <v/>
      </c>
      <c r="AW142" s="50" t="str">
        <f>IFERROR(__xludf.DUMMYFUNCTION("IF(ISBLANK(AH142),"""",IFERROR((GOOGLEFINANCE($AW$2,""price"")/INDEX(GOOGLEFINANCE($AW$2,""price"",DATEVALUE(TODAY()-$AU$2) ),2,2)-1),""""))"),"")</f>
        <v/>
      </c>
      <c r="AY142" s="50" t="str">
        <f t="shared" si="20"/>
        <v/>
      </c>
      <c r="AZ142" s="50" t="str">
        <f t="shared" si="21"/>
        <v/>
      </c>
      <c r="BA142" s="50" t="str">
        <f t="shared" si="22"/>
        <v/>
      </c>
      <c r="BB142" s="14" t="str">
        <f t="shared" si="23"/>
        <v/>
      </c>
      <c r="BC142" s="14" t="str">
        <f>IF(ISBLANK(AH142),"",IFERROR(VLOOKUP(AH142,Transactions!D:F,3,0)))</f>
        <v/>
      </c>
      <c r="BD142" s="50" t="str">
        <f t="shared" si="24"/>
        <v/>
      </c>
      <c r="BE142" s="50" t="str">
        <f t="shared" si="25"/>
        <v/>
      </c>
      <c r="BF142" s="14" t="str">
        <f t="shared" si="26"/>
        <v/>
      </c>
      <c r="BG142" s="180" t="str">
        <f>IF(ISBLANK(AH142),"",IFERROR(VLOOKUP(AH142,Transactions!D:G,4,0)))</f>
        <v/>
      </c>
    </row>
    <row r="143">
      <c r="A143" s="14" t="str">
        <f t="shared" ref="A143:C143" si="166">AG143</f>
        <v/>
      </c>
      <c r="B143" s="14" t="str">
        <f t="shared" si="166"/>
        <v/>
      </c>
      <c r="C143" s="175" t="str">
        <f t="shared" si="166"/>
        <v/>
      </c>
      <c r="D143" s="176" t="str">
        <f>IFERROR(__xludf.DUMMYFUNCTION("IF(ISBLANK(B143),"""",IFERROR(IF(OR(AF143=""GPB"",AF143=""ZAR""),IF(AF143=Dashboard!$L$1,AJ143,(AJ143*GOOGLEFINANCE(""CURRENCY:""&amp;AF143&amp;""""&amp;Dashboard!$L$1&amp;""""))/100),IF(AF143=Dashboard!$L$1,AJ143,AJ143*GOOGLEFINANCE(""CURRENCY:""&amp;AF143&amp;""""&amp;Dashboard!$L"&amp;"$1&amp;""""))),AJ143))"),"")</f>
        <v/>
      </c>
      <c r="E143" s="177" t="str">
        <f>IFERROR(__xludf.DUMMYFUNCTION("IFERROR(IF(OR(AF143=""GBP"",AF143=""ZAR""),IF(B143="""","""",IF(AF143=Dashboard!$L$1,AK143,AK143*GOOGLEFINANCE(""CURRENCY:""&amp;AF143&amp;""""&amp;Dashboard!$L$1&amp;"""")))/100,If(B143="""","""",IF(AF143=Dashboard!$L$1,AK143,AK143*GOOGLEFINANCE(""CURRENCY:""&amp;AF143&amp;"""""&amp;"&amp;Dashboard!$L$1&amp;"""")))),AK143)"),"")</f>
        <v/>
      </c>
      <c r="F143" s="145" t="str">
        <f t="shared" si="65"/>
        <v/>
      </c>
      <c r="G143" s="96" t="str">
        <f>IFERROR(__xludf.DUMMYFUNCTION("IF(ISBLANK(B143),"""",IFERROR(SPARKLINE(INDEX(GOOGLEFINANCE(B143,""price"",TODAY()-$G$2,TODAY()),,2),{""charttype"",""column"";""color"",""17a7e0""}),""""))"),"")</f>
        <v/>
      </c>
      <c r="H143" s="50" t="str">
        <f t="shared" si="3"/>
        <v/>
      </c>
      <c r="I143" s="96" t="str">
        <f>IFERROR(__xludf.DUMMYFUNCTION("IF(ISBLANK(B143),"""",IFERROR(IF(OR(AF143=""GPB"",AF143=""ZAR""),IF(AF143=Dashboard!$L$1,AN143,(AN143*GOOGLEFINANCE(""CURRENCY:""&amp;AF143&amp;""""&amp;Dashboard!$L$1&amp;""""))/100),IF(AF143=Dashboard!$L$1,AN143,AN143*GOOGLEFINANCE(""CURRENCY:""&amp;AF143&amp;""""&amp;Dashboard!$L"&amp;"$1&amp;""""))),AN143))"),"")</f>
        <v/>
      </c>
      <c r="J143" s="178" t="str">
        <f>IF(ISBLANK(B143),"",IFERROR(((C143-SUMIFS(Transactions!I:I,Transactions!H:H,"Crypto Interest",Transactions!D:D,B143))*D143),""))</f>
        <v/>
      </c>
      <c r="K143" s="178" t="str">
        <f t="shared" si="4"/>
        <v/>
      </c>
      <c r="L143" s="145">
        <f>IF(ISBLANK(AF143),"",SUMIFS(Transactions!$M$3:$M149,Transactions!$H$3:$H149,"Buy",Transactions!$D$3:$D149,AF143))</f>
        <v>0</v>
      </c>
      <c r="M143" s="145">
        <f>IF(ISBLANK(AG143),"",SUMIFS(Transactions!$M$3:$M149,Transactions!$H$3:$H149,"Dividend",Transactions!$D$3:$D149,AG143))</f>
        <v>0</v>
      </c>
      <c r="N143" s="145" t="str">
        <f>IF(ISBLANK(AH143),"",SUMIFS(Transactions!$M$3:$M149,Transactions!$H$3:$H149,"Sell",Transactions!$D$3:$D149,AH143))</f>
        <v/>
      </c>
      <c r="O143" s="50" t="str">
        <f t="shared" si="5"/>
        <v/>
      </c>
      <c r="P143" s="178" t="str">
        <f t="shared" si="6"/>
        <v/>
      </c>
      <c r="Q143" s="178" t="str">
        <f>IFERROR(__xludf.DUMMYFUNCTION("IF(ISBLANK(B143),"""",IFERROR(IF(OR(AF143=""GPB"",AF143=""ZAR""),IF(AF143=Dashboard!$L$1,AS143,(AS143*GOOGLEFINANCE(""CURRENCY:""&amp;AF143&amp;""""&amp;Dashboard!$L$1&amp;""""))/100),IF(AF143=Dashboard!$L$1,AS143,AS143*GOOGLEFINANCE(""CURRENCY:""&amp;AF143&amp;""""&amp;Dashboard!$L"&amp;"$1&amp;""""))),AS143))"),"")</f>
        <v/>
      </c>
      <c r="R143" s="178" t="str">
        <f t="shared" si="7"/>
        <v/>
      </c>
      <c r="S143" s="50" t="str">
        <f>IFERROR(__xludf.DUMMYFUNCTION("IF(ISBLANK(B143),"""",IFERROR((GOOGLEFINANCE(B143,""price"")/INDEX(GOOGLEFINANCE(B143,""price"",DATEVALUE(TODAY()-$S$2) ),2,2)-1),""""))"),"")</f>
        <v/>
      </c>
      <c r="U143" s="50" t="str">
        <f>IFERROR(__xludf.DUMMYFUNCTION("IF(ISBLANK(B143),"""",IFERROR((GOOGLEFINANCE($U$2,""price"")/INDEX(GOOGLEFINANCE($U$2,""price"",DATEVALUE(TODAY()-$S$2) ),2,2)-1),""""))"),"")</f>
        <v/>
      </c>
      <c r="W143" s="50" t="str">
        <f t="shared" si="8"/>
        <v/>
      </c>
      <c r="X143" s="50" t="str">
        <f t="shared" si="9"/>
        <v/>
      </c>
      <c r="Y143" s="50"/>
      <c r="Z143" s="50" t="str">
        <f t="shared" si="10"/>
        <v/>
      </c>
      <c r="AA143" s="14" t="str">
        <f t="shared" si="11"/>
        <v/>
      </c>
      <c r="AB143" s="50" t="str">
        <f t="shared" si="12"/>
        <v/>
      </c>
      <c r="AC143" s="179" t="str">
        <f t="shared" si="13"/>
        <v/>
      </c>
      <c r="AD143" s="50" t="str">
        <f t="shared" si="14"/>
        <v/>
      </c>
      <c r="AE143" s="180" t="str">
        <f t="shared" si="15"/>
        <v/>
      </c>
      <c r="AF143" s="14" t="str">
        <f t="array" ref="AF143">IFERROR(IF(ISBLANK(AH143),"",IF(VLOOKUP(AH143,Transactions!D:F,3,0)="Stablecoin",AH143,INDEX(Transactions!$B$3:$B149,MATCH(AH143,Transactions!$D$3:$D149,0),0))))</f>
        <v/>
      </c>
      <c r="AG143" s="14" t="str">
        <f>IF(ISBLANK(AH143),"",VLOOKUP(AH143,Transactions!D:E,2,0))</f>
        <v/>
      </c>
      <c r="AH143" s="14"/>
      <c r="AI143" s="146" t="str">
        <f>IF(ISBLANK(AH143),"",IF(
SUMIFS(Transactions!$I$3:$I149,Transactions!$H$3:$H149,"Buy",Transactions!$F$3:$F149,"Stock",Transactions!$D$3:$D149,AH143)
+SUMIFS(Transactions!$I$3:$I149,Transactions!$H$3:$H149,"DRIP",Transactions!$F$3:$F149,"Stock",Transactions!$D$3:$D149,AH143)
+SUMIFS(Transactions!$I$3:$I149,Transactions!$H$3:$H149,"Transfer Deposit",Transactions!$F$3:$F149,"Stock",Transactions!$D$3:$D149,AH143)
+SUMIFS(Transactions!$I$3:$I149,Transactions!$H$3:$H149,"Buy",Transactions!$F$3:$F149,"ETF",Transactions!$D$3:$D149,AH143)
+SUMIFS(Transactions!$I$3:$I149,Transactions!$H$3:$H149,"DRIP",Transactions!$F$3:$F149,"ETF",Transactions!$D$3:$D149,AH143)
+SUMIFS(Transactions!$I$3:$I149,Transactions!$H$3:$H149,"Transfer Deposit",Transactions!$F$3:$F149,"ETF",Transactions!$D$3:$D149,AH143)
+SUMIFS(Transactions!$I$3:$I149,Transactions!$H$3:$H149,"Buy",Transactions!$F$3:$F149,"Commodity",Transactions!$D$3:$D149,AH143)
+SUMIFS(Transactions!$I$3:$I149,Transactions!$H$3:$H149,"DRIP",Transactions!$F$3:$F149,"Commodity",Transactions!$D$3:$D149,AH143)
+SUMIFS(Transactions!$I$3:$I149,Transactions!$H$3:$H149,"Transfer Deposit",Transactions!$F$3:$F149,"Commodity",Transactions!$D$3:$D149,AH143)
+SUMIFS(Transactions!$I$3:$I149,Transactions!$H$3:$H149,"Buy",Transactions!$F$3:$F149,"Managed Fund",Transactions!$D$3:$D149,AH143)
+SUMIFS(Transactions!$I$3:$I149,Transactions!$H$3:$H149,"DRIP",Transactions!$F$3:$F149,"Managed Fund",Transactions!$D$3:$D149,AH143)
+SUMIFS(Transactions!$I$3:$I149,Transactions!$H$3:$H149,"Transfer Deposit",Transactions!$F$3:$F149,"Managed Fund",Transactions!$D$3:$D149,AH143)
+SUMIFS(Transactions!$I$3:$I149,Transactions!$H$3:$H149,"Buy",Transactions!$F$3:$F149,"REIT",Transactions!$D$3:$D149,AH143)
+SUMIFS(Transactions!$I$3:$I149,Transactions!$H$3:$H149,"DRIP",Transactions!$F$3:$F149,"REIT",Transactions!$D$3:$D149,AH143)
+SUMIFS(Transactions!$I$3:$I149,Transactions!$H$3:$H149,"Transfer Deposit",Transactions!$F$3:$F149,"REIT",Transactions!$D$3:$D149,AH143)
-SUMIFS(Transactions!$I$3:$I149,Transactions!$H$3:$H149,"Sell",Transactions!$F$3:$F149,"Stock",Transactions!$D$3:$D149,AH143)
-SUMIFS(Transactions!$I$3:$I149,Transactions!$H$3:$H149,"Transfer Send",Transactions!$F$3:$F149,"Stock",Transactions!$D$3:$D149,AH143)
-SUMIFS(Transactions!$I$3:$I149,Transactions!$H$3:$H149,"Sell",Transactions!$F$3:$F149,"ETF",Transactions!$D$3:$D149,AH143)
-SUMIFS(Transactions!$I$3:$I149,Transactions!$H$3:$H149,"Transfer Send",Transactions!$F$3:$F149,"ETF",Transactions!$D$3:$D149,AH143)
-SUMIFS(Transactions!$I$3:$I149,Transactions!$H$3:$H149,"Sell",Transactions!$F$3:$F149,"Commodity",Transactions!$D$3:$D149,AH143)
-SUMIFS(Transactions!$I$3:$I149,Transactions!$H$3:$H149,"Transfer Send",Transactions!$F$3:$F149,"Commodity",Transactions!$D$3:$D149,AH143)
-SUMIFS(Transactions!$I$3:$I149,Transactions!$H$3:$H149,"Sell",Transactions!$F$3:$F149,"Managed Fund",Transactions!$D$3:$D149,AH143)
-SUMIFS(Transactions!$I$3:$I149,Transactions!$H$3:$H149,"Transfer Send",Transactions!$F$3:$F149,"Managed Fund",Transactions!$D$3:$D149,AH143)
-SUMIFS(Transactions!$I$3:$I149,Transactions!$H$3:$H149,"Sell",Transactions!$F$3:$F149,"REIT",Transactions!$D$3:$D149,AH143)
-SUMIFS(Transactions!$I$3:$I149,Transactions!$H$3:$H149,"Transfer Send",Transactions!$F$3:$F149,"REIT",Transactions!$D$3:$D149,AH143)
+SUMIFS(Transactions!$I$3:$I149,Transactions!$H$3:$H149,"Buy",Transactions!$F$3:$F149,"Crypto",Transactions!$D$3:$D149,AH143)
+SUMIFS(Transactions!$I$3:$I149,Transactions!$H$3:$H149,"Crypto Interest",Transactions!$F$3:$F149,"Crypto",Transactions!$D$3:$D149,AH143)
+SUMIFS(Transactions!$I$3:$I149,Transactions!$H$3:$H149,"Transfer Deposit",Transactions!$F$3:$F149,"Crypto",Transactions!$D$3:$D149,AH143)
-SUMIFS(Transactions!$I$3:$I149,Transactions!$H$3:$H149,"Transfer Send",Transactions!$F$3:$F149,"Crypto",Transactions!$D$3:$D149,AH143)
-SUMIFS(Transactions!$I$3:$I149,Transactions!$H$3:$H149,"Sell",Transactions!$F$3:$F149,"Crypto",Transactions!$D$3:$D149,AH143)
+SUMIFS(Transactions!$I$3:$I149,Transactions!$H$3:$H149,"Buy",Transactions!$F$3:$F149,"Stablecoin",Transactions!$D$3:$D149,AH143)
+SUMIFS(Transactions!$I$3:$I149,Transactions!$H$3:$H149,"Crypto Interest",Transactions!$F$3:$F149,"Stablecoin",Transactions!$D$3:$D149,AH143)
+SUMIFS(Transactions!$I$3:$I149,Transactions!$H$3:$H149,"Transfer Deposit",Transactions!$F$3:$F149,"Stablecoin",Transactions!$D$3:$D149,AH143)
-SUMIFS(Transactions!$I$3:$I149,Transactions!$H$3:$H149,"Transfer Send",Transactions!$F$3:$F149,"Stablecoin",Transactions!$D$3:$D149,AH143)
-SUMIFS(Transactions!$I$3:$I149,Transactions!$H$3:$H149,"Sell",Transactions!$F$3:$F149,"Stablecoin",Transactions!$D$3:$D149,AH143)
-SUMIFS(Transactions!$M$3:$M149,Transactions!$H$3:$H149,"Buy",Transactions!$B$3:$B149,AH143)=0,"Sold All",
SUMIFS(Transactions!$I$3:$I149,Transactions!$H$3:$H149,"Buy",Transactions!$F$3:$F149,"Stock",Transactions!$D$3:$D149,AH143)
+SUMIFS(Transactions!$I$3:$I149,Transactions!$H$3:$H149,"DRIP",Transactions!$F$3:$F149,"Stock",Transactions!$D$3:$D149,AH143)
+SUMIFS(Transactions!$I$3:$I149,Transactions!$H$3:$H149,"Transfer Deposit",Transactions!$F$3:$F149,"Stock",Transactions!$D$3:$D149,AH143)
+SUMIFS(Transactions!$I$3:$I149,Transactions!$H$3:$H149,"Buy",Transactions!$F$3:$F149,"ETF",Transactions!$D$3:$D149,AH143)
+SUMIFS(Transactions!$I$3:$I149,Transactions!$H$3:$H149,"DRIP",Transactions!$F$3:$F149,"ETF",Transactions!$D$3:$D149,AH143)
+SUMIFS(Transactions!$I$3:$I149,Transactions!$H$3:$H149,"Transfer Deposit",Transactions!$F$3:$F149,"ETF",Transactions!$D$3:$D149,AH143)
+SUMIFS(Transactions!$I$3:$I149,Transactions!$H$3:$H149,"Buy",Transactions!$F$3:$F149,"Commodity",Transactions!$D$3:$D149,AH143)
+SUMIFS(Transactions!$I$3:$I149,Transactions!$H$3:$H149,"DRIP",Transactions!$F$3:$F149,"Commodity",Transactions!$D$3:$D149,AH143)
+SUMIFS(Transactions!$I$3:$I149,Transactions!$H$3:$H149,"Transfer Deposit",Transactions!$F$3:$F149,"Commodity",Transactions!$D$3:$D149,AH143)
+SUMIFS(Transactions!$I$3:$I149,Transactions!$H$3:$H149,"Buy",Transactions!$F$3:$F149,"Managed Fund",Transactions!$D$3:$D149,AH143)
+SUMIFS(Transactions!$I$3:$I149,Transactions!$H$3:$H149,"DRIP",Transactions!$F$3:$F149,"Managed Fund",Transactions!$D$3:$D149,AH143)
+SUMIFS(Transactions!$I$3:$I149,Transactions!$H$3:$H149,"Transfer Deposit",Transactions!$F$3:$F149,"Managed Fund",Transactions!$D$3:$D149,AH143)
+SUMIFS(Transactions!$I$3:$I149,Transactions!$H$3:$H149,"Buy",Transactions!$F$3:$F149,"REIT",Transactions!$D$3:$D149,AH143)
+SUMIFS(Transactions!$I$3:$I149,Transactions!$H$3:$H149,"DRIP",Transactions!$F$3:$F149,"REIT",Transactions!$D$3:$D149,AH143)
+SUMIFS(Transactions!$I$3:$I149,Transactions!$H$3:$H149,"Transfer Deposit",Transactions!$F$3:$F149,"REIT",Transactions!$D$3:$D149,AH143)
-SUMIFS(Transactions!$I$3:$I149,Transactions!$H$3:$H149,"Sell",Transactions!$F$3:$F149,"Stock",Transactions!$D$3:$D149,AH143)
-SUMIFS(Transactions!$I$3:$I149,Transactions!$H$3:$H149,"Transfer Send",Transactions!$F$3:$F149,"Stock",Transactions!$D$3:$D149,AH143)
-SUMIFS(Transactions!$I$3:$I149,Transactions!$H$3:$H149,"Sell",Transactions!$F$3:$F149,"ETF",Transactions!$D$3:$D149,AH143)
-SUMIFS(Transactions!$I$3:$I149,Transactions!$H$3:$H149,"Transfer Send",Transactions!$F$3:$F149,"ETF",Transactions!$D$3:$D149,AH143)
-SUMIFS(Transactions!$I$3:$I149,Transactions!$H$3:$H149,"Sell",Transactions!$F$3:$F149,"Commodity",Transactions!$D$3:$D149,AH143)
-SUMIFS(Transactions!$I$3:$I149,Transactions!$H$3:$H149,"Transfer Send",Transactions!$F$3:$F149,"Commodity",Transactions!$D$3:$D149,AH143)
-SUMIFS(Transactions!$I$3:$I149,Transactions!$H$3:$H149,"Sell",Transactions!$F$3:$F149,"Managed Fund",Transactions!$D$3:$D149,AH143)
-SUMIFS(Transactions!$I$3:$I149,Transactions!$H$3:$H149,"Transfer Send",Transactions!$F$3:$F149,"Managed Fund",Transactions!$D$3:$D149,AH143)
-SUMIFS(Transactions!$I$3:$I149,Transactions!$H$3:$H149,"Sell",Transactions!$F$3:$F149,"REIT",Transactions!$D$3:$D149,AH143)
-SUMIFS(Transactions!$I$3:$I149,Transactions!$H$3:$H149,"Transfer Send",Transactions!$F$3:$F149,"REIT",Transactions!$D$3:$D149,AH143)
+SUMIFS(Transactions!$I$3:$I149,Transactions!$H$3:$H149,"Buy",Transactions!$F$3:$F149,"Crypto",Transactions!$D$3:$D149,AH143)
+SUMIFS(Transactions!$I$3:$I149,Transactions!$H$3:$H149,"Crypto Interest",Transactions!$F$3:$F149,"Crypto",Transactions!$D$3:$D149,AH143)
+SUMIFS(Transactions!$I$3:$I149,Transactions!$H$3:$H149,"Transfer Deposit",Transactions!$F$3:$F149,"Crypto",Transactions!$D$3:$D149,AH143)
-SUMIFS(Transactions!$I$3:$I149,Transactions!$H$3:$H149,"Transfer Send",Transactions!$F$3:$F149,"Crypto",Transactions!$D$3:$D149,AH143)
-SUMIFS(Transactions!$I$3:$I149,Transactions!$H$3:$H149,"Sell",Transactions!$F$3:$F149,"Crypto",Transactions!$D$3:$D149,AH143)
+SUMIFS(Transactions!$I$3:$I149,Transactions!$H$3:$H149,"Buy",Transactions!$F$3:$F149,"Stablecoin",Transactions!$D$3:$D149,AH143)
+SUMIFS(Transactions!$I$3:$I149,Transactions!$H$3:$H149,"Crypto Interest",Transactions!$F$3:$F149,"Stablecoin",Transactions!$D$3:$D149,AH143)
+SUMIFS(Transactions!$I$3:$I149,Transactions!$H$3:$H149,"Transfer Deposit",Transactions!$F$3:$F149,"Stablecoin",Transactions!$D$3:$D149,AH143)
-SUMIFS(Transactions!$I$3:$I149,Transactions!$H$3:$H149,"Transfer Send",Transactions!$F$3:$F149,"Stablecoin",Transactions!$D$3:$D149,AH143)
-SUMIFS(Transactions!$I$3:$I149,Transactions!$H$3:$H149,"Sell",Transactions!$F$3:$F149,"Stablecoin",Transactions!$D$3:$D149,AH143)
-SUMIFS(Transactions!$M$3:$M149,Transactions!$H$3:$H149,"Buy",Transactions!$B$3:$B149,AH143)))</f>
        <v/>
      </c>
      <c r="AJ143" s="181" t="str">
        <f>IFERROR(__xludf.DUMMYFUNCTION("IF(ISBLANK(AH143),"""",VLOOKUP(9^99,FILTER({ROW(Transactions!P:P),Transactions!P:P},Transactions!D:D=AH143),2))"),"")</f>
        <v/>
      </c>
      <c r="AK143" s="181" t="str">
        <f>IFERROR(__xludf.DUMMYFUNCTION("IF(ISBLANK(AH143),"""",IFERROR(GOOGLEFINANCE(AH143,""price""),IFERROR(GOOGLEFINANCE(""CURRENCY:""&amp;AH143&amp;""""),IFERROR(INDEX(YAHOO_STOCK(TRIM(AH143), $G$2),0,1),INDEX(IMPORTHTML(CONCAT(""https://coinmarketcap.com/currencies/"",AG143),""table"",1),1,2)))))"),"")</f>
        <v/>
      </c>
      <c r="AL143" s="14" t="str">
        <f>IFERROR(__xludf.DUMMYFUNCTION("IF(ISBLANK(AH143),"""",IFERROR(SPARKLINE(INDEX(GOOGLEFINANCE(AH143,""price"",TODAY()-$AL$2,TODAY()),,2),{""charttype"",""column"";""color"",""17a7e0""}),""""))"),"")</f>
        <v/>
      </c>
      <c r="AM143" s="50" t="str">
        <f>IFERROR(__xludf.DUMMYFUNCTION("IFNA(IFERROR(IF(AH143="""","""",GOOGLEFINANCE(AH143,""changepct"")/100),(GOOGLEFINANCE(AH143)-(INDEX(GOOGLEFINANCE(""CURRENCY:""&amp;AH143&amp;"""",""price"",TODAY()-1),2,2)))/(INDEX(GOOGLEFINANCE(""CURRENCY:""&amp;AH143&amp;"""",""price"",TODAY()-1),2,2))),)"),"")</f>
        <v/>
      </c>
      <c r="AN143" s="96" t="str">
        <f>IFERROR(__xludf.DUMMYFUNCTION("IFNA(IFERROR(IF(AH143="""","""",GOOGLEFINANCE(AH143,""change"")*AI143),(GOOGLEFINANCE(AH143)-(INDEX(GOOGLEFINANCE(""CURRENCY:""&amp;AH143&amp;"""",""price"",TODAY()-1),2,2)))*AI143),"""")"),"")</f>
        <v/>
      </c>
      <c r="AO143" s="96" t="str">
        <f>IF(ISBLANK(AH143),"",IFERROR(((AI143-SUMIFS(Transactions!I:I,Transactions!H:H,"Crypto Interest",Transactions!D:D,AH143))*AJ143),""))</f>
        <v/>
      </c>
      <c r="AP143" s="96" t="str">
        <f t="shared" si="16"/>
        <v/>
      </c>
      <c r="AQ143" s="50" t="str">
        <f t="shared" si="17"/>
        <v/>
      </c>
      <c r="AR143" s="96" t="str">
        <f t="shared" si="18"/>
        <v/>
      </c>
      <c r="AS143" s="96" t="str">
        <f>IF(ISBLANK(AH143),"",SUMIFS(Transactions!$X$3:$X149,Transactions!$H$3:$H149,"Sell",Transactions!$D$3:$D149,AH143))</f>
        <v/>
      </c>
      <c r="AT143" s="96" t="str">
        <f t="shared" si="19"/>
        <v/>
      </c>
      <c r="AU143" s="50" t="str">
        <f>IFERROR(__xludf.DUMMYFUNCTION("IF(ISBLANK(AH143),"""",IFERROR((GOOGLEFINANCE(AH143,""price"")/INDEX(GOOGLEFINANCE(AH143,""price"",DATEVALUE(TODAY()-$AU$2) ),2,2)-1),""""))"),"")</f>
        <v/>
      </c>
      <c r="AW143" s="50" t="str">
        <f>IFERROR(__xludf.DUMMYFUNCTION("IF(ISBLANK(AH143),"""",IFERROR((GOOGLEFINANCE($AW$2,""price"")/INDEX(GOOGLEFINANCE($AW$2,""price"",DATEVALUE(TODAY()-$AU$2) ),2,2)-1),""""))"),"")</f>
        <v/>
      </c>
      <c r="AY143" s="50" t="str">
        <f t="shared" si="20"/>
        <v/>
      </c>
      <c r="AZ143" s="50" t="str">
        <f t="shared" si="21"/>
        <v/>
      </c>
      <c r="BA143" s="50" t="str">
        <f t="shared" si="22"/>
        <v/>
      </c>
      <c r="BB143" s="14" t="str">
        <f t="shared" si="23"/>
        <v/>
      </c>
      <c r="BC143" s="14" t="str">
        <f>IF(ISBLANK(AH143),"",IFERROR(VLOOKUP(AH143,Transactions!D:F,3,0)))</f>
        <v/>
      </c>
      <c r="BD143" s="50" t="str">
        <f t="shared" si="24"/>
        <v/>
      </c>
      <c r="BE143" s="50" t="str">
        <f t="shared" si="25"/>
        <v/>
      </c>
      <c r="BF143" s="14" t="str">
        <f t="shared" si="26"/>
        <v/>
      </c>
      <c r="BG143" s="180" t="str">
        <f>IF(ISBLANK(AH143),"",IFERROR(VLOOKUP(AH143,Transactions!D:G,4,0)))</f>
        <v/>
      </c>
    </row>
    <row r="144">
      <c r="A144" s="14" t="str">
        <f t="shared" ref="A144:C144" si="167">AG144</f>
        <v/>
      </c>
      <c r="B144" s="14" t="str">
        <f t="shared" si="167"/>
        <v/>
      </c>
      <c r="C144" s="175" t="str">
        <f t="shared" si="167"/>
        <v/>
      </c>
      <c r="D144" s="176" t="str">
        <f>IFERROR(__xludf.DUMMYFUNCTION("IF(ISBLANK(B144),"""",IFERROR(IF(OR(AF144=""GPB"",AF144=""ZAR""),IF(AF144=Dashboard!$L$1,AJ144,(AJ144*GOOGLEFINANCE(""CURRENCY:""&amp;AF144&amp;""""&amp;Dashboard!$L$1&amp;""""))/100),IF(AF144=Dashboard!$L$1,AJ144,AJ144*GOOGLEFINANCE(""CURRENCY:""&amp;AF144&amp;""""&amp;Dashboard!$L"&amp;"$1&amp;""""))),AJ144))"),"")</f>
        <v/>
      </c>
      <c r="E144" s="177" t="str">
        <f>IFERROR(__xludf.DUMMYFUNCTION("IFERROR(IF(OR(AF144=""GBP"",AF144=""ZAR""),IF(B144="""","""",IF(AF144=Dashboard!$L$1,AK144,AK144*GOOGLEFINANCE(""CURRENCY:""&amp;AF144&amp;""""&amp;Dashboard!$L$1&amp;"""")))/100,If(B144="""","""",IF(AF144=Dashboard!$L$1,AK144,AK144*GOOGLEFINANCE(""CURRENCY:""&amp;AF144&amp;"""""&amp;"&amp;Dashboard!$L$1&amp;"""")))),AK144)"),"")</f>
        <v/>
      </c>
      <c r="F144" s="145" t="str">
        <f t="shared" si="65"/>
        <v/>
      </c>
      <c r="G144" s="96" t="str">
        <f>IFERROR(__xludf.DUMMYFUNCTION("IF(ISBLANK(B144),"""",IFERROR(SPARKLINE(INDEX(GOOGLEFINANCE(B144,""price"",TODAY()-$G$2,TODAY()),,2),{""charttype"",""column"";""color"",""17a7e0""}),""""))"),"")</f>
        <v/>
      </c>
      <c r="H144" s="50" t="str">
        <f t="shared" si="3"/>
        <v/>
      </c>
      <c r="I144" s="96" t="str">
        <f>IFERROR(__xludf.DUMMYFUNCTION("IF(ISBLANK(B144),"""",IFERROR(IF(OR(AF144=""GPB"",AF144=""ZAR""),IF(AF144=Dashboard!$L$1,AN144,(AN144*GOOGLEFINANCE(""CURRENCY:""&amp;AF144&amp;""""&amp;Dashboard!$L$1&amp;""""))/100),IF(AF144=Dashboard!$L$1,AN144,AN144*GOOGLEFINANCE(""CURRENCY:""&amp;AF144&amp;""""&amp;Dashboard!$L"&amp;"$1&amp;""""))),AN144))"),"")</f>
        <v/>
      </c>
      <c r="J144" s="178" t="str">
        <f>IF(ISBLANK(B144),"",IFERROR(((C144-SUMIFS(Transactions!I:I,Transactions!H:H,"Crypto Interest",Transactions!D:D,B144))*D144),""))</f>
        <v/>
      </c>
      <c r="K144" s="178" t="str">
        <f t="shared" si="4"/>
        <v/>
      </c>
      <c r="L144" s="145">
        <f>IF(ISBLANK(AF144),"",SUMIFS(Transactions!$M$3:$M149,Transactions!$H$3:$H149,"Buy",Transactions!$D$3:$D149,AF144))</f>
        <v>0</v>
      </c>
      <c r="M144" s="145">
        <f>IF(ISBLANK(AG144),"",SUMIFS(Transactions!$M$3:$M149,Transactions!$H$3:$H149,"Dividend",Transactions!$D$3:$D149,AG144))</f>
        <v>0</v>
      </c>
      <c r="N144" s="145" t="str">
        <f>IF(ISBLANK(AH144),"",SUMIFS(Transactions!$M$3:$M149,Transactions!$H$3:$H149,"Sell",Transactions!$D$3:$D149,AH144))</f>
        <v/>
      </c>
      <c r="O144" s="50" t="str">
        <f t="shared" si="5"/>
        <v/>
      </c>
      <c r="P144" s="178" t="str">
        <f t="shared" si="6"/>
        <v/>
      </c>
      <c r="Q144" s="178" t="str">
        <f>IFERROR(__xludf.DUMMYFUNCTION("IF(ISBLANK(B144),"""",IFERROR(IF(OR(AF144=""GPB"",AF144=""ZAR""),IF(AF144=Dashboard!$L$1,AS144,(AS144*GOOGLEFINANCE(""CURRENCY:""&amp;AF144&amp;""""&amp;Dashboard!$L$1&amp;""""))/100),IF(AF144=Dashboard!$L$1,AS144,AS144*GOOGLEFINANCE(""CURRENCY:""&amp;AF144&amp;""""&amp;Dashboard!$L"&amp;"$1&amp;""""))),AS144))"),"")</f>
        <v/>
      </c>
      <c r="R144" s="178" t="str">
        <f t="shared" si="7"/>
        <v/>
      </c>
      <c r="S144" s="50" t="str">
        <f>IFERROR(__xludf.DUMMYFUNCTION("IF(ISBLANK(B144),"""",IFERROR((GOOGLEFINANCE(B144,""price"")/INDEX(GOOGLEFINANCE(B144,""price"",DATEVALUE(TODAY()-$S$2) ),2,2)-1),""""))"),"")</f>
        <v/>
      </c>
      <c r="U144" s="50" t="str">
        <f>IFERROR(__xludf.DUMMYFUNCTION("IF(ISBLANK(B144),"""",IFERROR((GOOGLEFINANCE($U$2,""price"")/INDEX(GOOGLEFINANCE($U$2,""price"",DATEVALUE(TODAY()-$S$2) ),2,2)-1),""""))"),"")</f>
        <v/>
      </c>
      <c r="W144" s="50" t="str">
        <f t="shared" si="8"/>
        <v/>
      </c>
      <c r="X144" s="50" t="str">
        <f t="shared" si="9"/>
        <v/>
      </c>
      <c r="Y144" s="50"/>
      <c r="Z144" s="50" t="str">
        <f t="shared" si="10"/>
        <v/>
      </c>
      <c r="AA144" s="14" t="str">
        <f t="shared" si="11"/>
        <v/>
      </c>
      <c r="AB144" s="50" t="str">
        <f t="shared" si="12"/>
        <v/>
      </c>
      <c r="AC144" s="179" t="str">
        <f t="shared" si="13"/>
        <v/>
      </c>
      <c r="AD144" s="50" t="str">
        <f t="shared" si="14"/>
        <v/>
      </c>
      <c r="AE144" s="180" t="str">
        <f t="shared" si="15"/>
        <v/>
      </c>
      <c r="AF144" s="14" t="str">
        <f t="array" ref="AF144">IFERROR(IF(ISBLANK(AH144),"",IF(VLOOKUP(AH144,Transactions!D:F,3,0)="Stablecoin",AH144,INDEX(Transactions!$B$3:$B149,MATCH(AH144,Transactions!$D$3:$D149,0),0))))</f>
        <v/>
      </c>
      <c r="AG144" s="14" t="str">
        <f>IF(ISBLANK(AH144),"",VLOOKUP(AH144,Transactions!D:E,2,0))</f>
        <v/>
      </c>
      <c r="AH144" s="14"/>
      <c r="AI144" s="146" t="str">
        <f>IF(ISBLANK(AH144),"",IF(
SUMIFS(Transactions!$I$3:$I149,Transactions!$H$3:$H149,"Buy",Transactions!$F$3:$F149,"Stock",Transactions!$D$3:$D149,AH144)
+SUMIFS(Transactions!$I$3:$I149,Transactions!$H$3:$H149,"DRIP",Transactions!$F$3:$F149,"Stock",Transactions!$D$3:$D149,AH144)
+SUMIFS(Transactions!$I$3:$I149,Transactions!$H$3:$H149,"Transfer Deposit",Transactions!$F$3:$F149,"Stock",Transactions!$D$3:$D149,AH144)
+SUMIFS(Transactions!$I$3:$I149,Transactions!$H$3:$H149,"Buy",Transactions!$F$3:$F149,"ETF",Transactions!$D$3:$D149,AH144)
+SUMIFS(Transactions!$I$3:$I149,Transactions!$H$3:$H149,"DRIP",Transactions!$F$3:$F149,"ETF",Transactions!$D$3:$D149,AH144)
+SUMIFS(Transactions!$I$3:$I149,Transactions!$H$3:$H149,"Transfer Deposit",Transactions!$F$3:$F149,"ETF",Transactions!$D$3:$D149,AH144)
+SUMIFS(Transactions!$I$3:$I149,Transactions!$H$3:$H149,"Buy",Transactions!$F$3:$F149,"Commodity",Transactions!$D$3:$D149,AH144)
+SUMIFS(Transactions!$I$3:$I149,Transactions!$H$3:$H149,"DRIP",Transactions!$F$3:$F149,"Commodity",Transactions!$D$3:$D149,AH144)
+SUMIFS(Transactions!$I$3:$I149,Transactions!$H$3:$H149,"Transfer Deposit",Transactions!$F$3:$F149,"Commodity",Transactions!$D$3:$D149,AH144)
+SUMIFS(Transactions!$I$3:$I149,Transactions!$H$3:$H149,"Buy",Transactions!$F$3:$F149,"Managed Fund",Transactions!$D$3:$D149,AH144)
+SUMIFS(Transactions!$I$3:$I149,Transactions!$H$3:$H149,"DRIP",Transactions!$F$3:$F149,"Managed Fund",Transactions!$D$3:$D149,AH144)
+SUMIFS(Transactions!$I$3:$I149,Transactions!$H$3:$H149,"Transfer Deposit",Transactions!$F$3:$F149,"Managed Fund",Transactions!$D$3:$D149,AH144)
+SUMIFS(Transactions!$I$3:$I149,Transactions!$H$3:$H149,"Buy",Transactions!$F$3:$F149,"REIT",Transactions!$D$3:$D149,AH144)
+SUMIFS(Transactions!$I$3:$I149,Transactions!$H$3:$H149,"DRIP",Transactions!$F$3:$F149,"REIT",Transactions!$D$3:$D149,AH144)
+SUMIFS(Transactions!$I$3:$I149,Transactions!$H$3:$H149,"Transfer Deposit",Transactions!$F$3:$F149,"REIT",Transactions!$D$3:$D149,AH144)
-SUMIFS(Transactions!$I$3:$I149,Transactions!$H$3:$H149,"Sell",Transactions!$F$3:$F149,"Stock",Transactions!$D$3:$D149,AH144)
-SUMIFS(Transactions!$I$3:$I149,Transactions!$H$3:$H149,"Transfer Send",Transactions!$F$3:$F149,"Stock",Transactions!$D$3:$D149,AH144)
-SUMIFS(Transactions!$I$3:$I149,Transactions!$H$3:$H149,"Sell",Transactions!$F$3:$F149,"ETF",Transactions!$D$3:$D149,AH144)
-SUMIFS(Transactions!$I$3:$I149,Transactions!$H$3:$H149,"Transfer Send",Transactions!$F$3:$F149,"ETF",Transactions!$D$3:$D149,AH144)
-SUMIFS(Transactions!$I$3:$I149,Transactions!$H$3:$H149,"Sell",Transactions!$F$3:$F149,"Commodity",Transactions!$D$3:$D149,AH144)
-SUMIFS(Transactions!$I$3:$I149,Transactions!$H$3:$H149,"Transfer Send",Transactions!$F$3:$F149,"Commodity",Transactions!$D$3:$D149,AH144)
-SUMIFS(Transactions!$I$3:$I149,Transactions!$H$3:$H149,"Sell",Transactions!$F$3:$F149,"Managed Fund",Transactions!$D$3:$D149,AH144)
-SUMIFS(Transactions!$I$3:$I149,Transactions!$H$3:$H149,"Transfer Send",Transactions!$F$3:$F149,"Managed Fund",Transactions!$D$3:$D149,AH144)
-SUMIFS(Transactions!$I$3:$I149,Transactions!$H$3:$H149,"Sell",Transactions!$F$3:$F149,"REIT",Transactions!$D$3:$D149,AH144)
-SUMIFS(Transactions!$I$3:$I149,Transactions!$H$3:$H149,"Transfer Send",Transactions!$F$3:$F149,"REIT",Transactions!$D$3:$D149,AH144)
+SUMIFS(Transactions!$I$3:$I149,Transactions!$H$3:$H149,"Buy",Transactions!$F$3:$F149,"Crypto",Transactions!$D$3:$D149,AH144)
+SUMIFS(Transactions!$I$3:$I149,Transactions!$H$3:$H149,"Crypto Interest",Transactions!$F$3:$F149,"Crypto",Transactions!$D$3:$D149,AH144)
+SUMIFS(Transactions!$I$3:$I149,Transactions!$H$3:$H149,"Transfer Deposit",Transactions!$F$3:$F149,"Crypto",Transactions!$D$3:$D149,AH144)
-SUMIFS(Transactions!$I$3:$I149,Transactions!$H$3:$H149,"Transfer Send",Transactions!$F$3:$F149,"Crypto",Transactions!$D$3:$D149,AH144)
-SUMIFS(Transactions!$I$3:$I149,Transactions!$H$3:$H149,"Sell",Transactions!$F$3:$F149,"Crypto",Transactions!$D$3:$D149,AH144)
+SUMIFS(Transactions!$I$3:$I149,Transactions!$H$3:$H149,"Buy",Transactions!$F$3:$F149,"Stablecoin",Transactions!$D$3:$D149,AH144)
+SUMIFS(Transactions!$I$3:$I149,Transactions!$H$3:$H149,"Crypto Interest",Transactions!$F$3:$F149,"Stablecoin",Transactions!$D$3:$D149,AH144)
+SUMIFS(Transactions!$I$3:$I149,Transactions!$H$3:$H149,"Transfer Deposit",Transactions!$F$3:$F149,"Stablecoin",Transactions!$D$3:$D149,AH144)
-SUMIFS(Transactions!$I$3:$I149,Transactions!$H$3:$H149,"Transfer Send",Transactions!$F$3:$F149,"Stablecoin",Transactions!$D$3:$D149,AH144)
-SUMIFS(Transactions!$I$3:$I149,Transactions!$H$3:$H149,"Sell",Transactions!$F$3:$F149,"Stablecoin",Transactions!$D$3:$D149,AH144)
-SUMIFS(Transactions!$M$3:$M149,Transactions!$H$3:$H149,"Buy",Transactions!$B$3:$B149,AH144)=0,"Sold All",
SUMIFS(Transactions!$I$3:$I149,Transactions!$H$3:$H149,"Buy",Transactions!$F$3:$F149,"Stock",Transactions!$D$3:$D149,AH144)
+SUMIFS(Transactions!$I$3:$I149,Transactions!$H$3:$H149,"DRIP",Transactions!$F$3:$F149,"Stock",Transactions!$D$3:$D149,AH144)
+SUMIFS(Transactions!$I$3:$I149,Transactions!$H$3:$H149,"Transfer Deposit",Transactions!$F$3:$F149,"Stock",Transactions!$D$3:$D149,AH144)
+SUMIFS(Transactions!$I$3:$I149,Transactions!$H$3:$H149,"Buy",Transactions!$F$3:$F149,"ETF",Transactions!$D$3:$D149,AH144)
+SUMIFS(Transactions!$I$3:$I149,Transactions!$H$3:$H149,"DRIP",Transactions!$F$3:$F149,"ETF",Transactions!$D$3:$D149,AH144)
+SUMIFS(Transactions!$I$3:$I149,Transactions!$H$3:$H149,"Transfer Deposit",Transactions!$F$3:$F149,"ETF",Transactions!$D$3:$D149,AH144)
+SUMIFS(Transactions!$I$3:$I149,Transactions!$H$3:$H149,"Buy",Transactions!$F$3:$F149,"Commodity",Transactions!$D$3:$D149,AH144)
+SUMIFS(Transactions!$I$3:$I149,Transactions!$H$3:$H149,"DRIP",Transactions!$F$3:$F149,"Commodity",Transactions!$D$3:$D149,AH144)
+SUMIFS(Transactions!$I$3:$I149,Transactions!$H$3:$H149,"Transfer Deposit",Transactions!$F$3:$F149,"Commodity",Transactions!$D$3:$D149,AH144)
+SUMIFS(Transactions!$I$3:$I149,Transactions!$H$3:$H149,"Buy",Transactions!$F$3:$F149,"Managed Fund",Transactions!$D$3:$D149,AH144)
+SUMIFS(Transactions!$I$3:$I149,Transactions!$H$3:$H149,"DRIP",Transactions!$F$3:$F149,"Managed Fund",Transactions!$D$3:$D149,AH144)
+SUMIFS(Transactions!$I$3:$I149,Transactions!$H$3:$H149,"Transfer Deposit",Transactions!$F$3:$F149,"Managed Fund",Transactions!$D$3:$D149,AH144)
+SUMIFS(Transactions!$I$3:$I149,Transactions!$H$3:$H149,"Buy",Transactions!$F$3:$F149,"REIT",Transactions!$D$3:$D149,AH144)
+SUMIFS(Transactions!$I$3:$I149,Transactions!$H$3:$H149,"DRIP",Transactions!$F$3:$F149,"REIT",Transactions!$D$3:$D149,AH144)
+SUMIFS(Transactions!$I$3:$I149,Transactions!$H$3:$H149,"Transfer Deposit",Transactions!$F$3:$F149,"REIT",Transactions!$D$3:$D149,AH144)
-SUMIFS(Transactions!$I$3:$I149,Transactions!$H$3:$H149,"Sell",Transactions!$F$3:$F149,"Stock",Transactions!$D$3:$D149,AH144)
-SUMIFS(Transactions!$I$3:$I149,Transactions!$H$3:$H149,"Transfer Send",Transactions!$F$3:$F149,"Stock",Transactions!$D$3:$D149,AH144)
-SUMIFS(Transactions!$I$3:$I149,Transactions!$H$3:$H149,"Sell",Transactions!$F$3:$F149,"ETF",Transactions!$D$3:$D149,AH144)
-SUMIFS(Transactions!$I$3:$I149,Transactions!$H$3:$H149,"Transfer Send",Transactions!$F$3:$F149,"ETF",Transactions!$D$3:$D149,AH144)
-SUMIFS(Transactions!$I$3:$I149,Transactions!$H$3:$H149,"Sell",Transactions!$F$3:$F149,"Commodity",Transactions!$D$3:$D149,AH144)
-SUMIFS(Transactions!$I$3:$I149,Transactions!$H$3:$H149,"Transfer Send",Transactions!$F$3:$F149,"Commodity",Transactions!$D$3:$D149,AH144)
-SUMIFS(Transactions!$I$3:$I149,Transactions!$H$3:$H149,"Sell",Transactions!$F$3:$F149,"Managed Fund",Transactions!$D$3:$D149,AH144)
-SUMIFS(Transactions!$I$3:$I149,Transactions!$H$3:$H149,"Transfer Send",Transactions!$F$3:$F149,"Managed Fund",Transactions!$D$3:$D149,AH144)
-SUMIFS(Transactions!$I$3:$I149,Transactions!$H$3:$H149,"Sell",Transactions!$F$3:$F149,"REIT",Transactions!$D$3:$D149,AH144)
-SUMIFS(Transactions!$I$3:$I149,Transactions!$H$3:$H149,"Transfer Send",Transactions!$F$3:$F149,"REIT",Transactions!$D$3:$D149,AH144)
+SUMIFS(Transactions!$I$3:$I149,Transactions!$H$3:$H149,"Buy",Transactions!$F$3:$F149,"Crypto",Transactions!$D$3:$D149,AH144)
+SUMIFS(Transactions!$I$3:$I149,Transactions!$H$3:$H149,"Crypto Interest",Transactions!$F$3:$F149,"Crypto",Transactions!$D$3:$D149,AH144)
+SUMIFS(Transactions!$I$3:$I149,Transactions!$H$3:$H149,"Transfer Deposit",Transactions!$F$3:$F149,"Crypto",Transactions!$D$3:$D149,AH144)
-SUMIFS(Transactions!$I$3:$I149,Transactions!$H$3:$H149,"Transfer Send",Transactions!$F$3:$F149,"Crypto",Transactions!$D$3:$D149,AH144)
-SUMIFS(Transactions!$I$3:$I149,Transactions!$H$3:$H149,"Sell",Transactions!$F$3:$F149,"Crypto",Transactions!$D$3:$D149,AH144)
+SUMIFS(Transactions!$I$3:$I149,Transactions!$H$3:$H149,"Buy",Transactions!$F$3:$F149,"Stablecoin",Transactions!$D$3:$D149,AH144)
+SUMIFS(Transactions!$I$3:$I149,Transactions!$H$3:$H149,"Crypto Interest",Transactions!$F$3:$F149,"Stablecoin",Transactions!$D$3:$D149,AH144)
+SUMIFS(Transactions!$I$3:$I149,Transactions!$H$3:$H149,"Transfer Deposit",Transactions!$F$3:$F149,"Stablecoin",Transactions!$D$3:$D149,AH144)
-SUMIFS(Transactions!$I$3:$I149,Transactions!$H$3:$H149,"Transfer Send",Transactions!$F$3:$F149,"Stablecoin",Transactions!$D$3:$D149,AH144)
-SUMIFS(Transactions!$I$3:$I149,Transactions!$H$3:$H149,"Sell",Transactions!$F$3:$F149,"Stablecoin",Transactions!$D$3:$D149,AH144)
-SUMIFS(Transactions!$M$3:$M149,Transactions!$H$3:$H149,"Buy",Transactions!$B$3:$B149,AH144)))</f>
        <v/>
      </c>
      <c r="AJ144" s="181" t="str">
        <f>IFERROR(__xludf.DUMMYFUNCTION("IF(ISBLANK(AH144),"""",VLOOKUP(9^99,FILTER({ROW(Transactions!P:P),Transactions!P:P},Transactions!D:D=AH144),2))"),"")</f>
        <v/>
      </c>
      <c r="AK144" s="181" t="str">
        <f>IFERROR(__xludf.DUMMYFUNCTION("IF(ISBLANK(AH144),"""",IFERROR(GOOGLEFINANCE(AH144,""price""),IFERROR(GOOGLEFINANCE(""CURRENCY:""&amp;AH144&amp;""""),IFERROR(INDEX(YAHOO_STOCK(TRIM(AH144), $G$2),0,1),INDEX(IMPORTHTML(CONCAT(""https://coinmarketcap.com/currencies/"",AG144),""table"",1),1,2)))))"),"")</f>
        <v/>
      </c>
      <c r="AL144" s="14" t="str">
        <f>IFERROR(__xludf.DUMMYFUNCTION("IF(ISBLANK(AH144),"""",IFERROR(SPARKLINE(INDEX(GOOGLEFINANCE(AH144,""price"",TODAY()-$AL$2,TODAY()),,2),{""charttype"",""column"";""color"",""17a7e0""}),""""))"),"")</f>
        <v/>
      </c>
      <c r="AM144" s="50" t="str">
        <f>IFERROR(__xludf.DUMMYFUNCTION("IFNA(IFERROR(IF(AH144="""","""",GOOGLEFINANCE(AH144,""changepct"")/100),(GOOGLEFINANCE(AH144)-(INDEX(GOOGLEFINANCE(""CURRENCY:""&amp;AH144&amp;"""",""price"",TODAY()-1),2,2)))/(INDEX(GOOGLEFINANCE(""CURRENCY:""&amp;AH144&amp;"""",""price"",TODAY()-1),2,2))),)"),"")</f>
        <v/>
      </c>
      <c r="AN144" s="96" t="str">
        <f>IFERROR(__xludf.DUMMYFUNCTION("IFNA(IFERROR(IF(AH144="""","""",GOOGLEFINANCE(AH144,""change"")*AI144),(GOOGLEFINANCE(AH144)-(INDEX(GOOGLEFINANCE(""CURRENCY:""&amp;AH144&amp;"""",""price"",TODAY()-1),2,2)))*AI144),"""")"),"")</f>
        <v/>
      </c>
      <c r="AO144" s="96" t="str">
        <f>IF(ISBLANK(AH144),"",IFERROR(((AI144-SUMIFS(Transactions!I:I,Transactions!H:H,"Crypto Interest",Transactions!D:D,AH144))*AJ144),""))</f>
        <v/>
      </c>
      <c r="AP144" s="96" t="str">
        <f t="shared" si="16"/>
        <v/>
      </c>
      <c r="AQ144" s="50" t="str">
        <f t="shared" si="17"/>
        <v/>
      </c>
      <c r="AR144" s="96" t="str">
        <f t="shared" si="18"/>
        <v/>
      </c>
      <c r="AS144" s="96" t="str">
        <f>IF(ISBLANK(AH144),"",SUMIFS(Transactions!$X$3:$X149,Transactions!$H$3:$H149,"Sell",Transactions!$D$3:$D149,AH144))</f>
        <v/>
      </c>
      <c r="AT144" s="96" t="str">
        <f t="shared" si="19"/>
        <v/>
      </c>
      <c r="AU144" s="50" t="str">
        <f>IFERROR(__xludf.DUMMYFUNCTION("IF(ISBLANK(AH144),"""",IFERROR((GOOGLEFINANCE(AH144,""price"")/INDEX(GOOGLEFINANCE(AH144,""price"",DATEVALUE(TODAY()-$AU$2) ),2,2)-1),""""))"),"")</f>
        <v/>
      </c>
      <c r="AW144" s="50" t="str">
        <f>IFERROR(__xludf.DUMMYFUNCTION("IF(ISBLANK(AH144),"""",IFERROR((GOOGLEFINANCE($AW$2,""price"")/INDEX(GOOGLEFINANCE($AW$2,""price"",DATEVALUE(TODAY()-$AU$2) ),2,2)-1),""""))"),"")</f>
        <v/>
      </c>
      <c r="AY144" s="50" t="str">
        <f t="shared" si="20"/>
        <v/>
      </c>
      <c r="AZ144" s="50" t="str">
        <f t="shared" si="21"/>
        <v/>
      </c>
      <c r="BA144" s="50" t="str">
        <f t="shared" si="22"/>
        <v/>
      </c>
      <c r="BB144" s="14" t="str">
        <f t="shared" si="23"/>
        <v/>
      </c>
      <c r="BC144" s="14" t="str">
        <f>IF(ISBLANK(AH144),"",IFERROR(VLOOKUP(AH144,Transactions!D:F,3,0)))</f>
        <v/>
      </c>
      <c r="BD144" s="50" t="str">
        <f t="shared" si="24"/>
        <v/>
      </c>
      <c r="BE144" s="50" t="str">
        <f t="shared" si="25"/>
        <v/>
      </c>
      <c r="BF144" s="14" t="str">
        <f t="shared" si="26"/>
        <v/>
      </c>
      <c r="BG144" s="180" t="str">
        <f>IF(ISBLANK(AH144),"",IFERROR(VLOOKUP(AH144,Transactions!D:G,4,0)))</f>
        <v/>
      </c>
    </row>
    <row r="145">
      <c r="A145" s="14" t="str">
        <f t="shared" ref="A145:C145" si="168">AG145</f>
        <v/>
      </c>
      <c r="B145" s="14" t="str">
        <f t="shared" si="168"/>
        <v/>
      </c>
      <c r="C145" s="175" t="str">
        <f t="shared" si="168"/>
        <v/>
      </c>
      <c r="D145" s="176" t="str">
        <f>IFERROR(__xludf.DUMMYFUNCTION("IF(ISBLANK(B145),"""",IFERROR(IF(OR(AF145=""GPB"",AF145=""ZAR""),IF(AF145=Dashboard!$L$1,AJ145,(AJ145*GOOGLEFINANCE(""CURRENCY:""&amp;AF145&amp;""""&amp;Dashboard!$L$1&amp;""""))/100),IF(AF145=Dashboard!$L$1,AJ145,AJ145*GOOGLEFINANCE(""CURRENCY:""&amp;AF145&amp;""""&amp;Dashboard!$L"&amp;"$1&amp;""""))),AJ145))"),"")</f>
        <v/>
      </c>
      <c r="E145" s="177" t="str">
        <f>IFERROR(__xludf.DUMMYFUNCTION("IFERROR(IF(OR(AF145=""GBP"",AF145=""ZAR""),IF(B145="""","""",IF(AF145=Dashboard!$L$1,AK145,AK145*GOOGLEFINANCE(""CURRENCY:""&amp;AF145&amp;""""&amp;Dashboard!$L$1&amp;"""")))/100,If(B145="""","""",IF(AF145=Dashboard!$L$1,AK145,AK145*GOOGLEFINANCE(""CURRENCY:""&amp;AF145&amp;"""""&amp;"&amp;Dashboard!$L$1&amp;"""")))),AK145)"),"")</f>
        <v/>
      </c>
      <c r="F145" s="145" t="str">
        <f t="shared" si="65"/>
        <v/>
      </c>
      <c r="G145" s="96" t="str">
        <f>IFERROR(__xludf.DUMMYFUNCTION("IF(ISBLANK(B145),"""",IFERROR(SPARKLINE(INDEX(GOOGLEFINANCE(B145,""price"",TODAY()-$G$2,TODAY()),,2),{""charttype"",""column"";""color"",""17a7e0""}),""""))"),"")</f>
        <v/>
      </c>
      <c r="H145" s="50" t="str">
        <f t="shared" si="3"/>
        <v/>
      </c>
      <c r="I145" s="96" t="str">
        <f>IFERROR(__xludf.DUMMYFUNCTION("IF(ISBLANK(B145),"""",IFERROR(IF(OR(AF145=""GPB"",AF145=""ZAR""),IF(AF145=Dashboard!$L$1,AN145,(AN145*GOOGLEFINANCE(""CURRENCY:""&amp;AF145&amp;""""&amp;Dashboard!$L$1&amp;""""))/100),IF(AF145=Dashboard!$L$1,AN145,AN145*GOOGLEFINANCE(""CURRENCY:""&amp;AF145&amp;""""&amp;Dashboard!$L"&amp;"$1&amp;""""))),AN145))"),"")</f>
        <v/>
      </c>
      <c r="J145" s="178" t="str">
        <f>IF(ISBLANK(B145),"",IFERROR(((C145-SUMIFS(Transactions!I:I,Transactions!H:H,"Crypto Interest",Transactions!D:D,B145))*D145),""))</f>
        <v/>
      </c>
      <c r="K145" s="178" t="str">
        <f t="shared" si="4"/>
        <v/>
      </c>
      <c r="L145" s="145">
        <f>IF(ISBLANK(AF145),"",SUMIFS(Transactions!$M$3:$M149,Transactions!$H$3:$H149,"Buy",Transactions!$D$3:$D149,AF145))</f>
        <v>0</v>
      </c>
      <c r="M145" s="145">
        <f>IF(ISBLANK(AG145),"",SUMIFS(Transactions!$M$3:$M149,Transactions!$H$3:$H149,"Dividend",Transactions!$D$3:$D149,AG145))</f>
        <v>0</v>
      </c>
      <c r="N145" s="145" t="str">
        <f>IF(ISBLANK(AH145),"",SUMIFS(Transactions!$M$3:$M149,Transactions!$H$3:$H149,"Sell",Transactions!$D$3:$D149,AH145))</f>
        <v/>
      </c>
      <c r="O145" s="50" t="str">
        <f t="shared" si="5"/>
        <v/>
      </c>
      <c r="P145" s="178" t="str">
        <f t="shared" si="6"/>
        <v/>
      </c>
      <c r="Q145" s="178" t="str">
        <f>IFERROR(__xludf.DUMMYFUNCTION("IF(ISBLANK(B145),"""",IFERROR(IF(OR(AF145=""GPB"",AF145=""ZAR""),IF(AF145=Dashboard!$L$1,AS145,(AS145*GOOGLEFINANCE(""CURRENCY:""&amp;AF145&amp;""""&amp;Dashboard!$L$1&amp;""""))/100),IF(AF145=Dashboard!$L$1,AS145,AS145*GOOGLEFINANCE(""CURRENCY:""&amp;AF145&amp;""""&amp;Dashboard!$L"&amp;"$1&amp;""""))),AS145))"),"")</f>
        <v/>
      </c>
      <c r="R145" s="178" t="str">
        <f t="shared" si="7"/>
        <v/>
      </c>
      <c r="S145" s="50" t="str">
        <f>IFERROR(__xludf.DUMMYFUNCTION("IF(ISBLANK(B145),"""",IFERROR((GOOGLEFINANCE(B145,""price"")/INDEX(GOOGLEFINANCE(B145,""price"",DATEVALUE(TODAY()-$S$2) ),2,2)-1),""""))"),"")</f>
        <v/>
      </c>
      <c r="U145" s="50" t="str">
        <f>IFERROR(__xludf.DUMMYFUNCTION("IF(ISBLANK(B145),"""",IFERROR((GOOGLEFINANCE($U$2,""price"")/INDEX(GOOGLEFINANCE($U$2,""price"",DATEVALUE(TODAY()-$S$2) ),2,2)-1),""""))"),"")</f>
        <v/>
      </c>
      <c r="W145" s="50" t="str">
        <f t="shared" si="8"/>
        <v/>
      </c>
      <c r="X145" s="50" t="str">
        <f t="shared" si="9"/>
        <v/>
      </c>
      <c r="Y145" s="50"/>
      <c r="Z145" s="50" t="str">
        <f t="shared" si="10"/>
        <v/>
      </c>
      <c r="AA145" s="14" t="str">
        <f t="shared" si="11"/>
        <v/>
      </c>
      <c r="AB145" s="50" t="str">
        <f t="shared" si="12"/>
        <v/>
      </c>
      <c r="AC145" s="179" t="str">
        <f t="shared" si="13"/>
        <v/>
      </c>
      <c r="AD145" s="50" t="str">
        <f t="shared" si="14"/>
        <v/>
      </c>
      <c r="AE145" s="180" t="str">
        <f t="shared" si="15"/>
        <v/>
      </c>
      <c r="AF145" s="14" t="str">
        <f t="array" ref="AF145">IFERROR(IF(ISBLANK(AH145),"",IF(VLOOKUP(AH145,Transactions!D:F,3,0)="Stablecoin",AH145,INDEX(Transactions!$B$3:$B149,MATCH(AH145,Transactions!$D$3:$D149,0),0))))</f>
        <v/>
      </c>
      <c r="AG145" s="14" t="str">
        <f>IF(ISBLANK(AH145),"",VLOOKUP(AH145,Transactions!D:E,2,0))</f>
        <v/>
      </c>
      <c r="AH145" s="14"/>
      <c r="AI145" s="146" t="str">
        <f>IF(ISBLANK(AH145),"",IF(
SUMIFS(Transactions!$I$3:$I149,Transactions!$H$3:$H149,"Buy",Transactions!$F$3:$F149,"Stock",Transactions!$D$3:$D149,AH145)
+SUMIFS(Transactions!$I$3:$I149,Transactions!$H$3:$H149,"DRIP",Transactions!$F$3:$F149,"Stock",Transactions!$D$3:$D149,AH145)
+SUMIFS(Transactions!$I$3:$I149,Transactions!$H$3:$H149,"Transfer Deposit",Transactions!$F$3:$F149,"Stock",Transactions!$D$3:$D149,AH145)
+SUMIFS(Transactions!$I$3:$I149,Transactions!$H$3:$H149,"Buy",Transactions!$F$3:$F149,"ETF",Transactions!$D$3:$D149,AH145)
+SUMIFS(Transactions!$I$3:$I149,Transactions!$H$3:$H149,"DRIP",Transactions!$F$3:$F149,"ETF",Transactions!$D$3:$D149,AH145)
+SUMIFS(Transactions!$I$3:$I149,Transactions!$H$3:$H149,"Transfer Deposit",Transactions!$F$3:$F149,"ETF",Transactions!$D$3:$D149,AH145)
+SUMIFS(Transactions!$I$3:$I149,Transactions!$H$3:$H149,"Buy",Transactions!$F$3:$F149,"Commodity",Transactions!$D$3:$D149,AH145)
+SUMIFS(Transactions!$I$3:$I149,Transactions!$H$3:$H149,"DRIP",Transactions!$F$3:$F149,"Commodity",Transactions!$D$3:$D149,AH145)
+SUMIFS(Transactions!$I$3:$I149,Transactions!$H$3:$H149,"Transfer Deposit",Transactions!$F$3:$F149,"Commodity",Transactions!$D$3:$D149,AH145)
+SUMIFS(Transactions!$I$3:$I149,Transactions!$H$3:$H149,"Buy",Transactions!$F$3:$F149,"Managed Fund",Transactions!$D$3:$D149,AH145)
+SUMIFS(Transactions!$I$3:$I149,Transactions!$H$3:$H149,"DRIP",Transactions!$F$3:$F149,"Managed Fund",Transactions!$D$3:$D149,AH145)
+SUMIFS(Transactions!$I$3:$I149,Transactions!$H$3:$H149,"Transfer Deposit",Transactions!$F$3:$F149,"Managed Fund",Transactions!$D$3:$D149,AH145)
+SUMIFS(Transactions!$I$3:$I149,Transactions!$H$3:$H149,"Buy",Transactions!$F$3:$F149,"REIT",Transactions!$D$3:$D149,AH145)
+SUMIFS(Transactions!$I$3:$I149,Transactions!$H$3:$H149,"DRIP",Transactions!$F$3:$F149,"REIT",Transactions!$D$3:$D149,AH145)
+SUMIFS(Transactions!$I$3:$I149,Transactions!$H$3:$H149,"Transfer Deposit",Transactions!$F$3:$F149,"REIT",Transactions!$D$3:$D149,AH145)
-SUMIFS(Transactions!$I$3:$I149,Transactions!$H$3:$H149,"Sell",Transactions!$F$3:$F149,"Stock",Transactions!$D$3:$D149,AH145)
-SUMIFS(Transactions!$I$3:$I149,Transactions!$H$3:$H149,"Transfer Send",Transactions!$F$3:$F149,"Stock",Transactions!$D$3:$D149,AH145)
-SUMIFS(Transactions!$I$3:$I149,Transactions!$H$3:$H149,"Sell",Transactions!$F$3:$F149,"ETF",Transactions!$D$3:$D149,AH145)
-SUMIFS(Transactions!$I$3:$I149,Transactions!$H$3:$H149,"Transfer Send",Transactions!$F$3:$F149,"ETF",Transactions!$D$3:$D149,AH145)
-SUMIFS(Transactions!$I$3:$I149,Transactions!$H$3:$H149,"Sell",Transactions!$F$3:$F149,"Commodity",Transactions!$D$3:$D149,AH145)
-SUMIFS(Transactions!$I$3:$I149,Transactions!$H$3:$H149,"Transfer Send",Transactions!$F$3:$F149,"Commodity",Transactions!$D$3:$D149,AH145)
-SUMIFS(Transactions!$I$3:$I149,Transactions!$H$3:$H149,"Sell",Transactions!$F$3:$F149,"Managed Fund",Transactions!$D$3:$D149,AH145)
-SUMIFS(Transactions!$I$3:$I149,Transactions!$H$3:$H149,"Transfer Send",Transactions!$F$3:$F149,"Managed Fund",Transactions!$D$3:$D149,AH145)
-SUMIFS(Transactions!$I$3:$I149,Transactions!$H$3:$H149,"Sell",Transactions!$F$3:$F149,"REIT",Transactions!$D$3:$D149,AH145)
-SUMIFS(Transactions!$I$3:$I149,Transactions!$H$3:$H149,"Transfer Send",Transactions!$F$3:$F149,"REIT",Transactions!$D$3:$D149,AH145)
+SUMIFS(Transactions!$I$3:$I149,Transactions!$H$3:$H149,"Buy",Transactions!$F$3:$F149,"Crypto",Transactions!$D$3:$D149,AH145)
+SUMIFS(Transactions!$I$3:$I149,Transactions!$H$3:$H149,"Crypto Interest",Transactions!$F$3:$F149,"Crypto",Transactions!$D$3:$D149,AH145)
+SUMIFS(Transactions!$I$3:$I149,Transactions!$H$3:$H149,"Transfer Deposit",Transactions!$F$3:$F149,"Crypto",Transactions!$D$3:$D149,AH145)
-SUMIFS(Transactions!$I$3:$I149,Transactions!$H$3:$H149,"Transfer Send",Transactions!$F$3:$F149,"Crypto",Transactions!$D$3:$D149,AH145)
-SUMIFS(Transactions!$I$3:$I149,Transactions!$H$3:$H149,"Sell",Transactions!$F$3:$F149,"Crypto",Transactions!$D$3:$D149,AH145)
+SUMIFS(Transactions!$I$3:$I149,Transactions!$H$3:$H149,"Buy",Transactions!$F$3:$F149,"Stablecoin",Transactions!$D$3:$D149,AH145)
+SUMIFS(Transactions!$I$3:$I149,Transactions!$H$3:$H149,"Crypto Interest",Transactions!$F$3:$F149,"Stablecoin",Transactions!$D$3:$D149,AH145)
+SUMIFS(Transactions!$I$3:$I149,Transactions!$H$3:$H149,"Transfer Deposit",Transactions!$F$3:$F149,"Stablecoin",Transactions!$D$3:$D149,AH145)
-SUMIFS(Transactions!$I$3:$I149,Transactions!$H$3:$H149,"Transfer Send",Transactions!$F$3:$F149,"Stablecoin",Transactions!$D$3:$D149,AH145)
-SUMIFS(Transactions!$I$3:$I149,Transactions!$H$3:$H149,"Sell",Transactions!$F$3:$F149,"Stablecoin",Transactions!$D$3:$D149,AH145)
-SUMIFS(Transactions!$M$3:$M149,Transactions!$H$3:$H149,"Buy",Transactions!$B$3:$B149,AH145)=0,"Sold All",
SUMIFS(Transactions!$I$3:$I149,Transactions!$H$3:$H149,"Buy",Transactions!$F$3:$F149,"Stock",Transactions!$D$3:$D149,AH145)
+SUMIFS(Transactions!$I$3:$I149,Transactions!$H$3:$H149,"DRIP",Transactions!$F$3:$F149,"Stock",Transactions!$D$3:$D149,AH145)
+SUMIFS(Transactions!$I$3:$I149,Transactions!$H$3:$H149,"Transfer Deposit",Transactions!$F$3:$F149,"Stock",Transactions!$D$3:$D149,AH145)
+SUMIFS(Transactions!$I$3:$I149,Transactions!$H$3:$H149,"Buy",Transactions!$F$3:$F149,"ETF",Transactions!$D$3:$D149,AH145)
+SUMIFS(Transactions!$I$3:$I149,Transactions!$H$3:$H149,"DRIP",Transactions!$F$3:$F149,"ETF",Transactions!$D$3:$D149,AH145)
+SUMIFS(Transactions!$I$3:$I149,Transactions!$H$3:$H149,"Transfer Deposit",Transactions!$F$3:$F149,"ETF",Transactions!$D$3:$D149,AH145)
+SUMIFS(Transactions!$I$3:$I149,Transactions!$H$3:$H149,"Buy",Transactions!$F$3:$F149,"Commodity",Transactions!$D$3:$D149,AH145)
+SUMIFS(Transactions!$I$3:$I149,Transactions!$H$3:$H149,"DRIP",Transactions!$F$3:$F149,"Commodity",Transactions!$D$3:$D149,AH145)
+SUMIFS(Transactions!$I$3:$I149,Transactions!$H$3:$H149,"Transfer Deposit",Transactions!$F$3:$F149,"Commodity",Transactions!$D$3:$D149,AH145)
+SUMIFS(Transactions!$I$3:$I149,Transactions!$H$3:$H149,"Buy",Transactions!$F$3:$F149,"Managed Fund",Transactions!$D$3:$D149,AH145)
+SUMIFS(Transactions!$I$3:$I149,Transactions!$H$3:$H149,"DRIP",Transactions!$F$3:$F149,"Managed Fund",Transactions!$D$3:$D149,AH145)
+SUMIFS(Transactions!$I$3:$I149,Transactions!$H$3:$H149,"Transfer Deposit",Transactions!$F$3:$F149,"Managed Fund",Transactions!$D$3:$D149,AH145)
+SUMIFS(Transactions!$I$3:$I149,Transactions!$H$3:$H149,"Buy",Transactions!$F$3:$F149,"REIT",Transactions!$D$3:$D149,AH145)
+SUMIFS(Transactions!$I$3:$I149,Transactions!$H$3:$H149,"DRIP",Transactions!$F$3:$F149,"REIT",Transactions!$D$3:$D149,AH145)
+SUMIFS(Transactions!$I$3:$I149,Transactions!$H$3:$H149,"Transfer Deposit",Transactions!$F$3:$F149,"REIT",Transactions!$D$3:$D149,AH145)
-SUMIFS(Transactions!$I$3:$I149,Transactions!$H$3:$H149,"Sell",Transactions!$F$3:$F149,"Stock",Transactions!$D$3:$D149,AH145)
-SUMIFS(Transactions!$I$3:$I149,Transactions!$H$3:$H149,"Transfer Send",Transactions!$F$3:$F149,"Stock",Transactions!$D$3:$D149,AH145)
-SUMIFS(Transactions!$I$3:$I149,Transactions!$H$3:$H149,"Sell",Transactions!$F$3:$F149,"ETF",Transactions!$D$3:$D149,AH145)
-SUMIFS(Transactions!$I$3:$I149,Transactions!$H$3:$H149,"Transfer Send",Transactions!$F$3:$F149,"ETF",Transactions!$D$3:$D149,AH145)
-SUMIFS(Transactions!$I$3:$I149,Transactions!$H$3:$H149,"Sell",Transactions!$F$3:$F149,"Commodity",Transactions!$D$3:$D149,AH145)
-SUMIFS(Transactions!$I$3:$I149,Transactions!$H$3:$H149,"Transfer Send",Transactions!$F$3:$F149,"Commodity",Transactions!$D$3:$D149,AH145)
-SUMIFS(Transactions!$I$3:$I149,Transactions!$H$3:$H149,"Sell",Transactions!$F$3:$F149,"Managed Fund",Transactions!$D$3:$D149,AH145)
-SUMIFS(Transactions!$I$3:$I149,Transactions!$H$3:$H149,"Transfer Send",Transactions!$F$3:$F149,"Managed Fund",Transactions!$D$3:$D149,AH145)
-SUMIFS(Transactions!$I$3:$I149,Transactions!$H$3:$H149,"Sell",Transactions!$F$3:$F149,"REIT",Transactions!$D$3:$D149,AH145)
-SUMIFS(Transactions!$I$3:$I149,Transactions!$H$3:$H149,"Transfer Send",Transactions!$F$3:$F149,"REIT",Transactions!$D$3:$D149,AH145)
+SUMIFS(Transactions!$I$3:$I149,Transactions!$H$3:$H149,"Buy",Transactions!$F$3:$F149,"Crypto",Transactions!$D$3:$D149,AH145)
+SUMIFS(Transactions!$I$3:$I149,Transactions!$H$3:$H149,"Crypto Interest",Transactions!$F$3:$F149,"Crypto",Transactions!$D$3:$D149,AH145)
+SUMIFS(Transactions!$I$3:$I149,Transactions!$H$3:$H149,"Transfer Deposit",Transactions!$F$3:$F149,"Crypto",Transactions!$D$3:$D149,AH145)
-SUMIFS(Transactions!$I$3:$I149,Transactions!$H$3:$H149,"Transfer Send",Transactions!$F$3:$F149,"Crypto",Transactions!$D$3:$D149,AH145)
-SUMIFS(Transactions!$I$3:$I149,Transactions!$H$3:$H149,"Sell",Transactions!$F$3:$F149,"Crypto",Transactions!$D$3:$D149,AH145)
+SUMIFS(Transactions!$I$3:$I149,Transactions!$H$3:$H149,"Buy",Transactions!$F$3:$F149,"Stablecoin",Transactions!$D$3:$D149,AH145)
+SUMIFS(Transactions!$I$3:$I149,Transactions!$H$3:$H149,"Crypto Interest",Transactions!$F$3:$F149,"Stablecoin",Transactions!$D$3:$D149,AH145)
+SUMIFS(Transactions!$I$3:$I149,Transactions!$H$3:$H149,"Transfer Deposit",Transactions!$F$3:$F149,"Stablecoin",Transactions!$D$3:$D149,AH145)
-SUMIFS(Transactions!$I$3:$I149,Transactions!$H$3:$H149,"Transfer Send",Transactions!$F$3:$F149,"Stablecoin",Transactions!$D$3:$D149,AH145)
-SUMIFS(Transactions!$I$3:$I149,Transactions!$H$3:$H149,"Sell",Transactions!$F$3:$F149,"Stablecoin",Transactions!$D$3:$D149,AH145)
-SUMIFS(Transactions!$M$3:$M149,Transactions!$H$3:$H149,"Buy",Transactions!$B$3:$B149,AH145)))</f>
        <v/>
      </c>
      <c r="AJ145" s="181" t="str">
        <f>IFERROR(__xludf.DUMMYFUNCTION("IF(ISBLANK(AH145),"""",VLOOKUP(9^99,FILTER({ROW(Transactions!P:P),Transactions!P:P},Transactions!D:D=AH145),2))"),"")</f>
        <v/>
      </c>
      <c r="AK145" s="181" t="str">
        <f>IFERROR(__xludf.DUMMYFUNCTION("IF(ISBLANK(AH145),"""",IFERROR(GOOGLEFINANCE(AH145,""price""),IFERROR(GOOGLEFINANCE(""CURRENCY:""&amp;AH145&amp;""""),IFERROR(INDEX(YAHOO_STOCK(TRIM(AH145), $G$2),0,1),INDEX(IMPORTHTML(CONCAT(""https://coinmarketcap.com/currencies/"",AG145),""table"",1),1,2)))))"),"")</f>
        <v/>
      </c>
      <c r="AL145" s="14" t="str">
        <f>IFERROR(__xludf.DUMMYFUNCTION("IF(ISBLANK(AH145),"""",IFERROR(SPARKLINE(INDEX(GOOGLEFINANCE(AH145,""price"",TODAY()-$AL$2,TODAY()),,2),{""charttype"",""column"";""color"",""17a7e0""}),""""))"),"")</f>
        <v/>
      </c>
      <c r="AM145" s="50" t="str">
        <f>IFERROR(__xludf.DUMMYFUNCTION("IFNA(IFERROR(IF(AH145="""","""",GOOGLEFINANCE(AH145,""changepct"")/100),(GOOGLEFINANCE(AH145)-(INDEX(GOOGLEFINANCE(""CURRENCY:""&amp;AH145&amp;"""",""price"",TODAY()-1),2,2)))/(INDEX(GOOGLEFINANCE(""CURRENCY:""&amp;AH145&amp;"""",""price"",TODAY()-1),2,2))),)"),"")</f>
        <v/>
      </c>
      <c r="AN145" s="96" t="str">
        <f>IFERROR(__xludf.DUMMYFUNCTION("IFNA(IFERROR(IF(AH145="""","""",GOOGLEFINANCE(AH145,""change"")*AI145),(GOOGLEFINANCE(AH145)-(INDEX(GOOGLEFINANCE(""CURRENCY:""&amp;AH145&amp;"""",""price"",TODAY()-1),2,2)))*AI145),"""")"),"")</f>
        <v/>
      </c>
      <c r="AO145" s="96" t="str">
        <f>IF(ISBLANK(AH145),"",IFERROR(((AI145-SUMIFS(Transactions!I:I,Transactions!H:H,"Crypto Interest",Transactions!D:D,AH145))*AJ145),""))</f>
        <v/>
      </c>
      <c r="AP145" s="96" t="str">
        <f t="shared" si="16"/>
        <v/>
      </c>
      <c r="AQ145" s="50" t="str">
        <f t="shared" si="17"/>
        <v/>
      </c>
      <c r="AR145" s="96" t="str">
        <f t="shared" si="18"/>
        <v/>
      </c>
      <c r="AS145" s="96" t="str">
        <f>IF(ISBLANK(AH145),"",SUMIFS(Transactions!$X$3:$X149,Transactions!$H$3:$H149,"Sell",Transactions!$D$3:$D149,AH145))</f>
        <v/>
      </c>
      <c r="AT145" s="96" t="str">
        <f t="shared" si="19"/>
        <v/>
      </c>
      <c r="AU145" s="50" t="str">
        <f>IFERROR(__xludf.DUMMYFUNCTION("IF(ISBLANK(AH145),"""",IFERROR((GOOGLEFINANCE(AH145,""price"")/INDEX(GOOGLEFINANCE(AH145,""price"",DATEVALUE(TODAY()-$AU$2) ),2,2)-1),""""))"),"")</f>
        <v/>
      </c>
      <c r="AW145" s="50" t="str">
        <f>IFERROR(__xludf.DUMMYFUNCTION("IF(ISBLANK(AH145),"""",IFERROR((GOOGLEFINANCE($AW$2,""price"")/INDEX(GOOGLEFINANCE($AW$2,""price"",DATEVALUE(TODAY()-$AU$2) ),2,2)-1),""""))"),"")</f>
        <v/>
      </c>
      <c r="AY145" s="50" t="str">
        <f t="shared" si="20"/>
        <v/>
      </c>
      <c r="AZ145" s="50" t="str">
        <f t="shared" si="21"/>
        <v/>
      </c>
      <c r="BA145" s="50" t="str">
        <f t="shared" si="22"/>
        <v/>
      </c>
      <c r="BB145" s="14" t="str">
        <f t="shared" si="23"/>
        <v/>
      </c>
      <c r="BC145" s="14" t="str">
        <f>IF(ISBLANK(AH145),"",IFERROR(VLOOKUP(AH145,Transactions!D:F,3,0)))</f>
        <v/>
      </c>
      <c r="BD145" s="50" t="str">
        <f t="shared" si="24"/>
        <v/>
      </c>
      <c r="BE145" s="50" t="str">
        <f t="shared" si="25"/>
        <v/>
      </c>
      <c r="BF145" s="14" t="str">
        <f t="shared" si="26"/>
        <v/>
      </c>
      <c r="BG145" s="180" t="str">
        <f>IF(ISBLANK(AH145),"",IFERROR(VLOOKUP(AH145,Transactions!D:G,4,0)))</f>
        <v/>
      </c>
    </row>
    <row r="146">
      <c r="A146" s="14" t="str">
        <f t="shared" ref="A146:C146" si="169">AG146</f>
        <v/>
      </c>
      <c r="B146" s="14" t="str">
        <f t="shared" si="169"/>
        <v/>
      </c>
      <c r="C146" s="175" t="str">
        <f t="shared" si="169"/>
        <v/>
      </c>
      <c r="D146" s="176" t="str">
        <f>IFERROR(__xludf.DUMMYFUNCTION("IF(ISBLANK(B146),"""",IFERROR(IF(OR(AF146=""GPB"",AF146=""ZAR""),IF(AF146=Dashboard!$L$1,AJ146,(AJ146*GOOGLEFINANCE(""CURRENCY:""&amp;AF146&amp;""""&amp;Dashboard!$L$1&amp;""""))/100),IF(AF146=Dashboard!$L$1,AJ146,AJ146*GOOGLEFINANCE(""CURRENCY:""&amp;AF146&amp;""""&amp;Dashboard!$L"&amp;"$1&amp;""""))),AJ146))"),"")</f>
        <v/>
      </c>
      <c r="E146" s="177" t="str">
        <f>IFERROR(__xludf.DUMMYFUNCTION("IFERROR(IF(OR(AF146=""GBP"",AF146=""ZAR""),IF(B146="""","""",IF(AF146=Dashboard!$L$1,AK146,AK146*GOOGLEFINANCE(""CURRENCY:""&amp;AF146&amp;""""&amp;Dashboard!$L$1&amp;"""")))/100,If(B146="""","""",IF(AF146=Dashboard!$L$1,AK146,AK146*GOOGLEFINANCE(""CURRENCY:""&amp;AF146&amp;"""""&amp;"&amp;Dashboard!$L$1&amp;"""")))),AK146)"),"")</f>
        <v/>
      </c>
      <c r="F146" s="145" t="str">
        <f t="shared" si="65"/>
        <v/>
      </c>
      <c r="G146" s="96" t="str">
        <f>IFERROR(__xludf.DUMMYFUNCTION("IF(ISBLANK(B146),"""",IFERROR(SPARKLINE(INDEX(GOOGLEFINANCE(B146,""price"",TODAY()-$G$2,TODAY()),,2),{""charttype"",""column"";""color"",""17a7e0""}),""""))"),"")</f>
        <v/>
      </c>
      <c r="H146" s="50" t="str">
        <f t="shared" si="3"/>
        <v/>
      </c>
      <c r="I146" s="96" t="str">
        <f>IFERROR(__xludf.DUMMYFUNCTION("IF(ISBLANK(B146),"""",IFERROR(IF(OR(AF146=""GPB"",AF146=""ZAR""),IF(AF146=Dashboard!$L$1,AN146,(AN146*GOOGLEFINANCE(""CURRENCY:""&amp;AF146&amp;""""&amp;Dashboard!$L$1&amp;""""))/100),IF(AF146=Dashboard!$L$1,AN146,AN146*GOOGLEFINANCE(""CURRENCY:""&amp;AF146&amp;""""&amp;Dashboard!$L"&amp;"$1&amp;""""))),AN146))"),"")</f>
        <v/>
      </c>
      <c r="J146" s="178" t="str">
        <f>IF(ISBLANK(B146),"",IFERROR(((C146-SUMIFS(Transactions!I:I,Transactions!H:H,"Crypto Interest",Transactions!D:D,B146))*D146),""))</f>
        <v/>
      </c>
      <c r="K146" s="178" t="str">
        <f t="shared" si="4"/>
        <v/>
      </c>
      <c r="L146" s="145">
        <f>IF(ISBLANK(AF146),"",SUMIFS(Transactions!$M$3:$M149,Transactions!$H$3:$H149,"Buy",Transactions!$D$3:$D149,AF146))</f>
        <v>0</v>
      </c>
      <c r="M146" s="145">
        <f>IF(ISBLANK(AG146),"",SUMIFS(Transactions!$M$3:$M149,Transactions!$H$3:$H149,"Dividend",Transactions!$D$3:$D149,AG146))</f>
        <v>0</v>
      </c>
      <c r="N146" s="145" t="str">
        <f>IF(ISBLANK(AH146),"",SUMIFS(Transactions!$M$3:$M149,Transactions!$H$3:$H149,"Sell",Transactions!$D$3:$D149,AH146))</f>
        <v/>
      </c>
      <c r="O146" s="50" t="str">
        <f t="shared" si="5"/>
        <v/>
      </c>
      <c r="P146" s="178" t="str">
        <f t="shared" si="6"/>
        <v/>
      </c>
      <c r="Q146" s="178" t="str">
        <f>IFERROR(__xludf.DUMMYFUNCTION("IF(ISBLANK(B146),"""",IFERROR(IF(OR(AF146=""GPB"",AF146=""ZAR""),IF(AF146=Dashboard!$L$1,AS146,(AS146*GOOGLEFINANCE(""CURRENCY:""&amp;AF146&amp;""""&amp;Dashboard!$L$1&amp;""""))/100),IF(AF146=Dashboard!$L$1,AS146,AS146*GOOGLEFINANCE(""CURRENCY:""&amp;AF146&amp;""""&amp;Dashboard!$L"&amp;"$1&amp;""""))),AS146))"),"")</f>
        <v/>
      </c>
      <c r="R146" s="178" t="str">
        <f t="shared" si="7"/>
        <v/>
      </c>
      <c r="S146" s="50" t="str">
        <f>IFERROR(__xludf.DUMMYFUNCTION("IF(ISBLANK(B146),"""",IFERROR((GOOGLEFINANCE(B146,""price"")/INDEX(GOOGLEFINANCE(B146,""price"",DATEVALUE(TODAY()-$S$2) ),2,2)-1),""""))"),"")</f>
        <v/>
      </c>
      <c r="U146" s="50" t="str">
        <f>IFERROR(__xludf.DUMMYFUNCTION("IF(ISBLANK(B146),"""",IFERROR((GOOGLEFINANCE($U$2,""price"")/INDEX(GOOGLEFINANCE($U$2,""price"",DATEVALUE(TODAY()-$S$2) ),2,2)-1),""""))"),"")</f>
        <v/>
      </c>
      <c r="W146" s="50" t="str">
        <f t="shared" si="8"/>
        <v/>
      </c>
      <c r="X146" s="50" t="str">
        <f t="shared" si="9"/>
        <v/>
      </c>
      <c r="Y146" s="50"/>
      <c r="Z146" s="50" t="str">
        <f t="shared" si="10"/>
        <v/>
      </c>
      <c r="AA146" s="14" t="str">
        <f t="shared" si="11"/>
        <v/>
      </c>
      <c r="AB146" s="50" t="str">
        <f t="shared" si="12"/>
        <v/>
      </c>
      <c r="AC146" s="179" t="str">
        <f t="shared" si="13"/>
        <v/>
      </c>
      <c r="AD146" s="50" t="str">
        <f t="shared" si="14"/>
        <v/>
      </c>
      <c r="AE146" s="180" t="str">
        <f t="shared" si="15"/>
        <v/>
      </c>
      <c r="AF146" s="14" t="str">
        <f t="array" ref="AF146">IFERROR(IF(ISBLANK(AH146),"",IF(VLOOKUP(AH146,Transactions!D:F,3,0)="Stablecoin",AH146,INDEX(Transactions!$B$3:$B149,MATCH(AH146,Transactions!$D$3:$D149,0),0))))</f>
        <v/>
      </c>
      <c r="AG146" s="14" t="str">
        <f>IF(ISBLANK(AH146),"",VLOOKUP(AH146,Transactions!D:E,2,0))</f>
        <v/>
      </c>
      <c r="AH146" s="14"/>
      <c r="AI146" s="146" t="str">
        <f>IF(ISBLANK(AH146),"",IF(
SUMIFS(Transactions!$I$3:$I149,Transactions!$H$3:$H149,"Buy",Transactions!$F$3:$F149,"Stock",Transactions!$D$3:$D149,AH146)
+SUMIFS(Transactions!$I$3:$I149,Transactions!$H$3:$H149,"DRIP",Transactions!$F$3:$F149,"Stock",Transactions!$D$3:$D149,AH146)
+SUMIFS(Transactions!$I$3:$I149,Transactions!$H$3:$H149,"Transfer Deposit",Transactions!$F$3:$F149,"Stock",Transactions!$D$3:$D149,AH146)
+SUMIFS(Transactions!$I$3:$I149,Transactions!$H$3:$H149,"Buy",Transactions!$F$3:$F149,"ETF",Transactions!$D$3:$D149,AH146)
+SUMIFS(Transactions!$I$3:$I149,Transactions!$H$3:$H149,"DRIP",Transactions!$F$3:$F149,"ETF",Transactions!$D$3:$D149,AH146)
+SUMIFS(Transactions!$I$3:$I149,Transactions!$H$3:$H149,"Transfer Deposit",Transactions!$F$3:$F149,"ETF",Transactions!$D$3:$D149,AH146)
+SUMIFS(Transactions!$I$3:$I149,Transactions!$H$3:$H149,"Buy",Transactions!$F$3:$F149,"Commodity",Transactions!$D$3:$D149,AH146)
+SUMIFS(Transactions!$I$3:$I149,Transactions!$H$3:$H149,"DRIP",Transactions!$F$3:$F149,"Commodity",Transactions!$D$3:$D149,AH146)
+SUMIFS(Transactions!$I$3:$I149,Transactions!$H$3:$H149,"Transfer Deposit",Transactions!$F$3:$F149,"Commodity",Transactions!$D$3:$D149,AH146)
+SUMIFS(Transactions!$I$3:$I149,Transactions!$H$3:$H149,"Buy",Transactions!$F$3:$F149,"Managed Fund",Transactions!$D$3:$D149,AH146)
+SUMIFS(Transactions!$I$3:$I149,Transactions!$H$3:$H149,"DRIP",Transactions!$F$3:$F149,"Managed Fund",Transactions!$D$3:$D149,AH146)
+SUMIFS(Transactions!$I$3:$I149,Transactions!$H$3:$H149,"Transfer Deposit",Transactions!$F$3:$F149,"Managed Fund",Transactions!$D$3:$D149,AH146)
+SUMIFS(Transactions!$I$3:$I149,Transactions!$H$3:$H149,"Buy",Transactions!$F$3:$F149,"REIT",Transactions!$D$3:$D149,AH146)
+SUMIFS(Transactions!$I$3:$I149,Transactions!$H$3:$H149,"DRIP",Transactions!$F$3:$F149,"REIT",Transactions!$D$3:$D149,AH146)
+SUMIFS(Transactions!$I$3:$I149,Transactions!$H$3:$H149,"Transfer Deposit",Transactions!$F$3:$F149,"REIT",Transactions!$D$3:$D149,AH146)
-SUMIFS(Transactions!$I$3:$I149,Transactions!$H$3:$H149,"Sell",Transactions!$F$3:$F149,"Stock",Transactions!$D$3:$D149,AH146)
-SUMIFS(Transactions!$I$3:$I149,Transactions!$H$3:$H149,"Transfer Send",Transactions!$F$3:$F149,"Stock",Transactions!$D$3:$D149,AH146)
-SUMIFS(Transactions!$I$3:$I149,Transactions!$H$3:$H149,"Sell",Transactions!$F$3:$F149,"ETF",Transactions!$D$3:$D149,AH146)
-SUMIFS(Transactions!$I$3:$I149,Transactions!$H$3:$H149,"Transfer Send",Transactions!$F$3:$F149,"ETF",Transactions!$D$3:$D149,AH146)
-SUMIFS(Transactions!$I$3:$I149,Transactions!$H$3:$H149,"Sell",Transactions!$F$3:$F149,"Commodity",Transactions!$D$3:$D149,AH146)
-SUMIFS(Transactions!$I$3:$I149,Transactions!$H$3:$H149,"Transfer Send",Transactions!$F$3:$F149,"Commodity",Transactions!$D$3:$D149,AH146)
-SUMIFS(Transactions!$I$3:$I149,Transactions!$H$3:$H149,"Sell",Transactions!$F$3:$F149,"Managed Fund",Transactions!$D$3:$D149,AH146)
-SUMIFS(Transactions!$I$3:$I149,Transactions!$H$3:$H149,"Transfer Send",Transactions!$F$3:$F149,"Managed Fund",Transactions!$D$3:$D149,AH146)
-SUMIFS(Transactions!$I$3:$I149,Transactions!$H$3:$H149,"Sell",Transactions!$F$3:$F149,"REIT",Transactions!$D$3:$D149,AH146)
-SUMIFS(Transactions!$I$3:$I149,Transactions!$H$3:$H149,"Transfer Send",Transactions!$F$3:$F149,"REIT",Transactions!$D$3:$D149,AH146)
+SUMIFS(Transactions!$I$3:$I149,Transactions!$H$3:$H149,"Buy",Transactions!$F$3:$F149,"Crypto",Transactions!$D$3:$D149,AH146)
+SUMIFS(Transactions!$I$3:$I149,Transactions!$H$3:$H149,"Crypto Interest",Transactions!$F$3:$F149,"Crypto",Transactions!$D$3:$D149,AH146)
+SUMIFS(Transactions!$I$3:$I149,Transactions!$H$3:$H149,"Transfer Deposit",Transactions!$F$3:$F149,"Crypto",Transactions!$D$3:$D149,AH146)
-SUMIFS(Transactions!$I$3:$I149,Transactions!$H$3:$H149,"Transfer Send",Transactions!$F$3:$F149,"Crypto",Transactions!$D$3:$D149,AH146)
-SUMIFS(Transactions!$I$3:$I149,Transactions!$H$3:$H149,"Sell",Transactions!$F$3:$F149,"Crypto",Transactions!$D$3:$D149,AH146)
+SUMIFS(Transactions!$I$3:$I149,Transactions!$H$3:$H149,"Buy",Transactions!$F$3:$F149,"Stablecoin",Transactions!$D$3:$D149,AH146)
+SUMIFS(Transactions!$I$3:$I149,Transactions!$H$3:$H149,"Crypto Interest",Transactions!$F$3:$F149,"Stablecoin",Transactions!$D$3:$D149,AH146)
+SUMIFS(Transactions!$I$3:$I149,Transactions!$H$3:$H149,"Transfer Deposit",Transactions!$F$3:$F149,"Stablecoin",Transactions!$D$3:$D149,AH146)
-SUMIFS(Transactions!$I$3:$I149,Transactions!$H$3:$H149,"Transfer Send",Transactions!$F$3:$F149,"Stablecoin",Transactions!$D$3:$D149,AH146)
-SUMIFS(Transactions!$I$3:$I149,Transactions!$H$3:$H149,"Sell",Transactions!$F$3:$F149,"Stablecoin",Transactions!$D$3:$D149,AH146)
-SUMIFS(Transactions!$M$3:$M149,Transactions!$H$3:$H149,"Buy",Transactions!$B$3:$B149,AH146)=0,"Sold All",
SUMIFS(Transactions!$I$3:$I149,Transactions!$H$3:$H149,"Buy",Transactions!$F$3:$F149,"Stock",Transactions!$D$3:$D149,AH146)
+SUMIFS(Transactions!$I$3:$I149,Transactions!$H$3:$H149,"DRIP",Transactions!$F$3:$F149,"Stock",Transactions!$D$3:$D149,AH146)
+SUMIFS(Transactions!$I$3:$I149,Transactions!$H$3:$H149,"Transfer Deposit",Transactions!$F$3:$F149,"Stock",Transactions!$D$3:$D149,AH146)
+SUMIFS(Transactions!$I$3:$I149,Transactions!$H$3:$H149,"Buy",Transactions!$F$3:$F149,"ETF",Transactions!$D$3:$D149,AH146)
+SUMIFS(Transactions!$I$3:$I149,Transactions!$H$3:$H149,"DRIP",Transactions!$F$3:$F149,"ETF",Transactions!$D$3:$D149,AH146)
+SUMIFS(Transactions!$I$3:$I149,Transactions!$H$3:$H149,"Transfer Deposit",Transactions!$F$3:$F149,"ETF",Transactions!$D$3:$D149,AH146)
+SUMIFS(Transactions!$I$3:$I149,Transactions!$H$3:$H149,"Buy",Transactions!$F$3:$F149,"Commodity",Transactions!$D$3:$D149,AH146)
+SUMIFS(Transactions!$I$3:$I149,Transactions!$H$3:$H149,"DRIP",Transactions!$F$3:$F149,"Commodity",Transactions!$D$3:$D149,AH146)
+SUMIFS(Transactions!$I$3:$I149,Transactions!$H$3:$H149,"Transfer Deposit",Transactions!$F$3:$F149,"Commodity",Transactions!$D$3:$D149,AH146)
+SUMIFS(Transactions!$I$3:$I149,Transactions!$H$3:$H149,"Buy",Transactions!$F$3:$F149,"Managed Fund",Transactions!$D$3:$D149,AH146)
+SUMIFS(Transactions!$I$3:$I149,Transactions!$H$3:$H149,"DRIP",Transactions!$F$3:$F149,"Managed Fund",Transactions!$D$3:$D149,AH146)
+SUMIFS(Transactions!$I$3:$I149,Transactions!$H$3:$H149,"Transfer Deposit",Transactions!$F$3:$F149,"Managed Fund",Transactions!$D$3:$D149,AH146)
+SUMIFS(Transactions!$I$3:$I149,Transactions!$H$3:$H149,"Buy",Transactions!$F$3:$F149,"REIT",Transactions!$D$3:$D149,AH146)
+SUMIFS(Transactions!$I$3:$I149,Transactions!$H$3:$H149,"DRIP",Transactions!$F$3:$F149,"REIT",Transactions!$D$3:$D149,AH146)
+SUMIFS(Transactions!$I$3:$I149,Transactions!$H$3:$H149,"Transfer Deposit",Transactions!$F$3:$F149,"REIT",Transactions!$D$3:$D149,AH146)
-SUMIFS(Transactions!$I$3:$I149,Transactions!$H$3:$H149,"Sell",Transactions!$F$3:$F149,"Stock",Transactions!$D$3:$D149,AH146)
-SUMIFS(Transactions!$I$3:$I149,Transactions!$H$3:$H149,"Transfer Send",Transactions!$F$3:$F149,"Stock",Transactions!$D$3:$D149,AH146)
-SUMIFS(Transactions!$I$3:$I149,Transactions!$H$3:$H149,"Sell",Transactions!$F$3:$F149,"ETF",Transactions!$D$3:$D149,AH146)
-SUMIFS(Transactions!$I$3:$I149,Transactions!$H$3:$H149,"Transfer Send",Transactions!$F$3:$F149,"ETF",Transactions!$D$3:$D149,AH146)
-SUMIFS(Transactions!$I$3:$I149,Transactions!$H$3:$H149,"Sell",Transactions!$F$3:$F149,"Commodity",Transactions!$D$3:$D149,AH146)
-SUMIFS(Transactions!$I$3:$I149,Transactions!$H$3:$H149,"Transfer Send",Transactions!$F$3:$F149,"Commodity",Transactions!$D$3:$D149,AH146)
-SUMIFS(Transactions!$I$3:$I149,Transactions!$H$3:$H149,"Sell",Transactions!$F$3:$F149,"Managed Fund",Transactions!$D$3:$D149,AH146)
-SUMIFS(Transactions!$I$3:$I149,Transactions!$H$3:$H149,"Transfer Send",Transactions!$F$3:$F149,"Managed Fund",Transactions!$D$3:$D149,AH146)
-SUMIFS(Transactions!$I$3:$I149,Transactions!$H$3:$H149,"Sell",Transactions!$F$3:$F149,"REIT",Transactions!$D$3:$D149,AH146)
-SUMIFS(Transactions!$I$3:$I149,Transactions!$H$3:$H149,"Transfer Send",Transactions!$F$3:$F149,"REIT",Transactions!$D$3:$D149,AH146)
+SUMIFS(Transactions!$I$3:$I149,Transactions!$H$3:$H149,"Buy",Transactions!$F$3:$F149,"Crypto",Transactions!$D$3:$D149,AH146)
+SUMIFS(Transactions!$I$3:$I149,Transactions!$H$3:$H149,"Crypto Interest",Transactions!$F$3:$F149,"Crypto",Transactions!$D$3:$D149,AH146)
+SUMIFS(Transactions!$I$3:$I149,Transactions!$H$3:$H149,"Transfer Deposit",Transactions!$F$3:$F149,"Crypto",Transactions!$D$3:$D149,AH146)
-SUMIFS(Transactions!$I$3:$I149,Transactions!$H$3:$H149,"Transfer Send",Transactions!$F$3:$F149,"Crypto",Transactions!$D$3:$D149,AH146)
-SUMIFS(Transactions!$I$3:$I149,Transactions!$H$3:$H149,"Sell",Transactions!$F$3:$F149,"Crypto",Transactions!$D$3:$D149,AH146)
+SUMIFS(Transactions!$I$3:$I149,Transactions!$H$3:$H149,"Buy",Transactions!$F$3:$F149,"Stablecoin",Transactions!$D$3:$D149,AH146)
+SUMIFS(Transactions!$I$3:$I149,Transactions!$H$3:$H149,"Crypto Interest",Transactions!$F$3:$F149,"Stablecoin",Transactions!$D$3:$D149,AH146)
+SUMIFS(Transactions!$I$3:$I149,Transactions!$H$3:$H149,"Transfer Deposit",Transactions!$F$3:$F149,"Stablecoin",Transactions!$D$3:$D149,AH146)
-SUMIFS(Transactions!$I$3:$I149,Transactions!$H$3:$H149,"Transfer Send",Transactions!$F$3:$F149,"Stablecoin",Transactions!$D$3:$D149,AH146)
-SUMIFS(Transactions!$I$3:$I149,Transactions!$H$3:$H149,"Sell",Transactions!$F$3:$F149,"Stablecoin",Transactions!$D$3:$D149,AH146)
-SUMIFS(Transactions!$M$3:$M149,Transactions!$H$3:$H149,"Buy",Transactions!$B$3:$B149,AH146)))</f>
        <v/>
      </c>
      <c r="AJ146" s="181" t="str">
        <f>IFERROR(__xludf.DUMMYFUNCTION("IF(ISBLANK(AH146),"""",VLOOKUP(9^99,FILTER({ROW(Transactions!P:P),Transactions!P:P},Transactions!D:D=AH146),2))"),"")</f>
        <v/>
      </c>
      <c r="AK146" s="181" t="str">
        <f>IFERROR(__xludf.DUMMYFUNCTION("IF(ISBLANK(AH146),"""",IFERROR(GOOGLEFINANCE(AH146,""price""),IFERROR(GOOGLEFINANCE(""CURRENCY:""&amp;AH146&amp;""""),IFERROR(INDEX(YAHOO_STOCK(TRIM(AH146), $G$2),0,1),INDEX(IMPORTHTML(CONCAT(""https://coinmarketcap.com/currencies/"",AG146),""table"",1),1,2)))))"),"")</f>
        <v/>
      </c>
      <c r="AL146" s="14" t="str">
        <f>IFERROR(__xludf.DUMMYFUNCTION("IF(ISBLANK(AH146),"""",IFERROR(SPARKLINE(INDEX(GOOGLEFINANCE(AH146,""price"",TODAY()-$AL$2,TODAY()),,2),{""charttype"",""column"";""color"",""17a7e0""}),""""))"),"")</f>
        <v/>
      </c>
      <c r="AM146" s="50" t="str">
        <f>IFERROR(__xludf.DUMMYFUNCTION("IFNA(IFERROR(IF(AH146="""","""",GOOGLEFINANCE(AH146,""changepct"")/100),(GOOGLEFINANCE(AH146)-(INDEX(GOOGLEFINANCE(""CURRENCY:""&amp;AH146&amp;"""",""price"",TODAY()-1),2,2)))/(INDEX(GOOGLEFINANCE(""CURRENCY:""&amp;AH146&amp;"""",""price"",TODAY()-1),2,2))),)"),"")</f>
        <v/>
      </c>
      <c r="AN146" s="96" t="str">
        <f>IFERROR(__xludf.DUMMYFUNCTION("IFNA(IFERROR(IF(AH146="""","""",GOOGLEFINANCE(AH146,""change"")*AI146),(GOOGLEFINANCE(AH146)-(INDEX(GOOGLEFINANCE(""CURRENCY:""&amp;AH146&amp;"""",""price"",TODAY()-1),2,2)))*AI146),"""")"),"")</f>
        <v/>
      </c>
      <c r="AO146" s="96" t="str">
        <f>IF(ISBLANK(AH146),"",IFERROR(((AI146-SUMIFS(Transactions!I:I,Transactions!H:H,"Crypto Interest",Transactions!D:D,AH146))*AJ146),""))</f>
        <v/>
      </c>
      <c r="AP146" s="96" t="str">
        <f t="shared" si="16"/>
        <v/>
      </c>
      <c r="AQ146" s="50" t="str">
        <f t="shared" si="17"/>
        <v/>
      </c>
      <c r="AR146" s="96" t="str">
        <f t="shared" si="18"/>
        <v/>
      </c>
      <c r="AS146" s="96" t="str">
        <f>IF(ISBLANK(AH146),"",SUMIFS(Transactions!$X$3:$X149,Transactions!$H$3:$H149,"Sell",Transactions!$D$3:$D149,AH146))</f>
        <v/>
      </c>
      <c r="AT146" s="96" t="str">
        <f t="shared" si="19"/>
        <v/>
      </c>
      <c r="AU146" s="50" t="str">
        <f>IFERROR(__xludf.DUMMYFUNCTION("IF(ISBLANK(AH146),"""",IFERROR((GOOGLEFINANCE(AH146,""price"")/INDEX(GOOGLEFINANCE(AH146,""price"",DATEVALUE(TODAY()-$AU$2) ),2,2)-1),""""))"),"")</f>
        <v/>
      </c>
      <c r="AW146" s="50" t="str">
        <f>IFERROR(__xludf.DUMMYFUNCTION("IF(ISBLANK(AH146),"""",IFERROR((GOOGLEFINANCE($AW$2,""price"")/INDEX(GOOGLEFINANCE($AW$2,""price"",DATEVALUE(TODAY()-$AU$2) ),2,2)-1),""""))"),"")</f>
        <v/>
      </c>
      <c r="AY146" s="50" t="str">
        <f t="shared" si="20"/>
        <v/>
      </c>
      <c r="AZ146" s="50" t="str">
        <f t="shared" si="21"/>
        <v/>
      </c>
      <c r="BA146" s="50" t="str">
        <f t="shared" si="22"/>
        <v/>
      </c>
      <c r="BB146" s="14" t="str">
        <f t="shared" si="23"/>
        <v/>
      </c>
      <c r="BC146" s="14" t="str">
        <f>IF(ISBLANK(AH146),"",IFERROR(VLOOKUP(AH146,Transactions!D:F,3,0)))</f>
        <v/>
      </c>
      <c r="BD146" s="50" t="str">
        <f t="shared" si="24"/>
        <v/>
      </c>
      <c r="BE146" s="50" t="str">
        <f t="shared" si="25"/>
        <v/>
      </c>
      <c r="BF146" s="14" t="str">
        <f t="shared" si="26"/>
        <v/>
      </c>
      <c r="BG146" s="180" t="str">
        <f>IF(ISBLANK(AH146),"",IFERROR(VLOOKUP(AH146,Transactions!D:G,4,0)))</f>
        <v/>
      </c>
    </row>
    <row r="147">
      <c r="A147" s="14" t="str">
        <f t="shared" ref="A147:C147" si="170">AG147</f>
        <v/>
      </c>
      <c r="B147" s="14" t="str">
        <f t="shared" si="170"/>
        <v/>
      </c>
      <c r="C147" s="175" t="str">
        <f t="shared" si="170"/>
        <v/>
      </c>
      <c r="D147" s="176" t="str">
        <f>IFERROR(__xludf.DUMMYFUNCTION("IF(ISBLANK(B147),"""",IFERROR(IF(OR(AF147=""GPB"",AF147=""ZAR""),IF(AF147=Dashboard!$L$1,AJ147,(AJ147*GOOGLEFINANCE(""CURRENCY:""&amp;AF147&amp;""""&amp;Dashboard!$L$1&amp;""""))/100),IF(AF147=Dashboard!$L$1,AJ147,AJ147*GOOGLEFINANCE(""CURRENCY:""&amp;AF147&amp;""""&amp;Dashboard!$L"&amp;"$1&amp;""""))),AJ147))"),"")</f>
        <v/>
      </c>
      <c r="E147" s="177" t="str">
        <f>IFERROR(__xludf.DUMMYFUNCTION("IFERROR(IF(OR(AF147=""GBP"",AF147=""ZAR""),IF(B147="""","""",IF(AF147=Dashboard!$L$1,AK147,AK147*GOOGLEFINANCE(""CURRENCY:""&amp;AF147&amp;""""&amp;Dashboard!$L$1&amp;"""")))/100,If(B147="""","""",IF(AF147=Dashboard!$L$1,AK147,AK147*GOOGLEFINANCE(""CURRENCY:""&amp;AF147&amp;"""""&amp;"&amp;Dashboard!$L$1&amp;"""")))),AK147)"),"")</f>
        <v/>
      </c>
      <c r="F147" s="145" t="str">
        <f t="shared" si="65"/>
        <v/>
      </c>
      <c r="G147" s="96" t="str">
        <f>IFERROR(__xludf.DUMMYFUNCTION("IF(ISBLANK(B147),"""",IFERROR(SPARKLINE(INDEX(GOOGLEFINANCE(B147,""price"",TODAY()-$G$2,TODAY()),,2),{""charttype"",""column"";""color"",""17a7e0""}),""""))"),"")</f>
        <v/>
      </c>
      <c r="H147" s="50" t="str">
        <f t="shared" si="3"/>
        <v/>
      </c>
      <c r="I147" s="96" t="str">
        <f>IFERROR(__xludf.DUMMYFUNCTION("IF(ISBLANK(B147),"""",IFERROR(IF(OR(AF147=""GPB"",AF147=""ZAR""),IF(AF147=Dashboard!$L$1,AN147,(AN147*GOOGLEFINANCE(""CURRENCY:""&amp;AF147&amp;""""&amp;Dashboard!$L$1&amp;""""))/100),IF(AF147=Dashboard!$L$1,AN147,AN147*GOOGLEFINANCE(""CURRENCY:""&amp;AF147&amp;""""&amp;Dashboard!$L"&amp;"$1&amp;""""))),AN147))"),"")</f>
        <v/>
      </c>
      <c r="J147" s="178" t="str">
        <f>IF(ISBLANK(B147),"",IFERROR(((C147-SUMIFS(Transactions!I:I,Transactions!H:H,"Crypto Interest",Transactions!D:D,B147))*D147),""))</f>
        <v/>
      </c>
      <c r="K147" s="178" t="str">
        <f t="shared" si="4"/>
        <v/>
      </c>
      <c r="L147" s="145">
        <f>IF(ISBLANK(AF147),"",SUMIFS(Transactions!$M$3:$M149,Transactions!$H$3:$H149,"Buy",Transactions!$D$3:$D149,AF147))</f>
        <v>0</v>
      </c>
      <c r="M147" s="145">
        <f>IF(ISBLANK(AG147),"",SUMIFS(Transactions!$M$3:$M149,Transactions!$H$3:$H149,"Dividend",Transactions!$D$3:$D149,AG147))</f>
        <v>0</v>
      </c>
      <c r="N147" s="145" t="str">
        <f>IF(ISBLANK(AH147),"",SUMIFS(Transactions!$M$3:$M149,Transactions!$H$3:$H149,"Sell",Transactions!$D$3:$D149,AH147))</f>
        <v/>
      </c>
      <c r="O147" s="50" t="str">
        <f t="shared" si="5"/>
        <v/>
      </c>
      <c r="P147" s="178" t="str">
        <f t="shared" si="6"/>
        <v/>
      </c>
      <c r="Q147" s="178" t="str">
        <f>IFERROR(__xludf.DUMMYFUNCTION("IF(ISBLANK(B147),"""",IFERROR(IF(OR(AF147=""GPB"",AF147=""ZAR""),IF(AF147=Dashboard!$L$1,AS147,(AS147*GOOGLEFINANCE(""CURRENCY:""&amp;AF147&amp;""""&amp;Dashboard!$L$1&amp;""""))/100),IF(AF147=Dashboard!$L$1,AS147,AS147*GOOGLEFINANCE(""CURRENCY:""&amp;AF147&amp;""""&amp;Dashboard!$L"&amp;"$1&amp;""""))),AS147))"),"")</f>
        <v/>
      </c>
      <c r="R147" s="178" t="str">
        <f t="shared" si="7"/>
        <v/>
      </c>
      <c r="S147" s="50" t="str">
        <f>IFERROR(__xludf.DUMMYFUNCTION("IF(ISBLANK(B147),"""",IFERROR((GOOGLEFINANCE(B147,""price"")/INDEX(GOOGLEFINANCE(B147,""price"",DATEVALUE(TODAY()-$S$2) ),2,2)-1),""""))"),"")</f>
        <v/>
      </c>
      <c r="U147" s="50" t="str">
        <f>IFERROR(__xludf.DUMMYFUNCTION("IF(ISBLANK(B147),"""",IFERROR((GOOGLEFINANCE($U$2,""price"")/INDEX(GOOGLEFINANCE($U$2,""price"",DATEVALUE(TODAY()-$S$2) ),2,2)-1),""""))"),"")</f>
        <v/>
      </c>
      <c r="W147" s="50" t="str">
        <f t="shared" si="8"/>
        <v/>
      </c>
      <c r="X147" s="50" t="str">
        <f t="shared" si="9"/>
        <v/>
      </c>
      <c r="Y147" s="50"/>
      <c r="Z147" s="50" t="str">
        <f t="shared" si="10"/>
        <v/>
      </c>
      <c r="AA147" s="14" t="str">
        <f t="shared" si="11"/>
        <v/>
      </c>
      <c r="AB147" s="50" t="str">
        <f t="shared" si="12"/>
        <v/>
      </c>
      <c r="AC147" s="179" t="str">
        <f t="shared" si="13"/>
        <v/>
      </c>
      <c r="AD147" s="50" t="str">
        <f t="shared" si="14"/>
        <v/>
      </c>
      <c r="AE147" s="180" t="str">
        <f t="shared" si="15"/>
        <v/>
      </c>
      <c r="AF147" s="14" t="str">
        <f t="array" ref="AF147">IFERROR(IF(ISBLANK(AH147),"",IF(VLOOKUP(AH147,Transactions!D:F,3,0)="Stablecoin",AH147,INDEX(Transactions!$B$3:$B149,MATCH(AH147,Transactions!$D$3:$D149,0),0))))</f>
        <v/>
      </c>
      <c r="AG147" s="14" t="str">
        <f>IF(ISBLANK(AH147),"",VLOOKUP(AH147,Transactions!D:E,2,0))</f>
        <v/>
      </c>
      <c r="AH147" s="14"/>
      <c r="AI147" s="146" t="str">
        <f>IF(ISBLANK(AH147),"",IF(
SUMIFS(Transactions!$I$3:$I149,Transactions!$H$3:$H149,"Buy",Transactions!$F$3:$F149,"Stock",Transactions!$D$3:$D149,AH147)
+SUMIFS(Transactions!$I$3:$I149,Transactions!$H$3:$H149,"DRIP",Transactions!$F$3:$F149,"Stock",Transactions!$D$3:$D149,AH147)
+SUMIFS(Transactions!$I$3:$I149,Transactions!$H$3:$H149,"Transfer Deposit",Transactions!$F$3:$F149,"Stock",Transactions!$D$3:$D149,AH147)
+SUMIFS(Transactions!$I$3:$I149,Transactions!$H$3:$H149,"Buy",Transactions!$F$3:$F149,"ETF",Transactions!$D$3:$D149,AH147)
+SUMIFS(Transactions!$I$3:$I149,Transactions!$H$3:$H149,"DRIP",Transactions!$F$3:$F149,"ETF",Transactions!$D$3:$D149,AH147)
+SUMIFS(Transactions!$I$3:$I149,Transactions!$H$3:$H149,"Transfer Deposit",Transactions!$F$3:$F149,"ETF",Transactions!$D$3:$D149,AH147)
+SUMIFS(Transactions!$I$3:$I149,Transactions!$H$3:$H149,"Buy",Transactions!$F$3:$F149,"Commodity",Transactions!$D$3:$D149,AH147)
+SUMIFS(Transactions!$I$3:$I149,Transactions!$H$3:$H149,"DRIP",Transactions!$F$3:$F149,"Commodity",Transactions!$D$3:$D149,AH147)
+SUMIFS(Transactions!$I$3:$I149,Transactions!$H$3:$H149,"Transfer Deposit",Transactions!$F$3:$F149,"Commodity",Transactions!$D$3:$D149,AH147)
+SUMIFS(Transactions!$I$3:$I149,Transactions!$H$3:$H149,"Buy",Transactions!$F$3:$F149,"Managed Fund",Transactions!$D$3:$D149,AH147)
+SUMIFS(Transactions!$I$3:$I149,Transactions!$H$3:$H149,"DRIP",Transactions!$F$3:$F149,"Managed Fund",Transactions!$D$3:$D149,AH147)
+SUMIFS(Transactions!$I$3:$I149,Transactions!$H$3:$H149,"Transfer Deposit",Transactions!$F$3:$F149,"Managed Fund",Transactions!$D$3:$D149,AH147)
+SUMIFS(Transactions!$I$3:$I149,Transactions!$H$3:$H149,"Buy",Transactions!$F$3:$F149,"REIT",Transactions!$D$3:$D149,AH147)
+SUMIFS(Transactions!$I$3:$I149,Transactions!$H$3:$H149,"DRIP",Transactions!$F$3:$F149,"REIT",Transactions!$D$3:$D149,AH147)
+SUMIFS(Transactions!$I$3:$I149,Transactions!$H$3:$H149,"Transfer Deposit",Transactions!$F$3:$F149,"REIT",Transactions!$D$3:$D149,AH147)
-SUMIFS(Transactions!$I$3:$I149,Transactions!$H$3:$H149,"Sell",Transactions!$F$3:$F149,"Stock",Transactions!$D$3:$D149,AH147)
-SUMIFS(Transactions!$I$3:$I149,Transactions!$H$3:$H149,"Transfer Send",Transactions!$F$3:$F149,"Stock",Transactions!$D$3:$D149,AH147)
-SUMIFS(Transactions!$I$3:$I149,Transactions!$H$3:$H149,"Sell",Transactions!$F$3:$F149,"ETF",Transactions!$D$3:$D149,AH147)
-SUMIFS(Transactions!$I$3:$I149,Transactions!$H$3:$H149,"Transfer Send",Transactions!$F$3:$F149,"ETF",Transactions!$D$3:$D149,AH147)
-SUMIFS(Transactions!$I$3:$I149,Transactions!$H$3:$H149,"Sell",Transactions!$F$3:$F149,"Commodity",Transactions!$D$3:$D149,AH147)
-SUMIFS(Transactions!$I$3:$I149,Transactions!$H$3:$H149,"Transfer Send",Transactions!$F$3:$F149,"Commodity",Transactions!$D$3:$D149,AH147)
-SUMIFS(Transactions!$I$3:$I149,Transactions!$H$3:$H149,"Sell",Transactions!$F$3:$F149,"Managed Fund",Transactions!$D$3:$D149,AH147)
-SUMIFS(Transactions!$I$3:$I149,Transactions!$H$3:$H149,"Transfer Send",Transactions!$F$3:$F149,"Managed Fund",Transactions!$D$3:$D149,AH147)
-SUMIFS(Transactions!$I$3:$I149,Transactions!$H$3:$H149,"Sell",Transactions!$F$3:$F149,"REIT",Transactions!$D$3:$D149,AH147)
-SUMIFS(Transactions!$I$3:$I149,Transactions!$H$3:$H149,"Transfer Send",Transactions!$F$3:$F149,"REIT",Transactions!$D$3:$D149,AH147)
+SUMIFS(Transactions!$I$3:$I149,Transactions!$H$3:$H149,"Buy",Transactions!$F$3:$F149,"Crypto",Transactions!$D$3:$D149,AH147)
+SUMIFS(Transactions!$I$3:$I149,Transactions!$H$3:$H149,"Crypto Interest",Transactions!$F$3:$F149,"Crypto",Transactions!$D$3:$D149,AH147)
+SUMIFS(Transactions!$I$3:$I149,Transactions!$H$3:$H149,"Transfer Deposit",Transactions!$F$3:$F149,"Crypto",Transactions!$D$3:$D149,AH147)
-SUMIFS(Transactions!$I$3:$I149,Transactions!$H$3:$H149,"Transfer Send",Transactions!$F$3:$F149,"Crypto",Transactions!$D$3:$D149,AH147)
-SUMIFS(Transactions!$I$3:$I149,Transactions!$H$3:$H149,"Sell",Transactions!$F$3:$F149,"Crypto",Transactions!$D$3:$D149,AH147)
+SUMIFS(Transactions!$I$3:$I149,Transactions!$H$3:$H149,"Buy",Transactions!$F$3:$F149,"Stablecoin",Transactions!$D$3:$D149,AH147)
+SUMIFS(Transactions!$I$3:$I149,Transactions!$H$3:$H149,"Crypto Interest",Transactions!$F$3:$F149,"Stablecoin",Transactions!$D$3:$D149,AH147)
+SUMIFS(Transactions!$I$3:$I149,Transactions!$H$3:$H149,"Transfer Deposit",Transactions!$F$3:$F149,"Stablecoin",Transactions!$D$3:$D149,AH147)
-SUMIFS(Transactions!$I$3:$I149,Transactions!$H$3:$H149,"Transfer Send",Transactions!$F$3:$F149,"Stablecoin",Transactions!$D$3:$D149,AH147)
-SUMIFS(Transactions!$I$3:$I149,Transactions!$H$3:$H149,"Sell",Transactions!$F$3:$F149,"Stablecoin",Transactions!$D$3:$D149,AH147)
-SUMIFS(Transactions!$M$3:$M149,Transactions!$H$3:$H149,"Buy",Transactions!$B$3:$B149,AH147)=0,"Sold All",
SUMIFS(Transactions!$I$3:$I149,Transactions!$H$3:$H149,"Buy",Transactions!$F$3:$F149,"Stock",Transactions!$D$3:$D149,AH147)
+SUMIFS(Transactions!$I$3:$I149,Transactions!$H$3:$H149,"DRIP",Transactions!$F$3:$F149,"Stock",Transactions!$D$3:$D149,AH147)
+SUMIFS(Transactions!$I$3:$I149,Transactions!$H$3:$H149,"Transfer Deposit",Transactions!$F$3:$F149,"Stock",Transactions!$D$3:$D149,AH147)
+SUMIFS(Transactions!$I$3:$I149,Transactions!$H$3:$H149,"Buy",Transactions!$F$3:$F149,"ETF",Transactions!$D$3:$D149,AH147)
+SUMIFS(Transactions!$I$3:$I149,Transactions!$H$3:$H149,"DRIP",Transactions!$F$3:$F149,"ETF",Transactions!$D$3:$D149,AH147)
+SUMIFS(Transactions!$I$3:$I149,Transactions!$H$3:$H149,"Transfer Deposit",Transactions!$F$3:$F149,"ETF",Transactions!$D$3:$D149,AH147)
+SUMIFS(Transactions!$I$3:$I149,Transactions!$H$3:$H149,"Buy",Transactions!$F$3:$F149,"Commodity",Transactions!$D$3:$D149,AH147)
+SUMIFS(Transactions!$I$3:$I149,Transactions!$H$3:$H149,"DRIP",Transactions!$F$3:$F149,"Commodity",Transactions!$D$3:$D149,AH147)
+SUMIFS(Transactions!$I$3:$I149,Transactions!$H$3:$H149,"Transfer Deposit",Transactions!$F$3:$F149,"Commodity",Transactions!$D$3:$D149,AH147)
+SUMIFS(Transactions!$I$3:$I149,Transactions!$H$3:$H149,"Buy",Transactions!$F$3:$F149,"Managed Fund",Transactions!$D$3:$D149,AH147)
+SUMIFS(Transactions!$I$3:$I149,Transactions!$H$3:$H149,"DRIP",Transactions!$F$3:$F149,"Managed Fund",Transactions!$D$3:$D149,AH147)
+SUMIFS(Transactions!$I$3:$I149,Transactions!$H$3:$H149,"Transfer Deposit",Transactions!$F$3:$F149,"Managed Fund",Transactions!$D$3:$D149,AH147)
+SUMIFS(Transactions!$I$3:$I149,Transactions!$H$3:$H149,"Buy",Transactions!$F$3:$F149,"REIT",Transactions!$D$3:$D149,AH147)
+SUMIFS(Transactions!$I$3:$I149,Transactions!$H$3:$H149,"DRIP",Transactions!$F$3:$F149,"REIT",Transactions!$D$3:$D149,AH147)
+SUMIFS(Transactions!$I$3:$I149,Transactions!$H$3:$H149,"Transfer Deposit",Transactions!$F$3:$F149,"REIT",Transactions!$D$3:$D149,AH147)
-SUMIFS(Transactions!$I$3:$I149,Transactions!$H$3:$H149,"Sell",Transactions!$F$3:$F149,"Stock",Transactions!$D$3:$D149,AH147)
-SUMIFS(Transactions!$I$3:$I149,Transactions!$H$3:$H149,"Transfer Send",Transactions!$F$3:$F149,"Stock",Transactions!$D$3:$D149,AH147)
-SUMIFS(Transactions!$I$3:$I149,Transactions!$H$3:$H149,"Sell",Transactions!$F$3:$F149,"ETF",Transactions!$D$3:$D149,AH147)
-SUMIFS(Transactions!$I$3:$I149,Transactions!$H$3:$H149,"Transfer Send",Transactions!$F$3:$F149,"ETF",Transactions!$D$3:$D149,AH147)
-SUMIFS(Transactions!$I$3:$I149,Transactions!$H$3:$H149,"Sell",Transactions!$F$3:$F149,"Commodity",Transactions!$D$3:$D149,AH147)
-SUMIFS(Transactions!$I$3:$I149,Transactions!$H$3:$H149,"Transfer Send",Transactions!$F$3:$F149,"Commodity",Transactions!$D$3:$D149,AH147)
-SUMIFS(Transactions!$I$3:$I149,Transactions!$H$3:$H149,"Sell",Transactions!$F$3:$F149,"Managed Fund",Transactions!$D$3:$D149,AH147)
-SUMIFS(Transactions!$I$3:$I149,Transactions!$H$3:$H149,"Transfer Send",Transactions!$F$3:$F149,"Managed Fund",Transactions!$D$3:$D149,AH147)
-SUMIFS(Transactions!$I$3:$I149,Transactions!$H$3:$H149,"Sell",Transactions!$F$3:$F149,"REIT",Transactions!$D$3:$D149,AH147)
-SUMIFS(Transactions!$I$3:$I149,Transactions!$H$3:$H149,"Transfer Send",Transactions!$F$3:$F149,"REIT",Transactions!$D$3:$D149,AH147)
+SUMIFS(Transactions!$I$3:$I149,Transactions!$H$3:$H149,"Buy",Transactions!$F$3:$F149,"Crypto",Transactions!$D$3:$D149,AH147)
+SUMIFS(Transactions!$I$3:$I149,Transactions!$H$3:$H149,"Crypto Interest",Transactions!$F$3:$F149,"Crypto",Transactions!$D$3:$D149,AH147)
+SUMIFS(Transactions!$I$3:$I149,Transactions!$H$3:$H149,"Transfer Deposit",Transactions!$F$3:$F149,"Crypto",Transactions!$D$3:$D149,AH147)
-SUMIFS(Transactions!$I$3:$I149,Transactions!$H$3:$H149,"Transfer Send",Transactions!$F$3:$F149,"Crypto",Transactions!$D$3:$D149,AH147)
-SUMIFS(Transactions!$I$3:$I149,Transactions!$H$3:$H149,"Sell",Transactions!$F$3:$F149,"Crypto",Transactions!$D$3:$D149,AH147)
+SUMIFS(Transactions!$I$3:$I149,Transactions!$H$3:$H149,"Buy",Transactions!$F$3:$F149,"Stablecoin",Transactions!$D$3:$D149,AH147)
+SUMIFS(Transactions!$I$3:$I149,Transactions!$H$3:$H149,"Crypto Interest",Transactions!$F$3:$F149,"Stablecoin",Transactions!$D$3:$D149,AH147)
+SUMIFS(Transactions!$I$3:$I149,Transactions!$H$3:$H149,"Transfer Deposit",Transactions!$F$3:$F149,"Stablecoin",Transactions!$D$3:$D149,AH147)
-SUMIFS(Transactions!$I$3:$I149,Transactions!$H$3:$H149,"Transfer Send",Transactions!$F$3:$F149,"Stablecoin",Transactions!$D$3:$D149,AH147)
-SUMIFS(Transactions!$I$3:$I149,Transactions!$H$3:$H149,"Sell",Transactions!$F$3:$F149,"Stablecoin",Transactions!$D$3:$D149,AH147)
-SUMIFS(Transactions!$M$3:$M149,Transactions!$H$3:$H149,"Buy",Transactions!$B$3:$B149,AH147)))</f>
        <v/>
      </c>
      <c r="AJ147" s="181" t="str">
        <f>IFERROR(__xludf.DUMMYFUNCTION("IF(ISBLANK(AH147),"""",VLOOKUP(9^99,FILTER({ROW(Transactions!P:P),Transactions!P:P},Transactions!D:D=AH147),2))"),"")</f>
        <v/>
      </c>
      <c r="AK147" s="181" t="str">
        <f>IFERROR(__xludf.DUMMYFUNCTION("IF(ISBLANK(AH147),"""",IFERROR(GOOGLEFINANCE(AH147,""price""),IFERROR(GOOGLEFINANCE(""CURRENCY:""&amp;AH147&amp;""""),IFERROR(INDEX(YAHOO_STOCK(TRIM(AH147), $G$2),0,1),INDEX(IMPORTHTML(CONCAT(""https://coinmarketcap.com/currencies/"",AG147),""table"",1),1,2)))))"),"")</f>
        <v/>
      </c>
      <c r="AL147" s="14" t="str">
        <f>IFERROR(__xludf.DUMMYFUNCTION("IF(ISBLANK(AH147),"""",IFERROR(SPARKLINE(INDEX(GOOGLEFINANCE(AH147,""price"",TODAY()-$AL$2,TODAY()),,2),{""charttype"",""column"";""color"",""17a7e0""}),""""))"),"")</f>
        <v/>
      </c>
      <c r="AM147" s="50" t="str">
        <f>IFERROR(__xludf.DUMMYFUNCTION("IFNA(IFERROR(IF(AH147="""","""",GOOGLEFINANCE(AH147,""changepct"")/100),(GOOGLEFINANCE(AH147)-(INDEX(GOOGLEFINANCE(""CURRENCY:""&amp;AH147&amp;"""",""price"",TODAY()-1),2,2)))/(INDEX(GOOGLEFINANCE(""CURRENCY:""&amp;AH147&amp;"""",""price"",TODAY()-1),2,2))),)"),"")</f>
        <v/>
      </c>
      <c r="AN147" s="96" t="str">
        <f>IFERROR(__xludf.DUMMYFUNCTION("IFNA(IFERROR(IF(AH147="""","""",GOOGLEFINANCE(AH147,""change"")*AI147),(GOOGLEFINANCE(AH147)-(INDEX(GOOGLEFINANCE(""CURRENCY:""&amp;AH147&amp;"""",""price"",TODAY()-1),2,2)))*AI147),"""")"),"")</f>
        <v/>
      </c>
      <c r="AO147" s="96" t="str">
        <f>IF(ISBLANK(AH147),"",IFERROR(((AI147-SUMIFS(Transactions!I:I,Transactions!H:H,"Crypto Interest",Transactions!D:D,AH147))*AJ147),""))</f>
        <v/>
      </c>
      <c r="AP147" s="96" t="str">
        <f t="shared" si="16"/>
        <v/>
      </c>
      <c r="AQ147" s="50" t="str">
        <f t="shared" si="17"/>
        <v/>
      </c>
      <c r="AR147" s="96" t="str">
        <f t="shared" si="18"/>
        <v/>
      </c>
      <c r="AS147" s="96" t="str">
        <f>IF(ISBLANK(AH147),"",SUMIFS(Transactions!$X$3:$X149,Transactions!$H$3:$H149,"Sell",Transactions!$D$3:$D149,AH147))</f>
        <v/>
      </c>
      <c r="AT147" s="96" t="str">
        <f t="shared" si="19"/>
        <v/>
      </c>
      <c r="AU147" s="50" t="str">
        <f>IFERROR(__xludf.DUMMYFUNCTION("IF(ISBLANK(AH147),"""",IFERROR((GOOGLEFINANCE(AH147,""price"")/INDEX(GOOGLEFINANCE(AH147,""price"",DATEVALUE(TODAY()-$AU$2) ),2,2)-1),""""))"),"")</f>
        <v/>
      </c>
      <c r="AW147" s="50" t="str">
        <f>IFERROR(__xludf.DUMMYFUNCTION("IF(ISBLANK(AH147),"""",IFERROR((GOOGLEFINANCE($AW$2,""price"")/INDEX(GOOGLEFINANCE($AW$2,""price"",DATEVALUE(TODAY()-$AU$2) ),2,2)-1),""""))"),"")</f>
        <v/>
      </c>
      <c r="AY147" s="50" t="str">
        <f t="shared" si="20"/>
        <v/>
      </c>
      <c r="AZ147" s="50" t="str">
        <f t="shared" si="21"/>
        <v/>
      </c>
      <c r="BA147" s="50" t="str">
        <f t="shared" si="22"/>
        <v/>
      </c>
      <c r="BB147" s="14" t="str">
        <f t="shared" si="23"/>
        <v/>
      </c>
      <c r="BC147" s="14" t="str">
        <f>IF(ISBLANK(AH147),"",IFERROR(VLOOKUP(AH147,Transactions!D:F,3,0)))</f>
        <v/>
      </c>
      <c r="BD147" s="50" t="str">
        <f t="shared" si="24"/>
        <v/>
      </c>
      <c r="BE147" s="50" t="str">
        <f t="shared" si="25"/>
        <v/>
      </c>
      <c r="BF147" s="14" t="str">
        <f t="shared" si="26"/>
        <v/>
      </c>
      <c r="BG147" s="180" t="str">
        <f>IF(ISBLANK(AH147),"",IFERROR(VLOOKUP(AH147,Transactions!D:G,4,0)))</f>
        <v/>
      </c>
    </row>
    <row r="148">
      <c r="A148" s="14" t="str">
        <f t="shared" ref="A148:C148" si="171">AG148</f>
        <v/>
      </c>
      <c r="B148" s="14" t="str">
        <f t="shared" si="171"/>
        <v/>
      </c>
      <c r="C148" s="175" t="str">
        <f t="shared" si="171"/>
        <v/>
      </c>
      <c r="D148" s="176" t="str">
        <f>IFERROR(__xludf.DUMMYFUNCTION("IF(ISBLANK(B148),"""",IFERROR(IF(OR(AF148=""GPB"",AF148=""ZAR""),IF(AF148=Dashboard!$L$1,AJ148,(AJ148*GOOGLEFINANCE(""CURRENCY:""&amp;AF148&amp;""""&amp;Dashboard!$L$1&amp;""""))/100),IF(AF148=Dashboard!$L$1,AJ148,AJ148*GOOGLEFINANCE(""CURRENCY:""&amp;AF148&amp;""""&amp;Dashboard!$L"&amp;"$1&amp;""""))),AJ148))"),"")</f>
        <v/>
      </c>
      <c r="E148" s="177" t="str">
        <f>IFERROR(__xludf.DUMMYFUNCTION("IFERROR(IF(OR(AF148=""GBP"",AF148=""ZAR""),IF(B148="""","""",IF(AF148=Dashboard!$L$1,AK148,AK148*GOOGLEFINANCE(""CURRENCY:""&amp;AF148&amp;""""&amp;Dashboard!$L$1&amp;"""")))/100,If(B148="""","""",IF(AF148=Dashboard!$L$1,AK148,AK148*GOOGLEFINANCE(""CURRENCY:""&amp;AF148&amp;"""""&amp;"&amp;Dashboard!$L$1&amp;"""")))),AK148)"),"")</f>
        <v/>
      </c>
      <c r="F148" s="145" t="str">
        <f t="shared" si="65"/>
        <v/>
      </c>
      <c r="G148" s="96" t="str">
        <f>IFERROR(__xludf.DUMMYFUNCTION("IF(ISBLANK(B148),"""",IFERROR(SPARKLINE(INDEX(GOOGLEFINANCE(B148,""price"",TODAY()-$G$2,TODAY()),,2),{""charttype"",""column"";""color"",""17a7e0""}),""""))"),"")</f>
        <v/>
      </c>
      <c r="H148" s="50" t="str">
        <f t="shared" si="3"/>
        <v/>
      </c>
      <c r="I148" s="96" t="str">
        <f>IFERROR(__xludf.DUMMYFUNCTION("IF(ISBLANK(B148),"""",IFERROR(IF(OR(AF148=""GPB"",AF148=""ZAR""),IF(AF148=Dashboard!$L$1,AN148,(AN148*GOOGLEFINANCE(""CURRENCY:""&amp;AF148&amp;""""&amp;Dashboard!$L$1&amp;""""))/100),IF(AF148=Dashboard!$L$1,AN148,AN148*GOOGLEFINANCE(""CURRENCY:""&amp;AF148&amp;""""&amp;Dashboard!$L"&amp;"$1&amp;""""))),AN148))"),"")</f>
        <v/>
      </c>
      <c r="J148" s="178" t="str">
        <f>IF(ISBLANK(B148),"",IFERROR(((C148-SUMIFS(Transactions!I:I,Transactions!H:H,"Crypto Interest",Transactions!D:D,B148))*D148),""))</f>
        <v/>
      </c>
      <c r="K148" s="178" t="str">
        <f t="shared" si="4"/>
        <v/>
      </c>
      <c r="L148" s="145">
        <f>IF(ISBLANK(AF148),"",SUMIFS(Transactions!$M$3:$M149,Transactions!$H$3:$H149,"Buy",Transactions!$D$3:$D149,AF148))</f>
        <v>0</v>
      </c>
      <c r="M148" s="145">
        <f>IF(ISBLANK(AG148),"",SUMIFS(Transactions!$M$3:$M149,Transactions!$H$3:$H149,"Dividend",Transactions!$D$3:$D149,AG148))</f>
        <v>0</v>
      </c>
      <c r="N148" s="145" t="str">
        <f>IF(ISBLANK(AH148),"",SUMIFS(Transactions!$M$3:$M149,Transactions!$H$3:$H149,"Sell",Transactions!$D$3:$D149,AH148))</f>
        <v/>
      </c>
      <c r="O148" s="50" t="str">
        <f t="shared" si="5"/>
        <v/>
      </c>
      <c r="P148" s="178" t="str">
        <f t="shared" si="6"/>
        <v/>
      </c>
      <c r="Q148" s="178" t="str">
        <f>IFERROR(__xludf.DUMMYFUNCTION("IF(ISBLANK(B148),"""",IFERROR(IF(OR(AF148=""GPB"",AF148=""ZAR""),IF(AF148=Dashboard!$L$1,AS148,(AS148*GOOGLEFINANCE(""CURRENCY:""&amp;AF148&amp;""""&amp;Dashboard!$L$1&amp;""""))/100),IF(AF148=Dashboard!$L$1,AS148,AS148*GOOGLEFINANCE(""CURRENCY:""&amp;AF148&amp;""""&amp;Dashboard!$L"&amp;"$1&amp;""""))),AS148))"),"")</f>
        <v/>
      </c>
      <c r="R148" s="178" t="str">
        <f t="shared" si="7"/>
        <v/>
      </c>
      <c r="S148" s="50" t="str">
        <f>IFERROR(__xludf.DUMMYFUNCTION("IF(ISBLANK(B148),"""",IFERROR((GOOGLEFINANCE(B148,""price"")/INDEX(GOOGLEFINANCE(B148,""price"",DATEVALUE(TODAY()-$S$2) ),2,2)-1),""""))"),"")</f>
        <v/>
      </c>
      <c r="U148" s="50" t="str">
        <f>IFERROR(__xludf.DUMMYFUNCTION("IF(ISBLANK(B148),"""",IFERROR((GOOGLEFINANCE($U$2,""price"")/INDEX(GOOGLEFINANCE($U$2,""price"",DATEVALUE(TODAY()-$S$2) ),2,2)-1),""""))"),"")</f>
        <v/>
      </c>
      <c r="W148" s="50" t="str">
        <f t="shared" si="8"/>
        <v/>
      </c>
      <c r="X148" s="50" t="str">
        <f t="shared" si="9"/>
        <v/>
      </c>
      <c r="Y148" s="50"/>
      <c r="Z148" s="50" t="str">
        <f t="shared" si="10"/>
        <v/>
      </c>
      <c r="AA148" s="14" t="str">
        <f t="shared" si="11"/>
        <v/>
      </c>
      <c r="AB148" s="50" t="str">
        <f t="shared" si="12"/>
        <v/>
      </c>
      <c r="AC148" s="179" t="str">
        <f t="shared" si="13"/>
        <v/>
      </c>
      <c r="AD148" s="50" t="str">
        <f t="shared" si="14"/>
        <v/>
      </c>
      <c r="AE148" s="180" t="str">
        <f t="shared" si="15"/>
        <v/>
      </c>
      <c r="AF148" s="14" t="str">
        <f t="array" ref="AF148">IFERROR(IF(ISBLANK(AH148),"",IF(VLOOKUP(AH148,Transactions!D:F,3,0)="Stablecoin",AH148,INDEX(Transactions!$B$3:$B149,MATCH(AH148,Transactions!$D$3:$D149,0),0))))</f>
        <v/>
      </c>
      <c r="AG148" s="14" t="str">
        <f>IF(ISBLANK(AH148),"",VLOOKUP(AH148,Transactions!D:E,2,0))</f>
        <v/>
      </c>
      <c r="AH148" s="14"/>
      <c r="AI148" s="146" t="str">
        <f>IF(ISBLANK(AH148),"",IF(
SUMIFS(Transactions!$I$3:$I149,Transactions!$H$3:$H149,"Buy",Transactions!$F$3:$F149,"Stock",Transactions!$D$3:$D149,AH148)
+SUMIFS(Transactions!$I$3:$I149,Transactions!$H$3:$H149,"DRIP",Transactions!$F$3:$F149,"Stock",Transactions!$D$3:$D149,AH148)
+SUMIFS(Transactions!$I$3:$I149,Transactions!$H$3:$H149,"Transfer Deposit",Transactions!$F$3:$F149,"Stock",Transactions!$D$3:$D149,AH148)
+SUMIFS(Transactions!$I$3:$I149,Transactions!$H$3:$H149,"Buy",Transactions!$F$3:$F149,"ETF",Transactions!$D$3:$D149,AH148)
+SUMIFS(Transactions!$I$3:$I149,Transactions!$H$3:$H149,"DRIP",Transactions!$F$3:$F149,"ETF",Transactions!$D$3:$D149,AH148)
+SUMIFS(Transactions!$I$3:$I149,Transactions!$H$3:$H149,"Transfer Deposit",Transactions!$F$3:$F149,"ETF",Transactions!$D$3:$D149,AH148)
+SUMIFS(Transactions!$I$3:$I149,Transactions!$H$3:$H149,"Buy",Transactions!$F$3:$F149,"Commodity",Transactions!$D$3:$D149,AH148)
+SUMIFS(Transactions!$I$3:$I149,Transactions!$H$3:$H149,"DRIP",Transactions!$F$3:$F149,"Commodity",Transactions!$D$3:$D149,AH148)
+SUMIFS(Transactions!$I$3:$I149,Transactions!$H$3:$H149,"Transfer Deposit",Transactions!$F$3:$F149,"Commodity",Transactions!$D$3:$D149,AH148)
+SUMIFS(Transactions!$I$3:$I149,Transactions!$H$3:$H149,"Buy",Transactions!$F$3:$F149,"Managed Fund",Transactions!$D$3:$D149,AH148)
+SUMIFS(Transactions!$I$3:$I149,Transactions!$H$3:$H149,"DRIP",Transactions!$F$3:$F149,"Managed Fund",Transactions!$D$3:$D149,AH148)
+SUMIFS(Transactions!$I$3:$I149,Transactions!$H$3:$H149,"Transfer Deposit",Transactions!$F$3:$F149,"Managed Fund",Transactions!$D$3:$D149,AH148)
+SUMIFS(Transactions!$I$3:$I149,Transactions!$H$3:$H149,"Buy",Transactions!$F$3:$F149,"REIT",Transactions!$D$3:$D149,AH148)
+SUMIFS(Transactions!$I$3:$I149,Transactions!$H$3:$H149,"DRIP",Transactions!$F$3:$F149,"REIT",Transactions!$D$3:$D149,AH148)
+SUMIFS(Transactions!$I$3:$I149,Transactions!$H$3:$H149,"Transfer Deposit",Transactions!$F$3:$F149,"REIT",Transactions!$D$3:$D149,AH148)
-SUMIFS(Transactions!$I$3:$I149,Transactions!$H$3:$H149,"Sell",Transactions!$F$3:$F149,"Stock",Transactions!$D$3:$D149,AH148)
-SUMIFS(Transactions!$I$3:$I149,Transactions!$H$3:$H149,"Transfer Send",Transactions!$F$3:$F149,"Stock",Transactions!$D$3:$D149,AH148)
-SUMIFS(Transactions!$I$3:$I149,Transactions!$H$3:$H149,"Sell",Transactions!$F$3:$F149,"ETF",Transactions!$D$3:$D149,AH148)
-SUMIFS(Transactions!$I$3:$I149,Transactions!$H$3:$H149,"Transfer Send",Transactions!$F$3:$F149,"ETF",Transactions!$D$3:$D149,AH148)
-SUMIFS(Transactions!$I$3:$I149,Transactions!$H$3:$H149,"Sell",Transactions!$F$3:$F149,"Commodity",Transactions!$D$3:$D149,AH148)
-SUMIFS(Transactions!$I$3:$I149,Transactions!$H$3:$H149,"Transfer Send",Transactions!$F$3:$F149,"Commodity",Transactions!$D$3:$D149,AH148)
-SUMIFS(Transactions!$I$3:$I149,Transactions!$H$3:$H149,"Sell",Transactions!$F$3:$F149,"Managed Fund",Transactions!$D$3:$D149,AH148)
-SUMIFS(Transactions!$I$3:$I149,Transactions!$H$3:$H149,"Transfer Send",Transactions!$F$3:$F149,"Managed Fund",Transactions!$D$3:$D149,AH148)
-SUMIFS(Transactions!$I$3:$I149,Transactions!$H$3:$H149,"Sell",Transactions!$F$3:$F149,"REIT",Transactions!$D$3:$D149,AH148)
-SUMIFS(Transactions!$I$3:$I149,Transactions!$H$3:$H149,"Transfer Send",Transactions!$F$3:$F149,"REIT",Transactions!$D$3:$D149,AH148)
+SUMIFS(Transactions!$I$3:$I149,Transactions!$H$3:$H149,"Buy",Transactions!$F$3:$F149,"Crypto",Transactions!$D$3:$D149,AH148)
+SUMIFS(Transactions!$I$3:$I149,Transactions!$H$3:$H149,"Crypto Interest",Transactions!$F$3:$F149,"Crypto",Transactions!$D$3:$D149,AH148)
+SUMIFS(Transactions!$I$3:$I149,Transactions!$H$3:$H149,"Transfer Deposit",Transactions!$F$3:$F149,"Crypto",Transactions!$D$3:$D149,AH148)
-SUMIFS(Transactions!$I$3:$I149,Transactions!$H$3:$H149,"Transfer Send",Transactions!$F$3:$F149,"Crypto",Transactions!$D$3:$D149,AH148)
-SUMIFS(Transactions!$I$3:$I149,Transactions!$H$3:$H149,"Sell",Transactions!$F$3:$F149,"Crypto",Transactions!$D$3:$D149,AH148)
+SUMIFS(Transactions!$I$3:$I149,Transactions!$H$3:$H149,"Buy",Transactions!$F$3:$F149,"Stablecoin",Transactions!$D$3:$D149,AH148)
+SUMIFS(Transactions!$I$3:$I149,Transactions!$H$3:$H149,"Crypto Interest",Transactions!$F$3:$F149,"Stablecoin",Transactions!$D$3:$D149,AH148)
+SUMIFS(Transactions!$I$3:$I149,Transactions!$H$3:$H149,"Transfer Deposit",Transactions!$F$3:$F149,"Stablecoin",Transactions!$D$3:$D149,AH148)
-SUMIFS(Transactions!$I$3:$I149,Transactions!$H$3:$H149,"Transfer Send",Transactions!$F$3:$F149,"Stablecoin",Transactions!$D$3:$D149,AH148)
-SUMIFS(Transactions!$I$3:$I149,Transactions!$H$3:$H149,"Sell",Transactions!$F$3:$F149,"Stablecoin",Transactions!$D$3:$D149,AH148)
-SUMIFS(Transactions!$M$3:$M149,Transactions!$H$3:$H149,"Buy",Transactions!$B$3:$B149,AH148)=0,"Sold All",
SUMIFS(Transactions!$I$3:$I149,Transactions!$H$3:$H149,"Buy",Transactions!$F$3:$F149,"Stock",Transactions!$D$3:$D149,AH148)
+SUMIFS(Transactions!$I$3:$I149,Transactions!$H$3:$H149,"DRIP",Transactions!$F$3:$F149,"Stock",Transactions!$D$3:$D149,AH148)
+SUMIFS(Transactions!$I$3:$I149,Transactions!$H$3:$H149,"Transfer Deposit",Transactions!$F$3:$F149,"Stock",Transactions!$D$3:$D149,AH148)
+SUMIFS(Transactions!$I$3:$I149,Transactions!$H$3:$H149,"Buy",Transactions!$F$3:$F149,"ETF",Transactions!$D$3:$D149,AH148)
+SUMIFS(Transactions!$I$3:$I149,Transactions!$H$3:$H149,"DRIP",Transactions!$F$3:$F149,"ETF",Transactions!$D$3:$D149,AH148)
+SUMIFS(Transactions!$I$3:$I149,Transactions!$H$3:$H149,"Transfer Deposit",Transactions!$F$3:$F149,"ETF",Transactions!$D$3:$D149,AH148)
+SUMIFS(Transactions!$I$3:$I149,Transactions!$H$3:$H149,"Buy",Transactions!$F$3:$F149,"Commodity",Transactions!$D$3:$D149,AH148)
+SUMIFS(Transactions!$I$3:$I149,Transactions!$H$3:$H149,"DRIP",Transactions!$F$3:$F149,"Commodity",Transactions!$D$3:$D149,AH148)
+SUMIFS(Transactions!$I$3:$I149,Transactions!$H$3:$H149,"Transfer Deposit",Transactions!$F$3:$F149,"Commodity",Transactions!$D$3:$D149,AH148)
+SUMIFS(Transactions!$I$3:$I149,Transactions!$H$3:$H149,"Buy",Transactions!$F$3:$F149,"Managed Fund",Transactions!$D$3:$D149,AH148)
+SUMIFS(Transactions!$I$3:$I149,Transactions!$H$3:$H149,"DRIP",Transactions!$F$3:$F149,"Managed Fund",Transactions!$D$3:$D149,AH148)
+SUMIFS(Transactions!$I$3:$I149,Transactions!$H$3:$H149,"Transfer Deposit",Transactions!$F$3:$F149,"Managed Fund",Transactions!$D$3:$D149,AH148)
+SUMIFS(Transactions!$I$3:$I149,Transactions!$H$3:$H149,"Buy",Transactions!$F$3:$F149,"REIT",Transactions!$D$3:$D149,AH148)
+SUMIFS(Transactions!$I$3:$I149,Transactions!$H$3:$H149,"DRIP",Transactions!$F$3:$F149,"REIT",Transactions!$D$3:$D149,AH148)
+SUMIFS(Transactions!$I$3:$I149,Transactions!$H$3:$H149,"Transfer Deposit",Transactions!$F$3:$F149,"REIT",Transactions!$D$3:$D149,AH148)
-SUMIFS(Transactions!$I$3:$I149,Transactions!$H$3:$H149,"Sell",Transactions!$F$3:$F149,"Stock",Transactions!$D$3:$D149,AH148)
-SUMIFS(Transactions!$I$3:$I149,Transactions!$H$3:$H149,"Transfer Send",Transactions!$F$3:$F149,"Stock",Transactions!$D$3:$D149,AH148)
-SUMIFS(Transactions!$I$3:$I149,Transactions!$H$3:$H149,"Sell",Transactions!$F$3:$F149,"ETF",Transactions!$D$3:$D149,AH148)
-SUMIFS(Transactions!$I$3:$I149,Transactions!$H$3:$H149,"Transfer Send",Transactions!$F$3:$F149,"ETF",Transactions!$D$3:$D149,AH148)
-SUMIFS(Transactions!$I$3:$I149,Transactions!$H$3:$H149,"Sell",Transactions!$F$3:$F149,"Commodity",Transactions!$D$3:$D149,AH148)
-SUMIFS(Transactions!$I$3:$I149,Transactions!$H$3:$H149,"Transfer Send",Transactions!$F$3:$F149,"Commodity",Transactions!$D$3:$D149,AH148)
-SUMIFS(Transactions!$I$3:$I149,Transactions!$H$3:$H149,"Sell",Transactions!$F$3:$F149,"Managed Fund",Transactions!$D$3:$D149,AH148)
-SUMIFS(Transactions!$I$3:$I149,Transactions!$H$3:$H149,"Transfer Send",Transactions!$F$3:$F149,"Managed Fund",Transactions!$D$3:$D149,AH148)
-SUMIFS(Transactions!$I$3:$I149,Transactions!$H$3:$H149,"Sell",Transactions!$F$3:$F149,"REIT",Transactions!$D$3:$D149,AH148)
-SUMIFS(Transactions!$I$3:$I149,Transactions!$H$3:$H149,"Transfer Send",Transactions!$F$3:$F149,"REIT",Transactions!$D$3:$D149,AH148)
+SUMIFS(Transactions!$I$3:$I149,Transactions!$H$3:$H149,"Buy",Transactions!$F$3:$F149,"Crypto",Transactions!$D$3:$D149,AH148)
+SUMIFS(Transactions!$I$3:$I149,Transactions!$H$3:$H149,"Crypto Interest",Transactions!$F$3:$F149,"Crypto",Transactions!$D$3:$D149,AH148)
+SUMIFS(Transactions!$I$3:$I149,Transactions!$H$3:$H149,"Transfer Deposit",Transactions!$F$3:$F149,"Crypto",Transactions!$D$3:$D149,AH148)
-SUMIFS(Transactions!$I$3:$I149,Transactions!$H$3:$H149,"Transfer Send",Transactions!$F$3:$F149,"Crypto",Transactions!$D$3:$D149,AH148)
-SUMIFS(Transactions!$I$3:$I149,Transactions!$H$3:$H149,"Sell",Transactions!$F$3:$F149,"Crypto",Transactions!$D$3:$D149,AH148)
+SUMIFS(Transactions!$I$3:$I149,Transactions!$H$3:$H149,"Buy",Transactions!$F$3:$F149,"Stablecoin",Transactions!$D$3:$D149,AH148)
+SUMIFS(Transactions!$I$3:$I149,Transactions!$H$3:$H149,"Crypto Interest",Transactions!$F$3:$F149,"Stablecoin",Transactions!$D$3:$D149,AH148)
+SUMIFS(Transactions!$I$3:$I149,Transactions!$H$3:$H149,"Transfer Deposit",Transactions!$F$3:$F149,"Stablecoin",Transactions!$D$3:$D149,AH148)
-SUMIFS(Transactions!$I$3:$I149,Transactions!$H$3:$H149,"Transfer Send",Transactions!$F$3:$F149,"Stablecoin",Transactions!$D$3:$D149,AH148)
-SUMIFS(Transactions!$I$3:$I149,Transactions!$H$3:$H149,"Sell",Transactions!$F$3:$F149,"Stablecoin",Transactions!$D$3:$D149,AH148)
-SUMIFS(Transactions!$M$3:$M149,Transactions!$H$3:$H149,"Buy",Transactions!$B$3:$B149,AH148)))</f>
        <v/>
      </c>
      <c r="AJ148" s="181" t="str">
        <f>IFERROR(__xludf.DUMMYFUNCTION("IF(ISBLANK(AH148),"""",VLOOKUP(9^99,FILTER({ROW(Transactions!P:P),Transactions!P:P},Transactions!D:D=AH148),2))"),"")</f>
        <v/>
      </c>
      <c r="AK148" s="181" t="str">
        <f>IFERROR(__xludf.DUMMYFUNCTION("IF(ISBLANK(AH148),"""",IFERROR(GOOGLEFINANCE(AH148,""price""),IFERROR(GOOGLEFINANCE(""CURRENCY:""&amp;AH148&amp;""""),IFERROR(INDEX(YAHOO_STOCK(TRIM(AH148), $G$2),0,1),INDEX(IMPORTHTML(CONCAT(""https://coinmarketcap.com/currencies/"",AG148),""table"",1),1,2)))))"),"")</f>
        <v/>
      </c>
      <c r="AL148" s="14" t="str">
        <f>IFERROR(__xludf.DUMMYFUNCTION("IF(ISBLANK(AH148),"""",IFERROR(SPARKLINE(INDEX(GOOGLEFINANCE(AH148,""price"",TODAY()-$AL$2,TODAY()),,2),{""charttype"",""column"";""color"",""17a7e0""}),""""))"),"")</f>
        <v/>
      </c>
      <c r="AM148" s="50" t="str">
        <f>IFERROR(__xludf.DUMMYFUNCTION("IFNA(IFERROR(IF(AH148="""","""",GOOGLEFINANCE(AH148,""changepct"")/100),(GOOGLEFINANCE(AH148)-(INDEX(GOOGLEFINANCE(""CURRENCY:""&amp;AH148&amp;"""",""price"",TODAY()-1),2,2)))/(INDEX(GOOGLEFINANCE(""CURRENCY:""&amp;AH148&amp;"""",""price"",TODAY()-1),2,2))),)"),"")</f>
        <v/>
      </c>
      <c r="AN148" s="96" t="str">
        <f>IFERROR(__xludf.DUMMYFUNCTION("IFNA(IFERROR(IF(AH148="""","""",GOOGLEFINANCE(AH148,""change"")*AI148),(GOOGLEFINANCE(AH148)-(INDEX(GOOGLEFINANCE(""CURRENCY:""&amp;AH148&amp;"""",""price"",TODAY()-1),2,2)))*AI148),"""")"),"")</f>
        <v/>
      </c>
      <c r="AO148" s="96" t="str">
        <f>IF(ISBLANK(AH148),"",IFERROR(((AI148-SUMIFS(Transactions!I:I,Transactions!H:H,"Crypto Interest",Transactions!D:D,AH148))*AJ148),""))</f>
        <v/>
      </c>
      <c r="AP148" s="96" t="str">
        <f t="shared" si="16"/>
        <v/>
      </c>
      <c r="AQ148" s="50" t="str">
        <f t="shared" si="17"/>
        <v/>
      </c>
      <c r="AR148" s="96" t="str">
        <f t="shared" si="18"/>
        <v/>
      </c>
      <c r="AS148" s="96" t="str">
        <f>IF(ISBLANK(AH148),"",SUMIFS(Transactions!$X$3:$X149,Transactions!$H$3:$H149,"Sell",Transactions!$D$3:$D149,AH148))</f>
        <v/>
      </c>
      <c r="AT148" s="96" t="str">
        <f t="shared" si="19"/>
        <v/>
      </c>
      <c r="AU148" s="50" t="str">
        <f>IFERROR(__xludf.DUMMYFUNCTION("IF(ISBLANK(AH148),"""",IFERROR((GOOGLEFINANCE(AH148,""price"")/INDEX(GOOGLEFINANCE(AH148,""price"",DATEVALUE(TODAY()-$AU$2) ),2,2)-1),""""))"),"")</f>
        <v/>
      </c>
      <c r="AW148" s="50" t="str">
        <f>IFERROR(__xludf.DUMMYFUNCTION("IF(ISBLANK(AH148),"""",IFERROR((GOOGLEFINANCE($AW$2,""price"")/INDEX(GOOGLEFINANCE($AW$2,""price"",DATEVALUE(TODAY()-$AU$2) ),2,2)-1),""""))"),"")</f>
        <v/>
      </c>
      <c r="AY148" s="50" t="str">
        <f t="shared" si="20"/>
        <v/>
      </c>
      <c r="AZ148" s="50" t="str">
        <f t="shared" si="21"/>
        <v/>
      </c>
      <c r="BA148" s="50" t="str">
        <f t="shared" si="22"/>
        <v/>
      </c>
      <c r="BB148" s="14" t="str">
        <f t="shared" si="23"/>
        <v/>
      </c>
      <c r="BC148" s="14" t="str">
        <f>IF(ISBLANK(AH148),"",IFERROR(VLOOKUP(AH148,Transactions!D:F,3,0)))</f>
        <v/>
      </c>
      <c r="BD148" s="50" t="str">
        <f t="shared" si="24"/>
        <v/>
      </c>
      <c r="BE148" s="50" t="str">
        <f t="shared" si="25"/>
        <v/>
      </c>
      <c r="BF148" s="14" t="str">
        <f t="shared" si="26"/>
        <v/>
      </c>
      <c r="BG148" s="180" t="str">
        <f>IF(ISBLANK(AH148),"",IFERROR(VLOOKUP(AH148,Transactions!D:G,4,0)))</f>
        <v/>
      </c>
    </row>
    <row r="149">
      <c r="A149" s="14" t="str">
        <f t="shared" ref="A149:C149" si="172">AG149</f>
        <v/>
      </c>
      <c r="B149" s="14" t="str">
        <f t="shared" si="172"/>
        <v/>
      </c>
      <c r="C149" s="175" t="str">
        <f t="shared" si="172"/>
        <v/>
      </c>
      <c r="D149" s="176" t="str">
        <f>IFERROR(__xludf.DUMMYFUNCTION("IF(ISBLANK(B149),"""",IFERROR(IF(OR(AF149=""GPB"",AF149=""ZAR""),IF(AF149=Dashboard!$L$1,AJ149,(AJ149*GOOGLEFINANCE(""CURRENCY:""&amp;AF149&amp;""""&amp;Dashboard!$L$1&amp;""""))/100),IF(AF149=Dashboard!$L$1,AJ149,AJ149*GOOGLEFINANCE(""CURRENCY:""&amp;AF149&amp;""""&amp;Dashboard!$L"&amp;"$1&amp;""""))),AJ149))"),"")</f>
        <v/>
      </c>
      <c r="E149" s="177" t="str">
        <f>IFERROR(__xludf.DUMMYFUNCTION("IFERROR(IF(OR(AF149=""GBP"",AF149=""ZAR""),IF(B149="""","""",IF(AF149=Dashboard!$L$1,AK149,AK149*GOOGLEFINANCE(""CURRENCY:""&amp;AF149&amp;""""&amp;Dashboard!$L$1&amp;"""")))/100,If(B149="""","""",IF(AF149=Dashboard!$L$1,AK149,AK149*GOOGLEFINANCE(""CURRENCY:""&amp;AF149&amp;"""""&amp;"&amp;Dashboard!$L$1&amp;"""")))),AK149)"),"")</f>
        <v/>
      </c>
      <c r="F149" s="145" t="str">
        <f t="shared" si="65"/>
        <v/>
      </c>
      <c r="G149" s="96" t="str">
        <f>IFERROR(__xludf.DUMMYFUNCTION("IF(ISBLANK(B149),"""",IFERROR(SPARKLINE(INDEX(GOOGLEFINANCE(B149,""price"",TODAY()-$G$2,TODAY()),,2),{""charttype"",""column"";""color"",""17a7e0""}),""""))"),"")</f>
        <v/>
      </c>
      <c r="H149" s="50" t="str">
        <f t="shared" si="3"/>
        <v/>
      </c>
      <c r="I149" s="96" t="str">
        <f>IFERROR(__xludf.DUMMYFUNCTION("IF(ISBLANK(B149),"""",IFERROR(IF(OR(AF149=""GPB"",AF149=""ZAR""),IF(AF149=Dashboard!$L$1,AN149,(AN149*GOOGLEFINANCE(""CURRENCY:""&amp;AF149&amp;""""&amp;Dashboard!$L$1&amp;""""))/100),IF(AF149=Dashboard!$L$1,AN149,AN149*GOOGLEFINANCE(""CURRENCY:""&amp;AF149&amp;""""&amp;Dashboard!$L"&amp;"$1&amp;""""))),AN149))"),"")</f>
        <v/>
      </c>
      <c r="J149" s="178" t="str">
        <f>IF(ISBLANK(B149),"",IFERROR(((C149-SUMIFS(Transactions!I:I,Transactions!H:H,"Crypto Interest",Transactions!D:D,B149))*D149),""))</f>
        <v/>
      </c>
      <c r="K149" s="178" t="str">
        <f t="shared" si="4"/>
        <v/>
      </c>
      <c r="L149" s="145">
        <f>IF(ISBLANK(AF149),"",SUMIFS(Transactions!$M$3:$M149,Transactions!$H$3:$H149,"Buy",Transactions!$D$3:$D149,AF149))</f>
        <v>0</v>
      </c>
      <c r="M149" s="145">
        <f>IF(ISBLANK(AG149),"",SUMIFS(Transactions!$M$3:$M149,Transactions!$H$3:$H149,"Dividend",Transactions!$D$3:$D149,AG149))</f>
        <v>0</v>
      </c>
      <c r="N149" s="145" t="str">
        <f>IF(ISBLANK(AH149),"",SUMIFS(Transactions!$M$3:$M149,Transactions!$H$3:$H149,"Sell",Transactions!$D$3:$D149,AH149))</f>
        <v/>
      </c>
      <c r="O149" s="50" t="str">
        <f t="shared" si="5"/>
        <v/>
      </c>
      <c r="P149" s="178" t="str">
        <f t="shared" si="6"/>
        <v/>
      </c>
      <c r="Q149" s="178" t="str">
        <f>IFERROR(__xludf.DUMMYFUNCTION("IF(ISBLANK(B149),"""",IFERROR(IF(OR(AF149=""GPB"",AF149=""ZAR""),IF(AF149=Dashboard!$L$1,AS149,(AS149*GOOGLEFINANCE(""CURRENCY:""&amp;AF149&amp;""""&amp;Dashboard!$L$1&amp;""""))/100),IF(AF149=Dashboard!$L$1,AS149,AS149*GOOGLEFINANCE(""CURRENCY:""&amp;AF149&amp;""""&amp;Dashboard!$L"&amp;"$1&amp;""""))),AS149))"),"")</f>
        <v/>
      </c>
      <c r="R149" s="178" t="str">
        <f t="shared" si="7"/>
        <v/>
      </c>
      <c r="S149" s="50" t="str">
        <f>IFERROR(__xludf.DUMMYFUNCTION("IF(ISBLANK(B149),"""",IFERROR((GOOGLEFINANCE(B149,""price"")/INDEX(GOOGLEFINANCE(B149,""price"",DATEVALUE(TODAY()-$S$2) ),2,2)-1),""""))"),"")</f>
        <v/>
      </c>
      <c r="U149" s="50" t="str">
        <f>IFERROR(__xludf.DUMMYFUNCTION("IF(ISBLANK(B149),"""",IFERROR((GOOGLEFINANCE($U$2,""price"")/INDEX(GOOGLEFINANCE($U$2,""price"",DATEVALUE(TODAY()-$S$2) ),2,2)-1),""""))"),"")</f>
        <v/>
      </c>
      <c r="W149" s="50" t="str">
        <f t="shared" si="8"/>
        <v/>
      </c>
      <c r="X149" s="50" t="str">
        <f t="shared" si="9"/>
        <v/>
      </c>
      <c r="Y149" s="50"/>
      <c r="Z149" s="50" t="str">
        <f t="shared" si="10"/>
        <v/>
      </c>
      <c r="AA149" s="14" t="str">
        <f t="shared" si="11"/>
        <v/>
      </c>
      <c r="AB149" s="50" t="str">
        <f t="shared" si="12"/>
        <v/>
      </c>
      <c r="AC149" s="179" t="str">
        <f t="shared" si="13"/>
        <v/>
      </c>
      <c r="AD149" s="50" t="str">
        <f t="shared" si="14"/>
        <v/>
      </c>
      <c r="AE149" s="180" t="str">
        <f t="shared" si="15"/>
        <v/>
      </c>
      <c r="AF149" s="14" t="str">
        <f t="array" ref="AF149">IFERROR(IF(ISBLANK(AH149),"",IF(VLOOKUP(AH149,Transactions!D:F,3,0)="Stablecoin",AH149,INDEX(Transactions!$B$3:$B149,MATCH(AH149,Transactions!$D$3:$D149,0),0))))</f>
        <v/>
      </c>
      <c r="AG149" s="14" t="str">
        <f>IF(ISBLANK(AH149),"",VLOOKUP(AH149,Transactions!D:E,2,0))</f>
        <v/>
      </c>
      <c r="AH149" s="14"/>
      <c r="AI149" s="146" t="str">
        <f>IF(ISBLANK(AH149),"",IF(
SUMIFS(Transactions!$I$3:$I149,Transactions!$H$3:$H149,"Buy",Transactions!$F$3:$F149,"Stock",Transactions!$D$3:$D149,AH149)
+SUMIFS(Transactions!$I$3:$I149,Transactions!$H$3:$H149,"DRIP",Transactions!$F$3:$F149,"Stock",Transactions!$D$3:$D149,AH149)
+SUMIFS(Transactions!$I$3:$I149,Transactions!$H$3:$H149,"Transfer Deposit",Transactions!$F$3:$F149,"Stock",Transactions!$D$3:$D149,AH149)
+SUMIFS(Transactions!$I$3:$I149,Transactions!$H$3:$H149,"Buy",Transactions!$F$3:$F149,"ETF",Transactions!$D$3:$D149,AH149)
+SUMIFS(Transactions!$I$3:$I149,Transactions!$H$3:$H149,"DRIP",Transactions!$F$3:$F149,"ETF",Transactions!$D$3:$D149,AH149)
+SUMIFS(Transactions!$I$3:$I149,Transactions!$H$3:$H149,"Transfer Deposit",Transactions!$F$3:$F149,"ETF",Transactions!$D$3:$D149,AH149)
+SUMIFS(Transactions!$I$3:$I149,Transactions!$H$3:$H149,"Buy",Transactions!$F$3:$F149,"Commodity",Transactions!$D$3:$D149,AH149)
+SUMIFS(Transactions!$I$3:$I149,Transactions!$H$3:$H149,"DRIP",Transactions!$F$3:$F149,"Commodity",Transactions!$D$3:$D149,AH149)
+SUMIFS(Transactions!$I$3:$I149,Transactions!$H$3:$H149,"Transfer Deposit",Transactions!$F$3:$F149,"Commodity",Transactions!$D$3:$D149,AH149)
+SUMIFS(Transactions!$I$3:$I149,Transactions!$H$3:$H149,"Buy",Transactions!$F$3:$F149,"Managed Fund",Transactions!$D$3:$D149,AH149)
+SUMIFS(Transactions!$I$3:$I149,Transactions!$H$3:$H149,"DRIP",Transactions!$F$3:$F149,"Managed Fund",Transactions!$D$3:$D149,AH149)
+SUMIFS(Transactions!$I$3:$I149,Transactions!$H$3:$H149,"Transfer Deposit",Transactions!$F$3:$F149,"Managed Fund",Transactions!$D$3:$D149,AH149)
+SUMIFS(Transactions!$I$3:$I149,Transactions!$H$3:$H149,"Buy",Transactions!$F$3:$F149,"REIT",Transactions!$D$3:$D149,AH149)
+SUMIFS(Transactions!$I$3:$I149,Transactions!$H$3:$H149,"DRIP",Transactions!$F$3:$F149,"REIT",Transactions!$D$3:$D149,AH149)
+SUMIFS(Transactions!$I$3:$I149,Transactions!$H$3:$H149,"Transfer Deposit",Transactions!$F$3:$F149,"REIT",Transactions!$D$3:$D149,AH149)
-SUMIFS(Transactions!$I$3:$I149,Transactions!$H$3:$H149,"Sell",Transactions!$F$3:$F149,"Stock",Transactions!$D$3:$D149,AH149)
-SUMIFS(Transactions!$I$3:$I149,Transactions!$H$3:$H149,"Transfer Send",Transactions!$F$3:$F149,"Stock",Transactions!$D$3:$D149,AH149)
-SUMIFS(Transactions!$I$3:$I149,Transactions!$H$3:$H149,"Sell",Transactions!$F$3:$F149,"ETF",Transactions!$D$3:$D149,AH149)
-SUMIFS(Transactions!$I$3:$I149,Transactions!$H$3:$H149,"Transfer Send",Transactions!$F$3:$F149,"ETF",Transactions!$D$3:$D149,AH149)
-SUMIFS(Transactions!$I$3:$I149,Transactions!$H$3:$H149,"Sell",Transactions!$F$3:$F149,"Commodity",Transactions!$D$3:$D149,AH149)
-SUMIFS(Transactions!$I$3:$I149,Transactions!$H$3:$H149,"Transfer Send",Transactions!$F$3:$F149,"Commodity",Transactions!$D$3:$D149,AH149)
-SUMIFS(Transactions!$I$3:$I149,Transactions!$H$3:$H149,"Sell",Transactions!$F$3:$F149,"Managed Fund",Transactions!$D$3:$D149,AH149)
-SUMIFS(Transactions!$I$3:$I149,Transactions!$H$3:$H149,"Transfer Send",Transactions!$F$3:$F149,"Managed Fund",Transactions!$D$3:$D149,AH149)
-SUMIFS(Transactions!$I$3:$I149,Transactions!$H$3:$H149,"Sell",Transactions!$F$3:$F149,"REIT",Transactions!$D$3:$D149,AH149)
-SUMIFS(Transactions!$I$3:$I149,Transactions!$H$3:$H149,"Transfer Send",Transactions!$F$3:$F149,"REIT",Transactions!$D$3:$D149,AH149)
+SUMIFS(Transactions!$I$3:$I149,Transactions!$H$3:$H149,"Buy",Transactions!$F$3:$F149,"Crypto",Transactions!$D$3:$D149,AH149)
+SUMIFS(Transactions!$I$3:$I149,Transactions!$H$3:$H149,"Crypto Interest",Transactions!$F$3:$F149,"Crypto",Transactions!$D$3:$D149,AH149)
+SUMIFS(Transactions!$I$3:$I149,Transactions!$H$3:$H149,"Transfer Deposit",Transactions!$F$3:$F149,"Crypto",Transactions!$D$3:$D149,AH149)
-SUMIFS(Transactions!$I$3:$I149,Transactions!$H$3:$H149,"Transfer Send",Transactions!$F$3:$F149,"Crypto",Transactions!$D$3:$D149,AH149)
-SUMIFS(Transactions!$I$3:$I149,Transactions!$H$3:$H149,"Sell",Transactions!$F$3:$F149,"Crypto",Transactions!$D$3:$D149,AH149)
+SUMIFS(Transactions!$I$3:$I149,Transactions!$H$3:$H149,"Buy",Transactions!$F$3:$F149,"Stablecoin",Transactions!$D$3:$D149,AH149)
+SUMIFS(Transactions!$I$3:$I149,Transactions!$H$3:$H149,"Crypto Interest",Transactions!$F$3:$F149,"Stablecoin",Transactions!$D$3:$D149,AH149)
+SUMIFS(Transactions!$I$3:$I149,Transactions!$H$3:$H149,"Transfer Deposit",Transactions!$F$3:$F149,"Stablecoin",Transactions!$D$3:$D149,AH149)
-SUMIFS(Transactions!$I$3:$I149,Transactions!$H$3:$H149,"Transfer Send",Transactions!$F$3:$F149,"Stablecoin",Transactions!$D$3:$D149,AH149)
-SUMIFS(Transactions!$I$3:$I149,Transactions!$H$3:$H149,"Sell",Transactions!$F$3:$F149,"Stablecoin",Transactions!$D$3:$D149,AH149)
-SUMIFS(Transactions!$M$3:$M149,Transactions!$H$3:$H149,"Buy",Transactions!$B$3:$B149,AH149)=0,"Sold All",
SUMIFS(Transactions!$I$3:$I149,Transactions!$H$3:$H149,"Buy",Transactions!$F$3:$F149,"Stock",Transactions!$D$3:$D149,AH149)
+SUMIFS(Transactions!$I$3:$I149,Transactions!$H$3:$H149,"DRIP",Transactions!$F$3:$F149,"Stock",Transactions!$D$3:$D149,AH149)
+SUMIFS(Transactions!$I$3:$I149,Transactions!$H$3:$H149,"Transfer Deposit",Transactions!$F$3:$F149,"Stock",Transactions!$D$3:$D149,AH149)
+SUMIFS(Transactions!$I$3:$I149,Transactions!$H$3:$H149,"Buy",Transactions!$F$3:$F149,"ETF",Transactions!$D$3:$D149,AH149)
+SUMIFS(Transactions!$I$3:$I149,Transactions!$H$3:$H149,"DRIP",Transactions!$F$3:$F149,"ETF",Transactions!$D$3:$D149,AH149)
+SUMIFS(Transactions!$I$3:$I149,Transactions!$H$3:$H149,"Transfer Deposit",Transactions!$F$3:$F149,"ETF",Transactions!$D$3:$D149,AH149)
+SUMIFS(Transactions!$I$3:$I149,Transactions!$H$3:$H149,"Buy",Transactions!$F$3:$F149,"Commodity",Transactions!$D$3:$D149,AH149)
+SUMIFS(Transactions!$I$3:$I149,Transactions!$H$3:$H149,"DRIP",Transactions!$F$3:$F149,"Commodity",Transactions!$D$3:$D149,AH149)
+SUMIFS(Transactions!$I$3:$I149,Transactions!$H$3:$H149,"Transfer Deposit",Transactions!$F$3:$F149,"Commodity",Transactions!$D$3:$D149,AH149)
+SUMIFS(Transactions!$I$3:$I149,Transactions!$H$3:$H149,"Buy",Transactions!$F$3:$F149,"Managed Fund",Transactions!$D$3:$D149,AH149)
+SUMIFS(Transactions!$I$3:$I149,Transactions!$H$3:$H149,"DRIP",Transactions!$F$3:$F149,"Managed Fund",Transactions!$D$3:$D149,AH149)
+SUMIFS(Transactions!$I$3:$I149,Transactions!$H$3:$H149,"Transfer Deposit",Transactions!$F$3:$F149,"Managed Fund",Transactions!$D$3:$D149,AH149)
+SUMIFS(Transactions!$I$3:$I149,Transactions!$H$3:$H149,"Buy",Transactions!$F$3:$F149,"REIT",Transactions!$D$3:$D149,AH149)
+SUMIFS(Transactions!$I$3:$I149,Transactions!$H$3:$H149,"DRIP",Transactions!$F$3:$F149,"REIT",Transactions!$D$3:$D149,AH149)
+SUMIFS(Transactions!$I$3:$I149,Transactions!$H$3:$H149,"Transfer Deposit",Transactions!$F$3:$F149,"REIT",Transactions!$D$3:$D149,AH149)
-SUMIFS(Transactions!$I$3:$I149,Transactions!$H$3:$H149,"Sell",Transactions!$F$3:$F149,"Stock",Transactions!$D$3:$D149,AH149)
-SUMIFS(Transactions!$I$3:$I149,Transactions!$H$3:$H149,"Transfer Send",Transactions!$F$3:$F149,"Stock",Transactions!$D$3:$D149,AH149)
-SUMIFS(Transactions!$I$3:$I149,Transactions!$H$3:$H149,"Sell",Transactions!$F$3:$F149,"ETF",Transactions!$D$3:$D149,AH149)
-SUMIFS(Transactions!$I$3:$I149,Transactions!$H$3:$H149,"Transfer Send",Transactions!$F$3:$F149,"ETF",Transactions!$D$3:$D149,AH149)
-SUMIFS(Transactions!$I$3:$I149,Transactions!$H$3:$H149,"Sell",Transactions!$F$3:$F149,"Commodity",Transactions!$D$3:$D149,AH149)
-SUMIFS(Transactions!$I$3:$I149,Transactions!$H$3:$H149,"Transfer Send",Transactions!$F$3:$F149,"Commodity",Transactions!$D$3:$D149,AH149)
-SUMIFS(Transactions!$I$3:$I149,Transactions!$H$3:$H149,"Sell",Transactions!$F$3:$F149,"Managed Fund",Transactions!$D$3:$D149,AH149)
-SUMIFS(Transactions!$I$3:$I149,Transactions!$H$3:$H149,"Transfer Send",Transactions!$F$3:$F149,"Managed Fund",Transactions!$D$3:$D149,AH149)
-SUMIFS(Transactions!$I$3:$I149,Transactions!$H$3:$H149,"Sell",Transactions!$F$3:$F149,"REIT",Transactions!$D$3:$D149,AH149)
-SUMIFS(Transactions!$I$3:$I149,Transactions!$H$3:$H149,"Transfer Send",Transactions!$F$3:$F149,"REIT",Transactions!$D$3:$D149,AH149)
+SUMIFS(Transactions!$I$3:$I149,Transactions!$H$3:$H149,"Buy",Transactions!$F$3:$F149,"Crypto",Transactions!$D$3:$D149,AH149)
+SUMIFS(Transactions!$I$3:$I149,Transactions!$H$3:$H149,"Crypto Interest",Transactions!$F$3:$F149,"Crypto",Transactions!$D$3:$D149,AH149)
+SUMIFS(Transactions!$I$3:$I149,Transactions!$H$3:$H149,"Transfer Deposit",Transactions!$F$3:$F149,"Crypto",Transactions!$D$3:$D149,AH149)
-SUMIFS(Transactions!$I$3:$I149,Transactions!$H$3:$H149,"Transfer Send",Transactions!$F$3:$F149,"Crypto",Transactions!$D$3:$D149,AH149)
-SUMIFS(Transactions!$I$3:$I149,Transactions!$H$3:$H149,"Sell",Transactions!$F$3:$F149,"Crypto",Transactions!$D$3:$D149,AH149)
+SUMIFS(Transactions!$I$3:$I149,Transactions!$H$3:$H149,"Buy",Transactions!$F$3:$F149,"Stablecoin",Transactions!$D$3:$D149,AH149)
+SUMIFS(Transactions!$I$3:$I149,Transactions!$H$3:$H149,"Crypto Interest",Transactions!$F$3:$F149,"Stablecoin",Transactions!$D$3:$D149,AH149)
+SUMIFS(Transactions!$I$3:$I149,Transactions!$H$3:$H149,"Transfer Deposit",Transactions!$F$3:$F149,"Stablecoin",Transactions!$D$3:$D149,AH149)
-SUMIFS(Transactions!$I$3:$I149,Transactions!$H$3:$H149,"Transfer Send",Transactions!$F$3:$F149,"Stablecoin",Transactions!$D$3:$D149,AH149)
-SUMIFS(Transactions!$I$3:$I149,Transactions!$H$3:$H149,"Sell",Transactions!$F$3:$F149,"Stablecoin",Transactions!$D$3:$D149,AH149)
-SUMIFS(Transactions!$M$3:$M149,Transactions!$H$3:$H149,"Buy",Transactions!$B$3:$B149,AH149)))</f>
        <v/>
      </c>
      <c r="AJ149" s="181" t="str">
        <f>IFERROR(__xludf.DUMMYFUNCTION("IF(ISBLANK(AH149),"""",VLOOKUP(9^99,FILTER({ROW(Transactions!P:P),Transactions!P:P},Transactions!D:D=AH149),2))"),"")</f>
        <v/>
      </c>
      <c r="AK149" s="181" t="str">
        <f>IFERROR(__xludf.DUMMYFUNCTION("IF(ISBLANK(AH149),"""",IFERROR(GOOGLEFINANCE(AH149,""price""),IFERROR(GOOGLEFINANCE(""CURRENCY:""&amp;AH149&amp;""""),IFERROR(INDEX(YAHOO_STOCK(TRIM(AH149), $G$2),0,1),INDEX(IMPORTHTML(CONCAT(""https://coinmarketcap.com/currencies/"",AG149),""table"",1),1,2)))))"),"")</f>
        <v/>
      </c>
      <c r="AL149" s="14" t="str">
        <f>IFERROR(__xludf.DUMMYFUNCTION("IF(ISBLANK(AH149),"""",IFERROR(SPARKLINE(INDEX(GOOGLEFINANCE(AH149,""price"",TODAY()-$AL$2,TODAY()),,2),{""charttype"",""column"";""color"",""17a7e0""}),""""))"),"")</f>
        <v/>
      </c>
      <c r="AM149" s="50" t="str">
        <f>IFERROR(__xludf.DUMMYFUNCTION("IFNA(IFERROR(IF(AH149="""","""",GOOGLEFINANCE(AH149,""changepct"")/100),(GOOGLEFINANCE(AH149)-(INDEX(GOOGLEFINANCE(""CURRENCY:""&amp;AH149&amp;"""",""price"",TODAY()-1),2,2)))/(INDEX(GOOGLEFINANCE(""CURRENCY:""&amp;AH149&amp;"""",""price"",TODAY()-1),2,2))),)"),"")</f>
        <v/>
      </c>
      <c r="AN149" s="96" t="str">
        <f>IFERROR(__xludf.DUMMYFUNCTION("IFNA(IFERROR(IF(AH149="""","""",GOOGLEFINANCE(AH149,""change"")*AI149),(GOOGLEFINANCE(AH149)-(INDEX(GOOGLEFINANCE(""CURRENCY:""&amp;AH149&amp;"""",""price"",TODAY()-1),2,2)))*AI149),"""")"),"")</f>
        <v/>
      </c>
      <c r="AO149" s="96" t="str">
        <f>IF(ISBLANK(AH149),"",IFERROR(((AI149-SUMIFS(Transactions!I:I,Transactions!H:H,"Crypto Interest",Transactions!D:D,AH149))*AJ149),""))</f>
        <v/>
      </c>
      <c r="AP149" s="96" t="str">
        <f t="shared" si="16"/>
        <v/>
      </c>
      <c r="AQ149" s="50" t="str">
        <f t="shared" si="17"/>
        <v/>
      </c>
      <c r="AR149" s="96" t="str">
        <f t="shared" si="18"/>
        <v/>
      </c>
      <c r="AS149" s="96" t="str">
        <f>IF(ISBLANK(AH149),"",SUMIFS(Transactions!$X$3:$X149,Transactions!$H$3:$H149,"Sell",Transactions!$D$3:$D149,AH149))</f>
        <v/>
      </c>
      <c r="AT149" s="96" t="str">
        <f t="shared" si="19"/>
        <v/>
      </c>
      <c r="AU149" s="50" t="str">
        <f>IFERROR(__xludf.DUMMYFUNCTION("IF(ISBLANK(AH149),"""",IFERROR((GOOGLEFINANCE(AH149,""price"")/INDEX(GOOGLEFINANCE(AH149,""price"",DATEVALUE(TODAY()-$AU$2) ),2,2)-1),""""))"),"")</f>
        <v/>
      </c>
      <c r="AW149" s="50" t="str">
        <f>IFERROR(__xludf.DUMMYFUNCTION("IF(ISBLANK(AH149),"""",IFERROR((GOOGLEFINANCE($AW$2,""price"")/INDEX(GOOGLEFINANCE($AW$2,""price"",DATEVALUE(TODAY()-$AU$2) ),2,2)-1),""""))"),"")</f>
        <v/>
      </c>
      <c r="AY149" s="50" t="str">
        <f t="shared" si="20"/>
        <v/>
      </c>
      <c r="AZ149" s="50" t="str">
        <f t="shared" si="21"/>
        <v/>
      </c>
      <c r="BA149" s="50" t="str">
        <f t="shared" si="22"/>
        <v/>
      </c>
      <c r="BB149" s="14" t="str">
        <f t="shared" si="23"/>
        <v/>
      </c>
      <c r="BC149" s="14" t="str">
        <f>IF(ISBLANK(AH149),"",IFERROR(VLOOKUP(AH149,Transactions!D:F,3,0)))</f>
        <v/>
      </c>
      <c r="BD149" s="50" t="str">
        <f t="shared" si="24"/>
        <v/>
      </c>
      <c r="BE149" s="50" t="str">
        <f t="shared" si="25"/>
        <v/>
      </c>
      <c r="BF149" s="14" t="str">
        <f t="shared" si="26"/>
        <v/>
      </c>
      <c r="BG149" s="180" t="str">
        <f>IF(ISBLANK(AH149),"",IFERROR(VLOOKUP(AH149,Transactions!D:G,4,0)))</f>
        <v/>
      </c>
    </row>
  </sheetData>
  <mergeCells count="590">
    <mergeCell ref="AW99:AX99"/>
    <mergeCell ref="AW100:AX100"/>
    <mergeCell ref="AW92:AX92"/>
    <mergeCell ref="AW93:AX93"/>
    <mergeCell ref="AW94:AX94"/>
    <mergeCell ref="AW95:AX95"/>
    <mergeCell ref="AW96:AX96"/>
    <mergeCell ref="AW97:AX97"/>
    <mergeCell ref="AW98:AX98"/>
    <mergeCell ref="AW43:AX43"/>
    <mergeCell ref="AW44:AX44"/>
    <mergeCell ref="AW45:AX45"/>
    <mergeCell ref="AW46:AX46"/>
    <mergeCell ref="AW47:AX47"/>
    <mergeCell ref="AW48:AX48"/>
    <mergeCell ref="AW49:AX49"/>
    <mergeCell ref="AW50:AX50"/>
    <mergeCell ref="AW51:AX51"/>
    <mergeCell ref="AW52:AX52"/>
    <mergeCell ref="AW53:AX53"/>
    <mergeCell ref="AW54:AX54"/>
    <mergeCell ref="AW55:AX55"/>
    <mergeCell ref="AW56:AX56"/>
    <mergeCell ref="AW57:AX57"/>
    <mergeCell ref="AW58:AX58"/>
    <mergeCell ref="AW59:AX59"/>
    <mergeCell ref="AW60:AX60"/>
    <mergeCell ref="AW61:AX61"/>
    <mergeCell ref="AW62:AX62"/>
    <mergeCell ref="AW63:AX63"/>
    <mergeCell ref="AW64:AX64"/>
    <mergeCell ref="AW65:AX65"/>
    <mergeCell ref="AW66:AX66"/>
    <mergeCell ref="AW67:AX67"/>
    <mergeCell ref="AW68:AX68"/>
    <mergeCell ref="AW69:AX69"/>
    <mergeCell ref="AW70:AX70"/>
    <mergeCell ref="AW71:AX71"/>
    <mergeCell ref="AW72:AX72"/>
    <mergeCell ref="AW73:AX73"/>
    <mergeCell ref="AW74:AX74"/>
    <mergeCell ref="AW75:AX75"/>
    <mergeCell ref="AW76:AX76"/>
    <mergeCell ref="AW77:AX77"/>
    <mergeCell ref="AW78:AX78"/>
    <mergeCell ref="AW79:AX79"/>
    <mergeCell ref="AW80:AX80"/>
    <mergeCell ref="AW81:AX81"/>
    <mergeCell ref="AW82:AX82"/>
    <mergeCell ref="AW83:AX83"/>
    <mergeCell ref="AW84:AX84"/>
    <mergeCell ref="AW85:AX85"/>
    <mergeCell ref="AW86:AX86"/>
    <mergeCell ref="AW87:AX87"/>
    <mergeCell ref="AW88:AX88"/>
    <mergeCell ref="AW89:AX89"/>
    <mergeCell ref="AW90:AX90"/>
    <mergeCell ref="AW91:AX91"/>
    <mergeCell ref="S68:T68"/>
    <mergeCell ref="S69:T69"/>
    <mergeCell ref="S70:T70"/>
    <mergeCell ref="S71:T71"/>
    <mergeCell ref="U71:V71"/>
    <mergeCell ref="S72:T72"/>
    <mergeCell ref="U72:V72"/>
    <mergeCell ref="U78:V78"/>
    <mergeCell ref="S78:T78"/>
    <mergeCell ref="S79:T79"/>
    <mergeCell ref="U79:V79"/>
    <mergeCell ref="S80:T80"/>
    <mergeCell ref="U80:V80"/>
    <mergeCell ref="S81:T81"/>
    <mergeCell ref="U81:V81"/>
    <mergeCell ref="S44:T44"/>
    <mergeCell ref="U44:V44"/>
    <mergeCell ref="S45:T45"/>
    <mergeCell ref="U45:V45"/>
    <mergeCell ref="S46:T46"/>
    <mergeCell ref="U46:V46"/>
    <mergeCell ref="U47:V47"/>
    <mergeCell ref="S47:T47"/>
    <mergeCell ref="S48:T48"/>
    <mergeCell ref="S49:T49"/>
    <mergeCell ref="S50:T50"/>
    <mergeCell ref="S51:T51"/>
    <mergeCell ref="S52:T52"/>
    <mergeCell ref="S53:T53"/>
    <mergeCell ref="U48:V48"/>
    <mergeCell ref="U49:V49"/>
    <mergeCell ref="U50:V50"/>
    <mergeCell ref="U51:V51"/>
    <mergeCell ref="U52:V52"/>
    <mergeCell ref="U53:V53"/>
    <mergeCell ref="U54:V54"/>
    <mergeCell ref="S54:T54"/>
    <mergeCell ref="S55:T55"/>
    <mergeCell ref="S56:T56"/>
    <mergeCell ref="S57:T57"/>
    <mergeCell ref="S58:T58"/>
    <mergeCell ref="S59:T59"/>
    <mergeCell ref="S60:T60"/>
    <mergeCell ref="U55:V55"/>
    <mergeCell ref="U56:V56"/>
    <mergeCell ref="U57:V57"/>
    <mergeCell ref="U58:V58"/>
    <mergeCell ref="U59:V59"/>
    <mergeCell ref="U60:V60"/>
    <mergeCell ref="U61:V61"/>
    <mergeCell ref="S61:T61"/>
    <mergeCell ref="S62:T62"/>
    <mergeCell ref="S63:T63"/>
    <mergeCell ref="S64:T64"/>
    <mergeCell ref="S65:T65"/>
    <mergeCell ref="S66:T66"/>
    <mergeCell ref="S67:T67"/>
    <mergeCell ref="U111:V111"/>
    <mergeCell ref="U112:V112"/>
    <mergeCell ref="AU113:AV113"/>
    <mergeCell ref="AU114:AV114"/>
    <mergeCell ref="AU115:AV115"/>
    <mergeCell ref="AU116:AV116"/>
    <mergeCell ref="AU117:AV117"/>
    <mergeCell ref="AU118:AV118"/>
    <mergeCell ref="AU119:AV119"/>
    <mergeCell ref="AU120:AV120"/>
    <mergeCell ref="AU121:AV121"/>
    <mergeCell ref="AU122:AV122"/>
    <mergeCell ref="AU123:AV123"/>
    <mergeCell ref="AU124:AV124"/>
    <mergeCell ref="AU125:AV125"/>
    <mergeCell ref="AU126:AV126"/>
    <mergeCell ref="AU127:AV127"/>
    <mergeCell ref="AU128:AV128"/>
    <mergeCell ref="AU129:AV129"/>
    <mergeCell ref="AU130:AV130"/>
    <mergeCell ref="AW130:AX130"/>
    <mergeCell ref="AU131:AV131"/>
    <mergeCell ref="AW131:AX131"/>
    <mergeCell ref="AU132:AV132"/>
    <mergeCell ref="AW132:AX132"/>
    <mergeCell ref="AU133:AV133"/>
    <mergeCell ref="AW133:AX133"/>
    <mergeCell ref="AU134:AV134"/>
    <mergeCell ref="AW134:AX134"/>
    <mergeCell ref="AW135:AX135"/>
    <mergeCell ref="AU142:AV142"/>
    <mergeCell ref="AU143:AV143"/>
    <mergeCell ref="AU144:AV144"/>
    <mergeCell ref="AU145:AV145"/>
    <mergeCell ref="AU146:AV146"/>
    <mergeCell ref="AU147:AV147"/>
    <mergeCell ref="AU148:AV148"/>
    <mergeCell ref="AU149:AV149"/>
    <mergeCell ref="AU135:AV135"/>
    <mergeCell ref="AU136:AV136"/>
    <mergeCell ref="AU137:AV137"/>
    <mergeCell ref="AU138:AV138"/>
    <mergeCell ref="AU139:AV139"/>
    <mergeCell ref="AU140:AV140"/>
    <mergeCell ref="AU141:AV141"/>
    <mergeCell ref="AW143:AX143"/>
    <mergeCell ref="AW144:AX144"/>
    <mergeCell ref="AW145:AX145"/>
    <mergeCell ref="AW146:AX146"/>
    <mergeCell ref="AW147:AX147"/>
    <mergeCell ref="AW148:AX148"/>
    <mergeCell ref="AW149:AX149"/>
    <mergeCell ref="AW136:AX136"/>
    <mergeCell ref="AW137:AX137"/>
    <mergeCell ref="AW138:AX138"/>
    <mergeCell ref="AW139:AX139"/>
    <mergeCell ref="AW140:AX140"/>
    <mergeCell ref="AW141:AX141"/>
    <mergeCell ref="AW142:AX142"/>
    <mergeCell ref="AU84:AV84"/>
    <mergeCell ref="AU85:AV85"/>
    <mergeCell ref="AU86:AV86"/>
    <mergeCell ref="AU87:AV87"/>
    <mergeCell ref="AU88:AV88"/>
    <mergeCell ref="AU89:AV89"/>
    <mergeCell ref="AU90:AV90"/>
    <mergeCell ref="AU91:AV91"/>
    <mergeCell ref="AU92:AV92"/>
    <mergeCell ref="AU93:AV93"/>
    <mergeCell ref="AU94:AV94"/>
    <mergeCell ref="AU95:AV95"/>
    <mergeCell ref="AU96:AV96"/>
    <mergeCell ref="AU97:AV97"/>
    <mergeCell ref="AU98:AV98"/>
    <mergeCell ref="AU99:AV99"/>
    <mergeCell ref="AU100:AV100"/>
    <mergeCell ref="AU101:AV101"/>
    <mergeCell ref="AW101:AX101"/>
    <mergeCell ref="AU102:AV102"/>
    <mergeCell ref="AW102:AX102"/>
    <mergeCell ref="AU103:AV103"/>
    <mergeCell ref="AW103:AX103"/>
    <mergeCell ref="AU104:AV104"/>
    <mergeCell ref="AW104:AX104"/>
    <mergeCell ref="AU105:AV105"/>
    <mergeCell ref="AW105:AX105"/>
    <mergeCell ref="AW106:AX106"/>
    <mergeCell ref="AU106:AV106"/>
    <mergeCell ref="AU107:AV107"/>
    <mergeCell ref="AU108:AV108"/>
    <mergeCell ref="AU109:AV109"/>
    <mergeCell ref="AU110:AV110"/>
    <mergeCell ref="AU111:AV111"/>
    <mergeCell ref="AU112:AV112"/>
    <mergeCell ref="AW107:AX107"/>
    <mergeCell ref="AW108:AX108"/>
    <mergeCell ref="AW109:AX109"/>
    <mergeCell ref="AW110:AX110"/>
    <mergeCell ref="AW111:AX111"/>
    <mergeCell ref="AW112:AX112"/>
    <mergeCell ref="AW113:AX113"/>
    <mergeCell ref="AW114:AX114"/>
    <mergeCell ref="AW115:AX115"/>
    <mergeCell ref="AW116:AX116"/>
    <mergeCell ref="AW117:AX117"/>
    <mergeCell ref="AW118:AX118"/>
    <mergeCell ref="AW119:AX119"/>
    <mergeCell ref="AW120:AX120"/>
    <mergeCell ref="A1:AE1"/>
    <mergeCell ref="AF1:BG1"/>
    <mergeCell ref="S3:T3"/>
    <mergeCell ref="U3:V3"/>
    <mergeCell ref="AW3:AX3"/>
    <mergeCell ref="U4:V4"/>
    <mergeCell ref="AW4:AX4"/>
    <mergeCell ref="S4:T4"/>
    <mergeCell ref="S5:T5"/>
    <mergeCell ref="U5:V5"/>
    <mergeCell ref="S6:T6"/>
    <mergeCell ref="U6:V6"/>
    <mergeCell ref="S7:T7"/>
    <mergeCell ref="U7:V7"/>
    <mergeCell ref="AU3:AV3"/>
    <mergeCell ref="AU4:AV4"/>
    <mergeCell ref="AU5:AV5"/>
    <mergeCell ref="AW5:AX5"/>
    <mergeCell ref="AU6:AV6"/>
    <mergeCell ref="AW6:AX6"/>
    <mergeCell ref="AW7:AX7"/>
    <mergeCell ref="U12:V12"/>
    <mergeCell ref="U13:V13"/>
    <mergeCell ref="U14:V14"/>
    <mergeCell ref="U15:V15"/>
    <mergeCell ref="U16:V16"/>
    <mergeCell ref="U17:V17"/>
    <mergeCell ref="U18:V18"/>
    <mergeCell ref="S8:T8"/>
    <mergeCell ref="U8:V8"/>
    <mergeCell ref="S9:T9"/>
    <mergeCell ref="U9:V9"/>
    <mergeCell ref="S10:T10"/>
    <mergeCell ref="U10:V10"/>
    <mergeCell ref="U11:V11"/>
    <mergeCell ref="AW15:AX15"/>
    <mergeCell ref="AU16:AV16"/>
    <mergeCell ref="AW16:AX16"/>
    <mergeCell ref="AU17:AV17"/>
    <mergeCell ref="AW17:AX17"/>
    <mergeCell ref="AU18:AV18"/>
    <mergeCell ref="AW18:AX18"/>
    <mergeCell ref="AW8:AX8"/>
    <mergeCell ref="AW9:AX9"/>
    <mergeCell ref="AW10:AX10"/>
    <mergeCell ref="AW11:AX11"/>
    <mergeCell ref="AW12:AX12"/>
    <mergeCell ref="AW13:AX13"/>
    <mergeCell ref="AW14:AX14"/>
    <mergeCell ref="U40:V40"/>
    <mergeCell ref="U41:V41"/>
    <mergeCell ref="U33:V33"/>
    <mergeCell ref="U34:V34"/>
    <mergeCell ref="U35:V35"/>
    <mergeCell ref="U36:V36"/>
    <mergeCell ref="U37:V37"/>
    <mergeCell ref="U38:V38"/>
    <mergeCell ref="U39:V39"/>
    <mergeCell ref="S11:T11"/>
    <mergeCell ref="S12:T12"/>
    <mergeCell ref="S13:T13"/>
    <mergeCell ref="S14:T14"/>
    <mergeCell ref="S15:T15"/>
    <mergeCell ref="S16:T16"/>
    <mergeCell ref="S17:T17"/>
    <mergeCell ref="S18:T18"/>
    <mergeCell ref="S19:T19"/>
    <mergeCell ref="U19:V19"/>
    <mergeCell ref="S20:T20"/>
    <mergeCell ref="U20:V20"/>
    <mergeCell ref="S21:T21"/>
    <mergeCell ref="U21:V21"/>
    <mergeCell ref="S22:T22"/>
    <mergeCell ref="U22:V22"/>
    <mergeCell ref="S23:T23"/>
    <mergeCell ref="U23:V23"/>
    <mergeCell ref="S24:T24"/>
    <mergeCell ref="U24:V24"/>
    <mergeCell ref="U25:V25"/>
    <mergeCell ref="S25:T25"/>
    <mergeCell ref="S26:T26"/>
    <mergeCell ref="S27:T27"/>
    <mergeCell ref="S28:T28"/>
    <mergeCell ref="S29:T29"/>
    <mergeCell ref="S30:T30"/>
    <mergeCell ref="S31:T31"/>
    <mergeCell ref="U26:V26"/>
    <mergeCell ref="U27:V27"/>
    <mergeCell ref="U28:V28"/>
    <mergeCell ref="U29:V29"/>
    <mergeCell ref="U30:V30"/>
    <mergeCell ref="U31:V31"/>
    <mergeCell ref="U32:V32"/>
    <mergeCell ref="S32:T32"/>
    <mergeCell ref="S33:T33"/>
    <mergeCell ref="S34:T34"/>
    <mergeCell ref="S35:T35"/>
    <mergeCell ref="S36:T36"/>
    <mergeCell ref="S37:T37"/>
    <mergeCell ref="S38:T38"/>
    <mergeCell ref="S39:T39"/>
    <mergeCell ref="S40:T40"/>
    <mergeCell ref="S41:T41"/>
    <mergeCell ref="S42:T42"/>
    <mergeCell ref="U42:V42"/>
    <mergeCell ref="S43:T43"/>
    <mergeCell ref="U43:V43"/>
    <mergeCell ref="AU7:AV7"/>
    <mergeCell ref="AU8:AV8"/>
    <mergeCell ref="AU9:AV9"/>
    <mergeCell ref="AU10:AV10"/>
    <mergeCell ref="AU11:AV11"/>
    <mergeCell ref="AU12:AV12"/>
    <mergeCell ref="AU13:AV13"/>
    <mergeCell ref="AU14:AV14"/>
    <mergeCell ref="AU15:AV15"/>
    <mergeCell ref="AU19:AV19"/>
    <mergeCell ref="AW19:AX19"/>
    <mergeCell ref="AU20:AV20"/>
    <mergeCell ref="AW20:AX20"/>
    <mergeCell ref="AW21:AX21"/>
    <mergeCell ref="AU21:AV21"/>
    <mergeCell ref="AU22:AV22"/>
    <mergeCell ref="AU23:AV23"/>
    <mergeCell ref="AU24:AV24"/>
    <mergeCell ref="AU25:AV25"/>
    <mergeCell ref="AU26:AV26"/>
    <mergeCell ref="AU27:AV27"/>
    <mergeCell ref="AW22:AX22"/>
    <mergeCell ref="AW23:AX23"/>
    <mergeCell ref="AW24:AX24"/>
    <mergeCell ref="AW25:AX25"/>
    <mergeCell ref="AW26:AX26"/>
    <mergeCell ref="AW27:AX27"/>
    <mergeCell ref="AW28:AX28"/>
    <mergeCell ref="AU28:AV28"/>
    <mergeCell ref="AU29:AV29"/>
    <mergeCell ref="AU30:AV30"/>
    <mergeCell ref="AU31:AV31"/>
    <mergeCell ref="AU32:AV32"/>
    <mergeCell ref="AU33:AV33"/>
    <mergeCell ref="AU34:AV34"/>
    <mergeCell ref="AW29:AX29"/>
    <mergeCell ref="AW30:AX30"/>
    <mergeCell ref="AW31:AX31"/>
    <mergeCell ref="AW32:AX32"/>
    <mergeCell ref="AW33:AX33"/>
    <mergeCell ref="AW34:AX34"/>
    <mergeCell ref="AW35:AX35"/>
    <mergeCell ref="AW36:AX36"/>
    <mergeCell ref="AW37:AX37"/>
    <mergeCell ref="AW38:AX38"/>
    <mergeCell ref="AW39:AX39"/>
    <mergeCell ref="AW40:AX40"/>
    <mergeCell ref="AW41:AX41"/>
    <mergeCell ref="AW42:AX42"/>
    <mergeCell ref="S76:T76"/>
    <mergeCell ref="S77:T77"/>
    <mergeCell ref="S73:T73"/>
    <mergeCell ref="U73:V73"/>
    <mergeCell ref="S74:T74"/>
    <mergeCell ref="U74:V74"/>
    <mergeCell ref="S75:T75"/>
    <mergeCell ref="U75:V75"/>
    <mergeCell ref="U76:V76"/>
    <mergeCell ref="U77:V77"/>
    <mergeCell ref="AU35:AV35"/>
    <mergeCell ref="AU36:AV36"/>
    <mergeCell ref="AU37:AV37"/>
    <mergeCell ref="AU38:AV38"/>
    <mergeCell ref="AU39:AV39"/>
    <mergeCell ref="AU40:AV40"/>
    <mergeCell ref="AU41:AV41"/>
    <mergeCell ref="AU42:AV42"/>
    <mergeCell ref="AU43:AV43"/>
    <mergeCell ref="AU44:AV44"/>
    <mergeCell ref="AU45:AV45"/>
    <mergeCell ref="AU46:AV46"/>
    <mergeCell ref="AU47:AV47"/>
    <mergeCell ref="AU48:AV48"/>
    <mergeCell ref="AU49:AV49"/>
    <mergeCell ref="AU50:AV50"/>
    <mergeCell ref="AU51:AV51"/>
    <mergeCell ref="AU52:AV52"/>
    <mergeCell ref="AU53:AV53"/>
    <mergeCell ref="AU54:AV54"/>
    <mergeCell ref="AU55:AV55"/>
    <mergeCell ref="AU56:AV56"/>
    <mergeCell ref="AU57:AV57"/>
    <mergeCell ref="AU58:AV58"/>
    <mergeCell ref="AU59:AV59"/>
    <mergeCell ref="AU60:AV60"/>
    <mergeCell ref="AU61:AV61"/>
    <mergeCell ref="AU62:AV62"/>
    <mergeCell ref="AU63:AV63"/>
    <mergeCell ref="AU64:AV64"/>
    <mergeCell ref="AU65:AV65"/>
    <mergeCell ref="AU66:AV66"/>
    <mergeCell ref="AU67:AV67"/>
    <mergeCell ref="AU68:AV68"/>
    <mergeCell ref="AU69:AV69"/>
    <mergeCell ref="AU70:AV70"/>
    <mergeCell ref="AU71:AV71"/>
    <mergeCell ref="AU72:AV72"/>
    <mergeCell ref="AU73:AV73"/>
    <mergeCell ref="AU74:AV74"/>
    <mergeCell ref="AU75:AV75"/>
    <mergeCell ref="AU76:AV76"/>
    <mergeCell ref="AU77:AV77"/>
    <mergeCell ref="AU78:AV78"/>
    <mergeCell ref="AU79:AV79"/>
    <mergeCell ref="AU80:AV80"/>
    <mergeCell ref="AU81:AV81"/>
    <mergeCell ref="AU82:AV82"/>
    <mergeCell ref="AU83:AV83"/>
    <mergeCell ref="AW128:AX128"/>
    <mergeCell ref="AW129:AX129"/>
    <mergeCell ref="AW121:AX121"/>
    <mergeCell ref="AW122:AX122"/>
    <mergeCell ref="AW123:AX123"/>
    <mergeCell ref="AW124:AX124"/>
    <mergeCell ref="AW125:AX125"/>
    <mergeCell ref="AW126:AX126"/>
    <mergeCell ref="AW127:AX127"/>
    <mergeCell ref="U133:V133"/>
    <mergeCell ref="U134:V134"/>
    <mergeCell ref="U126:V126"/>
    <mergeCell ref="U127:V127"/>
    <mergeCell ref="U128:V128"/>
    <mergeCell ref="U129:V129"/>
    <mergeCell ref="U130:V130"/>
    <mergeCell ref="U131:V131"/>
    <mergeCell ref="U132:V132"/>
    <mergeCell ref="U106:V106"/>
    <mergeCell ref="U107:V107"/>
    <mergeCell ref="S108:T108"/>
    <mergeCell ref="U108:V108"/>
    <mergeCell ref="S109:T109"/>
    <mergeCell ref="U109:V109"/>
    <mergeCell ref="U110:V110"/>
    <mergeCell ref="S110:T110"/>
    <mergeCell ref="S111:T111"/>
    <mergeCell ref="S112:T112"/>
    <mergeCell ref="S113:T113"/>
    <mergeCell ref="U113:V113"/>
    <mergeCell ref="S114:T114"/>
    <mergeCell ref="U114:V114"/>
    <mergeCell ref="S115:T115"/>
    <mergeCell ref="U115:V115"/>
    <mergeCell ref="S116:T116"/>
    <mergeCell ref="U116:V116"/>
    <mergeCell ref="S117:T117"/>
    <mergeCell ref="U117:V117"/>
    <mergeCell ref="U118:V118"/>
    <mergeCell ref="S118:T118"/>
    <mergeCell ref="S119:T119"/>
    <mergeCell ref="S120:T120"/>
    <mergeCell ref="S121:T121"/>
    <mergeCell ref="S122:T122"/>
    <mergeCell ref="S123:T123"/>
    <mergeCell ref="S124:T124"/>
    <mergeCell ref="U119:V119"/>
    <mergeCell ref="U120:V120"/>
    <mergeCell ref="U121:V121"/>
    <mergeCell ref="U122:V122"/>
    <mergeCell ref="U123:V123"/>
    <mergeCell ref="U124:V124"/>
    <mergeCell ref="U125:V125"/>
    <mergeCell ref="S125:T125"/>
    <mergeCell ref="S126:T126"/>
    <mergeCell ref="S127:T127"/>
    <mergeCell ref="S128:T128"/>
    <mergeCell ref="S129:T129"/>
    <mergeCell ref="S130:T130"/>
    <mergeCell ref="S131:T131"/>
    <mergeCell ref="S132:T132"/>
    <mergeCell ref="S133:T133"/>
    <mergeCell ref="S134:T134"/>
    <mergeCell ref="S135:T135"/>
    <mergeCell ref="U135:V135"/>
    <mergeCell ref="S136:T136"/>
    <mergeCell ref="U136:V136"/>
    <mergeCell ref="U69:V69"/>
    <mergeCell ref="U70:V70"/>
    <mergeCell ref="U62:V62"/>
    <mergeCell ref="U63:V63"/>
    <mergeCell ref="U64:V64"/>
    <mergeCell ref="U65:V65"/>
    <mergeCell ref="U66:V66"/>
    <mergeCell ref="U67:V67"/>
    <mergeCell ref="U68:V68"/>
    <mergeCell ref="S85:T85"/>
    <mergeCell ref="S86:T86"/>
    <mergeCell ref="S87:T87"/>
    <mergeCell ref="S82:T82"/>
    <mergeCell ref="U82:V82"/>
    <mergeCell ref="S83:T83"/>
    <mergeCell ref="U83:V83"/>
    <mergeCell ref="S84:T84"/>
    <mergeCell ref="U84:V84"/>
    <mergeCell ref="U85:V85"/>
    <mergeCell ref="S90:T90"/>
    <mergeCell ref="S91:T91"/>
    <mergeCell ref="S92:T92"/>
    <mergeCell ref="U86:V86"/>
    <mergeCell ref="U87:V87"/>
    <mergeCell ref="S88:T88"/>
    <mergeCell ref="U88:V88"/>
    <mergeCell ref="S89:T89"/>
    <mergeCell ref="U89:V89"/>
    <mergeCell ref="U90:V90"/>
    <mergeCell ref="S95:T95"/>
    <mergeCell ref="S96:T96"/>
    <mergeCell ref="S97:T97"/>
    <mergeCell ref="U91:V91"/>
    <mergeCell ref="U92:V92"/>
    <mergeCell ref="S93:T93"/>
    <mergeCell ref="U93:V93"/>
    <mergeCell ref="S94:T94"/>
    <mergeCell ref="U94:V94"/>
    <mergeCell ref="U95:V95"/>
    <mergeCell ref="S100:T100"/>
    <mergeCell ref="S101:T101"/>
    <mergeCell ref="S102:T102"/>
    <mergeCell ref="U96:V96"/>
    <mergeCell ref="U97:V97"/>
    <mergeCell ref="S98:T98"/>
    <mergeCell ref="U98:V98"/>
    <mergeCell ref="S99:T99"/>
    <mergeCell ref="U99:V99"/>
    <mergeCell ref="U100:V100"/>
    <mergeCell ref="S105:T105"/>
    <mergeCell ref="S106:T106"/>
    <mergeCell ref="S107:T107"/>
    <mergeCell ref="U101:V101"/>
    <mergeCell ref="U102:V102"/>
    <mergeCell ref="S103:T103"/>
    <mergeCell ref="U103:V103"/>
    <mergeCell ref="S104:T104"/>
    <mergeCell ref="U104:V104"/>
    <mergeCell ref="U105:V105"/>
    <mergeCell ref="S137:T137"/>
    <mergeCell ref="U137:V137"/>
    <mergeCell ref="S138:T138"/>
    <mergeCell ref="U138:V138"/>
    <mergeCell ref="S139:T139"/>
    <mergeCell ref="U139:V139"/>
    <mergeCell ref="U140:V140"/>
    <mergeCell ref="S147:T147"/>
    <mergeCell ref="S148:T148"/>
    <mergeCell ref="S149:T149"/>
    <mergeCell ref="S140:T140"/>
    <mergeCell ref="S141:T141"/>
    <mergeCell ref="S142:T142"/>
    <mergeCell ref="S143:T143"/>
    <mergeCell ref="S144:T144"/>
    <mergeCell ref="S145:T145"/>
    <mergeCell ref="S146:T146"/>
    <mergeCell ref="U148:V148"/>
    <mergeCell ref="U149:V149"/>
    <mergeCell ref="U141:V141"/>
    <mergeCell ref="U142:V142"/>
    <mergeCell ref="U143:V143"/>
    <mergeCell ref="U144:V144"/>
    <mergeCell ref="U145:V145"/>
    <mergeCell ref="U146:V146"/>
    <mergeCell ref="U147:V147"/>
  </mergeCells>
  <conditionalFormatting sqref="C3:C149 AI3:AI149">
    <cfRule type="cellIs" dxfId="9" priority="1" operator="equal">
      <formula>"Sold All"</formula>
    </cfRule>
  </conditionalFormatting>
  <conditionalFormatting sqref="AM3:AN149 AQ3:AT149 AY3:AY149 BB3:BB149 BF3:BF149">
    <cfRule type="cellIs" dxfId="10" priority="2" operator="greaterThan">
      <formula>0</formula>
    </cfRule>
  </conditionalFormatting>
  <conditionalFormatting sqref="AM3:AN149 AQ3:AT149 AY3:AY149 BB3:BB149 BF3:BF149">
    <cfRule type="cellIs" dxfId="11" priority="3" operator="lessThan">
      <formula>0</formula>
    </cfRule>
  </conditionalFormatting>
  <conditionalFormatting sqref="H3:I149 L3:R149 W3:W149 Z3:Z149 AD3:AD149">
    <cfRule type="cellIs" dxfId="10" priority="4" operator="greaterThan">
      <formula>0</formula>
    </cfRule>
  </conditionalFormatting>
  <conditionalFormatting sqref="H3:I149 L3:R149 W3:W149 Z3:Z149 AD3:AD149">
    <cfRule type="cellIs" dxfId="11" priority="5" operator="lessThan">
      <formula>0</formula>
    </cfRule>
  </conditionalFormatting>
  <conditionalFormatting sqref="Y3:Y149">
    <cfRule type="notContainsBlanks" dxfId="12" priority="6">
      <formula>LEN(TRIM(Y3))&gt;0</formula>
    </cfRule>
  </conditionalFormatting>
  <conditionalFormatting sqref="Y2">
    <cfRule type="notContainsText" dxfId="9" priority="7" operator="notContains" text="Target Weight (100.00%)">
      <formula>ISERROR(SEARCH(("Target Weight (100.00%)"),(Y2)))</formula>
    </cfRule>
  </conditionalFormatting>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9.63"/>
    <col customWidth="1" min="2" max="2" width="10.25"/>
    <col customWidth="1" min="3" max="3" width="11.63"/>
    <col customWidth="1" min="4" max="4" width="12.5"/>
    <col customWidth="1" min="5" max="5" width="10.75"/>
    <col customWidth="1" min="6" max="6" width="17.13"/>
    <col customWidth="1" min="7" max="8" width="10.88"/>
    <col customWidth="1" min="9" max="9" width="9.13"/>
    <col customWidth="1" min="10" max="10" width="10.75"/>
    <col customWidth="1" min="11" max="12" width="13.75"/>
    <col customWidth="1" min="13" max="13" width="11.75"/>
    <col customWidth="1" min="14" max="14" width="14.0"/>
    <col customWidth="1" min="15" max="15" width="8.25"/>
    <col customWidth="1" min="16" max="16" width="10.0"/>
    <col customWidth="1" min="17" max="17" width="7.38"/>
    <col customWidth="1" min="18" max="18" width="14.38"/>
    <col customWidth="1" min="19" max="19" width="8.25"/>
    <col customWidth="1" min="20" max="20" width="10.13"/>
    <col customWidth="1" min="21" max="21" width="12.75"/>
    <col customWidth="1" min="22" max="22" width="6.88"/>
    <col customWidth="1" min="23" max="23" width="9.5"/>
    <col customWidth="1" min="24" max="24" width="16.75"/>
    <col customWidth="1" min="25" max="25" width="16.63"/>
    <col customWidth="1" min="26" max="26" width="6.88"/>
    <col customWidth="1" min="27" max="27" width="21.38"/>
  </cols>
  <sheetData>
    <row r="1">
      <c r="A1" s="160" t="str">
        <f>Portfolio!A1</f>
        <v>Investment Portfolio in EUR</v>
      </c>
      <c r="B1" s="4"/>
      <c r="C1" s="4"/>
      <c r="D1" s="4"/>
      <c r="E1" s="4"/>
      <c r="F1" s="4"/>
      <c r="G1" s="4"/>
      <c r="H1" s="4"/>
      <c r="I1" s="4"/>
      <c r="J1" s="4"/>
      <c r="K1" s="4"/>
      <c r="L1" s="4"/>
      <c r="M1" s="4"/>
      <c r="N1" s="4"/>
      <c r="O1" s="4"/>
      <c r="P1" s="4"/>
      <c r="Q1" s="4"/>
      <c r="R1" s="4"/>
      <c r="S1" s="4"/>
      <c r="T1" s="4"/>
      <c r="U1" s="4"/>
      <c r="V1" s="4"/>
      <c r="W1" s="4"/>
      <c r="X1" s="4"/>
      <c r="Y1" s="4"/>
      <c r="Z1" s="4"/>
      <c r="AA1" s="23"/>
    </row>
    <row r="2">
      <c r="A2" s="162" t="str">
        <f>Portfolio!A2</f>
        <v>Asset Name</v>
      </c>
      <c r="B2" s="163" t="str">
        <f>Portfolio!B2</f>
        <v>Ticker</v>
      </c>
      <c r="C2" s="185" t="str">
        <f>Portfolio!C2</f>
        <v>Quantity</v>
      </c>
      <c r="D2" s="169" t="str">
        <f>Portfolio!D2</f>
        <v>Avg. Purchase Price</v>
      </c>
      <c r="E2" s="166" t="str">
        <f>Portfolio!E2</f>
        <v>Current Price $</v>
      </c>
      <c r="F2" s="186">
        <f>Portfolio!G2</f>
        <v>365</v>
      </c>
      <c r="G2" s="163" t="str">
        <f>Portfolio!H2</f>
        <v>Daily % Change</v>
      </c>
      <c r="H2" s="163" t="str">
        <f>Portfolio!I2</f>
        <v>Daily Change</v>
      </c>
      <c r="I2" s="169" t="str">
        <f>Portfolio!J2</f>
        <v>Cost</v>
      </c>
      <c r="J2" s="169" t="str">
        <f>Portfolio!K2</f>
        <v>Current Value</v>
      </c>
      <c r="K2" s="163" t="str">
        <f>Portfolio!O2</f>
        <v>Unrealised ROI</v>
      </c>
      <c r="L2" s="169" t="str">
        <f>Portfolio!P2</f>
        <v>Unrealised P/L</v>
      </c>
      <c r="M2" s="169" t="str">
        <f>Portfolio!Q2</f>
        <v>Realised P/L</v>
      </c>
      <c r="N2" s="169" t="str">
        <f>Portfolio!R2</f>
        <v>Total Profit/Loss</v>
      </c>
      <c r="O2" s="163">
        <f>Portfolio!S2</f>
        <v>365</v>
      </c>
      <c r="P2" s="163" t="str">
        <f>Portfolio!T2</f>
        <v>Day Return</v>
      </c>
      <c r="Q2" s="163" t="str">
        <f>Portfolio!U2</f>
        <v>.INX</v>
      </c>
      <c r="R2" s="163" t="str">
        <f>Portfolio!V2</f>
        <v>Benchmark Return</v>
      </c>
      <c r="S2" s="163" t="str">
        <f>Portfolio!W2</f>
        <v>Diff</v>
      </c>
      <c r="T2" s="163" t="str">
        <f>Portfolio!X2</f>
        <v>Actual Weight</v>
      </c>
      <c r="U2" s="171" t="str">
        <f>Portfolio!Y2</f>
        <v>Target Weight (17.45%)</v>
      </c>
      <c r="V2" s="171" t="str">
        <f>Portfolio!Z2</f>
        <v>Diff</v>
      </c>
      <c r="W2" s="163" t="str">
        <f>Portfolio!AA2</f>
        <v>Asset Class</v>
      </c>
      <c r="X2" s="171" t="str">
        <f>Portfolio!AB2</f>
        <v>Asset Class Actual Weight</v>
      </c>
      <c r="Y2" s="171" t="str">
        <f>Portfolio!AC2</f>
        <v>Asset Class Target Weight</v>
      </c>
      <c r="Z2" s="171" t="str">
        <f>Portfolio!AD2</f>
        <v>Diff</v>
      </c>
      <c r="AA2" s="172" t="str">
        <f>Portfolio!AE2</f>
        <v>Sector</v>
      </c>
    </row>
    <row r="3">
      <c r="A3" s="14" t="str">
        <f>Portfolio!A28</f>
        <v/>
      </c>
      <c r="B3" s="14" t="str">
        <f>Portfolio!B28</f>
        <v/>
      </c>
      <c r="C3" s="158" t="str">
        <f>Portfolio!C28</f>
        <v/>
      </c>
      <c r="D3" s="96" t="str">
        <f>Portfolio!D28</f>
        <v/>
      </c>
      <c r="E3" s="96" t="str">
        <f>Portfolio!E28</f>
        <v/>
      </c>
      <c r="F3" s="96" t="str">
        <f>Portfolio!G28</f>
        <v/>
      </c>
      <c r="G3" s="50" t="str">
        <f>Portfolio!H28</f>
        <v/>
      </c>
      <c r="H3" s="96" t="str">
        <f>Portfolio!I28</f>
        <v/>
      </c>
      <c r="I3" s="96" t="str">
        <f>Portfolio!J28</f>
        <v/>
      </c>
      <c r="J3" s="96" t="str">
        <f>Portfolio!K28</f>
        <v/>
      </c>
      <c r="K3" s="50" t="str">
        <f>Portfolio!O28</f>
        <v/>
      </c>
      <c r="L3" s="96" t="str">
        <f>Portfolio!P28</f>
        <v/>
      </c>
      <c r="M3" s="96" t="str">
        <f>Portfolio!Q28</f>
        <v/>
      </c>
      <c r="N3" s="178" t="str">
        <f>Portfolio!R28</f>
        <v/>
      </c>
      <c r="O3" s="50" t="str">
        <f>Portfolio!S28</f>
        <v/>
      </c>
      <c r="Q3" s="50" t="str">
        <f>Portfolio!U28</f>
        <v/>
      </c>
      <c r="S3" s="50" t="str">
        <f>Portfolio!W28</f>
        <v/>
      </c>
      <c r="T3" s="50" t="str">
        <f>Portfolio!X28</f>
        <v/>
      </c>
      <c r="U3" s="50">
        <f>Portfolio!Y28</f>
        <v>0</v>
      </c>
      <c r="V3" s="50" t="str">
        <f>Portfolio!Z28</f>
        <v/>
      </c>
      <c r="W3" s="14" t="str">
        <f>Portfolio!AA28</f>
        <v/>
      </c>
      <c r="X3" s="50" t="str">
        <f>Portfolio!AB28</f>
        <v/>
      </c>
      <c r="Y3" s="179" t="str">
        <f>Portfolio!AC28</f>
        <v/>
      </c>
      <c r="Z3" s="50" t="str">
        <f>Portfolio!AD28</f>
        <v/>
      </c>
      <c r="AA3" s="180" t="str">
        <f>Portfolio!AE28</f>
        <v/>
      </c>
    </row>
    <row r="4">
      <c r="A4" s="14" t="str">
        <f>Portfolio!A23</f>
        <v/>
      </c>
      <c r="B4" s="14" t="str">
        <f>Portfolio!B23</f>
        <v/>
      </c>
      <c r="C4" s="146" t="str">
        <f>Portfolio!C23</f>
        <v/>
      </c>
      <c r="D4" s="96" t="str">
        <f>Portfolio!D23</f>
        <v/>
      </c>
      <c r="E4" s="96" t="str">
        <f>Portfolio!E23</f>
        <v/>
      </c>
      <c r="F4" s="96" t="str">
        <f>Portfolio!G23</f>
        <v/>
      </c>
      <c r="G4" s="50" t="str">
        <f>Portfolio!H23</f>
        <v/>
      </c>
      <c r="H4" s="96" t="str">
        <f>Portfolio!I23</f>
        <v/>
      </c>
      <c r="I4" s="96" t="str">
        <f>Portfolio!J23</f>
        <v/>
      </c>
      <c r="J4" s="96" t="str">
        <f>Portfolio!K23</f>
        <v/>
      </c>
      <c r="K4" s="50" t="str">
        <f>Portfolio!O23</f>
        <v/>
      </c>
      <c r="L4" s="96" t="str">
        <f>Portfolio!P23</f>
        <v/>
      </c>
      <c r="M4" s="96" t="str">
        <f>Portfolio!Q23</f>
        <v/>
      </c>
      <c r="N4" s="96" t="str">
        <f>Portfolio!R23</f>
        <v/>
      </c>
      <c r="O4" s="50" t="str">
        <f>Portfolio!S23</f>
        <v/>
      </c>
      <c r="Q4" s="50" t="str">
        <f>Portfolio!U23</f>
        <v/>
      </c>
      <c r="S4" s="50" t="str">
        <f>Portfolio!W23</f>
        <v/>
      </c>
      <c r="T4" s="50" t="str">
        <f>Portfolio!X23</f>
        <v/>
      </c>
      <c r="U4" s="179">
        <f>Portfolio!Y23</f>
        <v>0</v>
      </c>
      <c r="V4" s="50" t="str">
        <f>Portfolio!Z23</f>
        <v/>
      </c>
      <c r="W4" s="14" t="str">
        <f>Portfolio!AA23</f>
        <v/>
      </c>
      <c r="X4" s="50" t="str">
        <f>Portfolio!AB23</f>
        <v/>
      </c>
      <c r="Y4" s="179" t="str">
        <f>Portfolio!AC23</f>
        <v/>
      </c>
      <c r="Z4" s="50" t="str">
        <f>Portfolio!AD23</f>
        <v/>
      </c>
      <c r="AA4" s="180" t="str">
        <f>Portfolio!AE23</f>
        <v/>
      </c>
    </row>
    <row r="5">
      <c r="A5" s="14" t="str">
        <f>Portfolio!A24</f>
        <v/>
      </c>
      <c r="B5" s="14" t="str">
        <f>Portfolio!B24</f>
        <v/>
      </c>
      <c r="C5" s="146" t="str">
        <f>Portfolio!C24</f>
        <v/>
      </c>
      <c r="D5" s="96" t="str">
        <f>Portfolio!D24</f>
        <v/>
      </c>
      <c r="E5" s="96" t="str">
        <f>Portfolio!E24</f>
        <v/>
      </c>
      <c r="F5" s="96" t="str">
        <f>Portfolio!G24</f>
        <v/>
      </c>
      <c r="G5" s="50" t="str">
        <f>Portfolio!H24</f>
        <v/>
      </c>
      <c r="H5" s="96" t="str">
        <f>Portfolio!I24</f>
        <v/>
      </c>
      <c r="I5" s="96" t="str">
        <f>Portfolio!J24</f>
        <v/>
      </c>
      <c r="J5" s="96" t="str">
        <f>Portfolio!K24</f>
        <v/>
      </c>
      <c r="K5" s="50" t="str">
        <f>Portfolio!O24</f>
        <v/>
      </c>
      <c r="L5" s="96" t="str">
        <f>Portfolio!P24</f>
        <v/>
      </c>
      <c r="M5" s="96" t="str">
        <f>Portfolio!Q24</f>
        <v/>
      </c>
      <c r="N5" s="96" t="str">
        <f>Portfolio!R24</f>
        <v/>
      </c>
      <c r="O5" s="50" t="str">
        <f>Portfolio!S24</f>
        <v/>
      </c>
      <c r="Q5" s="50" t="str">
        <f>Portfolio!U24</f>
        <v/>
      </c>
      <c r="S5" s="50" t="str">
        <f>Portfolio!W24</f>
        <v/>
      </c>
      <c r="T5" s="50" t="str">
        <f>Portfolio!X24</f>
        <v/>
      </c>
      <c r="U5" s="179">
        <f>Portfolio!Y24</f>
        <v>0</v>
      </c>
      <c r="V5" s="50" t="str">
        <f>Portfolio!Z24</f>
        <v/>
      </c>
      <c r="W5" s="14" t="str">
        <f>Portfolio!AA24</f>
        <v/>
      </c>
      <c r="X5" s="50" t="str">
        <f>Portfolio!AB24</f>
        <v/>
      </c>
      <c r="Y5" s="179" t="str">
        <f>Portfolio!AC24</f>
        <v/>
      </c>
      <c r="Z5" s="50" t="str">
        <f>Portfolio!AD24</f>
        <v/>
      </c>
      <c r="AA5" s="180" t="str">
        <f>Portfolio!AE24</f>
        <v/>
      </c>
    </row>
    <row r="6">
      <c r="A6" s="14" t="str">
        <f>Portfolio!A25</f>
        <v/>
      </c>
      <c r="B6" s="14" t="str">
        <f>Portfolio!B25</f>
        <v/>
      </c>
      <c r="C6" s="158" t="str">
        <f>Portfolio!C25</f>
        <v/>
      </c>
      <c r="D6" s="96" t="str">
        <f>Portfolio!D25</f>
        <v/>
      </c>
      <c r="E6" s="96" t="str">
        <f>Portfolio!E25</f>
        <v/>
      </c>
      <c r="F6" s="96" t="str">
        <f>Portfolio!G25</f>
        <v/>
      </c>
      <c r="G6" s="50" t="str">
        <f>Portfolio!H25</f>
        <v/>
      </c>
      <c r="H6" s="96" t="str">
        <f>Portfolio!I25</f>
        <v/>
      </c>
      <c r="I6" s="96" t="str">
        <f>Portfolio!J25</f>
        <v/>
      </c>
      <c r="J6" s="96" t="str">
        <f>Portfolio!K25</f>
        <v/>
      </c>
      <c r="K6" s="50" t="str">
        <f>Portfolio!O25</f>
        <v/>
      </c>
      <c r="L6" s="96" t="str">
        <f>Portfolio!P25</f>
        <v/>
      </c>
      <c r="M6" s="96" t="str">
        <f>Portfolio!Q25</f>
        <v/>
      </c>
      <c r="N6" s="96" t="str">
        <f>Portfolio!R25</f>
        <v/>
      </c>
      <c r="O6" s="50" t="str">
        <f>Portfolio!S25</f>
        <v/>
      </c>
      <c r="Q6" s="50" t="str">
        <f>Portfolio!U25</f>
        <v/>
      </c>
      <c r="S6" s="50" t="str">
        <f>Portfolio!W25</f>
        <v/>
      </c>
      <c r="T6" s="50" t="str">
        <f>Portfolio!X25</f>
        <v/>
      </c>
      <c r="U6" s="179">
        <f>Portfolio!Y25</f>
        <v>0</v>
      </c>
      <c r="V6" s="50" t="str">
        <f>Portfolio!Z25</f>
        <v/>
      </c>
      <c r="W6" s="14" t="str">
        <f>Portfolio!AA25</f>
        <v/>
      </c>
      <c r="X6" s="50" t="str">
        <f>Portfolio!AB25</f>
        <v/>
      </c>
      <c r="Y6" s="179" t="str">
        <f>Portfolio!AC25</f>
        <v/>
      </c>
      <c r="Z6" s="50" t="str">
        <f>Portfolio!AD25</f>
        <v/>
      </c>
      <c r="AA6" s="180" t="str">
        <f>Portfolio!AE25</f>
        <v/>
      </c>
    </row>
    <row r="7">
      <c r="A7" s="14" t="str">
        <f>Portfolio!A27</f>
        <v/>
      </c>
      <c r="B7" s="14" t="str">
        <f>Portfolio!B27</f>
        <v/>
      </c>
      <c r="C7" s="158" t="str">
        <f>Portfolio!C27</f>
        <v/>
      </c>
      <c r="D7" s="96" t="str">
        <f>Portfolio!D27</f>
        <v/>
      </c>
      <c r="E7" s="96" t="str">
        <f>Portfolio!E27</f>
        <v/>
      </c>
      <c r="F7" s="96" t="str">
        <f>Portfolio!G27</f>
        <v/>
      </c>
      <c r="G7" s="50" t="str">
        <f>Portfolio!H27</f>
        <v/>
      </c>
      <c r="H7" s="96" t="str">
        <f>Portfolio!I27</f>
        <v/>
      </c>
      <c r="I7" s="96" t="str">
        <f>Portfolio!J27</f>
        <v/>
      </c>
      <c r="J7" s="96" t="str">
        <f>Portfolio!K27</f>
        <v/>
      </c>
      <c r="K7" s="50" t="str">
        <f>Portfolio!O27</f>
        <v/>
      </c>
      <c r="L7" s="96" t="str">
        <f>Portfolio!P27</f>
        <v/>
      </c>
      <c r="M7" s="96" t="str">
        <f>Portfolio!Q27</f>
        <v/>
      </c>
      <c r="N7" s="96" t="str">
        <f>Portfolio!R27</f>
        <v/>
      </c>
      <c r="O7" s="50" t="str">
        <f>Portfolio!S27</f>
        <v/>
      </c>
      <c r="Q7" s="50" t="str">
        <f>Portfolio!U27</f>
        <v/>
      </c>
      <c r="S7" s="50" t="str">
        <f>Portfolio!W27</f>
        <v/>
      </c>
      <c r="T7" s="50" t="str">
        <f>Portfolio!X27</f>
        <v/>
      </c>
      <c r="U7" s="179">
        <f>Portfolio!Y27</f>
        <v>0</v>
      </c>
      <c r="V7" s="50" t="str">
        <f>Portfolio!Z27</f>
        <v/>
      </c>
      <c r="W7" s="14" t="str">
        <f>Portfolio!AA27</f>
        <v/>
      </c>
      <c r="X7" s="50" t="str">
        <f>Portfolio!AB27</f>
        <v/>
      </c>
      <c r="Y7" s="179" t="str">
        <f>Portfolio!AC27</f>
        <v/>
      </c>
      <c r="Z7" s="50" t="str">
        <f>Portfolio!AD27</f>
        <v/>
      </c>
      <c r="AA7" s="180" t="str">
        <f>Portfolio!AE27</f>
        <v/>
      </c>
    </row>
    <row r="8">
      <c r="A8" s="14" t="str">
        <f>Portfolio!A26</f>
        <v/>
      </c>
      <c r="B8" s="14" t="str">
        <f>Portfolio!B26</f>
        <v/>
      </c>
      <c r="C8" s="158" t="str">
        <f>Portfolio!C26</f>
        <v/>
      </c>
      <c r="D8" s="96" t="str">
        <f>Portfolio!D26</f>
        <v/>
      </c>
      <c r="E8" s="96" t="str">
        <f>Portfolio!E26</f>
        <v/>
      </c>
      <c r="F8" s="96" t="str">
        <f>Portfolio!G26</f>
        <v/>
      </c>
      <c r="G8" s="50" t="str">
        <f>Portfolio!H26</f>
        <v/>
      </c>
      <c r="H8" s="96" t="str">
        <f>Portfolio!I26</f>
        <v/>
      </c>
      <c r="I8" s="96" t="str">
        <f>Portfolio!J26</f>
        <v/>
      </c>
      <c r="J8" s="96" t="str">
        <f>Portfolio!K26</f>
        <v/>
      </c>
      <c r="K8" s="50" t="str">
        <f>Portfolio!O26</f>
        <v/>
      </c>
      <c r="L8" s="96" t="str">
        <f>Portfolio!P26</f>
        <v/>
      </c>
      <c r="M8" s="96" t="str">
        <f>Portfolio!Q26</f>
        <v/>
      </c>
      <c r="N8" s="96" t="str">
        <f>Portfolio!R26</f>
        <v/>
      </c>
      <c r="O8" s="50" t="str">
        <f>Portfolio!S26</f>
        <v/>
      </c>
      <c r="Q8" s="50" t="str">
        <f>Portfolio!U26</f>
        <v/>
      </c>
      <c r="S8" s="50" t="str">
        <f>Portfolio!W26</f>
        <v/>
      </c>
      <c r="T8" s="50" t="str">
        <f>Portfolio!X26</f>
        <v/>
      </c>
      <c r="U8" s="179">
        <f>Portfolio!Y26</f>
        <v>0.02</v>
      </c>
      <c r="V8" s="50" t="str">
        <f>Portfolio!Z26</f>
        <v/>
      </c>
      <c r="W8" s="14" t="str">
        <f>Portfolio!AA26</f>
        <v/>
      </c>
      <c r="X8" s="50" t="str">
        <f>Portfolio!AB26</f>
        <v/>
      </c>
      <c r="Y8" s="179" t="str">
        <f>Portfolio!AC26</f>
        <v/>
      </c>
      <c r="Z8" s="50" t="str">
        <f>Portfolio!AD26</f>
        <v/>
      </c>
      <c r="AA8" s="180" t="str">
        <f>Portfolio!AE26</f>
        <v/>
      </c>
    </row>
    <row r="9">
      <c r="A9" s="14" t="str">
        <f>Portfolio!A9</f>
        <v>Microsoft</v>
      </c>
      <c r="B9" s="14" t="str">
        <f>Portfolio!B9</f>
        <v>MSFT</v>
      </c>
      <c r="C9" s="158">
        <f>Portfolio!C9</f>
        <v>200</v>
      </c>
      <c r="D9" s="96">
        <f>Portfolio!D9</f>
        <v>50</v>
      </c>
      <c r="E9" s="96">
        <f>Portfolio!E9</f>
        <v>410.3</v>
      </c>
      <c r="F9" s="96" t="str">
        <f>IFERROR(__xludf.DUMMYFUNCTION("Portfolio!G9"),"")</f>
        <v/>
      </c>
      <c r="G9" s="50">
        <f>Portfolio!H9</f>
        <v>-0.0105</v>
      </c>
      <c r="H9" s="96">
        <f>Portfolio!I9</f>
        <v>-874</v>
      </c>
      <c r="I9" s="96">
        <f>Portfolio!J9</f>
        <v>10000</v>
      </c>
      <c r="J9" s="96">
        <f>Portfolio!K9</f>
        <v>82060</v>
      </c>
      <c r="K9" s="50">
        <f>Portfolio!O9</f>
        <v>7.206</v>
      </c>
      <c r="L9" s="96">
        <f>Portfolio!P9</f>
        <v>72060</v>
      </c>
      <c r="M9" s="96">
        <f>Portfolio!Q9</f>
        <v>0</v>
      </c>
      <c r="N9" s="96">
        <f>Portfolio!R9</f>
        <v>72060</v>
      </c>
      <c r="O9" s="50">
        <f>Portfolio!S9</f>
        <v>0.2233154442</v>
      </c>
      <c r="Q9" s="50">
        <f>Portfolio!U9</f>
        <v>0.2188134141</v>
      </c>
      <c r="S9" s="50">
        <f>Portfolio!W9</f>
        <v>0.004502030178</v>
      </c>
      <c r="T9" s="50">
        <f>Portfolio!X9</f>
        <v>0.07467299158</v>
      </c>
      <c r="U9" s="179">
        <f>Portfolio!Y9</f>
        <v>0</v>
      </c>
      <c r="V9" s="50">
        <f>Portfolio!Z9</f>
        <v>0.07467299158</v>
      </c>
      <c r="W9" s="14" t="str">
        <f>Portfolio!AA9</f>
        <v>Stock</v>
      </c>
      <c r="X9" s="50">
        <f>Portfolio!AB9</f>
        <v>0.7731305401</v>
      </c>
      <c r="Y9" s="179">
        <f>Portfolio!AC9</f>
        <v>0.0175</v>
      </c>
      <c r="Z9" s="50">
        <f>Portfolio!AD9</f>
        <v>0.7556305401</v>
      </c>
      <c r="AA9" s="180" t="str">
        <f>Portfolio!AE9</f>
        <v>Information Technology</v>
      </c>
    </row>
    <row r="10">
      <c r="A10" s="14" t="str">
        <f>Portfolio!A10</f>
        <v/>
      </c>
      <c r="B10" s="14" t="str">
        <f>Portfolio!B10</f>
        <v/>
      </c>
      <c r="C10" s="158" t="str">
        <f>Portfolio!C10</f>
        <v/>
      </c>
      <c r="D10" s="96" t="str">
        <f>Portfolio!D10</f>
        <v/>
      </c>
      <c r="E10" s="96" t="str">
        <f>Portfolio!E10</f>
        <v/>
      </c>
      <c r="F10" s="96" t="str">
        <f>Portfolio!G10</f>
        <v/>
      </c>
      <c r="G10" s="50" t="str">
        <f>Portfolio!H10</f>
        <v/>
      </c>
      <c r="H10" s="96" t="str">
        <f>Portfolio!I10</f>
        <v/>
      </c>
      <c r="I10" s="96" t="str">
        <f>Portfolio!J10</f>
        <v/>
      </c>
      <c r="J10" s="96" t="str">
        <f>Portfolio!K10</f>
        <v/>
      </c>
      <c r="K10" s="50" t="str">
        <f>Portfolio!O10</f>
        <v/>
      </c>
      <c r="L10" s="96" t="str">
        <f>Portfolio!P10</f>
        <v/>
      </c>
      <c r="M10" s="96" t="str">
        <f>Portfolio!Q10</f>
        <v/>
      </c>
      <c r="N10" s="96" t="str">
        <f>Portfolio!R10</f>
        <v/>
      </c>
      <c r="O10" s="50" t="str">
        <f>Portfolio!S10</f>
        <v/>
      </c>
      <c r="Q10" s="50" t="str">
        <f>Portfolio!U10</f>
        <v/>
      </c>
      <c r="S10" s="50" t="str">
        <f>Portfolio!W10</f>
        <v/>
      </c>
      <c r="T10" s="50" t="str">
        <f>Portfolio!X10</f>
        <v/>
      </c>
      <c r="U10" s="179">
        <f>Portfolio!Y10</f>
        <v>0</v>
      </c>
      <c r="V10" s="50" t="str">
        <f>Portfolio!Z10</f>
        <v/>
      </c>
      <c r="W10" s="14" t="str">
        <f>Portfolio!AA10</f>
        <v/>
      </c>
      <c r="X10" s="50" t="str">
        <f>Portfolio!AB10</f>
        <v/>
      </c>
      <c r="Y10" s="179" t="str">
        <f>Portfolio!AC10</f>
        <v/>
      </c>
      <c r="Z10" s="50" t="str">
        <f>Portfolio!AD10</f>
        <v/>
      </c>
      <c r="AA10" s="180" t="str">
        <f>Portfolio!AE10</f>
        <v/>
      </c>
    </row>
    <row r="11">
      <c r="A11" s="14" t="str">
        <f>Portfolio!A8</f>
        <v>Netflix</v>
      </c>
      <c r="B11" s="14" t="str">
        <f>Portfolio!B8</f>
        <v>NFLX</v>
      </c>
      <c r="C11" s="146">
        <f>Portfolio!C8</f>
        <v>120</v>
      </c>
      <c r="D11" s="96">
        <f>Portfolio!D8</f>
        <v>150</v>
      </c>
      <c r="E11" s="96">
        <f>Portfolio!E8</f>
        <v>635.49</v>
      </c>
      <c r="F11" s="96" t="str">
        <f>IFERROR(__xludf.DUMMYFUNCTION("Portfolio!G8"),"")</f>
        <v/>
      </c>
      <c r="G11" s="50">
        <f>Portfolio!H8</f>
        <v>-0.0188</v>
      </c>
      <c r="H11" s="96">
        <f>Portfolio!I8</f>
        <v>-1460.4</v>
      </c>
      <c r="I11" s="96">
        <f>Portfolio!J8</f>
        <v>18000</v>
      </c>
      <c r="J11" s="96">
        <f>Portfolio!K8</f>
        <v>76258.8</v>
      </c>
      <c r="K11" s="50">
        <f>Portfolio!O8</f>
        <v>3.2366</v>
      </c>
      <c r="L11" s="96">
        <f>Portfolio!P8</f>
        <v>58258.8</v>
      </c>
      <c r="M11" s="96">
        <f>Portfolio!Q8</f>
        <v>0</v>
      </c>
      <c r="N11" s="96">
        <f>Portfolio!R8</f>
        <v>58258.8</v>
      </c>
      <c r="O11" s="50">
        <f>Portfolio!S8</f>
        <v>0.586860439</v>
      </c>
      <c r="Q11" s="50">
        <f>Portfolio!U8</f>
        <v>0.2188134141</v>
      </c>
      <c r="S11" s="50">
        <f>Portfolio!W8</f>
        <v>0.3680470249</v>
      </c>
      <c r="T11" s="50">
        <f>Portfolio!X8</f>
        <v>0.06939401329</v>
      </c>
      <c r="U11" s="179">
        <f>Portfolio!Y8</f>
        <v>0.005</v>
      </c>
      <c r="V11" s="50">
        <f>Portfolio!Z8</f>
        <v>0.06439401329</v>
      </c>
      <c r="W11" s="14" t="str">
        <f>Portfolio!AA8</f>
        <v>Stock</v>
      </c>
      <c r="X11" s="50">
        <f>Portfolio!AB8</f>
        <v>0.7731305401</v>
      </c>
      <c r="Y11" s="179">
        <f>Portfolio!AC8</f>
        <v>0.0175</v>
      </c>
      <c r="Z11" s="50">
        <f>Portfolio!AD8</f>
        <v>0.7556305401</v>
      </c>
      <c r="AA11" s="180" t="str">
        <f>Portfolio!AE8</f>
        <v>Information Technology</v>
      </c>
    </row>
    <row r="12">
      <c r="A12" s="14" t="str">
        <f>Portfolio!A13</f>
        <v/>
      </c>
      <c r="B12" s="14" t="str">
        <f>Portfolio!B13</f>
        <v/>
      </c>
      <c r="C12" s="158" t="str">
        <f>Portfolio!C13</f>
        <v/>
      </c>
      <c r="D12" s="96" t="str">
        <f>Portfolio!D13</f>
        <v/>
      </c>
      <c r="E12" s="96" t="str">
        <f>Portfolio!E13</f>
        <v/>
      </c>
      <c r="F12" s="96" t="str">
        <f>Portfolio!G13</f>
        <v/>
      </c>
      <c r="G12" s="50" t="str">
        <f>Portfolio!H13</f>
        <v/>
      </c>
      <c r="H12" s="96" t="str">
        <f>Portfolio!I13</f>
        <v/>
      </c>
      <c r="I12" s="96" t="str">
        <f>Portfolio!J13</f>
        <v/>
      </c>
      <c r="J12" s="96" t="str">
        <f>Portfolio!K13</f>
        <v/>
      </c>
      <c r="K12" s="50" t="str">
        <f>Portfolio!O13</f>
        <v/>
      </c>
      <c r="L12" s="96" t="str">
        <f>Portfolio!P13</f>
        <v/>
      </c>
      <c r="M12" s="96" t="str">
        <f>Portfolio!Q13</f>
        <v/>
      </c>
      <c r="N12" s="96" t="str">
        <f>Portfolio!R13</f>
        <v/>
      </c>
      <c r="O12" s="50" t="str">
        <f>Portfolio!S13</f>
        <v/>
      </c>
      <c r="Q12" s="50" t="str">
        <f>Portfolio!U13</f>
        <v/>
      </c>
      <c r="S12" s="50" t="str">
        <f>Portfolio!W13</f>
        <v/>
      </c>
      <c r="T12" s="50" t="str">
        <f>Portfolio!X13</f>
        <v/>
      </c>
      <c r="U12" s="179">
        <f>Portfolio!Y13</f>
        <v>0.001</v>
      </c>
      <c r="V12" s="50" t="str">
        <f>Portfolio!Z13</f>
        <v/>
      </c>
      <c r="W12" s="14" t="str">
        <f>Portfolio!AA13</f>
        <v/>
      </c>
      <c r="X12" s="50" t="str">
        <f>Portfolio!AB13</f>
        <v/>
      </c>
      <c r="Y12" s="179" t="str">
        <f>Portfolio!AC13</f>
        <v/>
      </c>
      <c r="Z12" s="50" t="str">
        <f>Portfolio!AD13</f>
        <v/>
      </c>
      <c r="AA12" s="180" t="str">
        <f>Portfolio!AE13</f>
        <v/>
      </c>
    </row>
    <row r="13">
      <c r="A13" s="14" t="str">
        <f>Portfolio!A4</f>
        <v>Tesla Inc</v>
      </c>
      <c r="B13" s="14" t="str">
        <f>Portfolio!B4</f>
        <v>TSLA</v>
      </c>
      <c r="C13" s="146">
        <f>Portfolio!C4</f>
        <v>1000</v>
      </c>
      <c r="D13" s="96">
        <f>Portfolio!D4</f>
        <v>100</v>
      </c>
      <c r="E13" s="96">
        <f>Portfolio!E4</f>
        <v>254.86</v>
      </c>
      <c r="F13" s="96" t="str">
        <f>IFERROR(__xludf.DUMMYFUNCTION("Portfolio!G4"),"")</f>
        <v/>
      </c>
      <c r="G13" s="50">
        <f>Portfolio!H4</f>
        <v>-0.0069</v>
      </c>
      <c r="H13" s="96">
        <f>Portfolio!I4</f>
        <v>-1220</v>
      </c>
      <c r="I13" s="96">
        <f>Portfolio!J4</f>
        <v>100000</v>
      </c>
      <c r="J13" s="96">
        <f>Portfolio!K4</f>
        <v>254860</v>
      </c>
      <c r="K13" s="50">
        <f>Portfolio!O4</f>
        <v>1.5486</v>
      </c>
      <c r="L13" s="96">
        <f>Portfolio!P4</f>
        <v>154860</v>
      </c>
      <c r="M13" s="96">
        <f>Portfolio!Q4</f>
        <v>0</v>
      </c>
      <c r="N13" s="96">
        <f>Portfolio!R4</f>
        <v>154860</v>
      </c>
      <c r="O13" s="50">
        <f>Portfolio!S4</f>
        <v>-0.1701173062</v>
      </c>
      <c r="Q13" s="50">
        <f>Portfolio!U4</f>
        <v>0.2188134141</v>
      </c>
      <c r="S13" s="50">
        <f>Portfolio!W4</f>
        <v>-0.3889307202</v>
      </c>
      <c r="T13" s="50">
        <f>Portfolio!X4</f>
        <v>0.2319176046</v>
      </c>
      <c r="U13" s="179">
        <f>Portfolio!Y4</f>
        <v>0</v>
      </c>
      <c r="V13" s="50">
        <f>Portfolio!Z4</f>
        <v>0.2319176046</v>
      </c>
      <c r="W13" s="14" t="str">
        <f>Portfolio!AA4</f>
        <v>Stock</v>
      </c>
      <c r="X13" s="50">
        <f>Portfolio!AB4</f>
        <v>0.7731305401</v>
      </c>
      <c r="Y13" s="179">
        <f>Portfolio!AC4</f>
        <v>0.0175</v>
      </c>
      <c r="Z13" s="50">
        <f>Portfolio!AD4</f>
        <v>0.7556305401</v>
      </c>
      <c r="AA13" s="180" t="str">
        <f>Portfolio!AE4</f>
        <v>Information Technology</v>
      </c>
    </row>
    <row r="14">
      <c r="A14" s="14" t="str">
        <f>Portfolio!A17</f>
        <v/>
      </c>
      <c r="B14" s="14" t="str">
        <f>Portfolio!B17</f>
        <v/>
      </c>
      <c r="C14" s="146" t="str">
        <f>Portfolio!C17</f>
        <v/>
      </c>
      <c r="D14" s="96" t="str">
        <f>Portfolio!D17</f>
        <v/>
      </c>
      <c r="E14" s="96" t="str">
        <f>Portfolio!E17</f>
        <v/>
      </c>
      <c r="F14" s="96" t="str">
        <f>Portfolio!G17</f>
        <v/>
      </c>
      <c r="G14" s="50" t="str">
        <f>Portfolio!H17</f>
        <v/>
      </c>
      <c r="H14" s="96" t="str">
        <f>Portfolio!I17</f>
        <v/>
      </c>
      <c r="I14" s="96" t="str">
        <f>Portfolio!J17</f>
        <v/>
      </c>
      <c r="J14" s="96" t="str">
        <f>Portfolio!K17</f>
        <v/>
      </c>
      <c r="K14" s="50" t="str">
        <f>Portfolio!O17</f>
        <v/>
      </c>
      <c r="L14" s="96" t="str">
        <f>Portfolio!P17</f>
        <v/>
      </c>
      <c r="M14" s="96" t="str">
        <f>Portfolio!Q17</f>
        <v/>
      </c>
      <c r="N14" s="96" t="str">
        <f>Portfolio!R17</f>
        <v/>
      </c>
      <c r="O14" s="50" t="str">
        <f>Portfolio!S17</f>
        <v/>
      </c>
      <c r="Q14" s="50" t="str">
        <f>Portfolio!U17</f>
        <v/>
      </c>
      <c r="S14" s="50" t="str">
        <f>Portfolio!W17</f>
        <v/>
      </c>
      <c r="T14" s="50" t="str">
        <f>Portfolio!X17</f>
        <v/>
      </c>
      <c r="U14" s="179">
        <f>Portfolio!Y17</f>
        <v>0</v>
      </c>
      <c r="V14" s="50" t="str">
        <f>Portfolio!Z17</f>
        <v/>
      </c>
      <c r="W14" s="14" t="str">
        <f>Portfolio!AA17</f>
        <v/>
      </c>
      <c r="X14" s="50" t="str">
        <f>Portfolio!AB17</f>
        <v/>
      </c>
      <c r="Y14" s="179" t="str">
        <f>Portfolio!AC17</f>
        <v/>
      </c>
      <c r="Z14" s="50" t="str">
        <f>Portfolio!AD17</f>
        <v/>
      </c>
      <c r="AA14" s="180" t="str">
        <f>Portfolio!AE17</f>
        <v/>
      </c>
    </row>
    <row r="15">
      <c r="A15" s="14" t="str">
        <f>Portfolio!A14</f>
        <v/>
      </c>
      <c r="B15" s="14" t="str">
        <f>Portfolio!B14</f>
        <v/>
      </c>
      <c r="C15" s="146" t="str">
        <f>Portfolio!C14</f>
        <v/>
      </c>
      <c r="D15" s="96" t="str">
        <f>Portfolio!D14</f>
        <v/>
      </c>
      <c r="E15" s="96" t="str">
        <f>Portfolio!E14</f>
        <v/>
      </c>
      <c r="F15" s="96" t="str">
        <f>Portfolio!G14</f>
        <v/>
      </c>
      <c r="G15" s="50" t="str">
        <f>Portfolio!H14</f>
        <v/>
      </c>
      <c r="H15" s="96" t="str">
        <f>Portfolio!I14</f>
        <v/>
      </c>
      <c r="I15" s="96" t="str">
        <f>Portfolio!J14</f>
        <v/>
      </c>
      <c r="J15" s="96" t="str">
        <f>Portfolio!K14</f>
        <v/>
      </c>
      <c r="K15" s="50" t="str">
        <f>Portfolio!O14</f>
        <v/>
      </c>
      <c r="L15" s="96" t="str">
        <f>Portfolio!P14</f>
        <v/>
      </c>
      <c r="M15" s="96" t="str">
        <f>Portfolio!Q14</f>
        <v/>
      </c>
      <c r="N15" s="96" t="str">
        <f>Portfolio!R14</f>
        <v/>
      </c>
      <c r="O15" s="50" t="str">
        <f>Portfolio!S14</f>
        <v/>
      </c>
      <c r="Q15" s="50" t="str">
        <f>Portfolio!U14</f>
        <v/>
      </c>
      <c r="S15" s="50" t="str">
        <f>Portfolio!W14</f>
        <v/>
      </c>
      <c r="T15" s="50" t="str">
        <f>Portfolio!X14</f>
        <v/>
      </c>
      <c r="U15" s="179">
        <f>Portfolio!Y14</f>
        <v>0.002</v>
      </c>
      <c r="V15" s="50" t="str">
        <f>Portfolio!Z14</f>
        <v/>
      </c>
      <c r="W15" s="14" t="str">
        <f>Portfolio!AA14</f>
        <v/>
      </c>
      <c r="X15" s="50" t="str">
        <f>Portfolio!AB14</f>
        <v/>
      </c>
      <c r="Y15" s="179" t="str">
        <f>Portfolio!AC14</f>
        <v/>
      </c>
      <c r="Z15" s="50" t="str">
        <f>Portfolio!AD14</f>
        <v/>
      </c>
      <c r="AA15" s="180" t="str">
        <f>Portfolio!AE14</f>
        <v/>
      </c>
    </row>
    <row r="16">
      <c r="A16" s="14" t="str">
        <f>Portfolio!A3</f>
        <v>Bitcoin</v>
      </c>
      <c r="B16" s="14" t="str">
        <f>Portfolio!B3</f>
        <v>BTCEUR</v>
      </c>
      <c r="C16" s="146">
        <f>Portfolio!C3</f>
        <v>4</v>
      </c>
      <c r="D16" s="96">
        <f>Portfolio!D3</f>
        <v>24000</v>
      </c>
      <c r="E16" s="96">
        <f>Portfolio!E3</f>
        <v>62328.11718</v>
      </c>
      <c r="F16" s="96" t="str">
        <f>IFERROR(__xludf.DUMMYFUNCTION("Portfolio!G3"),"")</f>
        <v/>
      </c>
      <c r="G16" s="50">
        <f>Portfolio!H3</f>
        <v>-0.001350562033</v>
      </c>
      <c r="H16" s="96">
        <f>Portfolio!I3</f>
        <v>-337.16732</v>
      </c>
      <c r="I16" s="96">
        <f>Portfolio!J3</f>
        <v>96000</v>
      </c>
      <c r="J16" s="96">
        <f>Portfolio!K3</f>
        <v>249312.4687</v>
      </c>
      <c r="K16" s="50">
        <f>Portfolio!O3</f>
        <v>1.597004883</v>
      </c>
      <c r="L16" s="96">
        <f>Portfolio!P3</f>
        <v>153312.4687</v>
      </c>
      <c r="M16" s="96">
        <f>Portfolio!Q3</f>
        <v>46000</v>
      </c>
      <c r="N16" s="96">
        <f>Portfolio!R3</f>
        <v>199312.4687</v>
      </c>
      <c r="O16" s="50" t="str">
        <f>Portfolio!S3</f>
        <v/>
      </c>
      <c r="Q16" s="50">
        <f>Portfolio!U3</f>
        <v>0.2188134141</v>
      </c>
      <c r="S16" s="50">
        <f>Portfolio!W3</f>
        <v>-0.2188134141</v>
      </c>
      <c r="T16" s="50">
        <f>Portfolio!X3</f>
        <v>0.2268694599</v>
      </c>
      <c r="U16" s="179">
        <f>Portfolio!Y3</f>
        <v>0.05</v>
      </c>
      <c r="V16" s="50">
        <f>Portfolio!Z3</f>
        <v>0.1768694599</v>
      </c>
      <c r="W16" s="14" t="str">
        <f>Portfolio!AA3</f>
        <v>Crypto</v>
      </c>
      <c r="X16" s="50">
        <f>Portfolio!AB3</f>
        <v>0.2268694599</v>
      </c>
      <c r="Y16" s="179">
        <f>Portfolio!AC3</f>
        <v>0.05</v>
      </c>
      <c r="Z16" s="50">
        <f>Portfolio!AD3</f>
        <v>0.1768694599</v>
      </c>
      <c r="AA16" s="180" t="str">
        <f>Portfolio!AE3</f>
        <v>Crypto</v>
      </c>
    </row>
    <row r="17">
      <c r="A17" s="14" t="str">
        <f>Portfolio!A18</f>
        <v/>
      </c>
      <c r="B17" s="14" t="str">
        <f>Portfolio!B18</f>
        <v/>
      </c>
      <c r="C17" s="146" t="str">
        <f>Portfolio!C18</f>
        <v/>
      </c>
      <c r="D17" s="96" t="str">
        <f>Portfolio!D18</f>
        <v/>
      </c>
      <c r="E17" s="96" t="str">
        <f>Portfolio!E18</f>
        <v/>
      </c>
      <c r="F17" s="96" t="str">
        <f>Portfolio!G18</f>
        <v/>
      </c>
      <c r="G17" s="50" t="str">
        <f>Portfolio!H18</f>
        <v/>
      </c>
      <c r="H17" s="96" t="str">
        <f>Portfolio!I18</f>
        <v/>
      </c>
      <c r="I17" s="96" t="str">
        <f>Portfolio!J18</f>
        <v/>
      </c>
      <c r="J17" s="96" t="str">
        <f>Portfolio!K18</f>
        <v/>
      </c>
      <c r="K17" s="50" t="str">
        <f>Portfolio!O18</f>
        <v/>
      </c>
      <c r="L17" s="96" t="str">
        <f>Portfolio!P18</f>
        <v/>
      </c>
      <c r="M17" s="96" t="str">
        <f>Portfolio!Q18</f>
        <v/>
      </c>
      <c r="N17" s="96" t="str">
        <f>Portfolio!R18</f>
        <v/>
      </c>
      <c r="O17" s="50" t="str">
        <f>Portfolio!S18</f>
        <v/>
      </c>
      <c r="Q17" s="50" t="str">
        <f>Portfolio!U18</f>
        <v/>
      </c>
      <c r="S17" s="50" t="str">
        <f>Portfolio!W18</f>
        <v/>
      </c>
      <c r="T17" s="50" t="str">
        <f>Portfolio!X18</f>
        <v/>
      </c>
      <c r="U17" s="179">
        <f>Portfolio!Y18</f>
        <v>0</v>
      </c>
      <c r="V17" s="50" t="str">
        <f>Portfolio!Z18</f>
        <v/>
      </c>
      <c r="W17" s="14" t="str">
        <f>Portfolio!AA18</f>
        <v/>
      </c>
      <c r="X17" s="50" t="str">
        <f>Portfolio!AB18</f>
        <v/>
      </c>
      <c r="Y17" s="179" t="str">
        <f>Portfolio!AC18</f>
        <v/>
      </c>
      <c r="Z17" s="50" t="str">
        <f>Portfolio!AD18</f>
        <v/>
      </c>
      <c r="AA17" s="180" t="str">
        <f>Portfolio!AE18</f>
        <v/>
      </c>
    </row>
    <row r="18">
      <c r="A18" s="14" t="str">
        <f>Portfolio!A21</f>
        <v/>
      </c>
      <c r="B18" s="14" t="str">
        <f>Portfolio!B21</f>
        <v/>
      </c>
      <c r="C18" s="146" t="str">
        <f>Portfolio!C21</f>
        <v/>
      </c>
      <c r="D18" s="96" t="str">
        <f>Portfolio!D21</f>
        <v/>
      </c>
      <c r="E18" s="96" t="str">
        <f>Portfolio!E21</f>
        <v/>
      </c>
      <c r="F18" s="96" t="str">
        <f>Portfolio!G21</f>
        <v/>
      </c>
      <c r="G18" s="50" t="str">
        <f>Portfolio!H21</f>
        <v/>
      </c>
      <c r="H18" s="96" t="str">
        <f>Portfolio!I21</f>
        <v/>
      </c>
      <c r="I18" s="96" t="str">
        <f>Portfolio!J21</f>
        <v/>
      </c>
      <c r="J18" s="96" t="str">
        <f>Portfolio!K21</f>
        <v/>
      </c>
      <c r="K18" s="50" t="str">
        <f>Portfolio!O21</f>
        <v/>
      </c>
      <c r="L18" s="96" t="str">
        <f>Portfolio!P21</f>
        <v/>
      </c>
      <c r="M18" s="96" t="str">
        <f>Portfolio!Q21</f>
        <v/>
      </c>
      <c r="N18" s="96" t="str">
        <f>Portfolio!R21</f>
        <v/>
      </c>
      <c r="O18" s="50" t="str">
        <f>Portfolio!S21</f>
        <v/>
      </c>
      <c r="Q18" s="50" t="str">
        <f>Portfolio!U21</f>
        <v/>
      </c>
      <c r="S18" s="50" t="str">
        <f>Portfolio!W21</f>
        <v/>
      </c>
      <c r="T18" s="50" t="str">
        <f>Portfolio!X21</f>
        <v/>
      </c>
      <c r="U18" s="179" t="str">
        <f>Portfolio!Y21</f>
        <v>0,1%</v>
      </c>
      <c r="V18" s="50" t="str">
        <f>Portfolio!Z21</f>
        <v/>
      </c>
      <c r="W18" s="14" t="str">
        <f>Portfolio!AA21</f>
        <v/>
      </c>
      <c r="X18" s="50" t="str">
        <f>Portfolio!AB21</f>
        <v/>
      </c>
      <c r="Y18" s="179" t="str">
        <f>Portfolio!AC21</f>
        <v/>
      </c>
      <c r="Z18" s="50" t="str">
        <f>Portfolio!AD21</f>
        <v/>
      </c>
      <c r="AA18" s="180" t="str">
        <f>Portfolio!AE21</f>
        <v/>
      </c>
    </row>
    <row r="19">
      <c r="A19" s="14" t="str">
        <f>Portfolio!A12</f>
        <v/>
      </c>
      <c r="B19" s="14" t="str">
        <f>Portfolio!B12</f>
        <v/>
      </c>
      <c r="C19" s="158" t="str">
        <f>Portfolio!C12</f>
        <v/>
      </c>
      <c r="D19" s="96" t="str">
        <f>Portfolio!D12</f>
        <v/>
      </c>
      <c r="E19" s="96" t="str">
        <f>Portfolio!E12</f>
        <v/>
      </c>
      <c r="F19" s="96" t="str">
        <f>Portfolio!G12</f>
        <v/>
      </c>
      <c r="G19" s="50" t="str">
        <f>Portfolio!H12</f>
        <v/>
      </c>
      <c r="H19" s="96" t="str">
        <f>Portfolio!I12</f>
        <v/>
      </c>
      <c r="I19" s="96" t="str">
        <f>Portfolio!J12</f>
        <v/>
      </c>
      <c r="J19" s="96" t="str">
        <f>Portfolio!K12</f>
        <v/>
      </c>
      <c r="K19" s="50" t="str">
        <f>Portfolio!O12</f>
        <v/>
      </c>
      <c r="L19" s="96" t="str">
        <f>Portfolio!P12</f>
        <v/>
      </c>
      <c r="M19" s="96" t="str">
        <f>Portfolio!Q12</f>
        <v/>
      </c>
      <c r="N19" s="96" t="str">
        <f>Portfolio!R12</f>
        <v/>
      </c>
      <c r="O19" s="50" t="str">
        <f>Portfolio!S12</f>
        <v/>
      </c>
      <c r="Q19" s="50" t="str">
        <f>Portfolio!U12</f>
        <v/>
      </c>
      <c r="S19" s="50" t="str">
        <f>Portfolio!W12</f>
        <v/>
      </c>
      <c r="T19" s="50" t="str">
        <f>Portfolio!X12</f>
        <v/>
      </c>
      <c r="U19" s="179">
        <f>Portfolio!Y12</f>
        <v>0.005</v>
      </c>
      <c r="V19" s="50" t="str">
        <f>Portfolio!Z12</f>
        <v/>
      </c>
      <c r="W19" s="14" t="str">
        <f>Portfolio!AA12</f>
        <v/>
      </c>
      <c r="X19" s="50" t="str">
        <f>Portfolio!AB12</f>
        <v/>
      </c>
      <c r="Y19" s="179" t="str">
        <f>Portfolio!AC12</f>
        <v/>
      </c>
      <c r="Z19" s="50" t="str">
        <f>Portfolio!AD12</f>
        <v/>
      </c>
      <c r="AA19" s="180" t="str">
        <f>Portfolio!AE12</f>
        <v/>
      </c>
    </row>
    <row r="20">
      <c r="A20" s="14" t="str">
        <f>Portfolio!A19</f>
        <v/>
      </c>
      <c r="B20" s="14" t="str">
        <f>Portfolio!B19</f>
        <v/>
      </c>
      <c r="C20" s="146" t="str">
        <f>Portfolio!C19</f>
        <v/>
      </c>
      <c r="D20" s="96" t="str">
        <f>Portfolio!D19</f>
        <v/>
      </c>
      <c r="E20" s="96" t="str">
        <f>Portfolio!E19</f>
        <v/>
      </c>
      <c r="F20" s="96" t="str">
        <f>Portfolio!G19</f>
        <v/>
      </c>
      <c r="G20" s="50" t="str">
        <f>Portfolio!H19</f>
        <v/>
      </c>
      <c r="H20" s="96" t="str">
        <f>Portfolio!I19</f>
        <v/>
      </c>
      <c r="I20" s="96" t="str">
        <f>Portfolio!J19</f>
        <v/>
      </c>
      <c r="J20" s="96" t="str">
        <f>Portfolio!K19</f>
        <v/>
      </c>
      <c r="K20" s="50" t="str">
        <f>Portfolio!O19</f>
        <v/>
      </c>
      <c r="L20" s="96" t="str">
        <f>Portfolio!P19</f>
        <v/>
      </c>
      <c r="M20" s="96" t="str">
        <f>Portfolio!Q19</f>
        <v/>
      </c>
      <c r="N20" s="96" t="str">
        <f>Portfolio!R19</f>
        <v/>
      </c>
      <c r="O20" s="50" t="str">
        <f>Portfolio!S19</f>
        <v/>
      </c>
      <c r="Q20" s="50" t="str">
        <f>Portfolio!U19</f>
        <v/>
      </c>
      <c r="S20" s="50" t="str">
        <f>Portfolio!W19</f>
        <v/>
      </c>
      <c r="T20" s="50" t="str">
        <f>Portfolio!X19</f>
        <v/>
      </c>
      <c r="U20" s="179">
        <f>Portfolio!Y19</f>
        <v>0.002</v>
      </c>
      <c r="V20" s="50" t="str">
        <f>Portfolio!Z19</f>
        <v/>
      </c>
      <c r="W20" s="14" t="str">
        <f>Portfolio!AA19</f>
        <v/>
      </c>
      <c r="X20" s="50" t="str">
        <f>Portfolio!AB19</f>
        <v/>
      </c>
      <c r="Y20" s="179" t="str">
        <f>Portfolio!AC19</f>
        <v/>
      </c>
      <c r="Z20" s="50" t="str">
        <f>Portfolio!AD19</f>
        <v/>
      </c>
      <c r="AA20" s="180" t="str">
        <f>Portfolio!AE19</f>
        <v/>
      </c>
    </row>
    <row r="21">
      <c r="A21" s="14" t="str">
        <f>Portfolio!A11</f>
        <v/>
      </c>
      <c r="B21" s="14" t="str">
        <f>Portfolio!B11</f>
        <v/>
      </c>
      <c r="C21" s="158" t="str">
        <f>Portfolio!C11</f>
        <v/>
      </c>
      <c r="D21" s="96" t="str">
        <f>Portfolio!D11</f>
        <v/>
      </c>
      <c r="E21" s="96" t="str">
        <f>Portfolio!E11</f>
        <v/>
      </c>
      <c r="F21" s="96" t="str">
        <f>Portfolio!G11</f>
        <v/>
      </c>
      <c r="G21" s="50" t="str">
        <f>Portfolio!H11</f>
        <v/>
      </c>
      <c r="H21" s="96" t="str">
        <f>Portfolio!I11</f>
        <v/>
      </c>
      <c r="I21" s="96" t="str">
        <f>Portfolio!J11</f>
        <v/>
      </c>
      <c r="J21" s="96" t="str">
        <f>Portfolio!K11</f>
        <v/>
      </c>
      <c r="K21" s="50" t="str">
        <f>Portfolio!O11</f>
        <v/>
      </c>
      <c r="L21" s="96" t="str">
        <f>Portfolio!P11</f>
        <v/>
      </c>
      <c r="M21" s="96" t="str">
        <f>Portfolio!Q11</f>
        <v/>
      </c>
      <c r="N21" s="96" t="str">
        <f>Portfolio!R11</f>
        <v/>
      </c>
      <c r="O21" s="50" t="str">
        <f>Portfolio!S11</f>
        <v/>
      </c>
      <c r="Q21" s="50" t="str">
        <f>Portfolio!U11</f>
        <v/>
      </c>
      <c r="S21" s="50" t="str">
        <f>Portfolio!W11</f>
        <v/>
      </c>
      <c r="T21" s="50" t="str">
        <f>Portfolio!X11</f>
        <v/>
      </c>
      <c r="U21" s="179">
        <f>Portfolio!Y11</f>
        <v>0.07</v>
      </c>
      <c r="V21" s="50" t="str">
        <f>Portfolio!Z11</f>
        <v/>
      </c>
      <c r="W21" s="14" t="str">
        <f>Portfolio!AA11</f>
        <v/>
      </c>
      <c r="X21" s="50" t="str">
        <f>Portfolio!AB11</f>
        <v/>
      </c>
      <c r="Y21" s="179" t="str">
        <f>Portfolio!AC11</f>
        <v/>
      </c>
      <c r="Z21" s="50" t="str">
        <f>Portfolio!AD11</f>
        <v/>
      </c>
      <c r="AA21" s="180" t="str">
        <f>Portfolio!AE11</f>
        <v/>
      </c>
    </row>
    <row r="22">
      <c r="A22" s="14" t="str">
        <f>Portfolio!A15</f>
        <v/>
      </c>
      <c r="B22" s="14" t="str">
        <f>Portfolio!B15</f>
        <v/>
      </c>
      <c r="C22" s="146" t="str">
        <f>Portfolio!C15</f>
        <v/>
      </c>
      <c r="D22" s="96" t="str">
        <f>Portfolio!D15</f>
        <v/>
      </c>
      <c r="E22" s="96" t="str">
        <f>Portfolio!E15</f>
        <v/>
      </c>
      <c r="F22" s="96" t="str">
        <f>Portfolio!G15</f>
        <v/>
      </c>
      <c r="G22" s="50" t="str">
        <f>Portfolio!H15</f>
        <v/>
      </c>
      <c r="H22" s="96" t="str">
        <f>Portfolio!I15</f>
        <v/>
      </c>
      <c r="I22" s="96" t="str">
        <f>Portfolio!J15</f>
        <v/>
      </c>
      <c r="J22" s="96" t="str">
        <f>Portfolio!K15</f>
        <v/>
      </c>
      <c r="K22" s="50" t="str">
        <f>Portfolio!O15</f>
        <v/>
      </c>
      <c r="L22" s="96" t="str">
        <f>Portfolio!P15</f>
        <v/>
      </c>
      <c r="M22" s="96" t="str">
        <f>Portfolio!Q15</f>
        <v/>
      </c>
      <c r="N22" s="96" t="str">
        <f>Portfolio!R15</f>
        <v/>
      </c>
      <c r="O22" s="50" t="str">
        <f>Portfolio!S15</f>
        <v/>
      </c>
      <c r="Q22" s="50" t="str">
        <f>Portfolio!U15</f>
        <v/>
      </c>
      <c r="S22" s="50" t="str">
        <f>Portfolio!W15</f>
        <v/>
      </c>
      <c r="T22" s="50" t="str">
        <f>Portfolio!X15</f>
        <v/>
      </c>
      <c r="U22" s="179">
        <f>Portfolio!Y15</f>
        <v>0.0025</v>
      </c>
      <c r="V22" s="50" t="str">
        <f>Portfolio!Z15</f>
        <v/>
      </c>
      <c r="W22" s="14" t="str">
        <f>Portfolio!AA15</f>
        <v/>
      </c>
      <c r="X22" s="50" t="str">
        <f>Portfolio!AB15</f>
        <v/>
      </c>
      <c r="Y22" s="179" t="str">
        <f>Portfolio!AC15</f>
        <v/>
      </c>
      <c r="Z22" s="50" t="str">
        <f>Portfolio!AD15</f>
        <v/>
      </c>
      <c r="AA22" s="180" t="str">
        <f>Portfolio!AE15</f>
        <v/>
      </c>
    </row>
    <row r="23">
      <c r="A23" s="14" t="str">
        <f>Portfolio!A5</f>
        <v>Apple</v>
      </c>
      <c r="B23" s="14" t="str">
        <f>Portfolio!B5</f>
        <v>AAPL</v>
      </c>
      <c r="C23" s="146">
        <f>Portfolio!C5</f>
        <v>1650</v>
      </c>
      <c r="D23" s="96">
        <f>Portfolio!D5</f>
        <v>177.2727273</v>
      </c>
      <c r="E23" s="96">
        <f>Portfolio!E5</f>
        <v>191.53</v>
      </c>
      <c r="F23" s="96" t="str">
        <f>IFERROR(__xludf.DUMMYFUNCTION("Portfolio!G5"),"")</f>
        <v/>
      </c>
      <c r="G23" s="50">
        <f>Portfolio!H5</f>
        <v>0.0013</v>
      </c>
      <c r="H23" s="96">
        <f>Portfolio!I5</f>
        <v>396</v>
      </c>
      <c r="I23" s="96">
        <f>Portfolio!J5</f>
        <v>292500</v>
      </c>
      <c r="J23" s="96">
        <f>Portfolio!K5</f>
        <v>316024.5</v>
      </c>
      <c r="K23" s="50">
        <f>Portfolio!O5</f>
        <v>0.08042564103</v>
      </c>
      <c r="L23" s="96">
        <f>Portfolio!P5</f>
        <v>23524.5</v>
      </c>
      <c r="M23" s="96">
        <f>Portfolio!Q5</f>
        <v>0</v>
      </c>
      <c r="N23" s="96">
        <f>Portfolio!R5</f>
        <v>23524.5</v>
      </c>
      <c r="O23" s="50">
        <f>Portfolio!S5</f>
        <v>0.05846919038</v>
      </c>
      <c r="Q23" s="50">
        <f>Portfolio!U5</f>
        <v>0.2188134141</v>
      </c>
      <c r="S23" s="50">
        <f>Portfolio!W5</f>
        <v>-0.1603442237</v>
      </c>
      <c r="T23" s="50">
        <f>Portfolio!X5</f>
        <v>0.2875761007</v>
      </c>
      <c r="U23" s="179">
        <f>Portfolio!Y5</f>
        <v>0.005</v>
      </c>
      <c r="V23" s="50">
        <f>Portfolio!Z5</f>
        <v>0.2825761007</v>
      </c>
      <c r="W23" s="14" t="str">
        <f>Portfolio!AA5</f>
        <v>Stock</v>
      </c>
      <c r="X23" s="50">
        <f>Portfolio!AB5</f>
        <v>0.7731305401</v>
      </c>
      <c r="Y23" s="179">
        <f>Portfolio!AC5</f>
        <v>0.0175</v>
      </c>
      <c r="Z23" s="50">
        <f>Portfolio!AD5</f>
        <v>0.7556305401</v>
      </c>
      <c r="AA23" s="180" t="str">
        <f>Portfolio!AE5</f>
        <v>Information Technology</v>
      </c>
    </row>
    <row r="24">
      <c r="A24" s="14" t="str">
        <f>Portfolio!A16</f>
        <v/>
      </c>
      <c r="B24" s="14" t="str">
        <f>Portfolio!B16</f>
        <v/>
      </c>
      <c r="C24" s="146" t="str">
        <f>Portfolio!C16</f>
        <v/>
      </c>
      <c r="D24" s="96" t="str">
        <f>Portfolio!D16</f>
        <v/>
      </c>
      <c r="E24" s="96" t="str">
        <f>Portfolio!E16</f>
        <v/>
      </c>
      <c r="F24" s="96" t="str">
        <f>Portfolio!G16</f>
        <v/>
      </c>
      <c r="G24" s="50" t="str">
        <f>Portfolio!H16</f>
        <v/>
      </c>
      <c r="H24" s="96" t="str">
        <f>Portfolio!I16</f>
        <v/>
      </c>
      <c r="I24" s="96" t="str">
        <f>Portfolio!J16</f>
        <v/>
      </c>
      <c r="J24" s="96" t="str">
        <f>Portfolio!K16</f>
        <v/>
      </c>
      <c r="K24" s="50" t="str">
        <f>Portfolio!O16</f>
        <v/>
      </c>
      <c r="L24" s="96" t="str">
        <f>Portfolio!P16</f>
        <v/>
      </c>
      <c r="M24" s="96" t="str">
        <f>Portfolio!Q16</f>
        <v/>
      </c>
      <c r="N24" s="96" t="str">
        <f>Portfolio!R16</f>
        <v/>
      </c>
      <c r="O24" s="50" t="str">
        <f>Portfolio!S16</f>
        <v/>
      </c>
      <c r="Q24" s="50" t="str">
        <f>Portfolio!U16</f>
        <v/>
      </c>
      <c r="S24" s="50" t="str">
        <f>Portfolio!W16</f>
        <v/>
      </c>
      <c r="T24" s="50" t="str">
        <f>Portfolio!X16</f>
        <v/>
      </c>
      <c r="U24" s="179">
        <f>Portfolio!Y16</f>
        <v>0.0025</v>
      </c>
      <c r="V24" s="50" t="str">
        <f>Portfolio!Z16</f>
        <v/>
      </c>
      <c r="W24" s="14" t="str">
        <f>Portfolio!AA16</f>
        <v/>
      </c>
      <c r="X24" s="50" t="str">
        <f>Portfolio!AB16</f>
        <v/>
      </c>
      <c r="Y24" s="179" t="str">
        <f>Portfolio!AC16</f>
        <v/>
      </c>
      <c r="Z24" s="50" t="str">
        <f>Portfolio!AD16</f>
        <v/>
      </c>
      <c r="AA24" s="180" t="str">
        <f>Portfolio!AE16</f>
        <v/>
      </c>
    </row>
    <row r="25">
      <c r="A25" s="14" t="str">
        <f>Portfolio!A6</f>
        <v>MCDonalds</v>
      </c>
      <c r="B25" s="14" t="str">
        <f>Portfolio!B6</f>
        <v>MCD</v>
      </c>
      <c r="C25" s="146">
        <f>Portfolio!C6</f>
        <v>150</v>
      </c>
      <c r="D25" s="96">
        <f>Portfolio!D6</f>
        <v>100</v>
      </c>
      <c r="E25" s="96">
        <f>Portfolio!E6</f>
        <v>254.86</v>
      </c>
      <c r="F25" s="96" t="str">
        <f>IFERROR(__xludf.DUMMYFUNCTION("Portfolio!G6"),"")</f>
        <v/>
      </c>
      <c r="G25" s="50">
        <f>Portfolio!H6</f>
        <v>0.0111</v>
      </c>
      <c r="H25" s="96">
        <f>Portfolio!I6</f>
        <v>418.5</v>
      </c>
      <c r="I25" s="96">
        <f>Portfolio!J6</f>
        <v>15000</v>
      </c>
      <c r="J25" s="96">
        <f>Portfolio!K6</f>
        <v>38229</v>
      </c>
      <c r="K25" s="50">
        <f>Portfolio!O6</f>
        <v>1.5486</v>
      </c>
      <c r="L25" s="96">
        <f>Portfolio!P6</f>
        <v>23229</v>
      </c>
      <c r="M25" s="96">
        <f>Portfolio!Q6</f>
        <v>0</v>
      </c>
      <c r="N25" s="96">
        <f>Portfolio!R6</f>
        <v>23229</v>
      </c>
      <c r="O25" s="50">
        <f>Portfolio!S6</f>
        <v>-0.1208995895</v>
      </c>
      <c r="Q25" s="50">
        <f>Portfolio!U6</f>
        <v>0.2188134141</v>
      </c>
      <c r="S25" s="50">
        <f>Portfolio!W6</f>
        <v>-0.3397130036</v>
      </c>
      <c r="T25" s="50">
        <f>Portfolio!X6</f>
        <v>0.03478764069</v>
      </c>
      <c r="U25" s="179">
        <f>Portfolio!Y6</f>
        <v>0.0025</v>
      </c>
      <c r="V25" s="50">
        <f>Portfolio!Z6</f>
        <v>0.03228764069</v>
      </c>
      <c r="W25" s="14" t="str">
        <f>Portfolio!AA6</f>
        <v>Stock</v>
      </c>
      <c r="X25" s="50">
        <f>Portfolio!AB6</f>
        <v>0.7731305401</v>
      </c>
      <c r="Y25" s="179">
        <f>Portfolio!AC6</f>
        <v>0.0175</v>
      </c>
      <c r="Z25" s="50">
        <f>Portfolio!AD6</f>
        <v>0.7556305401</v>
      </c>
      <c r="AA25" s="180" t="str">
        <f>Portfolio!AE6</f>
        <v>Information Technology</v>
      </c>
    </row>
    <row r="26">
      <c r="A26" s="14" t="str">
        <f>Portfolio!A22</f>
        <v/>
      </c>
      <c r="B26" s="14" t="str">
        <f>Portfolio!B22</f>
        <v/>
      </c>
      <c r="C26" s="146" t="str">
        <f>Portfolio!C22</f>
        <v/>
      </c>
      <c r="D26" s="96" t="str">
        <f>Portfolio!D22</f>
        <v/>
      </c>
      <c r="E26" s="96" t="str">
        <f>Portfolio!E22</f>
        <v/>
      </c>
      <c r="F26" s="96" t="str">
        <f>Portfolio!G22</f>
        <v/>
      </c>
      <c r="G26" s="50" t="str">
        <f>Portfolio!H22</f>
        <v/>
      </c>
      <c r="H26" s="96" t="str">
        <f>Portfolio!I22</f>
        <v/>
      </c>
      <c r="I26" s="96" t="str">
        <f>Portfolio!J22</f>
        <v/>
      </c>
      <c r="J26" s="96" t="str">
        <f>Portfolio!K22</f>
        <v/>
      </c>
      <c r="K26" s="50" t="str">
        <f>Portfolio!O22</f>
        <v/>
      </c>
      <c r="L26" s="96" t="str">
        <f>Portfolio!P22</f>
        <v/>
      </c>
      <c r="M26" s="96" t="str">
        <f>Portfolio!Q22</f>
        <v/>
      </c>
      <c r="N26" s="96" t="str">
        <f>Portfolio!R22</f>
        <v/>
      </c>
      <c r="O26" s="50" t="str">
        <f>Portfolio!S22</f>
        <v/>
      </c>
      <c r="Q26" s="50" t="str">
        <f>Portfolio!U22</f>
        <v/>
      </c>
      <c r="S26" s="50" t="str">
        <f>Portfolio!W22</f>
        <v/>
      </c>
      <c r="T26" s="50" t="str">
        <f>Portfolio!X22</f>
        <v/>
      </c>
      <c r="U26" s="179">
        <f>Portfolio!Y22</f>
        <v>0</v>
      </c>
      <c r="V26" s="50" t="str">
        <f>Portfolio!Z22</f>
        <v/>
      </c>
      <c r="W26" s="14" t="str">
        <f>Portfolio!AA22</f>
        <v/>
      </c>
      <c r="X26" s="50" t="str">
        <f>Portfolio!AB22</f>
        <v/>
      </c>
      <c r="Y26" s="179" t="str">
        <f>Portfolio!AC22</f>
        <v/>
      </c>
      <c r="Z26" s="50" t="str">
        <f>Portfolio!AD22</f>
        <v/>
      </c>
      <c r="AA26" s="180" t="str">
        <f>Portfolio!AE22</f>
        <v/>
      </c>
    </row>
    <row r="27">
      <c r="A27" s="14" t="str">
        <f>Portfolio!A23</f>
        <v/>
      </c>
      <c r="B27" s="14" t="str">
        <f>Portfolio!B23</f>
        <v/>
      </c>
      <c r="C27" s="146" t="str">
        <f>Portfolio!C23</f>
        <v/>
      </c>
      <c r="D27" s="96" t="str">
        <f>Portfolio!D23</f>
        <v/>
      </c>
      <c r="E27" s="96" t="str">
        <f>Portfolio!E23</f>
        <v/>
      </c>
      <c r="F27" s="96" t="str">
        <f>Portfolio!G23</f>
        <v/>
      </c>
      <c r="G27" s="50" t="str">
        <f>Portfolio!H23</f>
        <v/>
      </c>
      <c r="H27" s="96" t="str">
        <f>Portfolio!I23</f>
        <v/>
      </c>
      <c r="I27" s="96" t="str">
        <f>Portfolio!J23</f>
        <v/>
      </c>
      <c r="J27" s="96" t="str">
        <f>Portfolio!K23</f>
        <v/>
      </c>
      <c r="K27" s="50" t="str">
        <f>Portfolio!O23</f>
        <v/>
      </c>
      <c r="L27" s="96" t="str">
        <f>Portfolio!P23</f>
        <v/>
      </c>
      <c r="M27" s="96" t="str">
        <f>Portfolio!Q23</f>
        <v/>
      </c>
      <c r="N27" s="96" t="str">
        <f>Portfolio!R23</f>
        <v/>
      </c>
      <c r="O27" s="50" t="str">
        <f>Portfolio!S23</f>
        <v/>
      </c>
      <c r="Q27" s="50" t="str">
        <f>Portfolio!U23</f>
        <v/>
      </c>
      <c r="S27" s="50" t="str">
        <f>Portfolio!W23</f>
        <v/>
      </c>
      <c r="T27" s="50" t="str">
        <f>Portfolio!X23</f>
        <v/>
      </c>
      <c r="U27" s="179">
        <f>Portfolio!Y23</f>
        <v>0</v>
      </c>
      <c r="V27" s="50" t="str">
        <f>Portfolio!Z23</f>
        <v/>
      </c>
      <c r="W27" s="14" t="str">
        <f>Portfolio!AA23</f>
        <v/>
      </c>
      <c r="X27" s="50" t="str">
        <f>Portfolio!AB23</f>
        <v/>
      </c>
      <c r="Y27" s="179" t="str">
        <f>Portfolio!AC23</f>
        <v/>
      </c>
      <c r="Z27" s="50" t="str">
        <f>Portfolio!AD23</f>
        <v/>
      </c>
      <c r="AA27" s="180" t="str">
        <f>Portfolio!AE23</f>
        <v/>
      </c>
    </row>
    <row r="28">
      <c r="A28" s="14" t="str">
        <f>Portfolio!A20</f>
        <v/>
      </c>
      <c r="B28" s="14" t="str">
        <f>Portfolio!B20</f>
        <v/>
      </c>
      <c r="C28" s="146" t="str">
        <f>Portfolio!C20</f>
        <v/>
      </c>
      <c r="D28" s="96" t="str">
        <f>Portfolio!D20</f>
        <v/>
      </c>
      <c r="E28" s="96" t="str">
        <f>Portfolio!E20</f>
        <v/>
      </c>
      <c r="F28" s="96" t="str">
        <f>Portfolio!G20</f>
        <v/>
      </c>
      <c r="G28" s="50" t="str">
        <f>Portfolio!H20</f>
        <v/>
      </c>
      <c r="H28" s="96" t="str">
        <f>Portfolio!I20</f>
        <v/>
      </c>
      <c r="I28" s="96" t="str">
        <f>Portfolio!J20</f>
        <v/>
      </c>
      <c r="J28" s="96" t="str">
        <f>Portfolio!K20</f>
        <v/>
      </c>
      <c r="K28" s="50" t="str">
        <f>Portfolio!O20</f>
        <v/>
      </c>
      <c r="L28" s="96" t="str">
        <f>Portfolio!P20</f>
        <v/>
      </c>
      <c r="M28" s="96" t="str">
        <f>Portfolio!Q20</f>
        <v/>
      </c>
      <c r="N28" s="96" t="str">
        <f>Portfolio!R20</f>
        <v/>
      </c>
      <c r="O28" s="50" t="str">
        <f>Portfolio!S20</f>
        <v/>
      </c>
      <c r="Q28" s="50" t="str">
        <f>Portfolio!U20</f>
        <v/>
      </c>
      <c r="S28" s="50" t="str">
        <f>Portfolio!W20</f>
        <v/>
      </c>
      <c r="T28" s="50" t="str">
        <f>Portfolio!X20</f>
        <v/>
      </c>
      <c r="U28" s="179">
        <f>Portfolio!Y20</f>
        <v>0.002</v>
      </c>
      <c r="V28" s="50" t="str">
        <f>Portfolio!Z20</f>
        <v/>
      </c>
      <c r="W28" s="14" t="str">
        <f>Portfolio!AA20</f>
        <v/>
      </c>
      <c r="X28" s="50" t="str">
        <f>Portfolio!AB20</f>
        <v/>
      </c>
      <c r="Y28" s="179" t="str">
        <f>Portfolio!AC20</f>
        <v/>
      </c>
      <c r="Z28" s="50" t="str">
        <f>Portfolio!AD20</f>
        <v/>
      </c>
      <c r="AA28" s="180" t="str">
        <f>Portfolio!AE20</f>
        <v/>
      </c>
    </row>
    <row r="29">
      <c r="A29" s="14" t="str">
        <f>Portfolio!A7</f>
        <v>IBM</v>
      </c>
      <c r="B29" s="14" t="str">
        <f>Portfolio!B7</f>
        <v>IBM</v>
      </c>
      <c r="C29" s="146">
        <f>Portfolio!C7</f>
        <v>500</v>
      </c>
      <c r="D29" s="96">
        <f>Portfolio!D7</f>
        <v>80</v>
      </c>
      <c r="E29" s="96">
        <f>Portfolio!E7</f>
        <v>164.36</v>
      </c>
      <c r="F29" s="96" t="str">
        <f>IFERROR(__xludf.DUMMYFUNCTION("Portfolio!G7"),"")</f>
        <v/>
      </c>
      <c r="G29" s="50">
        <f>Portfolio!H7</f>
        <v>-0.0077</v>
      </c>
      <c r="H29" s="96">
        <f>Portfolio!I7</f>
        <v>-635</v>
      </c>
      <c r="I29" s="96">
        <f>Portfolio!J7</f>
        <v>40000</v>
      </c>
      <c r="J29" s="96">
        <f>Portfolio!K7</f>
        <v>82180</v>
      </c>
      <c r="K29" s="50">
        <f>Portfolio!O7</f>
        <v>1.0545</v>
      </c>
      <c r="L29" s="96">
        <f>Portfolio!P7</f>
        <v>42180</v>
      </c>
      <c r="M29" s="96">
        <f>Portfolio!Q7</f>
        <v>0</v>
      </c>
      <c r="N29" s="96">
        <f>Portfolio!R7</f>
        <v>42180</v>
      </c>
      <c r="O29" s="50">
        <f>Portfolio!S7</f>
        <v>0.2412022353</v>
      </c>
      <c r="Q29" s="50">
        <f>Portfolio!U7</f>
        <v>0.2188134141</v>
      </c>
      <c r="S29" s="50">
        <f>Portfolio!W7</f>
        <v>0.02238882124</v>
      </c>
      <c r="T29" s="50">
        <f>Portfolio!X7</f>
        <v>0.07478218923</v>
      </c>
      <c r="U29" s="179">
        <f>Portfolio!Y7</f>
        <v>0.005</v>
      </c>
      <c r="V29" s="50">
        <f>Portfolio!Z7</f>
        <v>0.06978218923</v>
      </c>
      <c r="W29" s="14" t="str">
        <f>Portfolio!AA7</f>
        <v>Stock</v>
      </c>
      <c r="X29" s="50">
        <f>Portfolio!AB7</f>
        <v>0.7731305401</v>
      </c>
      <c r="Y29" s="179">
        <f>Portfolio!AC7</f>
        <v>0.0175</v>
      </c>
      <c r="Z29" s="50">
        <f>Portfolio!AD7</f>
        <v>0.7556305401</v>
      </c>
      <c r="AA29" s="180" t="str">
        <f>Portfolio!AE7</f>
        <v>Information Technology</v>
      </c>
    </row>
    <row r="30">
      <c r="A30" s="14" t="str">
        <f>Portfolio!A29</f>
        <v/>
      </c>
      <c r="B30" s="14" t="str">
        <f>Portfolio!B29</f>
        <v/>
      </c>
      <c r="C30" s="158" t="str">
        <f>Portfolio!C29</f>
        <v/>
      </c>
      <c r="D30" s="96" t="str">
        <f>Portfolio!D29</f>
        <v/>
      </c>
      <c r="E30" s="96" t="str">
        <f>Portfolio!E29</f>
        <v/>
      </c>
      <c r="F30" s="96" t="str">
        <f>Portfolio!G29</f>
        <v/>
      </c>
      <c r="G30" s="50" t="str">
        <f>Portfolio!H29</f>
        <v/>
      </c>
      <c r="H30" s="96" t="str">
        <f>Portfolio!I29</f>
        <v/>
      </c>
      <c r="I30" s="96" t="str">
        <f>Portfolio!J29</f>
        <v/>
      </c>
      <c r="J30" s="96" t="str">
        <f>Portfolio!K29</f>
        <v/>
      </c>
      <c r="K30" s="50" t="str">
        <f>Portfolio!O29</f>
        <v/>
      </c>
      <c r="L30" s="96" t="str">
        <f>Portfolio!P29</f>
        <v/>
      </c>
      <c r="M30" s="96" t="str">
        <f>Portfolio!Q29</f>
        <v/>
      </c>
      <c r="N30" s="178" t="str">
        <f>Portfolio!R29</f>
        <v/>
      </c>
      <c r="O30" s="50" t="str">
        <f>Portfolio!S29</f>
        <v/>
      </c>
      <c r="Q30" s="50" t="str">
        <f>Portfolio!U29</f>
        <v/>
      </c>
      <c r="S30" s="50" t="str">
        <f>Portfolio!W29</f>
        <v/>
      </c>
      <c r="T30" s="50" t="str">
        <f>Portfolio!X29</f>
        <v/>
      </c>
      <c r="U30" s="50">
        <f>Portfolio!Y29</f>
        <v>0</v>
      </c>
      <c r="V30" s="50" t="str">
        <f>Portfolio!Z29</f>
        <v/>
      </c>
      <c r="W30" s="14" t="str">
        <f>Portfolio!AA29</f>
        <v/>
      </c>
      <c r="X30" s="50" t="str">
        <f>Portfolio!AB29</f>
        <v/>
      </c>
      <c r="Y30" s="179" t="str">
        <f>Portfolio!AC29</f>
        <v/>
      </c>
      <c r="Z30" s="50" t="str">
        <f>Portfolio!AD29</f>
        <v/>
      </c>
      <c r="AA30" s="180" t="str">
        <f>Portfolio!AE29</f>
        <v/>
      </c>
    </row>
    <row r="31">
      <c r="A31" s="14" t="str">
        <f>Portfolio!A30</f>
        <v/>
      </c>
      <c r="B31" s="14" t="str">
        <f>Portfolio!B30</f>
        <v/>
      </c>
      <c r="C31" s="158" t="str">
        <f>Portfolio!C30</f>
        <v/>
      </c>
      <c r="D31" s="96" t="str">
        <f>Portfolio!D30</f>
        <v/>
      </c>
      <c r="E31" s="96" t="str">
        <f>Portfolio!E30</f>
        <v/>
      </c>
      <c r="F31" s="96" t="str">
        <f>Portfolio!G30</f>
        <v/>
      </c>
      <c r="G31" s="50" t="str">
        <f>Portfolio!H30</f>
        <v/>
      </c>
      <c r="H31" s="96" t="str">
        <f>Portfolio!I30</f>
        <v/>
      </c>
      <c r="I31" s="96" t="str">
        <f>Portfolio!J30</f>
        <v/>
      </c>
      <c r="J31" s="96" t="str">
        <f>Portfolio!K30</f>
        <v/>
      </c>
      <c r="K31" s="50" t="str">
        <f>Portfolio!O30</f>
        <v/>
      </c>
      <c r="L31" s="96" t="str">
        <f>Portfolio!P30</f>
        <v/>
      </c>
      <c r="M31" s="96" t="str">
        <f>Portfolio!Q30</f>
        <v/>
      </c>
      <c r="N31" s="178" t="str">
        <f>Portfolio!R30</f>
        <v/>
      </c>
      <c r="O31" s="50" t="str">
        <f>Portfolio!S30</f>
        <v/>
      </c>
      <c r="Q31" s="50" t="str">
        <f>Portfolio!U30</f>
        <v/>
      </c>
      <c r="S31" s="50" t="str">
        <f>Portfolio!W30</f>
        <v/>
      </c>
      <c r="T31" s="50" t="str">
        <f>Portfolio!X30</f>
        <v/>
      </c>
      <c r="U31" s="50">
        <f>Portfolio!Y30</f>
        <v>0</v>
      </c>
      <c r="V31" s="50" t="str">
        <f>Portfolio!Z30</f>
        <v/>
      </c>
      <c r="W31" s="14" t="str">
        <f>Portfolio!AA30</f>
        <v/>
      </c>
      <c r="X31" s="50" t="str">
        <f>Portfolio!AB30</f>
        <v/>
      </c>
      <c r="Y31" s="179" t="str">
        <f>Portfolio!AC30</f>
        <v/>
      </c>
      <c r="Z31" s="50" t="str">
        <f>Portfolio!AD30</f>
        <v/>
      </c>
      <c r="AA31" s="180" t="str">
        <f>Portfolio!AE30</f>
        <v/>
      </c>
    </row>
    <row r="32">
      <c r="A32" s="14" t="str">
        <f>Portfolio!A31</f>
        <v/>
      </c>
      <c r="B32" s="14" t="str">
        <f>Portfolio!B31</f>
        <v/>
      </c>
      <c r="C32" s="158" t="str">
        <f>Portfolio!C31</f>
        <v/>
      </c>
      <c r="D32" s="96" t="str">
        <f>Portfolio!D31</f>
        <v/>
      </c>
      <c r="E32" s="96" t="str">
        <f>Portfolio!E31</f>
        <v/>
      </c>
      <c r="F32" s="96" t="str">
        <f>Portfolio!G31</f>
        <v/>
      </c>
      <c r="G32" s="50" t="str">
        <f>Portfolio!H31</f>
        <v/>
      </c>
      <c r="H32" s="96" t="str">
        <f>Portfolio!I31</f>
        <v/>
      </c>
      <c r="I32" s="96" t="str">
        <f>Portfolio!J31</f>
        <v/>
      </c>
      <c r="J32" s="96" t="str">
        <f>Portfolio!K31</f>
        <v/>
      </c>
      <c r="K32" s="50" t="str">
        <f>Portfolio!O31</f>
        <v/>
      </c>
      <c r="L32" s="96" t="str">
        <f>Portfolio!P31</f>
        <v/>
      </c>
      <c r="M32" s="96" t="str">
        <f>Portfolio!Q31</f>
        <v/>
      </c>
      <c r="N32" s="178" t="str">
        <f>Portfolio!R31</f>
        <v/>
      </c>
      <c r="O32" s="50" t="str">
        <f>Portfolio!S31</f>
        <v/>
      </c>
      <c r="Q32" s="50" t="str">
        <f>Portfolio!U31</f>
        <v/>
      </c>
      <c r="S32" s="50" t="str">
        <f>Portfolio!W31</f>
        <v/>
      </c>
      <c r="T32" s="50" t="str">
        <f>Portfolio!X31</f>
        <v/>
      </c>
      <c r="U32" s="50">
        <f>Portfolio!Y31</f>
        <v>0</v>
      </c>
      <c r="V32" s="50" t="str">
        <f>Portfolio!Z31</f>
        <v/>
      </c>
      <c r="W32" s="14" t="str">
        <f>Portfolio!AA31</f>
        <v/>
      </c>
      <c r="X32" s="50" t="str">
        <f>Portfolio!AB31</f>
        <v/>
      </c>
      <c r="Y32" s="179" t="str">
        <f>Portfolio!AC31</f>
        <v/>
      </c>
      <c r="Z32" s="50" t="str">
        <f>Portfolio!AD31</f>
        <v/>
      </c>
      <c r="AA32" s="180" t="str">
        <f>Portfolio!AE31</f>
        <v/>
      </c>
    </row>
    <row r="33">
      <c r="A33" s="14" t="str">
        <f>Portfolio!A32</f>
        <v/>
      </c>
      <c r="B33" s="14" t="str">
        <f>Portfolio!B32</f>
        <v/>
      </c>
      <c r="C33" s="158" t="str">
        <f>Portfolio!C32</f>
        <v/>
      </c>
      <c r="D33" s="96" t="str">
        <f>Portfolio!D32</f>
        <v/>
      </c>
      <c r="E33" s="96" t="str">
        <f>Portfolio!E32</f>
        <v/>
      </c>
      <c r="F33" s="96" t="str">
        <f>Portfolio!G32</f>
        <v/>
      </c>
      <c r="G33" s="50" t="str">
        <f>Portfolio!H32</f>
        <v/>
      </c>
      <c r="H33" s="96" t="str">
        <f>Portfolio!I32</f>
        <v/>
      </c>
      <c r="I33" s="96" t="str">
        <f>Portfolio!J32</f>
        <v/>
      </c>
      <c r="J33" s="96" t="str">
        <f>Portfolio!K32</f>
        <v/>
      </c>
      <c r="K33" s="50" t="str">
        <f>Portfolio!O32</f>
        <v/>
      </c>
      <c r="L33" s="96" t="str">
        <f>Portfolio!P32</f>
        <v/>
      </c>
      <c r="M33" s="96" t="str">
        <f>Portfolio!Q32</f>
        <v/>
      </c>
      <c r="N33" s="178" t="str">
        <f>Portfolio!R32</f>
        <v/>
      </c>
      <c r="O33" s="50" t="str">
        <f>Portfolio!S32</f>
        <v/>
      </c>
      <c r="Q33" s="50" t="str">
        <f>Portfolio!U32</f>
        <v/>
      </c>
      <c r="S33" s="50" t="str">
        <f>Portfolio!W32</f>
        <v/>
      </c>
      <c r="T33" s="50" t="str">
        <f>Portfolio!X32</f>
        <v/>
      </c>
      <c r="U33" s="50">
        <f>Portfolio!Y32</f>
        <v>0</v>
      </c>
      <c r="V33" s="50" t="str">
        <f>Portfolio!Z32</f>
        <v/>
      </c>
      <c r="W33" s="14" t="str">
        <f>Portfolio!AA32</f>
        <v/>
      </c>
      <c r="X33" s="50" t="str">
        <f>Portfolio!AB32</f>
        <v/>
      </c>
      <c r="Y33" s="179" t="str">
        <f>Portfolio!AC32</f>
        <v/>
      </c>
      <c r="Z33" s="50" t="str">
        <f>Portfolio!AD32</f>
        <v/>
      </c>
      <c r="AA33" s="180" t="str">
        <f>Portfolio!AE32</f>
        <v/>
      </c>
    </row>
    <row r="34">
      <c r="A34" s="14" t="str">
        <f>Portfolio!A33</f>
        <v/>
      </c>
      <c r="B34" s="14" t="str">
        <f>Portfolio!B33</f>
        <v/>
      </c>
      <c r="C34" s="158" t="str">
        <f>Portfolio!C33</f>
        <v/>
      </c>
      <c r="D34" s="96" t="str">
        <f>Portfolio!D33</f>
        <v/>
      </c>
      <c r="E34" s="96" t="str">
        <f>Portfolio!E33</f>
        <v/>
      </c>
      <c r="F34" s="96" t="str">
        <f>Portfolio!G33</f>
        <v/>
      </c>
      <c r="G34" s="50" t="str">
        <f>Portfolio!H33</f>
        <v/>
      </c>
      <c r="H34" s="96" t="str">
        <f>Portfolio!I33</f>
        <v/>
      </c>
      <c r="I34" s="96" t="str">
        <f>Portfolio!J33</f>
        <v/>
      </c>
      <c r="J34" s="96" t="str">
        <f>Portfolio!K33</f>
        <v/>
      </c>
      <c r="K34" s="50" t="str">
        <f>Portfolio!O33</f>
        <v/>
      </c>
      <c r="L34" s="96" t="str">
        <f>Portfolio!P33</f>
        <v/>
      </c>
      <c r="M34" s="96" t="str">
        <f>Portfolio!Q33</f>
        <v/>
      </c>
      <c r="N34" s="178" t="str">
        <f>Portfolio!R33</f>
        <v/>
      </c>
      <c r="O34" s="50" t="str">
        <f>Portfolio!S33</f>
        <v/>
      </c>
      <c r="Q34" s="50" t="str">
        <f>Portfolio!U33</f>
        <v/>
      </c>
      <c r="S34" s="50" t="str">
        <f>Portfolio!W33</f>
        <v/>
      </c>
      <c r="T34" s="50" t="str">
        <f>Portfolio!X33</f>
        <v/>
      </c>
      <c r="U34" s="50">
        <f>Portfolio!Y33</f>
        <v>0</v>
      </c>
      <c r="V34" s="50" t="str">
        <f>Portfolio!Z33</f>
        <v/>
      </c>
      <c r="W34" s="14" t="str">
        <f>Portfolio!AA33</f>
        <v/>
      </c>
      <c r="X34" s="50" t="str">
        <f>Portfolio!AB33</f>
        <v/>
      </c>
      <c r="Y34" s="179" t="str">
        <f>Portfolio!AC33</f>
        <v/>
      </c>
      <c r="Z34" s="50" t="str">
        <f>Portfolio!AD33</f>
        <v/>
      </c>
      <c r="AA34" s="180" t="str">
        <f>Portfolio!AE33</f>
        <v/>
      </c>
    </row>
    <row r="35">
      <c r="A35" s="14" t="str">
        <f>Portfolio!A34</f>
        <v/>
      </c>
      <c r="B35" s="14" t="str">
        <f>Portfolio!B34</f>
        <v/>
      </c>
      <c r="C35" s="158" t="str">
        <f>Portfolio!C34</f>
        <v/>
      </c>
      <c r="D35" s="96" t="str">
        <f>Portfolio!D34</f>
        <v/>
      </c>
      <c r="E35" s="96" t="str">
        <f>Portfolio!E34</f>
        <v/>
      </c>
      <c r="F35" s="96" t="str">
        <f>Portfolio!G34</f>
        <v/>
      </c>
      <c r="G35" s="50" t="str">
        <f>Portfolio!H34</f>
        <v/>
      </c>
      <c r="H35" s="96" t="str">
        <f>Portfolio!I34</f>
        <v/>
      </c>
      <c r="I35" s="96" t="str">
        <f>Portfolio!J34</f>
        <v/>
      </c>
      <c r="J35" s="96" t="str">
        <f>Portfolio!K34</f>
        <v/>
      </c>
      <c r="K35" s="50" t="str">
        <f>Portfolio!O34</f>
        <v/>
      </c>
      <c r="L35" s="96" t="str">
        <f>Portfolio!P34</f>
        <v/>
      </c>
      <c r="M35" s="96" t="str">
        <f>Portfolio!Q34</f>
        <v/>
      </c>
      <c r="N35" s="178" t="str">
        <f>Portfolio!R34</f>
        <v/>
      </c>
      <c r="O35" s="50" t="str">
        <f>Portfolio!S34</f>
        <v/>
      </c>
      <c r="Q35" s="50" t="str">
        <f>Portfolio!U34</f>
        <v/>
      </c>
      <c r="S35" s="50" t="str">
        <f>Portfolio!W34</f>
        <v/>
      </c>
      <c r="T35" s="50" t="str">
        <f>Portfolio!X34</f>
        <v/>
      </c>
      <c r="U35" s="50">
        <f>Portfolio!Y34</f>
        <v>0</v>
      </c>
      <c r="V35" s="50" t="str">
        <f>Portfolio!Z34</f>
        <v/>
      </c>
      <c r="W35" s="14" t="str">
        <f>Portfolio!AA34</f>
        <v/>
      </c>
      <c r="X35" s="50" t="str">
        <f>Portfolio!AB34</f>
        <v/>
      </c>
      <c r="Y35" s="179" t="str">
        <f>Portfolio!AC34</f>
        <v/>
      </c>
      <c r="Z35" s="50" t="str">
        <f>Portfolio!AD34</f>
        <v/>
      </c>
      <c r="AA35" s="180" t="str">
        <f>Portfolio!AE34</f>
        <v/>
      </c>
    </row>
    <row r="36">
      <c r="A36" s="14" t="str">
        <f>Portfolio!A35</f>
        <v/>
      </c>
      <c r="B36" s="14" t="str">
        <f>Portfolio!B35</f>
        <v/>
      </c>
      <c r="C36" s="158" t="str">
        <f>Portfolio!C35</f>
        <v/>
      </c>
      <c r="D36" s="96" t="str">
        <f>Portfolio!D35</f>
        <v/>
      </c>
      <c r="E36" s="96" t="str">
        <f>Portfolio!E35</f>
        <v/>
      </c>
      <c r="F36" s="96" t="str">
        <f>Portfolio!G35</f>
        <v/>
      </c>
      <c r="G36" s="50" t="str">
        <f>Portfolio!H35</f>
        <v/>
      </c>
      <c r="H36" s="96" t="str">
        <f>Portfolio!I35</f>
        <v/>
      </c>
      <c r="I36" s="96" t="str">
        <f>Portfolio!J35</f>
        <v/>
      </c>
      <c r="J36" s="96" t="str">
        <f>Portfolio!K35</f>
        <v/>
      </c>
      <c r="K36" s="50" t="str">
        <f>Portfolio!O35</f>
        <v/>
      </c>
      <c r="L36" s="96" t="str">
        <f>Portfolio!P35</f>
        <v/>
      </c>
      <c r="M36" s="96" t="str">
        <f>Portfolio!Q35</f>
        <v/>
      </c>
      <c r="N36" s="178" t="str">
        <f>Portfolio!R35</f>
        <v/>
      </c>
      <c r="O36" s="50" t="str">
        <f>Portfolio!S35</f>
        <v/>
      </c>
      <c r="Q36" s="50" t="str">
        <f>Portfolio!U35</f>
        <v/>
      </c>
      <c r="S36" s="50" t="str">
        <f>Portfolio!W35</f>
        <v/>
      </c>
      <c r="T36" s="50" t="str">
        <f>Portfolio!X35</f>
        <v/>
      </c>
      <c r="U36" s="50">
        <f>Portfolio!Y35</f>
        <v>0</v>
      </c>
      <c r="V36" s="50" t="str">
        <f>Portfolio!Z35</f>
        <v/>
      </c>
      <c r="W36" s="14" t="str">
        <f>Portfolio!AA35</f>
        <v/>
      </c>
      <c r="X36" s="50" t="str">
        <f>Portfolio!AB35</f>
        <v/>
      </c>
      <c r="Y36" s="179" t="str">
        <f>Portfolio!AC35</f>
        <v/>
      </c>
      <c r="Z36" s="50" t="str">
        <f>Portfolio!AD35</f>
        <v/>
      </c>
      <c r="AA36" s="180" t="str">
        <f>Portfolio!AE35</f>
        <v/>
      </c>
    </row>
    <row r="37">
      <c r="A37" s="14" t="str">
        <f>Portfolio!A36</f>
        <v/>
      </c>
      <c r="B37" s="14" t="str">
        <f>Portfolio!B36</f>
        <v/>
      </c>
      <c r="C37" s="158" t="str">
        <f>Portfolio!C36</f>
        <v/>
      </c>
      <c r="D37" s="96" t="str">
        <f>Portfolio!D36</f>
        <v/>
      </c>
      <c r="E37" s="96" t="str">
        <f>Portfolio!E36</f>
        <v/>
      </c>
      <c r="F37" s="96" t="str">
        <f>Portfolio!G36</f>
        <v/>
      </c>
      <c r="G37" s="50" t="str">
        <f>Portfolio!H36</f>
        <v/>
      </c>
      <c r="H37" s="96" t="str">
        <f>Portfolio!I36</f>
        <v/>
      </c>
      <c r="I37" s="96" t="str">
        <f>Portfolio!J36</f>
        <v/>
      </c>
      <c r="J37" s="96" t="str">
        <f>Portfolio!K36</f>
        <v/>
      </c>
      <c r="K37" s="50" t="str">
        <f>Portfolio!O36</f>
        <v/>
      </c>
      <c r="L37" s="96" t="str">
        <f>Portfolio!P36</f>
        <v/>
      </c>
      <c r="M37" s="96" t="str">
        <f>Portfolio!Q36</f>
        <v/>
      </c>
      <c r="N37" s="178" t="str">
        <f>Portfolio!R36</f>
        <v/>
      </c>
      <c r="O37" s="50" t="str">
        <f>Portfolio!S36</f>
        <v/>
      </c>
      <c r="Q37" s="50" t="str">
        <f>Portfolio!U36</f>
        <v/>
      </c>
      <c r="S37" s="50" t="str">
        <f>Portfolio!W36</f>
        <v/>
      </c>
      <c r="T37" s="50" t="str">
        <f>Portfolio!X36</f>
        <v/>
      </c>
      <c r="U37" s="50">
        <f>Portfolio!Y36</f>
        <v>0</v>
      </c>
      <c r="V37" s="50" t="str">
        <f>Portfolio!Z36</f>
        <v/>
      </c>
      <c r="W37" s="14" t="str">
        <f>Portfolio!AA36</f>
        <v/>
      </c>
      <c r="X37" s="50" t="str">
        <f>Portfolio!AB36</f>
        <v/>
      </c>
      <c r="Y37" s="179" t="str">
        <f>Portfolio!AC36</f>
        <v/>
      </c>
      <c r="Z37" s="50" t="str">
        <f>Portfolio!AD36</f>
        <v/>
      </c>
      <c r="AA37" s="180" t="str">
        <f>Portfolio!AE36</f>
        <v/>
      </c>
    </row>
    <row r="38">
      <c r="A38" s="14" t="str">
        <f>Portfolio!A37</f>
        <v/>
      </c>
      <c r="B38" s="14" t="str">
        <f>Portfolio!B37</f>
        <v/>
      </c>
      <c r="C38" s="158" t="str">
        <f>Portfolio!C37</f>
        <v/>
      </c>
      <c r="D38" s="96" t="str">
        <f>Portfolio!D37</f>
        <v/>
      </c>
      <c r="E38" s="96" t="str">
        <f>Portfolio!E37</f>
        <v/>
      </c>
      <c r="F38" s="96" t="str">
        <f>Portfolio!G37</f>
        <v/>
      </c>
      <c r="G38" s="50" t="str">
        <f>Portfolio!H37</f>
        <v/>
      </c>
      <c r="H38" s="96" t="str">
        <f>Portfolio!I37</f>
        <v/>
      </c>
      <c r="I38" s="96" t="str">
        <f>Portfolio!J37</f>
        <v/>
      </c>
      <c r="J38" s="96" t="str">
        <f>Portfolio!K37</f>
        <v/>
      </c>
      <c r="K38" s="50" t="str">
        <f>Portfolio!O37</f>
        <v/>
      </c>
      <c r="L38" s="96" t="str">
        <f>Portfolio!P37</f>
        <v/>
      </c>
      <c r="M38" s="96" t="str">
        <f>Portfolio!Q37</f>
        <v/>
      </c>
      <c r="N38" s="178" t="str">
        <f>Portfolio!R37</f>
        <v/>
      </c>
      <c r="O38" s="50" t="str">
        <f>Portfolio!S37</f>
        <v/>
      </c>
      <c r="Q38" s="50" t="str">
        <f>Portfolio!U37</f>
        <v/>
      </c>
      <c r="S38" s="50" t="str">
        <f>Portfolio!W37</f>
        <v/>
      </c>
      <c r="T38" s="50" t="str">
        <f>Portfolio!X37</f>
        <v/>
      </c>
      <c r="U38" s="50">
        <f>Portfolio!Y37</f>
        <v>0</v>
      </c>
      <c r="V38" s="50" t="str">
        <f>Portfolio!Z37</f>
        <v/>
      </c>
      <c r="W38" s="14" t="str">
        <f>Portfolio!AA37</f>
        <v/>
      </c>
      <c r="X38" s="50" t="str">
        <f>Portfolio!AB37</f>
        <v/>
      </c>
      <c r="Y38" s="179" t="str">
        <f>Portfolio!AC37</f>
        <v/>
      </c>
      <c r="Z38" s="50" t="str">
        <f>Portfolio!AD37</f>
        <v/>
      </c>
      <c r="AA38" s="180" t="str">
        <f>Portfolio!AE37</f>
        <v/>
      </c>
    </row>
    <row r="39">
      <c r="A39" s="14" t="str">
        <f>Portfolio!A38</f>
        <v/>
      </c>
      <c r="B39" s="14" t="str">
        <f>Portfolio!B38</f>
        <v/>
      </c>
      <c r="C39" s="158" t="str">
        <f>Portfolio!C38</f>
        <v/>
      </c>
      <c r="D39" s="96" t="str">
        <f>Portfolio!D38</f>
        <v/>
      </c>
      <c r="E39" s="96" t="str">
        <f>Portfolio!E38</f>
        <v/>
      </c>
      <c r="F39" s="96" t="str">
        <f>Portfolio!G38</f>
        <v/>
      </c>
      <c r="G39" s="50" t="str">
        <f>Portfolio!H38</f>
        <v/>
      </c>
      <c r="H39" s="96" t="str">
        <f>Portfolio!I38</f>
        <v/>
      </c>
      <c r="I39" s="96" t="str">
        <f>Portfolio!J38</f>
        <v/>
      </c>
      <c r="J39" s="96" t="str">
        <f>Portfolio!K38</f>
        <v/>
      </c>
      <c r="K39" s="50" t="str">
        <f>Portfolio!O38</f>
        <v/>
      </c>
      <c r="L39" s="96" t="str">
        <f>Portfolio!P38</f>
        <v/>
      </c>
      <c r="M39" s="96" t="str">
        <f>Portfolio!Q38</f>
        <v/>
      </c>
      <c r="N39" s="178" t="str">
        <f>Portfolio!R38</f>
        <v/>
      </c>
      <c r="O39" s="50" t="str">
        <f>Portfolio!S38</f>
        <v/>
      </c>
      <c r="Q39" s="50" t="str">
        <f>Portfolio!U38</f>
        <v/>
      </c>
      <c r="S39" s="50" t="str">
        <f>Portfolio!W38</f>
        <v/>
      </c>
      <c r="T39" s="50" t="str">
        <f>Portfolio!X38</f>
        <v/>
      </c>
      <c r="U39" s="50">
        <f>Portfolio!Y38</f>
        <v>0</v>
      </c>
      <c r="V39" s="50" t="str">
        <f>Portfolio!Z38</f>
        <v/>
      </c>
      <c r="W39" s="14" t="str">
        <f>Portfolio!AA38</f>
        <v/>
      </c>
      <c r="X39" s="50" t="str">
        <f>Portfolio!AB38</f>
        <v/>
      </c>
      <c r="Y39" s="179" t="str">
        <f>Portfolio!AC38</f>
        <v/>
      </c>
      <c r="Z39" s="50" t="str">
        <f>Portfolio!AD38</f>
        <v/>
      </c>
      <c r="AA39" s="180" t="str">
        <f>Portfolio!AE38</f>
        <v/>
      </c>
    </row>
    <row r="40">
      <c r="A40" s="14" t="str">
        <f>Portfolio!A39</f>
        <v/>
      </c>
      <c r="B40" s="14" t="str">
        <f>Portfolio!B39</f>
        <v/>
      </c>
      <c r="C40" s="158" t="str">
        <f>Portfolio!C39</f>
        <v/>
      </c>
      <c r="D40" s="96" t="str">
        <f>Portfolio!D39</f>
        <v/>
      </c>
      <c r="E40" s="96" t="str">
        <f>Portfolio!E39</f>
        <v/>
      </c>
      <c r="F40" s="96" t="str">
        <f>Portfolio!G39</f>
        <v/>
      </c>
      <c r="G40" s="50" t="str">
        <f>Portfolio!H39</f>
        <v/>
      </c>
      <c r="H40" s="96" t="str">
        <f>Portfolio!I39</f>
        <v/>
      </c>
      <c r="I40" s="96" t="str">
        <f>Portfolio!J39</f>
        <v/>
      </c>
      <c r="J40" s="96" t="str">
        <f>Portfolio!K39</f>
        <v/>
      </c>
      <c r="K40" s="50" t="str">
        <f>Portfolio!O39</f>
        <v/>
      </c>
      <c r="L40" s="96" t="str">
        <f>Portfolio!P39</f>
        <v/>
      </c>
      <c r="M40" s="96" t="str">
        <f>Portfolio!Q39</f>
        <v/>
      </c>
      <c r="N40" s="178" t="str">
        <f>Portfolio!R39</f>
        <v/>
      </c>
      <c r="O40" s="50" t="str">
        <f>Portfolio!S39</f>
        <v/>
      </c>
      <c r="Q40" s="50" t="str">
        <f>Portfolio!U39</f>
        <v/>
      </c>
      <c r="S40" s="50" t="str">
        <f>Portfolio!W39</f>
        <v/>
      </c>
      <c r="T40" s="50" t="str">
        <f>Portfolio!X39</f>
        <v/>
      </c>
      <c r="U40" s="50">
        <f>Portfolio!Y39</f>
        <v>0</v>
      </c>
      <c r="V40" s="50" t="str">
        <f>Portfolio!Z39</f>
        <v/>
      </c>
      <c r="W40" s="14" t="str">
        <f>Portfolio!AA39</f>
        <v/>
      </c>
      <c r="X40" s="50" t="str">
        <f>Portfolio!AB39</f>
        <v/>
      </c>
      <c r="Y40" s="179" t="str">
        <f>Portfolio!AC39</f>
        <v/>
      </c>
      <c r="Z40" s="50" t="str">
        <f>Portfolio!AD39</f>
        <v/>
      </c>
      <c r="AA40" s="180" t="str">
        <f>Portfolio!AE39</f>
        <v/>
      </c>
    </row>
    <row r="41">
      <c r="A41" s="14" t="str">
        <f>Portfolio!A40</f>
        <v/>
      </c>
      <c r="B41" s="14" t="str">
        <f>Portfolio!B40</f>
        <v/>
      </c>
      <c r="C41" s="158" t="str">
        <f>Portfolio!C40</f>
        <v/>
      </c>
      <c r="D41" s="96" t="str">
        <f>Portfolio!D40</f>
        <v/>
      </c>
      <c r="E41" s="96" t="str">
        <f>Portfolio!E40</f>
        <v/>
      </c>
      <c r="F41" s="96" t="str">
        <f>Portfolio!G40</f>
        <v/>
      </c>
      <c r="G41" s="50" t="str">
        <f>Portfolio!H40</f>
        <v/>
      </c>
      <c r="H41" s="96" t="str">
        <f>Portfolio!I40</f>
        <v/>
      </c>
      <c r="I41" s="96" t="str">
        <f>Portfolio!J40</f>
        <v/>
      </c>
      <c r="J41" s="96" t="str">
        <f>Portfolio!K40</f>
        <v/>
      </c>
      <c r="K41" s="50" t="str">
        <f>Portfolio!O40</f>
        <v/>
      </c>
      <c r="L41" s="96" t="str">
        <f>Portfolio!P40</f>
        <v/>
      </c>
      <c r="M41" s="96" t="str">
        <f>Portfolio!Q40</f>
        <v/>
      </c>
      <c r="N41" s="178" t="str">
        <f>Portfolio!R40</f>
        <v/>
      </c>
      <c r="O41" s="50" t="str">
        <f>Portfolio!S40</f>
        <v/>
      </c>
      <c r="Q41" s="50" t="str">
        <f>Portfolio!U40</f>
        <v/>
      </c>
      <c r="S41" s="50" t="str">
        <f>Portfolio!W40</f>
        <v/>
      </c>
      <c r="T41" s="50" t="str">
        <f>Portfolio!X40</f>
        <v/>
      </c>
      <c r="U41" s="50">
        <f>Portfolio!Y40</f>
        <v>0</v>
      </c>
      <c r="V41" s="50" t="str">
        <f>Portfolio!Z40</f>
        <v/>
      </c>
      <c r="W41" s="14" t="str">
        <f>Portfolio!AA40</f>
        <v/>
      </c>
      <c r="X41" s="50" t="str">
        <f>Portfolio!AB40</f>
        <v/>
      </c>
      <c r="Y41" s="179" t="str">
        <f>Portfolio!AC40</f>
        <v/>
      </c>
      <c r="Z41" s="50" t="str">
        <f>Portfolio!AD40</f>
        <v/>
      </c>
      <c r="AA41" s="180" t="str">
        <f>Portfolio!AE40</f>
        <v/>
      </c>
    </row>
    <row r="42">
      <c r="A42" s="14" t="str">
        <f>Portfolio!A41</f>
        <v/>
      </c>
      <c r="B42" s="14" t="str">
        <f>Portfolio!B41</f>
        <v/>
      </c>
      <c r="C42" s="158" t="str">
        <f>Portfolio!C41</f>
        <v/>
      </c>
      <c r="D42" s="96" t="str">
        <f>Portfolio!D41</f>
        <v/>
      </c>
      <c r="E42" s="96" t="str">
        <f>Portfolio!E41</f>
        <v/>
      </c>
      <c r="F42" s="96" t="str">
        <f>Portfolio!G41</f>
        <v/>
      </c>
      <c r="G42" s="50" t="str">
        <f>Portfolio!H41</f>
        <v/>
      </c>
      <c r="H42" s="96" t="str">
        <f>Portfolio!I41</f>
        <v/>
      </c>
      <c r="I42" s="96" t="str">
        <f>Portfolio!J41</f>
        <v/>
      </c>
      <c r="J42" s="96" t="str">
        <f>Portfolio!K41</f>
        <v/>
      </c>
      <c r="K42" s="50" t="str">
        <f>Portfolio!O41</f>
        <v/>
      </c>
      <c r="L42" s="96" t="str">
        <f>Portfolio!P41</f>
        <v/>
      </c>
      <c r="M42" s="96" t="str">
        <f>Portfolio!Q41</f>
        <v/>
      </c>
      <c r="N42" s="178" t="str">
        <f>Portfolio!R41</f>
        <v/>
      </c>
      <c r="O42" s="50" t="str">
        <f>Portfolio!S41</f>
        <v/>
      </c>
      <c r="Q42" s="50" t="str">
        <f>Portfolio!U41</f>
        <v/>
      </c>
      <c r="S42" s="50" t="str">
        <f>Portfolio!W41</f>
        <v/>
      </c>
      <c r="T42" s="50" t="str">
        <f>Portfolio!X41</f>
        <v/>
      </c>
      <c r="U42" s="50">
        <f>Portfolio!Y41</f>
        <v>0</v>
      </c>
      <c r="V42" s="50" t="str">
        <f>Portfolio!Z41</f>
        <v/>
      </c>
      <c r="W42" s="14" t="str">
        <f>Portfolio!AA41</f>
        <v/>
      </c>
      <c r="X42" s="50" t="str">
        <f>Portfolio!AB41</f>
        <v/>
      </c>
      <c r="Y42" s="179" t="str">
        <f>Portfolio!AC41</f>
        <v/>
      </c>
      <c r="Z42" s="50" t="str">
        <f>Portfolio!AD41</f>
        <v/>
      </c>
      <c r="AA42" s="180" t="str">
        <f>Portfolio!AE41</f>
        <v/>
      </c>
    </row>
    <row r="43">
      <c r="A43" s="14" t="str">
        <f>Portfolio!A42</f>
        <v/>
      </c>
      <c r="B43" s="14" t="str">
        <f>Portfolio!B42</f>
        <v/>
      </c>
      <c r="C43" s="158" t="str">
        <f>Portfolio!C42</f>
        <v/>
      </c>
      <c r="D43" s="96" t="str">
        <f>Portfolio!D42</f>
        <v/>
      </c>
      <c r="E43" s="96" t="str">
        <f>Portfolio!E42</f>
        <v/>
      </c>
      <c r="F43" s="96" t="str">
        <f>Portfolio!G42</f>
        <v/>
      </c>
      <c r="G43" s="50" t="str">
        <f>Portfolio!H42</f>
        <v/>
      </c>
      <c r="H43" s="96" t="str">
        <f>Portfolio!I42</f>
        <v/>
      </c>
      <c r="I43" s="96" t="str">
        <f>Portfolio!J42</f>
        <v/>
      </c>
      <c r="J43" s="96" t="str">
        <f>Portfolio!K42</f>
        <v/>
      </c>
      <c r="K43" s="50" t="str">
        <f>Portfolio!O42</f>
        <v/>
      </c>
      <c r="L43" s="96" t="str">
        <f>Portfolio!P42</f>
        <v/>
      </c>
      <c r="M43" s="96" t="str">
        <f>Portfolio!Q42</f>
        <v/>
      </c>
      <c r="N43" s="178" t="str">
        <f>Portfolio!R42</f>
        <v/>
      </c>
      <c r="O43" s="50" t="str">
        <f>Portfolio!S42</f>
        <v/>
      </c>
      <c r="Q43" s="50" t="str">
        <f>Portfolio!U42</f>
        <v/>
      </c>
      <c r="S43" s="50" t="str">
        <f>Portfolio!W42</f>
        <v/>
      </c>
      <c r="T43" s="50" t="str">
        <f>Portfolio!X42</f>
        <v/>
      </c>
      <c r="U43" s="50">
        <f>Portfolio!Y42</f>
        <v>0</v>
      </c>
      <c r="V43" s="50" t="str">
        <f>Portfolio!Z42</f>
        <v/>
      </c>
      <c r="W43" s="14" t="str">
        <f>Portfolio!AA42</f>
        <v/>
      </c>
      <c r="X43" s="50" t="str">
        <f>Portfolio!AB42</f>
        <v/>
      </c>
      <c r="Y43" s="179" t="str">
        <f>Portfolio!AC42</f>
        <v/>
      </c>
      <c r="Z43" s="50" t="str">
        <f>Portfolio!AD42</f>
        <v/>
      </c>
      <c r="AA43" s="180" t="str">
        <f>Portfolio!AE42</f>
        <v/>
      </c>
    </row>
    <row r="44">
      <c r="A44" s="14" t="str">
        <f>Portfolio!A43</f>
        <v/>
      </c>
      <c r="B44" s="14" t="str">
        <f>Portfolio!B43</f>
        <v/>
      </c>
      <c r="C44" s="158" t="str">
        <f>Portfolio!C43</f>
        <v/>
      </c>
      <c r="D44" s="96" t="str">
        <f>Portfolio!D43</f>
        <v/>
      </c>
      <c r="E44" s="96" t="str">
        <f>Portfolio!E43</f>
        <v/>
      </c>
      <c r="F44" s="96" t="str">
        <f>Portfolio!G43</f>
        <v/>
      </c>
      <c r="G44" s="50" t="str">
        <f>Portfolio!H43</f>
        <v/>
      </c>
      <c r="H44" s="96" t="str">
        <f>Portfolio!I43</f>
        <v/>
      </c>
      <c r="I44" s="96" t="str">
        <f>Portfolio!J43</f>
        <v/>
      </c>
      <c r="J44" s="96" t="str">
        <f>Portfolio!K43</f>
        <v/>
      </c>
      <c r="K44" s="50" t="str">
        <f>Portfolio!O43</f>
        <v/>
      </c>
      <c r="L44" s="96" t="str">
        <f>Portfolio!P43</f>
        <v/>
      </c>
      <c r="M44" s="96" t="str">
        <f>Portfolio!Q43</f>
        <v/>
      </c>
      <c r="N44" s="178" t="str">
        <f>Portfolio!R43</f>
        <v/>
      </c>
      <c r="O44" s="50" t="str">
        <f>Portfolio!S43</f>
        <v/>
      </c>
      <c r="Q44" s="50" t="str">
        <f>Portfolio!U43</f>
        <v/>
      </c>
      <c r="S44" s="50" t="str">
        <f>Portfolio!W43</f>
        <v/>
      </c>
      <c r="T44" s="50" t="str">
        <f>Portfolio!X43</f>
        <v/>
      </c>
      <c r="U44" s="50">
        <f>Portfolio!Y43</f>
        <v>0</v>
      </c>
      <c r="V44" s="50" t="str">
        <f>Portfolio!Z43</f>
        <v/>
      </c>
      <c r="W44" s="14" t="str">
        <f>Portfolio!AA43</f>
        <v/>
      </c>
      <c r="X44" s="50" t="str">
        <f>Portfolio!AB43</f>
        <v/>
      </c>
      <c r="Y44" s="179" t="str">
        <f>Portfolio!AC43</f>
        <v/>
      </c>
      <c r="Z44" s="50" t="str">
        <f>Portfolio!AD43</f>
        <v/>
      </c>
      <c r="AA44" s="180" t="str">
        <f>Portfolio!AE43</f>
        <v/>
      </c>
    </row>
    <row r="45">
      <c r="A45" s="14" t="str">
        <f>Portfolio!A44</f>
        <v/>
      </c>
      <c r="B45" s="14" t="str">
        <f>Portfolio!B44</f>
        <v/>
      </c>
      <c r="C45" s="158" t="str">
        <f>Portfolio!C44</f>
        <v/>
      </c>
      <c r="D45" s="96" t="str">
        <f>Portfolio!D44</f>
        <v/>
      </c>
      <c r="E45" s="96" t="str">
        <f>Portfolio!E44</f>
        <v/>
      </c>
      <c r="F45" s="96" t="str">
        <f>Portfolio!G44</f>
        <v/>
      </c>
      <c r="G45" s="50" t="str">
        <f>Portfolio!H44</f>
        <v/>
      </c>
      <c r="H45" s="96" t="str">
        <f>Portfolio!I44</f>
        <v/>
      </c>
      <c r="I45" s="96" t="str">
        <f>Portfolio!J44</f>
        <v/>
      </c>
      <c r="J45" s="96" t="str">
        <f>Portfolio!K44</f>
        <v/>
      </c>
      <c r="K45" s="50" t="str">
        <f>Portfolio!O44</f>
        <v/>
      </c>
      <c r="L45" s="96" t="str">
        <f>Portfolio!P44</f>
        <v/>
      </c>
      <c r="M45" s="96" t="str">
        <f>Portfolio!Q44</f>
        <v/>
      </c>
      <c r="N45" s="178" t="str">
        <f>Portfolio!R44</f>
        <v/>
      </c>
      <c r="O45" s="50" t="str">
        <f>Portfolio!S44</f>
        <v/>
      </c>
      <c r="Q45" s="50" t="str">
        <f>Portfolio!U44</f>
        <v/>
      </c>
      <c r="S45" s="50" t="str">
        <f>Portfolio!W44</f>
        <v/>
      </c>
      <c r="T45" s="50" t="str">
        <f>Portfolio!X44</f>
        <v/>
      </c>
      <c r="U45" s="50">
        <f>Portfolio!Y44</f>
        <v>0</v>
      </c>
      <c r="V45" s="50" t="str">
        <f>Portfolio!Z44</f>
        <v/>
      </c>
      <c r="W45" s="14" t="str">
        <f>Portfolio!AA44</f>
        <v/>
      </c>
      <c r="X45" s="50" t="str">
        <f>Portfolio!AB44</f>
        <v/>
      </c>
      <c r="Y45" s="179" t="str">
        <f>Portfolio!AC44</f>
        <v/>
      </c>
      <c r="Z45" s="50" t="str">
        <f>Portfolio!AD44</f>
        <v/>
      </c>
      <c r="AA45" s="180" t="str">
        <f>Portfolio!AE44</f>
        <v/>
      </c>
    </row>
    <row r="46">
      <c r="A46" s="14" t="str">
        <f>Portfolio!A45</f>
        <v/>
      </c>
      <c r="B46" s="14" t="str">
        <f>Portfolio!B45</f>
        <v/>
      </c>
      <c r="C46" s="158" t="str">
        <f>Portfolio!C45</f>
        <v/>
      </c>
      <c r="D46" s="96" t="str">
        <f>Portfolio!D45</f>
        <v/>
      </c>
      <c r="E46" s="96" t="str">
        <f>Portfolio!E45</f>
        <v/>
      </c>
      <c r="F46" s="96" t="str">
        <f>Portfolio!G45</f>
        <v/>
      </c>
      <c r="G46" s="50" t="str">
        <f>Portfolio!H45</f>
        <v/>
      </c>
      <c r="H46" s="96" t="str">
        <f>Portfolio!I45</f>
        <v/>
      </c>
      <c r="I46" s="96" t="str">
        <f>Portfolio!J45</f>
        <v/>
      </c>
      <c r="J46" s="96" t="str">
        <f>Portfolio!K45</f>
        <v/>
      </c>
      <c r="K46" s="50" t="str">
        <f>Portfolio!O45</f>
        <v/>
      </c>
      <c r="L46" s="96" t="str">
        <f>Portfolio!P45</f>
        <v/>
      </c>
      <c r="M46" s="96" t="str">
        <f>Portfolio!Q45</f>
        <v/>
      </c>
      <c r="N46" s="178" t="str">
        <f>Portfolio!R45</f>
        <v/>
      </c>
      <c r="O46" s="50" t="str">
        <f>Portfolio!S45</f>
        <v/>
      </c>
      <c r="Q46" s="50" t="str">
        <f>Portfolio!U45</f>
        <v/>
      </c>
      <c r="S46" s="50" t="str">
        <f>Portfolio!W45</f>
        <v/>
      </c>
      <c r="T46" s="50" t="str">
        <f>Portfolio!X45</f>
        <v/>
      </c>
      <c r="U46" s="50">
        <f>Portfolio!Y45</f>
        <v>0</v>
      </c>
      <c r="V46" s="50" t="str">
        <f>Portfolio!Z45</f>
        <v/>
      </c>
      <c r="W46" s="14" t="str">
        <f>Portfolio!AA45</f>
        <v/>
      </c>
      <c r="X46" s="50" t="str">
        <f>Portfolio!AB45</f>
        <v/>
      </c>
      <c r="Y46" s="179" t="str">
        <f>Portfolio!AC45</f>
        <v/>
      </c>
      <c r="Z46" s="50" t="str">
        <f>Portfolio!AD45</f>
        <v/>
      </c>
      <c r="AA46" s="180" t="str">
        <f>Portfolio!AE45</f>
        <v/>
      </c>
    </row>
    <row r="47">
      <c r="A47" s="14" t="str">
        <f>Portfolio!A46</f>
        <v/>
      </c>
      <c r="B47" s="14" t="str">
        <f>Portfolio!B46</f>
        <v/>
      </c>
      <c r="C47" s="158" t="str">
        <f>Portfolio!C46</f>
        <v/>
      </c>
      <c r="D47" s="96" t="str">
        <f>Portfolio!D46</f>
        <v/>
      </c>
      <c r="E47" s="96" t="str">
        <f>Portfolio!E46</f>
        <v/>
      </c>
      <c r="F47" s="96" t="str">
        <f>Portfolio!G46</f>
        <v/>
      </c>
      <c r="G47" s="50" t="str">
        <f>Portfolio!H46</f>
        <v/>
      </c>
      <c r="H47" s="96" t="str">
        <f>Portfolio!I46</f>
        <v/>
      </c>
      <c r="I47" s="96" t="str">
        <f>Portfolio!J46</f>
        <v/>
      </c>
      <c r="J47" s="96" t="str">
        <f>Portfolio!K46</f>
        <v/>
      </c>
      <c r="K47" s="50" t="str">
        <f>Portfolio!O46</f>
        <v/>
      </c>
      <c r="L47" s="96" t="str">
        <f>Portfolio!P46</f>
        <v/>
      </c>
      <c r="M47" s="96" t="str">
        <f>Portfolio!Q46</f>
        <v/>
      </c>
      <c r="N47" s="178" t="str">
        <f>Portfolio!R46</f>
        <v/>
      </c>
      <c r="O47" s="50" t="str">
        <f>Portfolio!S46</f>
        <v/>
      </c>
      <c r="Q47" s="50" t="str">
        <f>Portfolio!U46</f>
        <v/>
      </c>
      <c r="S47" s="50" t="str">
        <f>Portfolio!W46</f>
        <v/>
      </c>
      <c r="T47" s="50" t="str">
        <f>Portfolio!X46</f>
        <v/>
      </c>
      <c r="U47" s="50">
        <f>Portfolio!Y46</f>
        <v>0</v>
      </c>
      <c r="V47" s="50" t="str">
        <f>Portfolio!Z46</f>
        <v/>
      </c>
      <c r="W47" s="14" t="str">
        <f>Portfolio!AA46</f>
        <v/>
      </c>
      <c r="X47" s="50" t="str">
        <f>Portfolio!AB46</f>
        <v/>
      </c>
      <c r="Y47" s="179" t="str">
        <f>Portfolio!AC46</f>
        <v/>
      </c>
      <c r="Z47" s="50" t="str">
        <f>Portfolio!AD46</f>
        <v/>
      </c>
      <c r="AA47" s="180" t="str">
        <f>Portfolio!AE46</f>
        <v/>
      </c>
    </row>
    <row r="48">
      <c r="A48" s="14" t="str">
        <f>Portfolio!A47</f>
        <v/>
      </c>
      <c r="B48" s="14" t="str">
        <f>Portfolio!B47</f>
        <v/>
      </c>
      <c r="C48" s="158" t="str">
        <f>Portfolio!C47</f>
        <v/>
      </c>
      <c r="D48" s="96" t="str">
        <f>Portfolio!D47</f>
        <v/>
      </c>
      <c r="E48" s="96" t="str">
        <f>Portfolio!E47</f>
        <v/>
      </c>
      <c r="F48" s="96" t="str">
        <f>Portfolio!G47</f>
        <v/>
      </c>
      <c r="G48" s="50" t="str">
        <f>Portfolio!H47</f>
        <v/>
      </c>
      <c r="H48" s="96" t="str">
        <f>Portfolio!I47</f>
        <v/>
      </c>
      <c r="I48" s="96" t="str">
        <f>Portfolio!J47</f>
        <v/>
      </c>
      <c r="J48" s="96" t="str">
        <f>Portfolio!K47</f>
        <v/>
      </c>
      <c r="K48" s="50" t="str">
        <f>Portfolio!O47</f>
        <v/>
      </c>
      <c r="L48" s="96" t="str">
        <f>Portfolio!P47</f>
        <v/>
      </c>
      <c r="M48" s="96" t="str">
        <f>Portfolio!Q47</f>
        <v/>
      </c>
      <c r="N48" s="178" t="str">
        <f>Portfolio!R47</f>
        <v/>
      </c>
      <c r="O48" s="50" t="str">
        <f>Portfolio!S47</f>
        <v/>
      </c>
      <c r="Q48" s="50" t="str">
        <f>Portfolio!U47</f>
        <v/>
      </c>
      <c r="S48" s="50" t="str">
        <f>Portfolio!W47</f>
        <v/>
      </c>
      <c r="T48" s="50" t="str">
        <f>Portfolio!X47</f>
        <v/>
      </c>
      <c r="U48" s="50">
        <f>Portfolio!Y47</f>
        <v>0</v>
      </c>
      <c r="V48" s="50" t="str">
        <f>Portfolio!Z47</f>
        <v/>
      </c>
      <c r="W48" s="14" t="str">
        <f>Portfolio!AA47</f>
        <v/>
      </c>
      <c r="X48" s="50" t="str">
        <f>Portfolio!AB47</f>
        <v/>
      </c>
      <c r="Y48" s="179" t="str">
        <f>Portfolio!AC47</f>
        <v/>
      </c>
      <c r="Z48" s="50" t="str">
        <f>Portfolio!AD47</f>
        <v/>
      </c>
      <c r="AA48" s="180" t="str">
        <f>Portfolio!AE47</f>
        <v/>
      </c>
    </row>
    <row r="49">
      <c r="A49" s="14" t="str">
        <f>Portfolio!A48</f>
        <v/>
      </c>
      <c r="B49" s="14" t="str">
        <f>Portfolio!B48</f>
        <v/>
      </c>
      <c r="C49" s="158" t="str">
        <f>Portfolio!C48</f>
        <v/>
      </c>
      <c r="D49" s="96" t="str">
        <f>Portfolio!D48</f>
        <v/>
      </c>
      <c r="E49" s="96" t="str">
        <f>Portfolio!E48</f>
        <v/>
      </c>
      <c r="F49" s="96" t="str">
        <f>Portfolio!G48</f>
        <v/>
      </c>
      <c r="G49" s="50" t="str">
        <f>Portfolio!H48</f>
        <v/>
      </c>
      <c r="H49" s="96" t="str">
        <f>Portfolio!I48</f>
        <v/>
      </c>
      <c r="I49" s="96" t="str">
        <f>Portfolio!J48</f>
        <v/>
      </c>
      <c r="J49" s="96" t="str">
        <f>Portfolio!K48</f>
        <v/>
      </c>
      <c r="K49" s="50" t="str">
        <f>Portfolio!O48</f>
        <v/>
      </c>
      <c r="L49" s="96" t="str">
        <f>Portfolio!P48</f>
        <v/>
      </c>
      <c r="M49" s="96" t="str">
        <f>Portfolio!Q48</f>
        <v/>
      </c>
      <c r="N49" s="178" t="str">
        <f>Portfolio!R48</f>
        <v/>
      </c>
      <c r="O49" s="50" t="str">
        <f>Portfolio!S48</f>
        <v/>
      </c>
      <c r="Q49" s="50" t="str">
        <f>Portfolio!U48</f>
        <v/>
      </c>
      <c r="S49" s="50" t="str">
        <f>Portfolio!W48</f>
        <v/>
      </c>
      <c r="T49" s="50" t="str">
        <f>Portfolio!X48</f>
        <v/>
      </c>
      <c r="U49" s="50">
        <f>Portfolio!Y48</f>
        <v>0</v>
      </c>
      <c r="V49" s="50" t="str">
        <f>Portfolio!Z48</f>
        <v/>
      </c>
      <c r="W49" s="14" t="str">
        <f>Portfolio!AA48</f>
        <v/>
      </c>
      <c r="X49" s="50" t="str">
        <f>Portfolio!AB48</f>
        <v/>
      </c>
      <c r="Y49" s="179" t="str">
        <f>Portfolio!AC48</f>
        <v/>
      </c>
      <c r="Z49" s="50" t="str">
        <f>Portfolio!AD48</f>
        <v/>
      </c>
      <c r="AA49" s="180" t="str">
        <f>Portfolio!AE48</f>
        <v/>
      </c>
    </row>
    <row r="50">
      <c r="A50" s="14" t="str">
        <f>Portfolio!A49</f>
        <v/>
      </c>
      <c r="B50" s="14" t="str">
        <f>Portfolio!B49</f>
        <v/>
      </c>
      <c r="C50" s="158" t="str">
        <f>Portfolio!C49</f>
        <v/>
      </c>
      <c r="D50" s="96" t="str">
        <f>Portfolio!D49</f>
        <v/>
      </c>
      <c r="E50" s="96" t="str">
        <f>Portfolio!E49</f>
        <v/>
      </c>
      <c r="F50" s="96" t="str">
        <f>Portfolio!G49</f>
        <v/>
      </c>
      <c r="G50" s="50" t="str">
        <f>Portfolio!H49</f>
        <v/>
      </c>
      <c r="H50" s="96" t="str">
        <f>Portfolio!I49</f>
        <v/>
      </c>
      <c r="I50" s="96" t="str">
        <f>Portfolio!J49</f>
        <v/>
      </c>
      <c r="J50" s="96" t="str">
        <f>Portfolio!K49</f>
        <v/>
      </c>
      <c r="K50" s="50" t="str">
        <f>Portfolio!O49</f>
        <v/>
      </c>
      <c r="L50" s="96" t="str">
        <f>Portfolio!P49</f>
        <v/>
      </c>
      <c r="M50" s="96" t="str">
        <f>Portfolio!Q49</f>
        <v/>
      </c>
      <c r="N50" s="178" t="str">
        <f>Portfolio!R49</f>
        <v/>
      </c>
      <c r="O50" s="50" t="str">
        <f>Portfolio!S49</f>
        <v/>
      </c>
      <c r="Q50" s="50" t="str">
        <f>Portfolio!U49</f>
        <v/>
      </c>
      <c r="S50" s="50" t="str">
        <f>Portfolio!W49</f>
        <v/>
      </c>
      <c r="T50" s="50" t="str">
        <f>Portfolio!X49</f>
        <v/>
      </c>
      <c r="U50" s="50">
        <f>Portfolio!Y49</f>
        <v>0</v>
      </c>
      <c r="V50" s="50" t="str">
        <f>Portfolio!Z49</f>
        <v/>
      </c>
      <c r="W50" s="14" t="str">
        <f>Portfolio!AA49</f>
        <v/>
      </c>
      <c r="X50" s="50" t="str">
        <f>Portfolio!AB49</f>
        <v/>
      </c>
      <c r="Y50" s="179" t="str">
        <f>Portfolio!AC49</f>
        <v/>
      </c>
      <c r="Z50" s="50" t="str">
        <f>Portfolio!AD49</f>
        <v/>
      </c>
      <c r="AA50" s="180" t="str">
        <f>Portfolio!AE49</f>
        <v/>
      </c>
    </row>
    <row r="51">
      <c r="A51" s="14" t="str">
        <f>Portfolio!A50</f>
        <v/>
      </c>
      <c r="B51" s="14" t="str">
        <f>Portfolio!B50</f>
        <v/>
      </c>
      <c r="C51" s="158" t="str">
        <f>Portfolio!C50</f>
        <v/>
      </c>
      <c r="D51" s="96" t="str">
        <f>Portfolio!D50</f>
        <v/>
      </c>
      <c r="E51" s="96" t="str">
        <f>Portfolio!E50</f>
        <v/>
      </c>
      <c r="F51" s="96" t="str">
        <f>Portfolio!G50</f>
        <v/>
      </c>
      <c r="G51" s="50" t="str">
        <f>Portfolio!H50</f>
        <v/>
      </c>
      <c r="H51" s="96" t="str">
        <f>Portfolio!I50</f>
        <v/>
      </c>
      <c r="I51" s="96" t="str">
        <f>Portfolio!J50</f>
        <v/>
      </c>
      <c r="J51" s="96" t="str">
        <f>Portfolio!K50</f>
        <v/>
      </c>
      <c r="K51" s="50" t="str">
        <f>Portfolio!O50</f>
        <v/>
      </c>
      <c r="L51" s="96" t="str">
        <f>Portfolio!P50</f>
        <v/>
      </c>
      <c r="M51" s="96" t="str">
        <f>Portfolio!Q50</f>
        <v/>
      </c>
      <c r="N51" s="178" t="str">
        <f>Portfolio!R50</f>
        <v/>
      </c>
      <c r="O51" s="50" t="str">
        <f>Portfolio!S50</f>
        <v/>
      </c>
      <c r="Q51" s="50" t="str">
        <f>Portfolio!U50</f>
        <v/>
      </c>
      <c r="S51" s="50" t="str">
        <f>Portfolio!W50</f>
        <v/>
      </c>
      <c r="T51" s="50" t="str">
        <f>Portfolio!X50</f>
        <v/>
      </c>
      <c r="U51" s="50">
        <f>Portfolio!Y50</f>
        <v>0</v>
      </c>
      <c r="V51" s="50" t="str">
        <f>Portfolio!Z50</f>
        <v/>
      </c>
      <c r="W51" s="14" t="str">
        <f>Portfolio!AA50</f>
        <v/>
      </c>
      <c r="X51" s="50" t="str">
        <f>Portfolio!AB50</f>
        <v/>
      </c>
      <c r="Y51" s="179" t="str">
        <f>Portfolio!AC50</f>
        <v/>
      </c>
      <c r="Z51" s="50" t="str">
        <f>Portfolio!AD50</f>
        <v/>
      </c>
      <c r="AA51" s="180" t="str">
        <f>Portfolio!AE50</f>
        <v/>
      </c>
    </row>
    <row r="52">
      <c r="A52" s="14" t="str">
        <f>Portfolio!A51</f>
        <v/>
      </c>
      <c r="B52" s="14" t="str">
        <f>Portfolio!B51</f>
        <v/>
      </c>
      <c r="C52" s="158" t="str">
        <f>Portfolio!C51</f>
        <v/>
      </c>
      <c r="D52" s="96" t="str">
        <f>Portfolio!D51</f>
        <v/>
      </c>
      <c r="E52" s="96" t="str">
        <f>Portfolio!E51</f>
        <v/>
      </c>
      <c r="F52" s="96" t="str">
        <f>Portfolio!G51</f>
        <v/>
      </c>
      <c r="G52" s="50" t="str">
        <f>Portfolio!H51</f>
        <v/>
      </c>
      <c r="H52" s="96" t="str">
        <f>Portfolio!I51</f>
        <v/>
      </c>
      <c r="I52" s="96" t="str">
        <f>Portfolio!J51</f>
        <v/>
      </c>
      <c r="J52" s="96" t="str">
        <f>Portfolio!K51</f>
        <v/>
      </c>
      <c r="K52" s="50" t="str">
        <f>Portfolio!O51</f>
        <v/>
      </c>
      <c r="L52" s="96" t="str">
        <f>Portfolio!P51</f>
        <v/>
      </c>
      <c r="M52" s="96" t="str">
        <f>Portfolio!Q51</f>
        <v/>
      </c>
      <c r="N52" s="178" t="str">
        <f>Portfolio!R51</f>
        <v/>
      </c>
      <c r="O52" s="50" t="str">
        <f>Portfolio!S51</f>
        <v/>
      </c>
      <c r="Q52" s="50" t="str">
        <f>Portfolio!U51</f>
        <v/>
      </c>
      <c r="S52" s="50" t="str">
        <f>Portfolio!W51</f>
        <v/>
      </c>
      <c r="T52" s="50" t="str">
        <f>Portfolio!X51</f>
        <v/>
      </c>
      <c r="U52" s="50">
        <f>Portfolio!Y51</f>
        <v>0</v>
      </c>
      <c r="V52" s="50" t="str">
        <f>Portfolio!Z51</f>
        <v/>
      </c>
      <c r="W52" s="14" t="str">
        <f>Portfolio!AA51</f>
        <v/>
      </c>
      <c r="X52" s="50" t="str">
        <f>Portfolio!AB51</f>
        <v/>
      </c>
      <c r="Y52" s="179" t="str">
        <f>Portfolio!AC51</f>
        <v/>
      </c>
      <c r="Z52" s="50" t="str">
        <f>Portfolio!AD51</f>
        <v/>
      </c>
      <c r="AA52" s="180" t="str">
        <f>Portfolio!AE51</f>
        <v/>
      </c>
    </row>
    <row r="53">
      <c r="A53" s="14" t="str">
        <f>Portfolio!A52</f>
        <v/>
      </c>
      <c r="B53" s="14" t="str">
        <f>Portfolio!B52</f>
        <v/>
      </c>
      <c r="C53" s="158" t="str">
        <f>Portfolio!C52</f>
        <v/>
      </c>
      <c r="D53" s="96" t="str">
        <f>Portfolio!D52</f>
        <v/>
      </c>
      <c r="E53" s="96" t="str">
        <f>Portfolio!E52</f>
        <v/>
      </c>
      <c r="F53" s="96" t="str">
        <f>Portfolio!G52</f>
        <v/>
      </c>
      <c r="G53" s="50" t="str">
        <f>Portfolio!H52</f>
        <v/>
      </c>
      <c r="H53" s="96" t="str">
        <f>Portfolio!I52</f>
        <v/>
      </c>
      <c r="I53" s="96" t="str">
        <f>Portfolio!J52</f>
        <v/>
      </c>
      <c r="J53" s="96" t="str">
        <f>Portfolio!K52</f>
        <v/>
      </c>
      <c r="K53" s="50" t="str">
        <f>Portfolio!O52</f>
        <v/>
      </c>
      <c r="L53" s="96" t="str">
        <f>Portfolio!P52</f>
        <v/>
      </c>
      <c r="M53" s="96" t="str">
        <f>Portfolio!Q52</f>
        <v/>
      </c>
      <c r="N53" s="178" t="str">
        <f>Portfolio!R52</f>
        <v/>
      </c>
      <c r="O53" s="50" t="str">
        <f>Portfolio!S52</f>
        <v/>
      </c>
      <c r="Q53" s="50" t="str">
        <f>Portfolio!U52</f>
        <v/>
      </c>
      <c r="S53" s="50" t="str">
        <f>Portfolio!W52</f>
        <v/>
      </c>
      <c r="T53" s="50" t="str">
        <f>Portfolio!X52</f>
        <v/>
      </c>
      <c r="U53" s="50">
        <f>Portfolio!Y52</f>
        <v>0</v>
      </c>
      <c r="V53" s="50" t="str">
        <f>Portfolio!Z52</f>
        <v/>
      </c>
      <c r="W53" s="14" t="str">
        <f>Portfolio!AA52</f>
        <v/>
      </c>
      <c r="X53" s="50" t="str">
        <f>Portfolio!AB52</f>
        <v/>
      </c>
      <c r="Y53" s="179" t="str">
        <f>Portfolio!AC52</f>
        <v/>
      </c>
      <c r="Z53" s="50" t="str">
        <f>Portfolio!AD52</f>
        <v/>
      </c>
      <c r="AA53" s="180" t="str">
        <f>Portfolio!AE52</f>
        <v/>
      </c>
    </row>
    <row r="54">
      <c r="A54" s="14" t="str">
        <f>Portfolio!A53</f>
        <v/>
      </c>
      <c r="B54" s="14" t="str">
        <f>Portfolio!B53</f>
        <v/>
      </c>
      <c r="C54" s="158" t="str">
        <f>Portfolio!C53</f>
        <v/>
      </c>
      <c r="D54" s="96" t="str">
        <f>Portfolio!D53</f>
        <v/>
      </c>
      <c r="E54" s="96" t="str">
        <f>Portfolio!E53</f>
        <v/>
      </c>
      <c r="F54" s="96" t="str">
        <f>Portfolio!G53</f>
        <v/>
      </c>
      <c r="G54" s="50" t="str">
        <f>Portfolio!H53</f>
        <v/>
      </c>
      <c r="H54" s="96" t="str">
        <f>Portfolio!I53</f>
        <v/>
      </c>
      <c r="I54" s="96" t="str">
        <f>Portfolio!J53</f>
        <v/>
      </c>
      <c r="J54" s="96" t="str">
        <f>Portfolio!K53</f>
        <v/>
      </c>
      <c r="K54" s="50" t="str">
        <f>Portfolio!O53</f>
        <v/>
      </c>
      <c r="L54" s="96" t="str">
        <f>Portfolio!P53</f>
        <v/>
      </c>
      <c r="M54" s="96" t="str">
        <f>Portfolio!Q53</f>
        <v/>
      </c>
      <c r="N54" s="178" t="str">
        <f>Portfolio!R53</f>
        <v/>
      </c>
      <c r="O54" s="50" t="str">
        <f>Portfolio!S53</f>
        <v/>
      </c>
      <c r="Q54" s="50" t="str">
        <f>Portfolio!U53</f>
        <v/>
      </c>
      <c r="S54" s="50" t="str">
        <f>Portfolio!W53</f>
        <v/>
      </c>
      <c r="T54" s="50" t="str">
        <f>Portfolio!X53</f>
        <v/>
      </c>
      <c r="U54" s="50">
        <f>Portfolio!Y53</f>
        <v>0</v>
      </c>
      <c r="V54" s="50" t="str">
        <f>Portfolio!Z53</f>
        <v/>
      </c>
      <c r="W54" s="14" t="str">
        <f>Portfolio!AA53</f>
        <v/>
      </c>
      <c r="X54" s="50" t="str">
        <f>Portfolio!AB53</f>
        <v/>
      </c>
      <c r="Y54" s="179" t="str">
        <f>Portfolio!AC53</f>
        <v/>
      </c>
      <c r="Z54" s="50" t="str">
        <f>Portfolio!AD53</f>
        <v/>
      </c>
      <c r="AA54" s="180" t="str">
        <f>Portfolio!AE53</f>
        <v/>
      </c>
    </row>
    <row r="55">
      <c r="A55" s="14" t="str">
        <f>Portfolio!A54</f>
        <v/>
      </c>
      <c r="B55" s="14" t="str">
        <f>Portfolio!B54</f>
        <v/>
      </c>
      <c r="C55" s="158" t="str">
        <f>Portfolio!C54</f>
        <v/>
      </c>
      <c r="D55" s="96" t="str">
        <f>Portfolio!D54</f>
        <v/>
      </c>
      <c r="E55" s="96" t="str">
        <f>Portfolio!E54</f>
        <v/>
      </c>
      <c r="F55" s="96" t="str">
        <f>Portfolio!G54</f>
        <v/>
      </c>
      <c r="G55" s="50" t="str">
        <f>Portfolio!H54</f>
        <v/>
      </c>
      <c r="H55" s="96" t="str">
        <f>Portfolio!I54</f>
        <v/>
      </c>
      <c r="I55" s="96" t="str">
        <f>Portfolio!J54</f>
        <v/>
      </c>
      <c r="J55" s="96" t="str">
        <f>Portfolio!K54</f>
        <v/>
      </c>
      <c r="K55" s="50" t="str">
        <f>Portfolio!O54</f>
        <v/>
      </c>
      <c r="L55" s="96" t="str">
        <f>Portfolio!P54</f>
        <v/>
      </c>
      <c r="M55" s="96" t="str">
        <f>Portfolio!Q54</f>
        <v/>
      </c>
      <c r="N55" s="178" t="str">
        <f>Portfolio!R54</f>
        <v/>
      </c>
      <c r="O55" s="50" t="str">
        <f>Portfolio!S54</f>
        <v/>
      </c>
      <c r="Q55" s="50" t="str">
        <f>Portfolio!U54</f>
        <v/>
      </c>
      <c r="S55" s="50" t="str">
        <f>Portfolio!W54</f>
        <v/>
      </c>
      <c r="T55" s="50" t="str">
        <f>Portfolio!X54</f>
        <v/>
      </c>
      <c r="U55" s="50">
        <f>Portfolio!Y54</f>
        <v>0</v>
      </c>
      <c r="V55" s="50" t="str">
        <f>Portfolio!Z54</f>
        <v/>
      </c>
      <c r="W55" s="14" t="str">
        <f>Portfolio!AA54</f>
        <v/>
      </c>
      <c r="X55" s="50" t="str">
        <f>Portfolio!AB54</f>
        <v/>
      </c>
      <c r="Y55" s="179" t="str">
        <f>Portfolio!AC54</f>
        <v/>
      </c>
      <c r="Z55" s="50" t="str">
        <f>Portfolio!AD54</f>
        <v/>
      </c>
      <c r="AA55" s="180" t="str">
        <f>Portfolio!AE54</f>
        <v/>
      </c>
    </row>
    <row r="56">
      <c r="A56" s="14" t="str">
        <f>Portfolio!A55</f>
        <v/>
      </c>
      <c r="B56" s="14" t="str">
        <f>Portfolio!B55</f>
        <v/>
      </c>
      <c r="C56" s="158" t="str">
        <f>Portfolio!C55</f>
        <v/>
      </c>
      <c r="D56" s="96" t="str">
        <f>Portfolio!D55</f>
        <v/>
      </c>
      <c r="E56" s="96" t="str">
        <f>Portfolio!E55</f>
        <v/>
      </c>
      <c r="F56" s="96" t="str">
        <f>Portfolio!G55</f>
        <v/>
      </c>
      <c r="G56" s="50" t="str">
        <f>Portfolio!H55</f>
        <v/>
      </c>
      <c r="H56" s="96" t="str">
        <f>Portfolio!I55</f>
        <v/>
      </c>
      <c r="I56" s="96" t="str">
        <f>Portfolio!J55</f>
        <v/>
      </c>
      <c r="J56" s="96" t="str">
        <f>Portfolio!K55</f>
        <v/>
      </c>
      <c r="K56" s="50" t="str">
        <f>Portfolio!O55</f>
        <v/>
      </c>
      <c r="L56" s="96" t="str">
        <f>Portfolio!P55</f>
        <v/>
      </c>
      <c r="M56" s="96" t="str">
        <f>Portfolio!Q55</f>
        <v/>
      </c>
      <c r="N56" s="178" t="str">
        <f>Portfolio!R55</f>
        <v/>
      </c>
      <c r="O56" s="50" t="str">
        <f>Portfolio!S55</f>
        <v/>
      </c>
      <c r="Q56" s="50" t="str">
        <f>Portfolio!U55</f>
        <v/>
      </c>
      <c r="S56" s="50" t="str">
        <f>Portfolio!W55</f>
        <v/>
      </c>
      <c r="T56" s="50" t="str">
        <f>Portfolio!X55</f>
        <v/>
      </c>
      <c r="U56" s="50">
        <f>Portfolio!Y55</f>
        <v>0</v>
      </c>
      <c r="V56" s="50" t="str">
        <f>Portfolio!Z55</f>
        <v/>
      </c>
      <c r="W56" s="14" t="str">
        <f>Portfolio!AA55</f>
        <v/>
      </c>
      <c r="X56" s="50" t="str">
        <f>Portfolio!AB55</f>
        <v/>
      </c>
      <c r="Y56" s="179" t="str">
        <f>Portfolio!AC55</f>
        <v/>
      </c>
      <c r="Z56" s="50" t="str">
        <f>Portfolio!AD55</f>
        <v/>
      </c>
      <c r="AA56" s="180" t="str">
        <f>Portfolio!AE55</f>
        <v/>
      </c>
    </row>
    <row r="57">
      <c r="A57" s="14" t="str">
        <f>Portfolio!A56</f>
        <v/>
      </c>
      <c r="B57" s="14" t="str">
        <f>Portfolio!B56</f>
        <v/>
      </c>
      <c r="C57" s="158" t="str">
        <f>Portfolio!C56</f>
        <v/>
      </c>
      <c r="D57" s="96" t="str">
        <f>Portfolio!D56</f>
        <v/>
      </c>
      <c r="E57" s="96" t="str">
        <f>Portfolio!E56</f>
        <v/>
      </c>
      <c r="F57" s="96" t="str">
        <f>Portfolio!G56</f>
        <v/>
      </c>
      <c r="G57" s="50" t="str">
        <f>Portfolio!H56</f>
        <v/>
      </c>
      <c r="H57" s="96" t="str">
        <f>Portfolio!I56</f>
        <v/>
      </c>
      <c r="I57" s="96" t="str">
        <f>Portfolio!J56</f>
        <v/>
      </c>
      <c r="J57" s="96" t="str">
        <f>Portfolio!K56</f>
        <v/>
      </c>
      <c r="K57" s="50" t="str">
        <f>Portfolio!O56</f>
        <v/>
      </c>
      <c r="L57" s="96" t="str">
        <f>Portfolio!P56</f>
        <v/>
      </c>
      <c r="M57" s="96" t="str">
        <f>Portfolio!Q56</f>
        <v/>
      </c>
      <c r="N57" s="178" t="str">
        <f>Portfolio!R56</f>
        <v/>
      </c>
      <c r="O57" s="50" t="str">
        <f>Portfolio!S56</f>
        <v/>
      </c>
      <c r="Q57" s="50" t="str">
        <f>Portfolio!U56</f>
        <v/>
      </c>
      <c r="S57" s="50" t="str">
        <f>Portfolio!W56</f>
        <v/>
      </c>
      <c r="T57" s="50" t="str">
        <f>Portfolio!X56</f>
        <v/>
      </c>
      <c r="U57" s="50">
        <f>Portfolio!Y56</f>
        <v>0</v>
      </c>
      <c r="V57" s="50" t="str">
        <f>Portfolio!Z56</f>
        <v/>
      </c>
      <c r="W57" s="14" t="str">
        <f>Portfolio!AA56</f>
        <v/>
      </c>
      <c r="X57" s="50" t="str">
        <f>Portfolio!AB56</f>
        <v/>
      </c>
      <c r="Y57" s="179" t="str">
        <f>Portfolio!AC56</f>
        <v/>
      </c>
      <c r="Z57" s="50" t="str">
        <f>Portfolio!AD56</f>
        <v/>
      </c>
      <c r="AA57" s="180" t="str">
        <f>Portfolio!AE56</f>
        <v/>
      </c>
    </row>
    <row r="58">
      <c r="A58" s="14" t="str">
        <f>Portfolio!A57</f>
        <v/>
      </c>
      <c r="B58" s="14" t="str">
        <f>Portfolio!B57</f>
        <v/>
      </c>
      <c r="C58" s="158" t="str">
        <f>Portfolio!C57</f>
        <v/>
      </c>
      <c r="D58" s="96" t="str">
        <f>Portfolio!D57</f>
        <v/>
      </c>
      <c r="E58" s="96" t="str">
        <f>Portfolio!E57</f>
        <v/>
      </c>
      <c r="F58" s="96" t="str">
        <f>Portfolio!G57</f>
        <v/>
      </c>
      <c r="G58" s="50" t="str">
        <f>Portfolio!H57</f>
        <v/>
      </c>
      <c r="H58" s="96" t="str">
        <f>Portfolio!I57</f>
        <v/>
      </c>
      <c r="I58" s="96" t="str">
        <f>Portfolio!J57</f>
        <v/>
      </c>
      <c r="J58" s="96" t="str">
        <f>Portfolio!K57</f>
        <v/>
      </c>
      <c r="K58" s="50" t="str">
        <f>Portfolio!O57</f>
        <v/>
      </c>
      <c r="L58" s="96" t="str">
        <f>Portfolio!P57</f>
        <v/>
      </c>
      <c r="M58" s="96" t="str">
        <f>Portfolio!Q57</f>
        <v/>
      </c>
      <c r="N58" s="178" t="str">
        <f>Portfolio!R57</f>
        <v/>
      </c>
      <c r="O58" s="50" t="str">
        <f>Portfolio!S57</f>
        <v/>
      </c>
      <c r="Q58" s="50" t="str">
        <f>Portfolio!U57</f>
        <v/>
      </c>
      <c r="S58" s="50" t="str">
        <f>Portfolio!W57</f>
        <v/>
      </c>
      <c r="T58" s="50" t="str">
        <f>Portfolio!X57</f>
        <v/>
      </c>
      <c r="U58" s="50">
        <f>Portfolio!Y57</f>
        <v>0</v>
      </c>
      <c r="V58" s="50" t="str">
        <f>Portfolio!Z57</f>
        <v/>
      </c>
      <c r="W58" s="14" t="str">
        <f>Portfolio!AA57</f>
        <v/>
      </c>
      <c r="X58" s="50" t="str">
        <f>Portfolio!AB57</f>
        <v/>
      </c>
      <c r="Y58" s="179" t="str">
        <f>Portfolio!AC57</f>
        <v/>
      </c>
      <c r="Z58" s="50" t="str">
        <f>Portfolio!AD57</f>
        <v/>
      </c>
      <c r="AA58" s="180" t="str">
        <f>Portfolio!AE57</f>
        <v/>
      </c>
    </row>
    <row r="59">
      <c r="A59" s="14" t="str">
        <f>Portfolio!A58</f>
        <v/>
      </c>
      <c r="B59" s="14" t="str">
        <f>Portfolio!B58</f>
        <v/>
      </c>
      <c r="C59" s="158" t="str">
        <f>Portfolio!C58</f>
        <v/>
      </c>
      <c r="D59" s="96" t="str">
        <f>Portfolio!D58</f>
        <v/>
      </c>
      <c r="E59" s="96" t="str">
        <f>Portfolio!E58</f>
        <v/>
      </c>
      <c r="F59" s="96" t="str">
        <f>Portfolio!G58</f>
        <v/>
      </c>
      <c r="G59" s="50" t="str">
        <f>Portfolio!H58</f>
        <v/>
      </c>
      <c r="H59" s="96" t="str">
        <f>Portfolio!I58</f>
        <v/>
      </c>
      <c r="I59" s="96" t="str">
        <f>Portfolio!J58</f>
        <v/>
      </c>
      <c r="J59" s="96" t="str">
        <f>Portfolio!K58</f>
        <v/>
      </c>
      <c r="K59" s="50" t="str">
        <f>Portfolio!O58</f>
        <v/>
      </c>
      <c r="L59" s="96" t="str">
        <f>Portfolio!P58</f>
        <v/>
      </c>
      <c r="M59" s="96" t="str">
        <f>Portfolio!Q58</f>
        <v/>
      </c>
      <c r="N59" s="178" t="str">
        <f>Portfolio!R58</f>
        <v/>
      </c>
      <c r="O59" s="50" t="str">
        <f>Portfolio!S58</f>
        <v/>
      </c>
      <c r="Q59" s="50" t="str">
        <f>Portfolio!U58</f>
        <v/>
      </c>
      <c r="S59" s="50" t="str">
        <f>Portfolio!W58</f>
        <v/>
      </c>
      <c r="T59" s="50" t="str">
        <f>Portfolio!X58</f>
        <v/>
      </c>
      <c r="U59" s="50">
        <f>Portfolio!Y58</f>
        <v>0</v>
      </c>
      <c r="V59" s="50" t="str">
        <f>Portfolio!Z58</f>
        <v/>
      </c>
      <c r="W59" s="14" t="str">
        <f>Portfolio!AA58</f>
        <v/>
      </c>
      <c r="X59" s="50" t="str">
        <f>Portfolio!AB58</f>
        <v/>
      </c>
      <c r="Y59" s="179" t="str">
        <f>Portfolio!AC58</f>
        <v/>
      </c>
      <c r="Z59" s="50" t="str">
        <f>Portfolio!AD58</f>
        <v/>
      </c>
      <c r="AA59" s="180" t="str">
        <f>Portfolio!AE58</f>
        <v/>
      </c>
    </row>
    <row r="60">
      <c r="A60" s="14" t="str">
        <f>Portfolio!A59</f>
        <v/>
      </c>
      <c r="B60" s="14" t="str">
        <f>Portfolio!B59</f>
        <v/>
      </c>
      <c r="C60" s="158" t="str">
        <f>Portfolio!C59</f>
        <v/>
      </c>
      <c r="D60" s="96" t="str">
        <f>Portfolio!D59</f>
        <v/>
      </c>
      <c r="E60" s="96" t="str">
        <f>Portfolio!E59</f>
        <v/>
      </c>
      <c r="F60" s="96" t="str">
        <f>Portfolio!G59</f>
        <v/>
      </c>
      <c r="G60" s="50" t="str">
        <f>Portfolio!H59</f>
        <v/>
      </c>
      <c r="H60" s="96" t="str">
        <f>Portfolio!I59</f>
        <v/>
      </c>
      <c r="I60" s="96" t="str">
        <f>Portfolio!J59</f>
        <v/>
      </c>
      <c r="J60" s="96" t="str">
        <f>Portfolio!K59</f>
        <v/>
      </c>
      <c r="K60" s="50" t="str">
        <f>Portfolio!O59</f>
        <v/>
      </c>
      <c r="L60" s="96" t="str">
        <f>Portfolio!P59</f>
        <v/>
      </c>
      <c r="M60" s="96" t="str">
        <f>Portfolio!Q59</f>
        <v/>
      </c>
      <c r="N60" s="178" t="str">
        <f>Portfolio!R59</f>
        <v/>
      </c>
      <c r="O60" s="50" t="str">
        <f>Portfolio!S59</f>
        <v/>
      </c>
      <c r="Q60" s="50" t="str">
        <f>Portfolio!U59</f>
        <v/>
      </c>
      <c r="S60" s="50" t="str">
        <f>Portfolio!W59</f>
        <v/>
      </c>
      <c r="T60" s="50" t="str">
        <f>Portfolio!X59</f>
        <v/>
      </c>
      <c r="U60" s="50">
        <f>Portfolio!Y59</f>
        <v>0</v>
      </c>
      <c r="V60" s="50" t="str">
        <f>Portfolio!Z59</f>
        <v/>
      </c>
      <c r="W60" s="14" t="str">
        <f>Portfolio!AA59</f>
        <v/>
      </c>
      <c r="X60" s="50" t="str">
        <f>Portfolio!AB59</f>
        <v/>
      </c>
      <c r="Y60" s="179" t="str">
        <f>Portfolio!AC59</f>
        <v/>
      </c>
      <c r="Z60" s="50" t="str">
        <f>Portfolio!AD59</f>
        <v/>
      </c>
      <c r="AA60" s="180" t="str">
        <f>Portfolio!AE59</f>
        <v/>
      </c>
    </row>
    <row r="61">
      <c r="A61" s="14" t="str">
        <f>Portfolio!A60</f>
        <v/>
      </c>
      <c r="B61" s="14" t="str">
        <f>Portfolio!B60</f>
        <v/>
      </c>
      <c r="C61" s="158" t="str">
        <f>Portfolio!C60</f>
        <v/>
      </c>
      <c r="D61" s="96" t="str">
        <f>Portfolio!D60</f>
        <v/>
      </c>
      <c r="E61" s="96" t="str">
        <f>Portfolio!E60</f>
        <v/>
      </c>
      <c r="F61" s="96" t="str">
        <f>Portfolio!G60</f>
        <v/>
      </c>
      <c r="G61" s="50" t="str">
        <f>Portfolio!H60</f>
        <v/>
      </c>
      <c r="H61" s="96" t="str">
        <f>Portfolio!I60</f>
        <v/>
      </c>
      <c r="I61" s="96" t="str">
        <f>Portfolio!J60</f>
        <v/>
      </c>
      <c r="J61" s="96" t="str">
        <f>Portfolio!K60</f>
        <v/>
      </c>
      <c r="K61" s="50" t="str">
        <f>Portfolio!O60</f>
        <v/>
      </c>
      <c r="L61" s="96" t="str">
        <f>Portfolio!P60</f>
        <v/>
      </c>
      <c r="M61" s="96" t="str">
        <f>Portfolio!Q60</f>
        <v/>
      </c>
      <c r="N61" s="178" t="str">
        <f>Portfolio!R60</f>
        <v/>
      </c>
      <c r="O61" s="50" t="str">
        <f>Portfolio!S60</f>
        <v/>
      </c>
      <c r="Q61" s="50" t="str">
        <f>Portfolio!U60</f>
        <v/>
      </c>
      <c r="S61" s="50" t="str">
        <f>Portfolio!W60</f>
        <v/>
      </c>
      <c r="T61" s="50" t="str">
        <f>Portfolio!X60</f>
        <v/>
      </c>
      <c r="U61" s="50">
        <f>Portfolio!Y60</f>
        <v>0</v>
      </c>
      <c r="V61" s="50" t="str">
        <f>Portfolio!Z60</f>
        <v/>
      </c>
      <c r="W61" s="14" t="str">
        <f>Portfolio!AA60</f>
        <v/>
      </c>
      <c r="X61" s="50" t="str">
        <f>Portfolio!AB60</f>
        <v/>
      </c>
      <c r="Y61" s="179" t="str">
        <f>Portfolio!AC60</f>
        <v/>
      </c>
      <c r="Z61" s="50" t="str">
        <f>Portfolio!AD60</f>
        <v/>
      </c>
      <c r="AA61" s="180" t="str">
        <f>Portfolio!AE60</f>
        <v/>
      </c>
    </row>
    <row r="62">
      <c r="A62" s="14" t="str">
        <f>Portfolio!A61</f>
        <v/>
      </c>
      <c r="B62" s="14" t="str">
        <f>Portfolio!B61</f>
        <v/>
      </c>
      <c r="C62" s="158" t="str">
        <f>Portfolio!C61</f>
        <v/>
      </c>
      <c r="D62" s="96" t="str">
        <f>Portfolio!D61</f>
        <v/>
      </c>
      <c r="E62" s="96" t="str">
        <f>Portfolio!E61</f>
        <v/>
      </c>
      <c r="F62" s="96" t="str">
        <f>Portfolio!G61</f>
        <v/>
      </c>
      <c r="G62" s="50" t="str">
        <f>Portfolio!H61</f>
        <v/>
      </c>
      <c r="H62" s="96" t="str">
        <f>Portfolio!I61</f>
        <v/>
      </c>
      <c r="I62" s="96" t="str">
        <f>Portfolio!J61</f>
        <v/>
      </c>
      <c r="J62" s="96" t="str">
        <f>Portfolio!K61</f>
        <v/>
      </c>
      <c r="K62" s="50" t="str">
        <f>Portfolio!O61</f>
        <v/>
      </c>
      <c r="L62" s="96" t="str">
        <f>Portfolio!P61</f>
        <v/>
      </c>
      <c r="M62" s="96" t="str">
        <f>Portfolio!Q61</f>
        <v/>
      </c>
      <c r="N62" s="178" t="str">
        <f>Portfolio!R61</f>
        <v/>
      </c>
      <c r="O62" s="50" t="str">
        <f>Portfolio!S61</f>
        <v/>
      </c>
      <c r="Q62" s="50" t="str">
        <f>Portfolio!U61</f>
        <v/>
      </c>
      <c r="S62" s="50" t="str">
        <f>Portfolio!W61</f>
        <v/>
      </c>
      <c r="T62" s="50" t="str">
        <f>Portfolio!X61</f>
        <v/>
      </c>
      <c r="U62" s="50">
        <f>Portfolio!Y61</f>
        <v>0</v>
      </c>
      <c r="V62" s="50" t="str">
        <f>Portfolio!Z61</f>
        <v/>
      </c>
      <c r="W62" s="14" t="str">
        <f>Portfolio!AA61</f>
        <v/>
      </c>
      <c r="X62" s="50" t="str">
        <f>Portfolio!AB61</f>
        <v/>
      </c>
      <c r="Y62" s="179" t="str">
        <f>Portfolio!AC61</f>
        <v/>
      </c>
      <c r="Z62" s="50" t="str">
        <f>Portfolio!AD61</f>
        <v/>
      </c>
      <c r="AA62" s="180" t="str">
        <f>Portfolio!AE61</f>
        <v/>
      </c>
    </row>
    <row r="63">
      <c r="A63" s="14" t="str">
        <f>Portfolio!A62</f>
        <v/>
      </c>
      <c r="B63" s="14" t="str">
        <f>Portfolio!B62</f>
        <v/>
      </c>
      <c r="C63" s="158" t="str">
        <f>Portfolio!C62</f>
        <v/>
      </c>
      <c r="D63" s="96" t="str">
        <f>Portfolio!D62</f>
        <v/>
      </c>
      <c r="E63" s="96" t="str">
        <f>Portfolio!E62</f>
        <v/>
      </c>
      <c r="F63" s="96" t="str">
        <f>Portfolio!G62</f>
        <v/>
      </c>
      <c r="G63" s="50" t="str">
        <f>Portfolio!H62</f>
        <v/>
      </c>
      <c r="H63" s="96" t="str">
        <f>Portfolio!I62</f>
        <v/>
      </c>
      <c r="I63" s="96" t="str">
        <f>Portfolio!J62</f>
        <v/>
      </c>
      <c r="J63" s="96" t="str">
        <f>Portfolio!K62</f>
        <v/>
      </c>
      <c r="K63" s="50" t="str">
        <f>Portfolio!O62</f>
        <v/>
      </c>
      <c r="L63" s="96" t="str">
        <f>Portfolio!P62</f>
        <v/>
      </c>
      <c r="M63" s="96" t="str">
        <f>Portfolio!Q62</f>
        <v/>
      </c>
      <c r="N63" s="178" t="str">
        <f>Portfolio!R62</f>
        <v/>
      </c>
      <c r="O63" s="50" t="str">
        <f>Portfolio!S62</f>
        <v/>
      </c>
      <c r="Q63" s="50" t="str">
        <f>Portfolio!U62</f>
        <v/>
      </c>
      <c r="S63" s="50" t="str">
        <f>Portfolio!W62</f>
        <v/>
      </c>
      <c r="T63" s="50" t="str">
        <f>Portfolio!X62</f>
        <v/>
      </c>
      <c r="U63" s="50">
        <f>Portfolio!Y62</f>
        <v>0</v>
      </c>
      <c r="V63" s="50" t="str">
        <f>Portfolio!Z62</f>
        <v/>
      </c>
      <c r="W63" s="14" t="str">
        <f>Portfolio!AA62</f>
        <v/>
      </c>
      <c r="X63" s="50" t="str">
        <f>Portfolio!AB62</f>
        <v/>
      </c>
      <c r="Y63" s="179" t="str">
        <f>Portfolio!AC62</f>
        <v/>
      </c>
      <c r="Z63" s="50" t="str">
        <f>Portfolio!AD62</f>
        <v/>
      </c>
      <c r="AA63" s="180" t="str">
        <f>Portfolio!AE62</f>
        <v/>
      </c>
    </row>
    <row r="64">
      <c r="A64" s="14" t="str">
        <f>Portfolio!A63</f>
        <v/>
      </c>
      <c r="B64" s="14" t="str">
        <f>Portfolio!B63</f>
        <v/>
      </c>
      <c r="C64" s="158" t="str">
        <f>Portfolio!C63</f>
        <v/>
      </c>
      <c r="D64" s="96" t="str">
        <f>Portfolio!D63</f>
        <v/>
      </c>
      <c r="E64" s="96" t="str">
        <f>Portfolio!E63</f>
        <v/>
      </c>
      <c r="F64" s="96" t="str">
        <f>Portfolio!G63</f>
        <v/>
      </c>
      <c r="G64" s="50" t="str">
        <f>Portfolio!H63</f>
        <v/>
      </c>
      <c r="H64" s="96" t="str">
        <f>Portfolio!I63</f>
        <v/>
      </c>
      <c r="I64" s="96" t="str">
        <f>Portfolio!J63</f>
        <v/>
      </c>
      <c r="J64" s="96" t="str">
        <f>Portfolio!K63</f>
        <v/>
      </c>
      <c r="K64" s="50" t="str">
        <f>Portfolio!O63</f>
        <v/>
      </c>
      <c r="L64" s="96" t="str">
        <f>Portfolio!P63</f>
        <v/>
      </c>
      <c r="M64" s="96" t="str">
        <f>Portfolio!Q63</f>
        <v/>
      </c>
      <c r="N64" s="178" t="str">
        <f>Portfolio!R63</f>
        <v/>
      </c>
      <c r="O64" s="50" t="str">
        <f>Portfolio!S63</f>
        <v/>
      </c>
      <c r="Q64" s="50" t="str">
        <f>Portfolio!U63</f>
        <v/>
      </c>
      <c r="S64" s="50" t="str">
        <f>Portfolio!W63</f>
        <v/>
      </c>
      <c r="T64" s="50" t="str">
        <f>Portfolio!X63</f>
        <v/>
      </c>
      <c r="U64" s="50">
        <f>Portfolio!Y63</f>
        <v>0</v>
      </c>
      <c r="V64" s="50" t="str">
        <f>Portfolio!Z63</f>
        <v/>
      </c>
      <c r="W64" s="14" t="str">
        <f>Portfolio!AA63</f>
        <v/>
      </c>
      <c r="X64" s="50" t="str">
        <f>Portfolio!AB63</f>
        <v/>
      </c>
      <c r="Y64" s="179" t="str">
        <f>Portfolio!AC63</f>
        <v/>
      </c>
      <c r="Z64" s="50" t="str">
        <f>Portfolio!AD63</f>
        <v/>
      </c>
      <c r="AA64" s="180" t="str">
        <f>Portfolio!AE63</f>
        <v/>
      </c>
    </row>
    <row r="65">
      <c r="A65" s="14" t="str">
        <f>Portfolio!A64</f>
        <v/>
      </c>
      <c r="B65" s="14" t="str">
        <f>Portfolio!B64</f>
        <v/>
      </c>
      <c r="C65" s="158" t="str">
        <f>Portfolio!C64</f>
        <v/>
      </c>
      <c r="D65" s="96" t="str">
        <f>Portfolio!D64</f>
        <v/>
      </c>
      <c r="E65" s="96" t="str">
        <f>Portfolio!E64</f>
        <v/>
      </c>
      <c r="F65" s="96" t="str">
        <f>Portfolio!G64</f>
        <v/>
      </c>
      <c r="G65" s="50" t="str">
        <f>Portfolio!H64</f>
        <v/>
      </c>
      <c r="H65" s="96" t="str">
        <f>Portfolio!I64</f>
        <v/>
      </c>
      <c r="I65" s="96" t="str">
        <f>Portfolio!J64</f>
        <v/>
      </c>
      <c r="J65" s="96" t="str">
        <f>Portfolio!K64</f>
        <v/>
      </c>
      <c r="K65" s="50" t="str">
        <f>Portfolio!O64</f>
        <v/>
      </c>
      <c r="L65" s="96" t="str">
        <f>Portfolio!P64</f>
        <v/>
      </c>
      <c r="M65" s="96" t="str">
        <f>Portfolio!Q64</f>
        <v/>
      </c>
      <c r="N65" s="178" t="str">
        <f>Portfolio!R64</f>
        <v/>
      </c>
      <c r="O65" s="50" t="str">
        <f>Portfolio!S64</f>
        <v/>
      </c>
      <c r="Q65" s="50" t="str">
        <f>Portfolio!U64</f>
        <v/>
      </c>
      <c r="S65" s="50" t="str">
        <f>Portfolio!W64</f>
        <v/>
      </c>
      <c r="T65" s="50" t="str">
        <f>Portfolio!X64</f>
        <v/>
      </c>
      <c r="U65" s="50">
        <f>Portfolio!Y64</f>
        <v>0</v>
      </c>
      <c r="V65" s="50" t="str">
        <f>Portfolio!Z64</f>
        <v/>
      </c>
      <c r="W65" s="14" t="str">
        <f>Portfolio!AA64</f>
        <v/>
      </c>
      <c r="X65" s="50" t="str">
        <f>Portfolio!AB64</f>
        <v/>
      </c>
      <c r="Y65" s="179" t="str">
        <f>Portfolio!AC64</f>
        <v/>
      </c>
      <c r="Z65" s="50" t="str">
        <f>Portfolio!AD64</f>
        <v/>
      </c>
      <c r="AA65" s="180" t="str">
        <f>Portfolio!AE64</f>
        <v/>
      </c>
    </row>
    <row r="66">
      <c r="A66" s="14" t="str">
        <f>Portfolio!A65</f>
        <v/>
      </c>
      <c r="B66" s="14" t="str">
        <f>Portfolio!B65</f>
        <v/>
      </c>
      <c r="C66" s="158" t="str">
        <f>Portfolio!C65</f>
        <v/>
      </c>
      <c r="D66" s="96" t="str">
        <f>Portfolio!D65</f>
        <v/>
      </c>
      <c r="E66" s="96" t="str">
        <f>Portfolio!E65</f>
        <v/>
      </c>
      <c r="F66" s="96" t="str">
        <f>Portfolio!G65</f>
        <v/>
      </c>
      <c r="G66" s="50" t="str">
        <f>Portfolio!H65</f>
        <v/>
      </c>
      <c r="H66" s="96" t="str">
        <f>Portfolio!I65</f>
        <v/>
      </c>
      <c r="I66" s="96" t="str">
        <f>Portfolio!J65</f>
        <v/>
      </c>
      <c r="J66" s="96" t="str">
        <f>Portfolio!K65</f>
        <v/>
      </c>
      <c r="K66" s="50" t="str">
        <f>Portfolio!O65</f>
        <v/>
      </c>
      <c r="L66" s="96" t="str">
        <f>Portfolio!P65</f>
        <v/>
      </c>
      <c r="M66" s="96" t="str">
        <f>Portfolio!Q65</f>
        <v/>
      </c>
      <c r="N66" s="178" t="str">
        <f>Portfolio!R65</f>
        <v/>
      </c>
      <c r="O66" s="50" t="str">
        <f>Portfolio!S65</f>
        <v/>
      </c>
      <c r="Q66" s="50" t="str">
        <f>Portfolio!U65</f>
        <v/>
      </c>
      <c r="S66" s="50" t="str">
        <f>Portfolio!W65</f>
        <v/>
      </c>
      <c r="T66" s="50" t="str">
        <f>Portfolio!X65</f>
        <v/>
      </c>
      <c r="U66" s="50">
        <f>Portfolio!Y65</f>
        <v>0</v>
      </c>
      <c r="V66" s="50" t="str">
        <f>Portfolio!Z65</f>
        <v/>
      </c>
      <c r="W66" s="14" t="str">
        <f>Portfolio!AA65</f>
        <v/>
      </c>
      <c r="X66" s="50" t="str">
        <f>Portfolio!AB65</f>
        <v/>
      </c>
      <c r="Y66" s="179" t="str">
        <f>Portfolio!AC65</f>
        <v/>
      </c>
      <c r="Z66" s="50" t="str">
        <f>Portfolio!AD65</f>
        <v/>
      </c>
      <c r="AA66" s="180" t="str">
        <f>Portfolio!AE65</f>
        <v/>
      </c>
    </row>
    <row r="67">
      <c r="A67" s="14" t="str">
        <f>Portfolio!A66</f>
        <v/>
      </c>
      <c r="B67" s="14" t="str">
        <f>Portfolio!B66</f>
        <v/>
      </c>
      <c r="C67" s="158" t="str">
        <f>Portfolio!C66</f>
        <v/>
      </c>
      <c r="D67" s="96" t="str">
        <f>Portfolio!D66</f>
        <v/>
      </c>
      <c r="E67" s="96" t="str">
        <f>Portfolio!E66</f>
        <v/>
      </c>
      <c r="F67" s="96" t="str">
        <f>Portfolio!G66</f>
        <v/>
      </c>
      <c r="G67" s="50" t="str">
        <f>Portfolio!H66</f>
        <v/>
      </c>
      <c r="H67" s="96" t="str">
        <f>Portfolio!I66</f>
        <v/>
      </c>
      <c r="I67" s="96" t="str">
        <f>Portfolio!J66</f>
        <v/>
      </c>
      <c r="J67" s="96" t="str">
        <f>Portfolio!K66</f>
        <v/>
      </c>
      <c r="K67" s="50" t="str">
        <f>Portfolio!O66</f>
        <v/>
      </c>
      <c r="L67" s="96" t="str">
        <f>Portfolio!P66</f>
        <v/>
      </c>
      <c r="M67" s="96" t="str">
        <f>Portfolio!Q66</f>
        <v/>
      </c>
      <c r="N67" s="178" t="str">
        <f>Portfolio!R66</f>
        <v/>
      </c>
      <c r="O67" s="50" t="str">
        <f>Portfolio!S66</f>
        <v/>
      </c>
      <c r="Q67" s="50" t="str">
        <f>Portfolio!U66</f>
        <v/>
      </c>
      <c r="S67" s="50" t="str">
        <f>Portfolio!W66</f>
        <v/>
      </c>
      <c r="T67" s="50" t="str">
        <f>Portfolio!X66</f>
        <v/>
      </c>
      <c r="U67" s="50">
        <f>Portfolio!Y66</f>
        <v>0</v>
      </c>
      <c r="V67" s="50" t="str">
        <f>Portfolio!Z66</f>
        <v/>
      </c>
      <c r="W67" s="14" t="str">
        <f>Portfolio!AA66</f>
        <v/>
      </c>
      <c r="X67" s="50" t="str">
        <f>Portfolio!AB66</f>
        <v/>
      </c>
      <c r="Y67" s="179" t="str">
        <f>Portfolio!AC66</f>
        <v/>
      </c>
      <c r="Z67" s="50" t="str">
        <f>Portfolio!AD66</f>
        <v/>
      </c>
      <c r="AA67" s="180" t="str">
        <f>Portfolio!AE66</f>
        <v/>
      </c>
    </row>
    <row r="68">
      <c r="A68" s="14" t="str">
        <f>Portfolio!A67</f>
        <v/>
      </c>
      <c r="B68" s="14" t="str">
        <f>Portfolio!B67</f>
        <v/>
      </c>
      <c r="C68" s="158" t="str">
        <f>Portfolio!C67</f>
        <v/>
      </c>
      <c r="D68" s="96" t="str">
        <f>Portfolio!D67</f>
        <v/>
      </c>
      <c r="E68" s="96" t="str">
        <f>Portfolio!E67</f>
        <v/>
      </c>
      <c r="F68" s="96" t="str">
        <f>Portfolio!G67</f>
        <v/>
      </c>
      <c r="G68" s="50" t="str">
        <f>Portfolio!H67</f>
        <v/>
      </c>
      <c r="H68" s="96" t="str">
        <f>Portfolio!I67</f>
        <v/>
      </c>
      <c r="I68" s="96" t="str">
        <f>Portfolio!J67</f>
        <v/>
      </c>
      <c r="J68" s="96" t="str">
        <f>Portfolio!K67</f>
        <v/>
      </c>
      <c r="K68" s="50" t="str">
        <f>Portfolio!O67</f>
        <v/>
      </c>
      <c r="L68" s="96" t="str">
        <f>Portfolio!P67</f>
        <v/>
      </c>
      <c r="M68" s="96" t="str">
        <f>Portfolio!Q67</f>
        <v/>
      </c>
      <c r="N68" s="178" t="str">
        <f>Portfolio!R67</f>
        <v/>
      </c>
      <c r="O68" s="50" t="str">
        <f>Portfolio!S67</f>
        <v/>
      </c>
      <c r="Q68" s="50" t="str">
        <f>Portfolio!U67</f>
        <v/>
      </c>
      <c r="S68" s="50" t="str">
        <f>Portfolio!W67</f>
        <v/>
      </c>
      <c r="T68" s="50" t="str">
        <f>Portfolio!X67</f>
        <v/>
      </c>
      <c r="U68" s="50">
        <f>Portfolio!Y67</f>
        <v>0</v>
      </c>
      <c r="V68" s="50" t="str">
        <f>Portfolio!Z67</f>
        <v/>
      </c>
      <c r="W68" s="14" t="str">
        <f>Portfolio!AA67</f>
        <v/>
      </c>
      <c r="X68" s="50" t="str">
        <f>Portfolio!AB67</f>
        <v/>
      </c>
      <c r="Y68" s="179" t="str">
        <f>Portfolio!AC67</f>
        <v/>
      </c>
      <c r="Z68" s="50" t="str">
        <f>Portfolio!AD67</f>
        <v/>
      </c>
      <c r="AA68" s="180" t="str">
        <f>Portfolio!AE67</f>
        <v/>
      </c>
    </row>
    <row r="69">
      <c r="A69" s="14" t="str">
        <f>Portfolio!A68</f>
        <v/>
      </c>
      <c r="B69" s="14" t="str">
        <f>Portfolio!B68</f>
        <v/>
      </c>
      <c r="C69" s="158" t="str">
        <f>Portfolio!C68</f>
        <v/>
      </c>
      <c r="D69" s="96" t="str">
        <f>Portfolio!D68</f>
        <v/>
      </c>
      <c r="E69" s="96" t="str">
        <f>Portfolio!E68</f>
        <v/>
      </c>
      <c r="F69" s="96" t="str">
        <f>Portfolio!G68</f>
        <v/>
      </c>
      <c r="G69" s="50" t="str">
        <f>Portfolio!H68</f>
        <v/>
      </c>
      <c r="H69" s="96" t="str">
        <f>Portfolio!I68</f>
        <v/>
      </c>
      <c r="I69" s="96" t="str">
        <f>Portfolio!J68</f>
        <v/>
      </c>
      <c r="J69" s="96" t="str">
        <f>Portfolio!K68</f>
        <v/>
      </c>
      <c r="K69" s="50" t="str">
        <f>Portfolio!O68</f>
        <v/>
      </c>
      <c r="L69" s="96" t="str">
        <f>Portfolio!P68</f>
        <v/>
      </c>
      <c r="M69" s="96" t="str">
        <f>Portfolio!Q68</f>
        <v/>
      </c>
      <c r="N69" s="178" t="str">
        <f>Portfolio!R68</f>
        <v/>
      </c>
      <c r="O69" s="50" t="str">
        <f>Portfolio!S68</f>
        <v/>
      </c>
      <c r="Q69" s="50" t="str">
        <f>Portfolio!U68</f>
        <v/>
      </c>
      <c r="S69" s="50" t="str">
        <f>Portfolio!W68</f>
        <v/>
      </c>
      <c r="T69" s="50" t="str">
        <f>Portfolio!X68</f>
        <v/>
      </c>
      <c r="U69" s="50">
        <f>Portfolio!Y68</f>
        <v>0</v>
      </c>
      <c r="V69" s="50" t="str">
        <f>Portfolio!Z68</f>
        <v/>
      </c>
      <c r="W69" s="14" t="str">
        <f>Portfolio!AA68</f>
        <v/>
      </c>
      <c r="X69" s="50" t="str">
        <f>Portfolio!AB68</f>
        <v/>
      </c>
      <c r="Y69" s="179" t="str">
        <f>Portfolio!AC68</f>
        <v/>
      </c>
      <c r="Z69" s="50" t="str">
        <f>Portfolio!AD68</f>
        <v/>
      </c>
      <c r="AA69" s="180" t="str">
        <f>Portfolio!AE68</f>
        <v/>
      </c>
    </row>
    <row r="70">
      <c r="A70" s="14" t="str">
        <f>Portfolio!A69</f>
        <v/>
      </c>
      <c r="B70" s="14" t="str">
        <f>Portfolio!B69</f>
        <v/>
      </c>
      <c r="C70" s="158" t="str">
        <f>Portfolio!C69</f>
        <v/>
      </c>
      <c r="D70" s="96" t="str">
        <f>Portfolio!D69</f>
        <v/>
      </c>
      <c r="E70" s="96" t="str">
        <f>Portfolio!E69</f>
        <v/>
      </c>
      <c r="F70" s="96" t="str">
        <f>Portfolio!G69</f>
        <v/>
      </c>
      <c r="G70" s="50" t="str">
        <f>Portfolio!H69</f>
        <v/>
      </c>
      <c r="H70" s="96" t="str">
        <f>Portfolio!I69</f>
        <v/>
      </c>
      <c r="I70" s="96" t="str">
        <f>Portfolio!J69</f>
        <v/>
      </c>
      <c r="J70" s="96" t="str">
        <f>Portfolio!K69</f>
        <v/>
      </c>
      <c r="K70" s="50" t="str">
        <f>Portfolio!O69</f>
        <v/>
      </c>
      <c r="L70" s="96" t="str">
        <f>Portfolio!P69</f>
        <v/>
      </c>
      <c r="M70" s="96" t="str">
        <f>Portfolio!Q69</f>
        <v/>
      </c>
      <c r="N70" s="178" t="str">
        <f>Portfolio!R69</f>
        <v/>
      </c>
      <c r="O70" s="50" t="str">
        <f>Portfolio!S69</f>
        <v/>
      </c>
      <c r="Q70" s="50" t="str">
        <f>Portfolio!U69</f>
        <v/>
      </c>
      <c r="S70" s="50" t="str">
        <f>Portfolio!W69</f>
        <v/>
      </c>
      <c r="T70" s="50" t="str">
        <f>Portfolio!X69</f>
        <v/>
      </c>
      <c r="U70" s="50">
        <f>Portfolio!Y69</f>
        <v>0</v>
      </c>
      <c r="V70" s="50" t="str">
        <f>Portfolio!Z69</f>
        <v/>
      </c>
      <c r="W70" s="14" t="str">
        <f>Portfolio!AA69</f>
        <v/>
      </c>
      <c r="X70" s="50" t="str">
        <f>Portfolio!AB69</f>
        <v/>
      </c>
      <c r="Y70" s="179" t="str">
        <f>Portfolio!AC69</f>
        <v/>
      </c>
      <c r="Z70" s="50" t="str">
        <f>Portfolio!AD69</f>
        <v/>
      </c>
      <c r="AA70" s="180" t="str">
        <f>Portfolio!AE69</f>
        <v/>
      </c>
    </row>
    <row r="71">
      <c r="A71" s="14" t="str">
        <f>Portfolio!A70</f>
        <v/>
      </c>
      <c r="B71" s="14" t="str">
        <f>Portfolio!B70</f>
        <v/>
      </c>
      <c r="C71" s="158" t="str">
        <f>Portfolio!C70</f>
        <v/>
      </c>
      <c r="D71" s="96" t="str">
        <f>Portfolio!D70</f>
        <v/>
      </c>
      <c r="E71" s="96" t="str">
        <f>Portfolio!E70</f>
        <v/>
      </c>
      <c r="F71" s="96" t="str">
        <f>Portfolio!G70</f>
        <v/>
      </c>
      <c r="G71" s="50" t="str">
        <f>Portfolio!H70</f>
        <v/>
      </c>
      <c r="H71" s="96" t="str">
        <f>Portfolio!I70</f>
        <v/>
      </c>
      <c r="I71" s="96" t="str">
        <f>Portfolio!J70</f>
        <v/>
      </c>
      <c r="J71" s="96" t="str">
        <f>Portfolio!K70</f>
        <v/>
      </c>
      <c r="K71" s="50" t="str">
        <f>Portfolio!O70</f>
        <v/>
      </c>
      <c r="L71" s="96" t="str">
        <f>Portfolio!P70</f>
        <v/>
      </c>
      <c r="M71" s="96" t="str">
        <f>Portfolio!Q70</f>
        <v/>
      </c>
      <c r="N71" s="178" t="str">
        <f>Portfolio!R70</f>
        <v/>
      </c>
      <c r="O71" s="50" t="str">
        <f>Portfolio!S70</f>
        <v/>
      </c>
      <c r="Q71" s="50" t="str">
        <f>Portfolio!U70</f>
        <v/>
      </c>
      <c r="S71" s="50" t="str">
        <f>Portfolio!W70</f>
        <v/>
      </c>
      <c r="T71" s="50" t="str">
        <f>Portfolio!X70</f>
        <v/>
      </c>
      <c r="U71" s="50">
        <f>Portfolio!Y70</f>
        <v>0</v>
      </c>
      <c r="V71" s="50" t="str">
        <f>Portfolio!Z70</f>
        <v/>
      </c>
      <c r="W71" s="14" t="str">
        <f>Portfolio!AA70</f>
        <v/>
      </c>
      <c r="X71" s="50" t="str">
        <f>Portfolio!AB70</f>
        <v/>
      </c>
      <c r="Y71" s="179" t="str">
        <f>Portfolio!AC70</f>
        <v/>
      </c>
      <c r="Z71" s="50" t="str">
        <f>Portfolio!AD70</f>
        <v/>
      </c>
      <c r="AA71" s="180" t="str">
        <f>Portfolio!AE70</f>
        <v/>
      </c>
    </row>
    <row r="72">
      <c r="A72" s="14" t="str">
        <f>Portfolio!A71</f>
        <v/>
      </c>
      <c r="B72" s="14" t="str">
        <f>Portfolio!B71</f>
        <v/>
      </c>
      <c r="C72" s="158" t="str">
        <f>Portfolio!C71</f>
        <v/>
      </c>
      <c r="D72" s="96" t="str">
        <f>Portfolio!D71</f>
        <v/>
      </c>
      <c r="E72" s="96" t="str">
        <f>Portfolio!E71</f>
        <v/>
      </c>
      <c r="F72" s="96" t="str">
        <f>Portfolio!G71</f>
        <v/>
      </c>
      <c r="G72" s="50" t="str">
        <f>Portfolio!H71</f>
        <v/>
      </c>
      <c r="H72" s="96" t="str">
        <f>Portfolio!I71</f>
        <v/>
      </c>
      <c r="I72" s="96" t="str">
        <f>Portfolio!J71</f>
        <v/>
      </c>
      <c r="J72" s="96" t="str">
        <f>Portfolio!K71</f>
        <v/>
      </c>
      <c r="K72" s="50" t="str">
        <f>Portfolio!O71</f>
        <v/>
      </c>
      <c r="L72" s="96" t="str">
        <f>Portfolio!P71</f>
        <v/>
      </c>
      <c r="M72" s="96" t="str">
        <f>Portfolio!Q71</f>
        <v/>
      </c>
      <c r="N72" s="178" t="str">
        <f>Portfolio!R71</f>
        <v/>
      </c>
      <c r="O72" s="50" t="str">
        <f>Portfolio!S71</f>
        <v/>
      </c>
      <c r="Q72" s="50" t="str">
        <f>Portfolio!U71</f>
        <v/>
      </c>
      <c r="S72" s="50" t="str">
        <f>Portfolio!W71</f>
        <v/>
      </c>
      <c r="T72" s="50" t="str">
        <f>Portfolio!X71</f>
        <v/>
      </c>
      <c r="U72" s="50">
        <f>Portfolio!Y71</f>
        <v>0</v>
      </c>
      <c r="V72" s="50" t="str">
        <f>Portfolio!Z71</f>
        <v/>
      </c>
      <c r="W72" s="14" t="str">
        <f>Portfolio!AA71</f>
        <v/>
      </c>
      <c r="X72" s="50" t="str">
        <f>Portfolio!AB71</f>
        <v/>
      </c>
      <c r="Y72" s="179" t="str">
        <f>Portfolio!AC71</f>
        <v/>
      </c>
      <c r="Z72" s="50" t="str">
        <f>Portfolio!AD71</f>
        <v/>
      </c>
      <c r="AA72" s="180" t="str">
        <f>Portfolio!AE71</f>
        <v/>
      </c>
    </row>
    <row r="73">
      <c r="A73" s="14" t="str">
        <f>Portfolio!A72</f>
        <v/>
      </c>
      <c r="B73" s="14" t="str">
        <f>Portfolio!B72</f>
        <v/>
      </c>
      <c r="C73" s="158" t="str">
        <f>Portfolio!C72</f>
        <v/>
      </c>
      <c r="D73" s="96" t="str">
        <f>Portfolio!D72</f>
        <v/>
      </c>
      <c r="E73" s="96" t="str">
        <f>Portfolio!E72</f>
        <v/>
      </c>
      <c r="F73" s="96" t="str">
        <f>Portfolio!G72</f>
        <v/>
      </c>
      <c r="G73" s="50" t="str">
        <f>Portfolio!H72</f>
        <v/>
      </c>
      <c r="H73" s="96" t="str">
        <f>Portfolio!I72</f>
        <v/>
      </c>
      <c r="I73" s="96" t="str">
        <f>Portfolio!J72</f>
        <v/>
      </c>
      <c r="J73" s="96" t="str">
        <f>Portfolio!K72</f>
        <v/>
      </c>
      <c r="K73" s="50" t="str">
        <f>Portfolio!O72</f>
        <v/>
      </c>
      <c r="L73" s="96" t="str">
        <f>Portfolio!P72</f>
        <v/>
      </c>
      <c r="M73" s="96" t="str">
        <f>Portfolio!Q72</f>
        <v/>
      </c>
      <c r="N73" s="178" t="str">
        <f>Portfolio!R72</f>
        <v/>
      </c>
      <c r="O73" s="50" t="str">
        <f>Portfolio!S72</f>
        <v/>
      </c>
      <c r="Q73" s="50" t="str">
        <f>Portfolio!U72</f>
        <v/>
      </c>
      <c r="S73" s="50" t="str">
        <f>Portfolio!W72</f>
        <v/>
      </c>
      <c r="T73" s="50" t="str">
        <f>Portfolio!X72</f>
        <v/>
      </c>
      <c r="U73" s="50">
        <f>Portfolio!Y72</f>
        <v>0</v>
      </c>
      <c r="V73" s="50" t="str">
        <f>Portfolio!Z72</f>
        <v/>
      </c>
      <c r="W73" s="14" t="str">
        <f>Portfolio!AA72</f>
        <v/>
      </c>
      <c r="X73" s="50" t="str">
        <f>Portfolio!AB72</f>
        <v/>
      </c>
      <c r="Y73" s="179" t="str">
        <f>Portfolio!AC72</f>
        <v/>
      </c>
      <c r="Z73" s="50" t="str">
        <f>Portfolio!AD72</f>
        <v/>
      </c>
      <c r="AA73" s="180" t="str">
        <f>Portfolio!AE72</f>
        <v/>
      </c>
    </row>
    <row r="74">
      <c r="A74" s="14" t="str">
        <f>Portfolio!A73</f>
        <v/>
      </c>
      <c r="B74" s="14" t="str">
        <f>Portfolio!B73</f>
        <v/>
      </c>
      <c r="C74" s="158" t="str">
        <f>Portfolio!C73</f>
        <v/>
      </c>
      <c r="D74" s="96" t="str">
        <f>Portfolio!D73</f>
        <v/>
      </c>
      <c r="E74" s="96" t="str">
        <f>Portfolio!E73</f>
        <v/>
      </c>
      <c r="F74" s="96" t="str">
        <f>Portfolio!G73</f>
        <v/>
      </c>
      <c r="G74" s="50" t="str">
        <f>Portfolio!H73</f>
        <v/>
      </c>
      <c r="H74" s="96" t="str">
        <f>Portfolio!I73</f>
        <v/>
      </c>
      <c r="I74" s="96" t="str">
        <f>Portfolio!J73</f>
        <v/>
      </c>
      <c r="J74" s="96" t="str">
        <f>Portfolio!K73</f>
        <v/>
      </c>
      <c r="K74" s="50" t="str">
        <f>Portfolio!O73</f>
        <v/>
      </c>
      <c r="L74" s="96" t="str">
        <f>Portfolio!P73</f>
        <v/>
      </c>
      <c r="M74" s="96" t="str">
        <f>Portfolio!Q73</f>
        <v/>
      </c>
      <c r="N74" s="178" t="str">
        <f>Portfolio!R73</f>
        <v/>
      </c>
      <c r="O74" s="50" t="str">
        <f>Portfolio!S73</f>
        <v/>
      </c>
      <c r="Q74" s="50" t="str">
        <f>Portfolio!U73</f>
        <v/>
      </c>
      <c r="S74" s="50" t="str">
        <f>Portfolio!W73</f>
        <v/>
      </c>
      <c r="T74" s="50" t="str">
        <f>Portfolio!X73</f>
        <v/>
      </c>
      <c r="U74" s="50">
        <f>Portfolio!Y73</f>
        <v>0</v>
      </c>
      <c r="V74" s="50" t="str">
        <f>Portfolio!Z73</f>
        <v/>
      </c>
      <c r="W74" s="14" t="str">
        <f>Portfolio!AA73</f>
        <v/>
      </c>
      <c r="X74" s="50" t="str">
        <f>Portfolio!AB73</f>
        <v/>
      </c>
      <c r="Y74" s="179" t="str">
        <f>Portfolio!AC73</f>
        <v/>
      </c>
      <c r="Z74" s="50" t="str">
        <f>Portfolio!AD73</f>
        <v/>
      </c>
      <c r="AA74" s="180" t="str">
        <f>Portfolio!AE73</f>
        <v/>
      </c>
    </row>
    <row r="75">
      <c r="A75" s="14" t="str">
        <f>Portfolio!A74</f>
        <v/>
      </c>
      <c r="B75" s="14" t="str">
        <f>Portfolio!B74</f>
        <v/>
      </c>
      <c r="C75" s="158" t="str">
        <f>Portfolio!C74</f>
        <v/>
      </c>
      <c r="D75" s="96" t="str">
        <f>Portfolio!D74</f>
        <v/>
      </c>
      <c r="E75" s="96" t="str">
        <f>Portfolio!E74</f>
        <v/>
      </c>
      <c r="F75" s="96" t="str">
        <f>Portfolio!G74</f>
        <v/>
      </c>
      <c r="G75" s="50" t="str">
        <f>Portfolio!H74</f>
        <v/>
      </c>
      <c r="H75" s="96" t="str">
        <f>Portfolio!I74</f>
        <v/>
      </c>
      <c r="I75" s="96" t="str">
        <f>Portfolio!J74</f>
        <v/>
      </c>
      <c r="J75" s="96" t="str">
        <f>Portfolio!K74</f>
        <v/>
      </c>
      <c r="K75" s="50" t="str">
        <f>Portfolio!O74</f>
        <v/>
      </c>
      <c r="L75" s="96" t="str">
        <f>Portfolio!P74</f>
        <v/>
      </c>
      <c r="M75" s="96" t="str">
        <f>Portfolio!Q74</f>
        <v/>
      </c>
      <c r="N75" s="178" t="str">
        <f>Portfolio!R74</f>
        <v/>
      </c>
      <c r="O75" s="50" t="str">
        <f>Portfolio!S74</f>
        <v/>
      </c>
      <c r="Q75" s="50" t="str">
        <f>Portfolio!U74</f>
        <v/>
      </c>
      <c r="S75" s="50" t="str">
        <f>Portfolio!W74</f>
        <v/>
      </c>
      <c r="T75" s="50" t="str">
        <f>Portfolio!X74</f>
        <v/>
      </c>
      <c r="U75" s="50">
        <f>Portfolio!Y74</f>
        <v>0</v>
      </c>
      <c r="V75" s="50" t="str">
        <f>Portfolio!Z74</f>
        <v/>
      </c>
      <c r="W75" s="14" t="str">
        <f>Portfolio!AA74</f>
        <v/>
      </c>
      <c r="X75" s="50" t="str">
        <f>Portfolio!AB74</f>
        <v/>
      </c>
      <c r="Y75" s="179" t="str">
        <f>Portfolio!AC74</f>
        <v/>
      </c>
      <c r="Z75" s="50" t="str">
        <f>Portfolio!AD74</f>
        <v/>
      </c>
      <c r="AA75" s="180" t="str">
        <f>Portfolio!AE74</f>
        <v/>
      </c>
    </row>
    <row r="76">
      <c r="A76" s="14" t="str">
        <f>Portfolio!A75</f>
        <v/>
      </c>
      <c r="B76" s="14" t="str">
        <f>Portfolio!B75</f>
        <v/>
      </c>
      <c r="C76" s="158" t="str">
        <f>Portfolio!C75</f>
        <v/>
      </c>
      <c r="D76" s="96" t="str">
        <f>Portfolio!D75</f>
        <v/>
      </c>
      <c r="E76" s="96" t="str">
        <f>Portfolio!E75</f>
        <v/>
      </c>
      <c r="F76" s="96" t="str">
        <f>Portfolio!G75</f>
        <v/>
      </c>
      <c r="G76" s="50" t="str">
        <f>Portfolio!H75</f>
        <v/>
      </c>
      <c r="H76" s="96" t="str">
        <f>Portfolio!I75</f>
        <v/>
      </c>
      <c r="I76" s="96" t="str">
        <f>Portfolio!J75</f>
        <v/>
      </c>
      <c r="J76" s="96" t="str">
        <f>Portfolio!K75</f>
        <v/>
      </c>
      <c r="K76" s="50" t="str">
        <f>Portfolio!O75</f>
        <v/>
      </c>
      <c r="L76" s="96" t="str">
        <f>Portfolio!P75</f>
        <v/>
      </c>
      <c r="M76" s="96" t="str">
        <f>Portfolio!Q75</f>
        <v/>
      </c>
      <c r="N76" s="178" t="str">
        <f>Portfolio!R75</f>
        <v/>
      </c>
      <c r="O76" s="50" t="str">
        <f>Portfolio!S75</f>
        <v/>
      </c>
      <c r="Q76" s="50" t="str">
        <f>Portfolio!U75</f>
        <v/>
      </c>
      <c r="S76" s="50" t="str">
        <f>Portfolio!W75</f>
        <v/>
      </c>
      <c r="T76" s="50" t="str">
        <f>Portfolio!X75</f>
        <v/>
      </c>
      <c r="U76" s="50">
        <f>Portfolio!Y75</f>
        <v>0</v>
      </c>
      <c r="V76" s="50" t="str">
        <f>Portfolio!Z75</f>
        <v/>
      </c>
      <c r="W76" s="14" t="str">
        <f>Portfolio!AA75</f>
        <v/>
      </c>
      <c r="X76" s="50" t="str">
        <f>Portfolio!AB75</f>
        <v/>
      </c>
      <c r="Y76" s="179" t="str">
        <f>Portfolio!AC75</f>
        <v/>
      </c>
      <c r="Z76" s="50" t="str">
        <f>Portfolio!AD75</f>
        <v/>
      </c>
      <c r="AA76" s="180" t="str">
        <f>Portfolio!AE75</f>
        <v/>
      </c>
    </row>
    <row r="77">
      <c r="A77" s="14" t="str">
        <f>Portfolio!A76</f>
        <v/>
      </c>
      <c r="B77" s="14" t="str">
        <f>Portfolio!B76</f>
        <v/>
      </c>
      <c r="C77" s="158" t="str">
        <f>Portfolio!C76</f>
        <v/>
      </c>
      <c r="D77" s="96" t="str">
        <f>Portfolio!D76</f>
        <v/>
      </c>
      <c r="E77" s="96" t="str">
        <f>Portfolio!E76</f>
        <v/>
      </c>
      <c r="F77" s="96" t="str">
        <f>Portfolio!G76</f>
        <v/>
      </c>
      <c r="G77" s="50" t="str">
        <f>Portfolio!H76</f>
        <v/>
      </c>
      <c r="H77" s="96" t="str">
        <f>Portfolio!I76</f>
        <v/>
      </c>
      <c r="I77" s="96" t="str">
        <f>Portfolio!J76</f>
        <v/>
      </c>
      <c r="J77" s="96" t="str">
        <f>Portfolio!K76</f>
        <v/>
      </c>
      <c r="K77" s="50" t="str">
        <f>Portfolio!O76</f>
        <v/>
      </c>
      <c r="L77" s="96" t="str">
        <f>Portfolio!P76</f>
        <v/>
      </c>
      <c r="M77" s="96" t="str">
        <f>Portfolio!Q76</f>
        <v/>
      </c>
      <c r="N77" s="178" t="str">
        <f>Portfolio!R76</f>
        <v/>
      </c>
      <c r="O77" s="50" t="str">
        <f>Portfolio!S76</f>
        <v/>
      </c>
      <c r="Q77" s="50" t="str">
        <f>Portfolio!U76</f>
        <v/>
      </c>
      <c r="S77" s="50" t="str">
        <f>Portfolio!W76</f>
        <v/>
      </c>
      <c r="T77" s="50" t="str">
        <f>Portfolio!X76</f>
        <v/>
      </c>
      <c r="U77" s="50">
        <f>Portfolio!Y76</f>
        <v>0</v>
      </c>
      <c r="V77" s="50" t="str">
        <f>Portfolio!Z76</f>
        <v/>
      </c>
      <c r="W77" s="14" t="str">
        <f>Portfolio!AA76</f>
        <v/>
      </c>
      <c r="X77" s="50" t="str">
        <f>Portfolio!AB76</f>
        <v/>
      </c>
      <c r="Y77" s="179" t="str">
        <f>Portfolio!AC76</f>
        <v/>
      </c>
      <c r="Z77" s="50" t="str">
        <f>Portfolio!AD76</f>
        <v/>
      </c>
      <c r="AA77" s="180" t="str">
        <f>Portfolio!AE76</f>
        <v/>
      </c>
    </row>
    <row r="78">
      <c r="A78" s="14" t="str">
        <f>Portfolio!A77</f>
        <v/>
      </c>
      <c r="B78" s="14" t="str">
        <f>Portfolio!B77</f>
        <v/>
      </c>
      <c r="C78" s="158" t="str">
        <f>Portfolio!C77</f>
        <v/>
      </c>
      <c r="D78" s="96" t="str">
        <f>Portfolio!D77</f>
        <v/>
      </c>
      <c r="E78" s="96" t="str">
        <f>Portfolio!E77</f>
        <v/>
      </c>
      <c r="F78" s="96" t="str">
        <f>Portfolio!G77</f>
        <v/>
      </c>
      <c r="G78" s="50" t="str">
        <f>Portfolio!H77</f>
        <v/>
      </c>
      <c r="H78" s="96" t="str">
        <f>Portfolio!I77</f>
        <v/>
      </c>
      <c r="I78" s="96" t="str">
        <f>Portfolio!J77</f>
        <v/>
      </c>
      <c r="J78" s="96" t="str">
        <f>Portfolio!K77</f>
        <v/>
      </c>
      <c r="K78" s="50" t="str">
        <f>Portfolio!O77</f>
        <v/>
      </c>
      <c r="L78" s="96" t="str">
        <f>Portfolio!P77</f>
        <v/>
      </c>
      <c r="M78" s="96" t="str">
        <f>Portfolio!Q77</f>
        <v/>
      </c>
      <c r="N78" s="178" t="str">
        <f>Portfolio!R77</f>
        <v/>
      </c>
      <c r="O78" s="50" t="str">
        <f>Portfolio!S77</f>
        <v/>
      </c>
      <c r="Q78" s="50" t="str">
        <f>Portfolio!U77</f>
        <v/>
      </c>
      <c r="S78" s="50" t="str">
        <f>Portfolio!W77</f>
        <v/>
      </c>
      <c r="T78" s="50" t="str">
        <f>Portfolio!X77</f>
        <v/>
      </c>
      <c r="U78" s="50">
        <f>Portfolio!Y77</f>
        <v>0</v>
      </c>
      <c r="V78" s="50" t="str">
        <f>Portfolio!Z77</f>
        <v/>
      </c>
      <c r="W78" s="14" t="str">
        <f>Portfolio!AA77</f>
        <v/>
      </c>
      <c r="X78" s="50" t="str">
        <f>Portfolio!AB77</f>
        <v/>
      </c>
      <c r="Y78" s="179" t="str">
        <f>Portfolio!AC77</f>
        <v/>
      </c>
      <c r="Z78" s="50" t="str">
        <f>Portfolio!AD77</f>
        <v/>
      </c>
      <c r="AA78" s="180" t="str">
        <f>Portfolio!AE77</f>
        <v/>
      </c>
    </row>
    <row r="79">
      <c r="A79" s="14" t="str">
        <f>Portfolio!A78</f>
        <v/>
      </c>
      <c r="B79" s="14" t="str">
        <f>Portfolio!B78</f>
        <v/>
      </c>
      <c r="C79" s="158" t="str">
        <f>Portfolio!C78</f>
        <v/>
      </c>
      <c r="D79" s="96" t="str">
        <f>Portfolio!D78</f>
        <v/>
      </c>
      <c r="E79" s="96" t="str">
        <f>Portfolio!E78</f>
        <v/>
      </c>
      <c r="F79" s="96" t="str">
        <f>Portfolio!G78</f>
        <v/>
      </c>
      <c r="G79" s="50" t="str">
        <f>Portfolio!H78</f>
        <v/>
      </c>
      <c r="H79" s="96" t="str">
        <f>Portfolio!I78</f>
        <v/>
      </c>
      <c r="I79" s="96" t="str">
        <f>Portfolio!J78</f>
        <v/>
      </c>
      <c r="J79" s="96" t="str">
        <f>Portfolio!K78</f>
        <v/>
      </c>
      <c r="K79" s="50" t="str">
        <f>Portfolio!O78</f>
        <v/>
      </c>
      <c r="L79" s="96" t="str">
        <f>Portfolio!P78</f>
        <v/>
      </c>
      <c r="M79" s="96" t="str">
        <f>Portfolio!Q78</f>
        <v/>
      </c>
      <c r="N79" s="178" t="str">
        <f>Portfolio!R78</f>
        <v/>
      </c>
      <c r="O79" s="50" t="str">
        <f>Portfolio!S78</f>
        <v/>
      </c>
      <c r="Q79" s="50" t="str">
        <f>Portfolio!U78</f>
        <v/>
      </c>
      <c r="S79" s="50" t="str">
        <f>Portfolio!W78</f>
        <v/>
      </c>
      <c r="T79" s="50" t="str">
        <f>Portfolio!X78</f>
        <v/>
      </c>
      <c r="U79" s="50">
        <f>Portfolio!Y78</f>
        <v>0</v>
      </c>
      <c r="V79" s="50" t="str">
        <f>Portfolio!Z78</f>
        <v/>
      </c>
      <c r="W79" s="14" t="str">
        <f>Portfolio!AA78</f>
        <v/>
      </c>
      <c r="X79" s="50" t="str">
        <f>Portfolio!AB78</f>
        <v/>
      </c>
      <c r="Y79" s="179" t="str">
        <f>Portfolio!AC78</f>
        <v/>
      </c>
      <c r="Z79" s="50" t="str">
        <f>Portfolio!AD78</f>
        <v/>
      </c>
      <c r="AA79" s="180" t="str">
        <f>Portfolio!AE78</f>
        <v/>
      </c>
    </row>
    <row r="80">
      <c r="A80" s="14" t="str">
        <f>Portfolio!A79</f>
        <v/>
      </c>
      <c r="B80" s="14" t="str">
        <f>Portfolio!B79</f>
        <v/>
      </c>
      <c r="C80" s="158" t="str">
        <f>Portfolio!C79</f>
        <v/>
      </c>
      <c r="D80" s="96" t="str">
        <f>Portfolio!D79</f>
        <v/>
      </c>
      <c r="E80" s="96" t="str">
        <f>Portfolio!E79</f>
        <v/>
      </c>
      <c r="F80" s="96" t="str">
        <f>Portfolio!G79</f>
        <v/>
      </c>
      <c r="G80" s="50" t="str">
        <f>Portfolio!H79</f>
        <v/>
      </c>
      <c r="H80" s="96" t="str">
        <f>Portfolio!I79</f>
        <v/>
      </c>
      <c r="I80" s="96" t="str">
        <f>Portfolio!J79</f>
        <v/>
      </c>
      <c r="J80" s="96" t="str">
        <f>Portfolio!K79</f>
        <v/>
      </c>
      <c r="K80" s="50" t="str">
        <f>Portfolio!O79</f>
        <v/>
      </c>
      <c r="L80" s="96" t="str">
        <f>Portfolio!P79</f>
        <v/>
      </c>
      <c r="M80" s="96" t="str">
        <f>Portfolio!Q79</f>
        <v/>
      </c>
      <c r="N80" s="178" t="str">
        <f>Portfolio!R79</f>
        <v/>
      </c>
      <c r="O80" s="50" t="str">
        <f>Portfolio!S79</f>
        <v/>
      </c>
      <c r="Q80" s="50" t="str">
        <f>Portfolio!U79</f>
        <v/>
      </c>
      <c r="S80" s="50" t="str">
        <f>Portfolio!W79</f>
        <v/>
      </c>
      <c r="T80" s="50" t="str">
        <f>Portfolio!X79</f>
        <v/>
      </c>
      <c r="U80" s="50">
        <f>Portfolio!Y79</f>
        <v>0</v>
      </c>
      <c r="V80" s="50" t="str">
        <f>Portfolio!Z79</f>
        <v/>
      </c>
      <c r="W80" s="14" t="str">
        <f>Portfolio!AA79</f>
        <v/>
      </c>
      <c r="X80" s="50" t="str">
        <f>Portfolio!AB79</f>
        <v/>
      </c>
      <c r="Y80" s="179" t="str">
        <f>Portfolio!AC79</f>
        <v/>
      </c>
      <c r="Z80" s="50" t="str">
        <f>Portfolio!AD79</f>
        <v/>
      </c>
      <c r="AA80" s="180" t="str">
        <f>Portfolio!AE79</f>
        <v/>
      </c>
    </row>
    <row r="81">
      <c r="A81" s="14" t="str">
        <f>Portfolio!A80</f>
        <v/>
      </c>
      <c r="B81" s="14" t="str">
        <f>Portfolio!B80</f>
        <v/>
      </c>
      <c r="C81" s="158" t="str">
        <f>Portfolio!C80</f>
        <v/>
      </c>
      <c r="D81" s="96" t="str">
        <f>Portfolio!D80</f>
        <v/>
      </c>
      <c r="E81" s="96" t="str">
        <f>Portfolio!E80</f>
        <v/>
      </c>
      <c r="F81" s="96" t="str">
        <f>Portfolio!G80</f>
        <v/>
      </c>
      <c r="G81" s="50" t="str">
        <f>Portfolio!H80</f>
        <v/>
      </c>
      <c r="H81" s="96" t="str">
        <f>Portfolio!I80</f>
        <v/>
      </c>
      <c r="I81" s="96" t="str">
        <f>Portfolio!J80</f>
        <v/>
      </c>
      <c r="J81" s="96" t="str">
        <f>Portfolio!K80</f>
        <v/>
      </c>
      <c r="K81" s="50" t="str">
        <f>Portfolio!O80</f>
        <v/>
      </c>
      <c r="L81" s="96" t="str">
        <f>Portfolio!P80</f>
        <v/>
      </c>
      <c r="M81" s="96" t="str">
        <f>Portfolio!Q80</f>
        <v/>
      </c>
      <c r="N81" s="178" t="str">
        <f>Portfolio!R80</f>
        <v/>
      </c>
      <c r="O81" s="50" t="str">
        <f>Portfolio!S80</f>
        <v/>
      </c>
      <c r="Q81" s="50" t="str">
        <f>Portfolio!U80</f>
        <v/>
      </c>
      <c r="S81" s="50" t="str">
        <f>Portfolio!W80</f>
        <v/>
      </c>
      <c r="T81" s="50" t="str">
        <f>Portfolio!X80</f>
        <v/>
      </c>
      <c r="U81" s="50">
        <f>Portfolio!Y80</f>
        <v>0</v>
      </c>
      <c r="V81" s="50" t="str">
        <f>Portfolio!Z80</f>
        <v/>
      </c>
      <c r="W81" s="14" t="str">
        <f>Portfolio!AA80</f>
        <v/>
      </c>
      <c r="X81" s="50" t="str">
        <f>Portfolio!AB80</f>
        <v/>
      </c>
      <c r="Y81" s="179" t="str">
        <f>Portfolio!AC80</f>
        <v/>
      </c>
      <c r="Z81" s="50" t="str">
        <f>Portfolio!AD80</f>
        <v/>
      </c>
      <c r="AA81" s="180" t="str">
        <f>Portfolio!AE80</f>
        <v/>
      </c>
    </row>
    <row r="82">
      <c r="A82" s="14" t="str">
        <f>Portfolio!A81</f>
        <v/>
      </c>
      <c r="B82" s="14" t="str">
        <f>Portfolio!B81</f>
        <v/>
      </c>
      <c r="C82" s="158" t="str">
        <f>Portfolio!C81</f>
        <v/>
      </c>
      <c r="D82" s="96" t="str">
        <f>Portfolio!D81</f>
        <v/>
      </c>
      <c r="E82" s="96" t="str">
        <f>Portfolio!E81</f>
        <v/>
      </c>
      <c r="F82" s="96" t="str">
        <f>Portfolio!G81</f>
        <v/>
      </c>
      <c r="G82" s="50" t="str">
        <f>Portfolio!H81</f>
        <v/>
      </c>
      <c r="H82" s="96" t="str">
        <f>Portfolio!I81</f>
        <v/>
      </c>
      <c r="I82" s="96" t="str">
        <f>Portfolio!J81</f>
        <v/>
      </c>
      <c r="J82" s="96" t="str">
        <f>Portfolio!K81</f>
        <v/>
      </c>
      <c r="K82" s="50" t="str">
        <f>Portfolio!O81</f>
        <v/>
      </c>
      <c r="L82" s="96" t="str">
        <f>Portfolio!P81</f>
        <v/>
      </c>
      <c r="M82" s="96" t="str">
        <f>Portfolio!Q81</f>
        <v/>
      </c>
      <c r="N82" s="178" t="str">
        <f>Portfolio!R81</f>
        <v/>
      </c>
      <c r="O82" s="50" t="str">
        <f>Portfolio!S81</f>
        <v/>
      </c>
      <c r="Q82" s="50" t="str">
        <f>Portfolio!U81</f>
        <v/>
      </c>
      <c r="S82" s="50" t="str">
        <f>Portfolio!W81</f>
        <v/>
      </c>
      <c r="T82" s="50" t="str">
        <f>Portfolio!X81</f>
        <v/>
      </c>
      <c r="U82" s="50">
        <f>Portfolio!Y81</f>
        <v>0</v>
      </c>
      <c r="V82" s="50" t="str">
        <f>Portfolio!Z81</f>
        <v/>
      </c>
      <c r="W82" s="14" t="str">
        <f>Portfolio!AA81</f>
        <v/>
      </c>
      <c r="X82" s="50" t="str">
        <f>Portfolio!AB81</f>
        <v/>
      </c>
      <c r="Y82" s="179" t="str">
        <f>Portfolio!AC81</f>
        <v/>
      </c>
      <c r="Z82" s="50" t="str">
        <f>Portfolio!AD81</f>
        <v/>
      </c>
      <c r="AA82" s="180" t="str">
        <f>Portfolio!AE81</f>
        <v/>
      </c>
    </row>
    <row r="83">
      <c r="A83" s="14" t="str">
        <f>Portfolio!A82</f>
        <v/>
      </c>
      <c r="B83" s="14" t="str">
        <f>Portfolio!B82</f>
        <v/>
      </c>
      <c r="C83" s="158" t="str">
        <f>Portfolio!C82</f>
        <v/>
      </c>
      <c r="D83" s="96" t="str">
        <f>Portfolio!D82</f>
        <v/>
      </c>
      <c r="E83" s="96" t="str">
        <f>Portfolio!E82</f>
        <v/>
      </c>
      <c r="F83" s="96" t="str">
        <f>Portfolio!G82</f>
        <v/>
      </c>
      <c r="G83" s="50" t="str">
        <f>Portfolio!H82</f>
        <v/>
      </c>
      <c r="H83" s="96" t="str">
        <f>Portfolio!I82</f>
        <v/>
      </c>
      <c r="I83" s="96" t="str">
        <f>Portfolio!J82</f>
        <v/>
      </c>
      <c r="J83" s="96" t="str">
        <f>Portfolio!K82</f>
        <v/>
      </c>
      <c r="K83" s="50" t="str">
        <f>Portfolio!O82</f>
        <v/>
      </c>
      <c r="L83" s="96" t="str">
        <f>Portfolio!P82</f>
        <v/>
      </c>
      <c r="M83" s="96" t="str">
        <f>Portfolio!Q82</f>
        <v/>
      </c>
      <c r="N83" s="178" t="str">
        <f>Portfolio!R82</f>
        <v/>
      </c>
      <c r="O83" s="50" t="str">
        <f>Portfolio!S82</f>
        <v/>
      </c>
      <c r="Q83" s="50" t="str">
        <f>Portfolio!U82</f>
        <v/>
      </c>
      <c r="S83" s="50" t="str">
        <f>Portfolio!W82</f>
        <v/>
      </c>
      <c r="T83" s="50" t="str">
        <f>Portfolio!X82</f>
        <v/>
      </c>
      <c r="U83" s="50">
        <f>Portfolio!Y82</f>
        <v>0</v>
      </c>
      <c r="V83" s="50" t="str">
        <f>Portfolio!Z82</f>
        <v/>
      </c>
      <c r="W83" s="14" t="str">
        <f>Portfolio!AA82</f>
        <v/>
      </c>
      <c r="X83" s="50" t="str">
        <f>Portfolio!AB82</f>
        <v/>
      </c>
      <c r="Y83" s="179" t="str">
        <f>Portfolio!AC82</f>
        <v/>
      </c>
      <c r="Z83" s="50" t="str">
        <f>Portfolio!AD82</f>
        <v/>
      </c>
      <c r="AA83" s="180" t="str">
        <f>Portfolio!AE82</f>
        <v/>
      </c>
    </row>
    <row r="84">
      <c r="A84" s="14" t="str">
        <f>Portfolio!A83</f>
        <v/>
      </c>
      <c r="B84" s="14" t="str">
        <f>Portfolio!B83</f>
        <v/>
      </c>
      <c r="C84" s="158" t="str">
        <f>Portfolio!C83</f>
        <v/>
      </c>
      <c r="D84" s="96" t="str">
        <f>Portfolio!D83</f>
        <v/>
      </c>
      <c r="E84" s="96" t="str">
        <f>Portfolio!E83</f>
        <v/>
      </c>
      <c r="F84" s="96" t="str">
        <f>Portfolio!G83</f>
        <v/>
      </c>
      <c r="G84" s="50" t="str">
        <f>Portfolio!H83</f>
        <v/>
      </c>
      <c r="H84" s="96" t="str">
        <f>Portfolio!I83</f>
        <v/>
      </c>
      <c r="I84" s="96" t="str">
        <f>Portfolio!J83</f>
        <v/>
      </c>
      <c r="J84" s="96" t="str">
        <f>Portfolio!K83</f>
        <v/>
      </c>
      <c r="K84" s="50" t="str">
        <f>Portfolio!O83</f>
        <v/>
      </c>
      <c r="L84" s="96" t="str">
        <f>Portfolio!P83</f>
        <v/>
      </c>
      <c r="M84" s="96" t="str">
        <f>Portfolio!Q83</f>
        <v/>
      </c>
      <c r="N84" s="178" t="str">
        <f>Portfolio!R83</f>
        <v/>
      </c>
      <c r="O84" s="50" t="str">
        <f>Portfolio!S83</f>
        <v/>
      </c>
      <c r="Q84" s="50" t="str">
        <f>Portfolio!U83</f>
        <v/>
      </c>
      <c r="S84" s="50" t="str">
        <f>Portfolio!W83</f>
        <v/>
      </c>
      <c r="T84" s="50" t="str">
        <f>Portfolio!X83</f>
        <v/>
      </c>
      <c r="U84" s="50">
        <f>Portfolio!Y83</f>
        <v>0</v>
      </c>
      <c r="V84" s="50" t="str">
        <f>Portfolio!Z83</f>
        <v/>
      </c>
      <c r="W84" s="14" t="str">
        <f>Portfolio!AA83</f>
        <v/>
      </c>
      <c r="X84" s="50" t="str">
        <f>Portfolio!AB83</f>
        <v/>
      </c>
      <c r="Y84" s="179" t="str">
        <f>Portfolio!AC83</f>
        <v/>
      </c>
      <c r="Z84" s="50" t="str">
        <f>Portfolio!AD83</f>
        <v/>
      </c>
      <c r="AA84" s="180" t="str">
        <f>Portfolio!AE83</f>
        <v/>
      </c>
    </row>
    <row r="85">
      <c r="A85" s="14" t="str">
        <f>Portfolio!A84</f>
        <v/>
      </c>
      <c r="B85" s="14" t="str">
        <f>Portfolio!B84</f>
        <v/>
      </c>
      <c r="C85" s="158" t="str">
        <f>Portfolio!C84</f>
        <v/>
      </c>
      <c r="D85" s="96" t="str">
        <f>Portfolio!D84</f>
        <v/>
      </c>
      <c r="E85" s="96" t="str">
        <f>Portfolio!E84</f>
        <v/>
      </c>
      <c r="F85" s="96" t="str">
        <f>Portfolio!G84</f>
        <v/>
      </c>
      <c r="G85" s="50" t="str">
        <f>Portfolio!H84</f>
        <v/>
      </c>
      <c r="H85" s="96" t="str">
        <f>Portfolio!I84</f>
        <v/>
      </c>
      <c r="I85" s="96" t="str">
        <f>Portfolio!J84</f>
        <v/>
      </c>
      <c r="J85" s="96" t="str">
        <f>Portfolio!K84</f>
        <v/>
      </c>
      <c r="K85" s="50" t="str">
        <f>Portfolio!O84</f>
        <v/>
      </c>
      <c r="L85" s="96" t="str">
        <f>Portfolio!P84</f>
        <v/>
      </c>
      <c r="M85" s="96" t="str">
        <f>Portfolio!Q84</f>
        <v/>
      </c>
      <c r="N85" s="178" t="str">
        <f>Portfolio!R84</f>
        <v/>
      </c>
      <c r="O85" s="50" t="str">
        <f>Portfolio!S84</f>
        <v/>
      </c>
      <c r="Q85" s="50" t="str">
        <f>Portfolio!U84</f>
        <v/>
      </c>
      <c r="S85" s="50" t="str">
        <f>Portfolio!W84</f>
        <v/>
      </c>
      <c r="T85" s="50" t="str">
        <f>Portfolio!X84</f>
        <v/>
      </c>
      <c r="U85" s="50">
        <f>Portfolio!Y84</f>
        <v>0</v>
      </c>
      <c r="V85" s="50" t="str">
        <f>Portfolio!Z84</f>
        <v/>
      </c>
      <c r="W85" s="14" t="str">
        <f>Portfolio!AA84</f>
        <v/>
      </c>
      <c r="X85" s="50" t="str">
        <f>Portfolio!AB84</f>
        <v/>
      </c>
      <c r="Y85" s="179" t="str">
        <f>Portfolio!AC84</f>
        <v/>
      </c>
      <c r="Z85" s="50" t="str">
        <f>Portfolio!AD84</f>
        <v/>
      </c>
      <c r="AA85" s="180" t="str">
        <f>Portfolio!AE84</f>
        <v/>
      </c>
    </row>
    <row r="86">
      <c r="A86" s="14" t="str">
        <f>Portfolio!A85</f>
        <v/>
      </c>
      <c r="B86" s="14" t="str">
        <f>Portfolio!B85</f>
        <v/>
      </c>
      <c r="C86" s="158" t="str">
        <f>Portfolio!C85</f>
        <v/>
      </c>
      <c r="D86" s="96" t="str">
        <f>Portfolio!D85</f>
        <v/>
      </c>
      <c r="E86" s="96" t="str">
        <f>Portfolio!E85</f>
        <v/>
      </c>
      <c r="F86" s="96" t="str">
        <f>Portfolio!G85</f>
        <v/>
      </c>
      <c r="G86" s="50" t="str">
        <f>Portfolio!H85</f>
        <v/>
      </c>
      <c r="H86" s="96" t="str">
        <f>Portfolio!I85</f>
        <v/>
      </c>
      <c r="I86" s="96" t="str">
        <f>Portfolio!J85</f>
        <v/>
      </c>
      <c r="J86" s="96" t="str">
        <f>Portfolio!K85</f>
        <v/>
      </c>
      <c r="K86" s="50" t="str">
        <f>Portfolio!O85</f>
        <v/>
      </c>
      <c r="L86" s="96" t="str">
        <f>Portfolio!P85</f>
        <v/>
      </c>
      <c r="M86" s="96" t="str">
        <f>Portfolio!Q85</f>
        <v/>
      </c>
      <c r="N86" s="178" t="str">
        <f>Portfolio!R85</f>
        <v/>
      </c>
      <c r="O86" s="50" t="str">
        <f>Portfolio!S85</f>
        <v/>
      </c>
      <c r="Q86" s="50" t="str">
        <f>Portfolio!U85</f>
        <v/>
      </c>
      <c r="S86" s="50" t="str">
        <f>Portfolio!W85</f>
        <v/>
      </c>
      <c r="T86" s="50" t="str">
        <f>Portfolio!X85</f>
        <v/>
      </c>
      <c r="U86" s="50">
        <f>Portfolio!Y85</f>
        <v>0</v>
      </c>
      <c r="V86" s="50" t="str">
        <f>Portfolio!Z85</f>
        <v/>
      </c>
      <c r="W86" s="14" t="str">
        <f>Portfolio!AA85</f>
        <v/>
      </c>
      <c r="X86" s="50" t="str">
        <f>Portfolio!AB85</f>
        <v/>
      </c>
      <c r="Y86" s="179" t="str">
        <f>Portfolio!AC85</f>
        <v/>
      </c>
      <c r="Z86" s="50" t="str">
        <f>Portfolio!AD85</f>
        <v/>
      </c>
      <c r="AA86" s="180" t="str">
        <f>Portfolio!AE85</f>
        <v/>
      </c>
    </row>
    <row r="87">
      <c r="A87" s="14" t="str">
        <f>Portfolio!A86</f>
        <v/>
      </c>
      <c r="B87" s="14" t="str">
        <f>Portfolio!B86</f>
        <v/>
      </c>
      <c r="C87" s="158" t="str">
        <f>Portfolio!C86</f>
        <v/>
      </c>
      <c r="D87" s="96" t="str">
        <f>Portfolio!D86</f>
        <v/>
      </c>
      <c r="E87" s="96" t="str">
        <f>Portfolio!E86</f>
        <v/>
      </c>
      <c r="F87" s="96" t="str">
        <f>Portfolio!G86</f>
        <v/>
      </c>
      <c r="G87" s="50" t="str">
        <f>Portfolio!H86</f>
        <v/>
      </c>
      <c r="H87" s="96" t="str">
        <f>Portfolio!I86</f>
        <v/>
      </c>
      <c r="I87" s="96" t="str">
        <f>Portfolio!J86</f>
        <v/>
      </c>
      <c r="J87" s="96" t="str">
        <f>Portfolio!K86</f>
        <v/>
      </c>
      <c r="K87" s="50" t="str">
        <f>Portfolio!O86</f>
        <v/>
      </c>
      <c r="L87" s="96" t="str">
        <f>Portfolio!P86</f>
        <v/>
      </c>
      <c r="M87" s="96" t="str">
        <f>Portfolio!Q86</f>
        <v/>
      </c>
      <c r="N87" s="178" t="str">
        <f>Portfolio!R86</f>
        <v/>
      </c>
      <c r="O87" s="50" t="str">
        <f>Portfolio!S86</f>
        <v/>
      </c>
      <c r="Q87" s="50" t="str">
        <f>Portfolio!U86</f>
        <v/>
      </c>
      <c r="S87" s="50" t="str">
        <f>Portfolio!W86</f>
        <v/>
      </c>
      <c r="T87" s="50" t="str">
        <f>Portfolio!X86</f>
        <v/>
      </c>
      <c r="U87" s="50">
        <f>Portfolio!Y86</f>
        <v>0</v>
      </c>
      <c r="V87" s="50" t="str">
        <f>Portfolio!Z86</f>
        <v/>
      </c>
      <c r="W87" s="14" t="str">
        <f>Portfolio!AA86</f>
        <v/>
      </c>
      <c r="X87" s="50" t="str">
        <f>Portfolio!AB86</f>
        <v/>
      </c>
      <c r="Y87" s="179" t="str">
        <f>Portfolio!AC86</f>
        <v/>
      </c>
      <c r="Z87" s="50" t="str">
        <f>Portfolio!AD86</f>
        <v/>
      </c>
      <c r="AA87" s="180" t="str">
        <f>Portfolio!AE86</f>
        <v/>
      </c>
    </row>
    <row r="88">
      <c r="A88" s="14" t="str">
        <f>Portfolio!A87</f>
        <v/>
      </c>
      <c r="B88" s="14" t="str">
        <f>Portfolio!B87</f>
        <v/>
      </c>
      <c r="C88" s="158" t="str">
        <f>Portfolio!C87</f>
        <v/>
      </c>
      <c r="D88" s="96" t="str">
        <f>Portfolio!D87</f>
        <v/>
      </c>
      <c r="E88" s="96" t="str">
        <f>Portfolio!E87</f>
        <v/>
      </c>
      <c r="F88" s="96" t="str">
        <f>Portfolio!G87</f>
        <v/>
      </c>
      <c r="G88" s="50" t="str">
        <f>Portfolio!H87</f>
        <v/>
      </c>
      <c r="H88" s="96" t="str">
        <f>Portfolio!I87</f>
        <v/>
      </c>
      <c r="I88" s="96" t="str">
        <f>Portfolio!J87</f>
        <v/>
      </c>
      <c r="J88" s="96" t="str">
        <f>Portfolio!K87</f>
        <v/>
      </c>
      <c r="K88" s="50" t="str">
        <f>Portfolio!O87</f>
        <v/>
      </c>
      <c r="L88" s="96" t="str">
        <f>Portfolio!P87</f>
        <v/>
      </c>
      <c r="M88" s="96" t="str">
        <f>Portfolio!Q87</f>
        <v/>
      </c>
      <c r="N88" s="178" t="str">
        <f>Portfolio!R87</f>
        <v/>
      </c>
      <c r="O88" s="50" t="str">
        <f>Portfolio!S87</f>
        <v/>
      </c>
      <c r="Q88" s="50" t="str">
        <f>Portfolio!U87</f>
        <v/>
      </c>
      <c r="S88" s="50" t="str">
        <f>Portfolio!W87</f>
        <v/>
      </c>
      <c r="T88" s="50" t="str">
        <f>Portfolio!X87</f>
        <v/>
      </c>
      <c r="U88" s="50">
        <f>Portfolio!Y87</f>
        <v>0</v>
      </c>
      <c r="V88" s="50" t="str">
        <f>Portfolio!Z87</f>
        <v/>
      </c>
      <c r="W88" s="14" t="str">
        <f>Portfolio!AA87</f>
        <v/>
      </c>
      <c r="X88" s="50" t="str">
        <f>Portfolio!AB87</f>
        <v/>
      </c>
      <c r="Y88" s="179" t="str">
        <f>Portfolio!AC87</f>
        <v/>
      </c>
      <c r="Z88" s="50" t="str">
        <f>Portfolio!AD87</f>
        <v/>
      </c>
      <c r="AA88" s="180" t="str">
        <f>Portfolio!AE87</f>
        <v/>
      </c>
    </row>
    <row r="89">
      <c r="A89" s="14" t="str">
        <f>Portfolio!A88</f>
        <v/>
      </c>
      <c r="B89" s="14" t="str">
        <f>Portfolio!B88</f>
        <v/>
      </c>
      <c r="C89" s="158" t="str">
        <f>Portfolio!C88</f>
        <v/>
      </c>
      <c r="D89" s="96" t="str">
        <f>Portfolio!D88</f>
        <v/>
      </c>
      <c r="E89" s="96" t="str">
        <f>Portfolio!E88</f>
        <v/>
      </c>
      <c r="F89" s="96" t="str">
        <f>Portfolio!G88</f>
        <v/>
      </c>
      <c r="G89" s="50" t="str">
        <f>Portfolio!H88</f>
        <v/>
      </c>
      <c r="H89" s="96" t="str">
        <f>Portfolio!I88</f>
        <v/>
      </c>
      <c r="I89" s="96" t="str">
        <f>Portfolio!J88</f>
        <v/>
      </c>
      <c r="J89" s="96" t="str">
        <f>Portfolio!K88</f>
        <v/>
      </c>
      <c r="K89" s="50" t="str">
        <f>Portfolio!O88</f>
        <v/>
      </c>
      <c r="L89" s="96" t="str">
        <f>Portfolio!P88</f>
        <v/>
      </c>
      <c r="M89" s="96" t="str">
        <f>Portfolio!Q88</f>
        <v/>
      </c>
      <c r="N89" s="178" t="str">
        <f>Portfolio!R88</f>
        <v/>
      </c>
      <c r="O89" s="50" t="str">
        <f>Portfolio!S88</f>
        <v/>
      </c>
      <c r="Q89" s="50" t="str">
        <f>Portfolio!U88</f>
        <v/>
      </c>
      <c r="S89" s="50" t="str">
        <f>Portfolio!W88</f>
        <v/>
      </c>
      <c r="T89" s="50" t="str">
        <f>Portfolio!X88</f>
        <v/>
      </c>
      <c r="U89" s="50">
        <f>Portfolio!Y88</f>
        <v>0</v>
      </c>
      <c r="V89" s="50" t="str">
        <f>Portfolio!Z88</f>
        <v/>
      </c>
      <c r="W89" s="14" t="str">
        <f>Portfolio!AA88</f>
        <v/>
      </c>
      <c r="X89" s="50" t="str">
        <f>Portfolio!AB88</f>
        <v/>
      </c>
      <c r="Y89" s="179" t="str">
        <f>Portfolio!AC88</f>
        <v/>
      </c>
      <c r="Z89" s="50" t="str">
        <f>Portfolio!AD88</f>
        <v/>
      </c>
      <c r="AA89" s="180" t="str">
        <f>Portfolio!AE88</f>
        <v/>
      </c>
    </row>
    <row r="90">
      <c r="A90" s="14" t="str">
        <f>Portfolio!A89</f>
        <v/>
      </c>
      <c r="B90" s="14" t="str">
        <f>Portfolio!B89</f>
        <v/>
      </c>
      <c r="C90" s="158" t="str">
        <f>Portfolio!C89</f>
        <v/>
      </c>
      <c r="D90" s="96" t="str">
        <f>Portfolio!D89</f>
        <v/>
      </c>
      <c r="E90" s="96" t="str">
        <f>Portfolio!E89</f>
        <v/>
      </c>
      <c r="F90" s="96" t="str">
        <f>Portfolio!G89</f>
        <v/>
      </c>
      <c r="G90" s="50" t="str">
        <f>Portfolio!H89</f>
        <v/>
      </c>
      <c r="H90" s="96" t="str">
        <f>Portfolio!I89</f>
        <v/>
      </c>
      <c r="I90" s="96" t="str">
        <f>Portfolio!J89</f>
        <v/>
      </c>
      <c r="J90" s="96" t="str">
        <f>Portfolio!K89</f>
        <v/>
      </c>
      <c r="K90" s="50" t="str">
        <f>Portfolio!O89</f>
        <v/>
      </c>
      <c r="L90" s="96" t="str">
        <f>Portfolio!P89</f>
        <v/>
      </c>
      <c r="M90" s="96" t="str">
        <f>Portfolio!Q89</f>
        <v/>
      </c>
      <c r="N90" s="178" t="str">
        <f>Portfolio!R89</f>
        <v/>
      </c>
      <c r="O90" s="50" t="str">
        <f>Portfolio!S89</f>
        <v/>
      </c>
      <c r="Q90" s="50" t="str">
        <f>Portfolio!U89</f>
        <v/>
      </c>
      <c r="S90" s="50" t="str">
        <f>Portfolio!W89</f>
        <v/>
      </c>
      <c r="T90" s="50" t="str">
        <f>Portfolio!X89</f>
        <v/>
      </c>
      <c r="U90" s="50">
        <f>Portfolio!Y89</f>
        <v>0</v>
      </c>
      <c r="V90" s="50" t="str">
        <f>Portfolio!Z89</f>
        <v/>
      </c>
      <c r="W90" s="14" t="str">
        <f>Portfolio!AA89</f>
        <v/>
      </c>
      <c r="X90" s="50" t="str">
        <f>Portfolio!AB89</f>
        <v/>
      </c>
      <c r="Y90" s="179" t="str">
        <f>Portfolio!AC89</f>
        <v/>
      </c>
      <c r="Z90" s="50" t="str">
        <f>Portfolio!AD89</f>
        <v/>
      </c>
      <c r="AA90" s="180" t="str">
        <f>Portfolio!AE89</f>
        <v/>
      </c>
    </row>
    <row r="91">
      <c r="A91" s="14" t="str">
        <f>Portfolio!A90</f>
        <v/>
      </c>
      <c r="B91" s="14" t="str">
        <f>Portfolio!B90</f>
        <v/>
      </c>
      <c r="C91" s="158" t="str">
        <f>Portfolio!C90</f>
        <v/>
      </c>
      <c r="D91" s="96" t="str">
        <f>Portfolio!D90</f>
        <v/>
      </c>
      <c r="E91" s="96" t="str">
        <f>Portfolio!E90</f>
        <v/>
      </c>
      <c r="F91" s="96" t="str">
        <f>Portfolio!G90</f>
        <v/>
      </c>
      <c r="G91" s="50" t="str">
        <f>Portfolio!H90</f>
        <v/>
      </c>
      <c r="H91" s="96" t="str">
        <f>Portfolio!I90</f>
        <v/>
      </c>
      <c r="I91" s="96" t="str">
        <f>Portfolio!J90</f>
        <v/>
      </c>
      <c r="J91" s="96" t="str">
        <f>Portfolio!K90</f>
        <v/>
      </c>
      <c r="K91" s="50" t="str">
        <f>Portfolio!O90</f>
        <v/>
      </c>
      <c r="L91" s="96" t="str">
        <f>Portfolio!P90</f>
        <v/>
      </c>
      <c r="M91" s="96" t="str">
        <f>Portfolio!Q90</f>
        <v/>
      </c>
      <c r="N91" s="178" t="str">
        <f>Portfolio!R90</f>
        <v/>
      </c>
      <c r="O91" s="50" t="str">
        <f>Portfolio!S90</f>
        <v/>
      </c>
      <c r="Q91" s="50" t="str">
        <f>Portfolio!U90</f>
        <v/>
      </c>
      <c r="S91" s="50" t="str">
        <f>Portfolio!W90</f>
        <v/>
      </c>
      <c r="T91" s="50" t="str">
        <f>Portfolio!X90</f>
        <v/>
      </c>
      <c r="U91" s="50">
        <f>Portfolio!Y90</f>
        <v>0</v>
      </c>
      <c r="V91" s="50" t="str">
        <f>Portfolio!Z90</f>
        <v/>
      </c>
      <c r="W91" s="14" t="str">
        <f>Portfolio!AA90</f>
        <v/>
      </c>
      <c r="X91" s="50" t="str">
        <f>Portfolio!AB90</f>
        <v/>
      </c>
      <c r="Y91" s="179" t="str">
        <f>Portfolio!AC90</f>
        <v/>
      </c>
      <c r="Z91" s="50" t="str">
        <f>Portfolio!AD90</f>
        <v/>
      </c>
      <c r="AA91" s="180" t="str">
        <f>Portfolio!AE90</f>
        <v/>
      </c>
    </row>
    <row r="92">
      <c r="A92" s="14" t="str">
        <f>Portfolio!A91</f>
        <v/>
      </c>
      <c r="B92" s="14" t="str">
        <f>Portfolio!B91</f>
        <v/>
      </c>
      <c r="C92" s="158" t="str">
        <f>Portfolio!C91</f>
        <v/>
      </c>
      <c r="D92" s="96" t="str">
        <f>Portfolio!D91</f>
        <v/>
      </c>
      <c r="E92" s="96" t="str">
        <f>Portfolio!E91</f>
        <v/>
      </c>
      <c r="F92" s="96" t="str">
        <f>Portfolio!G91</f>
        <v/>
      </c>
      <c r="G92" s="50" t="str">
        <f>Portfolio!H91</f>
        <v/>
      </c>
      <c r="H92" s="96" t="str">
        <f>Portfolio!I91</f>
        <v/>
      </c>
      <c r="I92" s="96" t="str">
        <f>Portfolio!J91</f>
        <v/>
      </c>
      <c r="J92" s="96" t="str">
        <f>Portfolio!K91</f>
        <v/>
      </c>
      <c r="K92" s="50" t="str">
        <f>Portfolio!O91</f>
        <v/>
      </c>
      <c r="L92" s="96" t="str">
        <f>Portfolio!P91</f>
        <v/>
      </c>
      <c r="M92" s="96" t="str">
        <f>Portfolio!Q91</f>
        <v/>
      </c>
      <c r="N92" s="178" t="str">
        <f>Portfolio!R91</f>
        <v/>
      </c>
      <c r="O92" s="50" t="str">
        <f>Portfolio!S91</f>
        <v/>
      </c>
      <c r="Q92" s="50" t="str">
        <f>Portfolio!U91</f>
        <v/>
      </c>
      <c r="S92" s="50" t="str">
        <f>Portfolio!W91</f>
        <v/>
      </c>
      <c r="T92" s="50" t="str">
        <f>Portfolio!X91</f>
        <v/>
      </c>
      <c r="U92" s="50">
        <f>Portfolio!Y91</f>
        <v>0</v>
      </c>
      <c r="V92" s="50" t="str">
        <f>Portfolio!Z91</f>
        <v/>
      </c>
      <c r="W92" s="14" t="str">
        <f>Portfolio!AA91</f>
        <v/>
      </c>
      <c r="X92" s="50" t="str">
        <f>Portfolio!AB91</f>
        <v/>
      </c>
      <c r="Y92" s="179" t="str">
        <f>Portfolio!AC91</f>
        <v/>
      </c>
      <c r="Z92" s="50" t="str">
        <f>Portfolio!AD91</f>
        <v/>
      </c>
      <c r="AA92" s="180" t="str">
        <f>Portfolio!AE91</f>
        <v/>
      </c>
    </row>
    <row r="93">
      <c r="A93" s="14" t="str">
        <f>Portfolio!A92</f>
        <v/>
      </c>
      <c r="B93" s="14" t="str">
        <f>Portfolio!B92</f>
        <v/>
      </c>
      <c r="C93" s="158" t="str">
        <f>Portfolio!C92</f>
        <v/>
      </c>
      <c r="D93" s="96" t="str">
        <f>Portfolio!D92</f>
        <v/>
      </c>
      <c r="E93" s="96" t="str">
        <f>Portfolio!E92</f>
        <v/>
      </c>
      <c r="F93" s="96" t="str">
        <f>Portfolio!G92</f>
        <v/>
      </c>
      <c r="G93" s="50" t="str">
        <f>Portfolio!H92</f>
        <v/>
      </c>
      <c r="H93" s="96" t="str">
        <f>Portfolio!I92</f>
        <v/>
      </c>
      <c r="I93" s="96" t="str">
        <f>Portfolio!J92</f>
        <v/>
      </c>
      <c r="J93" s="96" t="str">
        <f>Portfolio!K92</f>
        <v/>
      </c>
      <c r="K93" s="50" t="str">
        <f>Portfolio!O92</f>
        <v/>
      </c>
      <c r="L93" s="96" t="str">
        <f>Portfolio!P92</f>
        <v/>
      </c>
      <c r="M93" s="96" t="str">
        <f>Portfolio!Q92</f>
        <v/>
      </c>
      <c r="N93" s="178" t="str">
        <f>Portfolio!R92</f>
        <v/>
      </c>
      <c r="O93" s="50" t="str">
        <f>Portfolio!S92</f>
        <v/>
      </c>
      <c r="Q93" s="50" t="str">
        <f>Portfolio!U92</f>
        <v/>
      </c>
      <c r="S93" s="50" t="str">
        <f>Portfolio!W92</f>
        <v/>
      </c>
      <c r="T93" s="50" t="str">
        <f>Portfolio!X92</f>
        <v/>
      </c>
      <c r="U93" s="50">
        <f>Portfolio!Y92</f>
        <v>0</v>
      </c>
      <c r="V93" s="50" t="str">
        <f>Portfolio!Z92</f>
        <v/>
      </c>
      <c r="W93" s="14" t="str">
        <f>Portfolio!AA92</f>
        <v/>
      </c>
      <c r="X93" s="50" t="str">
        <f>Portfolio!AB92</f>
        <v/>
      </c>
      <c r="Y93" s="179" t="str">
        <f>Portfolio!AC92</f>
        <v/>
      </c>
      <c r="Z93" s="50" t="str">
        <f>Portfolio!AD92</f>
        <v/>
      </c>
      <c r="AA93" s="180" t="str">
        <f>Portfolio!AE92</f>
        <v/>
      </c>
    </row>
    <row r="94">
      <c r="A94" s="14" t="str">
        <f>Portfolio!A93</f>
        <v/>
      </c>
      <c r="B94" s="14" t="str">
        <f>Portfolio!B93</f>
        <v/>
      </c>
      <c r="C94" s="158" t="str">
        <f>Portfolio!C93</f>
        <v/>
      </c>
      <c r="D94" s="96" t="str">
        <f>Portfolio!D93</f>
        <v/>
      </c>
      <c r="E94" s="96" t="str">
        <f>Portfolio!E93</f>
        <v/>
      </c>
      <c r="F94" s="96" t="str">
        <f>Portfolio!G93</f>
        <v/>
      </c>
      <c r="G94" s="50" t="str">
        <f>Portfolio!H93</f>
        <v/>
      </c>
      <c r="H94" s="96" t="str">
        <f>Portfolio!I93</f>
        <v/>
      </c>
      <c r="I94" s="96" t="str">
        <f>Portfolio!J93</f>
        <v/>
      </c>
      <c r="J94" s="96" t="str">
        <f>Portfolio!K93</f>
        <v/>
      </c>
      <c r="K94" s="50" t="str">
        <f>Portfolio!O93</f>
        <v/>
      </c>
      <c r="L94" s="96" t="str">
        <f>Portfolio!P93</f>
        <v/>
      </c>
      <c r="M94" s="96" t="str">
        <f>Portfolio!Q93</f>
        <v/>
      </c>
      <c r="N94" s="178" t="str">
        <f>Portfolio!R93</f>
        <v/>
      </c>
      <c r="O94" s="50" t="str">
        <f>Portfolio!S93</f>
        <v/>
      </c>
      <c r="Q94" s="50" t="str">
        <f>Portfolio!U93</f>
        <v/>
      </c>
      <c r="S94" s="50" t="str">
        <f>Portfolio!W93</f>
        <v/>
      </c>
      <c r="T94" s="50" t="str">
        <f>Portfolio!X93</f>
        <v/>
      </c>
      <c r="U94" s="50">
        <f>Portfolio!Y93</f>
        <v>0</v>
      </c>
      <c r="V94" s="50" t="str">
        <f>Portfolio!Z93</f>
        <v/>
      </c>
      <c r="W94" s="14" t="str">
        <f>Portfolio!AA93</f>
        <v/>
      </c>
      <c r="X94" s="50" t="str">
        <f>Portfolio!AB93</f>
        <v/>
      </c>
      <c r="Y94" s="179" t="str">
        <f>Portfolio!AC93</f>
        <v/>
      </c>
      <c r="Z94" s="50" t="str">
        <f>Portfolio!AD93</f>
        <v/>
      </c>
      <c r="AA94" s="180" t="str">
        <f>Portfolio!AE93</f>
        <v/>
      </c>
    </row>
    <row r="95">
      <c r="A95" s="14" t="str">
        <f>Portfolio!A94</f>
        <v/>
      </c>
      <c r="B95" s="14" t="str">
        <f>Portfolio!B94</f>
        <v/>
      </c>
      <c r="C95" s="158" t="str">
        <f>Portfolio!C94</f>
        <v/>
      </c>
      <c r="D95" s="96" t="str">
        <f>Portfolio!D94</f>
        <v/>
      </c>
      <c r="E95" s="96" t="str">
        <f>Portfolio!E94</f>
        <v/>
      </c>
      <c r="F95" s="96" t="str">
        <f>Portfolio!G94</f>
        <v/>
      </c>
      <c r="G95" s="50" t="str">
        <f>Portfolio!H94</f>
        <v/>
      </c>
      <c r="H95" s="96" t="str">
        <f>Portfolio!I94</f>
        <v/>
      </c>
      <c r="I95" s="96" t="str">
        <f>Portfolio!J94</f>
        <v/>
      </c>
      <c r="J95" s="96" t="str">
        <f>Portfolio!K94</f>
        <v/>
      </c>
      <c r="K95" s="50" t="str">
        <f>Portfolio!O94</f>
        <v/>
      </c>
      <c r="L95" s="96" t="str">
        <f>Portfolio!P94</f>
        <v/>
      </c>
      <c r="M95" s="96" t="str">
        <f>Portfolio!Q94</f>
        <v/>
      </c>
      <c r="N95" s="178" t="str">
        <f>Portfolio!R94</f>
        <v/>
      </c>
      <c r="O95" s="50" t="str">
        <f>Portfolio!S94</f>
        <v/>
      </c>
      <c r="Q95" s="50" t="str">
        <f>Portfolio!U94</f>
        <v/>
      </c>
      <c r="S95" s="50" t="str">
        <f>Portfolio!W94</f>
        <v/>
      </c>
      <c r="T95" s="50" t="str">
        <f>Portfolio!X94</f>
        <v/>
      </c>
      <c r="U95" s="50">
        <f>Portfolio!Y94</f>
        <v>0</v>
      </c>
      <c r="V95" s="50" t="str">
        <f>Portfolio!Z94</f>
        <v/>
      </c>
      <c r="W95" s="14" t="str">
        <f>Portfolio!AA94</f>
        <v/>
      </c>
      <c r="X95" s="50" t="str">
        <f>Portfolio!AB94</f>
        <v/>
      </c>
      <c r="Y95" s="179" t="str">
        <f>Portfolio!AC94</f>
        <v/>
      </c>
      <c r="Z95" s="50" t="str">
        <f>Portfolio!AD94</f>
        <v/>
      </c>
      <c r="AA95" s="180" t="str">
        <f>Portfolio!AE94</f>
        <v/>
      </c>
    </row>
    <row r="96">
      <c r="A96" s="14" t="str">
        <f>Portfolio!A95</f>
        <v/>
      </c>
      <c r="B96" s="14" t="str">
        <f>Portfolio!B95</f>
        <v/>
      </c>
      <c r="C96" s="158" t="str">
        <f>Portfolio!C95</f>
        <v/>
      </c>
      <c r="D96" s="96" t="str">
        <f>Portfolio!D95</f>
        <v/>
      </c>
      <c r="E96" s="96" t="str">
        <f>Portfolio!E95</f>
        <v/>
      </c>
      <c r="F96" s="96" t="str">
        <f>Portfolio!G95</f>
        <v/>
      </c>
      <c r="G96" s="50" t="str">
        <f>Portfolio!H95</f>
        <v/>
      </c>
      <c r="H96" s="96" t="str">
        <f>Portfolio!I95</f>
        <v/>
      </c>
      <c r="I96" s="96" t="str">
        <f>Portfolio!J95</f>
        <v/>
      </c>
      <c r="J96" s="96" t="str">
        <f>Portfolio!K95</f>
        <v/>
      </c>
      <c r="K96" s="50" t="str">
        <f>Portfolio!O95</f>
        <v/>
      </c>
      <c r="L96" s="96" t="str">
        <f>Portfolio!P95</f>
        <v/>
      </c>
      <c r="M96" s="96" t="str">
        <f>Portfolio!Q95</f>
        <v/>
      </c>
      <c r="N96" s="178" t="str">
        <f>Portfolio!R95</f>
        <v/>
      </c>
      <c r="O96" s="50" t="str">
        <f>Portfolio!S95</f>
        <v/>
      </c>
      <c r="Q96" s="50" t="str">
        <f>Portfolio!U95</f>
        <v/>
      </c>
      <c r="S96" s="50" t="str">
        <f>Portfolio!W95</f>
        <v/>
      </c>
      <c r="T96" s="50" t="str">
        <f>Portfolio!X95</f>
        <v/>
      </c>
      <c r="U96" s="50">
        <f>Portfolio!Y95</f>
        <v>0</v>
      </c>
      <c r="V96" s="50" t="str">
        <f>Portfolio!Z95</f>
        <v/>
      </c>
      <c r="W96" s="14" t="str">
        <f>Portfolio!AA95</f>
        <v/>
      </c>
      <c r="X96" s="50" t="str">
        <f>Portfolio!AB95</f>
        <v/>
      </c>
      <c r="Y96" s="179" t="str">
        <f>Portfolio!AC95</f>
        <v/>
      </c>
      <c r="Z96" s="50" t="str">
        <f>Portfolio!AD95</f>
        <v/>
      </c>
      <c r="AA96" s="180" t="str">
        <f>Portfolio!AE95</f>
        <v/>
      </c>
    </row>
    <row r="97">
      <c r="A97" s="14" t="str">
        <f>Portfolio!A96</f>
        <v/>
      </c>
      <c r="B97" s="14" t="str">
        <f>Portfolio!B96</f>
        <v/>
      </c>
      <c r="C97" s="158" t="str">
        <f>Portfolio!C96</f>
        <v/>
      </c>
      <c r="D97" s="96" t="str">
        <f>Portfolio!D96</f>
        <v/>
      </c>
      <c r="E97" s="96" t="str">
        <f>Portfolio!E96</f>
        <v/>
      </c>
      <c r="F97" s="96" t="str">
        <f>Portfolio!G96</f>
        <v/>
      </c>
      <c r="G97" s="50" t="str">
        <f>Portfolio!H96</f>
        <v/>
      </c>
      <c r="H97" s="96" t="str">
        <f>Portfolio!I96</f>
        <v/>
      </c>
      <c r="I97" s="96" t="str">
        <f>Portfolio!J96</f>
        <v/>
      </c>
      <c r="J97" s="96" t="str">
        <f>Portfolio!K96</f>
        <v/>
      </c>
      <c r="K97" s="50" t="str">
        <f>Portfolio!O96</f>
        <v/>
      </c>
      <c r="L97" s="96" t="str">
        <f>Portfolio!P96</f>
        <v/>
      </c>
      <c r="M97" s="96" t="str">
        <f>Portfolio!Q96</f>
        <v/>
      </c>
      <c r="N97" s="178" t="str">
        <f>Portfolio!R96</f>
        <v/>
      </c>
      <c r="O97" s="50" t="str">
        <f>Portfolio!S96</f>
        <v/>
      </c>
      <c r="Q97" s="50" t="str">
        <f>Portfolio!U96</f>
        <v/>
      </c>
      <c r="S97" s="50" t="str">
        <f>Portfolio!W96</f>
        <v/>
      </c>
      <c r="T97" s="50" t="str">
        <f>Portfolio!X96</f>
        <v/>
      </c>
      <c r="U97" s="50">
        <f>Portfolio!Y96</f>
        <v>0</v>
      </c>
      <c r="V97" s="50" t="str">
        <f>Portfolio!Z96</f>
        <v/>
      </c>
      <c r="W97" s="14" t="str">
        <f>Portfolio!AA96</f>
        <v/>
      </c>
      <c r="X97" s="50" t="str">
        <f>Portfolio!AB96</f>
        <v/>
      </c>
      <c r="Y97" s="179" t="str">
        <f>Portfolio!AC96</f>
        <v/>
      </c>
      <c r="Z97" s="50" t="str">
        <f>Portfolio!AD96</f>
        <v/>
      </c>
      <c r="AA97" s="180" t="str">
        <f>Portfolio!AE96</f>
        <v/>
      </c>
    </row>
    <row r="98">
      <c r="A98" s="14" t="str">
        <f>Portfolio!A97</f>
        <v/>
      </c>
      <c r="B98" s="14" t="str">
        <f>Portfolio!B97</f>
        <v/>
      </c>
      <c r="C98" s="158" t="str">
        <f>Portfolio!C97</f>
        <v/>
      </c>
      <c r="D98" s="96" t="str">
        <f>Portfolio!D97</f>
        <v/>
      </c>
      <c r="E98" s="96" t="str">
        <f>Portfolio!E97</f>
        <v/>
      </c>
      <c r="F98" s="96" t="str">
        <f>Portfolio!G97</f>
        <v/>
      </c>
      <c r="G98" s="50" t="str">
        <f>Portfolio!H97</f>
        <v/>
      </c>
      <c r="H98" s="96" t="str">
        <f>Portfolio!I97</f>
        <v/>
      </c>
      <c r="I98" s="96" t="str">
        <f>Portfolio!J97</f>
        <v/>
      </c>
      <c r="J98" s="96" t="str">
        <f>Portfolio!K97</f>
        <v/>
      </c>
      <c r="K98" s="50" t="str">
        <f>Portfolio!O97</f>
        <v/>
      </c>
      <c r="L98" s="96" t="str">
        <f>Portfolio!P97</f>
        <v/>
      </c>
      <c r="M98" s="96" t="str">
        <f>Portfolio!Q97</f>
        <v/>
      </c>
      <c r="N98" s="178" t="str">
        <f>Portfolio!R97</f>
        <v/>
      </c>
      <c r="O98" s="50" t="str">
        <f>Portfolio!S97</f>
        <v/>
      </c>
      <c r="Q98" s="50" t="str">
        <f>Portfolio!U97</f>
        <v/>
      </c>
      <c r="S98" s="50" t="str">
        <f>Portfolio!W97</f>
        <v/>
      </c>
      <c r="T98" s="50" t="str">
        <f>Portfolio!X97</f>
        <v/>
      </c>
      <c r="U98" s="50">
        <f>Portfolio!Y97</f>
        <v>0</v>
      </c>
      <c r="V98" s="50" t="str">
        <f>Portfolio!Z97</f>
        <v/>
      </c>
      <c r="W98" s="14" t="str">
        <f>Portfolio!AA97</f>
        <v/>
      </c>
      <c r="X98" s="50" t="str">
        <f>Portfolio!AB97</f>
        <v/>
      </c>
      <c r="Y98" s="179" t="str">
        <f>Portfolio!AC97</f>
        <v/>
      </c>
      <c r="Z98" s="50" t="str">
        <f>Portfolio!AD97</f>
        <v/>
      </c>
      <c r="AA98" s="180" t="str">
        <f>Portfolio!AE97</f>
        <v/>
      </c>
    </row>
    <row r="99">
      <c r="A99" s="14" t="str">
        <f>Portfolio!A98</f>
        <v/>
      </c>
      <c r="B99" s="14" t="str">
        <f>Portfolio!B98</f>
        <v/>
      </c>
      <c r="C99" s="158" t="str">
        <f>Portfolio!C98</f>
        <v/>
      </c>
      <c r="D99" s="96" t="str">
        <f>Portfolio!D98</f>
        <v/>
      </c>
      <c r="E99" s="96" t="str">
        <f>Portfolio!E98</f>
        <v/>
      </c>
      <c r="F99" s="96" t="str">
        <f>Portfolio!G98</f>
        <v/>
      </c>
      <c r="G99" s="50" t="str">
        <f>Portfolio!H98</f>
        <v/>
      </c>
      <c r="H99" s="96" t="str">
        <f>Portfolio!I98</f>
        <v/>
      </c>
      <c r="I99" s="96" t="str">
        <f>Portfolio!J98</f>
        <v/>
      </c>
      <c r="J99" s="96" t="str">
        <f>Portfolio!K98</f>
        <v/>
      </c>
      <c r="K99" s="50" t="str">
        <f>Portfolio!O98</f>
        <v/>
      </c>
      <c r="L99" s="96" t="str">
        <f>Portfolio!P98</f>
        <v/>
      </c>
      <c r="M99" s="96" t="str">
        <f>Portfolio!Q98</f>
        <v/>
      </c>
      <c r="N99" s="178" t="str">
        <f>Portfolio!R98</f>
        <v/>
      </c>
      <c r="O99" s="50" t="str">
        <f>Portfolio!S98</f>
        <v/>
      </c>
      <c r="Q99" s="50" t="str">
        <f>Portfolio!U98</f>
        <v/>
      </c>
      <c r="S99" s="50" t="str">
        <f>Portfolio!W98</f>
        <v/>
      </c>
      <c r="T99" s="50" t="str">
        <f>Portfolio!X98</f>
        <v/>
      </c>
      <c r="U99" s="50">
        <f>Portfolio!Y98</f>
        <v>0</v>
      </c>
      <c r="V99" s="50" t="str">
        <f>Portfolio!Z98</f>
        <v/>
      </c>
      <c r="W99" s="14" t="str">
        <f>Portfolio!AA98</f>
        <v/>
      </c>
      <c r="X99" s="50" t="str">
        <f>Portfolio!AB98</f>
        <v/>
      </c>
      <c r="Y99" s="179" t="str">
        <f>Portfolio!AC98</f>
        <v/>
      </c>
      <c r="Z99" s="50" t="str">
        <f>Portfolio!AD98</f>
        <v/>
      </c>
      <c r="AA99" s="180" t="str">
        <f>Portfolio!AE98</f>
        <v/>
      </c>
    </row>
    <row r="100">
      <c r="A100" s="14" t="str">
        <f>Portfolio!A99</f>
        <v/>
      </c>
      <c r="B100" s="14" t="str">
        <f>Portfolio!B99</f>
        <v/>
      </c>
      <c r="C100" s="158" t="str">
        <f>Portfolio!C99</f>
        <v/>
      </c>
      <c r="D100" s="96" t="str">
        <f>Portfolio!D99</f>
        <v/>
      </c>
      <c r="E100" s="96" t="str">
        <f>Portfolio!E99</f>
        <v/>
      </c>
      <c r="F100" s="96" t="str">
        <f>Portfolio!G99</f>
        <v/>
      </c>
      <c r="G100" s="50" t="str">
        <f>Portfolio!H99</f>
        <v/>
      </c>
      <c r="H100" s="96" t="str">
        <f>Portfolio!I99</f>
        <v/>
      </c>
      <c r="I100" s="96" t="str">
        <f>Portfolio!J99</f>
        <v/>
      </c>
      <c r="J100" s="96" t="str">
        <f>Portfolio!K99</f>
        <v/>
      </c>
      <c r="K100" s="50" t="str">
        <f>Portfolio!O99</f>
        <v/>
      </c>
      <c r="L100" s="96" t="str">
        <f>Portfolio!P99</f>
        <v/>
      </c>
      <c r="M100" s="96" t="str">
        <f>Portfolio!Q99</f>
        <v/>
      </c>
      <c r="N100" s="178" t="str">
        <f>Portfolio!R99</f>
        <v/>
      </c>
      <c r="O100" s="50" t="str">
        <f>Portfolio!S99</f>
        <v/>
      </c>
      <c r="Q100" s="50" t="str">
        <f>Portfolio!U99</f>
        <v/>
      </c>
      <c r="S100" s="50" t="str">
        <f>Portfolio!W99</f>
        <v/>
      </c>
      <c r="T100" s="50" t="str">
        <f>Portfolio!X99</f>
        <v/>
      </c>
      <c r="U100" s="50">
        <f>Portfolio!Y99</f>
        <v>0</v>
      </c>
      <c r="V100" s="50" t="str">
        <f>Portfolio!Z99</f>
        <v/>
      </c>
      <c r="W100" s="14" t="str">
        <f>Portfolio!AA99</f>
        <v/>
      </c>
      <c r="X100" s="50" t="str">
        <f>Portfolio!AB99</f>
        <v/>
      </c>
      <c r="Y100" s="179" t="str">
        <f>Portfolio!AC99</f>
        <v/>
      </c>
      <c r="Z100" s="50" t="str">
        <f>Portfolio!AD99</f>
        <v/>
      </c>
      <c r="AA100" s="180" t="str">
        <f>Portfolio!AE99</f>
        <v/>
      </c>
    </row>
    <row r="101">
      <c r="A101" s="14" t="str">
        <f>Portfolio!A100</f>
        <v/>
      </c>
      <c r="B101" s="14" t="str">
        <f>Portfolio!B100</f>
        <v/>
      </c>
      <c r="C101" s="158" t="str">
        <f>Portfolio!C100</f>
        <v/>
      </c>
      <c r="D101" s="96" t="str">
        <f>Portfolio!D100</f>
        <v/>
      </c>
      <c r="E101" s="96" t="str">
        <f>Portfolio!E100</f>
        <v/>
      </c>
      <c r="F101" s="96" t="str">
        <f>Portfolio!G100</f>
        <v/>
      </c>
      <c r="G101" s="50" t="str">
        <f>Portfolio!H100</f>
        <v/>
      </c>
      <c r="H101" s="96" t="str">
        <f>Portfolio!I100</f>
        <v/>
      </c>
      <c r="I101" s="96" t="str">
        <f>Portfolio!J100</f>
        <v/>
      </c>
      <c r="J101" s="96" t="str">
        <f>Portfolio!K100</f>
        <v/>
      </c>
      <c r="K101" s="50" t="str">
        <f>Portfolio!O100</f>
        <v/>
      </c>
      <c r="L101" s="96" t="str">
        <f>Portfolio!P100</f>
        <v/>
      </c>
      <c r="M101" s="96" t="str">
        <f>Portfolio!Q100</f>
        <v/>
      </c>
      <c r="N101" s="178" t="str">
        <f>Portfolio!R100</f>
        <v/>
      </c>
      <c r="O101" s="50" t="str">
        <f>Portfolio!S100</f>
        <v/>
      </c>
      <c r="Q101" s="50" t="str">
        <f>Portfolio!U100</f>
        <v/>
      </c>
      <c r="S101" s="50" t="str">
        <f>Portfolio!W100</f>
        <v/>
      </c>
      <c r="T101" s="50" t="str">
        <f>Portfolio!X100</f>
        <v/>
      </c>
      <c r="U101" s="50" t="str">
        <f>Portfolio!Y100</f>
        <v/>
      </c>
      <c r="V101" s="50" t="str">
        <f>Portfolio!Z100</f>
        <v/>
      </c>
      <c r="W101" s="14" t="str">
        <f>Portfolio!AA100</f>
        <v/>
      </c>
      <c r="X101" s="50" t="str">
        <f>Portfolio!AB100</f>
        <v/>
      </c>
      <c r="Y101" s="179" t="str">
        <f>Portfolio!AC100</f>
        <v/>
      </c>
      <c r="Z101" s="50" t="str">
        <f>Portfolio!AD100</f>
        <v/>
      </c>
      <c r="AA101" s="180" t="str">
        <f>Portfolio!AE100</f>
        <v/>
      </c>
    </row>
    <row r="102">
      <c r="A102" s="14" t="str">
        <f>Portfolio!A101</f>
        <v/>
      </c>
      <c r="B102" s="14" t="str">
        <f>Portfolio!B101</f>
        <v/>
      </c>
      <c r="C102" s="158" t="str">
        <f>Portfolio!C101</f>
        <v/>
      </c>
      <c r="D102" s="96" t="str">
        <f>Portfolio!D101</f>
        <v/>
      </c>
      <c r="E102" s="96" t="str">
        <f>Portfolio!E101</f>
        <v/>
      </c>
      <c r="F102" s="96" t="str">
        <f>Portfolio!G101</f>
        <v/>
      </c>
      <c r="G102" s="50" t="str">
        <f>Portfolio!H101</f>
        <v/>
      </c>
      <c r="H102" s="96" t="str">
        <f>Portfolio!I101</f>
        <v/>
      </c>
      <c r="I102" s="96" t="str">
        <f>Portfolio!J101</f>
        <v/>
      </c>
      <c r="J102" s="96" t="str">
        <f>Portfolio!K101</f>
        <v/>
      </c>
      <c r="K102" s="50" t="str">
        <f>Portfolio!O101</f>
        <v/>
      </c>
      <c r="L102" s="96" t="str">
        <f>Portfolio!P101</f>
        <v/>
      </c>
      <c r="M102" s="96" t="str">
        <f>Portfolio!Q101</f>
        <v/>
      </c>
      <c r="N102" s="178" t="str">
        <f>Portfolio!R101</f>
        <v/>
      </c>
      <c r="O102" s="50" t="str">
        <f>Portfolio!S101</f>
        <v/>
      </c>
      <c r="Q102" s="50" t="str">
        <f>Portfolio!U101</f>
        <v/>
      </c>
      <c r="S102" s="50" t="str">
        <f>Portfolio!W101</f>
        <v/>
      </c>
      <c r="T102" s="50" t="str">
        <f>Portfolio!X101</f>
        <v/>
      </c>
      <c r="U102" s="50" t="str">
        <f>Portfolio!Y101</f>
        <v/>
      </c>
      <c r="V102" s="50" t="str">
        <f>Portfolio!Z101</f>
        <v/>
      </c>
      <c r="W102" s="14" t="str">
        <f>Portfolio!AA101</f>
        <v/>
      </c>
      <c r="X102" s="50" t="str">
        <f>Portfolio!AB101</f>
        <v/>
      </c>
      <c r="Y102" s="179" t="str">
        <f>Portfolio!AC101</f>
        <v/>
      </c>
      <c r="Z102" s="50" t="str">
        <f>Portfolio!AD101</f>
        <v/>
      </c>
      <c r="AA102" s="180" t="str">
        <f>Portfolio!AE101</f>
        <v/>
      </c>
    </row>
    <row r="103">
      <c r="A103" s="14" t="str">
        <f>Portfolio!A102</f>
        <v/>
      </c>
      <c r="B103" s="14" t="str">
        <f>Portfolio!B102</f>
        <v/>
      </c>
      <c r="C103" s="158" t="str">
        <f>Portfolio!C102</f>
        <v/>
      </c>
      <c r="D103" s="96" t="str">
        <f>Portfolio!D102</f>
        <v/>
      </c>
      <c r="E103" s="96" t="str">
        <f>Portfolio!E102</f>
        <v/>
      </c>
      <c r="F103" s="96" t="str">
        <f>Portfolio!G102</f>
        <v/>
      </c>
      <c r="G103" s="50" t="str">
        <f>Portfolio!H102</f>
        <v/>
      </c>
      <c r="H103" s="96" t="str">
        <f>Portfolio!I102</f>
        <v/>
      </c>
      <c r="I103" s="96" t="str">
        <f>Portfolio!J102</f>
        <v/>
      </c>
      <c r="J103" s="96" t="str">
        <f>Portfolio!K102</f>
        <v/>
      </c>
      <c r="K103" s="50" t="str">
        <f>Portfolio!O102</f>
        <v/>
      </c>
      <c r="L103" s="96" t="str">
        <f>Portfolio!P102</f>
        <v/>
      </c>
      <c r="M103" s="96" t="str">
        <f>Portfolio!Q102</f>
        <v/>
      </c>
      <c r="N103" s="178" t="str">
        <f>Portfolio!R102</f>
        <v/>
      </c>
      <c r="O103" s="50" t="str">
        <f>Portfolio!S102</f>
        <v/>
      </c>
      <c r="Q103" s="50" t="str">
        <f>Portfolio!U102</f>
        <v/>
      </c>
      <c r="S103" s="50" t="str">
        <f>Portfolio!W102</f>
        <v/>
      </c>
      <c r="T103" s="50" t="str">
        <f>Portfolio!X102</f>
        <v/>
      </c>
      <c r="U103" s="50" t="str">
        <f>Portfolio!Y102</f>
        <v/>
      </c>
      <c r="V103" s="50" t="str">
        <f>Portfolio!Z102</f>
        <v/>
      </c>
      <c r="W103" s="14" t="str">
        <f>Portfolio!AA102</f>
        <v/>
      </c>
      <c r="X103" s="50" t="str">
        <f>Portfolio!AB102</f>
        <v/>
      </c>
      <c r="Y103" s="179" t="str">
        <f>Portfolio!AC102</f>
        <v/>
      </c>
      <c r="Z103" s="50" t="str">
        <f>Portfolio!AD102</f>
        <v/>
      </c>
      <c r="AA103" s="180" t="str">
        <f>Portfolio!AE102</f>
        <v/>
      </c>
    </row>
    <row r="104">
      <c r="A104" s="14" t="str">
        <f>Portfolio!A103</f>
        <v/>
      </c>
      <c r="B104" s="14" t="str">
        <f>Portfolio!B103</f>
        <v/>
      </c>
      <c r="C104" s="158" t="str">
        <f>Portfolio!C103</f>
        <v/>
      </c>
      <c r="D104" s="96" t="str">
        <f>Portfolio!D103</f>
        <v/>
      </c>
      <c r="E104" s="96" t="str">
        <f>Portfolio!E103</f>
        <v/>
      </c>
      <c r="F104" s="96" t="str">
        <f>Portfolio!G103</f>
        <v/>
      </c>
      <c r="G104" s="50" t="str">
        <f>Portfolio!H103</f>
        <v/>
      </c>
      <c r="H104" s="96" t="str">
        <f>Portfolio!I103</f>
        <v/>
      </c>
      <c r="I104" s="96" t="str">
        <f>Portfolio!J103</f>
        <v/>
      </c>
      <c r="J104" s="96" t="str">
        <f>Portfolio!K103</f>
        <v/>
      </c>
      <c r="K104" s="50" t="str">
        <f>Portfolio!O103</f>
        <v/>
      </c>
      <c r="L104" s="96" t="str">
        <f>Portfolio!P103</f>
        <v/>
      </c>
      <c r="M104" s="96" t="str">
        <f>Portfolio!Q103</f>
        <v/>
      </c>
      <c r="N104" s="178" t="str">
        <f>Portfolio!R103</f>
        <v/>
      </c>
      <c r="O104" s="50" t="str">
        <f>Portfolio!S103</f>
        <v/>
      </c>
      <c r="Q104" s="50" t="str">
        <f>Portfolio!U103</f>
        <v/>
      </c>
      <c r="S104" s="50" t="str">
        <f>Portfolio!W103</f>
        <v/>
      </c>
      <c r="T104" s="50" t="str">
        <f>Portfolio!X103</f>
        <v/>
      </c>
      <c r="U104" s="50" t="str">
        <f>Portfolio!Y103</f>
        <v/>
      </c>
      <c r="V104" s="50" t="str">
        <f>Portfolio!Z103</f>
        <v/>
      </c>
      <c r="W104" s="14" t="str">
        <f>Portfolio!AA103</f>
        <v/>
      </c>
      <c r="X104" s="50" t="str">
        <f>Portfolio!AB103</f>
        <v/>
      </c>
      <c r="Y104" s="179" t="str">
        <f>Portfolio!AC103</f>
        <v/>
      </c>
      <c r="Z104" s="50" t="str">
        <f>Portfolio!AD103</f>
        <v/>
      </c>
      <c r="AA104" s="180" t="str">
        <f>Portfolio!AE103</f>
        <v/>
      </c>
    </row>
    <row r="105">
      <c r="A105" s="14" t="str">
        <f>Portfolio!A104</f>
        <v/>
      </c>
      <c r="B105" s="14" t="str">
        <f>Portfolio!B104</f>
        <v/>
      </c>
      <c r="C105" s="158" t="str">
        <f>Portfolio!C104</f>
        <v/>
      </c>
      <c r="D105" s="96" t="str">
        <f>Portfolio!D104</f>
        <v/>
      </c>
      <c r="E105" s="96" t="str">
        <f>Portfolio!E104</f>
        <v/>
      </c>
      <c r="F105" s="96" t="str">
        <f>Portfolio!G104</f>
        <v/>
      </c>
      <c r="G105" s="50" t="str">
        <f>Portfolio!H104</f>
        <v/>
      </c>
      <c r="H105" s="96" t="str">
        <f>Portfolio!I104</f>
        <v/>
      </c>
      <c r="I105" s="96" t="str">
        <f>Portfolio!J104</f>
        <v/>
      </c>
      <c r="J105" s="96" t="str">
        <f>Portfolio!K104</f>
        <v/>
      </c>
      <c r="K105" s="50" t="str">
        <f>Portfolio!O104</f>
        <v/>
      </c>
      <c r="L105" s="96" t="str">
        <f>Portfolio!P104</f>
        <v/>
      </c>
      <c r="M105" s="96" t="str">
        <f>Portfolio!Q104</f>
        <v/>
      </c>
      <c r="N105" s="178" t="str">
        <f>Portfolio!R104</f>
        <v/>
      </c>
      <c r="O105" s="50" t="str">
        <f>Portfolio!S104</f>
        <v/>
      </c>
      <c r="Q105" s="50" t="str">
        <f>Portfolio!U104</f>
        <v/>
      </c>
      <c r="S105" s="50" t="str">
        <f>Portfolio!W104</f>
        <v/>
      </c>
      <c r="T105" s="50" t="str">
        <f>Portfolio!X104</f>
        <v/>
      </c>
      <c r="U105" s="50" t="str">
        <f>Portfolio!Y104</f>
        <v/>
      </c>
      <c r="V105" s="50" t="str">
        <f>Portfolio!Z104</f>
        <v/>
      </c>
      <c r="W105" s="14" t="str">
        <f>Portfolio!AA104</f>
        <v/>
      </c>
      <c r="X105" s="50" t="str">
        <f>Portfolio!AB104</f>
        <v/>
      </c>
      <c r="Y105" s="179" t="str">
        <f>Portfolio!AC104</f>
        <v/>
      </c>
      <c r="Z105" s="50" t="str">
        <f>Portfolio!AD104</f>
        <v/>
      </c>
      <c r="AA105" s="180" t="str">
        <f>Portfolio!AE104</f>
        <v/>
      </c>
    </row>
    <row r="106">
      <c r="A106" s="14" t="str">
        <f>Portfolio!A105</f>
        <v/>
      </c>
      <c r="B106" s="14" t="str">
        <f>Portfolio!B105</f>
        <v/>
      </c>
      <c r="C106" s="158" t="str">
        <f>Portfolio!C105</f>
        <v/>
      </c>
      <c r="D106" s="96" t="str">
        <f>Portfolio!D105</f>
        <v/>
      </c>
      <c r="E106" s="96" t="str">
        <f>Portfolio!E105</f>
        <v/>
      </c>
      <c r="F106" s="96" t="str">
        <f>Portfolio!G105</f>
        <v/>
      </c>
      <c r="G106" s="50" t="str">
        <f>Portfolio!H105</f>
        <v/>
      </c>
      <c r="H106" s="96" t="str">
        <f>Portfolio!I105</f>
        <v/>
      </c>
      <c r="I106" s="96" t="str">
        <f>Portfolio!J105</f>
        <v/>
      </c>
      <c r="J106" s="96" t="str">
        <f>Portfolio!K105</f>
        <v/>
      </c>
      <c r="K106" s="50" t="str">
        <f>Portfolio!O105</f>
        <v/>
      </c>
      <c r="L106" s="96" t="str">
        <f>Portfolio!P105</f>
        <v/>
      </c>
      <c r="M106" s="96" t="str">
        <f>Portfolio!Q105</f>
        <v/>
      </c>
      <c r="N106" s="178" t="str">
        <f>Portfolio!R105</f>
        <v/>
      </c>
      <c r="O106" s="50" t="str">
        <f>Portfolio!S105</f>
        <v/>
      </c>
      <c r="Q106" s="50" t="str">
        <f>Portfolio!U105</f>
        <v/>
      </c>
      <c r="S106" s="50" t="str">
        <f>Portfolio!W105</f>
        <v/>
      </c>
      <c r="T106" s="50" t="str">
        <f>Portfolio!X105</f>
        <v/>
      </c>
      <c r="U106" s="50" t="str">
        <f>Portfolio!Y105</f>
        <v/>
      </c>
      <c r="V106" s="50" t="str">
        <f>Portfolio!Z105</f>
        <v/>
      </c>
      <c r="W106" s="14" t="str">
        <f>Portfolio!AA105</f>
        <v/>
      </c>
      <c r="X106" s="50" t="str">
        <f>Portfolio!AB105</f>
        <v/>
      </c>
      <c r="Y106" s="179" t="str">
        <f>Portfolio!AC105</f>
        <v/>
      </c>
      <c r="Z106" s="50" t="str">
        <f>Portfolio!AD105</f>
        <v/>
      </c>
      <c r="AA106" s="180" t="str">
        <f>Portfolio!AE105</f>
        <v/>
      </c>
    </row>
    <row r="107">
      <c r="A107" s="14" t="str">
        <f>Portfolio!A106</f>
        <v/>
      </c>
      <c r="B107" s="14" t="str">
        <f>Portfolio!B106</f>
        <v/>
      </c>
      <c r="C107" s="158" t="str">
        <f>Portfolio!C106</f>
        <v/>
      </c>
      <c r="D107" s="96" t="str">
        <f>Portfolio!D106</f>
        <v/>
      </c>
      <c r="E107" s="96" t="str">
        <f>Portfolio!E106</f>
        <v/>
      </c>
      <c r="F107" s="96" t="str">
        <f>Portfolio!G106</f>
        <v/>
      </c>
      <c r="G107" s="50" t="str">
        <f>Portfolio!H106</f>
        <v/>
      </c>
      <c r="H107" s="96" t="str">
        <f>Portfolio!I106</f>
        <v/>
      </c>
      <c r="I107" s="96" t="str">
        <f>Portfolio!J106</f>
        <v/>
      </c>
      <c r="J107" s="96" t="str">
        <f>Portfolio!K106</f>
        <v/>
      </c>
      <c r="K107" s="50" t="str">
        <f>Portfolio!O106</f>
        <v/>
      </c>
      <c r="L107" s="96" t="str">
        <f>Portfolio!P106</f>
        <v/>
      </c>
      <c r="M107" s="96" t="str">
        <f>Portfolio!Q106</f>
        <v/>
      </c>
      <c r="N107" s="178" t="str">
        <f>Portfolio!R106</f>
        <v/>
      </c>
      <c r="O107" s="50" t="str">
        <f>Portfolio!S106</f>
        <v/>
      </c>
      <c r="Q107" s="50" t="str">
        <f>Portfolio!U106</f>
        <v/>
      </c>
      <c r="S107" s="50" t="str">
        <f>Portfolio!W106</f>
        <v/>
      </c>
      <c r="T107" s="50" t="str">
        <f>Portfolio!X106</f>
        <v/>
      </c>
      <c r="U107" s="50" t="str">
        <f>Portfolio!Y106</f>
        <v/>
      </c>
      <c r="V107" s="50" t="str">
        <f>Portfolio!Z106</f>
        <v/>
      </c>
      <c r="W107" s="14" t="str">
        <f>Portfolio!AA106</f>
        <v/>
      </c>
      <c r="X107" s="50" t="str">
        <f>Portfolio!AB106</f>
        <v/>
      </c>
      <c r="Y107" s="179" t="str">
        <f>Portfolio!AC106</f>
        <v/>
      </c>
      <c r="Z107" s="50" t="str">
        <f>Portfolio!AD106</f>
        <v/>
      </c>
      <c r="AA107" s="180" t="str">
        <f>Portfolio!AE106</f>
        <v/>
      </c>
    </row>
    <row r="108">
      <c r="A108" s="14" t="str">
        <f>Portfolio!A107</f>
        <v/>
      </c>
      <c r="B108" s="14" t="str">
        <f>Portfolio!B107</f>
        <v/>
      </c>
      <c r="C108" s="158" t="str">
        <f>Portfolio!C107</f>
        <v/>
      </c>
      <c r="D108" s="96" t="str">
        <f>Portfolio!D107</f>
        <v/>
      </c>
      <c r="E108" s="96" t="str">
        <f>Portfolio!E107</f>
        <v/>
      </c>
      <c r="F108" s="96" t="str">
        <f>Portfolio!G107</f>
        <v/>
      </c>
      <c r="G108" s="50" t="str">
        <f>Portfolio!H107</f>
        <v/>
      </c>
      <c r="H108" s="96" t="str">
        <f>Portfolio!I107</f>
        <v/>
      </c>
      <c r="I108" s="96" t="str">
        <f>Portfolio!J107</f>
        <v/>
      </c>
      <c r="J108" s="96" t="str">
        <f>Portfolio!K107</f>
        <v/>
      </c>
      <c r="K108" s="50" t="str">
        <f>Portfolio!O107</f>
        <v/>
      </c>
      <c r="L108" s="96" t="str">
        <f>Portfolio!P107</f>
        <v/>
      </c>
      <c r="M108" s="96" t="str">
        <f>Portfolio!Q107</f>
        <v/>
      </c>
      <c r="N108" s="178" t="str">
        <f>Portfolio!R107</f>
        <v/>
      </c>
      <c r="O108" s="50" t="str">
        <f>Portfolio!S107</f>
        <v/>
      </c>
      <c r="Q108" s="50" t="str">
        <f>Portfolio!U107</f>
        <v/>
      </c>
      <c r="S108" s="50" t="str">
        <f>Portfolio!W107</f>
        <v/>
      </c>
      <c r="T108" s="50" t="str">
        <f>Portfolio!X107</f>
        <v/>
      </c>
      <c r="U108" s="50" t="str">
        <f>Portfolio!Y107</f>
        <v/>
      </c>
      <c r="V108" s="50" t="str">
        <f>Portfolio!Z107</f>
        <v/>
      </c>
      <c r="W108" s="14" t="str">
        <f>Portfolio!AA107</f>
        <v/>
      </c>
      <c r="X108" s="50" t="str">
        <f>Portfolio!AB107</f>
        <v/>
      </c>
      <c r="Y108" s="179" t="str">
        <f>Portfolio!AC107</f>
        <v/>
      </c>
      <c r="Z108" s="50" t="str">
        <f>Portfolio!AD107</f>
        <v/>
      </c>
      <c r="AA108" s="180" t="str">
        <f>Portfolio!AE107</f>
        <v/>
      </c>
    </row>
    <row r="109">
      <c r="A109" s="14" t="str">
        <f>Portfolio!A108</f>
        <v/>
      </c>
      <c r="B109" s="14" t="str">
        <f>Portfolio!B108</f>
        <v/>
      </c>
      <c r="C109" s="158" t="str">
        <f>Portfolio!C108</f>
        <v/>
      </c>
      <c r="D109" s="96" t="str">
        <f>Portfolio!D108</f>
        <v/>
      </c>
      <c r="E109" s="96" t="str">
        <f>Portfolio!E108</f>
        <v/>
      </c>
      <c r="F109" s="96" t="str">
        <f>Portfolio!G108</f>
        <v/>
      </c>
      <c r="G109" s="50" t="str">
        <f>Portfolio!H108</f>
        <v/>
      </c>
      <c r="H109" s="96" t="str">
        <f>Portfolio!I108</f>
        <v/>
      </c>
      <c r="I109" s="96" t="str">
        <f>Portfolio!J108</f>
        <v/>
      </c>
      <c r="J109" s="96" t="str">
        <f>Portfolio!K108</f>
        <v/>
      </c>
      <c r="K109" s="50" t="str">
        <f>Portfolio!O108</f>
        <v/>
      </c>
      <c r="L109" s="96" t="str">
        <f>Portfolio!P108</f>
        <v/>
      </c>
      <c r="M109" s="96" t="str">
        <f>Portfolio!Q108</f>
        <v/>
      </c>
      <c r="N109" s="178" t="str">
        <f>Portfolio!R108</f>
        <v/>
      </c>
      <c r="O109" s="50" t="str">
        <f>Portfolio!S108</f>
        <v/>
      </c>
      <c r="Q109" s="50" t="str">
        <f>Portfolio!U108</f>
        <v/>
      </c>
      <c r="S109" s="50" t="str">
        <f>Portfolio!W108</f>
        <v/>
      </c>
      <c r="T109" s="50" t="str">
        <f>Portfolio!X108</f>
        <v/>
      </c>
      <c r="U109" s="50" t="str">
        <f>Portfolio!Y108</f>
        <v/>
      </c>
      <c r="V109" s="50" t="str">
        <f>Portfolio!Z108</f>
        <v/>
      </c>
      <c r="W109" s="14" t="str">
        <f>Portfolio!AA108</f>
        <v/>
      </c>
      <c r="X109" s="50" t="str">
        <f>Portfolio!AB108</f>
        <v/>
      </c>
      <c r="Y109" s="179" t="str">
        <f>Portfolio!AC108</f>
        <v/>
      </c>
      <c r="Z109" s="50" t="str">
        <f>Portfolio!AD108</f>
        <v/>
      </c>
      <c r="AA109" s="180" t="str">
        <f>Portfolio!AE108</f>
        <v/>
      </c>
    </row>
    <row r="110">
      <c r="A110" s="14" t="str">
        <f>Portfolio!A109</f>
        <v/>
      </c>
      <c r="B110" s="14" t="str">
        <f>Portfolio!B109</f>
        <v/>
      </c>
      <c r="C110" s="158" t="str">
        <f>Portfolio!C109</f>
        <v/>
      </c>
      <c r="D110" s="96" t="str">
        <f>Portfolio!D109</f>
        <v/>
      </c>
      <c r="E110" s="96" t="str">
        <f>Portfolio!E109</f>
        <v/>
      </c>
      <c r="F110" s="96" t="str">
        <f>Portfolio!G109</f>
        <v/>
      </c>
      <c r="G110" s="50" t="str">
        <f>Portfolio!H109</f>
        <v/>
      </c>
      <c r="H110" s="96" t="str">
        <f>Portfolio!I109</f>
        <v/>
      </c>
      <c r="I110" s="96" t="str">
        <f>Portfolio!J109</f>
        <v/>
      </c>
      <c r="J110" s="96" t="str">
        <f>Portfolio!K109</f>
        <v/>
      </c>
      <c r="K110" s="50" t="str">
        <f>Portfolio!O109</f>
        <v/>
      </c>
      <c r="L110" s="96" t="str">
        <f>Portfolio!P109</f>
        <v/>
      </c>
      <c r="M110" s="96" t="str">
        <f>Portfolio!Q109</f>
        <v/>
      </c>
      <c r="N110" s="178" t="str">
        <f>Portfolio!R109</f>
        <v/>
      </c>
      <c r="O110" s="50" t="str">
        <f>Portfolio!S109</f>
        <v/>
      </c>
      <c r="Q110" s="50" t="str">
        <f>Portfolio!U109</f>
        <v/>
      </c>
      <c r="S110" s="50" t="str">
        <f>Portfolio!W109</f>
        <v/>
      </c>
      <c r="T110" s="50" t="str">
        <f>Portfolio!X109</f>
        <v/>
      </c>
      <c r="U110" s="50" t="str">
        <f>Portfolio!Y109</f>
        <v/>
      </c>
      <c r="V110" s="50" t="str">
        <f>Portfolio!Z109</f>
        <v/>
      </c>
      <c r="W110" s="14" t="str">
        <f>Portfolio!AA109</f>
        <v/>
      </c>
      <c r="X110" s="50" t="str">
        <f>Portfolio!AB109</f>
        <v/>
      </c>
      <c r="Y110" s="179" t="str">
        <f>Portfolio!AC109</f>
        <v/>
      </c>
      <c r="Z110" s="50" t="str">
        <f>Portfolio!AD109</f>
        <v/>
      </c>
      <c r="AA110" s="180" t="str">
        <f>Portfolio!AE109</f>
        <v/>
      </c>
    </row>
    <row r="111">
      <c r="A111" s="14" t="str">
        <f>Portfolio!A110</f>
        <v/>
      </c>
      <c r="B111" s="14" t="str">
        <f>Portfolio!B110</f>
        <v/>
      </c>
      <c r="C111" s="158" t="str">
        <f>Portfolio!C110</f>
        <v/>
      </c>
      <c r="D111" s="96" t="str">
        <f>Portfolio!D110</f>
        <v/>
      </c>
      <c r="E111" s="96" t="str">
        <f>Portfolio!E110</f>
        <v/>
      </c>
      <c r="F111" s="96" t="str">
        <f>Portfolio!G110</f>
        <v/>
      </c>
      <c r="G111" s="50" t="str">
        <f>Portfolio!H110</f>
        <v/>
      </c>
      <c r="H111" s="96" t="str">
        <f>Portfolio!I110</f>
        <v/>
      </c>
      <c r="I111" s="96" t="str">
        <f>Portfolio!J110</f>
        <v/>
      </c>
      <c r="J111" s="96" t="str">
        <f>Portfolio!K110</f>
        <v/>
      </c>
      <c r="K111" s="50" t="str">
        <f>Portfolio!O110</f>
        <v/>
      </c>
      <c r="L111" s="96" t="str">
        <f>Portfolio!P110</f>
        <v/>
      </c>
      <c r="M111" s="96" t="str">
        <f>Portfolio!Q110</f>
        <v/>
      </c>
      <c r="N111" s="178" t="str">
        <f>Portfolio!R110</f>
        <v/>
      </c>
      <c r="O111" s="50" t="str">
        <f>Portfolio!S110</f>
        <v/>
      </c>
      <c r="Q111" s="50" t="str">
        <f>Portfolio!U110</f>
        <v/>
      </c>
      <c r="S111" s="50" t="str">
        <f>Portfolio!W110</f>
        <v/>
      </c>
      <c r="T111" s="50" t="str">
        <f>Portfolio!X110</f>
        <v/>
      </c>
      <c r="U111" s="50" t="str">
        <f>Portfolio!Y110</f>
        <v/>
      </c>
      <c r="V111" s="50" t="str">
        <f>Portfolio!Z110</f>
        <v/>
      </c>
      <c r="W111" s="14" t="str">
        <f>Portfolio!AA110</f>
        <v/>
      </c>
      <c r="X111" s="50" t="str">
        <f>Portfolio!AB110</f>
        <v/>
      </c>
      <c r="Y111" s="179" t="str">
        <f>Portfolio!AC110</f>
        <v/>
      </c>
      <c r="Z111" s="50" t="str">
        <f>Portfolio!AD110</f>
        <v/>
      </c>
      <c r="AA111" s="180" t="str">
        <f>Portfolio!AE110</f>
        <v/>
      </c>
    </row>
    <row r="112">
      <c r="A112" s="14" t="str">
        <f>Portfolio!A111</f>
        <v/>
      </c>
      <c r="B112" s="14" t="str">
        <f>Portfolio!B111</f>
        <v/>
      </c>
      <c r="C112" s="158" t="str">
        <f>Portfolio!C111</f>
        <v/>
      </c>
      <c r="D112" s="96" t="str">
        <f>Portfolio!D111</f>
        <v/>
      </c>
      <c r="E112" s="96" t="str">
        <f>Portfolio!E111</f>
        <v/>
      </c>
      <c r="F112" s="96" t="str">
        <f>Portfolio!G111</f>
        <v/>
      </c>
      <c r="G112" s="50" t="str">
        <f>Portfolio!H111</f>
        <v/>
      </c>
      <c r="H112" s="96" t="str">
        <f>Portfolio!I111</f>
        <v/>
      </c>
      <c r="I112" s="96" t="str">
        <f>Portfolio!J111</f>
        <v/>
      </c>
      <c r="J112" s="96" t="str">
        <f>Portfolio!K111</f>
        <v/>
      </c>
      <c r="K112" s="50" t="str">
        <f>Portfolio!O111</f>
        <v/>
      </c>
      <c r="L112" s="96" t="str">
        <f>Portfolio!P111</f>
        <v/>
      </c>
      <c r="M112" s="96" t="str">
        <f>Portfolio!Q111</f>
        <v/>
      </c>
      <c r="N112" s="178" t="str">
        <f>Portfolio!R111</f>
        <v/>
      </c>
      <c r="O112" s="50" t="str">
        <f>Portfolio!S111</f>
        <v/>
      </c>
      <c r="Q112" s="50" t="str">
        <f>Portfolio!U111</f>
        <v/>
      </c>
      <c r="S112" s="50" t="str">
        <f>Portfolio!W111</f>
        <v/>
      </c>
      <c r="T112" s="50" t="str">
        <f>Portfolio!X111</f>
        <v/>
      </c>
      <c r="U112" s="50" t="str">
        <f>Portfolio!Y111</f>
        <v/>
      </c>
      <c r="V112" s="50" t="str">
        <f>Portfolio!Z111</f>
        <v/>
      </c>
      <c r="W112" s="14" t="str">
        <f>Portfolio!AA111</f>
        <v/>
      </c>
      <c r="X112" s="50" t="str">
        <f>Portfolio!AB111</f>
        <v/>
      </c>
      <c r="Y112" s="179" t="str">
        <f>Portfolio!AC111</f>
        <v/>
      </c>
      <c r="Z112" s="50" t="str">
        <f>Portfolio!AD111</f>
        <v/>
      </c>
      <c r="AA112" s="180" t="str">
        <f>Portfolio!AE111</f>
        <v/>
      </c>
    </row>
    <row r="113">
      <c r="A113" s="14" t="str">
        <f>Portfolio!A112</f>
        <v/>
      </c>
      <c r="B113" s="14" t="str">
        <f>Portfolio!B112</f>
        <v/>
      </c>
      <c r="C113" s="158" t="str">
        <f>Portfolio!C112</f>
        <v/>
      </c>
      <c r="D113" s="96" t="str">
        <f>Portfolio!D112</f>
        <v/>
      </c>
      <c r="E113" s="96" t="str">
        <f>Portfolio!E112</f>
        <v/>
      </c>
      <c r="F113" s="96" t="str">
        <f>Portfolio!G112</f>
        <v/>
      </c>
      <c r="G113" s="50" t="str">
        <f>Portfolio!H112</f>
        <v/>
      </c>
      <c r="H113" s="96" t="str">
        <f>Portfolio!I112</f>
        <v/>
      </c>
      <c r="I113" s="96" t="str">
        <f>Portfolio!J112</f>
        <v/>
      </c>
      <c r="J113" s="96" t="str">
        <f>Portfolio!K112</f>
        <v/>
      </c>
      <c r="K113" s="50" t="str">
        <f>Portfolio!O112</f>
        <v/>
      </c>
      <c r="L113" s="96" t="str">
        <f>Portfolio!P112</f>
        <v/>
      </c>
      <c r="M113" s="96" t="str">
        <f>Portfolio!Q112</f>
        <v/>
      </c>
      <c r="N113" s="178" t="str">
        <f>Portfolio!R112</f>
        <v/>
      </c>
      <c r="O113" s="50" t="str">
        <f>Portfolio!S112</f>
        <v/>
      </c>
      <c r="Q113" s="50" t="str">
        <f>Portfolio!U112</f>
        <v/>
      </c>
      <c r="S113" s="50" t="str">
        <f>Portfolio!W112</f>
        <v/>
      </c>
      <c r="T113" s="50" t="str">
        <f>Portfolio!X112</f>
        <v/>
      </c>
      <c r="U113" s="50" t="str">
        <f>Portfolio!Y112</f>
        <v/>
      </c>
      <c r="V113" s="50" t="str">
        <f>Portfolio!Z112</f>
        <v/>
      </c>
      <c r="W113" s="14" t="str">
        <f>Portfolio!AA112</f>
        <v/>
      </c>
      <c r="X113" s="50" t="str">
        <f>Portfolio!AB112</f>
        <v/>
      </c>
      <c r="Y113" s="179" t="str">
        <f>Portfolio!AC112</f>
        <v/>
      </c>
      <c r="Z113" s="50" t="str">
        <f>Portfolio!AD112</f>
        <v/>
      </c>
      <c r="AA113" s="180" t="str">
        <f>Portfolio!AE112</f>
        <v/>
      </c>
    </row>
    <row r="114">
      <c r="A114" s="14" t="str">
        <f>Portfolio!A113</f>
        <v/>
      </c>
      <c r="B114" s="14" t="str">
        <f>Portfolio!B113</f>
        <v/>
      </c>
      <c r="C114" s="158" t="str">
        <f>Portfolio!C113</f>
        <v/>
      </c>
      <c r="D114" s="96" t="str">
        <f>Portfolio!D113</f>
        <v/>
      </c>
      <c r="E114" s="96" t="str">
        <f>Portfolio!E113</f>
        <v/>
      </c>
      <c r="F114" s="96" t="str">
        <f>Portfolio!G113</f>
        <v/>
      </c>
      <c r="G114" s="50" t="str">
        <f>Portfolio!H113</f>
        <v/>
      </c>
      <c r="H114" s="96" t="str">
        <f>Portfolio!I113</f>
        <v/>
      </c>
      <c r="I114" s="96" t="str">
        <f>Portfolio!J113</f>
        <v/>
      </c>
      <c r="J114" s="96" t="str">
        <f>Portfolio!K113</f>
        <v/>
      </c>
      <c r="K114" s="50" t="str">
        <f>Portfolio!O113</f>
        <v/>
      </c>
      <c r="L114" s="96" t="str">
        <f>Portfolio!P113</f>
        <v/>
      </c>
      <c r="M114" s="96" t="str">
        <f>Portfolio!Q113</f>
        <v/>
      </c>
      <c r="N114" s="178" t="str">
        <f>Portfolio!R113</f>
        <v/>
      </c>
      <c r="O114" s="50" t="str">
        <f>Portfolio!S113</f>
        <v/>
      </c>
      <c r="Q114" s="50" t="str">
        <f>Portfolio!U113</f>
        <v/>
      </c>
      <c r="S114" s="50" t="str">
        <f>Portfolio!W113</f>
        <v/>
      </c>
      <c r="T114" s="50" t="str">
        <f>Portfolio!X113</f>
        <v/>
      </c>
      <c r="U114" s="50" t="str">
        <f>Portfolio!Y113</f>
        <v/>
      </c>
      <c r="V114" s="50" t="str">
        <f>Portfolio!Z113</f>
        <v/>
      </c>
      <c r="W114" s="14" t="str">
        <f>Portfolio!AA113</f>
        <v/>
      </c>
      <c r="X114" s="50" t="str">
        <f>Portfolio!AB113</f>
        <v/>
      </c>
      <c r="Y114" s="179" t="str">
        <f>Portfolio!AC113</f>
        <v/>
      </c>
      <c r="Z114" s="50" t="str">
        <f>Portfolio!AD113</f>
        <v/>
      </c>
      <c r="AA114" s="180" t="str">
        <f>Portfolio!AE113</f>
        <v/>
      </c>
    </row>
    <row r="115">
      <c r="A115" s="14" t="str">
        <f>Portfolio!A114</f>
        <v/>
      </c>
      <c r="B115" s="14" t="str">
        <f>Portfolio!B114</f>
        <v/>
      </c>
      <c r="C115" s="158" t="str">
        <f>Portfolio!C114</f>
        <v/>
      </c>
      <c r="D115" s="96" t="str">
        <f>Portfolio!D114</f>
        <v/>
      </c>
      <c r="E115" s="96" t="str">
        <f>Portfolio!E114</f>
        <v/>
      </c>
      <c r="F115" s="96" t="str">
        <f>Portfolio!G114</f>
        <v/>
      </c>
      <c r="G115" s="50" t="str">
        <f>Portfolio!H114</f>
        <v/>
      </c>
      <c r="H115" s="96" t="str">
        <f>Portfolio!I114</f>
        <v/>
      </c>
      <c r="I115" s="96" t="str">
        <f>Portfolio!J114</f>
        <v/>
      </c>
      <c r="J115" s="96" t="str">
        <f>Portfolio!K114</f>
        <v/>
      </c>
      <c r="K115" s="50" t="str">
        <f>Portfolio!O114</f>
        <v/>
      </c>
      <c r="L115" s="96" t="str">
        <f>Portfolio!P114</f>
        <v/>
      </c>
      <c r="M115" s="96" t="str">
        <f>Portfolio!Q114</f>
        <v/>
      </c>
      <c r="N115" s="178" t="str">
        <f>Portfolio!R114</f>
        <v/>
      </c>
      <c r="O115" s="50" t="str">
        <f>Portfolio!S114</f>
        <v/>
      </c>
      <c r="Q115" s="50" t="str">
        <f>Portfolio!U114</f>
        <v/>
      </c>
      <c r="S115" s="50" t="str">
        <f>Portfolio!W114</f>
        <v/>
      </c>
      <c r="T115" s="50" t="str">
        <f>Portfolio!X114</f>
        <v/>
      </c>
      <c r="U115" s="50" t="str">
        <f>Portfolio!Y114</f>
        <v/>
      </c>
      <c r="V115" s="50" t="str">
        <f>Portfolio!Z114</f>
        <v/>
      </c>
      <c r="W115" s="14" t="str">
        <f>Portfolio!AA114</f>
        <v/>
      </c>
      <c r="X115" s="50" t="str">
        <f>Portfolio!AB114</f>
        <v/>
      </c>
      <c r="Y115" s="179" t="str">
        <f>Portfolio!AC114</f>
        <v/>
      </c>
      <c r="Z115" s="50" t="str">
        <f>Portfolio!AD114</f>
        <v/>
      </c>
      <c r="AA115" s="180" t="str">
        <f>Portfolio!AE114</f>
        <v/>
      </c>
    </row>
    <row r="116">
      <c r="A116" s="14" t="str">
        <f>Portfolio!A115</f>
        <v/>
      </c>
      <c r="B116" s="14" t="str">
        <f>Portfolio!B115</f>
        <v/>
      </c>
      <c r="C116" s="158" t="str">
        <f>Portfolio!C115</f>
        <v/>
      </c>
      <c r="D116" s="96" t="str">
        <f>Portfolio!D115</f>
        <v/>
      </c>
      <c r="E116" s="96" t="str">
        <f>Portfolio!E115</f>
        <v/>
      </c>
      <c r="F116" s="96" t="str">
        <f>Portfolio!G115</f>
        <v/>
      </c>
      <c r="G116" s="50" t="str">
        <f>Portfolio!H115</f>
        <v/>
      </c>
      <c r="H116" s="96" t="str">
        <f>Portfolio!I115</f>
        <v/>
      </c>
      <c r="I116" s="96" t="str">
        <f>Portfolio!J115</f>
        <v/>
      </c>
      <c r="J116" s="96" t="str">
        <f>Portfolio!K115</f>
        <v/>
      </c>
      <c r="K116" s="50" t="str">
        <f>Portfolio!O115</f>
        <v/>
      </c>
      <c r="L116" s="96" t="str">
        <f>Portfolio!P115</f>
        <v/>
      </c>
      <c r="M116" s="96" t="str">
        <f>Portfolio!Q115</f>
        <v/>
      </c>
      <c r="N116" s="178" t="str">
        <f>Portfolio!R115</f>
        <v/>
      </c>
      <c r="O116" s="50" t="str">
        <f>Portfolio!S115</f>
        <v/>
      </c>
      <c r="Q116" s="50" t="str">
        <f>Portfolio!U115</f>
        <v/>
      </c>
      <c r="S116" s="50" t="str">
        <f>Portfolio!W115</f>
        <v/>
      </c>
      <c r="T116" s="50" t="str">
        <f>Portfolio!X115</f>
        <v/>
      </c>
      <c r="U116" s="50" t="str">
        <f>Portfolio!Y115</f>
        <v/>
      </c>
      <c r="V116" s="50" t="str">
        <f>Portfolio!Z115</f>
        <v/>
      </c>
      <c r="W116" s="14" t="str">
        <f>Portfolio!AA115</f>
        <v/>
      </c>
      <c r="X116" s="50" t="str">
        <f>Portfolio!AB115</f>
        <v/>
      </c>
      <c r="Y116" s="179" t="str">
        <f>Portfolio!AC115</f>
        <v/>
      </c>
      <c r="Z116" s="50" t="str">
        <f>Portfolio!AD115</f>
        <v/>
      </c>
      <c r="AA116" s="180" t="str">
        <f>Portfolio!AE115</f>
        <v/>
      </c>
    </row>
    <row r="117">
      <c r="A117" s="14" t="str">
        <f>Portfolio!A116</f>
        <v/>
      </c>
      <c r="B117" s="14" t="str">
        <f>Portfolio!B116</f>
        <v/>
      </c>
      <c r="C117" s="158" t="str">
        <f>Portfolio!C116</f>
        <v/>
      </c>
      <c r="D117" s="96" t="str">
        <f>Portfolio!D116</f>
        <v/>
      </c>
      <c r="E117" s="96" t="str">
        <f>Portfolio!E116</f>
        <v/>
      </c>
      <c r="F117" s="96" t="str">
        <f>Portfolio!G116</f>
        <v/>
      </c>
      <c r="G117" s="50" t="str">
        <f>Portfolio!H116</f>
        <v/>
      </c>
      <c r="H117" s="96" t="str">
        <f>Portfolio!I116</f>
        <v/>
      </c>
      <c r="I117" s="96" t="str">
        <f>Portfolio!J116</f>
        <v/>
      </c>
      <c r="J117" s="96" t="str">
        <f>Portfolio!K116</f>
        <v/>
      </c>
      <c r="K117" s="50" t="str">
        <f>Portfolio!O116</f>
        <v/>
      </c>
      <c r="L117" s="96" t="str">
        <f>Portfolio!P116</f>
        <v/>
      </c>
      <c r="M117" s="96" t="str">
        <f>Portfolio!Q116</f>
        <v/>
      </c>
      <c r="N117" s="178" t="str">
        <f>Portfolio!R116</f>
        <v/>
      </c>
      <c r="O117" s="50" t="str">
        <f>Portfolio!S116</f>
        <v/>
      </c>
      <c r="Q117" s="50" t="str">
        <f>Portfolio!U116</f>
        <v/>
      </c>
      <c r="S117" s="50" t="str">
        <f>Portfolio!W116</f>
        <v/>
      </c>
      <c r="T117" s="50" t="str">
        <f>Portfolio!X116</f>
        <v/>
      </c>
      <c r="U117" s="50" t="str">
        <f>Portfolio!Y116</f>
        <v/>
      </c>
      <c r="V117" s="50" t="str">
        <f>Portfolio!Z116</f>
        <v/>
      </c>
      <c r="W117" s="14" t="str">
        <f>Portfolio!AA116</f>
        <v/>
      </c>
      <c r="X117" s="50" t="str">
        <f>Portfolio!AB116</f>
        <v/>
      </c>
      <c r="Y117" s="179" t="str">
        <f>Portfolio!AC116</f>
        <v/>
      </c>
      <c r="Z117" s="50" t="str">
        <f>Portfolio!AD116</f>
        <v/>
      </c>
      <c r="AA117" s="180" t="str">
        <f>Portfolio!AE116</f>
        <v/>
      </c>
    </row>
    <row r="118">
      <c r="A118" s="14" t="str">
        <f>Portfolio!A117</f>
        <v/>
      </c>
      <c r="B118" s="14" t="str">
        <f>Portfolio!B117</f>
        <v/>
      </c>
      <c r="C118" s="158" t="str">
        <f>Portfolio!C117</f>
        <v/>
      </c>
      <c r="D118" s="96" t="str">
        <f>Portfolio!D117</f>
        <v/>
      </c>
      <c r="E118" s="96" t="str">
        <f>Portfolio!E117</f>
        <v/>
      </c>
      <c r="F118" s="96" t="str">
        <f>Portfolio!G117</f>
        <v/>
      </c>
      <c r="G118" s="50" t="str">
        <f>Portfolio!H117</f>
        <v/>
      </c>
      <c r="H118" s="96" t="str">
        <f>Portfolio!I117</f>
        <v/>
      </c>
      <c r="I118" s="96" t="str">
        <f>Portfolio!J117</f>
        <v/>
      </c>
      <c r="J118" s="96" t="str">
        <f>Portfolio!K117</f>
        <v/>
      </c>
      <c r="K118" s="50" t="str">
        <f>Portfolio!O117</f>
        <v/>
      </c>
      <c r="L118" s="96" t="str">
        <f>Portfolio!P117</f>
        <v/>
      </c>
      <c r="M118" s="96" t="str">
        <f>Portfolio!Q117</f>
        <v/>
      </c>
      <c r="N118" s="178" t="str">
        <f>Portfolio!R117</f>
        <v/>
      </c>
      <c r="O118" s="50" t="str">
        <f>Portfolio!S117</f>
        <v/>
      </c>
      <c r="Q118" s="50" t="str">
        <f>Portfolio!U117</f>
        <v/>
      </c>
      <c r="S118" s="50" t="str">
        <f>Portfolio!W117</f>
        <v/>
      </c>
      <c r="T118" s="50" t="str">
        <f>Portfolio!X117</f>
        <v/>
      </c>
      <c r="U118" s="50" t="str">
        <f>Portfolio!Y117</f>
        <v/>
      </c>
      <c r="V118" s="50" t="str">
        <f>Portfolio!Z117</f>
        <v/>
      </c>
      <c r="W118" s="14" t="str">
        <f>Portfolio!AA117</f>
        <v/>
      </c>
      <c r="X118" s="50" t="str">
        <f>Portfolio!AB117</f>
        <v/>
      </c>
      <c r="Y118" s="179" t="str">
        <f>Portfolio!AC117</f>
        <v/>
      </c>
      <c r="Z118" s="50" t="str">
        <f>Portfolio!AD117</f>
        <v/>
      </c>
      <c r="AA118" s="180" t="str">
        <f>Portfolio!AE117</f>
        <v/>
      </c>
    </row>
    <row r="119">
      <c r="A119" s="14" t="str">
        <f>Portfolio!A118</f>
        <v/>
      </c>
      <c r="B119" s="14" t="str">
        <f>Portfolio!B118</f>
        <v/>
      </c>
      <c r="C119" s="158" t="str">
        <f>Portfolio!C118</f>
        <v/>
      </c>
      <c r="D119" s="96" t="str">
        <f>Portfolio!D118</f>
        <v/>
      </c>
      <c r="E119" s="96" t="str">
        <f>Portfolio!E118</f>
        <v/>
      </c>
      <c r="F119" s="96" t="str">
        <f>Portfolio!G118</f>
        <v/>
      </c>
      <c r="G119" s="50" t="str">
        <f>Portfolio!H118</f>
        <v/>
      </c>
      <c r="H119" s="96" t="str">
        <f>Portfolio!I118</f>
        <v/>
      </c>
      <c r="I119" s="96" t="str">
        <f>Portfolio!J118</f>
        <v/>
      </c>
      <c r="J119" s="96" t="str">
        <f>Portfolio!K118</f>
        <v/>
      </c>
      <c r="K119" s="50" t="str">
        <f>Portfolio!O118</f>
        <v/>
      </c>
      <c r="L119" s="96" t="str">
        <f>Portfolio!P118</f>
        <v/>
      </c>
      <c r="M119" s="96" t="str">
        <f>Portfolio!Q118</f>
        <v/>
      </c>
      <c r="N119" s="178" t="str">
        <f>Portfolio!R118</f>
        <v/>
      </c>
      <c r="O119" s="50" t="str">
        <f>Portfolio!S118</f>
        <v/>
      </c>
      <c r="Q119" s="50" t="str">
        <f>Portfolio!U118</f>
        <v/>
      </c>
      <c r="S119" s="50" t="str">
        <f>Portfolio!W118</f>
        <v/>
      </c>
      <c r="T119" s="50" t="str">
        <f>Portfolio!X118</f>
        <v/>
      </c>
      <c r="U119" s="50" t="str">
        <f>Portfolio!Y118</f>
        <v/>
      </c>
      <c r="V119" s="50" t="str">
        <f>Portfolio!Z118</f>
        <v/>
      </c>
      <c r="W119" s="14" t="str">
        <f>Portfolio!AA118</f>
        <v/>
      </c>
      <c r="X119" s="50" t="str">
        <f>Portfolio!AB118</f>
        <v/>
      </c>
      <c r="Y119" s="179" t="str">
        <f>Portfolio!AC118</f>
        <v/>
      </c>
      <c r="Z119" s="50" t="str">
        <f>Portfolio!AD118</f>
        <v/>
      </c>
      <c r="AA119" s="180" t="str">
        <f>Portfolio!AE118</f>
        <v/>
      </c>
    </row>
    <row r="120">
      <c r="A120" s="14" t="str">
        <f>Portfolio!A119</f>
        <v/>
      </c>
      <c r="B120" s="14" t="str">
        <f>Portfolio!B119</f>
        <v/>
      </c>
      <c r="C120" s="158" t="str">
        <f>Portfolio!C119</f>
        <v/>
      </c>
      <c r="D120" s="96" t="str">
        <f>Portfolio!D119</f>
        <v/>
      </c>
      <c r="E120" s="96" t="str">
        <f>Portfolio!E119</f>
        <v/>
      </c>
      <c r="F120" s="96" t="str">
        <f>Portfolio!G119</f>
        <v/>
      </c>
      <c r="G120" s="50" t="str">
        <f>Portfolio!H119</f>
        <v/>
      </c>
      <c r="H120" s="96" t="str">
        <f>Portfolio!I119</f>
        <v/>
      </c>
      <c r="I120" s="96" t="str">
        <f>Portfolio!J119</f>
        <v/>
      </c>
      <c r="J120" s="96" t="str">
        <f>Portfolio!K119</f>
        <v/>
      </c>
      <c r="K120" s="50" t="str">
        <f>Portfolio!O119</f>
        <v/>
      </c>
      <c r="L120" s="96" t="str">
        <f>Portfolio!P119</f>
        <v/>
      </c>
      <c r="M120" s="96" t="str">
        <f>Portfolio!Q119</f>
        <v/>
      </c>
      <c r="N120" s="178" t="str">
        <f>Portfolio!R119</f>
        <v/>
      </c>
      <c r="O120" s="50" t="str">
        <f>Portfolio!S119</f>
        <v/>
      </c>
      <c r="Q120" s="50" t="str">
        <f>Portfolio!U119</f>
        <v/>
      </c>
      <c r="S120" s="50" t="str">
        <f>Portfolio!W119</f>
        <v/>
      </c>
      <c r="T120" s="50" t="str">
        <f>Portfolio!X119</f>
        <v/>
      </c>
      <c r="U120" s="50" t="str">
        <f>Portfolio!Y119</f>
        <v/>
      </c>
      <c r="V120" s="50" t="str">
        <f>Portfolio!Z119</f>
        <v/>
      </c>
      <c r="W120" s="14" t="str">
        <f>Portfolio!AA119</f>
        <v/>
      </c>
      <c r="X120" s="50" t="str">
        <f>Portfolio!AB119</f>
        <v/>
      </c>
      <c r="Y120" s="179" t="str">
        <f>Portfolio!AC119</f>
        <v/>
      </c>
      <c r="Z120" s="50" t="str">
        <f>Portfolio!AD119</f>
        <v/>
      </c>
      <c r="AA120" s="180" t="str">
        <f>Portfolio!AE119</f>
        <v/>
      </c>
    </row>
    <row r="121">
      <c r="A121" s="14" t="str">
        <f>Portfolio!A120</f>
        <v/>
      </c>
      <c r="B121" s="14" t="str">
        <f>Portfolio!B120</f>
        <v/>
      </c>
      <c r="C121" s="158" t="str">
        <f>Portfolio!C120</f>
        <v/>
      </c>
      <c r="D121" s="96" t="str">
        <f>Portfolio!D120</f>
        <v/>
      </c>
      <c r="E121" s="96" t="str">
        <f>Portfolio!E120</f>
        <v/>
      </c>
      <c r="F121" s="96" t="str">
        <f>Portfolio!G120</f>
        <v/>
      </c>
      <c r="G121" s="50" t="str">
        <f>Portfolio!H120</f>
        <v/>
      </c>
      <c r="H121" s="96" t="str">
        <f>Portfolio!I120</f>
        <v/>
      </c>
      <c r="I121" s="96" t="str">
        <f>Portfolio!J120</f>
        <v/>
      </c>
      <c r="J121" s="96" t="str">
        <f>Portfolio!K120</f>
        <v/>
      </c>
      <c r="K121" s="50" t="str">
        <f>Portfolio!O120</f>
        <v/>
      </c>
      <c r="L121" s="96" t="str">
        <f>Portfolio!P120</f>
        <v/>
      </c>
      <c r="M121" s="96" t="str">
        <f>Portfolio!Q120</f>
        <v/>
      </c>
      <c r="N121" s="178" t="str">
        <f>Portfolio!R120</f>
        <v/>
      </c>
      <c r="O121" s="50" t="str">
        <f>Portfolio!S120</f>
        <v/>
      </c>
      <c r="Q121" s="50" t="str">
        <f>Portfolio!U120</f>
        <v/>
      </c>
      <c r="S121" s="50" t="str">
        <f>Portfolio!W120</f>
        <v/>
      </c>
      <c r="T121" s="50" t="str">
        <f>Portfolio!X120</f>
        <v/>
      </c>
      <c r="U121" s="50" t="str">
        <f>Portfolio!Y120</f>
        <v/>
      </c>
      <c r="V121" s="50" t="str">
        <f>Portfolio!Z120</f>
        <v/>
      </c>
      <c r="W121" s="14" t="str">
        <f>Portfolio!AA120</f>
        <v/>
      </c>
      <c r="X121" s="50" t="str">
        <f>Portfolio!AB120</f>
        <v/>
      </c>
      <c r="Y121" s="179" t="str">
        <f>Portfolio!AC120</f>
        <v/>
      </c>
      <c r="Z121" s="50" t="str">
        <f>Portfolio!AD120</f>
        <v/>
      </c>
      <c r="AA121" s="180" t="str">
        <f>Portfolio!AE120</f>
        <v/>
      </c>
    </row>
    <row r="122">
      <c r="A122" s="14" t="str">
        <f>Portfolio!A121</f>
        <v/>
      </c>
      <c r="B122" s="14" t="str">
        <f>Portfolio!B121</f>
        <v/>
      </c>
      <c r="C122" s="158" t="str">
        <f>Portfolio!C121</f>
        <v/>
      </c>
      <c r="D122" s="96" t="str">
        <f>Portfolio!D121</f>
        <v/>
      </c>
      <c r="E122" s="96" t="str">
        <f>Portfolio!E121</f>
        <v/>
      </c>
      <c r="F122" s="96" t="str">
        <f>Portfolio!G121</f>
        <v/>
      </c>
      <c r="G122" s="50" t="str">
        <f>Portfolio!H121</f>
        <v/>
      </c>
      <c r="H122" s="96" t="str">
        <f>Portfolio!I121</f>
        <v/>
      </c>
      <c r="I122" s="96" t="str">
        <f>Portfolio!J121</f>
        <v/>
      </c>
      <c r="J122" s="96" t="str">
        <f>Portfolio!K121</f>
        <v/>
      </c>
      <c r="K122" s="50" t="str">
        <f>Portfolio!O121</f>
        <v/>
      </c>
      <c r="L122" s="96" t="str">
        <f>Portfolio!P121</f>
        <v/>
      </c>
      <c r="M122" s="96" t="str">
        <f>Portfolio!Q121</f>
        <v/>
      </c>
      <c r="N122" s="178" t="str">
        <f>Portfolio!R121</f>
        <v/>
      </c>
      <c r="O122" s="50" t="str">
        <f>Portfolio!S121</f>
        <v/>
      </c>
      <c r="Q122" s="50" t="str">
        <f>Portfolio!U121</f>
        <v/>
      </c>
      <c r="S122" s="50" t="str">
        <f>Portfolio!W121</f>
        <v/>
      </c>
      <c r="T122" s="50" t="str">
        <f>Portfolio!X121</f>
        <v/>
      </c>
      <c r="U122" s="50" t="str">
        <f>Portfolio!Y121</f>
        <v/>
      </c>
      <c r="V122" s="50" t="str">
        <f>Portfolio!Z121</f>
        <v/>
      </c>
      <c r="W122" s="14" t="str">
        <f>Portfolio!AA121</f>
        <v/>
      </c>
      <c r="X122" s="50" t="str">
        <f>Portfolio!AB121</f>
        <v/>
      </c>
      <c r="Y122" s="179" t="str">
        <f>Portfolio!AC121</f>
        <v/>
      </c>
      <c r="Z122" s="50" t="str">
        <f>Portfolio!AD121</f>
        <v/>
      </c>
      <c r="AA122" s="180" t="str">
        <f>Portfolio!AE121</f>
        <v/>
      </c>
    </row>
    <row r="123">
      <c r="A123" s="14" t="str">
        <f>Portfolio!A122</f>
        <v/>
      </c>
      <c r="B123" s="14" t="str">
        <f>Portfolio!B122</f>
        <v/>
      </c>
      <c r="C123" s="158" t="str">
        <f>Portfolio!C122</f>
        <v/>
      </c>
      <c r="D123" s="96" t="str">
        <f>Portfolio!D122</f>
        <v/>
      </c>
      <c r="E123" s="96" t="str">
        <f>Portfolio!E122</f>
        <v/>
      </c>
      <c r="F123" s="96" t="str">
        <f>Portfolio!G122</f>
        <v/>
      </c>
      <c r="G123" s="50" t="str">
        <f>Portfolio!H122</f>
        <v/>
      </c>
      <c r="H123" s="96" t="str">
        <f>Portfolio!I122</f>
        <v/>
      </c>
      <c r="I123" s="96" t="str">
        <f>Portfolio!J122</f>
        <v/>
      </c>
      <c r="J123" s="96" t="str">
        <f>Portfolio!K122</f>
        <v/>
      </c>
      <c r="K123" s="50" t="str">
        <f>Portfolio!O122</f>
        <v/>
      </c>
      <c r="L123" s="96" t="str">
        <f>Portfolio!P122</f>
        <v/>
      </c>
      <c r="M123" s="96" t="str">
        <f>Portfolio!Q122</f>
        <v/>
      </c>
      <c r="N123" s="178" t="str">
        <f>Portfolio!R122</f>
        <v/>
      </c>
      <c r="O123" s="50" t="str">
        <f>Portfolio!S122</f>
        <v/>
      </c>
      <c r="Q123" s="50" t="str">
        <f>Portfolio!U122</f>
        <v/>
      </c>
      <c r="S123" s="50" t="str">
        <f>Portfolio!W122</f>
        <v/>
      </c>
      <c r="T123" s="50" t="str">
        <f>Portfolio!X122</f>
        <v/>
      </c>
      <c r="U123" s="50" t="str">
        <f>Portfolio!Y122</f>
        <v/>
      </c>
      <c r="V123" s="50" t="str">
        <f>Portfolio!Z122</f>
        <v/>
      </c>
      <c r="W123" s="14" t="str">
        <f>Portfolio!AA122</f>
        <v/>
      </c>
      <c r="X123" s="50" t="str">
        <f>Portfolio!AB122</f>
        <v/>
      </c>
      <c r="Y123" s="179" t="str">
        <f>Portfolio!AC122</f>
        <v/>
      </c>
      <c r="Z123" s="50" t="str">
        <f>Portfolio!AD122</f>
        <v/>
      </c>
      <c r="AA123" s="180" t="str">
        <f>Portfolio!AE122</f>
        <v/>
      </c>
    </row>
    <row r="124">
      <c r="A124" s="14" t="str">
        <f>Portfolio!A123</f>
        <v/>
      </c>
      <c r="B124" s="14" t="str">
        <f>Portfolio!B123</f>
        <v/>
      </c>
      <c r="C124" s="158" t="str">
        <f>Portfolio!C123</f>
        <v/>
      </c>
      <c r="D124" s="96" t="str">
        <f>Portfolio!D123</f>
        <v/>
      </c>
      <c r="E124" s="96" t="str">
        <f>Portfolio!E123</f>
        <v/>
      </c>
      <c r="F124" s="96" t="str">
        <f>Portfolio!G123</f>
        <v/>
      </c>
      <c r="G124" s="50" t="str">
        <f>Portfolio!H123</f>
        <v/>
      </c>
      <c r="H124" s="96" t="str">
        <f>Portfolio!I123</f>
        <v/>
      </c>
      <c r="I124" s="96" t="str">
        <f>Portfolio!J123</f>
        <v/>
      </c>
      <c r="J124" s="96" t="str">
        <f>Portfolio!K123</f>
        <v/>
      </c>
      <c r="K124" s="50" t="str">
        <f>Portfolio!O123</f>
        <v/>
      </c>
      <c r="L124" s="96" t="str">
        <f>Portfolio!P123</f>
        <v/>
      </c>
      <c r="M124" s="96" t="str">
        <f>Portfolio!Q123</f>
        <v/>
      </c>
      <c r="N124" s="178" t="str">
        <f>Portfolio!R123</f>
        <v/>
      </c>
      <c r="O124" s="50" t="str">
        <f>Portfolio!S123</f>
        <v/>
      </c>
      <c r="Q124" s="50" t="str">
        <f>Portfolio!U123</f>
        <v/>
      </c>
      <c r="S124" s="50" t="str">
        <f>Portfolio!W123</f>
        <v/>
      </c>
      <c r="T124" s="50" t="str">
        <f>Portfolio!X123</f>
        <v/>
      </c>
      <c r="U124" s="50" t="str">
        <f>Portfolio!Y123</f>
        <v/>
      </c>
      <c r="V124" s="50" t="str">
        <f>Portfolio!Z123</f>
        <v/>
      </c>
      <c r="W124" s="14" t="str">
        <f>Portfolio!AA123</f>
        <v/>
      </c>
      <c r="X124" s="50" t="str">
        <f>Portfolio!AB123</f>
        <v/>
      </c>
      <c r="Y124" s="179" t="str">
        <f>Portfolio!AC123</f>
        <v/>
      </c>
      <c r="Z124" s="50" t="str">
        <f>Portfolio!AD123</f>
        <v/>
      </c>
      <c r="AA124" s="180" t="str">
        <f>Portfolio!AE123</f>
        <v/>
      </c>
    </row>
    <row r="125">
      <c r="A125" s="14" t="str">
        <f>Portfolio!A124</f>
        <v/>
      </c>
      <c r="B125" s="14" t="str">
        <f>Portfolio!B124</f>
        <v/>
      </c>
      <c r="C125" s="158" t="str">
        <f>Portfolio!C124</f>
        <v/>
      </c>
      <c r="D125" s="96" t="str">
        <f>Portfolio!D124</f>
        <v/>
      </c>
      <c r="E125" s="96" t="str">
        <f>Portfolio!E124</f>
        <v/>
      </c>
      <c r="F125" s="96" t="str">
        <f>Portfolio!G124</f>
        <v/>
      </c>
      <c r="G125" s="50" t="str">
        <f>Portfolio!H124</f>
        <v/>
      </c>
      <c r="H125" s="96" t="str">
        <f>Portfolio!I124</f>
        <v/>
      </c>
      <c r="I125" s="96" t="str">
        <f>Portfolio!J124</f>
        <v/>
      </c>
      <c r="J125" s="96" t="str">
        <f>Portfolio!K124</f>
        <v/>
      </c>
      <c r="K125" s="50" t="str">
        <f>Portfolio!O124</f>
        <v/>
      </c>
      <c r="L125" s="96" t="str">
        <f>Portfolio!P124</f>
        <v/>
      </c>
      <c r="M125" s="96" t="str">
        <f>Portfolio!Q124</f>
        <v/>
      </c>
      <c r="N125" s="178" t="str">
        <f>Portfolio!R124</f>
        <v/>
      </c>
      <c r="O125" s="50" t="str">
        <f>Portfolio!S124</f>
        <v/>
      </c>
      <c r="Q125" s="50" t="str">
        <f>Portfolio!U124</f>
        <v/>
      </c>
      <c r="S125" s="50" t="str">
        <f>Portfolio!W124</f>
        <v/>
      </c>
      <c r="T125" s="50" t="str">
        <f>Portfolio!X124</f>
        <v/>
      </c>
      <c r="U125" s="50" t="str">
        <f>Portfolio!Y124</f>
        <v/>
      </c>
      <c r="V125" s="50" t="str">
        <f>Portfolio!Z124</f>
        <v/>
      </c>
      <c r="W125" s="14" t="str">
        <f>Portfolio!AA124</f>
        <v/>
      </c>
      <c r="X125" s="50" t="str">
        <f>Portfolio!AB124</f>
        <v/>
      </c>
      <c r="Y125" s="179" t="str">
        <f>Portfolio!AC124</f>
        <v/>
      </c>
      <c r="Z125" s="50" t="str">
        <f>Portfolio!AD124</f>
        <v/>
      </c>
      <c r="AA125" s="180" t="str">
        <f>Portfolio!AE124</f>
        <v/>
      </c>
    </row>
    <row r="126">
      <c r="A126" s="14" t="str">
        <f>Portfolio!A125</f>
        <v/>
      </c>
      <c r="B126" s="14" t="str">
        <f>Portfolio!B125</f>
        <v/>
      </c>
      <c r="C126" s="158" t="str">
        <f>Portfolio!C125</f>
        <v/>
      </c>
      <c r="D126" s="96" t="str">
        <f>Portfolio!D125</f>
        <v/>
      </c>
      <c r="E126" s="96" t="str">
        <f>Portfolio!E125</f>
        <v/>
      </c>
      <c r="F126" s="96" t="str">
        <f>Portfolio!G125</f>
        <v/>
      </c>
      <c r="G126" s="50" t="str">
        <f>Portfolio!H125</f>
        <v/>
      </c>
      <c r="H126" s="96" t="str">
        <f>Portfolio!I125</f>
        <v/>
      </c>
      <c r="I126" s="96" t="str">
        <f>Portfolio!J125</f>
        <v/>
      </c>
      <c r="J126" s="96" t="str">
        <f>Portfolio!K125</f>
        <v/>
      </c>
      <c r="K126" s="50" t="str">
        <f>Portfolio!O125</f>
        <v/>
      </c>
      <c r="L126" s="96" t="str">
        <f>Portfolio!P125</f>
        <v/>
      </c>
      <c r="M126" s="96" t="str">
        <f>Portfolio!Q125</f>
        <v/>
      </c>
      <c r="N126" s="178" t="str">
        <f>Portfolio!R125</f>
        <v/>
      </c>
      <c r="O126" s="50" t="str">
        <f>Portfolio!S125</f>
        <v/>
      </c>
      <c r="Q126" s="50" t="str">
        <f>Portfolio!U125</f>
        <v/>
      </c>
      <c r="S126" s="50" t="str">
        <f>Portfolio!W125</f>
        <v/>
      </c>
      <c r="T126" s="50" t="str">
        <f>Portfolio!X125</f>
        <v/>
      </c>
      <c r="U126" s="50" t="str">
        <f>Portfolio!Y125</f>
        <v/>
      </c>
      <c r="V126" s="50" t="str">
        <f>Portfolio!Z125</f>
        <v/>
      </c>
      <c r="W126" s="14" t="str">
        <f>Portfolio!AA125</f>
        <v/>
      </c>
      <c r="X126" s="50" t="str">
        <f>Portfolio!AB125</f>
        <v/>
      </c>
      <c r="Y126" s="179" t="str">
        <f>Portfolio!AC125</f>
        <v/>
      </c>
      <c r="Z126" s="50" t="str">
        <f>Portfolio!AD125</f>
        <v/>
      </c>
      <c r="AA126" s="180" t="str">
        <f>Portfolio!AE125</f>
        <v/>
      </c>
    </row>
    <row r="127">
      <c r="A127" s="14" t="str">
        <f>Portfolio!A126</f>
        <v/>
      </c>
      <c r="B127" s="14" t="str">
        <f>Portfolio!B126</f>
        <v/>
      </c>
      <c r="C127" s="158" t="str">
        <f>Portfolio!C126</f>
        <v/>
      </c>
      <c r="D127" s="96" t="str">
        <f>Portfolio!D126</f>
        <v/>
      </c>
      <c r="E127" s="96" t="str">
        <f>Portfolio!E126</f>
        <v/>
      </c>
      <c r="F127" s="96" t="str">
        <f>Portfolio!G126</f>
        <v/>
      </c>
      <c r="G127" s="50" t="str">
        <f>Portfolio!H126</f>
        <v/>
      </c>
      <c r="H127" s="96" t="str">
        <f>Portfolio!I126</f>
        <v/>
      </c>
      <c r="I127" s="96" t="str">
        <f>Portfolio!J126</f>
        <v/>
      </c>
      <c r="J127" s="96" t="str">
        <f>Portfolio!K126</f>
        <v/>
      </c>
      <c r="K127" s="50" t="str">
        <f>Portfolio!O126</f>
        <v/>
      </c>
      <c r="L127" s="96" t="str">
        <f>Portfolio!P126</f>
        <v/>
      </c>
      <c r="M127" s="96" t="str">
        <f>Portfolio!Q126</f>
        <v/>
      </c>
      <c r="N127" s="178" t="str">
        <f>Portfolio!R126</f>
        <v/>
      </c>
      <c r="O127" s="50" t="str">
        <f>Portfolio!S126</f>
        <v/>
      </c>
      <c r="Q127" s="50" t="str">
        <f>Portfolio!U126</f>
        <v/>
      </c>
      <c r="S127" s="50" t="str">
        <f>Portfolio!W126</f>
        <v/>
      </c>
      <c r="T127" s="50" t="str">
        <f>Portfolio!X126</f>
        <v/>
      </c>
      <c r="U127" s="50" t="str">
        <f>Portfolio!Y126</f>
        <v/>
      </c>
      <c r="V127" s="50" t="str">
        <f>Portfolio!Z126</f>
        <v/>
      </c>
      <c r="W127" s="14" t="str">
        <f>Portfolio!AA126</f>
        <v/>
      </c>
      <c r="X127" s="50" t="str">
        <f>Portfolio!AB126</f>
        <v/>
      </c>
      <c r="Y127" s="179" t="str">
        <f>Portfolio!AC126</f>
        <v/>
      </c>
      <c r="Z127" s="50" t="str">
        <f>Portfolio!AD126</f>
        <v/>
      </c>
      <c r="AA127" s="180" t="str">
        <f>Portfolio!AE126</f>
        <v/>
      </c>
    </row>
    <row r="128">
      <c r="A128" s="14" t="str">
        <f>Portfolio!A127</f>
        <v/>
      </c>
      <c r="B128" s="14" t="str">
        <f>Portfolio!B127</f>
        <v/>
      </c>
      <c r="C128" s="158" t="str">
        <f>Portfolio!C127</f>
        <v/>
      </c>
      <c r="D128" s="96" t="str">
        <f>Portfolio!D127</f>
        <v/>
      </c>
      <c r="E128" s="96" t="str">
        <f>Portfolio!E127</f>
        <v/>
      </c>
      <c r="F128" s="96" t="str">
        <f>Portfolio!G127</f>
        <v/>
      </c>
      <c r="G128" s="50" t="str">
        <f>Portfolio!H127</f>
        <v/>
      </c>
      <c r="H128" s="96" t="str">
        <f>Portfolio!I127</f>
        <v/>
      </c>
      <c r="I128" s="96" t="str">
        <f>Portfolio!J127</f>
        <v/>
      </c>
      <c r="J128" s="96" t="str">
        <f>Portfolio!K127</f>
        <v/>
      </c>
      <c r="K128" s="50" t="str">
        <f>Portfolio!O127</f>
        <v/>
      </c>
      <c r="L128" s="96" t="str">
        <f>Portfolio!P127</f>
        <v/>
      </c>
      <c r="M128" s="96" t="str">
        <f>Portfolio!Q127</f>
        <v/>
      </c>
      <c r="N128" s="178" t="str">
        <f>Portfolio!R127</f>
        <v/>
      </c>
      <c r="O128" s="50" t="str">
        <f>Portfolio!S127</f>
        <v/>
      </c>
      <c r="Q128" s="50" t="str">
        <f>Portfolio!U127</f>
        <v/>
      </c>
      <c r="S128" s="50" t="str">
        <f>Portfolio!W127</f>
        <v/>
      </c>
      <c r="T128" s="50" t="str">
        <f>Portfolio!X127</f>
        <v/>
      </c>
      <c r="U128" s="50" t="str">
        <f>Portfolio!Y127</f>
        <v/>
      </c>
      <c r="V128" s="50" t="str">
        <f>Portfolio!Z127</f>
        <v/>
      </c>
      <c r="W128" s="14" t="str">
        <f>Portfolio!AA127</f>
        <v/>
      </c>
      <c r="X128" s="50" t="str">
        <f>Portfolio!AB127</f>
        <v/>
      </c>
      <c r="Y128" s="179" t="str">
        <f>Portfolio!AC127</f>
        <v/>
      </c>
      <c r="Z128" s="50" t="str">
        <f>Portfolio!AD127</f>
        <v/>
      </c>
      <c r="AA128" s="180" t="str">
        <f>Portfolio!AE127</f>
        <v/>
      </c>
    </row>
    <row r="129">
      <c r="A129" s="14" t="str">
        <f>Portfolio!A128</f>
        <v/>
      </c>
      <c r="B129" s="14" t="str">
        <f>Portfolio!B128</f>
        <v/>
      </c>
      <c r="C129" s="158" t="str">
        <f>Portfolio!C128</f>
        <v/>
      </c>
      <c r="D129" s="96" t="str">
        <f>Portfolio!D128</f>
        <v/>
      </c>
      <c r="E129" s="96" t="str">
        <f>Portfolio!E128</f>
        <v/>
      </c>
      <c r="F129" s="96" t="str">
        <f>Portfolio!G128</f>
        <v/>
      </c>
      <c r="G129" s="50" t="str">
        <f>Portfolio!H128</f>
        <v/>
      </c>
      <c r="H129" s="96" t="str">
        <f>Portfolio!I128</f>
        <v/>
      </c>
      <c r="I129" s="96" t="str">
        <f>Portfolio!J128</f>
        <v/>
      </c>
      <c r="J129" s="96" t="str">
        <f>Portfolio!K128</f>
        <v/>
      </c>
      <c r="K129" s="50" t="str">
        <f>Portfolio!O128</f>
        <v/>
      </c>
      <c r="L129" s="96" t="str">
        <f>Portfolio!P128</f>
        <v/>
      </c>
      <c r="M129" s="96" t="str">
        <f>Portfolio!Q128</f>
        <v/>
      </c>
      <c r="N129" s="178" t="str">
        <f>Portfolio!R128</f>
        <v/>
      </c>
      <c r="O129" s="50" t="str">
        <f>Portfolio!S128</f>
        <v/>
      </c>
      <c r="Q129" s="50" t="str">
        <f>Portfolio!U128</f>
        <v/>
      </c>
      <c r="S129" s="50" t="str">
        <f>Portfolio!W128</f>
        <v/>
      </c>
      <c r="T129" s="50" t="str">
        <f>Portfolio!X128</f>
        <v/>
      </c>
      <c r="U129" s="50" t="str">
        <f>Portfolio!Y128</f>
        <v/>
      </c>
      <c r="V129" s="50" t="str">
        <f>Portfolio!Z128</f>
        <v/>
      </c>
      <c r="W129" s="14" t="str">
        <f>Portfolio!AA128</f>
        <v/>
      </c>
      <c r="X129" s="50" t="str">
        <f>Portfolio!AB128</f>
        <v/>
      </c>
      <c r="Y129" s="179" t="str">
        <f>Portfolio!AC128</f>
        <v/>
      </c>
      <c r="Z129" s="50" t="str">
        <f>Portfolio!AD128</f>
        <v/>
      </c>
      <c r="AA129" s="180" t="str">
        <f>Portfolio!AE128</f>
        <v/>
      </c>
    </row>
    <row r="130">
      <c r="A130" s="14" t="str">
        <f>Portfolio!A129</f>
        <v/>
      </c>
      <c r="B130" s="14" t="str">
        <f>Portfolio!B129</f>
        <v/>
      </c>
      <c r="C130" s="158" t="str">
        <f>Portfolio!C129</f>
        <v/>
      </c>
      <c r="D130" s="96" t="str">
        <f>Portfolio!D129</f>
        <v/>
      </c>
      <c r="E130" s="96" t="str">
        <f>Portfolio!E129</f>
        <v/>
      </c>
      <c r="F130" s="96" t="str">
        <f>Portfolio!G129</f>
        <v/>
      </c>
      <c r="G130" s="50" t="str">
        <f>Portfolio!H129</f>
        <v/>
      </c>
      <c r="H130" s="96" t="str">
        <f>Portfolio!I129</f>
        <v/>
      </c>
      <c r="I130" s="96" t="str">
        <f>Portfolio!J129</f>
        <v/>
      </c>
      <c r="J130" s="96" t="str">
        <f>Portfolio!K129</f>
        <v/>
      </c>
      <c r="K130" s="50" t="str">
        <f>Portfolio!O129</f>
        <v/>
      </c>
      <c r="L130" s="96" t="str">
        <f>Portfolio!P129</f>
        <v/>
      </c>
      <c r="M130" s="96" t="str">
        <f>Portfolio!Q129</f>
        <v/>
      </c>
      <c r="N130" s="178" t="str">
        <f>Portfolio!R129</f>
        <v/>
      </c>
      <c r="O130" s="50" t="str">
        <f>Portfolio!S129</f>
        <v/>
      </c>
      <c r="Q130" s="50" t="str">
        <f>Portfolio!U129</f>
        <v/>
      </c>
      <c r="S130" s="50" t="str">
        <f>Portfolio!W129</f>
        <v/>
      </c>
      <c r="T130" s="50" t="str">
        <f>Portfolio!X129</f>
        <v/>
      </c>
      <c r="U130" s="50" t="str">
        <f>Portfolio!Y129</f>
        <v/>
      </c>
      <c r="V130" s="50" t="str">
        <f>Portfolio!Z129</f>
        <v/>
      </c>
      <c r="W130" s="14" t="str">
        <f>Portfolio!AA129</f>
        <v/>
      </c>
      <c r="X130" s="50" t="str">
        <f>Portfolio!AB129</f>
        <v/>
      </c>
      <c r="Y130" s="179" t="str">
        <f>Portfolio!AC129</f>
        <v/>
      </c>
      <c r="Z130" s="50" t="str">
        <f>Portfolio!AD129</f>
        <v/>
      </c>
      <c r="AA130" s="180" t="str">
        <f>Portfolio!AE129</f>
        <v/>
      </c>
    </row>
    <row r="131">
      <c r="A131" s="14" t="str">
        <f>Portfolio!A130</f>
        <v/>
      </c>
      <c r="B131" s="14" t="str">
        <f>Portfolio!B130</f>
        <v/>
      </c>
      <c r="C131" s="158" t="str">
        <f>Portfolio!C130</f>
        <v/>
      </c>
      <c r="D131" s="96" t="str">
        <f>Portfolio!D130</f>
        <v/>
      </c>
      <c r="E131" s="96" t="str">
        <f>Portfolio!E130</f>
        <v/>
      </c>
      <c r="F131" s="96" t="str">
        <f>Portfolio!G130</f>
        <v/>
      </c>
      <c r="G131" s="50" t="str">
        <f>Portfolio!H130</f>
        <v/>
      </c>
      <c r="H131" s="96" t="str">
        <f>Portfolio!I130</f>
        <v/>
      </c>
      <c r="I131" s="96" t="str">
        <f>Portfolio!J130</f>
        <v/>
      </c>
      <c r="J131" s="96" t="str">
        <f>Portfolio!K130</f>
        <v/>
      </c>
      <c r="K131" s="50" t="str">
        <f>Portfolio!O130</f>
        <v/>
      </c>
      <c r="L131" s="96" t="str">
        <f>Portfolio!P130</f>
        <v/>
      </c>
      <c r="M131" s="96" t="str">
        <f>Portfolio!Q130</f>
        <v/>
      </c>
      <c r="N131" s="178" t="str">
        <f>Portfolio!R130</f>
        <v/>
      </c>
      <c r="O131" s="50" t="str">
        <f>Portfolio!S130</f>
        <v/>
      </c>
      <c r="Q131" s="50" t="str">
        <f>Portfolio!U130</f>
        <v/>
      </c>
      <c r="S131" s="50" t="str">
        <f>Portfolio!W130</f>
        <v/>
      </c>
      <c r="T131" s="50" t="str">
        <f>Portfolio!X130</f>
        <v/>
      </c>
      <c r="U131" s="50" t="str">
        <f>Portfolio!Y130</f>
        <v/>
      </c>
      <c r="V131" s="50" t="str">
        <f>Portfolio!Z130</f>
        <v/>
      </c>
      <c r="W131" s="14" t="str">
        <f>Portfolio!AA130</f>
        <v/>
      </c>
      <c r="X131" s="50" t="str">
        <f>Portfolio!AB130</f>
        <v/>
      </c>
      <c r="Y131" s="179" t="str">
        <f>Portfolio!AC130</f>
        <v/>
      </c>
      <c r="Z131" s="50" t="str">
        <f>Portfolio!AD130</f>
        <v/>
      </c>
      <c r="AA131" s="180" t="str">
        <f>Portfolio!AE130</f>
        <v/>
      </c>
    </row>
    <row r="132">
      <c r="A132" s="14" t="str">
        <f>Portfolio!A131</f>
        <v/>
      </c>
      <c r="B132" s="14" t="str">
        <f>Portfolio!B131</f>
        <v/>
      </c>
      <c r="C132" s="158" t="str">
        <f>Portfolio!C131</f>
        <v/>
      </c>
      <c r="D132" s="96" t="str">
        <f>Portfolio!D131</f>
        <v/>
      </c>
      <c r="E132" s="96" t="str">
        <f>Portfolio!E131</f>
        <v/>
      </c>
      <c r="F132" s="96" t="str">
        <f>Portfolio!G131</f>
        <v/>
      </c>
      <c r="G132" s="50" t="str">
        <f>Portfolio!H131</f>
        <v/>
      </c>
      <c r="H132" s="96" t="str">
        <f>Portfolio!I131</f>
        <v/>
      </c>
      <c r="I132" s="96" t="str">
        <f>Portfolio!J131</f>
        <v/>
      </c>
      <c r="J132" s="96" t="str">
        <f>Portfolio!K131</f>
        <v/>
      </c>
      <c r="K132" s="50" t="str">
        <f>Portfolio!O131</f>
        <v/>
      </c>
      <c r="L132" s="96" t="str">
        <f>Portfolio!P131</f>
        <v/>
      </c>
      <c r="M132" s="96" t="str">
        <f>Portfolio!Q131</f>
        <v/>
      </c>
      <c r="N132" s="178" t="str">
        <f>Portfolio!R131</f>
        <v/>
      </c>
      <c r="O132" s="50" t="str">
        <f>Portfolio!S131</f>
        <v/>
      </c>
      <c r="Q132" s="50" t="str">
        <f>Portfolio!U131</f>
        <v/>
      </c>
      <c r="S132" s="50" t="str">
        <f>Portfolio!W131</f>
        <v/>
      </c>
      <c r="T132" s="50" t="str">
        <f>Portfolio!X131</f>
        <v/>
      </c>
      <c r="U132" s="50" t="str">
        <f>Portfolio!Y131</f>
        <v/>
      </c>
      <c r="V132" s="50" t="str">
        <f>Portfolio!Z131</f>
        <v/>
      </c>
      <c r="W132" s="14" t="str">
        <f>Portfolio!AA131</f>
        <v/>
      </c>
      <c r="X132" s="50" t="str">
        <f>Portfolio!AB131</f>
        <v/>
      </c>
      <c r="Y132" s="179" t="str">
        <f>Portfolio!AC131</f>
        <v/>
      </c>
      <c r="Z132" s="50" t="str">
        <f>Portfolio!AD131</f>
        <v/>
      </c>
      <c r="AA132" s="180" t="str">
        <f>Portfolio!AE131</f>
        <v/>
      </c>
    </row>
    <row r="133">
      <c r="A133" s="14" t="str">
        <f>Portfolio!A132</f>
        <v/>
      </c>
      <c r="B133" s="14" t="str">
        <f>Portfolio!B132</f>
        <v/>
      </c>
      <c r="C133" s="158" t="str">
        <f>Portfolio!C132</f>
        <v/>
      </c>
      <c r="D133" s="96" t="str">
        <f>Portfolio!D132</f>
        <v/>
      </c>
      <c r="E133" s="96" t="str">
        <f>Portfolio!E132</f>
        <v/>
      </c>
      <c r="F133" s="96" t="str">
        <f>Portfolio!G132</f>
        <v/>
      </c>
      <c r="G133" s="50" t="str">
        <f>Portfolio!H132</f>
        <v/>
      </c>
      <c r="H133" s="96" t="str">
        <f>Portfolio!I132</f>
        <v/>
      </c>
      <c r="I133" s="96" t="str">
        <f>Portfolio!J132</f>
        <v/>
      </c>
      <c r="J133" s="96" t="str">
        <f>Portfolio!K132</f>
        <v/>
      </c>
      <c r="K133" s="50" t="str">
        <f>Portfolio!O132</f>
        <v/>
      </c>
      <c r="L133" s="96" t="str">
        <f>Portfolio!P132</f>
        <v/>
      </c>
      <c r="M133" s="96" t="str">
        <f>Portfolio!Q132</f>
        <v/>
      </c>
      <c r="N133" s="178" t="str">
        <f>Portfolio!R132</f>
        <v/>
      </c>
      <c r="O133" s="50" t="str">
        <f>Portfolio!S132</f>
        <v/>
      </c>
      <c r="Q133" s="50" t="str">
        <f>Portfolio!U132</f>
        <v/>
      </c>
      <c r="S133" s="50" t="str">
        <f>Portfolio!W132</f>
        <v/>
      </c>
      <c r="T133" s="50" t="str">
        <f>Portfolio!X132</f>
        <v/>
      </c>
      <c r="U133" s="50" t="str">
        <f>Portfolio!Y132</f>
        <v/>
      </c>
      <c r="V133" s="50" t="str">
        <f>Portfolio!Z132</f>
        <v/>
      </c>
      <c r="W133" s="14" t="str">
        <f>Portfolio!AA132</f>
        <v/>
      </c>
      <c r="X133" s="50" t="str">
        <f>Portfolio!AB132</f>
        <v/>
      </c>
      <c r="Y133" s="179" t="str">
        <f>Portfolio!AC132</f>
        <v/>
      </c>
      <c r="Z133" s="50" t="str">
        <f>Portfolio!AD132</f>
        <v/>
      </c>
      <c r="AA133" s="180" t="str">
        <f>Portfolio!AE132</f>
        <v/>
      </c>
    </row>
    <row r="134">
      <c r="A134" s="14" t="str">
        <f>Portfolio!A133</f>
        <v/>
      </c>
      <c r="B134" s="14" t="str">
        <f>Portfolio!B133</f>
        <v/>
      </c>
      <c r="C134" s="158" t="str">
        <f>Portfolio!C133</f>
        <v/>
      </c>
      <c r="D134" s="96" t="str">
        <f>Portfolio!D133</f>
        <v/>
      </c>
      <c r="E134" s="96" t="str">
        <f>Portfolio!E133</f>
        <v/>
      </c>
      <c r="F134" s="96" t="str">
        <f>Portfolio!G133</f>
        <v/>
      </c>
      <c r="G134" s="50" t="str">
        <f>Portfolio!H133</f>
        <v/>
      </c>
      <c r="H134" s="96" t="str">
        <f>Portfolio!I133</f>
        <v/>
      </c>
      <c r="I134" s="96" t="str">
        <f>Portfolio!J133</f>
        <v/>
      </c>
      <c r="J134" s="96" t="str">
        <f>Portfolio!K133</f>
        <v/>
      </c>
      <c r="K134" s="50" t="str">
        <f>Portfolio!O133</f>
        <v/>
      </c>
      <c r="L134" s="96" t="str">
        <f>Portfolio!P133</f>
        <v/>
      </c>
      <c r="M134" s="96" t="str">
        <f>Portfolio!Q133</f>
        <v/>
      </c>
      <c r="N134" s="178" t="str">
        <f>Portfolio!R133</f>
        <v/>
      </c>
      <c r="O134" s="50" t="str">
        <f>Portfolio!S133</f>
        <v/>
      </c>
      <c r="Q134" s="50" t="str">
        <f>Portfolio!U133</f>
        <v/>
      </c>
      <c r="S134" s="50" t="str">
        <f>Portfolio!W133</f>
        <v/>
      </c>
      <c r="T134" s="50" t="str">
        <f>Portfolio!X133</f>
        <v/>
      </c>
      <c r="U134" s="50" t="str">
        <f>Portfolio!Y133</f>
        <v/>
      </c>
      <c r="V134" s="50" t="str">
        <f>Portfolio!Z133</f>
        <v/>
      </c>
      <c r="W134" s="14" t="str">
        <f>Portfolio!AA133</f>
        <v/>
      </c>
      <c r="X134" s="50" t="str">
        <f>Portfolio!AB133</f>
        <v/>
      </c>
      <c r="Y134" s="179" t="str">
        <f>Portfolio!AC133</f>
        <v/>
      </c>
      <c r="Z134" s="50" t="str">
        <f>Portfolio!AD133</f>
        <v/>
      </c>
      <c r="AA134" s="180" t="str">
        <f>Portfolio!AE133</f>
        <v/>
      </c>
    </row>
    <row r="135">
      <c r="A135" s="14" t="str">
        <f>Portfolio!A134</f>
        <v/>
      </c>
      <c r="B135" s="14" t="str">
        <f>Portfolio!B134</f>
        <v/>
      </c>
      <c r="C135" s="158" t="str">
        <f>Portfolio!C134</f>
        <v/>
      </c>
      <c r="D135" s="96" t="str">
        <f>Portfolio!D134</f>
        <v/>
      </c>
      <c r="E135" s="96" t="str">
        <f>Portfolio!E134</f>
        <v/>
      </c>
      <c r="F135" s="96" t="str">
        <f>Portfolio!G134</f>
        <v/>
      </c>
      <c r="G135" s="50" t="str">
        <f>Portfolio!H134</f>
        <v/>
      </c>
      <c r="H135" s="96" t="str">
        <f>Portfolio!I134</f>
        <v/>
      </c>
      <c r="I135" s="96" t="str">
        <f>Portfolio!J134</f>
        <v/>
      </c>
      <c r="J135" s="96" t="str">
        <f>Portfolio!K134</f>
        <v/>
      </c>
      <c r="K135" s="50" t="str">
        <f>Portfolio!O134</f>
        <v/>
      </c>
      <c r="L135" s="96" t="str">
        <f>Portfolio!P134</f>
        <v/>
      </c>
      <c r="M135" s="96" t="str">
        <f>Portfolio!Q134</f>
        <v/>
      </c>
      <c r="N135" s="178" t="str">
        <f>Portfolio!R134</f>
        <v/>
      </c>
      <c r="O135" s="50" t="str">
        <f>Portfolio!S134</f>
        <v/>
      </c>
      <c r="Q135" s="50" t="str">
        <f>Portfolio!U134</f>
        <v/>
      </c>
      <c r="S135" s="50" t="str">
        <f>Portfolio!W134</f>
        <v/>
      </c>
      <c r="T135" s="50" t="str">
        <f>Portfolio!X134</f>
        <v/>
      </c>
      <c r="U135" s="50" t="str">
        <f>Portfolio!Y134</f>
        <v/>
      </c>
      <c r="V135" s="50" t="str">
        <f>Portfolio!Z134</f>
        <v/>
      </c>
      <c r="W135" s="14" t="str">
        <f>Portfolio!AA134</f>
        <v/>
      </c>
      <c r="X135" s="50" t="str">
        <f>Portfolio!AB134</f>
        <v/>
      </c>
      <c r="Y135" s="179" t="str">
        <f>Portfolio!AC134</f>
        <v/>
      </c>
      <c r="Z135" s="50" t="str">
        <f>Portfolio!AD134</f>
        <v/>
      </c>
      <c r="AA135" s="180" t="str">
        <f>Portfolio!AE134</f>
        <v/>
      </c>
    </row>
    <row r="136">
      <c r="A136" s="14" t="str">
        <f>Portfolio!A135</f>
        <v/>
      </c>
      <c r="B136" s="14" t="str">
        <f>Portfolio!B135</f>
        <v/>
      </c>
      <c r="C136" s="158" t="str">
        <f>Portfolio!C135</f>
        <v/>
      </c>
      <c r="D136" s="96" t="str">
        <f>Portfolio!D135</f>
        <v/>
      </c>
      <c r="E136" s="96" t="str">
        <f>Portfolio!E135</f>
        <v/>
      </c>
      <c r="F136" s="96" t="str">
        <f>Portfolio!G135</f>
        <v/>
      </c>
      <c r="G136" s="50" t="str">
        <f>Portfolio!H135</f>
        <v/>
      </c>
      <c r="H136" s="96" t="str">
        <f>Portfolio!I135</f>
        <v/>
      </c>
      <c r="I136" s="96" t="str">
        <f>Portfolio!J135</f>
        <v/>
      </c>
      <c r="J136" s="96" t="str">
        <f>Portfolio!K135</f>
        <v/>
      </c>
      <c r="K136" s="50" t="str">
        <f>Portfolio!O135</f>
        <v/>
      </c>
      <c r="L136" s="96" t="str">
        <f>Portfolio!P135</f>
        <v/>
      </c>
      <c r="M136" s="96" t="str">
        <f>Portfolio!Q135</f>
        <v/>
      </c>
      <c r="N136" s="178" t="str">
        <f>Portfolio!R135</f>
        <v/>
      </c>
      <c r="O136" s="50" t="str">
        <f>Portfolio!S135</f>
        <v/>
      </c>
      <c r="Q136" s="50" t="str">
        <f>Portfolio!U135</f>
        <v/>
      </c>
      <c r="S136" s="50" t="str">
        <f>Portfolio!W135</f>
        <v/>
      </c>
      <c r="T136" s="50" t="str">
        <f>Portfolio!X135</f>
        <v/>
      </c>
      <c r="U136" s="50" t="str">
        <f>Portfolio!Y135</f>
        <v/>
      </c>
      <c r="V136" s="50" t="str">
        <f>Portfolio!Z135</f>
        <v/>
      </c>
      <c r="W136" s="14" t="str">
        <f>Portfolio!AA135</f>
        <v/>
      </c>
      <c r="X136" s="50" t="str">
        <f>Portfolio!AB135</f>
        <v/>
      </c>
      <c r="Y136" s="179" t="str">
        <f>Portfolio!AC135</f>
        <v/>
      </c>
      <c r="Z136" s="50" t="str">
        <f>Portfolio!AD135</f>
        <v/>
      </c>
      <c r="AA136" s="180" t="str">
        <f>Portfolio!AE135</f>
        <v/>
      </c>
    </row>
    <row r="137">
      <c r="A137" s="14" t="str">
        <f>Portfolio!A136</f>
        <v/>
      </c>
      <c r="B137" s="14" t="str">
        <f>Portfolio!B136</f>
        <v/>
      </c>
      <c r="C137" s="158" t="str">
        <f>Portfolio!C136</f>
        <v/>
      </c>
      <c r="D137" s="96" t="str">
        <f>Portfolio!D136</f>
        <v/>
      </c>
      <c r="E137" s="96" t="str">
        <f>Portfolio!E136</f>
        <v/>
      </c>
      <c r="F137" s="96" t="str">
        <f>Portfolio!G136</f>
        <v/>
      </c>
      <c r="G137" s="50" t="str">
        <f>Portfolio!H136</f>
        <v/>
      </c>
      <c r="H137" s="96" t="str">
        <f>Portfolio!I136</f>
        <v/>
      </c>
      <c r="I137" s="96" t="str">
        <f>Portfolio!J136</f>
        <v/>
      </c>
      <c r="J137" s="96" t="str">
        <f>Portfolio!K136</f>
        <v/>
      </c>
      <c r="K137" s="50" t="str">
        <f>Portfolio!O136</f>
        <v/>
      </c>
      <c r="L137" s="96" t="str">
        <f>Portfolio!P136</f>
        <v/>
      </c>
      <c r="M137" s="96" t="str">
        <f>Portfolio!Q136</f>
        <v/>
      </c>
      <c r="N137" s="178" t="str">
        <f>Portfolio!R136</f>
        <v/>
      </c>
      <c r="O137" s="50" t="str">
        <f>Portfolio!S136</f>
        <v/>
      </c>
      <c r="Q137" s="50" t="str">
        <f>Portfolio!U136</f>
        <v/>
      </c>
      <c r="S137" s="50" t="str">
        <f>Portfolio!W136</f>
        <v/>
      </c>
      <c r="T137" s="50" t="str">
        <f>Portfolio!X136</f>
        <v/>
      </c>
      <c r="U137" s="50" t="str">
        <f>Portfolio!Y136</f>
        <v/>
      </c>
      <c r="V137" s="50" t="str">
        <f>Portfolio!Z136</f>
        <v/>
      </c>
      <c r="W137" s="14" t="str">
        <f>Portfolio!AA136</f>
        <v/>
      </c>
      <c r="X137" s="50" t="str">
        <f>Portfolio!AB136</f>
        <v/>
      </c>
      <c r="Y137" s="179" t="str">
        <f>Portfolio!AC136</f>
        <v/>
      </c>
      <c r="Z137" s="50" t="str">
        <f>Portfolio!AD136</f>
        <v/>
      </c>
      <c r="AA137" s="180" t="str">
        <f>Portfolio!AE136</f>
        <v/>
      </c>
    </row>
    <row r="138">
      <c r="A138" s="14" t="str">
        <f>Portfolio!A137</f>
        <v/>
      </c>
      <c r="B138" s="14" t="str">
        <f>Portfolio!B137</f>
        <v/>
      </c>
      <c r="C138" s="158" t="str">
        <f>Portfolio!C137</f>
        <v/>
      </c>
      <c r="D138" s="96" t="str">
        <f>Portfolio!D137</f>
        <v/>
      </c>
      <c r="E138" s="96" t="str">
        <f>Portfolio!E137</f>
        <v/>
      </c>
      <c r="F138" s="96" t="str">
        <f>Portfolio!G137</f>
        <v/>
      </c>
      <c r="G138" s="50" t="str">
        <f>Portfolio!H137</f>
        <v/>
      </c>
      <c r="H138" s="96" t="str">
        <f>Portfolio!I137</f>
        <v/>
      </c>
      <c r="I138" s="96" t="str">
        <f>Portfolio!J137</f>
        <v/>
      </c>
      <c r="J138" s="96" t="str">
        <f>Portfolio!K137</f>
        <v/>
      </c>
      <c r="K138" s="50" t="str">
        <f>Portfolio!O137</f>
        <v/>
      </c>
      <c r="L138" s="96" t="str">
        <f>Portfolio!P137</f>
        <v/>
      </c>
      <c r="M138" s="96" t="str">
        <f>Portfolio!Q137</f>
        <v/>
      </c>
      <c r="N138" s="178" t="str">
        <f>Portfolio!R137</f>
        <v/>
      </c>
      <c r="O138" s="50" t="str">
        <f>Portfolio!S137</f>
        <v/>
      </c>
      <c r="Q138" s="50" t="str">
        <f>Portfolio!U137</f>
        <v/>
      </c>
      <c r="S138" s="50" t="str">
        <f>Portfolio!W137</f>
        <v/>
      </c>
      <c r="T138" s="50" t="str">
        <f>Portfolio!X137</f>
        <v/>
      </c>
      <c r="U138" s="50" t="str">
        <f>Portfolio!Y137</f>
        <v/>
      </c>
      <c r="V138" s="50" t="str">
        <f>Portfolio!Z137</f>
        <v/>
      </c>
      <c r="W138" s="14" t="str">
        <f>Portfolio!AA137</f>
        <v/>
      </c>
      <c r="X138" s="50" t="str">
        <f>Portfolio!AB137</f>
        <v/>
      </c>
      <c r="Y138" s="179" t="str">
        <f>Portfolio!AC137</f>
        <v/>
      </c>
      <c r="Z138" s="50" t="str">
        <f>Portfolio!AD137</f>
        <v/>
      </c>
      <c r="AA138" s="180" t="str">
        <f>Portfolio!AE137</f>
        <v/>
      </c>
    </row>
    <row r="139">
      <c r="A139" s="14" t="str">
        <f>Portfolio!A138</f>
        <v/>
      </c>
      <c r="B139" s="14" t="str">
        <f>Portfolio!B138</f>
        <v/>
      </c>
      <c r="C139" s="158" t="str">
        <f>Portfolio!C138</f>
        <v/>
      </c>
      <c r="D139" s="96" t="str">
        <f>Portfolio!D138</f>
        <v/>
      </c>
      <c r="E139" s="96" t="str">
        <f>Portfolio!E138</f>
        <v/>
      </c>
      <c r="F139" s="96" t="str">
        <f>Portfolio!G138</f>
        <v/>
      </c>
      <c r="G139" s="50" t="str">
        <f>Portfolio!H138</f>
        <v/>
      </c>
      <c r="H139" s="96" t="str">
        <f>Portfolio!I138</f>
        <v/>
      </c>
      <c r="I139" s="96" t="str">
        <f>Portfolio!J138</f>
        <v/>
      </c>
      <c r="J139" s="96" t="str">
        <f>Portfolio!K138</f>
        <v/>
      </c>
      <c r="K139" s="50" t="str">
        <f>Portfolio!O138</f>
        <v/>
      </c>
      <c r="L139" s="96" t="str">
        <f>Portfolio!P138</f>
        <v/>
      </c>
      <c r="M139" s="96" t="str">
        <f>Portfolio!Q138</f>
        <v/>
      </c>
      <c r="N139" s="178" t="str">
        <f>Portfolio!R138</f>
        <v/>
      </c>
      <c r="O139" s="50" t="str">
        <f>Portfolio!S138</f>
        <v/>
      </c>
      <c r="Q139" s="50" t="str">
        <f>Portfolio!U138</f>
        <v/>
      </c>
      <c r="S139" s="50" t="str">
        <f>Portfolio!W138</f>
        <v/>
      </c>
      <c r="T139" s="50" t="str">
        <f>Portfolio!X138</f>
        <v/>
      </c>
      <c r="U139" s="50" t="str">
        <f>Portfolio!Y138</f>
        <v/>
      </c>
      <c r="V139" s="50" t="str">
        <f>Portfolio!Z138</f>
        <v/>
      </c>
      <c r="W139" s="14" t="str">
        <f>Portfolio!AA138</f>
        <v/>
      </c>
      <c r="X139" s="50" t="str">
        <f>Portfolio!AB138</f>
        <v/>
      </c>
      <c r="Y139" s="179" t="str">
        <f>Portfolio!AC138</f>
        <v/>
      </c>
      <c r="Z139" s="50" t="str">
        <f>Portfolio!AD138</f>
        <v/>
      </c>
      <c r="AA139" s="180" t="str">
        <f>Portfolio!AE138</f>
        <v/>
      </c>
    </row>
    <row r="140">
      <c r="A140" s="14" t="str">
        <f>Portfolio!A139</f>
        <v/>
      </c>
      <c r="B140" s="14" t="str">
        <f>Portfolio!B139</f>
        <v/>
      </c>
      <c r="C140" s="158" t="str">
        <f>Portfolio!C139</f>
        <v/>
      </c>
      <c r="D140" s="96" t="str">
        <f>Portfolio!D139</f>
        <v/>
      </c>
      <c r="E140" s="96" t="str">
        <f>Portfolio!E139</f>
        <v/>
      </c>
      <c r="F140" s="96" t="str">
        <f>Portfolio!G139</f>
        <v/>
      </c>
      <c r="G140" s="50" t="str">
        <f>Portfolio!H139</f>
        <v/>
      </c>
      <c r="H140" s="96" t="str">
        <f>Portfolio!I139</f>
        <v/>
      </c>
      <c r="I140" s="96" t="str">
        <f>Portfolio!J139</f>
        <v/>
      </c>
      <c r="J140" s="96" t="str">
        <f>Portfolio!K139</f>
        <v/>
      </c>
      <c r="K140" s="50" t="str">
        <f>Portfolio!O139</f>
        <v/>
      </c>
      <c r="L140" s="96" t="str">
        <f>Portfolio!P139</f>
        <v/>
      </c>
      <c r="M140" s="96" t="str">
        <f>Portfolio!Q139</f>
        <v/>
      </c>
      <c r="N140" s="178" t="str">
        <f>Portfolio!R139</f>
        <v/>
      </c>
      <c r="O140" s="50" t="str">
        <f>Portfolio!S139</f>
        <v/>
      </c>
      <c r="Q140" s="50" t="str">
        <f>Portfolio!U139</f>
        <v/>
      </c>
      <c r="S140" s="50" t="str">
        <f>Portfolio!W139</f>
        <v/>
      </c>
      <c r="T140" s="50" t="str">
        <f>Portfolio!X139</f>
        <v/>
      </c>
      <c r="U140" s="50" t="str">
        <f>Portfolio!Y139</f>
        <v/>
      </c>
      <c r="V140" s="50" t="str">
        <f>Portfolio!Z139</f>
        <v/>
      </c>
      <c r="W140" s="14" t="str">
        <f>Portfolio!AA139</f>
        <v/>
      </c>
      <c r="X140" s="50" t="str">
        <f>Portfolio!AB139</f>
        <v/>
      </c>
      <c r="Y140" s="179" t="str">
        <f>Portfolio!AC139</f>
        <v/>
      </c>
      <c r="Z140" s="50" t="str">
        <f>Portfolio!AD139</f>
        <v/>
      </c>
      <c r="AA140" s="180" t="str">
        <f>Portfolio!AE139</f>
        <v/>
      </c>
    </row>
    <row r="141">
      <c r="A141" s="14" t="str">
        <f>Portfolio!A140</f>
        <v/>
      </c>
      <c r="B141" s="14" t="str">
        <f>Portfolio!B140</f>
        <v/>
      </c>
      <c r="C141" s="158" t="str">
        <f>Portfolio!C140</f>
        <v/>
      </c>
      <c r="D141" s="96" t="str">
        <f>Portfolio!D140</f>
        <v/>
      </c>
      <c r="E141" s="96" t="str">
        <f>Portfolio!E140</f>
        <v/>
      </c>
      <c r="F141" s="96" t="str">
        <f>Portfolio!G140</f>
        <v/>
      </c>
      <c r="G141" s="50" t="str">
        <f>Portfolio!H140</f>
        <v/>
      </c>
      <c r="H141" s="96" t="str">
        <f>Portfolio!I140</f>
        <v/>
      </c>
      <c r="I141" s="96" t="str">
        <f>Portfolio!J140</f>
        <v/>
      </c>
      <c r="J141" s="96" t="str">
        <f>Portfolio!K140</f>
        <v/>
      </c>
      <c r="K141" s="50" t="str">
        <f>Portfolio!O140</f>
        <v/>
      </c>
      <c r="L141" s="96" t="str">
        <f>Portfolio!P140</f>
        <v/>
      </c>
      <c r="M141" s="96" t="str">
        <f>Portfolio!Q140</f>
        <v/>
      </c>
      <c r="N141" s="178" t="str">
        <f>Portfolio!R140</f>
        <v/>
      </c>
      <c r="O141" s="50" t="str">
        <f>Portfolio!S140</f>
        <v/>
      </c>
      <c r="Q141" s="50" t="str">
        <f>Portfolio!U140</f>
        <v/>
      </c>
      <c r="S141" s="50" t="str">
        <f>Portfolio!W140</f>
        <v/>
      </c>
      <c r="T141" s="50" t="str">
        <f>Portfolio!X140</f>
        <v/>
      </c>
      <c r="U141" s="50" t="str">
        <f>Portfolio!Y140</f>
        <v/>
      </c>
      <c r="V141" s="50" t="str">
        <f>Portfolio!Z140</f>
        <v/>
      </c>
      <c r="W141" s="14" t="str">
        <f>Portfolio!AA140</f>
        <v/>
      </c>
      <c r="X141" s="50" t="str">
        <f>Portfolio!AB140</f>
        <v/>
      </c>
      <c r="Y141" s="179" t="str">
        <f>Portfolio!AC140</f>
        <v/>
      </c>
      <c r="Z141" s="50" t="str">
        <f>Portfolio!AD140</f>
        <v/>
      </c>
      <c r="AA141" s="180" t="str">
        <f>Portfolio!AE140</f>
        <v/>
      </c>
    </row>
    <row r="142">
      <c r="A142" s="14" t="str">
        <f>Portfolio!A141</f>
        <v/>
      </c>
      <c r="B142" s="14" t="str">
        <f>Portfolio!B141</f>
        <v/>
      </c>
      <c r="C142" s="158" t="str">
        <f>Portfolio!C141</f>
        <v/>
      </c>
      <c r="D142" s="96" t="str">
        <f>Portfolio!D141</f>
        <v/>
      </c>
      <c r="E142" s="96" t="str">
        <f>Portfolio!E141</f>
        <v/>
      </c>
      <c r="F142" s="96" t="str">
        <f>Portfolio!G141</f>
        <v/>
      </c>
      <c r="G142" s="50" t="str">
        <f>Portfolio!H141</f>
        <v/>
      </c>
      <c r="H142" s="96" t="str">
        <f>Portfolio!I141</f>
        <v/>
      </c>
      <c r="I142" s="96" t="str">
        <f>Portfolio!J141</f>
        <v/>
      </c>
      <c r="J142" s="96" t="str">
        <f>Portfolio!K141</f>
        <v/>
      </c>
      <c r="K142" s="50" t="str">
        <f>Portfolio!O141</f>
        <v/>
      </c>
      <c r="L142" s="96" t="str">
        <f>Portfolio!P141</f>
        <v/>
      </c>
      <c r="M142" s="96" t="str">
        <f>Portfolio!Q141</f>
        <v/>
      </c>
      <c r="N142" s="178" t="str">
        <f>Portfolio!R141</f>
        <v/>
      </c>
      <c r="O142" s="50" t="str">
        <f>Portfolio!S141</f>
        <v/>
      </c>
      <c r="Q142" s="50" t="str">
        <f>Portfolio!U141</f>
        <v/>
      </c>
      <c r="S142" s="50" t="str">
        <f>Portfolio!W141</f>
        <v/>
      </c>
      <c r="T142" s="50" t="str">
        <f>Portfolio!X141</f>
        <v/>
      </c>
      <c r="U142" s="50" t="str">
        <f>Portfolio!Y141</f>
        <v/>
      </c>
      <c r="V142" s="50" t="str">
        <f>Portfolio!Z141</f>
        <v/>
      </c>
      <c r="W142" s="14" t="str">
        <f>Portfolio!AA141</f>
        <v/>
      </c>
      <c r="X142" s="50" t="str">
        <f>Portfolio!AB141</f>
        <v/>
      </c>
      <c r="Y142" s="179" t="str">
        <f>Portfolio!AC141</f>
        <v/>
      </c>
      <c r="Z142" s="50" t="str">
        <f>Portfolio!AD141</f>
        <v/>
      </c>
      <c r="AA142" s="180" t="str">
        <f>Portfolio!AE141</f>
        <v/>
      </c>
    </row>
    <row r="143">
      <c r="A143" s="14" t="str">
        <f>Portfolio!A142</f>
        <v/>
      </c>
      <c r="B143" s="14" t="str">
        <f>Portfolio!B142</f>
        <v/>
      </c>
      <c r="C143" s="158" t="str">
        <f>Portfolio!C142</f>
        <v/>
      </c>
      <c r="D143" s="96" t="str">
        <f>Portfolio!D142</f>
        <v/>
      </c>
      <c r="E143" s="96" t="str">
        <f>Portfolio!E142</f>
        <v/>
      </c>
      <c r="F143" s="96" t="str">
        <f>Portfolio!G142</f>
        <v/>
      </c>
      <c r="G143" s="50" t="str">
        <f>Portfolio!H142</f>
        <v/>
      </c>
      <c r="H143" s="96" t="str">
        <f>Portfolio!I142</f>
        <v/>
      </c>
      <c r="I143" s="96" t="str">
        <f>Portfolio!J142</f>
        <v/>
      </c>
      <c r="J143" s="96" t="str">
        <f>Portfolio!K142</f>
        <v/>
      </c>
      <c r="K143" s="50" t="str">
        <f>Portfolio!O142</f>
        <v/>
      </c>
      <c r="L143" s="96" t="str">
        <f>Portfolio!P142</f>
        <v/>
      </c>
      <c r="M143" s="96" t="str">
        <f>Portfolio!Q142</f>
        <v/>
      </c>
      <c r="N143" s="178" t="str">
        <f>Portfolio!R142</f>
        <v/>
      </c>
      <c r="O143" s="50" t="str">
        <f>Portfolio!S142</f>
        <v/>
      </c>
      <c r="Q143" s="50" t="str">
        <f>Portfolio!U142</f>
        <v/>
      </c>
      <c r="S143" s="50" t="str">
        <f>Portfolio!W142</f>
        <v/>
      </c>
      <c r="T143" s="50" t="str">
        <f>Portfolio!X142</f>
        <v/>
      </c>
      <c r="U143" s="50" t="str">
        <f>Portfolio!Y142</f>
        <v/>
      </c>
      <c r="V143" s="50" t="str">
        <f>Portfolio!Z142</f>
        <v/>
      </c>
      <c r="W143" s="14" t="str">
        <f>Portfolio!AA142</f>
        <v/>
      </c>
      <c r="X143" s="50" t="str">
        <f>Portfolio!AB142</f>
        <v/>
      </c>
      <c r="Y143" s="179" t="str">
        <f>Portfolio!AC142</f>
        <v/>
      </c>
      <c r="Z143" s="50" t="str">
        <f>Portfolio!AD142</f>
        <v/>
      </c>
      <c r="AA143" s="180" t="str">
        <f>Portfolio!AE142</f>
        <v/>
      </c>
    </row>
    <row r="144">
      <c r="A144" s="14" t="str">
        <f>Portfolio!A143</f>
        <v/>
      </c>
      <c r="B144" s="14" t="str">
        <f>Portfolio!B143</f>
        <v/>
      </c>
      <c r="C144" s="158" t="str">
        <f>Portfolio!C143</f>
        <v/>
      </c>
      <c r="D144" s="96" t="str">
        <f>Portfolio!D143</f>
        <v/>
      </c>
      <c r="E144" s="96" t="str">
        <f>Portfolio!E143</f>
        <v/>
      </c>
      <c r="F144" s="96" t="str">
        <f>Portfolio!G143</f>
        <v/>
      </c>
      <c r="G144" s="50" t="str">
        <f>Portfolio!H143</f>
        <v/>
      </c>
      <c r="H144" s="96" t="str">
        <f>Portfolio!I143</f>
        <v/>
      </c>
      <c r="I144" s="96" t="str">
        <f>Portfolio!J143</f>
        <v/>
      </c>
      <c r="J144" s="96" t="str">
        <f>Portfolio!K143</f>
        <v/>
      </c>
      <c r="K144" s="50" t="str">
        <f>Portfolio!O143</f>
        <v/>
      </c>
      <c r="L144" s="96" t="str">
        <f>Portfolio!P143</f>
        <v/>
      </c>
      <c r="M144" s="96" t="str">
        <f>Portfolio!Q143</f>
        <v/>
      </c>
      <c r="N144" s="178" t="str">
        <f>Portfolio!R143</f>
        <v/>
      </c>
      <c r="O144" s="50" t="str">
        <f>Portfolio!S143</f>
        <v/>
      </c>
      <c r="Q144" s="50" t="str">
        <f>Portfolio!U143</f>
        <v/>
      </c>
      <c r="S144" s="50" t="str">
        <f>Portfolio!W143</f>
        <v/>
      </c>
      <c r="T144" s="50" t="str">
        <f>Portfolio!X143</f>
        <v/>
      </c>
      <c r="U144" s="50" t="str">
        <f>Portfolio!Y143</f>
        <v/>
      </c>
      <c r="V144" s="50" t="str">
        <f>Portfolio!Z143</f>
        <v/>
      </c>
      <c r="W144" s="14" t="str">
        <f>Portfolio!AA143</f>
        <v/>
      </c>
      <c r="X144" s="50" t="str">
        <f>Portfolio!AB143</f>
        <v/>
      </c>
      <c r="Y144" s="179" t="str">
        <f>Portfolio!AC143</f>
        <v/>
      </c>
      <c r="Z144" s="50" t="str">
        <f>Portfolio!AD143</f>
        <v/>
      </c>
      <c r="AA144" s="180" t="str">
        <f>Portfolio!AE143</f>
        <v/>
      </c>
    </row>
    <row r="145">
      <c r="A145" s="14" t="str">
        <f>Portfolio!A144</f>
        <v/>
      </c>
      <c r="B145" s="14" t="str">
        <f>Portfolio!B144</f>
        <v/>
      </c>
      <c r="C145" s="158" t="str">
        <f>Portfolio!C144</f>
        <v/>
      </c>
      <c r="D145" s="96" t="str">
        <f>Portfolio!D144</f>
        <v/>
      </c>
      <c r="E145" s="96" t="str">
        <f>Portfolio!E144</f>
        <v/>
      </c>
      <c r="F145" s="96" t="str">
        <f>Portfolio!G144</f>
        <v/>
      </c>
      <c r="G145" s="50" t="str">
        <f>Portfolio!H144</f>
        <v/>
      </c>
      <c r="H145" s="96" t="str">
        <f>Portfolio!I144</f>
        <v/>
      </c>
      <c r="I145" s="96" t="str">
        <f>Portfolio!J144</f>
        <v/>
      </c>
      <c r="J145" s="96" t="str">
        <f>Portfolio!K144</f>
        <v/>
      </c>
      <c r="K145" s="50" t="str">
        <f>Portfolio!O144</f>
        <v/>
      </c>
      <c r="L145" s="96" t="str">
        <f>Portfolio!P144</f>
        <v/>
      </c>
      <c r="M145" s="96" t="str">
        <f>Portfolio!Q144</f>
        <v/>
      </c>
      <c r="N145" s="178" t="str">
        <f>Portfolio!R144</f>
        <v/>
      </c>
      <c r="O145" s="50" t="str">
        <f>Portfolio!S144</f>
        <v/>
      </c>
      <c r="Q145" s="50" t="str">
        <f>Portfolio!U144</f>
        <v/>
      </c>
      <c r="S145" s="50" t="str">
        <f>Portfolio!W144</f>
        <v/>
      </c>
      <c r="T145" s="50" t="str">
        <f>Portfolio!X144</f>
        <v/>
      </c>
      <c r="U145" s="50" t="str">
        <f>Portfolio!Y144</f>
        <v/>
      </c>
      <c r="V145" s="50" t="str">
        <f>Portfolio!Z144</f>
        <v/>
      </c>
      <c r="W145" s="14" t="str">
        <f>Portfolio!AA144</f>
        <v/>
      </c>
      <c r="X145" s="50" t="str">
        <f>Portfolio!AB144</f>
        <v/>
      </c>
      <c r="Y145" s="179" t="str">
        <f>Portfolio!AC144</f>
        <v/>
      </c>
      <c r="Z145" s="50" t="str">
        <f>Portfolio!AD144</f>
        <v/>
      </c>
      <c r="AA145" s="180" t="str">
        <f>Portfolio!AE144</f>
        <v/>
      </c>
    </row>
    <row r="146">
      <c r="A146" s="14" t="str">
        <f>Portfolio!A145</f>
        <v/>
      </c>
      <c r="B146" s="14" t="str">
        <f>Portfolio!B145</f>
        <v/>
      </c>
      <c r="C146" s="158" t="str">
        <f>Portfolio!C145</f>
        <v/>
      </c>
      <c r="D146" s="96" t="str">
        <f>Portfolio!D145</f>
        <v/>
      </c>
      <c r="E146" s="96" t="str">
        <f>Portfolio!E145</f>
        <v/>
      </c>
      <c r="F146" s="96" t="str">
        <f>Portfolio!G145</f>
        <v/>
      </c>
      <c r="G146" s="50" t="str">
        <f>Portfolio!H145</f>
        <v/>
      </c>
      <c r="H146" s="96" t="str">
        <f>Portfolio!I145</f>
        <v/>
      </c>
      <c r="I146" s="96" t="str">
        <f>Portfolio!J145</f>
        <v/>
      </c>
      <c r="J146" s="96" t="str">
        <f>Portfolio!K145</f>
        <v/>
      </c>
      <c r="K146" s="50" t="str">
        <f>Portfolio!O145</f>
        <v/>
      </c>
      <c r="L146" s="96" t="str">
        <f>Portfolio!P145</f>
        <v/>
      </c>
      <c r="M146" s="96" t="str">
        <f>Portfolio!Q145</f>
        <v/>
      </c>
      <c r="N146" s="178" t="str">
        <f>Portfolio!R145</f>
        <v/>
      </c>
      <c r="O146" s="50" t="str">
        <f>Portfolio!S145</f>
        <v/>
      </c>
      <c r="Q146" s="50" t="str">
        <f>Portfolio!U145</f>
        <v/>
      </c>
      <c r="S146" s="50" t="str">
        <f>Portfolio!W145</f>
        <v/>
      </c>
      <c r="T146" s="50" t="str">
        <f>Portfolio!X145</f>
        <v/>
      </c>
      <c r="U146" s="50" t="str">
        <f>Portfolio!Y145</f>
        <v/>
      </c>
      <c r="V146" s="50" t="str">
        <f>Portfolio!Z145</f>
        <v/>
      </c>
      <c r="W146" s="14" t="str">
        <f>Portfolio!AA145</f>
        <v/>
      </c>
      <c r="X146" s="50" t="str">
        <f>Portfolio!AB145</f>
        <v/>
      </c>
      <c r="Y146" s="179" t="str">
        <f>Portfolio!AC145</f>
        <v/>
      </c>
      <c r="Z146" s="50" t="str">
        <f>Portfolio!AD145</f>
        <v/>
      </c>
      <c r="AA146" s="180" t="str">
        <f>Portfolio!AE145</f>
        <v/>
      </c>
    </row>
    <row r="147">
      <c r="A147" s="14" t="str">
        <f>Portfolio!A146</f>
        <v/>
      </c>
      <c r="B147" s="14" t="str">
        <f>Portfolio!B146</f>
        <v/>
      </c>
      <c r="C147" s="158" t="str">
        <f>Portfolio!C146</f>
        <v/>
      </c>
      <c r="D147" s="96" t="str">
        <f>Portfolio!D146</f>
        <v/>
      </c>
      <c r="E147" s="96" t="str">
        <f>Portfolio!E146</f>
        <v/>
      </c>
      <c r="F147" s="96" t="str">
        <f>Portfolio!G146</f>
        <v/>
      </c>
      <c r="G147" s="50" t="str">
        <f>Portfolio!H146</f>
        <v/>
      </c>
      <c r="H147" s="96" t="str">
        <f>Portfolio!I146</f>
        <v/>
      </c>
      <c r="I147" s="96" t="str">
        <f>Portfolio!J146</f>
        <v/>
      </c>
      <c r="J147" s="96" t="str">
        <f>Portfolio!K146</f>
        <v/>
      </c>
      <c r="K147" s="50" t="str">
        <f>Portfolio!O146</f>
        <v/>
      </c>
      <c r="L147" s="96" t="str">
        <f>Portfolio!P146</f>
        <v/>
      </c>
      <c r="M147" s="96" t="str">
        <f>Portfolio!Q146</f>
        <v/>
      </c>
      <c r="N147" s="178" t="str">
        <f>Portfolio!R146</f>
        <v/>
      </c>
      <c r="O147" s="50" t="str">
        <f>Portfolio!S146</f>
        <v/>
      </c>
      <c r="Q147" s="50" t="str">
        <f>Portfolio!U146</f>
        <v/>
      </c>
      <c r="S147" s="50" t="str">
        <f>Portfolio!W146</f>
        <v/>
      </c>
      <c r="T147" s="50" t="str">
        <f>Portfolio!X146</f>
        <v/>
      </c>
      <c r="U147" s="50" t="str">
        <f>Portfolio!Y146</f>
        <v/>
      </c>
      <c r="V147" s="50" t="str">
        <f>Portfolio!Z146</f>
        <v/>
      </c>
      <c r="W147" s="14" t="str">
        <f>Portfolio!AA146</f>
        <v/>
      </c>
      <c r="X147" s="50" t="str">
        <f>Portfolio!AB146</f>
        <v/>
      </c>
      <c r="Y147" s="179" t="str">
        <f>Portfolio!AC146</f>
        <v/>
      </c>
      <c r="Z147" s="50" t="str">
        <f>Portfolio!AD146</f>
        <v/>
      </c>
      <c r="AA147" s="180" t="str">
        <f>Portfolio!AE146</f>
        <v/>
      </c>
    </row>
    <row r="148">
      <c r="A148" s="14" t="str">
        <f>Portfolio!A147</f>
        <v/>
      </c>
      <c r="B148" s="14" t="str">
        <f>Portfolio!B147</f>
        <v/>
      </c>
      <c r="C148" s="158" t="str">
        <f>Portfolio!C147</f>
        <v/>
      </c>
      <c r="D148" s="96" t="str">
        <f>Portfolio!D147</f>
        <v/>
      </c>
      <c r="E148" s="96" t="str">
        <f>Portfolio!E147</f>
        <v/>
      </c>
      <c r="F148" s="96" t="str">
        <f>Portfolio!G147</f>
        <v/>
      </c>
      <c r="G148" s="50" t="str">
        <f>Portfolio!H147</f>
        <v/>
      </c>
      <c r="H148" s="96" t="str">
        <f>Portfolio!I147</f>
        <v/>
      </c>
      <c r="I148" s="96" t="str">
        <f>Portfolio!J147</f>
        <v/>
      </c>
      <c r="J148" s="96" t="str">
        <f>Portfolio!K147</f>
        <v/>
      </c>
      <c r="K148" s="50" t="str">
        <f>Portfolio!O147</f>
        <v/>
      </c>
      <c r="L148" s="96" t="str">
        <f>Portfolio!P147</f>
        <v/>
      </c>
      <c r="M148" s="96" t="str">
        <f>Portfolio!Q147</f>
        <v/>
      </c>
      <c r="N148" s="178" t="str">
        <f>Portfolio!R147</f>
        <v/>
      </c>
      <c r="O148" s="50" t="str">
        <f>Portfolio!S147</f>
        <v/>
      </c>
      <c r="Q148" s="50" t="str">
        <f>Portfolio!U147</f>
        <v/>
      </c>
      <c r="S148" s="50" t="str">
        <f>Portfolio!W147</f>
        <v/>
      </c>
      <c r="T148" s="50" t="str">
        <f>Portfolio!X147</f>
        <v/>
      </c>
      <c r="U148" s="50" t="str">
        <f>Portfolio!Y147</f>
        <v/>
      </c>
      <c r="V148" s="50" t="str">
        <f>Portfolio!Z147</f>
        <v/>
      </c>
      <c r="W148" s="14" t="str">
        <f>Portfolio!AA147</f>
        <v/>
      </c>
      <c r="X148" s="50" t="str">
        <f>Portfolio!AB147</f>
        <v/>
      </c>
      <c r="Y148" s="179" t="str">
        <f>Portfolio!AC147</f>
        <v/>
      </c>
      <c r="Z148" s="50" t="str">
        <f>Portfolio!AD147</f>
        <v/>
      </c>
      <c r="AA148" s="180" t="str">
        <f>Portfolio!AE147</f>
        <v/>
      </c>
    </row>
    <row r="149">
      <c r="A149" s="14" t="str">
        <f>Portfolio!A148</f>
        <v/>
      </c>
      <c r="B149" s="14" t="str">
        <f>Portfolio!B148</f>
        <v/>
      </c>
      <c r="C149" s="158" t="str">
        <f>Portfolio!C148</f>
        <v/>
      </c>
      <c r="D149" s="96" t="str">
        <f>Portfolio!D148</f>
        <v/>
      </c>
      <c r="E149" s="96" t="str">
        <f>Portfolio!E148</f>
        <v/>
      </c>
      <c r="F149" s="96" t="str">
        <f>Portfolio!G148</f>
        <v/>
      </c>
      <c r="G149" s="50" t="str">
        <f>Portfolio!H148</f>
        <v/>
      </c>
      <c r="H149" s="96" t="str">
        <f>Portfolio!I148</f>
        <v/>
      </c>
      <c r="I149" s="96" t="str">
        <f>Portfolio!J148</f>
        <v/>
      </c>
      <c r="J149" s="96" t="str">
        <f>Portfolio!K148</f>
        <v/>
      </c>
      <c r="K149" s="50" t="str">
        <f>Portfolio!O148</f>
        <v/>
      </c>
      <c r="L149" s="96" t="str">
        <f>Portfolio!P148</f>
        <v/>
      </c>
      <c r="M149" s="96" t="str">
        <f>Portfolio!Q148</f>
        <v/>
      </c>
      <c r="N149" s="178" t="str">
        <f>Portfolio!R148</f>
        <v/>
      </c>
      <c r="O149" s="50" t="str">
        <f>Portfolio!S148</f>
        <v/>
      </c>
      <c r="Q149" s="50" t="str">
        <f>Portfolio!U148</f>
        <v/>
      </c>
      <c r="S149" s="50" t="str">
        <f>Portfolio!W148</f>
        <v/>
      </c>
      <c r="T149" s="50" t="str">
        <f>Portfolio!X148</f>
        <v/>
      </c>
      <c r="U149" s="50" t="str">
        <f>Portfolio!Y148</f>
        <v/>
      </c>
      <c r="V149" s="50" t="str">
        <f>Portfolio!Z148</f>
        <v/>
      </c>
      <c r="W149" s="14" t="str">
        <f>Portfolio!AA148</f>
        <v/>
      </c>
      <c r="X149" s="50" t="str">
        <f>Portfolio!AB148</f>
        <v/>
      </c>
      <c r="Y149" s="179" t="str">
        <f>Portfolio!AC148</f>
        <v/>
      </c>
      <c r="Z149" s="50" t="str">
        <f>Portfolio!AD148</f>
        <v/>
      </c>
      <c r="AA149" s="180" t="str">
        <f>Portfolio!AE148</f>
        <v/>
      </c>
    </row>
    <row r="150">
      <c r="A150" s="14" t="str">
        <f>Portfolio!A149</f>
        <v/>
      </c>
      <c r="B150" s="14" t="str">
        <f>Portfolio!B149</f>
        <v/>
      </c>
      <c r="C150" s="158" t="str">
        <f>Portfolio!C149</f>
        <v/>
      </c>
      <c r="D150" s="96" t="str">
        <f>Portfolio!D149</f>
        <v/>
      </c>
      <c r="E150" s="96" t="str">
        <f>Portfolio!E149</f>
        <v/>
      </c>
      <c r="F150" s="96" t="str">
        <f>Portfolio!G149</f>
        <v/>
      </c>
      <c r="G150" s="50" t="str">
        <f>Portfolio!H149</f>
        <v/>
      </c>
      <c r="H150" s="96" t="str">
        <f>Portfolio!I149</f>
        <v/>
      </c>
      <c r="I150" s="96" t="str">
        <f>Portfolio!J149</f>
        <v/>
      </c>
      <c r="J150" s="96" t="str">
        <f>Portfolio!K149</f>
        <v/>
      </c>
      <c r="K150" s="50" t="str">
        <f>Portfolio!O149</f>
        <v/>
      </c>
      <c r="L150" s="96" t="str">
        <f>Portfolio!P149</f>
        <v/>
      </c>
      <c r="M150" s="96" t="str">
        <f>Portfolio!Q149</f>
        <v/>
      </c>
      <c r="N150" s="178" t="str">
        <f>Portfolio!R149</f>
        <v/>
      </c>
      <c r="O150" s="50" t="str">
        <f>Portfolio!S149</f>
        <v/>
      </c>
      <c r="Q150" s="50" t="str">
        <f>Portfolio!U149</f>
        <v/>
      </c>
      <c r="S150" s="50" t="str">
        <f>Portfolio!W149</f>
        <v/>
      </c>
      <c r="T150" s="50" t="str">
        <f>Portfolio!X149</f>
        <v/>
      </c>
      <c r="U150" s="50" t="str">
        <f>Portfolio!Y149</f>
        <v/>
      </c>
      <c r="V150" s="50" t="str">
        <f>Portfolio!Z149</f>
        <v/>
      </c>
      <c r="W150" s="14" t="str">
        <f>Portfolio!AA149</f>
        <v/>
      </c>
      <c r="X150" s="50" t="str">
        <f>Portfolio!AB149</f>
        <v/>
      </c>
      <c r="Y150" s="179" t="str">
        <f>Portfolio!AC149</f>
        <v/>
      </c>
      <c r="Z150" s="50" t="str">
        <f>Portfolio!AD149</f>
        <v/>
      </c>
      <c r="AA150" s="180" t="str">
        <f>Portfolio!AE149</f>
        <v/>
      </c>
    </row>
    <row r="151">
      <c r="A151" s="14" t="str">
        <f>Portfolio!A150</f>
        <v/>
      </c>
      <c r="B151" s="14" t="str">
        <f>Portfolio!B150</f>
        <v/>
      </c>
      <c r="C151" s="158" t="str">
        <f>Portfolio!C150</f>
        <v/>
      </c>
      <c r="D151" s="96" t="str">
        <f>Portfolio!D150</f>
        <v/>
      </c>
      <c r="E151" s="96" t="str">
        <f>Portfolio!E150</f>
        <v/>
      </c>
      <c r="F151" s="96" t="str">
        <f>Portfolio!G150</f>
        <v/>
      </c>
      <c r="G151" s="50" t="str">
        <f>Portfolio!H150</f>
        <v/>
      </c>
      <c r="H151" s="96" t="str">
        <f>Portfolio!I150</f>
        <v/>
      </c>
      <c r="I151" s="96" t="str">
        <f>Portfolio!J150</f>
        <v/>
      </c>
      <c r="J151" s="96" t="str">
        <f>Portfolio!K150</f>
        <v/>
      </c>
      <c r="K151" s="50" t="str">
        <f>Portfolio!O150</f>
        <v/>
      </c>
      <c r="L151" s="96" t="str">
        <f>Portfolio!P150</f>
        <v/>
      </c>
      <c r="M151" s="96" t="str">
        <f>Portfolio!Q150</f>
        <v/>
      </c>
      <c r="N151" s="14" t="str">
        <f>Portfolio!R150</f>
        <v/>
      </c>
      <c r="O151" s="50" t="str">
        <f>Portfolio!S150</f>
        <v/>
      </c>
      <c r="Q151" s="50" t="str">
        <f>Portfolio!U150</f>
        <v/>
      </c>
      <c r="S151" s="50" t="str">
        <f>Portfolio!W150</f>
        <v/>
      </c>
      <c r="T151" s="50" t="str">
        <f>Portfolio!X150</f>
        <v/>
      </c>
      <c r="U151" s="50" t="str">
        <f>Portfolio!Y150</f>
        <v/>
      </c>
      <c r="V151" s="50" t="str">
        <f>Portfolio!Z150</f>
        <v/>
      </c>
      <c r="W151" s="14" t="str">
        <f>Portfolio!AA150</f>
        <v/>
      </c>
      <c r="X151" s="50" t="str">
        <f>Portfolio!AB150</f>
        <v/>
      </c>
      <c r="Y151" s="179" t="str">
        <f>Portfolio!AC150</f>
        <v/>
      </c>
      <c r="Z151" s="50" t="str">
        <f>Portfolio!AD150</f>
        <v/>
      </c>
      <c r="AA151" s="180" t="str">
        <f>Portfolio!AE150</f>
        <v/>
      </c>
    </row>
    <row r="152">
      <c r="A152" s="14" t="str">
        <f>Portfolio!A151</f>
        <v/>
      </c>
      <c r="B152" s="14" t="str">
        <f>Portfolio!B151</f>
        <v/>
      </c>
      <c r="C152" s="158" t="str">
        <f>Portfolio!C151</f>
        <v/>
      </c>
      <c r="D152" s="96" t="str">
        <f>Portfolio!D151</f>
        <v/>
      </c>
      <c r="E152" s="96" t="str">
        <f>Portfolio!E151</f>
        <v/>
      </c>
      <c r="F152" s="96" t="str">
        <f>Portfolio!G151</f>
        <v/>
      </c>
      <c r="G152" s="50" t="str">
        <f>Portfolio!H151</f>
        <v/>
      </c>
      <c r="H152" s="96" t="str">
        <f>Portfolio!I151</f>
        <v/>
      </c>
      <c r="I152" s="96" t="str">
        <f>Portfolio!J151</f>
        <v/>
      </c>
      <c r="J152" s="96" t="str">
        <f>Portfolio!K151</f>
        <v/>
      </c>
      <c r="K152" s="50" t="str">
        <f>Portfolio!O151</f>
        <v/>
      </c>
      <c r="L152" s="96" t="str">
        <f>Portfolio!P151</f>
        <v/>
      </c>
      <c r="M152" s="96" t="str">
        <f>Portfolio!Q151</f>
        <v/>
      </c>
      <c r="N152" s="14" t="str">
        <f>Portfolio!R151</f>
        <v/>
      </c>
      <c r="O152" s="50" t="str">
        <f>Portfolio!S151</f>
        <v/>
      </c>
      <c r="Q152" s="50" t="str">
        <f>Portfolio!U151</f>
        <v/>
      </c>
      <c r="S152" s="50" t="str">
        <f>Portfolio!W151</f>
        <v/>
      </c>
      <c r="T152" s="50" t="str">
        <f>Portfolio!X151</f>
        <v/>
      </c>
      <c r="U152" s="50" t="str">
        <f>Portfolio!Y151</f>
        <v/>
      </c>
      <c r="V152" s="50" t="str">
        <f>Portfolio!Z151</f>
        <v/>
      </c>
      <c r="W152" s="14" t="str">
        <f>Portfolio!AA151</f>
        <v/>
      </c>
      <c r="X152" s="50" t="str">
        <f>Portfolio!AB151</f>
        <v/>
      </c>
      <c r="Y152" s="179" t="str">
        <f>Portfolio!AC151</f>
        <v/>
      </c>
      <c r="Z152" s="50" t="str">
        <f>Portfolio!AD151</f>
        <v/>
      </c>
      <c r="AA152" s="180" t="str">
        <f>Portfolio!AE151</f>
        <v/>
      </c>
    </row>
    <row r="153">
      <c r="A153" s="14" t="str">
        <f>Portfolio!A152</f>
        <v/>
      </c>
      <c r="B153" s="14" t="str">
        <f>Portfolio!B152</f>
        <v/>
      </c>
      <c r="C153" s="158" t="str">
        <f>Portfolio!C152</f>
        <v/>
      </c>
      <c r="D153" s="96" t="str">
        <f>Portfolio!D152</f>
        <v/>
      </c>
      <c r="E153" s="96" t="str">
        <f>Portfolio!E152</f>
        <v/>
      </c>
      <c r="F153" s="96" t="str">
        <f>Portfolio!G152</f>
        <v/>
      </c>
      <c r="G153" s="50" t="str">
        <f>Portfolio!H152</f>
        <v/>
      </c>
      <c r="H153" s="96" t="str">
        <f>Portfolio!I152</f>
        <v/>
      </c>
      <c r="I153" s="96" t="str">
        <f>Portfolio!J152</f>
        <v/>
      </c>
      <c r="J153" s="96" t="str">
        <f>Portfolio!K152</f>
        <v/>
      </c>
      <c r="K153" s="50" t="str">
        <f>Portfolio!O152</f>
        <v/>
      </c>
      <c r="L153" s="96" t="str">
        <f>Portfolio!P152</f>
        <v/>
      </c>
      <c r="M153" s="96" t="str">
        <f>Portfolio!Q152</f>
        <v/>
      </c>
      <c r="N153" s="14" t="str">
        <f>Portfolio!R152</f>
        <v/>
      </c>
      <c r="O153" s="50" t="str">
        <f>Portfolio!S152</f>
        <v/>
      </c>
      <c r="Q153" s="50" t="str">
        <f>Portfolio!U152</f>
        <v/>
      </c>
      <c r="S153" s="50" t="str">
        <f>Portfolio!W152</f>
        <v/>
      </c>
      <c r="T153" s="50" t="str">
        <f>Portfolio!X152</f>
        <v/>
      </c>
      <c r="U153" s="50" t="str">
        <f>Portfolio!Y152</f>
        <v/>
      </c>
      <c r="V153" s="50" t="str">
        <f>Portfolio!Z152</f>
        <v/>
      </c>
      <c r="W153" s="14" t="str">
        <f>Portfolio!AA152</f>
        <v/>
      </c>
      <c r="X153" s="50" t="str">
        <f>Portfolio!AB152</f>
        <v/>
      </c>
      <c r="Y153" s="179" t="str">
        <f>Portfolio!AC152</f>
        <v/>
      </c>
      <c r="Z153" s="50" t="str">
        <f>Portfolio!AD152</f>
        <v/>
      </c>
      <c r="AA153" s="180" t="str">
        <f>Portfolio!AE152</f>
        <v/>
      </c>
    </row>
    <row r="154">
      <c r="A154" s="14" t="str">
        <f>Portfolio!A153</f>
        <v/>
      </c>
      <c r="B154" s="14" t="str">
        <f>Portfolio!B153</f>
        <v/>
      </c>
      <c r="C154" s="158" t="str">
        <f>Portfolio!C153</f>
        <v/>
      </c>
      <c r="D154" s="96" t="str">
        <f>Portfolio!D153</f>
        <v/>
      </c>
      <c r="E154" s="96" t="str">
        <f>Portfolio!E153</f>
        <v/>
      </c>
      <c r="F154" s="96" t="str">
        <f>Portfolio!G153</f>
        <v/>
      </c>
      <c r="G154" s="50" t="str">
        <f>Portfolio!H153</f>
        <v/>
      </c>
      <c r="H154" s="96" t="str">
        <f>Portfolio!I153</f>
        <v/>
      </c>
      <c r="I154" s="96" t="str">
        <f>Portfolio!J153</f>
        <v/>
      </c>
      <c r="J154" s="96" t="str">
        <f>Portfolio!K153</f>
        <v/>
      </c>
      <c r="K154" s="50" t="str">
        <f>Portfolio!O153</f>
        <v/>
      </c>
      <c r="L154" s="96" t="str">
        <f>Portfolio!P153</f>
        <v/>
      </c>
      <c r="M154" s="96" t="str">
        <f>Portfolio!Q153</f>
        <v/>
      </c>
      <c r="N154" s="14" t="str">
        <f>Portfolio!R153</f>
        <v/>
      </c>
      <c r="O154" s="50" t="str">
        <f>Portfolio!S153</f>
        <v/>
      </c>
      <c r="Q154" s="50" t="str">
        <f>Portfolio!U153</f>
        <v/>
      </c>
      <c r="S154" s="50" t="str">
        <f>Portfolio!W153</f>
        <v/>
      </c>
      <c r="T154" s="50" t="str">
        <f>Portfolio!X153</f>
        <v/>
      </c>
      <c r="U154" s="50" t="str">
        <f>Portfolio!Y153</f>
        <v/>
      </c>
      <c r="V154" s="50" t="str">
        <f>Portfolio!Z153</f>
        <v/>
      </c>
      <c r="W154" s="14" t="str">
        <f>Portfolio!AA153</f>
        <v/>
      </c>
      <c r="X154" s="50" t="str">
        <f>Portfolio!AB153</f>
        <v/>
      </c>
      <c r="Y154" s="179" t="str">
        <f>Portfolio!AC153</f>
        <v/>
      </c>
      <c r="Z154" s="50" t="str">
        <f>Portfolio!AD153</f>
        <v/>
      </c>
      <c r="AA154" s="180" t="str">
        <f>Portfolio!AE153</f>
        <v/>
      </c>
    </row>
    <row r="155">
      <c r="A155" s="14" t="str">
        <f>Portfolio!A154</f>
        <v/>
      </c>
      <c r="B155" s="14" t="str">
        <f>Portfolio!B154</f>
        <v/>
      </c>
      <c r="C155" s="158" t="str">
        <f>Portfolio!C154</f>
        <v/>
      </c>
      <c r="D155" s="96" t="str">
        <f>Portfolio!D154</f>
        <v/>
      </c>
      <c r="E155" s="96" t="str">
        <f>Portfolio!E154</f>
        <v/>
      </c>
      <c r="F155" s="96" t="str">
        <f>Portfolio!G154</f>
        <v/>
      </c>
      <c r="G155" s="50" t="str">
        <f>Portfolio!H154</f>
        <v/>
      </c>
      <c r="H155" s="96" t="str">
        <f>Portfolio!I154</f>
        <v/>
      </c>
      <c r="I155" s="96" t="str">
        <f>Portfolio!J154</f>
        <v/>
      </c>
      <c r="J155" s="96" t="str">
        <f>Portfolio!K154</f>
        <v/>
      </c>
      <c r="K155" s="50" t="str">
        <f>Portfolio!O154</f>
        <v/>
      </c>
      <c r="L155" s="96" t="str">
        <f>Portfolio!P154</f>
        <v/>
      </c>
      <c r="M155" s="96" t="str">
        <f>Portfolio!Q154</f>
        <v/>
      </c>
      <c r="N155" s="14" t="str">
        <f>Portfolio!R154</f>
        <v/>
      </c>
      <c r="O155" s="50" t="str">
        <f>Portfolio!S154</f>
        <v/>
      </c>
      <c r="Q155" s="50" t="str">
        <f>Portfolio!U154</f>
        <v/>
      </c>
      <c r="S155" s="50" t="str">
        <f>Portfolio!W154</f>
        <v/>
      </c>
      <c r="T155" s="50" t="str">
        <f>Portfolio!X154</f>
        <v/>
      </c>
      <c r="U155" s="50" t="str">
        <f>Portfolio!Y154</f>
        <v/>
      </c>
      <c r="V155" s="50" t="str">
        <f>Portfolio!Z154</f>
        <v/>
      </c>
      <c r="W155" s="14" t="str">
        <f>Portfolio!AA154</f>
        <v/>
      </c>
      <c r="X155" s="50" t="str">
        <f>Portfolio!AB154</f>
        <v/>
      </c>
      <c r="Y155" s="179" t="str">
        <f>Portfolio!AC154</f>
        <v/>
      </c>
      <c r="Z155" s="50" t="str">
        <f>Portfolio!AD154</f>
        <v/>
      </c>
      <c r="AA155" s="180" t="str">
        <f>Portfolio!AE154</f>
        <v/>
      </c>
    </row>
    <row r="156">
      <c r="A156" s="14" t="str">
        <f>Portfolio!A155</f>
        <v/>
      </c>
      <c r="B156" s="14" t="str">
        <f>Portfolio!B155</f>
        <v/>
      </c>
      <c r="C156" s="158" t="str">
        <f>Portfolio!C155</f>
        <v/>
      </c>
      <c r="D156" s="96" t="str">
        <f>Portfolio!D155</f>
        <v/>
      </c>
      <c r="E156" s="96" t="str">
        <f>Portfolio!E155</f>
        <v/>
      </c>
      <c r="F156" s="96" t="str">
        <f>Portfolio!G155</f>
        <v/>
      </c>
      <c r="G156" s="50" t="str">
        <f>Portfolio!H155</f>
        <v/>
      </c>
      <c r="H156" s="96" t="str">
        <f>Portfolio!I155</f>
        <v/>
      </c>
      <c r="I156" s="96" t="str">
        <f>Portfolio!J155</f>
        <v/>
      </c>
      <c r="J156" s="96" t="str">
        <f>Portfolio!K155</f>
        <v/>
      </c>
      <c r="K156" s="50" t="str">
        <f>Portfolio!O155</f>
        <v/>
      </c>
      <c r="L156" s="96" t="str">
        <f>Portfolio!P155</f>
        <v/>
      </c>
      <c r="M156" s="96" t="str">
        <f>Portfolio!Q155</f>
        <v/>
      </c>
      <c r="N156" s="14" t="str">
        <f>Portfolio!R155</f>
        <v/>
      </c>
      <c r="O156" s="50" t="str">
        <f>Portfolio!S155</f>
        <v/>
      </c>
      <c r="Q156" s="50" t="str">
        <f>Portfolio!U155</f>
        <v/>
      </c>
      <c r="S156" s="50" t="str">
        <f>Portfolio!W155</f>
        <v/>
      </c>
      <c r="T156" s="50" t="str">
        <f>Portfolio!X155</f>
        <v/>
      </c>
      <c r="U156" s="50" t="str">
        <f>Portfolio!Y155</f>
        <v/>
      </c>
      <c r="V156" s="50" t="str">
        <f>Portfolio!Z155</f>
        <v/>
      </c>
      <c r="W156" s="14" t="str">
        <f>Portfolio!AA155</f>
        <v/>
      </c>
      <c r="X156" s="50" t="str">
        <f>Portfolio!AB155</f>
        <v/>
      </c>
      <c r="Y156" s="179" t="str">
        <f>Portfolio!AC155</f>
        <v/>
      </c>
      <c r="Z156" s="50" t="str">
        <f>Portfolio!AD155</f>
        <v/>
      </c>
      <c r="AA156" s="180" t="str">
        <f>Portfolio!AE155</f>
        <v/>
      </c>
    </row>
    <row r="157">
      <c r="A157" s="14" t="str">
        <f>Portfolio!A156</f>
        <v/>
      </c>
      <c r="B157" s="14" t="str">
        <f>Portfolio!B156</f>
        <v/>
      </c>
      <c r="C157" s="158" t="str">
        <f>Portfolio!C156</f>
        <v/>
      </c>
      <c r="D157" s="96" t="str">
        <f>Portfolio!D156</f>
        <v/>
      </c>
      <c r="E157" s="96" t="str">
        <f>Portfolio!E156</f>
        <v/>
      </c>
      <c r="F157" s="96" t="str">
        <f>Portfolio!G156</f>
        <v/>
      </c>
      <c r="G157" s="50" t="str">
        <f>Portfolio!H156</f>
        <v/>
      </c>
      <c r="H157" s="96" t="str">
        <f>Portfolio!I156</f>
        <v/>
      </c>
      <c r="I157" s="96" t="str">
        <f>Portfolio!J156</f>
        <v/>
      </c>
      <c r="J157" s="96" t="str">
        <f>Portfolio!K156</f>
        <v/>
      </c>
      <c r="K157" s="50" t="str">
        <f>Portfolio!O156</f>
        <v/>
      </c>
      <c r="L157" s="96" t="str">
        <f>Portfolio!P156</f>
        <v/>
      </c>
      <c r="M157" s="96" t="str">
        <f>Portfolio!Q156</f>
        <v/>
      </c>
      <c r="N157" s="14" t="str">
        <f>Portfolio!R156</f>
        <v/>
      </c>
      <c r="O157" s="50" t="str">
        <f>Portfolio!S156</f>
        <v/>
      </c>
      <c r="Q157" s="50" t="str">
        <f>Portfolio!U156</f>
        <v/>
      </c>
      <c r="S157" s="50" t="str">
        <f>Portfolio!W156</f>
        <v/>
      </c>
      <c r="T157" s="50" t="str">
        <f>Portfolio!X156</f>
        <v/>
      </c>
      <c r="U157" s="50" t="str">
        <f>Portfolio!Y156</f>
        <v/>
      </c>
      <c r="V157" s="50" t="str">
        <f>Portfolio!Z156</f>
        <v/>
      </c>
      <c r="W157" s="14" t="str">
        <f>Portfolio!AA156</f>
        <v/>
      </c>
      <c r="X157" s="50" t="str">
        <f>Portfolio!AB156</f>
        <v/>
      </c>
      <c r="Y157" s="179" t="str">
        <f>Portfolio!AC156</f>
        <v/>
      </c>
      <c r="Z157" s="50" t="str">
        <f>Portfolio!AD156</f>
        <v/>
      </c>
      <c r="AA157" s="180" t="str">
        <f>Portfolio!AE156</f>
        <v/>
      </c>
    </row>
    <row r="158">
      <c r="A158" s="14" t="str">
        <f>Portfolio!A157</f>
        <v/>
      </c>
      <c r="B158" s="14" t="str">
        <f>Portfolio!B157</f>
        <v/>
      </c>
      <c r="C158" s="158" t="str">
        <f>Portfolio!C157</f>
        <v/>
      </c>
      <c r="D158" s="96" t="str">
        <f>Portfolio!D157</f>
        <v/>
      </c>
      <c r="E158" s="96" t="str">
        <f>Portfolio!E157</f>
        <v/>
      </c>
      <c r="F158" s="96" t="str">
        <f>Portfolio!G157</f>
        <v/>
      </c>
      <c r="G158" s="50" t="str">
        <f>Portfolio!H157</f>
        <v/>
      </c>
      <c r="H158" s="96" t="str">
        <f>Portfolio!I157</f>
        <v/>
      </c>
      <c r="I158" s="96" t="str">
        <f>Portfolio!J157</f>
        <v/>
      </c>
      <c r="J158" s="96" t="str">
        <f>Portfolio!K157</f>
        <v/>
      </c>
      <c r="K158" s="50" t="str">
        <f>Portfolio!O157</f>
        <v/>
      </c>
      <c r="L158" s="96" t="str">
        <f>Portfolio!P157</f>
        <v/>
      </c>
      <c r="M158" s="96" t="str">
        <f>Portfolio!Q157</f>
        <v/>
      </c>
      <c r="N158" s="14" t="str">
        <f>Portfolio!R157</f>
        <v/>
      </c>
      <c r="O158" s="50" t="str">
        <f>Portfolio!S157</f>
        <v/>
      </c>
      <c r="Q158" s="50" t="str">
        <f>Portfolio!U157</f>
        <v/>
      </c>
      <c r="S158" s="50" t="str">
        <f>Portfolio!W157</f>
        <v/>
      </c>
      <c r="T158" s="50" t="str">
        <f>Portfolio!X157</f>
        <v/>
      </c>
      <c r="U158" s="50" t="str">
        <f>Portfolio!Y157</f>
        <v/>
      </c>
      <c r="V158" s="50" t="str">
        <f>Portfolio!Z157</f>
        <v/>
      </c>
      <c r="W158" s="14" t="str">
        <f>Portfolio!AA157</f>
        <v/>
      </c>
      <c r="X158" s="50" t="str">
        <f>Portfolio!AB157</f>
        <v/>
      </c>
      <c r="Y158" s="179" t="str">
        <f>Portfolio!AC157</f>
        <v/>
      </c>
      <c r="Z158" s="50" t="str">
        <f>Portfolio!AD157</f>
        <v/>
      </c>
      <c r="AA158" s="180" t="str">
        <f>Portfolio!AE157</f>
        <v/>
      </c>
    </row>
    <row r="159">
      <c r="A159" s="14" t="str">
        <f>Portfolio!A158</f>
        <v/>
      </c>
      <c r="B159" s="14" t="str">
        <f>Portfolio!B158</f>
        <v/>
      </c>
      <c r="C159" s="158" t="str">
        <f>Portfolio!C158</f>
        <v/>
      </c>
      <c r="D159" s="96" t="str">
        <f>Portfolio!D158</f>
        <v/>
      </c>
      <c r="E159" s="96" t="str">
        <f>Portfolio!E158</f>
        <v/>
      </c>
      <c r="F159" s="96" t="str">
        <f>Portfolio!G158</f>
        <v/>
      </c>
      <c r="G159" s="50" t="str">
        <f>Portfolio!H158</f>
        <v/>
      </c>
      <c r="H159" s="96" t="str">
        <f>Portfolio!I158</f>
        <v/>
      </c>
      <c r="I159" s="96" t="str">
        <f>Portfolio!J158</f>
        <v/>
      </c>
      <c r="J159" s="96" t="str">
        <f>Portfolio!K158</f>
        <v/>
      </c>
      <c r="K159" s="50" t="str">
        <f>Portfolio!O158</f>
        <v/>
      </c>
      <c r="L159" s="96" t="str">
        <f>Portfolio!P158</f>
        <v/>
      </c>
      <c r="M159" s="96" t="str">
        <f>Portfolio!Q158</f>
        <v/>
      </c>
      <c r="N159" s="14" t="str">
        <f>Portfolio!R158</f>
        <v/>
      </c>
      <c r="O159" s="50" t="str">
        <f>Portfolio!S158</f>
        <v/>
      </c>
      <c r="Q159" s="50" t="str">
        <f>Portfolio!U158</f>
        <v/>
      </c>
      <c r="S159" s="50" t="str">
        <f>Portfolio!W158</f>
        <v/>
      </c>
      <c r="T159" s="50" t="str">
        <f>Portfolio!X158</f>
        <v/>
      </c>
      <c r="U159" s="50" t="str">
        <f>Portfolio!Y158</f>
        <v/>
      </c>
      <c r="V159" s="50" t="str">
        <f>Portfolio!Z158</f>
        <v/>
      </c>
      <c r="W159" s="14" t="str">
        <f>Portfolio!AA158</f>
        <v/>
      </c>
      <c r="X159" s="50" t="str">
        <f>Portfolio!AB158</f>
        <v/>
      </c>
      <c r="Y159" s="179" t="str">
        <f>Portfolio!AC158</f>
        <v/>
      </c>
      <c r="Z159" s="50" t="str">
        <f>Portfolio!AD158</f>
        <v/>
      </c>
      <c r="AA159" s="180" t="str">
        <f>Portfolio!AE158</f>
        <v/>
      </c>
    </row>
    <row r="160">
      <c r="A160" s="14" t="str">
        <f>Portfolio!A159</f>
        <v/>
      </c>
      <c r="B160" s="14" t="str">
        <f>Portfolio!B159</f>
        <v/>
      </c>
      <c r="C160" s="158" t="str">
        <f>Portfolio!C159</f>
        <v/>
      </c>
      <c r="D160" s="96" t="str">
        <f>Portfolio!D159</f>
        <v/>
      </c>
      <c r="E160" s="96" t="str">
        <f>Portfolio!E159</f>
        <v/>
      </c>
      <c r="F160" s="96" t="str">
        <f>Portfolio!G159</f>
        <v/>
      </c>
      <c r="G160" s="50" t="str">
        <f>Portfolio!H159</f>
        <v/>
      </c>
      <c r="H160" s="96" t="str">
        <f>Portfolio!I159</f>
        <v/>
      </c>
      <c r="I160" s="96" t="str">
        <f>Portfolio!J159</f>
        <v/>
      </c>
      <c r="J160" s="96" t="str">
        <f>Portfolio!K159</f>
        <v/>
      </c>
      <c r="K160" s="50" t="str">
        <f>Portfolio!O159</f>
        <v/>
      </c>
      <c r="L160" s="96" t="str">
        <f>Portfolio!P159</f>
        <v/>
      </c>
      <c r="M160" s="96" t="str">
        <f>Portfolio!Q159</f>
        <v/>
      </c>
      <c r="N160" s="14" t="str">
        <f>Portfolio!R159</f>
        <v/>
      </c>
      <c r="O160" s="50" t="str">
        <f>Portfolio!S159</f>
        <v/>
      </c>
      <c r="Q160" s="50" t="str">
        <f>Portfolio!U159</f>
        <v/>
      </c>
      <c r="S160" s="50" t="str">
        <f>Portfolio!W159</f>
        <v/>
      </c>
      <c r="T160" s="50" t="str">
        <f>Portfolio!X159</f>
        <v/>
      </c>
      <c r="U160" s="50" t="str">
        <f>Portfolio!Y159</f>
        <v/>
      </c>
      <c r="V160" s="50" t="str">
        <f>Portfolio!Z159</f>
        <v/>
      </c>
      <c r="W160" s="14" t="str">
        <f>Portfolio!AA159</f>
        <v/>
      </c>
      <c r="X160" s="50" t="str">
        <f>Portfolio!AB159</f>
        <v/>
      </c>
      <c r="Y160" s="179" t="str">
        <f>Portfolio!AC159</f>
        <v/>
      </c>
      <c r="Z160" s="50" t="str">
        <f>Portfolio!AD159</f>
        <v/>
      </c>
      <c r="AA160" s="180" t="str">
        <f>Portfolio!AE159</f>
        <v/>
      </c>
    </row>
    <row r="161">
      <c r="A161" s="14" t="str">
        <f>Portfolio!A160</f>
        <v/>
      </c>
      <c r="B161" s="14" t="str">
        <f>Portfolio!B160</f>
        <v/>
      </c>
      <c r="C161" s="158" t="str">
        <f>Portfolio!C160</f>
        <v/>
      </c>
      <c r="D161" s="96" t="str">
        <f>Portfolio!D160</f>
        <v/>
      </c>
      <c r="E161" s="96" t="str">
        <f>Portfolio!E160</f>
        <v/>
      </c>
      <c r="F161" s="96" t="str">
        <f>Portfolio!G160</f>
        <v/>
      </c>
      <c r="G161" s="50" t="str">
        <f>Portfolio!H160</f>
        <v/>
      </c>
      <c r="H161" s="96" t="str">
        <f>Portfolio!I160</f>
        <v/>
      </c>
      <c r="I161" s="96" t="str">
        <f>Portfolio!J160</f>
        <v/>
      </c>
      <c r="J161" s="96" t="str">
        <f>Portfolio!K160</f>
        <v/>
      </c>
      <c r="K161" s="50" t="str">
        <f>Portfolio!O160</f>
        <v/>
      </c>
      <c r="L161" s="96" t="str">
        <f>Portfolio!P160</f>
        <v/>
      </c>
      <c r="M161" s="96" t="str">
        <f>Portfolio!Q160</f>
        <v/>
      </c>
      <c r="N161" s="14" t="str">
        <f>Portfolio!R160</f>
        <v/>
      </c>
      <c r="O161" s="50" t="str">
        <f>Portfolio!S160</f>
        <v/>
      </c>
      <c r="Q161" s="50" t="str">
        <f>Portfolio!U160</f>
        <v/>
      </c>
      <c r="S161" s="50" t="str">
        <f>Portfolio!W160</f>
        <v/>
      </c>
      <c r="T161" s="50" t="str">
        <f>Portfolio!X160</f>
        <v/>
      </c>
      <c r="U161" s="50" t="str">
        <f>Portfolio!Y160</f>
        <v/>
      </c>
      <c r="V161" s="50" t="str">
        <f>Portfolio!Z160</f>
        <v/>
      </c>
      <c r="W161" s="14" t="str">
        <f>Portfolio!AA160</f>
        <v/>
      </c>
      <c r="X161" s="50" t="str">
        <f>Portfolio!AB160</f>
        <v/>
      </c>
      <c r="Y161" s="179" t="str">
        <f>Portfolio!AC160</f>
        <v/>
      </c>
      <c r="Z161" s="50" t="str">
        <f>Portfolio!AD160</f>
        <v/>
      </c>
      <c r="AA161" s="180" t="str">
        <f>Portfolio!AE160</f>
        <v/>
      </c>
    </row>
    <row r="162">
      <c r="A162" s="14" t="str">
        <f>Portfolio!A161</f>
        <v/>
      </c>
      <c r="B162" s="14" t="str">
        <f>Portfolio!B161</f>
        <v/>
      </c>
      <c r="C162" s="158" t="str">
        <f>Portfolio!C161</f>
        <v/>
      </c>
      <c r="D162" s="96" t="str">
        <f>Portfolio!D161</f>
        <v/>
      </c>
      <c r="E162" s="96" t="str">
        <f>Portfolio!E161</f>
        <v/>
      </c>
      <c r="F162" s="96" t="str">
        <f>Portfolio!G161</f>
        <v/>
      </c>
      <c r="G162" s="50" t="str">
        <f>Portfolio!H161</f>
        <v/>
      </c>
      <c r="H162" s="96" t="str">
        <f>Portfolio!I161</f>
        <v/>
      </c>
      <c r="I162" s="96" t="str">
        <f>Portfolio!J161</f>
        <v/>
      </c>
      <c r="J162" s="96" t="str">
        <f>Portfolio!K161</f>
        <v/>
      </c>
      <c r="K162" s="50" t="str">
        <f>Portfolio!O161</f>
        <v/>
      </c>
      <c r="L162" s="96" t="str">
        <f>Portfolio!P161</f>
        <v/>
      </c>
      <c r="M162" s="96" t="str">
        <f>Portfolio!Q161</f>
        <v/>
      </c>
      <c r="N162" s="14" t="str">
        <f>Portfolio!R161</f>
        <v/>
      </c>
      <c r="O162" s="50" t="str">
        <f>Portfolio!S161</f>
        <v/>
      </c>
      <c r="Q162" s="50" t="str">
        <f>Portfolio!U161</f>
        <v/>
      </c>
      <c r="S162" s="50" t="str">
        <f>Portfolio!W161</f>
        <v/>
      </c>
      <c r="T162" s="50" t="str">
        <f>Portfolio!X161</f>
        <v/>
      </c>
      <c r="U162" s="50" t="str">
        <f>Portfolio!Y161</f>
        <v/>
      </c>
      <c r="V162" s="50" t="str">
        <f>Portfolio!Z161</f>
        <v/>
      </c>
      <c r="W162" s="14" t="str">
        <f>Portfolio!AA161</f>
        <v/>
      </c>
      <c r="X162" s="50" t="str">
        <f>Portfolio!AB161</f>
        <v/>
      </c>
      <c r="Y162" s="179" t="str">
        <f>Portfolio!AC161</f>
        <v/>
      </c>
      <c r="Z162" s="50" t="str">
        <f>Portfolio!AD161</f>
        <v/>
      </c>
      <c r="AA162" s="180" t="str">
        <f>Portfolio!AE161</f>
        <v/>
      </c>
    </row>
    <row r="163">
      <c r="A163" s="14" t="str">
        <f>Portfolio!A162</f>
        <v/>
      </c>
      <c r="B163" s="14" t="str">
        <f>Portfolio!B162</f>
        <v/>
      </c>
      <c r="C163" s="158" t="str">
        <f>Portfolio!C162</f>
        <v/>
      </c>
      <c r="D163" s="96" t="str">
        <f>Portfolio!D162</f>
        <v/>
      </c>
      <c r="E163" s="96" t="str">
        <f>Portfolio!E162</f>
        <v/>
      </c>
      <c r="F163" s="96" t="str">
        <f>Portfolio!G162</f>
        <v/>
      </c>
      <c r="G163" s="50" t="str">
        <f>Portfolio!H162</f>
        <v/>
      </c>
      <c r="H163" s="96" t="str">
        <f>Portfolio!I162</f>
        <v/>
      </c>
      <c r="I163" s="96" t="str">
        <f>Portfolio!J162</f>
        <v/>
      </c>
      <c r="J163" s="96" t="str">
        <f>Portfolio!K162</f>
        <v/>
      </c>
      <c r="K163" s="50" t="str">
        <f>Portfolio!O162</f>
        <v/>
      </c>
      <c r="L163" s="96" t="str">
        <f>Portfolio!P162</f>
        <v/>
      </c>
      <c r="M163" s="96" t="str">
        <f>Portfolio!Q162</f>
        <v/>
      </c>
      <c r="N163" s="14" t="str">
        <f>Portfolio!R162</f>
        <v/>
      </c>
      <c r="O163" s="50" t="str">
        <f>Portfolio!S162</f>
        <v/>
      </c>
      <c r="Q163" s="50" t="str">
        <f>Portfolio!U162</f>
        <v/>
      </c>
      <c r="S163" s="50" t="str">
        <f>Portfolio!W162</f>
        <v/>
      </c>
      <c r="T163" s="50" t="str">
        <f>Portfolio!X162</f>
        <v/>
      </c>
      <c r="U163" s="50" t="str">
        <f>Portfolio!Y162</f>
        <v/>
      </c>
      <c r="V163" s="50" t="str">
        <f>Portfolio!Z162</f>
        <v/>
      </c>
      <c r="W163" s="14" t="str">
        <f>Portfolio!AA162</f>
        <v/>
      </c>
      <c r="X163" s="50" t="str">
        <f>Portfolio!AB162</f>
        <v/>
      </c>
      <c r="Y163" s="179" t="str">
        <f>Portfolio!AC162</f>
        <v/>
      </c>
      <c r="Z163" s="50" t="str">
        <f>Portfolio!AD162</f>
        <v/>
      </c>
      <c r="AA163" s="180" t="str">
        <f>Portfolio!AE162</f>
        <v/>
      </c>
    </row>
    <row r="164">
      <c r="A164" s="14" t="str">
        <f>Portfolio!A163</f>
        <v/>
      </c>
      <c r="B164" s="14" t="str">
        <f>Portfolio!B163</f>
        <v/>
      </c>
      <c r="C164" s="158" t="str">
        <f>Portfolio!C163</f>
        <v/>
      </c>
      <c r="D164" s="96" t="str">
        <f>Portfolio!D163</f>
        <v/>
      </c>
      <c r="E164" s="96" t="str">
        <f>Portfolio!E163</f>
        <v/>
      </c>
      <c r="F164" s="96" t="str">
        <f>Portfolio!G163</f>
        <v/>
      </c>
      <c r="G164" s="50" t="str">
        <f>Portfolio!H163</f>
        <v/>
      </c>
      <c r="H164" s="96" t="str">
        <f>Portfolio!I163</f>
        <v/>
      </c>
      <c r="I164" s="96" t="str">
        <f>Portfolio!J163</f>
        <v/>
      </c>
      <c r="J164" s="96" t="str">
        <f>Portfolio!K163</f>
        <v/>
      </c>
      <c r="K164" s="50" t="str">
        <f>Portfolio!O163</f>
        <v/>
      </c>
      <c r="L164" s="96" t="str">
        <f>Portfolio!P163</f>
        <v/>
      </c>
      <c r="M164" s="96" t="str">
        <f>Portfolio!Q163</f>
        <v/>
      </c>
      <c r="N164" s="14" t="str">
        <f>Portfolio!R163</f>
        <v/>
      </c>
      <c r="O164" s="50" t="str">
        <f>Portfolio!S163</f>
        <v/>
      </c>
      <c r="Q164" s="50" t="str">
        <f>Portfolio!U163</f>
        <v/>
      </c>
      <c r="S164" s="50" t="str">
        <f>Portfolio!W163</f>
        <v/>
      </c>
      <c r="T164" s="50" t="str">
        <f>Portfolio!X163</f>
        <v/>
      </c>
      <c r="U164" s="50" t="str">
        <f>Portfolio!Y163</f>
        <v/>
      </c>
      <c r="V164" s="50" t="str">
        <f>Portfolio!Z163</f>
        <v/>
      </c>
      <c r="W164" s="14" t="str">
        <f>Portfolio!AA163</f>
        <v/>
      </c>
      <c r="X164" s="50" t="str">
        <f>Portfolio!AB163</f>
        <v/>
      </c>
      <c r="Y164" s="179" t="str">
        <f>Portfolio!AC163</f>
        <v/>
      </c>
      <c r="Z164" s="50" t="str">
        <f>Portfolio!AD163</f>
        <v/>
      </c>
      <c r="AA164" s="180" t="str">
        <f>Portfolio!AE163</f>
        <v/>
      </c>
    </row>
    <row r="165">
      <c r="A165" s="14" t="str">
        <f>Portfolio!A164</f>
        <v/>
      </c>
      <c r="B165" s="14" t="str">
        <f>Portfolio!B164</f>
        <v/>
      </c>
      <c r="C165" s="158" t="str">
        <f>Portfolio!C164</f>
        <v/>
      </c>
      <c r="D165" s="96" t="str">
        <f>Portfolio!D164</f>
        <v/>
      </c>
      <c r="E165" s="96" t="str">
        <f>Portfolio!E164</f>
        <v/>
      </c>
      <c r="F165" s="96" t="str">
        <f>Portfolio!G164</f>
        <v/>
      </c>
      <c r="G165" s="50" t="str">
        <f>Portfolio!H164</f>
        <v/>
      </c>
      <c r="H165" s="96" t="str">
        <f>Portfolio!I164</f>
        <v/>
      </c>
      <c r="I165" s="96" t="str">
        <f>Portfolio!J164</f>
        <v/>
      </c>
      <c r="J165" s="96" t="str">
        <f>Portfolio!K164</f>
        <v/>
      </c>
      <c r="K165" s="50" t="str">
        <f>Portfolio!O164</f>
        <v/>
      </c>
      <c r="L165" s="96" t="str">
        <f>Portfolio!P164</f>
        <v/>
      </c>
      <c r="M165" s="96" t="str">
        <f>Portfolio!Q164</f>
        <v/>
      </c>
      <c r="N165" s="14" t="str">
        <f>Portfolio!R164</f>
        <v/>
      </c>
      <c r="O165" s="50" t="str">
        <f>Portfolio!S164</f>
        <v/>
      </c>
      <c r="Q165" s="50" t="str">
        <f>Portfolio!U164</f>
        <v/>
      </c>
      <c r="S165" s="50" t="str">
        <f>Portfolio!W164</f>
        <v/>
      </c>
      <c r="T165" s="50" t="str">
        <f>Portfolio!X164</f>
        <v/>
      </c>
      <c r="U165" s="50" t="str">
        <f>Portfolio!Y164</f>
        <v/>
      </c>
      <c r="V165" s="50" t="str">
        <f>Portfolio!Z164</f>
        <v/>
      </c>
      <c r="W165" s="14" t="str">
        <f>Portfolio!AA164</f>
        <v/>
      </c>
      <c r="X165" s="50" t="str">
        <f>Portfolio!AB164</f>
        <v/>
      </c>
      <c r="Y165" s="179" t="str">
        <f>Portfolio!AC164</f>
        <v/>
      </c>
      <c r="Z165" s="50" t="str">
        <f>Portfolio!AD164</f>
        <v/>
      </c>
      <c r="AA165" s="180" t="str">
        <f>Portfolio!AE164</f>
        <v/>
      </c>
    </row>
    <row r="166">
      <c r="A166" s="14" t="str">
        <f>Portfolio!A165</f>
        <v/>
      </c>
      <c r="B166" s="14" t="str">
        <f>Portfolio!B165</f>
        <v/>
      </c>
      <c r="C166" s="158" t="str">
        <f>Portfolio!C165</f>
        <v/>
      </c>
      <c r="D166" s="96" t="str">
        <f>Portfolio!D165</f>
        <v/>
      </c>
      <c r="E166" s="96" t="str">
        <f>Portfolio!E165</f>
        <v/>
      </c>
      <c r="F166" s="96" t="str">
        <f>Portfolio!G165</f>
        <v/>
      </c>
      <c r="G166" s="50" t="str">
        <f>Portfolio!H165</f>
        <v/>
      </c>
      <c r="H166" s="96" t="str">
        <f>Portfolio!I165</f>
        <v/>
      </c>
      <c r="I166" s="96" t="str">
        <f>Portfolio!J165</f>
        <v/>
      </c>
      <c r="J166" s="96" t="str">
        <f>Portfolio!K165</f>
        <v/>
      </c>
      <c r="K166" s="50" t="str">
        <f>Portfolio!O165</f>
        <v/>
      </c>
      <c r="L166" s="96" t="str">
        <f>Portfolio!P165</f>
        <v/>
      </c>
      <c r="M166" s="96" t="str">
        <f>Portfolio!Q165</f>
        <v/>
      </c>
      <c r="N166" s="14" t="str">
        <f>Portfolio!R165</f>
        <v/>
      </c>
      <c r="O166" s="50" t="str">
        <f>Portfolio!S165</f>
        <v/>
      </c>
      <c r="Q166" s="50" t="str">
        <f>Portfolio!U165</f>
        <v/>
      </c>
      <c r="S166" s="50" t="str">
        <f>Portfolio!W165</f>
        <v/>
      </c>
      <c r="T166" s="50" t="str">
        <f>Portfolio!X165</f>
        <v/>
      </c>
      <c r="U166" s="50" t="str">
        <f>Portfolio!Y165</f>
        <v/>
      </c>
      <c r="V166" s="50" t="str">
        <f>Portfolio!Z165</f>
        <v/>
      </c>
      <c r="W166" s="14" t="str">
        <f>Portfolio!AA165</f>
        <v/>
      </c>
      <c r="X166" s="50" t="str">
        <f>Portfolio!AB165</f>
        <v/>
      </c>
      <c r="Y166" s="179" t="str">
        <f>Portfolio!AC165</f>
        <v/>
      </c>
      <c r="Z166" s="50" t="str">
        <f>Portfolio!AD165</f>
        <v/>
      </c>
      <c r="AA166" s="180" t="str">
        <f>Portfolio!AE165</f>
        <v/>
      </c>
    </row>
    <row r="167">
      <c r="A167" s="14" t="str">
        <f>Portfolio!A166</f>
        <v/>
      </c>
      <c r="B167" s="14" t="str">
        <f>Portfolio!B166</f>
        <v/>
      </c>
      <c r="C167" s="158" t="str">
        <f>Portfolio!C166</f>
        <v/>
      </c>
      <c r="D167" s="96" t="str">
        <f>Portfolio!D166</f>
        <v/>
      </c>
      <c r="E167" s="96" t="str">
        <f>Portfolio!E166</f>
        <v/>
      </c>
      <c r="F167" s="96" t="str">
        <f>Portfolio!G166</f>
        <v/>
      </c>
      <c r="G167" s="50" t="str">
        <f>Portfolio!H166</f>
        <v/>
      </c>
      <c r="H167" s="96" t="str">
        <f>Portfolio!I166</f>
        <v/>
      </c>
      <c r="I167" s="96" t="str">
        <f>Portfolio!J166</f>
        <v/>
      </c>
      <c r="J167" s="96" t="str">
        <f>Portfolio!K166</f>
        <v/>
      </c>
      <c r="K167" s="50" t="str">
        <f>Portfolio!O166</f>
        <v/>
      </c>
      <c r="L167" s="96" t="str">
        <f>Portfolio!P166</f>
        <v/>
      </c>
      <c r="M167" s="96" t="str">
        <f>Portfolio!Q166</f>
        <v/>
      </c>
      <c r="N167" s="14" t="str">
        <f>Portfolio!R166</f>
        <v/>
      </c>
      <c r="O167" s="50" t="str">
        <f>Portfolio!S166</f>
        <v/>
      </c>
      <c r="Q167" s="50" t="str">
        <f>Portfolio!U166</f>
        <v/>
      </c>
      <c r="S167" s="50" t="str">
        <f>Portfolio!W166</f>
        <v/>
      </c>
      <c r="T167" s="50" t="str">
        <f>Portfolio!X166</f>
        <v/>
      </c>
      <c r="U167" s="50" t="str">
        <f>Portfolio!Y166</f>
        <v/>
      </c>
      <c r="V167" s="50" t="str">
        <f>Portfolio!Z166</f>
        <v/>
      </c>
      <c r="W167" s="14" t="str">
        <f>Portfolio!AA166</f>
        <v/>
      </c>
      <c r="X167" s="50" t="str">
        <f>Portfolio!AB166</f>
        <v/>
      </c>
      <c r="Y167" s="179" t="str">
        <f>Portfolio!AC166</f>
        <v/>
      </c>
      <c r="Z167" s="50" t="str">
        <f>Portfolio!AD166</f>
        <v/>
      </c>
      <c r="AA167" s="180" t="str">
        <f>Portfolio!AE166</f>
        <v/>
      </c>
    </row>
    <row r="168">
      <c r="A168" s="14" t="str">
        <f>Portfolio!A167</f>
        <v/>
      </c>
      <c r="B168" s="14" t="str">
        <f>Portfolio!B167</f>
        <v/>
      </c>
      <c r="C168" s="158" t="str">
        <f>Portfolio!C167</f>
        <v/>
      </c>
      <c r="D168" s="96" t="str">
        <f>Portfolio!D167</f>
        <v/>
      </c>
      <c r="E168" s="96" t="str">
        <f>Portfolio!E167</f>
        <v/>
      </c>
      <c r="F168" s="96" t="str">
        <f>Portfolio!G167</f>
        <v/>
      </c>
      <c r="G168" s="50" t="str">
        <f>Portfolio!H167</f>
        <v/>
      </c>
      <c r="H168" s="96" t="str">
        <f>Portfolio!I167</f>
        <v/>
      </c>
      <c r="I168" s="96" t="str">
        <f>Portfolio!J167</f>
        <v/>
      </c>
      <c r="J168" s="96" t="str">
        <f>Portfolio!K167</f>
        <v/>
      </c>
      <c r="K168" s="50" t="str">
        <f>Portfolio!O167</f>
        <v/>
      </c>
      <c r="L168" s="96" t="str">
        <f>Portfolio!P167</f>
        <v/>
      </c>
      <c r="M168" s="96" t="str">
        <f>Portfolio!Q167</f>
        <v/>
      </c>
      <c r="N168" s="14" t="str">
        <f>Portfolio!R167</f>
        <v/>
      </c>
      <c r="O168" s="50" t="str">
        <f>Portfolio!S167</f>
        <v/>
      </c>
      <c r="Q168" s="50" t="str">
        <f>Portfolio!U167</f>
        <v/>
      </c>
      <c r="S168" s="50" t="str">
        <f>Portfolio!W167</f>
        <v/>
      </c>
      <c r="T168" s="50" t="str">
        <f>Portfolio!X167</f>
        <v/>
      </c>
      <c r="U168" s="50" t="str">
        <f>Portfolio!Y167</f>
        <v/>
      </c>
      <c r="V168" s="50" t="str">
        <f>Portfolio!Z167</f>
        <v/>
      </c>
      <c r="W168" s="14" t="str">
        <f>Portfolio!AA167</f>
        <v/>
      </c>
      <c r="X168" s="50" t="str">
        <f>Portfolio!AB167</f>
        <v/>
      </c>
      <c r="Y168" s="179" t="str">
        <f>Portfolio!AC167</f>
        <v/>
      </c>
      <c r="Z168" s="50" t="str">
        <f>Portfolio!AD167</f>
        <v/>
      </c>
      <c r="AA168" s="180" t="str">
        <f>Portfolio!AE167</f>
        <v/>
      </c>
    </row>
    <row r="169">
      <c r="A169" s="14" t="str">
        <f>Portfolio!A168</f>
        <v/>
      </c>
      <c r="B169" s="14" t="str">
        <f>Portfolio!B168</f>
        <v/>
      </c>
      <c r="C169" s="158" t="str">
        <f>Portfolio!C168</f>
        <v/>
      </c>
      <c r="D169" s="96" t="str">
        <f>Portfolio!D168</f>
        <v/>
      </c>
      <c r="E169" s="96" t="str">
        <f>Portfolio!E168</f>
        <v/>
      </c>
      <c r="F169" s="96" t="str">
        <f>Portfolio!G168</f>
        <v/>
      </c>
      <c r="G169" s="50" t="str">
        <f>Portfolio!H168</f>
        <v/>
      </c>
      <c r="H169" s="96" t="str">
        <f>Portfolio!I168</f>
        <v/>
      </c>
      <c r="I169" s="96" t="str">
        <f>Portfolio!J168</f>
        <v/>
      </c>
      <c r="J169" s="96" t="str">
        <f>Portfolio!K168</f>
        <v/>
      </c>
      <c r="K169" s="50" t="str">
        <f>Portfolio!O168</f>
        <v/>
      </c>
      <c r="L169" s="96" t="str">
        <f>Portfolio!P168</f>
        <v/>
      </c>
      <c r="M169" s="96" t="str">
        <f>Portfolio!Q168</f>
        <v/>
      </c>
      <c r="N169" s="14" t="str">
        <f>Portfolio!R168</f>
        <v/>
      </c>
      <c r="O169" s="50" t="str">
        <f>Portfolio!S168</f>
        <v/>
      </c>
      <c r="Q169" s="50" t="str">
        <f>Portfolio!U168</f>
        <v/>
      </c>
      <c r="S169" s="50" t="str">
        <f>Portfolio!W168</f>
        <v/>
      </c>
      <c r="T169" s="50" t="str">
        <f>Portfolio!X168</f>
        <v/>
      </c>
      <c r="U169" s="50" t="str">
        <f>Portfolio!Y168</f>
        <v/>
      </c>
      <c r="V169" s="50" t="str">
        <f>Portfolio!Z168</f>
        <v/>
      </c>
      <c r="W169" s="14" t="str">
        <f>Portfolio!AA168</f>
        <v/>
      </c>
      <c r="X169" s="50" t="str">
        <f>Portfolio!AB168</f>
        <v/>
      </c>
      <c r="Y169" s="179" t="str">
        <f>Portfolio!AC168</f>
        <v/>
      </c>
      <c r="Z169" s="50" t="str">
        <f>Portfolio!AD168</f>
        <v/>
      </c>
      <c r="AA169" s="180" t="str">
        <f>Portfolio!AE168</f>
        <v/>
      </c>
    </row>
    <row r="170">
      <c r="A170" s="14" t="str">
        <f>Portfolio!A169</f>
        <v/>
      </c>
      <c r="B170" s="14" t="str">
        <f>Portfolio!B169</f>
        <v/>
      </c>
      <c r="C170" s="158" t="str">
        <f>Portfolio!C169</f>
        <v/>
      </c>
      <c r="D170" s="96" t="str">
        <f>Portfolio!D169</f>
        <v/>
      </c>
      <c r="E170" s="96" t="str">
        <f>Portfolio!E169</f>
        <v/>
      </c>
      <c r="F170" s="96" t="str">
        <f>Portfolio!G169</f>
        <v/>
      </c>
      <c r="G170" s="50" t="str">
        <f>Portfolio!H169</f>
        <v/>
      </c>
      <c r="H170" s="96" t="str">
        <f>Portfolio!I169</f>
        <v/>
      </c>
      <c r="I170" s="96" t="str">
        <f>Portfolio!J169</f>
        <v/>
      </c>
      <c r="J170" s="96" t="str">
        <f>Portfolio!K169</f>
        <v/>
      </c>
      <c r="K170" s="50" t="str">
        <f>Portfolio!O169</f>
        <v/>
      </c>
      <c r="L170" s="96" t="str">
        <f>Portfolio!P169</f>
        <v/>
      </c>
      <c r="M170" s="96" t="str">
        <f>Portfolio!Q169</f>
        <v/>
      </c>
      <c r="N170" s="14" t="str">
        <f>Portfolio!R169</f>
        <v/>
      </c>
      <c r="O170" s="50" t="str">
        <f>Portfolio!S169</f>
        <v/>
      </c>
      <c r="Q170" s="50" t="str">
        <f>Portfolio!U169</f>
        <v/>
      </c>
      <c r="S170" s="50" t="str">
        <f>Portfolio!W169</f>
        <v/>
      </c>
      <c r="T170" s="50" t="str">
        <f>Portfolio!X169</f>
        <v/>
      </c>
      <c r="U170" s="50" t="str">
        <f>Portfolio!Y169</f>
        <v/>
      </c>
      <c r="V170" s="50" t="str">
        <f>Portfolio!Z169</f>
        <v/>
      </c>
      <c r="W170" s="14" t="str">
        <f>Portfolio!AA169</f>
        <v/>
      </c>
      <c r="X170" s="50" t="str">
        <f>Portfolio!AB169</f>
        <v/>
      </c>
      <c r="Y170" s="179" t="str">
        <f>Portfolio!AC169</f>
        <v/>
      </c>
      <c r="Z170" s="50" t="str">
        <f>Portfolio!AD169</f>
        <v/>
      </c>
      <c r="AA170" s="180" t="str">
        <f>Portfolio!AE169</f>
        <v/>
      </c>
    </row>
    <row r="171">
      <c r="A171" s="14" t="str">
        <f>Portfolio!A170</f>
        <v/>
      </c>
      <c r="B171" s="14" t="str">
        <f>Portfolio!B170</f>
        <v/>
      </c>
      <c r="C171" s="158" t="str">
        <f>Portfolio!C170</f>
        <v/>
      </c>
      <c r="D171" s="96" t="str">
        <f>Portfolio!D170</f>
        <v/>
      </c>
      <c r="E171" s="96" t="str">
        <f>Portfolio!E170</f>
        <v/>
      </c>
      <c r="F171" s="96" t="str">
        <f>Portfolio!G170</f>
        <v/>
      </c>
      <c r="G171" s="50" t="str">
        <f>Portfolio!H170</f>
        <v/>
      </c>
      <c r="H171" s="96" t="str">
        <f>Portfolio!I170</f>
        <v/>
      </c>
      <c r="I171" s="96" t="str">
        <f>Portfolio!J170</f>
        <v/>
      </c>
      <c r="J171" s="96" t="str">
        <f>Portfolio!K170</f>
        <v/>
      </c>
      <c r="K171" s="50" t="str">
        <f>Portfolio!O170</f>
        <v/>
      </c>
      <c r="L171" s="96" t="str">
        <f>Portfolio!P170</f>
        <v/>
      </c>
      <c r="M171" s="96" t="str">
        <f>Portfolio!Q170</f>
        <v/>
      </c>
      <c r="N171" s="14" t="str">
        <f>Portfolio!R170</f>
        <v/>
      </c>
      <c r="O171" s="50" t="str">
        <f>Portfolio!S170</f>
        <v/>
      </c>
      <c r="Q171" s="50" t="str">
        <f>Portfolio!U170</f>
        <v/>
      </c>
      <c r="S171" s="50" t="str">
        <f>Portfolio!W170</f>
        <v/>
      </c>
      <c r="T171" s="50" t="str">
        <f>Portfolio!X170</f>
        <v/>
      </c>
      <c r="U171" s="50" t="str">
        <f>Portfolio!Y170</f>
        <v/>
      </c>
      <c r="V171" s="50" t="str">
        <f>Portfolio!Z170</f>
        <v/>
      </c>
      <c r="W171" s="14" t="str">
        <f>Portfolio!AA170</f>
        <v/>
      </c>
      <c r="X171" s="50" t="str">
        <f>Portfolio!AB170</f>
        <v/>
      </c>
      <c r="Y171" s="179" t="str">
        <f>Portfolio!AC170</f>
        <v/>
      </c>
      <c r="Z171" s="50" t="str">
        <f>Portfolio!AD170</f>
        <v/>
      </c>
      <c r="AA171" s="180" t="str">
        <f>Portfolio!AE170</f>
        <v/>
      </c>
    </row>
    <row r="172">
      <c r="A172" s="14" t="str">
        <f>Portfolio!A171</f>
        <v/>
      </c>
      <c r="B172" s="14" t="str">
        <f>Portfolio!B171</f>
        <v/>
      </c>
      <c r="C172" s="158" t="str">
        <f>Portfolio!C171</f>
        <v/>
      </c>
      <c r="D172" s="96" t="str">
        <f>Portfolio!D171</f>
        <v/>
      </c>
      <c r="E172" s="96" t="str">
        <f>Portfolio!E171</f>
        <v/>
      </c>
      <c r="F172" s="96" t="str">
        <f>Portfolio!G171</f>
        <v/>
      </c>
      <c r="G172" s="50" t="str">
        <f>Portfolio!H171</f>
        <v/>
      </c>
      <c r="H172" s="96" t="str">
        <f>Portfolio!I171</f>
        <v/>
      </c>
      <c r="I172" s="96" t="str">
        <f>Portfolio!J171</f>
        <v/>
      </c>
      <c r="J172" s="96" t="str">
        <f>Portfolio!K171</f>
        <v/>
      </c>
      <c r="K172" s="50" t="str">
        <f>Portfolio!O171</f>
        <v/>
      </c>
      <c r="L172" s="96" t="str">
        <f>Portfolio!P171</f>
        <v/>
      </c>
      <c r="M172" s="96" t="str">
        <f>Portfolio!Q171</f>
        <v/>
      </c>
      <c r="N172" s="14" t="str">
        <f>Portfolio!R171</f>
        <v/>
      </c>
      <c r="O172" s="50" t="str">
        <f>Portfolio!S171</f>
        <v/>
      </c>
      <c r="Q172" s="50" t="str">
        <f>Portfolio!U171</f>
        <v/>
      </c>
      <c r="S172" s="50" t="str">
        <f>Portfolio!W171</f>
        <v/>
      </c>
      <c r="T172" s="50" t="str">
        <f>Portfolio!X171</f>
        <v/>
      </c>
      <c r="U172" s="50" t="str">
        <f>Portfolio!Y171</f>
        <v/>
      </c>
      <c r="V172" s="50" t="str">
        <f>Portfolio!Z171</f>
        <v/>
      </c>
      <c r="W172" s="14" t="str">
        <f>Portfolio!AA171</f>
        <v/>
      </c>
      <c r="X172" s="50" t="str">
        <f>Portfolio!AB171</f>
        <v/>
      </c>
      <c r="Y172" s="179" t="str">
        <f>Portfolio!AC171</f>
        <v/>
      </c>
      <c r="Z172" s="50" t="str">
        <f>Portfolio!AD171</f>
        <v/>
      </c>
      <c r="AA172" s="180" t="str">
        <f>Portfolio!AE171</f>
        <v/>
      </c>
    </row>
    <row r="173">
      <c r="A173" s="14" t="str">
        <f>Portfolio!A172</f>
        <v/>
      </c>
      <c r="B173" s="14" t="str">
        <f>Portfolio!B172</f>
        <v/>
      </c>
      <c r="C173" s="158" t="str">
        <f>Portfolio!C172</f>
        <v/>
      </c>
      <c r="D173" s="96" t="str">
        <f>Portfolio!D172</f>
        <v/>
      </c>
      <c r="E173" s="96" t="str">
        <f>Portfolio!E172</f>
        <v/>
      </c>
      <c r="F173" s="96" t="str">
        <f>Portfolio!G172</f>
        <v/>
      </c>
      <c r="G173" s="50" t="str">
        <f>Portfolio!H172</f>
        <v/>
      </c>
      <c r="H173" s="96" t="str">
        <f>Portfolio!I172</f>
        <v/>
      </c>
      <c r="I173" s="96" t="str">
        <f>Portfolio!J172</f>
        <v/>
      </c>
      <c r="J173" s="96" t="str">
        <f>Portfolio!K172</f>
        <v/>
      </c>
      <c r="K173" s="50" t="str">
        <f>Portfolio!O172</f>
        <v/>
      </c>
      <c r="L173" s="96" t="str">
        <f>Portfolio!P172</f>
        <v/>
      </c>
      <c r="M173" s="96" t="str">
        <f>Portfolio!Q172</f>
        <v/>
      </c>
      <c r="N173" s="14" t="str">
        <f>Portfolio!R172</f>
        <v/>
      </c>
      <c r="O173" s="50" t="str">
        <f>Portfolio!S172</f>
        <v/>
      </c>
      <c r="Q173" s="50" t="str">
        <f>Portfolio!U172</f>
        <v/>
      </c>
      <c r="S173" s="50" t="str">
        <f>Portfolio!W172</f>
        <v/>
      </c>
      <c r="T173" s="50" t="str">
        <f>Portfolio!X172</f>
        <v/>
      </c>
      <c r="U173" s="50" t="str">
        <f>Portfolio!Y172</f>
        <v/>
      </c>
      <c r="V173" s="50" t="str">
        <f>Portfolio!Z172</f>
        <v/>
      </c>
      <c r="W173" s="14" t="str">
        <f>Portfolio!AA172</f>
        <v/>
      </c>
      <c r="X173" s="50" t="str">
        <f>Portfolio!AB172</f>
        <v/>
      </c>
      <c r="Y173" s="179" t="str">
        <f>Portfolio!AC172</f>
        <v/>
      </c>
      <c r="Z173" s="50" t="str">
        <f>Portfolio!AD172</f>
        <v/>
      </c>
      <c r="AA173" s="180" t="str">
        <f>Portfolio!AE172</f>
        <v/>
      </c>
    </row>
    <row r="174">
      <c r="A174" s="14" t="str">
        <f>Portfolio!A173</f>
        <v/>
      </c>
      <c r="B174" s="14" t="str">
        <f>Portfolio!B173</f>
        <v/>
      </c>
      <c r="C174" s="158" t="str">
        <f>Portfolio!C173</f>
        <v/>
      </c>
      <c r="D174" s="96" t="str">
        <f>Portfolio!D173</f>
        <v/>
      </c>
      <c r="E174" s="96" t="str">
        <f>Portfolio!E173</f>
        <v/>
      </c>
      <c r="F174" s="96" t="str">
        <f>Portfolio!G173</f>
        <v/>
      </c>
      <c r="G174" s="50" t="str">
        <f>Portfolio!H173</f>
        <v/>
      </c>
      <c r="H174" s="96" t="str">
        <f>Portfolio!I173</f>
        <v/>
      </c>
      <c r="I174" s="96" t="str">
        <f>Portfolio!J173</f>
        <v/>
      </c>
      <c r="J174" s="96" t="str">
        <f>Portfolio!K173</f>
        <v/>
      </c>
      <c r="K174" s="50" t="str">
        <f>Portfolio!O173</f>
        <v/>
      </c>
      <c r="L174" s="96" t="str">
        <f>Portfolio!P173</f>
        <v/>
      </c>
      <c r="M174" s="96" t="str">
        <f>Portfolio!Q173</f>
        <v/>
      </c>
      <c r="N174" s="14" t="str">
        <f>Portfolio!R173</f>
        <v/>
      </c>
      <c r="O174" s="50" t="str">
        <f>Portfolio!S173</f>
        <v/>
      </c>
      <c r="Q174" s="50" t="str">
        <f>Portfolio!U173</f>
        <v/>
      </c>
      <c r="S174" s="50" t="str">
        <f>Portfolio!W173</f>
        <v/>
      </c>
      <c r="T174" s="50" t="str">
        <f>Portfolio!X173</f>
        <v/>
      </c>
      <c r="U174" s="50" t="str">
        <f>Portfolio!Y173</f>
        <v/>
      </c>
      <c r="V174" s="50" t="str">
        <f>Portfolio!Z173</f>
        <v/>
      </c>
      <c r="W174" s="14" t="str">
        <f>Portfolio!AA173</f>
        <v/>
      </c>
      <c r="X174" s="50" t="str">
        <f>Portfolio!AB173</f>
        <v/>
      </c>
      <c r="Y174" s="179" t="str">
        <f>Portfolio!AC173</f>
        <v/>
      </c>
      <c r="Z174" s="50" t="str">
        <f>Portfolio!AD173</f>
        <v/>
      </c>
      <c r="AA174" s="180" t="str">
        <f>Portfolio!AE173</f>
        <v/>
      </c>
    </row>
    <row r="175">
      <c r="A175" s="14" t="str">
        <f>Portfolio!A174</f>
        <v/>
      </c>
      <c r="B175" s="14" t="str">
        <f>Portfolio!B174</f>
        <v/>
      </c>
      <c r="C175" s="158" t="str">
        <f>Portfolio!C174</f>
        <v/>
      </c>
      <c r="D175" s="96" t="str">
        <f>Portfolio!D174</f>
        <v/>
      </c>
      <c r="E175" s="96" t="str">
        <f>Portfolio!E174</f>
        <v/>
      </c>
      <c r="F175" s="96" t="str">
        <f>Portfolio!G174</f>
        <v/>
      </c>
      <c r="G175" s="50" t="str">
        <f>Portfolio!H174</f>
        <v/>
      </c>
      <c r="H175" s="96" t="str">
        <f>Portfolio!I174</f>
        <v/>
      </c>
      <c r="I175" s="96" t="str">
        <f>Portfolio!J174</f>
        <v/>
      </c>
      <c r="J175" s="96" t="str">
        <f>Portfolio!K174</f>
        <v/>
      </c>
      <c r="K175" s="50" t="str">
        <f>Portfolio!O174</f>
        <v/>
      </c>
      <c r="L175" s="96" t="str">
        <f>Portfolio!P174</f>
        <v/>
      </c>
      <c r="M175" s="96" t="str">
        <f>Portfolio!Q174</f>
        <v/>
      </c>
      <c r="N175" s="14" t="str">
        <f>Portfolio!R174</f>
        <v/>
      </c>
      <c r="O175" s="50" t="str">
        <f>Portfolio!S174</f>
        <v/>
      </c>
      <c r="Q175" s="50" t="str">
        <f>Portfolio!U174</f>
        <v/>
      </c>
      <c r="S175" s="50" t="str">
        <f>Portfolio!W174</f>
        <v/>
      </c>
      <c r="T175" s="50" t="str">
        <f>Portfolio!X174</f>
        <v/>
      </c>
      <c r="U175" s="50" t="str">
        <f>Portfolio!Y174</f>
        <v/>
      </c>
      <c r="V175" s="50" t="str">
        <f>Portfolio!Z174</f>
        <v/>
      </c>
      <c r="W175" s="14" t="str">
        <f>Portfolio!AA174</f>
        <v/>
      </c>
      <c r="X175" s="50" t="str">
        <f>Portfolio!AB174</f>
        <v/>
      </c>
      <c r="Y175" s="179" t="str">
        <f>Portfolio!AC174</f>
        <v/>
      </c>
      <c r="Z175" s="50" t="str">
        <f>Portfolio!AD174</f>
        <v/>
      </c>
      <c r="AA175" s="180" t="str">
        <f>Portfolio!AE174</f>
        <v/>
      </c>
    </row>
    <row r="176">
      <c r="A176" s="14" t="str">
        <f>Portfolio!A175</f>
        <v/>
      </c>
      <c r="B176" s="14" t="str">
        <f>Portfolio!B175</f>
        <v/>
      </c>
      <c r="C176" s="158" t="str">
        <f>Portfolio!C175</f>
        <v/>
      </c>
      <c r="D176" s="96" t="str">
        <f>Portfolio!D175</f>
        <v/>
      </c>
      <c r="E176" s="96" t="str">
        <f>Portfolio!E175</f>
        <v/>
      </c>
      <c r="F176" s="96" t="str">
        <f>Portfolio!G175</f>
        <v/>
      </c>
      <c r="G176" s="50" t="str">
        <f>Portfolio!H175</f>
        <v/>
      </c>
      <c r="H176" s="96" t="str">
        <f>Portfolio!I175</f>
        <v/>
      </c>
      <c r="I176" s="96" t="str">
        <f>Portfolio!J175</f>
        <v/>
      </c>
      <c r="J176" s="96" t="str">
        <f>Portfolio!K175</f>
        <v/>
      </c>
      <c r="K176" s="50" t="str">
        <f>Portfolio!O175</f>
        <v/>
      </c>
      <c r="L176" s="96" t="str">
        <f>Portfolio!P175</f>
        <v/>
      </c>
      <c r="M176" s="96" t="str">
        <f>Portfolio!Q175</f>
        <v/>
      </c>
      <c r="N176" s="14" t="str">
        <f>Portfolio!R175</f>
        <v/>
      </c>
      <c r="O176" s="50" t="str">
        <f>Portfolio!S175</f>
        <v/>
      </c>
      <c r="Q176" s="50" t="str">
        <f>Portfolio!U175</f>
        <v/>
      </c>
      <c r="S176" s="50" t="str">
        <f>Portfolio!W175</f>
        <v/>
      </c>
      <c r="T176" s="50" t="str">
        <f>Portfolio!X175</f>
        <v/>
      </c>
      <c r="U176" s="50" t="str">
        <f>Portfolio!Y175</f>
        <v/>
      </c>
      <c r="V176" s="50" t="str">
        <f>Portfolio!Z175</f>
        <v/>
      </c>
      <c r="W176" s="14" t="str">
        <f>Portfolio!AA175</f>
        <v/>
      </c>
      <c r="X176" s="50" t="str">
        <f>Portfolio!AB175</f>
        <v/>
      </c>
      <c r="Y176" s="179" t="str">
        <f>Portfolio!AC175</f>
        <v/>
      </c>
      <c r="Z176" s="50" t="str">
        <f>Portfolio!AD175</f>
        <v/>
      </c>
      <c r="AA176" s="180" t="str">
        <f>Portfolio!AE175</f>
        <v/>
      </c>
    </row>
    <row r="177">
      <c r="A177" s="14" t="str">
        <f>Portfolio!A176</f>
        <v/>
      </c>
      <c r="B177" s="14" t="str">
        <f>Portfolio!B176</f>
        <v/>
      </c>
      <c r="C177" s="158" t="str">
        <f>Portfolio!C176</f>
        <v/>
      </c>
      <c r="D177" s="96" t="str">
        <f>Portfolio!D176</f>
        <v/>
      </c>
      <c r="E177" s="96" t="str">
        <f>Portfolio!E176</f>
        <v/>
      </c>
      <c r="F177" s="96" t="str">
        <f>Portfolio!G176</f>
        <v/>
      </c>
      <c r="G177" s="50" t="str">
        <f>Portfolio!H176</f>
        <v/>
      </c>
      <c r="H177" s="96" t="str">
        <f>Portfolio!I176</f>
        <v/>
      </c>
      <c r="I177" s="96" t="str">
        <f>Portfolio!J176</f>
        <v/>
      </c>
      <c r="J177" s="96" t="str">
        <f>Portfolio!K176</f>
        <v/>
      </c>
      <c r="K177" s="50" t="str">
        <f>Portfolio!O176</f>
        <v/>
      </c>
      <c r="L177" s="96" t="str">
        <f>Portfolio!P176</f>
        <v/>
      </c>
      <c r="M177" s="96" t="str">
        <f>Portfolio!Q176</f>
        <v/>
      </c>
      <c r="N177" s="14" t="str">
        <f>Portfolio!R176</f>
        <v/>
      </c>
      <c r="O177" s="50" t="str">
        <f>Portfolio!S176</f>
        <v/>
      </c>
      <c r="Q177" s="50" t="str">
        <f>Portfolio!U176</f>
        <v/>
      </c>
      <c r="S177" s="50" t="str">
        <f>Portfolio!W176</f>
        <v/>
      </c>
      <c r="T177" s="50" t="str">
        <f>Portfolio!X176</f>
        <v/>
      </c>
      <c r="U177" s="50" t="str">
        <f>Portfolio!Y176</f>
        <v/>
      </c>
      <c r="V177" s="50" t="str">
        <f>Portfolio!Z176</f>
        <v/>
      </c>
      <c r="W177" s="14" t="str">
        <f>Portfolio!AA176</f>
        <v/>
      </c>
      <c r="X177" s="50" t="str">
        <f>Portfolio!AB176</f>
        <v/>
      </c>
      <c r="Y177" s="179" t="str">
        <f>Portfolio!AC176</f>
        <v/>
      </c>
      <c r="Z177" s="50" t="str">
        <f>Portfolio!AD176</f>
        <v/>
      </c>
      <c r="AA177" s="180" t="str">
        <f>Portfolio!AE176</f>
        <v/>
      </c>
    </row>
    <row r="178">
      <c r="A178" s="14" t="str">
        <f>Portfolio!A177</f>
        <v/>
      </c>
      <c r="B178" s="14" t="str">
        <f>Portfolio!B177</f>
        <v/>
      </c>
      <c r="C178" s="158" t="str">
        <f>Portfolio!C177</f>
        <v/>
      </c>
      <c r="D178" s="96" t="str">
        <f>Portfolio!D177</f>
        <v/>
      </c>
      <c r="E178" s="96" t="str">
        <f>Portfolio!E177</f>
        <v/>
      </c>
      <c r="F178" s="96" t="str">
        <f>Portfolio!G177</f>
        <v/>
      </c>
      <c r="G178" s="50" t="str">
        <f>Portfolio!H177</f>
        <v/>
      </c>
      <c r="H178" s="96" t="str">
        <f>Portfolio!I177</f>
        <v/>
      </c>
      <c r="I178" s="96" t="str">
        <f>Portfolio!J177</f>
        <v/>
      </c>
      <c r="J178" s="96" t="str">
        <f>Portfolio!K177</f>
        <v/>
      </c>
      <c r="K178" s="50" t="str">
        <f>Portfolio!O177</f>
        <v/>
      </c>
      <c r="L178" s="96" t="str">
        <f>Portfolio!P177</f>
        <v/>
      </c>
      <c r="M178" s="96" t="str">
        <f>Portfolio!Q177</f>
        <v/>
      </c>
      <c r="N178" s="14" t="str">
        <f>Portfolio!R177</f>
        <v/>
      </c>
      <c r="O178" s="50" t="str">
        <f>Portfolio!S177</f>
        <v/>
      </c>
      <c r="Q178" s="50" t="str">
        <f>Portfolio!U177</f>
        <v/>
      </c>
      <c r="S178" s="50" t="str">
        <f>Portfolio!W177</f>
        <v/>
      </c>
      <c r="T178" s="50" t="str">
        <f>Portfolio!X177</f>
        <v/>
      </c>
      <c r="U178" s="50" t="str">
        <f>Portfolio!Y177</f>
        <v/>
      </c>
      <c r="V178" s="50" t="str">
        <f>Portfolio!Z177</f>
        <v/>
      </c>
      <c r="W178" s="14" t="str">
        <f>Portfolio!AA177</f>
        <v/>
      </c>
      <c r="X178" s="50" t="str">
        <f>Portfolio!AB177</f>
        <v/>
      </c>
      <c r="Y178" s="179" t="str">
        <f>Portfolio!AC177</f>
        <v/>
      </c>
      <c r="Z178" s="50" t="str">
        <f>Portfolio!AD177</f>
        <v/>
      </c>
      <c r="AA178" s="180" t="str">
        <f>Portfolio!AE177</f>
        <v/>
      </c>
    </row>
    <row r="179">
      <c r="A179" s="14" t="str">
        <f>Portfolio!A178</f>
        <v/>
      </c>
      <c r="B179" s="14" t="str">
        <f>Portfolio!B178</f>
        <v/>
      </c>
      <c r="C179" s="158" t="str">
        <f>Portfolio!C178</f>
        <v/>
      </c>
      <c r="D179" s="96" t="str">
        <f>Portfolio!D178</f>
        <v/>
      </c>
      <c r="E179" s="96" t="str">
        <f>Portfolio!E178</f>
        <v/>
      </c>
      <c r="F179" s="96" t="str">
        <f>Portfolio!G178</f>
        <v/>
      </c>
      <c r="G179" s="50" t="str">
        <f>Portfolio!H178</f>
        <v/>
      </c>
      <c r="H179" s="96" t="str">
        <f>Portfolio!I178</f>
        <v/>
      </c>
      <c r="I179" s="96" t="str">
        <f>Portfolio!J178</f>
        <v/>
      </c>
      <c r="J179" s="96" t="str">
        <f>Portfolio!K178</f>
        <v/>
      </c>
      <c r="K179" s="50" t="str">
        <f>Portfolio!O178</f>
        <v/>
      </c>
      <c r="L179" s="96" t="str">
        <f>Portfolio!P178</f>
        <v/>
      </c>
      <c r="M179" s="96" t="str">
        <f>Portfolio!Q178</f>
        <v/>
      </c>
      <c r="N179" s="14" t="str">
        <f>Portfolio!R178</f>
        <v/>
      </c>
      <c r="O179" s="50" t="str">
        <f>Portfolio!S178</f>
        <v/>
      </c>
      <c r="Q179" s="50" t="str">
        <f>Portfolio!U178</f>
        <v/>
      </c>
      <c r="S179" s="50" t="str">
        <f>Portfolio!W178</f>
        <v/>
      </c>
      <c r="T179" s="50" t="str">
        <f>Portfolio!X178</f>
        <v/>
      </c>
      <c r="U179" s="50" t="str">
        <f>Portfolio!Y178</f>
        <v/>
      </c>
      <c r="V179" s="50" t="str">
        <f>Portfolio!Z178</f>
        <v/>
      </c>
      <c r="W179" s="14" t="str">
        <f>Portfolio!AA178</f>
        <v/>
      </c>
      <c r="X179" s="50" t="str">
        <f>Portfolio!AB178</f>
        <v/>
      </c>
      <c r="Y179" s="179" t="str">
        <f>Portfolio!AC178</f>
        <v/>
      </c>
      <c r="Z179" s="50" t="str">
        <f>Portfolio!AD178</f>
        <v/>
      </c>
      <c r="AA179" s="180" t="str">
        <f>Portfolio!AE178</f>
        <v/>
      </c>
    </row>
    <row r="180">
      <c r="A180" s="14" t="str">
        <f>Portfolio!A179</f>
        <v/>
      </c>
      <c r="B180" s="14" t="str">
        <f>Portfolio!B179</f>
        <v/>
      </c>
      <c r="C180" s="158" t="str">
        <f>Portfolio!C179</f>
        <v/>
      </c>
      <c r="D180" s="96" t="str">
        <f>Portfolio!D179</f>
        <v/>
      </c>
      <c r="E180" s="96" t="str">
        <f>Portfolio!E179</f>
        <v/>
      </c>
      <c r="F180" s="96" t="str">
        <f>Portfolio!G179</f>
        <v/>
      </c>
      <c r="G180" s="50" t="str">
        <f>Portfolio!H179</f>
        <v/>
      </c>
      <c r="H180" s="96" t="str">
        <f>Portfolio!I179</f>
        <v/>
      </c>
      <c r="I180" s="96" t="str">
        <f>Portfolio!J179</f>
        <v/>
      </c>
      <c r="J180" s="96" t="str">
        <f>Portfolio!K179</f>
        <v/>
      </c>
      <c r="K180" s="50" t="str">
        <f>Portfolio!O179</f>
        <v/>
      </c>
      <c r="L180" s="96" t="str">
        <f>Portfolio!P179</f>
        <v/>
      </c>
      <c r="M180" s="96" t="str">
        <f>Portfolio!Q179</f>
        <v/>
      </c>
      <c r="N180" s="14" t="str">
        <f>Portfolio!R179</f>
        <v/>
      </c>
      <c r="O180" s="50" t="str">
        <f>Portfolio!S179</f>
        <v/>
      </c>
      <c r="Q180" s="50" t="str">
        <f>Portfolio!U179</f>
        <v/>
      </c>
      <c r="S180" s="50" t="str">
        <f>Portfolio!W179</f>
        <v/>
      </c>
      <c r="T180" s="50" t="str">
        <f>Portfolio!X179</f>
        <v/>
      </c>
      <c r="U180" s="50" t="str">
        <f>Portfolio!Y179</f>
        <v/>
      </c>
      <c r="V180" s="50" t="str">
        <f>Portfolio!Z179</f>
        <v/>
      </c>
      <c r="W180" s="14" t="str">
        <f>Portfolio!AA179</f>
        <v/>
      </c>
      <c r="X180" s="50" t="str">
        <f>Portfolio!AB179</f>
        <v/>
      </c>
      <c r="Y180" s="179" t="str">
        <f>Portfolio!AC179</f>
        <v/>
      </c>
      <c r="Z180" s="50" t="str">
        <f>Portfolio!AD179</f>
        <v/>
      </c>
      <c r="AA180" s="180" t="str">
        <f>Portfolio!AE179</f>
        <v/>
      </c>
    </row>
    <row r="181">
      <c r="A181" s="14" t="str">
        <f>Portfolio!A180</f>
        <v/>
      </c>
      <c r="B181" s="14" t="str">
        <f>Portfolio!B180</f>
        <v/>
      </c>
      <c r="C181" s="158" t="str">
        <f>Portfolio!C180</f>
        <v/>
      </c>
      <c r="D181" s="96" t="str">
        <f>Portfolio!D180</f>
        <v/>
      </c>
      <c r="E181" s="96" t="str">
        <f>Portfolio!E180</f>
        <v/>
      </c>
      <c r="F181" s="96" t="str">
        <f>Portfolio!G180</f>
        <v/>
      </c>
      <c r="G181" s="50" t="str">
        <f>Portfolio!H180</f>
        <v/>
      </c>
      <c r="H181" s="96" t="str">
        <f>Portfolio!I180</f>
        <v/>
      </c>
      <c r="I181" s="96" t="str">
        <f>Portfolio!J180</f>
        <v/>
      </c>
      <c r="J181" s="96" t="str">
        <f>Portfolio!K180</f>
        <v/>
      </c>
      <c r="K181" s="50" t="str">
        <f>Portfolio!O180</f>
        <v/>
      </c>
      <c r="L181" s="96" t="str">
        <f>Portfolio!P180</f>
        <v/>
      </c>
      <c r="M181" s="96" t="str">
        <f>Portfolio!Q180</f>
        <v/>
      </c>
      <c r="N181" s="14" t="str">
        <f>Portfolio!R180</f>
        <v/>
      </c>
      <c r="O181" s="50" t="str">
        <f>Portfolio!S180</f>
        <v/>
      </c>
      <c r="Q181" s="50" t="str">
        <f>Portfolio!U180</f>
        <v/>
      </c>
      <c r="S181" s="50" t="str">
        <f>Portfolio!W180</f>
        <v/>
      </c>
      <c r="T181" s="50" t="str">
        <f>Portfolio!X180</f>
        <v/>
      </c>
      <c r="U181" s="50" t="str">
        <f>Portfolio!Y180</f>
        <v/>
      </c>
      <c r="V181" s="50" t="str">
        <f>Portfolio!Z180</f>
        <v/>
      </c>
      <c r="W181" s="14" t="str">
        <f>Portfolio!AA180</f>
        <v/>
      </c>
      <c r="X181" s="50" t="str">
        <f>Portfolio!AB180</f>
        <v/>
      </c>
      <c r="Y181" s="179" t="str">
        <f>Portfolio!AC180</f>
        <v/>
      </c>
      <c r="Z181" s="50" t="str">
        <f>Portfolio!AD180</f>
        <v/>
      </c>
      <c r="AA181" s="180" t="str">
        <f>Portfolio!AE180</f>
        <v/>
      </c>
    </row>
    <row r="182">
      <c r="A182" s="14" t="str">
        <f>Portfolio!A181</f>
        <v/>
      </c>
      <c r="B182" s="14" t="str">
        <f>Portfolio!B181</f>
        <v/>
      </c>
      <c r="C182" s="158" t="str">
        <f>Portfolio!C181</f>
        <v/>
      </c>
      <c r="D182" s="96" t="str">
        <f>Portfolio!D181</f>
        <v/>
      </c>
      <c r="E182" s="96" t="str">
        <f>Portfolio!E181</f>
        <v/>
      </c>
      <c r="F182" s="96" t="str">
        <f>Portfolio!G181</f>
        <v/>
      </c>
      <c r="G182" s="50" t="str">
        <f>Portfolio!H181</f>
        <v/>
      </c>
      <c r="H182" s="96" t="str">
        <f>Portfolio!I181</f>
        <v/>
      </c>
      <c r="I182" s="96" t="str">
        <f>Portfolio!J181</f>
        <v/>
      </c>
      <c r="J182" s="96" t="str">
        <f>Portfolio!K181</f>
        <v/>
      </c>
      <c r="K182" s="50" t="str">
        <f>Portfolio!O181</f>
        <v/>
      </c>
      <c r="L182" s="96" t="str">
        <f>Portfolio!P181</f>
        <v/>
      </c>
      <c r="M182" s="96" t="str">
        <f>Portfolio!Q181</f>
        <v/>
      </c>
      <c r="N182" s="14" t="str">
        <f>Portfolio!R181</f>
        <v/>
      </c>
      <c r="O182" s="50" t="str">
        <f>Portfolio!S181</f>
        <v/>
      </c>
      <c r="Q182" s="50" t="str">
        <f>Portfolio!U181</f>
        <v/>
      </c>
      <c r="S182" s="50" t="str">
        <f>Portfolio!W181</f>
        <v/>
      </c>
      <c r="T182" s="50" t="str">
        <f>Portfolio!X181</f>
        <v/>
      </c>
      <c r="U182" s="50" t="str">
        <f>Portfolio!Y181</f>
        <v/>
      </c>
      <c r="V182" s="50" t="str">
        <f>Portfolio!Z181</f>
        <v/>
      </c>
      <c r="W182" s="14" t="str">
        <f>Portfolio!AA181</f>
        <v/>
      </c>
      <c r="X182" s="50" t="str">
        <f>Portfolio!AB181</f>
        <v/>
      </c>
      <c r="Y182" s="179" t="str">
        <f>Portfolio!AC181</f>
        <v/>
      </c>
      <c r="Z182" s="50" t="str">
        <f>Portfolio!AD181</f>
        <v/>
      </c>
      <c r="AA182" s="180" t="str">
        <f>Portfolio!AE181</f>
        <v/>
      </c>
    </row>
    <row r="183">
      <c r="A183" s="14" t="str">
        <f>Portfolio!A182</f>
        <v/>
      </c>
      <c r="B183" s="14" t="str">
        <f>Portfolio!B182</f>
        <v/>
      </c>
      <c r="C183" s="158" t="str">
        <f>Portfolio!C182</f>
        <v/>
      </c>
      <c r="D183" s="96" t="str">
        <f>Portfolio!D182</f>
        <v/>
      </c>
      <c r="E183" s="96" t="str">
        <f>Portfolio!E182</f>
        <v/>
      </c>
      <c r="F183" s="96" t="str">
        <f>Portfolio!G182</f>
        <v/>
      </c>
      <c r="G183" s="50" t="str">
        <f>Portfolio!H182</f>
        <v/>
      </c>
      <c r="H183" s="96" t="str">
        <f>Portfolio!I182</f>
        <v/>
      </c>
      <c r="I183" s="96" t="str">
        <f>Portfolio!J182</f>
        <v/>
      </c>
      <c r="J183" s="96" t="str">
        <f>Portfolio!K182</f>
        <v/>
      </c>
      <c r="K183" s="50" t="str">
        <f>Portfolio!O182</f>
        <v/>
      </c>
      <c r="L183" s="96" t="str">
        <f>Portfolio!P182</f>
        <v/>
      </c>
      <c r="M183" s="96" t="str">
        <f>Portfolio!Q182</f>
        <v/>
      </c>
      <c r="N183" s="14" t="str">
        <f>Portfolio!R182</f>
        <v/>
      </c>
      <c r="O183" s="50" t="str">
        <f>Portfolio!S182</f>
        <v/>
      </c>
      <c r="Q183" s="50" t="str">
        <f>Portfolio!U182</f>
        <v/>
      </c>
      <c r="S183" s="50" t="str">
        <f>Portfolio!W182</f>
        <v/>
      </c>
      <c r="T183" s="50" t="str">
        <f>Portfolio!X182</f>
        <v/>
      </c>
      <c r="U183" s="50" t="str">
        <f>Portfolio!Y182</f>
        <v/>
      </c>
      <c r="V183" s="50" t="str">
        <f>Portfolio!Z182</f>
        <v/>
      </c>
      <c r="W183" s="14" t="str">
        <f>Portfolio!AA182</f>
        <v/>
      </c>
      <c r="X183" s="50" t="str">
        <f>Portfolio!AB182</f>
        <v/>
      </c>
      <c r="Y183" s="179" t="str">
        <f>Portfolio!AC182</f>
        <v/>
      </c>
      <c r="Z183" s="50" t="str">
        <f>Portfolio!AD182</f>
        <v/>
      </c>
      <c r="AA183" s="180" t="str">
        <f>Portfolio!AE182</f>
        <v/>
      </c>
    </row>
    <row r="184">
      <c r="A184" s="14" t="str">
        <f>Portfolio!A183</f>
        <v/>
      </c>
      <c r="B184" s="14" t="str">
        <f>Portfolio!B183</f>
        <v/>
      </c>
      <c r="C184" s="158" t="str">
        <f>Portfolio!C183</f>
        <v/>
      </c>
      <c r="D184" s="96" t="str">
        <f>Portfolio!D183</f>
        <v/>
      </c>
      <c r="E184" s="96" t="str">
        <f>Portfolio!E183</f>
        <v/>
      </c>
      <c r="F184" s="96" t="str">
        <f>Portfolio!G183</f>
        <v/>
      </c>
      <c r="G184" s="50" t="str">
        <f>Portfolio!H183</f>
        <v/>
      </c>
      <c r="H184" s="96" t="str">
        <f>Portfolio!I183</f>
        <v/>
      </c>
      <c r="I184" s="96" t="str">
        <f>Portfolio!J183</f>
        <v/>
      </c>
      <c r="J184" s="96" t="str">
        <f>Portfolio!K183</f>
        <v/>
      </c>
      <c r="K184" s="50" t="str">
        <f>Portfolio!O183</f>
        <v/>
      </c>
      <c r="L184" s="96" t="str">
        <f>Portfolio!P183</f>
        <v/>
      </c>
      <c r="M184" s="96" t="str">
        <f>Portfolio!Q183</f>
        <v/>
      </c>
      <c r="N184" s="14" t="str">
        <f>Portfolio!R183</f>
        <v/>
      </c>
      <c r="O184" s="50" t="str">
        <f>Portfolio!S183</f>
        <v/>
      </c>
      <c r="Q184" s="50" t="str">
        <f>Portfolio!U183</f>
        <v/>
      </c>
      <c r="S184" s="50" t="str">
        <f>Portfolio!W183</f>
        <v/>
      </c>
      <c r="T184" s="50" t="str">
        <f>Portfolio!X183</f>
        <v/>
      </c>
      <c r="U184" s="50" t="str">
        <f>Portfolio!Y183</f>
        <v/>
      </c>
      <c r="V184" s="50" t="str">
        <f>Portfolio!Z183</f>
        <v/>
      </c>
      <c r="W184" s="14" t="str">
        <f>Portfolio!AA183</f>
        <v/>
      </c>
      <c r="X184" s="50" t="str">
        <f>Portfolio!AB183</f>
        <v/>
      </c>
      <c r="Y184" s="179" t="str">
        <f>Portfolio!AC183</f>
        <v/>
      </c>
      <c r="Z184" s="50" t="str">
        <f>Portfolio!AD183</f>
        <v/>
      </c>
      <c r="AA184" s="180" t="str">
        <f>Portfolio!AE183</f>
        <v/>
      </c>
    </row>
    <row r="185">
      <c r="A185" s="14" t="str">
        <f>Portfolio!A184</f>
        <v/>
      </c>
      <c r="B185" s="14" t="str">
        <f>Portfolio!B184</f>
        <v/>
      </c>
      <c r="C185" s="158" t="str">
        <f>Portfolio!C184</f>
        <v/>
      </c>
      <c r="D185" s="96" t="str">
        <f>Portfolio!D184</f>
        <v/>
      </c>
      <c r="E185" s="96" t="str">
        <f>Portfolio!E184</f>
        <v/>
      </c>
      <c r="F185" s="96" t="str">
        <f>Portfolio!G184</f>
        <v/>
      </c>
      <c r="G185" s="50" t="str">
        <f>Portfolio!H184</f>
        <v/>
      </c>
      <c r="H185" s="96" t="str">
        <f>Portfolio!I184</f>
        <v/>
      </c>
      <c r="I185" s="96" t="str">
        <f>Portfolio!J184</f>
        <v/>
      </c>
      <c r="J185" s="96" t="str">
        <f>Portfolio!K184</f>
        <v/>
      </c>
      <c r="K185" s="50" t="str">
        <f>Portfolio!O184</f>
        <v/>
      </c>
      <c r="L185" s="96" t="str">
        <f>Portfolio!P184</f>
        <v/>
      </c>
      <c r="M185" s="96" t="str">
        <f>Portfolio!Q184</f>
        <v/>
      </c>
      <c r="N185" s="14" t="str">
        <f>Portfolio!R184</f>
        <v/>
      </c>
      <c r="O185" s="50" t="str">
        <f>Portfolio!S184</f>
        <v/>
      </c>
      <c r="Q185" s="50" t="str">
        <f>Portfolio!U184</f>
        <v/>
      </c>
      <c r="S185" s="50" t="str">
        <f>Portfolio!W184</f>
        <v/>
      </c>
      <c r="T185" s="50" t="str">
        <f>Portfolio!X184</f>
        <v/>
      </c>
      <c r="U185" s="50" t="str">
        <f>Portfolio!Y184</f>
        <v/>
      </c>
      <c r="V185" s="50" t="str">
        <f>Portfolio!Z184</f>
        <v/>
      </c>
      <c r="W185" s="14" t="str">
        <f>Portfolio!AA184</f>
        <v/>
      </c>
      <c r="X185" s="50" t="str">
        <f>Portfolio!AB184</f>
        <v/>
      </c>
      <c r="Y185" s="179" t="str">
        <f>Portfolio!AC184</f>
        <v/>
      </c>
      <c r="Z185" s="50" t="str">
        <f>Portfolio!AD184</f>
        <v/>
      </c>
      <c r="AA185" s="180" t="str">
        <f>Portfolio!AE184</f>
        <v/>
      </c>
    </row>
    <row r="186">
      <c r="A186" s="14" t="str">
        <f>Portfolio!A185</f>
        <v/>
      </c>
      <c r="B186" s="14" t="str">
        <f>Portfolio!B185</f>
        <v/>
      </c>
      <c r="C186" s="158" t="str">
        <f>Portfolio!C185</f>
        <v/>
      </c>
      <c r="D186" s="96" t="str">
        <f>Portfolio!D185</f>
        <v/>
      </c>
      <c r="E186" s="96" t="str">
        <f>Portfolio!E185</f>
        <v/>
      </c>
      <c r="F186" s="96" t="str">
        <f>Portfolio!G185</f>
        <v/>
      </c>
      <c r="G186" s="50" t="str">
        <f>Portfolio!H185</f>
        <v/>
      </c>
      <c r="H186" s="96" t="str">
        <f>Portfolio!I185</f>
        <v/>
      </c>
      <c r="I186" s="96" t="str">
        <f>Portfolio!J185</f>
        <v/>
      </c>
      <c r="J186" s="96" t="str">
        <f>Portfolio!K185</f>
        <v/>
      </c>
      <c r="K186" s="50" t="str">
        <f>Portfolio!O185</f>
        <v/>
      </c>
      <c r="L186" s="96" t="str">
        <f>Portfolio!P185</f>
        <v/>
      </c>
      <c r="M186" s="96" t="str">
        <f>Portfolio!Q185</f>
        <v/>
      </c>
      <c r="N186" s="14" t="str">
        <f>Portfolio!R185</f>
        <v/>
      </c>
      <c r="O186" s="50" t="str">
        <f>Portfolio!S185</f>
        <v/>
      </c>
      <c r="Q186" s="50" t="str">
        <f>Portfolio!U185</f>
        <v/>
      </c>
      <c r="S186" s="50" t="str">
        <f>Portfolio!W185</f>
        <v/>
      </c>
      <c r="T186" s="50" t="str">
        <f>Portfolio!X185</f>
        <v/>
      </c>
      <c r="U186" s="50" t="str">
        <f>Portfolio!Y185</f>
        <v/>
      </c>
      <c r="V186" s="50" t="str">
        <f>Portfolio!Z185</f>
        <v/>
      </c>
      <c r="W186" s="14" t="str">
        <f>Portfolio!AA185</f>
        <v/>
      </c>
      <c r="X186" s="50" t="str">
        <f>Portfolio!AB185</f>
        <v/>
      </c>
      <c r="Y186" s="179" t="str">
        <f>Portfolio!AC185</f>
        <v/>
      </c>
      <c r="Z186" s="50" t="str">
        <f>Portfolio!AD185</f>
        <v/>
      </c>
      <c r="AA186" s="180" t="str">
        <f>Portfolio!AE185</f>
        <v/>
      </c>
    </row>
    <row r="187">
      <c r="A187" s="14" t="str">
        <f>Portfolio!A186</f>
        <v/>
      </c>
      <c r="B187" s="14" t="str">
        <f>Portfolio!B186</f>
        <v/>
      </c>
      <c r="C187" s="158" t="str">
        <f>Portfolio!C186</f>
        <v/>
      </c>
      <c r="D187" s="96" t="str">
        <f>Portfolio!D186</f>
        <v/>
      </c>
      <c r="E187" s="96" t="str">
        <f>Portfolio!E186</f>
        <v/>
      </c>
      <c r="F187" s="96" t="str">
        <f>Portfolio!G186</f>
        <v/>
      </c>
      <c r="G187" s="50" t="str">
        <f>Portfolio!H186</f>
        <v/>
      </c>
      <c r="H187" s="96" t="str">
        <f>Portfolio!I186</f>
        <v/>
      </c>
      <c r="I187" s="96" t="str">
        <f>Portfolio!J186</f>
        <v/>
      </c>
      <c r="J187" s="96" t="str">
        <f>Portfolio!K186</f>
        <v/>
      </c>
      <c r="K187" s="50" t="str">
        <f>Portfolio!O186</f>
        <v/>
      </c>
      <c r="L187" s="96" t="str">
        <f>Portfolio!P186</f>
        <v/>
      </c>
      <c r="M187" s="96" t="str">
        <f>Portfolio!Q186</f>
        <v/>
      </c>
      <c r="N187" s="14" t="str">
        <f>Portfolio!R186</f>
        <v/>
      </c>
      <c r="O187" s="50" t="str">
        <f>Portfolio!S186</f>
        <v/>
      </c>
      <c r="Q187" s="50" t="str">
        <f>Portfolio!U186</f>
        <v/>
      </c>
      <c r="S187" s="50" t="str">
        <f>Portfolio!W186</f>
        <v/>
      </c>
      <c r="T187" s="50" t="str">
        <f>Portfolio!X186</f>
        <v/>
      </c>
      <c r="U187" s="50" t="str">
        <f>Portfolio!Y186</f>
        <v/>
      </c>
      <c r="V187" s="50" t="str">
        <f>Portfolio!Z186</f>
        <v/>
      </c>
      <c r="W187" s="14" t="str">
        <f>Portfolio!AA186</f>
        <v/>
      </c>
      <c r="X187" s="50" t="str">
        <f>Portfolio!AB186</f>
        <v/>
      </c>
      <c r="Y187" s="179" t="str">
        <f>Portfolio!AC186</f>
        <v/>
      </c>
      <c r="Z187" s="50" t="str">
        <f>Portfolio!AD186</f>
        <v/>
      </c>
      <c r="AA187" s="180" t="str">
        <f>Portfolio!AE186</f>
        <v/>
      </c>
    </row>
    <row r="188">
      <c r="A188" s="14" t="str">
        <f>Portfolio!A187</f>
        <v/>
      </c>
      <c r="B188" s="14" t="str">
        <f>Portfolio!B187</f>
        <v/>
      </c>
      <c r="C188" s="158" t="str">
        <f>Portfolio!C187</f>
        <v/>
      </c>
      <c r="D188" s="96" t="str">
        <f>Portfolio!D187</f>
        <v/>
      </c>
      <c r="E188" s="96" t="str">
        <f>Portfolio!E187</f>
        <v/>
      </c>
      <c r="F188" s="96" t="str">
        <f>Portfolio!G187</f>
        <v/>
      </c>
      <c r="G188" s="50" t="str">
        <f>Portfolio!H187</f>
        <v/>
      </c>
      <c r="H188" s="96" t="str">
        <f>Portfolio!I187</f>
        <v/>
      </c>
      <c r="I188" s="96" t="str">
        <f>Portfolio!J187</f>
        <v/>
      </c>
      <c r="J188" s="96" t="str">
        <f>Portfolio!K187</f>
        <v/>
      </c>
      <c r="K188" s="50" t="str">
        <f>Portfolio!O187</f>
        <v/>
      </c>
      <c r="L188" s="96" t="str">
        <f>Portfolio!P187</f>
        <v/>
      </c>
      <c r="M188" s="96" t="str">
        <f>Portfolio!Q187</f>
        <v/>
      </c>
      <c r="N188" s="14" t="str">
        <f>Portfolio!R187</f>
        <v/>
      </c>
      <c r="O188" s="50" t="str">
        <f>Portfolio!S187</f>
        <v/>
      </c>
      <c r="Q188" s="50" t="str">
        <f>Portfolio!U187</f>
        <v/>
      </c>
      <c r="S188" s="50" t="str">
        <f>Portfolio!W187</f>
        <v/>
      </c>
      <c r="T188" s="50" t="str">
        <f>Portfolio!X187</f>
        <v/>
      </c>
      <c r="U188" s="50" t="str">
        <f>Portfolio!Y187</f>
        <v/>
      </c>
      <c r="V188" s="50" t="str">
        <f>Portfolio!Z187</f>
        <v/>
      </c>
      <c r="W188" s="14" t="str">
        <f>Portfolio!AA187</f>
        <v/>
      </c>
      <c r="X188" s="50" t="str">
        <f>Portfolio!AB187</f>
        <v/>
      </c>
      <c r="Y188" s="179" t="str">
        <f>Portfolio!AC187</f>
        <v/>
      </c>
      <c r="Z188" s="50" t="str">
        <f>Portfolio!AD187</f>
        <v/>
      </c>
      <c r="AA188" s="180" t="str">
        <f>Portfolio!AE187</f>
        <v/>
      </c>
    </row>
    <row r="189">
      <c r="A189" s="14" t="str">
        <f>Portfolio!A188</f>
        <v/>
      </c>
      <c r="B189" s="14" t="str">
        <f>Portfolio!B188</f>
        <v/>
      </c>
      <c r="C189" s="158" t="str">
        <f>Portfolio!C188</f>
        <v/>
      </c>
      <c r="D189" s="96" t="str">
        <f>Portfolio!D188</f>
        <v/>
      </c>
      <c r="E189" s="96" t="str">
        <f>Portfolio!E188</f>
        <v/>
      </c>
      <c r="F189" s="96" t="str">
        <f>Portfolio!G188</f>
        <v/>
      </c>
      <c r="G189" s="50" t="str">
        <f>Portfolio!H188</f>
        <v/>
      </c>
      <c r="H189" s="96" t="str">
        <f>Portfolio!I188</f>
        <v/>
      </c>
      <c r="I189" s="96" t="str">
        <f>Portfolio!J188</f>
        <v/>
      </c>
      <c r="J189" s="96" t="str">
        <f>Portfolio!K188</f>
        <v/>
      </c>
      <c r="K189" s="50" t="str">
        <f>Portfolio!O188</f>
        <v/>
      </c>
      <c r="L189" s="96" t="str">
        <f>Portfolio!P188</f>
        <v/>
      </c>
      <c r="M189" s="96" t="str">
        <f>Portfolio!Q188</f>
        <v/>
      </c>
      <c r="N189" s="14" t="str">
        <f>Portfolio!R188</f>
        <v/>
      </c>
      <c r="O189" s="50" t="str">
        <f>Portfolio!S188</f>
        <v/>
      </c>
      <c r="Q189" s="50" t="str">
        <f>Portfolio!U188</f>
        <v/>
      </c>
      <c r="S189" s="50" t="str">
        <f>Portfolio!W188</f>
        <v/>
      </c>
      <c r="T189" s="50" t="str">
        <f>Portfolio!X188</f>
        <v/>
      </c>
      <c r="U189" s="50" t="str">
        <f>Portfolio!Y188</f>
        <v/>
      </c>
      <c r="V189" s="50" t="str">
        <f>Portfolio!Z188</f>
        <v/>
      </c>
      <c r="W189" s="14" t="str">
        <f>Portfolio!AA188</f>
        <v/>
      </c>
      <c r="X189" s="50" t="str">
        <f>Portfolio!AB188</f>
        <v/>
      </c>
      <c r="Y189" s="179" t="str">
        <f>Portfolio!AC188</f>
        <v/>
      </c>
      <c r="Z189" s="50" t="str">
        <f>Portfolio!AD188</f>
        <v/>
      </c>
      <c r="AA189" s="180" t="str">
        <f>Portfolio!AE188</f>
        <v/>
      </c>
    </row>
    <row r="190">
      <c r="A190" s="14" t="str">
        <f>Portfolio!A189</f>
        <v/>
      </c>
      <c r="B190" s="14" t="str">
        <f>Portfolio!B189</f>
        <v/>
      </c>
      <c r="C190" s="158" t="str">
        <f>Portfolio!C189</f>
        <v/>
      </c>
      <c r="D190" s="96" t="str">
        <f>Portfolio!D189</f>
        <v/>
      </c>
      <c r="E190" s="96" t="str">
        <f>Portfolio!E189</f>
        <v/>
      </c>
      <c r="F190" s="96" t="str">
        <f>Portfolio!G189</f>
        <v/>
      </c>
      <c r="G190" s="50" t="str">
        <f>Portfolio!H189</f>
        <v/>
      </c>
      <c r="H190" s="96" t="str">
        <f>Portfolio!I189</f>
        <v/>
      </c>
      <c r="I190" s="96" t="str">
        <f>Portfolio!J189</f>
        <v/>
      </c>
      <c r="J190" s="96" t="str">
        <f>Portfolio!K189</f>
        <v/>
      </c>
      <c r="K190" s="50" t="str">
        <f>Portfolio!O189</f>
        <v/>
      </c>
      <c r="L190" s="96" t="str">
        <f>Portfolio!P189</f>
        <v/>
      </c>
      <c r="M190" s="96" t="str">
        <f>Portfolio!Q189</f>
        <v/>
      </c>
      <c r="N190" s="14" t="str">
        <f>Portfolio!R189</f>
        <v/>
      </c>
      <c r="O190" s="50" t="str">
        <f>Portfolio!S189</f>
        <v/>
      </c>
      <c r="Q190" s="50" t="str">
        <f>Portfolio!U189</f>
        <v/>
      </c>
      <c r="S190" s="50" t="str">
        <f>Portfolio!W189</f>
        <v/>
      </c>
      <c r="T190" s="50" t="str">
        <f>Portfolio!X189</f>
        <v/>
      </c>
      <c r="U190" s="50" t="str">
        <f>Portfolio!Y189</f>
        <v/>
      </c>
      <c r="V190" s="50" t="str">
        <f>Portfolio!Z189</f>
        <v/>
      </c>
      <c r="W190" s="14" t="str">
        <f>Portfolio!AA189</f>
        <v/>
      </c>
      <c r="X190" s="50" t="str">
        <f>Portfolio!AB189</f>
        <v/>
      </c>
      <c r="Y190" s="179" t="str">
        <f>Portfolio!AC189</f>
        <v/>
      </c>
      <c r="Z190" s="50" t="str">
        <f>Portfolio!AD189</f>
        <v/>
      </c>
      <c r="AA190" s="180" t="str">
        <f>Portfolio!AE189</f>
        <v/>
      </c>
    </row>
    <row r="191">
      <c r="A191" s="14" t="str">
        <f>Portfolio!A190</f>
        <v/>
      </c>
      <c r="B191" s="14" t="str">
        <f>Portfolio!B190</f>
        <v/>
      </c>
      <c r="C191" s="158" t="str">
        <f>Portfolio!C190</f>
        <v/>
      </c>
      <c r="D191" s="96" t="str">
        <f>Portfolio!D190</f>
        <v/>
      </c>
      <c r="E191" s="96" t="str">
        <f>Portfolio!E190</f>
        <v/>
      </c>
      <c r="F191" s="96" t="str">
        <f>Portfolio!G190</f>
        <v/>
      </c>
      <c r="G191" s="50" t="str">
        <f>Portfolio!H190</f>
        <v/>
      </c>
      <c r="H191" s="96" t="str">
        <f>Portfolio!I190</f>
        <v/>
      </c>
      <c r="I191" s="96" t="str">
        <f>Portfolio!J190</f>
        <v/>
      </c>
      <c r="J191" s="96" t="str">
        <f>Portfolio!K190</f>
        <v/>
      </c>
      <c r="K191" s="50" t="str">
        <f>Portfolio!O190</f>
        <v/>
      </c>
      <c r="L191" s="96" t="str">
        <f>Portfolio!P190</f>
        <v/>
      </c>
      <c r="M191" s="96" t="str">
        <f>Portfolio!Q190</f>
        <v/>
      </c>
      <c r="N191" s="14" t="str">
        <f>Portfolio!R190</f>
        <v/>
      </c>
      <c r="O191" s="50" t="str">
        <f>Portfolio!S190</f>
        <v/>
      </c>
      <c r="Q191" s="50" t="str">
        <f>Portfolio!U190</f>
        <v/>
      </c>
      <c r="S191" s="50" t="str">
        <f>Portfolio!W190</f>
        <v/>
      </c>
      <c r="T191" s="50" t="str">
        <f>Portfolio!X190</f>
        <v/>
      </c>
      <c r="U191" s="50" t="str">
        <f>Portfolio!Y190</f>
        <v/>
      </c>
      <c r="V191" s="50" t="str">
        <f>Portfolio!Z190</f>
        <v/>
      </c>
      <c r="W191" s="14" t="str">
        <f>Portfolio!AA190</f>
        <v/>
      </c>
      <c r="X191" s="50" t="str">
        <f>Portfolio!AB190</f>
        <v/>
      </c>
      <c r="Y191" s="179" t="str">
        <f>Portfolio!AC190</f>
        <v/>
      </c>
      <c r="Z191" s="50" t="str">
        <f>Portfolio!AD190</f>
        <v/>
      </c>
      <c r="AA191" s="180" t="str">
        <f>Portfolio!AE190</f>
        <v/>
      </c>
    </row>
    <row r="192">
      <c r="A192" s="14" t="str">
        <f>Portfolio!A191</f>
        <v/>
      </c>
      <c r="B192" s="14" t="str">
        <f>Portfolio!B191</f>
        <v/>
      </c>
      <c r="C192" s="158" t="str">
        <f>Portfolio!C191</f>
        <v/>
      </c>
      <c r="D192" s="96" t="str">
        <f>Portfolio!D191</f>
        <v/>
      </c>
      <c r="E192" s="96" t="str">
        <f>Portfolio!E191</f>
        <v/>
      </c>
      <c r="F192" s="96" t="str">
        <f>Portfolio!G191</f>
        <v/>
      </c>
      <c r="G192" s="50" t="str">
        <f>Portfolio!H191</f>
        <v/>
      </c>
      <c r="H192" s="96" t="str">
        <f>Portfolio!I191</f>
        <v/>
      </c>
      <c r="I192" s="96" t="str">
        <f>Portfolio!J191</f>
        <v/>
      </c>
      <c r="J192" s="96" t="str">
        <f>Portfolio!K191</f>
        <v/>
      </c>
      <c r="K192" s="50" t="str">
        <f>Portfolio!O191</f>
        <v/>
      </c>
      <c r="L192" s="96" t="str">
        <f>Portfolio!P191</f>
        <v/>
      </c>
      <c r="M192" s="96" t="str">
        <f>Portfolio!Q191</f>
        <v/>
      </c>
      <c r="N192" s="14" t="str">
        <f>Portfolio!R191</f>
        <v/>
      </c>
      <c r="O192" s="50" t="str">
        <f>Portfolio!S191</f>
        <v/>
      </c>
      <c r="Q192" s="50" t="str">
        <f>Portfolio!U191</f>
        <v/>
      </c>
      <c r="S192" s="50" t="str">
        <f>Portfolio!W191</f>
        <v/>
      </c>
      <c r="T192" s="50" t="str">
        <f>Portfolio!X191</f>
        <v/>
      </c>
      <c r="U192" s="50" t="str">
        <f>Portfolio!Y191</f>
        <v/>
      </c>
      <c r="V192" s="50" t="str">
        <f>Portfolio!Z191</f>
        <v/>
      </c>
      <c r="W192" s="14" t="str">
        <f>Portfolio!AA191</f>
        <v/>
      </c>
      <c r="X192" s="50" t="str">
        <f>Portfolio!AB191</f>
        <v/>
      </c>
      <c r="Y192" s="179" t="str">
        <f>Portfolio!AC191</f>
        <v/>
      </c>
      <c r="Z192" s="50" t="str">
        <f>Portfolio!AD191</f>
        <v/>
      </c>
      <c r="AA192" s="180" t="str">
        <f>Portfolio!AE191</f>
        <v/>
      </c>
    </row>
    <row r="193">
      <c r="A193" s="14" t="str">
        <f>Portfolio!A192</f>
        <v/>
      </c>
      <c r="B193" s="14" t="str">
        <f>Portfolio!B192</f>
        <v/>
      </c>
      <c r="C193" s="158" t="str">
        <f>Portfolio!C192</f>
        <v/>
      </c>
      <c r="D193" s="96" t="str">
        <f>Portfolio!D192</f>
        <v/>
      </c>
      <c r="E193" s="96" t="str">
        <f>Portfolio!E192</f>
        <v/>
      </c>
      <c r="F193" s="96" t="str">
        <f>Portfolio!G192</f>
        <v/>
      </c>
      <c r="G193" s="50" t="str">
        <f>Portfolio!H192</f>
        <v/>
      </c>
      <c r="H193" s="96" t="str">
        <f>Portfolio!I192</f>
        <v/>
      </c>
      <c r="I193" s="96" t="str">
        <f>Portfolio!J192</f>
        <v/>
      </c>
      <c r="J193" s="96" t="str">
        <f>Portfolio!K192</f>
        <v/>
      </c>
      <c r="K193" s="50" t="str">
        <f>Portfolio!O192</f>
        <v/>
      </c>
      <c r="L193" s="96" t="str">
        <f>Portfolio!P192</f>
        <v/>
      </c>
      <c r="M193" s="96" t="str">
        <f>Portfolio!Q192</f>
        <v/>
      </c>
      <c r="N193" s="14" t="str">
        <f>Portfolio!R192</f>
        <v/>
      </c>
      <c r="O193" s="50" t="str">
        <f>Portfolio!S192</f>
        <v/>
      </c>
      <c r="Q193" s="50" t="str">
        <f>Portfolio!U192</f>
        <v/>
      </c>
      <c r="S193" s="50" t="str">
        <f>Portfolio!W192</f>
        <v/>
      </c>
      <c r="T193" s="50" t="str">
        <f>Portfolio!X192</f>
        <v/>
      </c>
      <c r="U193" s="50" t="str">
        <f>Portfolio!Y192</f>
        <v/>
      </c>
      <c r="V193" s="50" t="str">
        <f>Portfolio!Z192</f>
        <v/>
      </c>
      <c r="W193" s="14" t="str">
        <f>Portfolio!AA192</f>
        <v/>
      </c>
      <c r="X193" s="50" t="str">
        <f>Portfolio!AB192</f>
        <v/>
      </c>
      <c r="Y193" s="179" t="str">
        <f>Portfolio!AC192</f>
        <v/>
      </c>
      <c r="Z193" s="50" t="str">
        <f>Portfolio!AD192</f>
        <v/>
      </c>
      <c r="AA193" s="180" t="str">
        <f>Portfolio!AE192</f>
        <v/>
      </c>
    </row>
    <row r="194">
      <c r="A194" s="14" t="str">
        <f>Portfolio!A193</f>
        <v/>
      </c>
      <c r="B194" s="14" t="str">
        <f>Portfolio!B193</f>
        <v/>
      </c>
      <c r="C194" s="158" t="str">
        <f>Portfolio!C193</f>
        <v/>
      </c>
      <c r="D194" s="96" t="str">
        <f>Portfolio!D193</f>
        <v/>
      </c>
      <c r="E194" s="96" t="str">
        <f>Portfolio!E193</f>
        <v/>
      </c>
      <c r="F194" s="96" t="str">
        <f>Portfolio!G193</f>
        <v/>
      </c>
      <c r="G194" s="50" t="str">
        <f>Portfolio!H193</f>
        <v/>
      </c>
      <c r="H194" s="96" t="str">
        <f>Portfolio!I193</f>
        <v/>
      </c>
      <c r="I194" s="96" t="str">
        <f>Portfolio!J193</f>
        <v/>
      </c>
      <c r="J194" s="96" t="str">
        <f>Portfolio!K193</f>
        <v/>
      </c>
      <c r="K194" s="50" t="str">
        <f>Portfolio!O193</f>
        <v/>
      </c>
      <c r="L194" s="96" t="str">
        <f>Portfolio!P193</f>
        <v/>
      </c>
      <c r="M194" s="96" t="str">
        <f>Portfolio!Q193</f>
        <v/>
      </c>
      <c r="N194" s="14" t="str">
        <f>Portfolio!R193</f>
        <v/>
      </c>
      <c r="O194" s="50" t="str">
        <f>Portfolio!S193</f>
        <v/>
      </c>
      <c r="Q194" s="50" t="str">
        <f>Portfolio!U193</f>
        <v/>
      </c>
      <c r="S194" s="50" t="str">
        <f>Portfolio!W193</f>
        <v/>
      </c>
      <c r="T194" s="50" t="str">
        <f>Portfolio!X193</f>
        <v/>
      </c>
      <c r="U194" s="50" t="str">
        <f>Portfolio!Y193</f>
        <v/>
      </c>
      <c r="V194" s="50" t="str">
        <f>Portfolio!Z193</f>
        <v/>
      </c>
      <c r="W194" s="14" t="str">
        <f>Portfolio!AA193</f>
        <v/>
      </c>
      <c r="X194" s="50" t="str">
        <f>Portfolio!AB193</f>
        <v/>
      </c>
      <c r="Y194" s="179" t="str">
        <f>Portfolio!AC193</f>
        <v/>
      </c>
      <c r="Z194" s="50" t="str">
        <f>Portfolio!AD193</f>
        <v/>
      </c>
      <c r="AA194" s="180" t="str">
        <f>Portfolio!AE193</f>
        <v/>
      </c>
    </row>
    <row r="195">
      <c r="A195" s="14" t="str">
        <f>Portfolio!A194</f>
        <v/>
      </c>
      <c r="B195" s="14" t="str">
        <f>Portfolio!B194</f>
        <v/>
      </c>
      <c r="C195" s="158" t="str">
        <f>Portfolio!C194</f>
        <v/>
      </c>
      <c r="D195" s="96" t="str">
        <f>Portfolio!D194</f>
        <v/>
      </c>
      <c r="E195" s="96" t="str">
        <f>Portfolio!E194</f>
        <v/>
      </c>
      <c r="F195" s="96" t="str">
        <f>Portfolio!G194</f>
        <v/>
      </c>
      <c r="G195" s="50" t="str">
        <f>Portfolio!H194</f>
        <v/>
      </c>
      <c r="H195" s="96" t="str">
        <f>Portfolio!I194</f>
        <v/>
      </c>
      <c r="I195" s="96" t="str">
        <f>Portfolio!J194</f>
        <v/>
      </c>
      <c r="J195" s="96" t="str">
        <f>Portfolio!K194</f>
        <v/>
      </c>
      <c r="K195" s="50" t="str">
        <f>Portfolio!O194</f>
        <v/>
      </c>
      <c r="L195" s="96" t="str">
        <f>Portfolio!P194</f>
        <v/>
      </c>
      <c r="M195" s="96" t="str">
        <f>Portfolio!Q194</f>
        <v/>
      </c>
      <c r="N195" s="14" t="str">
        <f>Portfolio!R194</f>
        <v/>
      </c>
      <c r="O195" s="50" t="str">
        <f>Portfolio!S194</f>
        <v/>
      </c>
      <c r="Q195" s="50" t="str">
        <f>Portfolio!U194</f>
        <v/>
      </c>
      <c r="S195" s="50" t="str">
        <f>Portfolio!W194</f>
        <v/>
      </c>
      <c r="T195" s="50" t="str">
        <f>Portfolio!X194</f>
        <v/>
      </c>
      <c r="U195" s="50" t="str">
        <f>Portfolio!Y194</f>
        <v/>
      </c>
      <c r="V195" s="50" t="str">
        <f>Portfolio!Z194</f>
        <v/>
      </c>
      <c r="W195" s="14" t="str">
        <f>Portfolio!AA194</f>
        <v/>
      </c>
      <c r="X195" s="50" t="str">
        <f>Portfolio!AB194</f>
        <v/>
      </c>
      <c r="Y195" s="179" t="str">
        <f>Portfolio!AC194</f>
        <v/>
      </c>
      <c r="Z195" s="50" t="str">
        <f>Portfolio!AD194</f>
        <v/>
      </c>
      <c r="AA195" s="180" t="str">
        <f>Portfolio!AE194</f>
        <v/>
      </c>
    </row>
    <row r="196">
      <c r="A196" s="14" t="str">
        <f>Portfolio!A195</f>
        <v/>
      </c>
      <c r="B196" s="14" t="str">
        <f>Portfolio!B195</f>
        <v/>
      </c>
      <c r="C196" s="158" t="str">
        <f>Portfolio!C195</f>
        <v/>
      </c>
      <c r="D196" s="96" t="str">
        <f>Portfolio!D195</f>
        <v/>
      </c>
      <c r="E196" s="96" t="str">
        <f>Portfolio!E195</f>
        <v/>
      </c>
      <c r="F196" s="96" t="str">
        <f>Portfolio!G195</f>
        <v/>
      </c>
      <c r="G196" s="50" t="str">
        <f>Portfolio!H195</f>
        <v/>
      </c>
      <c r="H196" s="96" t="str">
        <f>Portfolio!I195</f>
        <v/>
      </c>
      <c r="I196" s="96" t="str">
        <f>Portfolio!J195</f>
        <v/>
      </c>
      <c r="J196" s="96" t="str">
        <f>Portfolio!K195</f>
        <v/>
      </c>
      <c r="K196" s="50" t="str">
        <f>Portfolio!O195</f>
        <v/>
      </c>
      <c r="L196" s="96" t="str">
        <f>Portfolio!P195</f>
        <v/>
      </c>
      <c r="M196" s="96" t="str">
        <f>Portfolio!Q195</f>
        <v/>
      </c>
      <c r="N196" s="14" t="str">
        <f>Portfolio!R195</f>
        <v/>
      </c>
      <c r="O196" s="50" t="str">
        <f>Portfolio!S195</f>
        <v/>
      </c>
      <c r="Q196" s="50" t="str">
        <f>Portfolio!U195</f>
        <v/>
      </c>
      <c r="S196" s="50" t="str">
        <f>Portfolio!W195</f>
        <v/>
      </c>
      <c r="T196" s="50" t="str">
        <f>Portfolio!X195</f>
        <v/>
      </c>
      <c r="U196" s="50" t="str">
        <f>Portfolio!Y195</f>
        <v/>
      </c>
      <c r="V196" s="50" t="str">
        <f>Portfolio!Z195</f>
        <v/>
      </c>
      <c r="W196" s="14" t="str">
        <f>Portfolio!AA195</f>
        <v/>
      </c>
      <c r="X196" s="50" t="str">
        <f>Portfolio!AB195</f>
        <v/>
      </c>
      <c r="Y196" s="179" t="str">
        <f>Portfolio!AC195</f>
        <v/>
      </c>
      <c r="Z196" s="50" t="str">
        <f>Portfolio!AD195</f>
        <v/>
      </c>
      <c r="AA196" s="180" t="str">
        <f>Portfolio!AE195</f>
        <v/>
      </c>
    </row>
    <row r="197">
      <c r="A197" s="14" t="str">
        <f>Portfolio!A196</f>
        <v/>
      </c>
      <c r="B197" s="14" t="str">
        <f>Portfolio!B196</f>
        <v/>
      </c>
      <c r="C197" s="158" t="str">
        <f>Portfolio!C196</f>
        <v/>
      </c>
      <c r="D197" s="96" t="str">
        <f>Portfolio!D196</f>
        <v/>
      </c>
      <c r="E197" s="96" t="str">
        <f>Portfolio!E196</f>
        <v/>
      </c>
      <c r="F197" s="96" t="str">
        <f>Portfolio!G196</f>
        <v/>
      </c>
      <c r="G197" s="50" t="str">
        <f>Portfolio!H196</f>
        <v/>
      </c>
      <c r="H197" s="96" t="str">
        <f>Portfolio!I196</f>
        <v/>
      </c>
      <c r="I197" s="96" t="str">
        <f>Portfolio!J196</f>
        <v/>
      </c>
      <c r="J197" s="96" t="str">
        <f>Portfolio!K196</f>
        <v/>
      </c>
      <c r="K197" s="50" t="str">
        <f>Portfolio!O196</f>
        <v/>
      </c>
      <c r="L197" s="96" t="str">
        <f>Portfolio!P196</f>
        <v/>
      </c>
      <c r="M197" s="96" t="str">
        <f>Portfolio!Q196</f>
        <v/>
      </c>
      <c r="N197" s="14" t="str">
        <f>Portfolio!R196</f>
        <v/>
      </c>
      <c r="O197" s="50" t="str">
        <f>Portfolio!S196</f>
        <v/>
      </c>
      <c r="Q197" s="50" t="str">
        <f>Portfolio!U196</f>
        <v/>
      </c>
      <c r="S197" s="50" t="str">
        <f>Portfolio!W196</f>
        <v/>
      </c>
      <c r="T197" s="50" t="str">
        <f>Portfolio!X196</f>
        <v/>
      </c>
      <c r="U197" s="50" t="str">
        <f>Portfolio!Y196</f>
        <v/>
      </c>
      <c r="V197" s="50" t="str">
        <f>Portfolio!Z196</f>
        <v/>
      </c>
      <c r="W197" s="14" t="str">
        <f>Portfolio!AA196</f>
        <v/>
      </c>
      <c r="X197" s="50" t="str">
        <f>Portfolio!AB196</f>
        <v/>
      </c>
      <c r="Y197" s="179" t="str">
        <f>Portfolio!AC196</f>
        <v/>
      </c>
      <c r="Z197" s="50" t="str">
        <f>Portfolio!AD196</f>
        <v/>
      </c>
      <c r="AA197" s="180" t="str">
        <f>Portfolio!AE196</f>
        <v/>
      </c>
    </row>
    <row r="198">
      <c r="A198" s="14" t="str">
        <f>Portfolio!A197</f>
        <v/>
      </c>
      <c r="B198" s="14" t="str">
        <f>Portfolio!B197</f>
        <v/>
      </c>
      <c r="C198" s="158" t="str">
        <f>Portfolio!C197</f>
        <v/>
      </c>
      <c r="D198" s="96" t="str">
        <f>Portfolio!D197</f>
        <v/>
      </c>
      <c r="E198" s="96" t="str">
        <f>Portfolio!E197</f>
        <v/>
      </c>
      <c r="F198" s="96" t="str">
        <f>Portfolio!G197</f>
        <v/>
      </c>
      <c r="G198" s="50" t="str">
        <f>Portfolio!H197</f>
        <v/>
      </c>
      <c r="H198" s="96" t="str">
        <f>Portfolio!I197</f>
        <v/>
      </c>
      <c r="I198" s="96" t="str">
        <f>Portfolio!J197</f>
        <v/>
      </c>
      <c r="J198" s="96" t="str">
        <f>Portfolio!K197</f>
        <v/>
      </c>
      <c r="K198" s="50" t="str">
        <f>Portfolio!O197</f>
        <v/>
      </c>
      <c r="L198" s="96" t="str">
        <f>Portfolio!P197</f>
        <v/>
      </c>
      <c r="M198" s="96" t="str">
        <f>Portfolio!Q197</f>
        <v/>
      </c>
      <c r="N198" s="14" t="str">
        <f>Portfolio!R197</f>
        <v/>
      </c>
      <c r="O198" s="50" t="str">
        <f>Portfolio!S197</f>
        <v/>
      </c>
      <c r="Q198" s="50" t="str">
        <f>Portfolio!U197</f>
        <v/>
      </c>
      <c r="S198" s="50" t="str">
        <f>Portfolio!W197</f>
        <v/>
      </c>
      <c r="T198" s="50" t="str">
        <f>Portfolio!X197</f>
        <v/>
      </c>
      <c r="U198" s="50" t="str">
        <f>Portfolio!Y197</f>
        <v/>
      </c>
      <c r="V198" s="50" t="str">
        <f>Portfolio!Z197</f>
        <v/>
      </c>
      <c r="W198" s="14" t="str">
        <f>Portfolio!AA197</f>
        <v/>
      </c>
      <c r="X198" s="50" t="str">
        <f>Portfolio!AB197</f>
        <v/>
      </c>
      <c r="Y198" s="179" t="str">
        <f>Portfolio!AC197</f>
        <v/>
      </c>
      <c r="Z198" s="50" t="str">
        <f>Portfolio!AD197</f>
        <v/>
      </c>
      <c r="AA198" s="180" t="str">
        <f>Portfolio!AE197</f>
        <v/>
      </c>
    </row>
    <row r="199">
      <c r="A199" s="14" t="str">
        <f>Portfolio!A198</f>
        <v/>
      </c>
      <c r="B199" s="14" t="str">
        <f>Portfolio!B198</f>
        <v/>
      </c>
      <c r="C199" s="158" t="str">
        <f>Portfolio!C198</f>
        <v/>
      </c>
      <c r="D199" s="96" t="str">
        <f>Portfolio!D198</f>
        <v/>
      </c>
      <c r="E199" s="96" t="str">
        <f>Portfolio!E198</f>
        <v/>
      </c>
      <c r="F199" s="96" t="str">
        <f>Portfolio!G198</f>
        <v/>
      </c>
      <c r="G199" s="50" t="str">
        <f>Portfolio!H198</f>
        <v/>
      </c>
      <c r="H199" s="96" t="str">
        <f>Portfolio!I198</f>
        <v/>
      </c>
      <c r="I199" s="96" t="str">
        <f>Portfolio!J198</f>
        <v/>
      </c>
      <c r="J199" s="96" t="str">
        <f>Portfolio!K198</f>
        <v/>
      </c>
      <c r="K199" s="50" t="str">
        <f>Portfolio!O198</f>
        <v/>
      </c>
      <c r="L199" s="96" t="str">
        <f>Portfolio!P198</f>
        <v/>
      </c>
      <c r="M199" s="96" t="str">
        <f>Portfolio!Q198</f>
        <v/>
      </c>
      <c r="N199" s="14" t="str">
        <f>Portfolio!R198</f>
        <v/>
      </c>
      <c r="O199" s="50" t="str">
        <f>Portfolio!S198</f>
        <v/>
      </c>
      <c r="Q199" s="50" t="str">
        <f>Portfolio!U198</f>
        <v/>
      </c>
      <c r="S199" s="50" t="str">
        <f>Portfolio!W198</f>
        <v/>
      </c>
      <c r="T199" s="50" t="str">
        <f>Portfolio!X198</f>
        <v/>
      </c>
      <c r="U199" s="50" t="str">
        <f>Portfolio!Y198</f>
        <v/>
      </c>
      <c r="V199" s="50" t="str">
        <f>Portfolio!Z198</f>
        <v/>
      </c>
      <c r="W199" s="14" t="str">
        <f>Portfolio!AA198</f>
        <v/>
      </c>
      <c r="X199" s="50" t="str">
        <f>Portfolio!AB198</f>
        <v/>
      </c>
      <c r="Y199" s="179" t="str">
        <f>Portfolio!AC198</f>
        <v/>
      </c>
      <c r="Z199" s="50" t="str">
        <f>Portfolio!AD198</f>
        <v/>
      </c>
      <c r="AA199" s="180" t="str">
        <f>Portfolio!AE198</f>
        <v/>
      </c>
    </row>
    <row r="200">
      <c r="A200" s="14" t="str">
        <f>Portfolio!A199</f>
        <v/>
      </c>
      <c r="B200" s="14" t="str">
        <f>Portfolio!B199</f>
        <v/>
      </c>
      <c r="C200" s="158" t="str">
        <f>Portfolio!C199</f>
        <v/>
      </c>
      <c r="D200" s="96" t="str">
        <f>Portfolio!D199</f>
        <v/>
      </c>
      <c r="E200" s="96" t="str">
        <f>Portfolio!E199</f>
        <v/>
      </c>
      <c r="F200" s="96" t="str">
        <f>Portfolio!G199</f>
        <v/>
      </c>
      <c r="G200" s="50" t="str">
        <f>Portfolio!H199</f>
        <v/>
      </c>
      <c r="H200" s="96" t="str">
        <f>Portfolio!I199</f>
        <v/>
      </c>
      <c r="I200" s="96" t="str">
        <f>Portfolio!J199</f>
        <v/>
      </c>
      <c r="J200" s="96" t="str">
        <f>Portfolio!K199</f>
        <v/>
      </c>
      <c r="K200" s="50" t="str">
        <f>Portfolio!O199</f>
        <v/>
      </c>
      <c r="L200" s="96" t="str">
        <f>Portfolio!P199</f>
        <v/>
      </c>
      <c r="M200" s="96" t="str">
        <f>Portfolio!Q199</f>
        <v/>
      </c>
      <c r="N200" s="14" t="str">
        <f>Portfolio!R199</f>
        <v/>
      </c>
      <c r="O200" s="50" t="str">
        <f>Portfolio!S199</f>
        <v/>
      </c>
      <c r="Q200" s="50" t="str">
        <f>Portfolio!U199</f>
        <v/>
      </c>
      <c r="S200" s="50" t="str">
        <f>Portfolio!W199</f>
        <v/>
      </c>
      <c r="T200" s="50" t="str">
        <f>Portfolio!X199</f>
        <v/>
      </c>
      <c r="U200" s="50" t="str">
        <f>Portfolio!Y199</f>
        <v/>
      </c>
      <c r="V200" s="50" t="str">
        <f>Portfolio!Z199</f>
        <v/>
      </c>
      <c r="W200" s="14" t="str">
        <f>Portfolio!AA199</f>
        <v/>
      </c>
      <c r="X200" s="50" t="str">
        <f>Portfolio!AB199</f>
        <v/>
      </c>
      <c r="Y200" s="179" t="str">
        <f>Portfolio!AC199</f>
        <v/>
      </c>
      <c r="Z200" s="50" t="str">
        <f>Portfolio!AD199</f>
        <v/>
      </c>
      <c r="AA200" s="180" t="str">
        <f>Portfolio!AE199</f>
        <v/>
      </c>
    </row>
    <row r="201">
      <c r="A201" s="14" t="str">
        <f>Portfolio!A200</f>
        <v/>
      </c>
      <c r="B201" s="14" t="str">
        <f>Portfolio!B200</f>
        <v/>
      </c>
      <c r="C201" s="158" t="str">
        <f>Portfolio!C200</f>
        <v/>
      </c>
      <c r="D201" s="96" t="str">
        <f>Portfolio!D200</f>
        <v/>
      </c>
      <c r="E201" s="96" t="str">
        <f>Portfolio!E200</f>
        <v/>
      </c>
      <c r="F201" s="96" t="str">
        <f>Portfolio!G200</f>
        <v/>
      </c>
      <c r="G201" s="50" t="str">
        <f>Portfolio!H200</f>
        <v/>
      </c>
      <c r="H201" s="96" t="str">
        <f>Portfolio!I200</f>
        <v/>
      </c>
      <c r="I201" s="96" t="str">
        <f>Portfolio!J200</f>
        <v/>
      </c>
      <c r="J201" s="96" t="str">
        <f>Portfolio!K200</f>
        <v/>
      </c>
      <c r="K201" s="50" t="str">
        <f>Portfolio!O200</f>
        <v/>
      </c>
      <c r="L201" s="96" t="str">
        <f>Portfolio!P200</f>
        <v/>
      </c>
      <c r="M201" s="96" t="str">
        <f>Portfolio!Q200</f>
        <v/>
      </c>
      <c r="N201" s="14" t="str">
        <f>Portfolio!R200</f>
        <v/>
      </c>
      <c r="O201" s="50" t="str">
        <f>Portfolio!S200</f>
        <v/>
      </c>
      <c r="Q201" s="50" t="str">
        <f>Portfolio!U200</f>
        <v/>
      </c>
      <c r="S201" s="50" t="str">
        <f>Portfolio!W200</f>
        <v/>
      </c>
      <c r="T201" s="50" t="str">
        <f>Portfolio!X200</f>
        <v/>
      </c>
      <c r="U201" s="50" t="str">
        <f>Portfolio!Y200</f>
        <v/>
      </c>
      <c r="V201" s="50" t="str">
        <f>Portfolio!Z200</f>
        <v/>
      </c>
      <c r="W201" s="14" t="str">
        <f>Portfolio!AA200</f>
        <v/>
      </c>
      <c r="X201" s="50" t="str">
        <f>Portfolio!AB200</f>
        <v/>
      </c>
      <c r="Y201" s="179" t="str">
        <f>Portfolio!AC200</f>
        <v/>
      </c>
      <c r="Z201" s="50" t="str">
        <f>Portfolio!AD200</f>
        <v/>
      </c>
      <c r="AA201" s="180" t="str">
        <f>Portfolio!AE200</f>
        <v/>
      </c>
    </row>
    <row r="202">
      <c r="A202" s="14" t="str">
        <f>Portfolio!A201</f>
        <v/>
      </c>
      <c r="B202" s="14" t="str">
        <f>Portfolio!B201</f>
        <v/>
      </c>
      <c r="C202" s="158" t="str">
        <f>Portfolio!C201</f>
        <v/>
      </c>
      <c r="D202" s="96" t="str">
        <f>Portfolio!D201</f>
        <v/>
      </c>
      <c r="E202" s="96" t="str">
        <f>Portfolio!E201</f>
        <v/>
      </c>
      <c r="F202" s="96" t="str">
        <f>Portfolio!G201</f>
        <v/>
      </c>
      <c r="G202" s="50" t="str">
        <f>Portfolio!H201</f>
        <v/>
      </c>
      <c r="H202" s="96" t="str">
        <f>Portfolio!I201</f>
        <v/>
      </c>
      <c r="I202" s="96" t="str">
        <f>Portfolio!J201</f>
        <v/>
      </c>
      <c r="J202" s="96" t="str">
        <f>Portfolio!K201</f>
        <v/>
      </c>
      <c r="K202" s="50" t="str">
        <f>Portfolio!O201</f>
        <v/>
      </c>
      <c r="L202" s="96" t="str">
        <f>Portfolio!P201</f>
        <v/>
      </c>
      <c r="M202" s="96" t="str">
        <f>Portfolio!Q201</f>
        <v/>
      </c>
      <c r="N202" s="14" t="str">
        <f>Portfolio!R201</f>
        <v/>
      </c>
      <c r="O202" s="50" t="str">
        <f>Portfolio!S201</f>
        <v/>
      </c>
      <c r="Q202" s="50" t="str">
        <f>Portfolio!U201</f>
        <v/>
      </c>
      <c r="S202" s="50" t="str">
        <f>Portfolio!W201</f>
        <v/>
      </c>
      <c r="T202" s="50" t="str">
        <f>Portfolio!X201</f>
        <v/>
      </c>
      <c r="U202" s="50" t="str">
        <f>Portfolio!Y201</f>
        <v/>
      </c>
      <c r="V202" s="50" t="str">
        <f>Portfolio!Z201</f>
        <v/>
      </c>
      <c r="W202" s="14" t="str">
        <f>Portfolio!AA201</f>
        <v/>
      </c>
      <c r="X202" s="50" t="str">
        <f>Portfolio!AB201</f>
        <v/>
      </c>
      <c r="Y202" s="179" t="str">
        <f>Portfolio!AC201</f>
        <v/>
      </c>
      <c r="Z202" s="50" t="str">
        <f>Portfolio!AD201</f>
        <v/>
      </c>
      <c r="AA202" s="180" t="str">
        <f>Portfolio!AE201</f>
        <v/>
      </c>
    </row>
    <row r="203">
      <c r="A203" s="14" t="str">
        <f>Portfolio!A202</f>
        <v/>
      </c>
      <c r="B203" s="14" t="str">
        <f>Portfolio!B202</f>
        <v/>
      </c>
      <c r="C203" s="158" t="str">
        <f>Portfolio!C202</f>
        <v/>
      </c>
      <c r="D203" s="96" t="str">
        <f>Portfolio!D202</f>
        <v/>
      </c>
      <c r="E203" s="96" t="str">
        <f>Portfolio!E202</f>
        <v/>
      </c>
      <c r="F203" s="96" t="str">
        <f>Portfolio!G202</f>
        <v/>
      </c>
      <c r="G203" s="50" t="str">
        <f>Portfolio!H202</f>
        <v/>
      </c>
      <c r="H203" s="96" t="str">
        <f>Portfolio!I202</f>
        <v/>
      </c>
      <c r="I203" s="96" t="str">
        <f>Portfolio!J202</f>
        <v/>
      </c>
      <c r="J203" s="96" t="str">
        <f>Portfolio!K202</f>
        <v/>
      </c>
      <c r="K203" s="50" t="str">
        <f>Portfolio!O202</f>
        <v/>
      </c>
      <c r="L203" s="96" t="str">
        <f>Portfolio!P202</f>
        <v/>
      </c>
      <c r="M203" s="96" t="str">
        <f>Portfolio!Q202</f>
        <v/>
      </c>
      <c r="N203" s="14" t="str">
        <f>Portfolio!R202</f>
        <v/>
      </c>
      <c r="O203" s="50" t="str">
        <f>Portfolio!S202</f>
        <v/>
      </c>
      <c r="Q203" s="50" t="str">
        <f>Portfolio!U202</f>
        <v/>
      </c>
      <c r="S203" s="50" t="str">
        <f>Portfolio!W202</f>
        <v/>
      </c>
      <c r="T203" s="50" t="str">
        <f>Portfolio!X202</f>
        <v/>
      </c>
      <c r="U203" s="50" t="str">
        <f>Portfolio!Y202</f>
        <v/>
      </c>
      <c r="V203" s="50" t="str">
        <f>Portfolio!Z202</f>
        <v/>
      </c>
      <c r="W203" s="14" t="str">
        <f>Portfolio!AA202</f>
        <v/>
      </c>
      <c r="X203" s="50" t="str">
        <f>Portfolio!AB202</f>
        <v/>
      </c>
      <c r="Y203" s="179" t="str">
        <f>Portfolio!AC202</f>
        <v/>
      </c>
      <c r="Z203" s="50" t="str">
        <f>Portfolio!AD202</f>
        <v/>
      </c>
      <c r="AA203" s="180" t="str">
        <f>Portfolio!AE202</f>
        <v/>
      </c>
    </row>
    <row r="204">
      <c r="A204" s="14" t="str">
        <f>Portfolio!A203</f>
        <v/>
      </c>
      <c r="B204" s="14" t="str">
        <f>Portfolio!B203</f>
        <v/>
      </c>
      <c r="C204" s="158" t="str">
        <f>Portfolio!C203</f>
        <v/>
      </c>
      <c r="D204" s="96" t="str">
        <f>Portfolio!D203</f>
        <v/>
      </c>
      <c r="E204" s="96" t="str">
        <f>Portfolio!E203</f>
        <v/>
      </c>
      <c r="F204" s="96" t="str">
        <f>Portfolio!G203</f>
        <v/>
      </c>
      <c r="G204" s="50" t="str">
        <f>Portfolio!H203</f>
        <v/>
      </c>
      <c r="H204" s="96" t="str">
        <f>Portfolio!I203</f>
        <v/>
      </c>
      <c r="I204" s="96" t="str">
        <f>Portfolio!J203</f>
        <v/>
      </c>
      <c r="J204" s="96" t="str">
        <f>Portfolio!K203</f>
        <v/>
      </c>
      <c r="K204" s="50" t="str">
        <f>Portfolio!O203</f>
        <v/>
      </c>
      <c r="L204" s="96" t="str">
        <f>Portfolio!P203</f>
        <v/>
      </c>
      <c r="M204" s="96" t="str">
        <f>Portfolio!Q203</f>
        <v/>
      </c>
      <c r="N204" s="14" t="str">
        <f>Portfolio!R203</f>
        <v/>
      </c>
      <c r="O204" s="50" t="str">
        <f>Portfolio!S203</f>
        <v/>
      </c>
      <c r="Q204" s="50" t="str">
        <f>Portfolio!U203</f>
        <v/>
      </c>
      <c r="S204" s="50" t="str">
        <f>Portfolio!W203</f>
        <v/>
      </c>
      <c r="T204" s="50" t="str">
        <f>Portfolio!X203</f>
        <v/>
      </c>
      <c r="U204" s="50" t="str">
        <f>Portfolio!Y203</f>
        <v/>
      </c>
      <c r="V204" s="50" t="str">
        <f>Portfolio!Z203</f>
        <v/>
      </c>
      <c r="W204" s="14" t="str">
        <f>Portfolio!AA203</f>
        <v/>
      </c>
      <c r="X204" s="50" t="str">
        <f>Portfolio!AB203</f>
        <v/>
      </c>
      <c r="Y204" s="179" t="str">
        <f>Portfolio!AC203</f>
        <v/>
      </c>
      <c r="Z204" s="50" t="str">
        <f>Portfolio!AD203</f>
        <v/>
      </c>
      <c r="AA204" s="180" t="str">
        <f>Portfolio!AE203</f>
        <v/>
      </c>
    </row>
    <row r="205">
      <c r="A205" s="14" t="str">
        <f>Portfolio!A204</f>
        <v/>
      </c>
      <c r="B205" s="14" t="str">
        <f>Portfolio!B204</f>
        <v/>
      </c>
      <c r="C205" s="158" t="str">
        <f>Portfolio!C204</f>
        <v/>
      </c>
      <c r="D205" s="96" t="str">
        <f>Portfolio!D204</f>
        <v/>
      </c>
      <c r="E205" s="96" t="str">
        <f>Portfolio!E204</f>
        <v/>
      </c>
      <c r="F205" s="96" t="str">
        <f>Portfolio!G204</f>
        <v/>
      </c>
      <c r="G205" s="50" t="str">
        <f>Portfolio!H204</f>
        <v/>
      </c>
      <c r="H205" s="96" t="str">
        <f>Portfolio!I204</f>
        <v/>
      </c>
      <c r="I205" s="96" t="str">
        <f>Portfolio!J204</f>
        <v/>
      </c>
      <c r="J205" s="96" t="str">
        <f>Portfolio!K204</f>
        <v/>
      </c>
      <c r="K205" s="50" t="str">
        <f>Portfolio!O204</f>
        <v/>
      </c>
      <c r="L205" s="96" t="str">
        <f>Portfolio!P204</f>
        <v/>
      </c>
      <c r="M205" s="96" t="str">
        <f>Portfolio!Q204</f>
        <v/>
      </c>
      <c r="N205" s="14" t="str">
        <f>Portfolio!R204</f>
        <v/>
      </c>
      <c r="O205" s="50" t="str">
        <f>Portfolio!S204</f>
        <v/>
      </c>
      <c r="Q205" s="50" t="str">
        <f>Portfolio!U204</f>
        <v/>
      </c>
      <c r="S205" s="50" t="str">
        <f>Portfolio!W204</f>
        <v/>
      </c>
      <c r="T205" s="50" t="str">
        <f>Portfolio!X204</f>
        <v/>
      </c>
      <c r="U205" s="50" t="str">
        <f>Portfolio!Y204</f>
        <v/>
      </c>
      <c r="V205" s="50" t="str">
        <f>Portfolio!Z204</f>
        <v/>
      </c>
      <c r="W205" s="14" t="str">
        <f>Portfolio!AA204</f>
        <v/>
      </c>
      <c r="X205" s="50" t="str">
        <f>Portfolio!AB204</f>
        <v/>
      </c>
      <c r="Y205" s="179" t="str">
        <f>Portfolio!AC204</f>
        <v/>
      </c>
      <c r="Z205" s="50" t="str">
        <f>Portfolio!AD204</f>
        <v/>
      </c>
      <c r="AA205" s="180" t="str">
        <f>Portfolio!AE204</f>
        <v/>
      </c>
    </row>
    <row r="206">
      <c r="A206" s="14" t="str">
        <f>Portfolio!A205</f>
        <v/>
      </c>
      <c r="B206" s="14" t="str">
        <f>Portfolio!B205</f>
        <v/>
      </c>
      <c r="C206" s="158" t="str">
        <f>Portfolio!C205</f>
        <v/>
      </c>
      <c r="D206" s="96" t="str">
        <f>Portfolio!D205</f>
        <v/>
      </c>
      <c r="E206" s="96" t="str">
        <f>Portfolio!E205</f>
        <v/>
      </c>
      <c r="F206" s="96" t="str">
        <f>Portfolio!G205</f>
        <v/>
      </c>
      <c r="G206" s="50" t="str">
        <f>Portfolio!H205</f>
        <v/>
      </c>
      <c r="H206" s="96" t="str">
        <f>Portfolio!I205</f>
        <v/>
      </c>
      <c r="I206" s="96" t="str">
        <f>Portfolio!J205</f>
        <v/>
      </c>
      <c r="J206" s="96" t="str">
        <f>Portfolio!K205</f>
        <v/>
      </c>
      <c r="K206" s="50" t="str">
        <f>Portfolio!O205</f>
        <v/>
      </c>
      <c r="L206" s="96" t="str">
        <f>Portfolio!P205</f>
        <v/>
      </c>
      <c r="M206" s="96" t="str">
        <f>Portfolio!Q205</f>
        <v/>
      </c>
      <c r="N206" s="14" t="str">
        <f>Portfolio!R205</f>
        <v/>
      </c>
      <c r="O206" s="50" t="str">
        <f>Portfolio!S205</f>
        <v/>
      </c>
      <c r="Q206" s="50" t="str">
        <f>Portfolio!U205</f>
        <v/>
      </c>
      <c r="S206" s="50" t="str">
        <f>Portfolio!W205</f>
        <v/>
      </c>
      <c r="T206" s="50" t="str">
        <f>Portfolio!X205</f>
        <v/>
      </c>
      <c r="U206" s="50" t="str">
        <f>Portfolio!Y205</f>
        <v/>
      </c>
      <c r="V206" s="50" t="str">
        <f>Portfolio!Z205</f>
        <v/>
      </c>
      <c r="W206" s="14" t="str">
        <f>Portfolio!AA205</f>
        <v/>
      </c>
      <c r="X206" s="50" t="str">
        <f>Portfolio!AB205</f>
        <v/>
      </c>
      <c r="Y206" s="179" t="str">
        <f>Portfolio!AC205</f>
        <v/>
      </c>
      <c r="Z206" s="50" t="str">
        <f>Portfolio!AD205</f>
        <v/>
      </c>
      <c r="AA206" s="180" t="str">
        <f>Portfolio!AE205</f>
        <v/>
      </c>
    </row>
    <row r="207">
      <c r="A207" s="14" t="str">
        <f>Portfolio!A206</f>
        <v/>
      </c>
      <c r="B207" s="14" t="str">
        <f>Portfolio!B206</f>
        <v/>
      </c>
      <c r="C207" s="158" t="str">
        <f>Portfolio!C206</f>
        <v/>
      </c>
      <c r="D207" s="96" t="str">
        <f>Portfolio!D206</f>
        <v/>
      </c>
      <c r="E207" s="96" t="str">
        <f>Portfolio!E206</f>
        <v/>
      </c>
      <c r="F207" s="96" t="str">
        <f>Portfolio!G206</f>
        <v/>
      </c>
      <c r="G207" s="50" t="str">
        <f>Portfolio!H206</f>
        <v/>
      </c>
      <c r="H207" s="96" t="str">
        <f>Portfolio!I206</f>
        <v/>
      </c>
      <c r="I207" s="96" t="str">
        <f>Portfolio!J206</f>
        <v/>
      </c>
      <c r="J207" s="96" t="str">
        <f>Portfolio!K206</f>
        <v/>
      </c>
      <c r="K207" s="50" t="str">
        <f>Portfolio!O206</f>
        <v/>
      </c>
      <c r="L207" s="96" t="str">
        <f>Portfolio!P206</f>
        <v/>
      </c>
      <c r="M207" s="96" t="str">
        <f>Portfolio!Q206</f>
        <v/>
      </c>
      <c r="N207" s="14" t="str">
        <f>Portfolio!R206</f>
        <v/>
      </c>
      <c r="O207" s="50" t="str">
        <f>Portfolio!S206</f>
        <v/>
      </c>
      <c r="Q207" s="50" t="str">
        <f>Portfolio!U206</f>
        <v/>
      </c>
      <c r="S207" s="50" t="str">
        <f>Portfolio!W206</f>
        <v/>
      </c>
      <c r="T207" s="50" t="str">
        <f>Portfolio!X206</f>
        <v/>
      </c>
      <c r="U207" s="50" t="str">
        <f>Portfolio!Y206</f>
        <v/>
      </c>
      <c r="V207" s="50" t="str">
        <f>Portfolio!Z206</f>
        <v/>
      </c>
      <c r="W207" s="14" t="str">
        <f>Portfolio!AA206</f>
        <v/>
      </c>
      <c r="X207" s="50" t="str">
        <f>Portfolio!AB206</f>
        <v/>
      </c>
      <c r="Y207" s="179" t="str">
        <f>Portfolio!AC206</f>
        <v/>
      </c>
      <c r="Z207" s="50" t="str">
        <f>Portfolio!AD206</f>
        <v/>
      </c>
      <c r="AA207" s="180" t="str">
        <f>Portfolio!AE206</f>
        <v/>
      </c>
    </row>
    <row r="208">
      <c r="A208" s="14" t="str">
        <f>Portfolio!A207</f>
        <v/>
      </c>
      <c r="B208" s="14" t="str">
        <f>Portfolio!B207</f>
        <v/>
      </c>
      <c r="C208" s="158" t="str">
        <f>Portfolio!C207</f>
        <v/>
      </c>
      <c r="D208" s="96" t="str">
        <f>Portfolio!D207</f>
        <v/>
      </c>
      <c r="E208" s="96" t="str">
        <f>Portfolio!E207</f>
        <v/>
      </c>
      <c r="F208" s="96" t="str">
        <f>Portfolio!G207</f>
        <v/>
      </c>
      <c r="G208" s="50" t="str">
        <f>Portfolio!H207</f>
        <v/>
      </c>
      <c r="H208" s="96" t="str">
        <f>Portfolio!I207</f>
        <v/>
      </c>
      <c r="I208" s="96" t="str">
        <f>Portfolio!J207</f>
        <v/>
      </c>
      <c r="J208" s="96" t="str">
        <f>Portfolio!K207</f>
        <v/>
      </c>
      <c r="K208" s="50" t="str">
        <f>Portfolio!O207</f>
        <v/>
      </c>
      <c r="L208" s="96" t="str">
        <f>Portfolio!P207</f>
        <v/>
      </c>
      <c r="M208" s="96" t="str">
        <f>Portfolio!Q207</f>
        <v/>
      </c>
      <c r="N208" s="14" t="str">
        <f>Portfolio!R207</f>
        <v/>
      </c>
      <c r="O208" s="50" t="str">
        <f>Portfolio!S207</f>
        <v/>
      </c>
      <c r="Q208" s="50" t="str">
        <f>Portfolio!U207</f>
        <v/>
      </c>
      <c r="S208" s="50" t="str">
        <f>Portfolio!W207</f>
        <v/>
      </c>
      <c r="T208" s="50" t="str">
        <f>Portfolio!X207</f>
        <v/>
      </c>
      <c r="U208" s="50" t="str">
        <f>Portfolio!Y207</f>
        <v/>
      </c>
      <c r="V208" s="50" t="str">
        <f>Portfolio!Z207</f>
        <v/>
      </c>
      <c r="W208" s="14" t="str">
        <f>Portfolio!AA207</f>
        <v/>
      </c>
      <c r="X208" s="50" t="str">
        <f>Portfolio!AB207</f>
        <v/>
      </c>
      <c r="Y208" s="179" t="str">
        <f>Portfolio!AC207</f>
        <v/>
      </c>
      <c r="Z208" s="50" t="str">
        <f>Portfolio!AD207</f>
        <v/>
      </c>
      <c r="AA208" s="180" t="str">
        <f>Portfolio!AE207</f>
        <v/>
      </c>
    </row>
    <row r="209">
      <c r="A209" s="14" t="str">
        <f>Portfolio!A208</f>
        <v/>
      </c>
      <c r="B209" s="14" t="str">
        <f>Portfolio!B208</f>
        <v/>
      </c>
      <c r="C209" s="158" t="str">
        <f>Portfolio!C208</f>
        <v/>
      </c>
      <c r="D209" s="96" t="str">
        <f>Portfolio!D208</f>
        <v/>
      </c>
      <c r="E209" s="96" t="str">
        <f>Portfolio!E208</f>
        <v/>
      </c>
      <c r="F209" s="96" t="str">
        <f>Portfolio!G208</f>
        <v/>
      </c>
      <c r="G209" s="50" t="str">
        <f>Portfolio!H208</f>
        <v/>
      </c>
      <c r="H209" s="96" t="str">
        <f>Portfolio!I208</f>
        <v/>
      </c>
      <c r="I209" s="96" t="str">
        <f>Portfolio!J208</f>
        <v/>
      </c>
      <c r="J209" s="96" t="str">
        <f>Portfolio!K208</f>
        <v/>
      </c>
      <c r="K209" s="50" t="str">
        <f>Portfolio!O208</f>
        <v/>
      </c>
      <c r="L209" s="96" t="str">
        <f>Portfolio!P208</f>
        <v/>
      </c>
      <c r="M209" s="96" t="str">
        <f>Portfolio!Q208</f>
        <v/>
      </c>
      <c r="N209" s="14" t="str">
        <f>Portfolio!R208</f>
        <v/>
      </c>
      <c r="O209" s="50" t="str">
        <f>Portfolio!S208</f>
        <v/>
      </c>
      <c r="Q209" s="50" t="str">
        <f>Portfolio!U208</f>
        <v/>
      </c>
      <c r="S209" s="50" t="str">
        <f>Portfolio!W208</f>
        <v/>
      </c>
      <c r="T209" s="50" t="str">
        <f>Portfolio!X208</f>
        <v/>
      </c>
      <c r="U209" s="50" t="str">
        <f>Portfolio!Y208</f>
        <v/>
      </c>
      <c r="V209" s="50" t="str">
        <f>Portfolio!Z208</f>
        <v/>
      </c>
      <c r="W209" s="14" t="str">
        <f>Portfolio!AA208</f>
        <v/>
      </c>
      <c r="X209" s="50" t="str">
        <f>Portfolio!AB208</f>
        <v/>
      </c>
      <c r="Y209" s="179" t="str">
        <f>Portfolio!AC208</f>
        <v/>
      </c>
      <c r="Z209" s="50" t="str">
        <f>Portfolio!AD208</f>
        <v/>
      </c>
      <c r="AA209" s="180" t="str">
        <f>Portfolio!AE208</f>
        <v/>
      </c>
    </row>
    <row r="210">
      <c r="A210" s="14" t="str">
        <f>Portfolio!A209</f>
        <v/>
      </c>
      <c r="B210" s="14" t="str">
        <f>Portfolio!B209</f>
        <v/>
      </c>
      <c r="C210" s="158" t="str">
        <f>Portfolio!C209</f>
        <v/>
      </c>
      <c r="D210" s="96" t="str">
        <f>Portfolio!D209</f>
        <v/>
      </c>
      <c r="E210" s="96" t="str">
        <f>Portfolio!E209</f>
        <v/>
      </c>
      <c r="F210" s="96" t="str">
        <f>Portfolio!G209</f>
        <v/>
      </c>
      <c r="G210" s="50" t="str">
        <f>Portfolio!H209</f>
        <v/>
      </c>
      <c r="H210" s="96" t="str">
        <f>Portfolio!I209</f>
        <v/>
      </c>
      <c r="I210" s="96" t="str">
        <f>Portfolio!J209</f>
        <v/>
      </c>
      <c r="J210" s="96" t="str">
        <f>Portfolio!K209</f>
        <v/>
      </c>
      <c r="K210" s="50" t="str">
        <f>Portfolio!O209</f>
        <v/>
      </c>
      <c r="L210" s="96" t="str">
        <f>Portfolio!P209</f>
        <v/>
      </c>
      <c r="M210" s="96" t="str">
        <f>Portfolio!Q209</f>
        <v/>
      </c>
      <c r="N210" s="14" t="str">
        <f>Portfolio!R209</f>
        <v/>
      </c>
      <c r="O210" s="50" t="str">
        <f>Portfolio!S209</f>
        <v/>
      </c>
      <c r="Q210" s="50" t="str">
        <f>Portfolio!U209</f>
        <v/>
      </c>
      <c r="S210" s="50" t="str">
        <f>Portfolio!W209</f>
        <v/>
      </c>
      <c r="T210" s="50" t="str">
        <f>Portfolio!X209</f>
        <v/>
      </c>
      <c r="U210" s="50" t="str">
        <f>Portfolio!Y209</f>
        <v/>
      </c>
      <c r="V210" s="50" t="str">
        <f>Portfolio!Z209</f>
        <v/>
      </c>
      <c r="W210" s="14" t="str">
        <f>Portfolio!AA209</f>
        <v/>
      </c>
      <c r="X210" s="50" t="str">
        <f>Portfolio!AB209</f>
        <v/>
      </c>
      <c r="Y210" s="179" t="str">
        <f>Portfolio!AC209</f>
        <v/>
      </c>
      <c r="Z210" s="50" t="str">
        <f>Portfolio!AD209</f>
        <v/>
      </c>
      <c r="AA210" s="180" t="str">
        <f>Portfolio!AE209</f>
        <v/>
      </c>
    </row>
    <row r="211">
      <c r="A211" s="14" t="str">
        <f>Portfolio!A210</f>
        <v/>
      </c>
      <c r="B211" s="14" t="str">
        <f>Portfolio!B210</f>
        <v/>
      </c>
      <c r="C211" s="158" t="str">
        <f>Portfolio!C210</f>
        <v/>
      </c>
      <c r="D211" s="96" t="str">
        <f>Portfolio!D210</f>
        <v/>
      </c>
      <c r="E211" s="96" t="str">
        <f>Portfolio!E210</f>
        <v/>
      </c>
      <c r="F211" s="96" t="str">
        <f>Portfolio!G210</f>
        <v/>
      </c>
      <c r="G211" s="50" t="str">
        <f>Portfolio!H210</f>
        <v/>
      </c>
      <c r="H211" s="96" t="str">
        <f>Portfolio!I210</f>
        <v/>
      </c>
      <c r="I211" s="96" t="str">
        <f>Portfolio!J210</f>
        <v/>
      </c>
      <c r="J211" s="96" t="str">
        <f>Portfolio!K210</f>
        <v/>
      </c>
      <c r="K211" s="50" t="str">
        <f>Portfolio!O210</f>
        <v/>
      </c>
      <c r="L211" s="96" t="str">
        <f>Portfolio!P210</f>
        <v/>
      </c>
      <c r="M211" s="96" t="str">
        <f>Portfolio!Q210</f>
        <v/>
      </c>
      <c r="N211" s="14" t="str">
        <f>Portfolio!R210</f>
        <v/>
      </c>
      <c r="O211" s="50" t="str">
        <f>Portfolio!S210</f>
        <v/>
      </c>
      <c r="Q211" s="50" t="str">
        <f>Portfolio!U210</f>
        <v/>
      </c>
      <c r="S211" s="50" t="str">
        <f>Portfolio!W210</f>
        <v/>
      </c>
      <c r="T211" s="50" t="str">
        <f>Portfolio!X210</f>
        <v/>
      </c>
      <c r="U211" s="50" t="str">
        <f>Portfolio!Y210</f>
        <v/>
      </c>
      <c r="V211" s="50" t="str">
        <f>Portfolio!Z210</f>
        <v/>
      </c>
      <c r="W211" s="14" t="str">
        <f>Portfolio!AA210</f>
        <v/>
      </c>
      <c r="X211" s="50" t="str">
        <f>Portfolio!AB210</f>
        <v/>
      </c>
      <c r="Y211" s="179" t="str">
        <f>Portfolio!AC210</f>
        <v/>
      </c>
      <c r="Z211" s="50" t="str">
        <f>Portfolio!AD210</f>
        <v/>
      </c>
      <c r="AA211" s="180" t="str">
        <f>Portfolio!AE210</f>
        <v/>
      </c>
    </row>
    <row r="212">
      <c r="A212" s="14" t="str">
        <f>Portfolio!A211</f>
        <v/>
      </c>
      <c r="B212" s="14" t="str">
        <f>Portfolio!B211</f>
        <v/>
      </c>
      <c r="C212" s="158" t="str">
        <f>Portfolio!C211</f>
        <v/>
      </c>
      <c r="D212" s="96" t="str">
        <f>Portfolio!D211</f>
        <v/>
      </c>
      <c r="E212" s="96" t="str">
        <f>Portfolio!E211</f>
        <v/>
      </c>
      <c r="F212" s="96" t="str">
        <f>Portfolio!G211</f>
        <v/>
      </c>
      <c r="G212" s="50" t="str">
        <f>Portfolio!H211</f>
        <v/>
      </c>
      <c r="H212" s="96" t="str">
        <f>Portfolio!I211</f>
        <v/>
      </c>
      <c r="I212" s="96" t="str">
        <f>Portfolio!J211</f>
        <v/>
      </c>
      <c r="J212" s="96" t="str">
        <f>Portfolio!K211</f>
        <v/>
      </c>
      <c r="K212" s="50" t="str">
        <f>Portfolio!O211</f>
        <v/>
      </c>
      <c r="L212" s="96" t="str">
        <f>Portfolio!P211</f>
        <v/>
      </c>
      <c r="M212" s="96" t="str">
        <f>Portfolio!Q211</f>
        <v/>
      </c>
      <c r="N212" s="14" t="str">
        <f>Portfolio!R211</f>
        <v/>
      </c>
      <c r="O212" s="50" t="str">
        <f>Portfolio!S211</f>
        <v/>
      </c>
      <c r="Q212" s="50" t="str">
        <f>Portfolio!U211</f>
        <v/>
      </c>
      <c r="S212" s="50" t="str">
        <f>Portfolio!W211</f>
        <v/>
      </c>
      <c r="T212" s="50" t="str">
        <f>Portfolio!X211</f>
        <v/>
      </c>
      <c r="U212" s="50" t="str">
        <f>Portfolio!Y211</f>
        <v/>
      </c>
      <c r="V212" s="50" t="str">
        <f>Portfolio!Z211</f>
        <v/>
      </c>
      <c r="W212" s="14" t="str">
        <f>Portfolio!AA211</f>
        <v/>
      </c>
      <c r="X212" s="50" t="str">
        <f>Portfolio!AB211</f>
        <v/>
      </c>
      <c r="Y212" s="179" t="str">
        <f>Portfolio!AC211</f>
        <v/>
      </c>
      <c r="Z212" s="50" t="str">
        <f>Portfolio!AD211</f>
        <v/>
      </c>
      <c r="AA212" s="180" t="str">
        <f>Portfolio!AE211</f>
        <v/>
      </c>
    </row>
    <row r="213">
      <c r="A213" s="14" t="str">
        <f>Portfolio!A212</f>
        <v/>
      </c>
      <c r="B213" s="14" t="str">
        <f>Portfolio!B212</f>
        <v/>
      </c>
      <c r="C213" s="158" t="str">
        <f>Portfolio!C212</f>
        <v/>
      </c>
      <c r="D213" s="96" t="str">
        <f>Portfolio!D212</f>
        <v/>
      </c>
      <c r="E213" s="96" t="str">
        <f>Portfolio!E212</f>
        <v/>
      </c>
      <c r="F213" s="96" t="str">
        <f>Portfolio!G212</f>
        <v/>
      </c>
      <c r="G213" s="50" t="str">
        <f>Portfolio!H212</f>
        <v/>
      </c>
      <c r="H213" s="96" t="str">
        <f>Portfolio!I212</f>
        <v/>
      </c>
      <c r="I213" s="96" t="str">
        <f>Portfolio!J212</f>
        <v/>
      </c>
      <c r="J213" s="96" t="str">
        <f>Portfolio!K212</f>
        <v/>
      </c>
      <c r="K213" s="50" t="str">
        <f>Portfolio!O212</f>
        <v/>
      </c>
      <c r="L213" s="96" t="str">
        <f>Portfolio!P212</f>
        <v/>
      </c>
      <c r="M213" s="96" t="str">
        <f>Portfolio!Q212</f>
        <v/>
      </c>
      <c r="N213" s="14" t="str">
        <f>Portfolio!R212</f>
        <v/>
      </c>
      <c r="O213" s="50" t="str">
        <f>Portfolio!S212</f>
        <v/>
      </c>
      <c r="Q213" s="50" t="str">
        <f>Portfolio!U212</f>
        <v/>
      </c>
      <c r="S213" s="50" t="str">
        <f>Portfolio!W212</f>
        <v/>
      </c>
      <c r="T213" s="50" t="str">
        <f>Portfolio!X212</f>
        <v/>
      </c>
      <c r="U213" s="50" t="str">
        <f>Portfolio!Y212</f>
        <v/>
      </c>
      <c r="V213" s="50" t="str">
        <f>Portfolio!Z212</f>
        <v/>
      </c>
      <c r="W213" s="14" t="str">
        <f>Portfolio!AA212</f>
        <v/>
      </c>
      <c r="X213" s="50" t="str">
        <f>Portfolio!AB212</f>
        <v/>
      </c>
      <c r="Y213" s="179" t="str">
        <f>Portfolio!AC212</f>
        <v/>
      </c>
      <c r="Z213" s="50" t="str">
        <f>Portfolio!AD212</f>
        <v/>
      </c>
      <c r="AA213" s="180" t="str">
        <f>Portfolio!AE212</f>
        <v/>
      </c>
    </row>
    <row r="214">
      <c r="A214" s="14" t="str">
        <f>Portfolio!A213</f>
        <v/>
      </c>
      <c r="B214" s="14" t="str">
        <f>Portfolio!B213</f>
        <v/>
      </c>
      <c r="C214" s="158" t="str">
        <f>Portfolio!C213</f>
        <v/>
      </c>
      <c r="D214" s="96" t="str">
        <f>Portfolio!D213</f>
        <v/>
      </c>
      <c r="E214" s="96" t="str">
        <f>Portfolio!E213</f>
        <v/>
      </c>
      <c r="F214" s="96" t="str">
        <f>Portfolio!G213</f>
        <v/>
      </c>
      <c r="G214" s="50" t="str">
        <f>Portfolio!H213</f>
        <v/>
      </c>
      <c r="H214" s="96" t="str">
        <f>Portfolio!I213</f>
        <v/>
      </c>
      <c r="I214" s="96" t="str">
        <f>Portfolio!J213</f>
        <v/>
      </c>
      <c r="J214" s="96" t="str">
        <f>Portfolio!K213</f>
        <v/>
      </c>
      <c r="K214" s="50" t="str">
        <f>Portfolio!O213</f>
        <v/>
      </c>
      <c r="L214" s="96" t="str">
        <f>Portfolio!P213</f>
        <v/>
      </c>
      <c r="M214" s="96" t="str">
        <f>Portfolio!Q213</f>
        <v/>
      </c>
      <c r="N214" s="14" t="str">
        <f>Portfolio!R213</f>
        <v/>
      </c>
      <c r="O214" s="50" t="str">
        <f>Portfolio!S213</f>
        <v/>
      </c>
      <c r="Q214" s="50" t="str">
        <f>Portfolio!U213</f>
        <v/>
      </c>
      <c r="S214" s="50" t="str">
        <f>Portfolio!W213</f>
        <v/>
      </c>
      <c r="T214" s="50" t="str">
        <f>Portfolio!X213</f>
        <v/>
      </c>
      <c r="U214" s="50" t="str">
        <f>Portfolio!Y213</f>
        <v/>
      </c>
      <c r="V214" s="50" t="str">
        <f>Portfolio!Z213</f>
        <v/>
      </c>
      <c r="W214" s="14" t="str">
        <f>Portfolio!AA213</f>
        <v/>
      </c>
      <c r="X214" s="50" t="str">
        <f>Portfolio!AB213</f>
        <v/>
      </c>
      <c r="Y214" s="179" t="str">
        <f>Portfolio!AC213</f>
        <v/>
      </c>
      <c r="Z214" s="50" t="str">
        <f>Portfolio!AD213</f>
        <v/>
      </c>
      <c r="AA214" s="180" t="str">
        <f>Portfolio!AE213</f>
        <v/>
      </c>
    </row>
    <row r="215">
      <c r="A215" s="14" t="str">
        <f>Portfolio!A214</f>
        <v/>
      </c>
      <c r="B215" s="14" t="str">
        <f>Portfolio!B214</f>
        <v/>
      </c>
      <c r="C215" s="158" t="str">
        <f>Portfolio!C214</f>
        <v/>
      </c>
      <c r="D215" s="96" t="str">
        <f>Portfolio!D214</f>
        <v/>
      </c>
      <c r="E215" s="96" t="str">
        <f>Portfolio!E214</f>
        <v/>
      </c>
      <c r="F215" s="96" t="str">
        <f>Portfolio!G214</f>
        <v/>
      </c>
      <c r="G215" s="50" t="str">
        <f>Portfolio!H214</f>
        <v/>
      </c>
      <c r="H215" s="96" t="str">
        <f>Portfolio!I214</f>
        <v/>
      </c>
      <c r="I215" s="96" t="str">
        <f>Portfolio!J214</f>
        <v/>
      </c>
      <c r="J215" s="96" t="str">
        <f>Portfolio!K214</f>
        <v/>
      </c>
      <c r="K215" s="50" t="str">
        <f>Portfolio!O214</f>
        <v/>
      </c>
      <c r="L215" s="96" t="str">
        <f>Portfolio!P214</f>
        <v/>
      </c>
      <c r="M215" s="96" t="str">
        <f>Portfolio!Q214</f>
        <v/>
      </c>
      <c r="N215" s="14" t="str">
        <f>Portfolio!R214</f>
        <v/>
      </c>
      <c r="O215" s="50" t="str">
        <f>Portfolio!S214</f>
        <v/>
      </c>
      <c r="Q215" s="50" t="str">
        <f>Portfolio!U214</f>
        <v/>
      </c>
      <c r="S215" s="50" t="str">
        <f>Portfolio!W214</f>
        <v/>
      </c>
      <c r="T215" s="50" t="str">
        <f>Portfolio!X214</f>
        <v/>
      </c>
      <c r="U215" s="50" t="str">
        <f>Portfolio!Y214</f>
        <v/>
      </c>
      <c r="V215" s="50" t="str">
        <f>Portfolio!Z214</f>
        <v/>
      </c>
      <c r="W215" s="14" t="str">
        <f>Portfolio!AA214</f>
        <v/>
      </c>
      <c r="X215" s="50" t="str">
        <f>Portfolio!AB214</f>
        <v/>
      </c>
      <c r="Y215" s="179" t="str">
        <f>Portfolio!AC214</f>
        <v/>
      </c>
      <c r="Z215" s="50" t="str">
        <f>Portfolio!AD214</f>
        <v/>
      </c>
      <c r="AA215" s="180" t="str">
        <f>Portfolio!AE214</f>
        <v/>
      </c>
    </row>
    <row r="216">
      <c r="A216" s="14" t="str">
        <f>Portfolio!A215</f>
        <v/>
      </c>
      <c r="B216" s="14" t="str">
        <f>Portfolio!B215</f>
        <v/>
      </c>
      <c r="C216" s="158" t="str">
        <f>Portfolio!C215</f>
        <v/>
      </c>
      <c r="D216" s="96" t="str">
        <f>Portfolio!D215</f>
        <v/>
      </c>
      <c r="E216" s="96" t="str">
        <f>Portfolio!E215</f>
        <v/>
      </c>
      <c r="F216" s="96" t="str">
        <f>Portfolio!G215</f>
        <v/>
      </c>
      <c r="G216" s="50" t="str">
        <f>Portfolio!H215</f>
        <v/>
      </c>
      <c r="H216" s="96" t="str">
        <f>Portfolio!I215</f>
        <v/>
      </c>
      <c r="I216" s="96" t="str">
        <f>Portfolio!J215</f>
        <v/>
      </c>
      <c r="J216" s="96" t="str">
        <f>Portfolio!K215</f>
        <v/>
      </c>
      <c r="K216" s="50" t="str">
        <f>Portfolio!O215</f>
        <v/>
      </c>
      <c r="L216" s="96" t="str">
        <f>Portfolio!P215</f>
        <v/>
      </c>
      <c r="M216" s="96" t="str">
        <f>Portfolio!Q215</f>
        <v/>
      </c>
      <c r="N216" s="14" t="str">
        <f>Portfolio!R215</f>
        <v/>
      </c>
      <c r="O216" s="50" t="str">
        <f>Portfolio!S215</f>
        <v/>
      </c>
      <c r="Q216" s="50" t="str">
        <f>Portfolio!U215</f>
        <v/>
      </c>
      <c r="S216" s="50" t="str">
        <f>Portfolio!W215</f>
        <v/>
      </c>
      <c r="T216" s="50" t="str">
        <f>Portfolio!X215</f>
        <v/>
      </c>
      <c r="U216" s="50" t="str">
        <f>Portfolio!Y215</f>
        <v/>
      </c>
      <c r="V216" s="50" t="str">
        <f>Portfolio!Z215</f>
        <v/>
      </c>
      <c r="W216" s="14" t="str">
        <f>Portfolio!AA215</f>
        <v/>
      </c>
      <c r="X216" s="50" t="str">
        <f>Portfolio!AB215</f>
        <v/>
      </c>
      <c r="Y216" s="179" t="str">
        <f>Portfolio!AC215</f>
        <v/>
      </c>
      <c r="Z216" s="50" t="str">
        <f>Portfolio!AD215</f>
        <v/>
      </c>
      <c r="AA216" s="180" t="str">
        <f>Portfolio!AE215</f>
        <v/>
      </c>
    </row>
    <row r="217">
      <c r="A217" s="14" t="str">
        <f>Portfolio!A216</f>
        <v/>
      </c>
      <c r="B217" s="14" t="str">
        <f>Portfolio!B216</f>
        <v/>
      </c>
      <c r="C217" s="158" t="str">
        <f>Portfolio!C216</f>
        <v/>
      </c>
      <c r="D217" s="96" t="str">
        <f>Portfolio!D216</f>
        <v/>
      </c>
      <c r="E217" s="96" t="str">
        <f>Portfolio!E216</f>
        <v/>
      </c>
      <c r="F217" s="96" t="str">
        <f>Portfolio!G216</f>
        <v/>
      </c>
      <c r="G217" s="50" t="str">
        <f>Portfolio!H216</f>
        <v/>
      </c>
      <c r="H217" s="96" t="str">
        <f>Portfolio!I216</f>
        <v/>
      </c>
      <c r="I217" s="96" t="str">
        <f>Portfolio!J216</f>
        <v/>
      </c>
      <c r="J217" s="96" t="str">
        <f>Portfolio!K216</f>
        <v/>
      </c>
      <c r="K217" s="50" t="str">
        <f>Portfolio!O216</f>
        <v/>
      </c>
      <c r="L217" s="96" t="str">
        <f>Portfolio!P216</f>
        <v/>
      </c>
      <c r="M217" s="96" t="str">
        <f>Portfolio!Q216</f>
        <v/>
      </c>
      <c r="N217" s="14" t="str">
        <f>Portfolio!R216</f>
        <v/>
      </c>
      <c r="O217" s="50" t="str">
        <f>Portfolio!S216</f>
        <v/>
      </c>
      <c r="Q217" s="50" t="str">
        <f>Portfolio!U216</f>
        <v/>
      </c>
      <c r="S217" s="50" t="str">
        <f>Portfolio!W216</f>
        <v/>
      </c>
      <c r="T217" s="50" t="str">
        <f>Portfolio!X216</f>
        <v/>
      </c>
      <c r="U217" s="50" t="str">
        <f>Portfolio!Y216</f>
        <v/>
      </c>
      <c r="V217" s="50" t="str">
        <f>Portfolio!Z216</f>
        <v/>
      </c>
      <c r="W217" s="14" t="str">
        <f>Portfolio!AA216</f>
        <v/>
      </c>
      <c r="X217" s="50" t="str">
        <f>Portfolio!AB216</f>
        <v/>
      </c>
      <c r="Y217" s="179" t="str">
        <f>Portfolio!AC216</f>
        <v/>
      </c>
      <c r="Z217" s="50" t="str">
        <f>Portfolio!AD216</f>
        <v/>
      </c>
      <c r="AA217" s="180" t="str">
        <f>Portfolio!AE216</f>
        <v/>
      </c>
    </row>
    <row r="218">
      <c r="A218" s="14" t="str">
        <f>Portfolio!A217</f>
        <v/>
      </c>
      <c r="B218" s="14" t="str">
        <f>Portfolio!B217</f>
        <v/>
      </c>
      <c r="C218" s="158" t="str">
        <f>Portfolio!C217</f>
        <v/>
      </c>
      <c r="D218" s="96" t="str">
        <f>Portfolio!D217</f>
        <v/>
      </c>
      <c r="E218" s="96" t="str">
        <f>Portfolio!E217</f>
        <v/>
      </c>
      <c r="F218" s="96" t="str">
        <f>Portfolio!G217</f>
        <v/>
      </c>
      <c r="G218" s="50" t="str">
        <f>Portfolio!H217</f>
        <v/>
      </c>
      <c r="H218" s="96" t="str">
        <f>Portfolio!I217</f>
        <v/>
      </c>
      <c r="I218" s="96" t="str">
        <f>Portfolio!J217</f>
        <v/>
      </c>
      <c r="J218" s="96" t="str">
        <f>Portfolio!K217</f>
        <v/>
      </c>
      <c r="K218" s="50" t="str">
        <f>Portfolio!O217</f>
        <v/>
      </c>
      <c r="L218" s="96" t="str">
        <f>Portfolio!P217</f>
        <v/>
      </c>
      <c r="M218" s="96" t="str">
        <f>Portfolio!Q217</f>
        <v/>
      </c>
      <c r="N218" s="14" t="str">
        <f>Portfolio!R217</f>
        <v/>
      </c>
      <c r="O218" s="50" t="str">
        <f>Portfolio!S217</f>
        <v/>
      </c>
      <c r="Q218" s="50" t="str">
        <f>Portfolio!U217</f>
        <v/>
      </c>
      <c r="S218" s="50" t="str">
        <f>Portfolio!W217</f>
        <v/>
      </c>
      <c r="T218" s="50" t="str">
        <f>Portfolio!X217</f>
        <v/>
      </c>
      <c r="U218" s="50" t="str">
        <f>Portfolio!Y217</f>
        <v/>
      </c>
      <c r="V218" s="50" t="str">
        <f>Portfolio!Z217</f>
        <v/>
      </c>
      <c r="W218" s="14" t="str">
        <f>Portfolio!AA217</f>
        <v/>
      </c>
      <c r="X218" s="50" t="str">
        <f>Portfolio!AB217</f>
        <v/>
      </c>
      <c r="Y218" s="179" t="str">
        <f>Portfolio!AC217</f>
        <v/>
      </c>
      <c r="Z218" s="50" t="str">
        <f>Portfolio!AD217</f>
        <v/>
      </c>
      <c r="AA218" s="180" t="str">
        <f>Portfolio!AE217</f>
        <v/>
      </c>
    </row>
    <row r="219">
      <c r="A219" s="14" t="str">
        <f>Portfolio!A218</f>
        <v/>
      </c>
      <c r="B219" s="14" t="str">
        <f>Portfolio!B218</f>
        <v/>
      </c>
      <c r="C219" s="158" t="str">
        <f>Portfolio!C218</f>
        <v/>
      </c>
      <c r="D219" s="96" t="str">
        <f>Portfolio!D218</f>
        <v/>
      </c>
      <c r="E219" s="96" t="str">
        <f>Portfolio!E218</f>
        <v/>
      </c>
      <c r="F219" s="96" t="str">
        <f>Portfolio!G218</f>
        <v/>
      </c>
      <c r="G219" s="50" t="str">
        <f>Portfolio!H218</f>
        <v/>
      </c>
      <c r="H219" s="96" t="str">
        <f>Portfolio!I218</f>
        <v/>
      </c>
      <c r="I219" s="96" t="str">
        <f>Portfolio!J218</f>
        <v/>
      </c>
      <c r="J219" s="96" t="str">
        <f>Portfolio!K218</f>
        <v/>
      </c>
      <c r="K219" s="50" t="str">
        <f>Portfolio!O218</f>
        <v/>
      </c>
      <c r="L219" s="96" t="str">
        <f>Portfolio!P218</f>
        <v/>
      </c>
      <c r="M219" s="96" t="str">
        <f>Portfolio!Q218</f>
        <v/>
      </c>
      <c r="N219" s="14" t="str">
        <f>Portfolio!R218</f>
        <v/>
      </c>
      <c r="O219" s="50" t="str">
        <f>Portfolio!S218</f>
        <v/>
      </c>
      <c r="Q219" s="50" t="str">
        <f>Portfolio!U218</f>
        <v/>
      </c>
      <c r="S219" s="50" t="str">
        <f>Portfolio!W218</f>
        <v/>
      </c>
      <c r="T219" s="50" t="str">
        <f>Portfolio!X218</f>
        <v/>
      </c>
      <c r="U219" s="50" t="str">
        <f>Portfolio!Y218</f>
        <v/>
      </c>
      <c r="V219" s="50" t="str">
        <f>Portfolio!Z218</f>
        <v/>
      </c>
      <c r="W219" s="14" t="str">
        <f>Portfolio!AA218</f>
        <v/>
      </c>
      <c r="X219" s="50" t="str">
        <f>Portfolio!AB218</f>
        <v/>
      </c>
      <c r="Y219" s="179" t="str">
        <f>Portfolio!AC218</f>
        <v/>
      </c>
      <c r="Z219" s="50" t="str">
        <f>Portfolio!AD218</f>
        <v/>
      </c>
      <c r="AA219" s="180" t="str">
        <f>Portfolio!AE218</f>
        <v/>
      </c>
    </row>
    <row r="220">
      <c r="A220" s="14" t="str">
        <f>Portfolio!A219</f>
        <v/>
      </c>
      <c r="B220" s="14" t="str">
        <f>Portfolio!B219</f>
        <v/>
      </c>
      <c r="C220" s="158" t="str">
        <f>Portfolio!C219</f>
        <v/>
      </c>
      <c r="D220" s="96" t="str">
        <f>Portfolio!D219</f>
        <v/>
      </c>
      <c r="E220" s="96" t="str">
        <f>Portfolio!E219</f>
        <v/>
      </c>
      <c r="F220" s="96" t="str">
        <f>Portfolio!G219</f>
        <v/>
      </c>
      <c r="G220" s="50" t="str">
        <f>Portfolio!H219</f>
        <v/>
      </c>
      <c r="H220" s="96" t="str">
        <f>Portfolio!I219</f>
        <v/>
      </c>
      <c r="I220" s="96" t="str">
        <f>Portfolio!J219</f>
        <v/>
      </c>
      <c r="J220" s="96" t="str">
        <f>Portfolio!K219</f>
        <v/>
      </c>
      <c r="K220" s="50" t="str">
        <f>Portfolio!O219</f>
        <v/>
      </c>
      <c r="L220" s="96" t="str">
        <f>Portfolio!P219</f>
        <v/>
      </c>
      <c r="M220" s="96" t="str">
        <f>Portfolio!Q219</f>
        <v/>
      </c>
      <c r="N220" s="14" t="str">
        <f>Portfolio!R219</f>
        <v/>
      </c>
      <c r="O220" s="50" t="str">
        <f>Portfolio!S219</f>
        <v/>
      </c>
      <c r="Q220" s="50" t="str">
        <f>Portfolio!U219</f>
        <v/>
      </c>
      <c r="S220" s="50" t="str">
        <f>Portfolio!W219</f>
        <v/>
      </c>
      <c r="T220" s="50" t="str">
        <f>Portfolio!X219</f>
        <v/>
      </c>
      <c r="U220" s="50" t="str">
        <f>Portfolio!Y219</f>
        <v/>
      </c>
      <c r="V220" s="50" t="str">
        <f>Portfolio!Z219</f>
        <v/>
      </c>
      <c r="W220" s="14" t="str">
        <f>Portfolio!AA219</f>
        <v/>
      </c>
      <c r="X220" s="50" t="str">
        <f>Portfolio!AB219</f>
        <v/>
      </c>
      <c r="Y220" s="179" t="str">
        <f>Portfolio!AC219</f>
        <v/>
      </c>
      <c r="Z220" s="50" t="str">
        <f>Portfolio!AD219</f>
        <v/>
      </c>
      <c r="AA220" s="180" t="str">
        <f>Portfolio!AE219</f>
        <v/>
      </c>
    </row>
    <row r="221">
      <c r="A221" s="14" t="str">
        <f>Portfolio!A220</f>
        <v/>
      </c>
      <c r="B221" s="14" t="str">
        <f>Portfolio!B220</f>
        <v/>
      </c>
      <c r="C221" s="158" t="str">
        <f>Portfolio!C220</f>
        <v/>
      </c>
      <c r="D221" s="96" t="str">
        <f>Portfolio!D220</f>
        <v/>
      </c>
      <c r="E221" s="96" t="str">
        <f>Portfolio!E220</f>
        <v/>
      </c>
      <c r="F221" s="96" t="str">
        <f>Portfolio!G220</f>
        <v/>
      </c>
      <c r="G221" s="50" t="str">
        <f>Portfolio!H220</f>
        <v/>
      </c>
      <c r="H221" s="96" t="str">
        <f>Portfolio!I220</f>
        <v/>
      </c>
      <c r="I221" s="96" t="str">
        <f>Portfolio!J220</f>
        <v/>
      </c>
      <c r="J221" s="96" t="str">
        <f>Portfolio!K220</f>
        <v/>
      </c>
      <c r="K221" s="50" t="str">
        <f>Portfolio!O220</f>
        <v/>
      </c>
      <c r="L221" s="96" t="str">
        <f>Portfolio!P220</f>
        <v/>
      </c>
      <c r="M221" s="96" t="str">
        <f>Portfolio!Q220</f>
        <v/>
      </c>
      <c r="N221" s="14" t="str">
        <f>Portfolio!R220</f>
        <v/>
      </c>
      <c r="O221" s="50" t="str">
        <f>Portfolio!S220</f>
        <v/>
      </c>
      <c r="Q221" s="50" t="str">
        <f>Portfolio!U220</f>
        <v/>
      </c>
      <c r="S221" s="50" t="str">
        <f>Portfolio!W220</f>
        <v/>
      </c>
      <c r="T221" s="50" t="str">
        <f>Portfolio!X220</f>
        <v/>
      </c>
      <c r="U221" s="50" t="str">
        <f>Portfolio!Y220</f>
        <v/>
      </c>
      <c r="V221" s="50" t="str">
        <f>Portfolio!Z220</f>
        <v/>
      </c>
      <c r="W221" s="14" t="str">
        <f>Portfolio!AA220</f>
        <v/>
      </c>
      <c r="X221" s="50" t="str">
        <f>Portfolio!AB220</f>
        <v/>
      </c>
      <c r="Y221" s="179" t="str">
        <f>Portfolio!AC220</f>
        <v/>
      </c>
      <c r="Z221" s="50" t="str">
        <f>Portfolio!AD220</f>
        <v/>
      </c>
      <c r="AA221" s="180" t="str">
        <f>Portfolio!AE220</f>
        <v/>
      </c>
    </row>
    <row r="222">
      <c r="A222" s="14" t="str">
        <f>Portfolio!A221</f>
        <v/>
      </c>
      <c r="B222" s="14" t="str">
        <f>Portfolio!B221</f>
        <v/>
      </c>
      <c r="C222" s="158" t="str">
        <f>Portfolio!C221</f>
        <v/>
      </c>
      <c r="D222" s="96" t="str">
        <f>Portfolio!D221</f>
        <v/>
      </c>
      <c r="E222" s="96" t="str">
        <f>Portfolio!E221</f>
        <v/>
      </c>
      <c r="F222" s="96" t="str">
        <f>Portfolio!G221</f>
        <v/>
      </c>
      <c r="G222" s="50" t="str">
        <f>Portfolio!H221</f>
        <v/>
      </c>
      <c r="H222" s="96" t="str">
        <f>Portfolio!I221</f>
        <v/>
      </c>
      <c r="I222" s="96" t="str">
        <f>Portfolio!J221</f>
        <v/>
      </c>
      <c r="J222" s="96" t="str">
        <f>Portfolio!K221</f>
        <v/>
      </c>
      <c r="K222" s="50" t="str">
        <f>Portfolio!O221</f>
        <v/>
      </c>
      <c r="L222" s="96" t="str">
        <f>Portfolio!P221</f>
        <v/>
      </c>
      <c r="M222" s="96" t="str">
        <f>Portfolio!Q221</f>
        <v/>
      </c>
      <c r="N222" s="14" t="str">
        <f>Portfolio!R221</f>
        <v/>
      </c>
      <c r="O222" s="50" t="str">
        <f>Portfolio!S221</f>
        <v/>
      </c>
      <c r="Q222" s="50" t="str">
        <f>Portfolio!U221</f>
        <v/>
      </c>
      <c r="S222" s="50" t="str">
        <f>Portfolio!W221</f>
        <v/>
      </c>
      <c r="T222" s="50" t="str">
        <f>Portfolio!X221</f>
        <v/>
      </c>
      <c r="U222" s="50" t="str">
        <f>Portfolio!Y221</f>
        <v/>
      </c>
      <c r="V222" s="50" t="str">
        <f>Portfolio!Z221</f>
        <v/>
      </c>
      <c r="W222" s="14" t="str">
        <f>Portfolio!AA221</f>
        <v/>
      </c>
      <c r="X222" s="50" t="str">
        <f>Portfolio!AB221</f>
        <v/>
      </c>
      <c r="Y222" s="179" t="str">
        <f>Portfolio!AC221</f>
        <v/>
      </c>
      <c r="Z222" s="50" t="str">
        <f>Portfolio!AD221</f>
        <v/>
      </c>
      <c r="AA222" s="180" t="str">
        <f>Portfolio!AE221</f>
        <v/>
      </c>
    </row>
    <row r="223">
      <c r="A223" s="14" t="str">
        <f>Portfolio!A222</f>
        <v/>
      </c>
      <c r="B223" s="14" t="str">
        <f>Portfolio!B222</f>
        <v/>
      </c>
      <c r="C223" s="158" t="str">
        <f>Portfolio!C222</f>
        <v/>
      </c>
      <c r="D223" s="96" t="str">
        <f>Portfolio!D222</f>
        <v/>
      </c>
      <c r="E223" s="96" t="str">
        <f>Portfolio!E222</f>
        <v/>
      </c>
      <c r="F223" s="96" t="str">
        <f>Portfolio!G222</f>
        <v/>
      </c>
      <c r="G223" s="50" t="str">
        <f>Portfolio!H222</f>
        <v/>
      </c>
      <c r="H223" s="96" t="str">
        <f>Portfolio!I222</f>
        <v/>
      </c>
      <c r="I223" s="96" t="str">
        <f>Portfolio!J222</f>
        <v/>
      </c>
      <c r="J223" s="96" t="str">
        <f>Portfolio!K222</f>
        <v/>
      </c>
      <c r="K223" s="50" t="str">
        <f>Portfolio!O222</f>
        <v/>
      </c>
      <c r="L223" s="96" t="str">
        <f>Portfolio!P222</f>
        <v/>
      </c>
      <c r="M223" s="96" t="str">
        <f>Portfolio!Q222</f>
        <v/>
      </c>
      <c r="N223" s="14" t="str">
        <f>Portfolio!R222</f>
        <v/>
      </c>
      <c r="O223" s="50" t="str">
        <f>Portfolio!S222</f>
        <v/>
      </c>
      <c r="Q223" s="50" t="str">
        <f>Portfolio!U222</f>
        <v/>
      </c>
      <c r="S223" s="50" t="str">
        <f>Portfolio!W222</f>
        <v/>
      </c>
      <c r="T223" s="50" t="str">
        <f>Portfolio!X222</f>
        <v/>
      </c>
      <c r="U223" s="50" t="str">
        <f>Portfolio!Y222</f>
        <v/>
      </c>
      <c r="V223" s="50" t="str">
        <f>Portfolio!Z222</f>
        <v/>
      </c>
      <c r="W223" s="14" t="str">
        <f>Portfolio!AA222</f>
        <v/>
      </c>
      <c r="X223" s="50" t="str">
        <f>Portfolio!AB222</f>
        <v/>
      </c>
      <c r="Y223" s="179" t="str">
        <f>Portfolio!AC222</f>
        <v/>
      </c>
      <c r="Z223" s="50" t="str">
        <f>Portfolio!AD222</f>
        <v/>
      </c>
      <c r="AA223" s="180" t="str">
        <f>Portfolio!AE222</f>
        <v/>
      </c>
    </row>
    <row r="224">
      <c r="A224" s="14" t="str">
        <f>Portfolio!A223</f>
        <v/>
      </c>
      <c r="B224" s="14" t="str">
        <f>Portfolio!B223</f>
        <v/>
      </c>
      <c r="C224" s="158" t="str">
        <f>Portfolio!C223</f>
        <v/>
      </c>
      <c r="D224" s="96" t="str">
        <f>Portfolio!D223</f>
        <v/>
      </c>
      <c r="E224" s="96" t="str">
        <f>Portfolio!E223</f>
        <v/>
      </c>
      <c r="F224" s="96" t="str">
        <f>Portfolio!G223</f>
        <v/>
      </c>
      <c r="G224" s="50" t="str">
        <f>Portfolio!H223</f>
        <v/>
      </c>
      <c r="H224" s="96" t="str">
        <f>Portfolio!I223</f>
        <v/>
      </c>
      <c r="I224" s="96" t="str">
        <f>Portfolio!J223</f>
        <v/>
      </c>
      <c r="J224" s="96" t="str">
        <f>Portfolio!K223</f>
        <v/>
      </c>
      <c r="K224" s="50" t="str">
        <f>Portfolio!O223</f>
        <v/>
      </c>
      <c r="L224" s="96" t="str">
        <f>Portfolio!P223</f>
        <v/>
      </c>
      <c r="M224" s="96" t="str">
        <f>Portfolio!Q223</f>
        <v/>
      </c>
      <c r="N224" s="14" t="str">
        <f>Portfolio!R223</f>
        <v/>
      </c>
      <c r="O224" s="50" t="str">
        <f>Portfolio!S223</f>
        <v/>
      </c>
      <c r="Q224" s="50" t="str">
        <f>Portfolio!U223</f>
        <v/>
      </c>
      <c r="S224" s="50" t="str">
        <f>Portfolio!W223</f>
        <v/>
      </c>
      <c r="T224" s="50" t="str">
        <f>Portfolio!X223</f>
        <v/>
      </c>
      <c r="U224" s="50" t="str">
        <f>Portfolio!Y223</f>
        <v/>
      </c>
      <c r="V224" s="50" t="str">
        <f>Portfolio!Z223</f>
        <v/>
      </c>
      <c r="W224" s="14" t="str">
        <f>Portfolio!AA223</f>
        <v/>
      </c>
      <c r="X224" s="50" t="str">
        <f>Portfolio!AB223</f>
        <v/>
      </c>
      <c r="Y224" s="179" t="str">
        <f>Portfolio!AC223</f>
        <v/>
      </c>
      <c r="Z224" s="50" t="str">
        <f>Portfolio!AD223</f>
        <v/>
      </c>
      <c r="AA224" s="180" t="str">
        <f>Portfolio!AE223</f>
        <v/>
      </c>
    </row>
    <row r="225">
      <c r="A225" s="14" t="str">
        <f>Portfolio!A224</f>
        <v/>
      </c>
      <c r="B225" s="14" t="str">
        <f>Portfolio!B224</f>
        <v/>
      </c>
      <c r="C225" s="158" t="str">
        <f>Portfolio!C224</f>
        <v/>
      </c>
      <c r="D225" s="96" t="str">
        <f>Portfolio!D224</f>
        <v/>
      </c>
      <c r="E225" s="96" t="str">
        <f>Portfolio!E224</f>
        <v/>
      </c>
      <c r="F225" s="96" t="str">
        <f>Portfolio!G224</f>
        <v/>
      </c>
      <c r="G225" s="50" t="str">
        <f>Portfolio!H224</f>
        <v/>
      </c>
      <c r="H225" s="96" t="str">
        <f>Portfolio!I224</f>
        <v/>
      </c>
      <c r="I225" s="96" t="str">
        <f>Portfolio!J224</f>
        <v/>
      </c>
      <c r="J225" s="96" t="str">
        <f>Portfolio!K224</f>
        <v/>
      </c>
      <c r="K225" s="50" t="str">
        <f>Portfolio!O224</f>
        <v/>
      </c>
      <c r="L225" s="96" t="str">
        <f>Portfolio!P224</f>
        <v/>
      </c>
      <c r="M225" s="96" t="str">
        <f>Portfolio!Q224</f>
        <v/>
      </c>
      <c r="N225" s="14" t="str">
        <f>Portfolio!R224</f>
        <v/>
      </c>
      <c r="O225" s="50" t="str">
        <f>Portfolio!S224</f>
        <v/>
      </c>
      <c r="Q225" s="50" t="str">
        <f>Portfolio!U224</f>
        <v/>
      </c>
      <c r="S225" s="50" t="str">
        <f>Portfolio!W224</f>
        <v/>
      </c>
      <c r="T225" s="50" t="str">
        <f>Portfolio!X224</f>
        <v/>
      </c>
      <c r="U225" s="50" t="str">
        <f>Portfolio!Y224</f>
        <v/>
      </c>
      <c r="V225" s="50" t="str">
        <f>Portfolio!Z224</f>
        <v/>
      </c>
      <c r="W225" s="14" t="str">
        <f>Portfolio!AA224</f>
        <v/>
      </c>
      <c r="X225" s="50" t="str">
        <f>Portfolio!AB224</f>
        <v/>
      </c>
      <c r="Y225" s="179" t="str">
        <f>Portfolio!AC224</f>
        <v/>
      </c>
      <c r="Z225" s="50" t="str">
        <f>Portfolio!AD224</f>
        <v/>
      </c>
      <c r="AA225" s="180" t="str">
        <f>Portfolio!AE224</f>
        <v/>
      </c>
    </row>
    <row r="226">
      <c r="A226" s="14" t="str">
        <f>Portfolio!A225</f>
        <v/>
      </c>
      <c r="B226" s="14" t="str">
        <f>Portfolio!B225</f>
        <v/>
      </c>
      <c r="C226" s="158" t="str">
        <f>Portfolio!C225</f>
        <v/>
      </c>
      <c r="D226" s="96" t="str">
        <f>Portfolio!D225</f>
        <v/>
      </c>
      <c r="E226" s="96" t="str">
        <f>Portfolio!E225</f>
        <v/>
      </c>
      <c r="F226" s="96" t="str">
        <f>Portfolio!G225</f>
        <v/>
      </c>
      <c r="G226" s="50" t="str">
        <f>Portfolio!H225</f>
        <v/>
      </c>
      <c r="H226" s="96" t="str">
        <f>Portfolio!I225</f>
        <v/>
      </c>
      <c r="I226" s="96" t="str">
        <f>Portfolio!J225</f>
        <v/>
      </c>
      <c r="J226" s="96" t="str">
        <f>Portfolio!K225</f>
        <v/>
      </c>
      <c r="K226" s="50" t="str">
        <f>Portfolio!O225</f>
        <v/>
      </c>
      <c r="L226" s="96" t="str">
        <f>Portfolio!P225</f>
        <v/>
      </c>
      <c r="M226" s="96" t="str">
        <f>Portfolio!Q225</f>
        <v/>
      </c>
      <c r="N226" s="14" t="str">
        <f>Portfolio!R225</f>
        <v/>
      </c>
      <c r="O226" s="50" t="str">
        <f>Portfolio!S225</f>
        <v/>
      </c>
      <c r="Q226" s="50" t="str">
        <f>Portfolio!U225</f>
        <v/>
      </c>
      <c r="S226" s="50" t="str">
        <f>Portfolio!W225</f>
        <v/>
      </c>
      <c r="T226" s="50" t="str">
        <f>Portfolio!X225</f>
        <v/>
      </c>
      <c r="U226" s="50" t="str">
        <f>Portfolio!Y225</f>
        <v/>
      </c>
      <c r="V226" s="50" t="str">
        <f>Portfolio!Z225</f>
        <v/>
      </c>
      <c r="W226" s="14" t="str">
        <f>Portfolio!AA225</f>
        <v/>
      </c>
      <c r="X226" s="50" t="str">
        <f>Portfolio!AB225</f>
        <v/>
      </c>
      <c r="Y226" s="179" t="str">
        <f>Portfolio!AC225</f>
        <v/>
      </c>
      <c r="Z226" s="50" t="str">
        <f>Portfolio!AD225</f>
        <v/>
      </c>
      <c r="AA226" s="180" t="str">
        <f>Portfolio!AE225</f>
        <v/>
      </c>
    </row>
    <row r="227">
      <c r="A227" s="14" t="str">
        <f>Portfolio!A226</f>
        <v/>
      </c>
      <c r="B227" s="14" t="str">
        <f>Portfolio!B226</f>
        <v/>
      </c>
      <c r="C227" s="158" t="str">
        <f>Portfolio!C226</f>
        <v/>
      </c>
      <c r="D227" s="96" t="str">
        <f>Portfolio!D226</f>
        <v/>
      </c>
      <c r="E227" s="96" t="str">
        <f>Portfolio!E226</f>
        <v/>
      </c>
      <c r="F227" s="96" t="str">
        <f>Portfolio!G226</f>
        <v/>
      </c>
      <c r="G227" s="50" t="str">
        <f>Portfolio!H226</f>
        <v/>
      </c>
      <c r="H227" s="96" t="str">
        <f>Portfolio!I226</f>
        <v/>
      </c>
      <c r="I227" s="96" t="str">
        <f>Portfolio!J226</f>
        <v/>
      </c>
      <c r="J227" s="96" t="str">
        <f>Portfolio!K226</f>
        <v/>
      </c>
      <c r="K227" s="50" t="str">
        <f>Portfolio!O226</f>
        <v/>
      </c>
      <c r="L227" s="96" t="str">
        <f>Portfolio!P226</f>
        <v/>
      </c>
      <c r="M227" s="96" t="str">
        <f>Portfolio!Q226</f>
        <v/>
      </c>
      <c r="N227" s="14" t="str">
        <f>Portfolio!R226</f>
        <v/>
      </c>
      <c r="O227" s="50" t="str">
        <f>Portfolio!S226</f>
        <v/>
      </c>
      <c r="Q227" s="50" t="str">
        <f>Portfolio!U226</f>
        <v/>
      </c>
      <c r="S227" s="50" t="str">
        <f>Portfolio!W226</f>
        <v/>
      </c>
      <c r="T227" s="50" t="str">
        <f>Portfolio!X226</f>
        <v/>
      </c>
      <c r="U227" s="50" t="str">
        <f>Portfolio!Y226</f>
        <v/>
      </c>
      <c r="V227" s="50" t="str">
        <f>Portfolio!Z226</f>
        <v/>
      </c>
      <c r="W227" s="14" t="str">
        <f>Portfolio!AA226</f>
        <v/>
      </c>
      <c r="X227" s="50" t="str">
        <f>Portfolio!AB226</f>
        <v/>
      </c>
      <c r="Y227" s="179" t="str">
        <f>Portfolio!AC226</f>
        <v/>
      </c>
      <c r="Z227" s="50" t="str">
        <f>Portfolio!AD226</f>
        <v/>
      </c>
      <c r="AA227" s="180" t="str">
        <f>Portfolio!AE226</f>
        <v/>
      </c>
    </row>
    <row r="228">
      <c r="A228" s="14" t="str">
        <f>Portfolio!A227</f>
        <v/>
      </c>
      <c r="B228" s="14" t="str">
        <f>Portfolio!B227</f>
        <v/>
      </c>
      <c r="C228" s="158" t="str">
        <f>Portfolio!C227</f>
        <v/>
      </c>
      <c r="D228" s="96" t="str">
        <f>Portfolio!D227</f>
        <v/>
      </c>
      <c r="E228" s="96" t="str">
        <f>Portfolio!E227</f>
        <v/>
      </c>
      <c r="F228" s="96" t="str">
        <f>Portfolio!G227</f>
        <v/>
      </c>
      <c r="G228" s="50" t="str">
        <f>Portfolio!H227</f>
        <v/>
      </c>
      <c r="H228" s="96" t="str">
        <f>Portfolio!I227</f>
        <v/>
      </c>
      <c r="I228" s="96" t="str">
        <f>Portfolio!J227</f>
        <v/>
      </c>
      <c r="J228" s="96" t="str">
        <f>Portfolio!K227</f>
        <v/>
      </c>
      <c r="K228" s="50" t="str">
        <f>Portfolio!O227</f>
        <v/>
      </c>
      <c r="L228" s="96" t="str">
        <f>Portfolio!P227</f>
        <v/>
      </c>
      <c r="M228" s="96" t="str">
        <f>Portfolio!Q227</f>
        <v/>
      </c>
      <c r="N228" s="14" t="str">
        <f>Portfolio!R227</f>
        <v/>
      </c>
      <c r="O228" s="50" t="str">
        <f>Portfolio!S227</f>
        <v/>
      </c>
      <c r="Q228" s="50" t="str">
        <f>Portfolio!U227</f>
        <v/>
      </c>
      <c r="S228" s="50" t="str">
        <f>Portfolio!W227</f>
        <v/>
      </c>
      <c r="T228" s="50" t="str">
        <f>Portfolio!X227</f>
        <v/>
      </c>
      <c r="U228" s="50" t="str">
        <f>Portfolio!Y227</f>
        <v/>
      </c>
      <c r="V228" s="50" t="str">
        <f>Portfolio!Z227</f>
        <v/>
      </c>
      <c r="W228" s="14" t="str">
        <f>Portfolio!AA227</f>
        <v/>
      </c>
      <c r="X228" s="50" t="str">
        <f>Portfolio!AB227</f>
        <v/>
      </c>
      <c r="Y228" s="179" t="str">
        <f>Portfolio!AC227</f>
        <v/>
      </c>
      <c r="Z228" s="50" t="str">
        <f>Portfolio!AD227</f>
        <v/>
      </c>
      <c r="AA228" s="180" t="str">
        <f>Portfolio!AE227</f>
        <v/>
      </c>
    </row>
    <row r="229">
      <c r="A229" s="14" t="str">
        <f>Portfolio!A228</f>
        <v/>
      </c>
      <c r="B229" s="14" t="str">
        <f>Portfolio!B228</f>
        <v/>
      </c>
      <c r="C229" s="158" t="str">
        <f>Portfolio!C228</f>
        <v/>
      </c>
      <c r="D229" s="96" t="str">
        <f>Portfolio!D228</f>
        <v/>
      </c>
      <c r="E229" s="96" t="str">
        <f>Portfolio!E228</f>
        <v/>
      </c>
      <c r="F229" s="96" t="str">
        <f>Portfolio!G228</f>
        <v/>
      </c>
      <c r="G229" s="50" t="str">
        <f>Portfolio!H228</f>
        <v/>
      </c>
      <c r="H229" s="96" t="str">
        <f>Portfolio!I228</f>
        <v/>
      </c>
      <c r="I229" s="96" t="str">
        <f>Portfolio!J228</f>
        <v/>
      </c>
      <c r="J229" s="96" t="str">
        <f>Portfolio!K228</f>
        <v/>
      </c>
      <c r="K229" s="50" t="str">
        <f>Portfolio!O228</f>
        <v/>
      </c>
      <c r="L229" s="96" t="str">
        <f>Portfolio!P228</f>
        <v/>
      </c>
      <c r="M229" s="96" t="str">
        <f>Portfolio!Q228</f>
        <v/>
      </c>
      <c r="N229" s="14" t="str">
        <f>Portfolio!R228</f>
        <v/>
      </c>
      <c r="O229" s="50" t="str">
        <f>Portfolio!S228</f>
        <v/>
      </c>
      <c r="Q229" s="50" t="str">
        <f>Portfolio!U228</f>
        <v/>
      </c>
      <c r="S229" s="50" t="str">
        <f>Portfolio!W228</f>
        <v/>
      </c>
      <c r="T229" s="50" t="str">
        <f>Portfolio!X228</f>
        <v/>
      </c>
      <c r="U229" s="50" t="str">
        <f>Portfolio!Y228</f>
        <v/>
      </c>
      <c r="V229" s="50" t="str">
        <f>Portfolio!Z228</f>
        <v/>
      </c>
      <c r="W229" s="14" t="str">
        <f>Portfolio!AA228</f>
        <v/>
      </c>
      <c r="X229" s="50" t="str">
        <f>Portfolio!AB228</f>
        <v/>
      </c>
      <c r="Y229" s="179" t="str">
        <f>Portfolio!AC228</f>
        <v/>
      </c>
      <c r="Z229" s="50" t="str">
        <f>Portfolio!AD228</f>
        <v/>
      </c>
      <c r="AA229" s="180" t="str">
        <f>Portfolio!AE228</f>
        <v/>
      </c>
    </row>
    <row r="230">
      <c r="A230" s="14" t="str">
        <f>Portfolio!A229</f>
        <v/>
      </c>
      <c r="B230" s="14" t="str">
        <f>Portfolio!B229</f>
        <v/>
      </c>
      <c r="C230" s="158" t="str">
        <f>Portfolio!C229</f>
        <v/>
      </c>
      <c r="D230" s="96" t="str">
        <f>Portfolio!D229</f>
        <v/>
      </c>
      <c r="E230" s="96" t="str">
        <f>Portfolio!E229</f>
        <v/>
      </c>
      <c r="F230" s="96" t="str">
        <f>Portfolio!G229</f>
        <v/>
      </c>
      <c r="G230" s="50" t="str">
        <f>Portfolio!H229</f>
        <v/>
      </c>
      <c r="H230" s="96" t="str">
        <f>Portfolio!I229</f>
        <v/>
      </c>
      <c r="I230" s="96" t="str">
        <f>Portfolio!J229</f>
        <v/>
      </c>
      <c r="J230" s="96" t="str">
        <f>Portfolio!K229</f>
        <v/>
      </c>
      <c r="K230" s="50" t="str">
        <f>Portfolio!O229</f>
        <v/>
      </c>
      <c r="L230" s="96" t="str">
        <f>Portfolio!P229</f>
        <v/>
      </c>
      <c r="M230" s="96" t="str">
        <f>Portfolio!Q229</f>
        <v/>
      </c>
      <c r="N230" s="14" t="str">
        <f>Portfolio!R229</f>
        <v/>
      </c>
      <c r="O230" s="50" t="str">
        <f>Portfolio!S229</f>
        <v/>
      </c>
      <c r="Q230" s="50" t="str">
        <f>Portfolio!U229</f>
        <v/>
      </c>
      <c r="S230" s="50" t="str">
        <f>Portfolio!W229</f>
        <v/>
      </c>
      <c r="T230" s="50" t="str">
        <f>Portfolio!X229</f>
        <v/>
      </c>
      <c r="U230" s="50" t="str">
        <f>Portfolio!Y229</f>
        <v/>
      </c>
      <c r="V230" s="50" t="str">
        <f>Portfolio!Z229</f>
        <v/>
      </c>
      <c r="W230" s="14" t="str">
        <f>Portfolio!AA229</f>
        <v/>
      </c>
      <c r="X230" s="50" t="str">
        <f>Portfolio!AB229</f>
        <v/>
      </c>
      <c r="Y230" s="179" t="str">
        <f>Portfolio!AC229</f>
        <v/>
      </c>
      <c r="Z230" s="50" t="str">
        <f>Portfolio!AD229</f>
        <v/>
      </c>
      <c r="AA230" s="180" t="str">
        <f>Portfolio!AE229</f>
        <v/>
      </c>
    </row>
    <row r="231">
      <c r="A231" s="14" t="str">
        <f>Portfolio!A230</f>
        <v/>
      </c>
      <c r="B231" s="14" t="str">
        <f>Portfolio!B230</f>
        <v/>
      </c>
      <c r="C231" s="158" t="str">
        <f>Portfolio!C230</f>
        <v/>
      </c>
      <c r="D231" s="96" t="str">
        <f>Portfolio!D230</f>
        <v/>
      </c>
      <c r="E231" s="96" t="str">
        <f>Portfolio!E230</f>
        <v/>
      </c>
      <c r="F231" s="96" t="str">
        <f>Portfolio!G230</f>
        <v/>
      </c>
      <c r="G231" s="50" t="str">
        <f>Portfolio!H230</f>
        <v/>
      </c>
      <c r="H231" s="96" t="str">
        <f>Portfolio!I230</f>
        <v/>
      </c>
      <c r="I231" s="96" t="str">
        <f>Portfolio!J230</f>
        <v/>
      </c>
      <c r="J231" s="96" t="str">
        <f>Portfolio!K230</f>
        <v/>
      </c>
      <c r="K231" s="50" t="str">
        <f>Portfolio!O230</f>
        <v/>
      </c>
      <c r="L231" s="96" t="str">
        <f>Portfolio!P230</f>
        <v/>
      </c>
      <c r="M231" s="96" t="str">
        <f>Portfolio!Q230</f>
        <v/>
      </c>
      <c r="N231" s="14" t="str">
        <f>Portfolio!R230</f>
        <v/>
      </c>
      <c r="O231" s="50" t="str">
        <f>Portfolio!S230</f>
        <v/>
      </c>
      <c r="Q231" s="50" t="str">
        <f>Portfolio!U230</f>
        <v/>
      </c>
      <c r="S231" s="50" t="str">
        <f>Portfolio!W230</f>
        <v/>
      </c>
      <c r="T231" s="50" t="str">
        <f>Portfolio!X230</f>
        <v/>
      </c>
      <c r="U231" s="50" t="str">
        <f>Portfolio!Y230</f>
        <v/>
      </c>
      <c r="V231" s="50" t="str">
        <f>Portfolio!Z230</f>
        <v/>
      </c>
      <c r="W231" s="14" t="str">
        <f>Portfolio!AA230</f>
        <v/>
      </c>
      <c r="X231" s="50" t="str">
        <f>Portfolio!AB230</f>
        <v/>
      </c>
      <c r="Y231" s="179" t="str">
        <f>Portfolio!AC230</f>
        <v/>
      </c>
      <c r="Z231" s="50" t="str">
        <f>Portfolio!AD230</f>
        <v/>
      </c>
      <c r="AA231" s="180" t="str">
        <f>Portfolio!AE230</f>
        <v/>
      </c>
    </row>
    <row r="232">
      <c r="A232" s="14" t="str">
        <f>Portfolio!A231</f>
        <v/>
      </c>
      <c r="B232" s="14" t="str">
        <f>Portfolio!B231</f>
        <v/>
      </c>
      <c r="C232" s="158" t="str">
        <f>Portfolio!C231</f>
        <v/>
      </c>
      <c r="D232" s="96" t="str">
        <f>Portfolio!D231</f>
        <v/>
      </c>
      <c r="E232" s="96" t="str">
        <f>Portfolio!E231</f>
        <v/>
      </c>
      <c r="F232" s="96" t="str">
        <f>Portfolio!G231</f>
        <v/>
      </c>
      <c r="G232" s="50" t="str">
        <f>Portfolio!H231</f>
        <v/>
      </c>
      <c r="H232" s="96" t="str">
        <f>Portfolio!I231</f>
        <v/>
      </c>
      <c r="I232" s="96" t="str">
        <f>Portfolio!J231</f>
        <v/>
      </c>
      <c r="J232" s="96" t="str">
        <f>Portfolio!K231</f>
        <v/>
      </c>
      <c r="K232" s="50" t="str">
        <f>Portfolio!O231</f>
        <v/>
      </c>
      <c r="L232" s="96" t="str">
        <f>Portfolio!P231</f>
        <v/>
      </c>
      <c r="M232" s="96" t="str">
        <f>Portfolio!Q231</f>
        <v/>
      </c>
      <c r="N232" s="14" t="str">
        <f>Portfolio!R231</f>
        <v/>
      </c>
      <c r="O232" s="50" t="str">
        <f>Portfolio!S231</f>
        <v/>
      </c>
      <c r="Q232" s="50" t="str">
        <f>Portfolio!U231</f>
        <v/>
      </c>
      <c r="S232" s="50" t="str">
        <f>Portfolio!W231</f>
        <v/>
      </c>
      <c r="T232" s="50" t="str">
        <f>Portfolio!X231</f>
        <v/>
      </c>
      <c r="U232" s="50" t="str">
        <f>Portfolio!Y231</f>
        <v/>
      </c>
      <c r="V232" s="50" t="str">
        <f>Portfolio!Z231</f>
        <v/>
      </c>
      <c r="W232" s="14" t="str">
        <f>Portfolio!AA231</f>
        <v/>
      </c>
      <c r="X232" s="50" t="str">
        <f>Portfolio!AB231</f>
        <v/>
      </c>
      <c r="Y232" s="179" t="str">
        <f>Portfolio!AC231</f>
        <v/>
      </c>
      <c r="Z232" s="50" t="str">
        <f>Portfolio!AD231</f>
        <v/>
      </c>
      <c r="AA232" s="180" t="str">
        <f>Portfolio!AE231</f>
        <v/>
      </c>
    </row>
    <row r="233">
      <c r="A233" s="14" t="str">
        <f>Portfolio!A232</f>
        <v/>
      </c>
      <c r="B233" s="14" t="str">
        <f>Portfolio!B232</f>
        <v/>
      </c>
      <c r="C233" s="158" t="str">
        <f>Portfolio!C232</f>
        <v/>
      </c>
      <c r="D233" s="96" t="str">
        <f>Portfolio!D232</f>
        <v/>
      </c>
      <c r="E233" s="96" t="str">
        <f>Portfolio!E232</f>
        <v/>
      </c>
      <c r="F233" s="96" t="str">
        <f>Portfolio!G232</f>
        <v/>
      </c>
      <c r="G233" s="50" t="str">
        <f>Portfolio!H232</f>
        <v/>
      </c>
      <c r="H233" s="96" t="str">
        <f>Portfolio!I232</f>
        <v/>
      </c>
      <c r="I233" s="96" t="str">
        <f>Portfolio!J232</f>
        <v/>
      </c>
      <c r="J233" s="96" t="str">
        <f>Portfolio!K232</f>
        <v/>
      </c>
      <c r="K233" s="50" t="str">
        <f>Portfolio!O232</f>
        <v/>
      </c>
      <c r="L233" s="96" t="str">
        <f>Portfolio!P232</f>
        <v/>
      </c>
      <c r="M233" s="96" t="str">
        <f>Portfolio!Q232</f>
        <v/>
      </c>
      <c r="N233" s="14" t="str">
        <f>Portfolio!R232</f>
        <v/>
      </c>
      <c r="O233" s="50" t="str">
        <f>Portfolio!S232</f>
        <v/>
      </c>
      <c r="Q233" s="50" t="str">
        <f>Portfolio!U232</f>
        <v/>
      </c>
      <c r="S233" s="50" t="str">
        <f>Portfolio!W232</f>
        <v/>
      </c>
      <c r="T233" s="50" t="str">
        <f>Portfolio!X232</f>
        <v/>
      </c>
      <c r="U233" s="50" t="str">
        <f>Portfolio!Y232</f>
        <v/>
      </c>
      <c r="V233" s="50" t="str">
        <f>Portfolio!Z232</f>
        <v/>
      </c>
      <c r="W233" s="14" t="str">
        <f>Portfolio!AA232</f>
        <v/>
      </c>
      <c r="X233" s="50" t="str">
        <f>Portfolio!AB232</f>
        <v/>
      </c>
      <c r="Y233" s="179" t="str">
        <f>Portfolio!AC232</f>
        <v/>
      </c>
      <c r="Z233" s="50" t="str">
        <f>Portfolio!AD232</f>
        <v/>
      </c>
      <c r="AA233" s="180" t="str">
        <f>Portfolio!AE232</f>
        <v/>
      </c>
    </row>
    <row r="234">
      <c r="A234" s="14" t="str">
        <f>Portfolio!A233</f>
        <v/>
      </c>
      <c r="B234" s="14" t="str">
        <f>Portfolio!B233</f>
        <v/>
      </c>
      <c r="C234" s="158" t="str">
        <f>Portfolio!C233</f>
        <v/>
      </c>
      <c r="D234" s="96" t="str">
        <f>Portfolio!D233</f>
        <v/>
      </c>
      <c r="E234" s="96" t="str">
        <f>Portfolio!E233</f>
        <v/>
      </c>
      <c r="F234" s="96" t="str">
        <f>Portfolio!G233</f>
        <v/>
      </c>
      <c r="G234" s="50" t="str">
        <f>Portfolio!H233</f>
        <v/>
      </c>
      <c r="H234" s="96" t="str">
        <f>Portfolio!I233</f>
        <v/>
      </c>
      <c r="I234" s="96" t="str">
        <f>Portfolio!J233</f>
        <v/>
      </c>
      <c r="J234" s="96" t="str">
        <f>Portfolio!K233</f>
        <v/>
      </c>
      <c r="K234" s="50" t="str">
        <f>Portfolio!O233</f>
        <v/>
      </c>
      <c r="L234" s="96" t="str">
        <f>Portfolio!P233</f>
        <v/>
      </c>
      <c r="M234" s="96" t="str">
        <f>Portfolio!Q233</f>
        <v/>
      </c>
      <c r="N234" s="14" t="str">
        <f>Portfolio!R233</f>
        <v/>
      </c>
      <c r="O234" s="50" t="str">
        <f>Portfolio!S233</f>
        <v/>
      </c>
      <c r="Q234" s="50" t="str">
        <f>Portfolio!U233</f>
        <v/>
      </c>
      <c r="S234" s="50" t="str">
        <f>Portfolio!W233</f>
        <v/>
      </c>
      <c r="T234" s="50" t="str">
        <f>Portfolio!X233</f>
        <v/>
      </c>
      <c r="U234" s="50" t="str">
        <f>Portfolio!Y233</f>
        <v/>
      </c>
      <c r="V234" s="50" t="str">
        <f>Portfolio!Z233</f>
        <v/>
      </c>
      <c r="W234" s="14" t="str">
        <f>Portfolio!AA233</f>
        <v/>
      </c>
      <c r="X234" s="50" t="str">
        <f>Portfolio!AB233</f>
        <v/>
      </c>
      <c r="Y234" s="179" t="str">
        <f>Portfolio!AC233</f>
        <v/>
      </c>
      <c r="Z234" s="50" t="str">
        <f>Portfolio!AD233</f>
        <v/>
      </c>
      <c r="AA234" s="180" t="str">
        <f>Portfolio!AE233</f>
        <v/>
      </c>
    </row>
    <row r="235">
      <c r="A235" s="14" t="str">
        <f>Portfolio!A234</f>
        <v/>
      </c>
      <c r="B235" s="14" t="str">
        <f>Portfolio!B234</f>
        <v/>
      </c>
      <c r="C235" s="158" t="str">
        <f>Portfolio!C234</f>
        <v/>
      </c>
      <c r="D235" s="96" t="str">
        <f>Portfolio!D234</f>
        <v/>
      </c>
      <c r="E235" s="96" t="str">
        <f>Portfolio!E234</f>
        <v/>
      </c>
      <c r="F235" s="96" t="str">
        <f>Portfolio!G234</f>
        <v/>
      </c>
      <c r="G235" s="50" t="str">
        <f>Portfolio!H234</f>
        <v/>
      </c>
      <c r="H235" s="96" t="str">
        <f>Portfolio!I234</f>
        <v/>
      </c>
      <c r="I235" s="96" t="str">
        <f>Portfolio!J234</f>
        <v/>
      </c>
      <c r="J235" s="96" t="str">
        <f>Portfolio!K234</f>
        <v/>
      </c>
      <c r="K235" s="50" t="str">
        <f>Portfolio!O234</f>
        <v/>
      </c>
      <c r="L235" s="96" t="str">
        <f>Portfolio!P234</f>
        <v/>
      </c>
      <c r="M235" s="96" t="str">
        <f>Portfolio!Q234</f>
        <v/>
      </c>
      <c r="N235" s="14" t="str">
        <f>Portfolio!R234</f>
        <v/>
      </c>
      <c r="O235" s="50" t="str">
        <f>Portfolio!S234</f>
        <v/>
      </c>
      <c r="Q235" s="50" t="str">
        <f>Portfolio!U234</f>
        <v/>
      </c>
      <c r="S235" s="50" t="str">
        <f>Portfolio!W234</f>
        <v/>
      </c>
      <c r="T235" s="50" t="str">
        <f>Portfolio!X234</f>
        <v/>
      </c>
      <c r="U235" s="50" t="str">
        <f>Portfolio!Y234</f>
        <v/>
      </c>
      <c r="V235" s="50" t="str">
        <f>Portfolio!Z234</f>
        <v/>
      </c>
      <c r="W235" s="14" t="str">
        <f>Portfolio!AA234</f>
        <v/>
      </c>
      <c r="X235" s="50" t="str">
        <f>Portfolio!AB234</f>
        <v/>
      </c>
      <c r="Y235" s="179" t="str">
        <f>Portfolio!AC234</f>
        <v/>
      </c>
      <c r="Z235" s="50" t="str">
        <f>Portfolio!AD234</f>
        <v/>
      </c>
      <c r="AA235" s="180" t="str">
        <f>Portfolio!AE234</f>
        <v/>
      </c>
    </row>
    <row r="236">
      <c r="A236" s="14" t="str">
        <f>Portfolio!A235</f>
        <v/>
      </c>
      <c r="B236" s="14" t="str">
        <f>Portfolio!B235</f>
        <v/>
      </c>
      <c r="C236" s="158" t="str">
        <f>Portfolio!C235</f>
        <v/>
      </c>
      <c r="D236" s="96" t="str">
        <f>Portfolio!D235</f>
        <v/>
      </c>
      <c r="E236" s="96" t="str">
        <f>Portfolio!E235</f>
        <v/>
      </c>
      <c r="F236" s="96" t="str">
        <f>Portfolio!G235</f>
        <v/>
      </c>
      <c r="G236" s="50" t="str">
        <f>Portfolio!H235</f>
        <v/>
      </c>
      <c r="H236" s="96" t="str">
        <f>Portfolio!I235</f>
        <v/>
      </c>
      <c r="I236" s="96" t="str">
        <f>Portfolio!J235</f>
        <v/>
      </c>
      <c r="J236" s="96" t="str">
        <f>Portfolio!K235</f>
        <v/>
      </c>
      <c r="K236" s="50" t="str">
        <f>Portfolio!O235</f>
        <v/>
      </c>
      <c r="L236" s="96" t="str">
        <f>Portfolio!P235</f>
        <v/>
      </c>
      <c r="M236" s="96" t="str">
        <f>Portfolio!Q235</f>
        <v/>
      </c>
      <c r="N236" s="14" t="str">
        <f>Portfolio!R235</f>
        <v/>
      </c>
      <c r="O236" s="50" t="str">
        <f>Portfolio!S235</f>
        <v/>
      </c>
      <c r="Q236" s="50" t="str">
        <f>Portfolio!U235</f>
        <v/>
      </c>
      <c r="S236" s="50" t="str">
        <f>Portfolio!W235</f>
        <v/>
      </c>
      <c r="T236" s="50" t="str">
        <f>Portfolio!X235</f>
        <v/>
      </c>
      <c r="U236" s="50" t="str">
        <f>Portfolio!Y235</f>
        <v/>
      </c>
      <c r="V236" s="50" t="str">
        <f>Portfolio!Z235</f>
        <v/>
      </c>
      <c r="W236" s="14" t="str">
        <f>Portfolio!AA235</f>
        <v/>
      </c>
      <c r="X236" s="50" t="str">
        <f>Portfolio!AB235</f>
        <v/>
      </c>
      <c r="Y236" s="179" t="str">
        <f>Portfolio!AC235</f>
        <v/>
      </c>
      <c r="Z236" s="50" t="str">
        <f>Portfolio!AD235</f>
        <v/>
      </c>
      <c r="AA236" s="180" t="str">
        <f>Portfolio!AE235</f>
        <v/>
      </c>
    </row>
    <row r="237">
      <c r="A237" s="14" t="str">
        <f>Portfolio!A236</f>
        <v/>
      </c>
      <c r="B237" s="14" t="str">
        <f>Portfolio!B236</f>
        <v/>
      </c>
      <c r="C237" s="158" t="str">
        <f>Portfolio!C236</f>
        <v/>
      </c>
      <c r="D237" s="96" t="str">
        <f>Portfolio!D236</f>
        <v/>
      </c>
      <c r="E237" s="96" t="str">
        <f>Portfolio!E236</f>
        <v/>
      </c>
      <c r="F237" s="96" t="str">
        <f>Portfolio!G236</f>
        <v/>
      </c>
      <c r="G237" s="50" t="str">
        <f>Portfolio!H236</f>
        <v/>
      </c>
      <c r="H237" s="96" t="str">
        <f>Portfolio!I236</f>
        <v/>
      </c>
      <c r="I237" s="96" t="str">
        <f>Portfolio!J236</f>
        <v/>
      </c>
      <c r="J237" s="96" t="str">
        <f>Portfolio!K236</f>
        <v/>
      </c>
      <c r="K237" s="50" t="str">
        <f>Portfolio!O236</f>
        <v/>
      </c>
      <c r="L237" s="96" t="str">
        <f>Portfolio!P236</f>
        <v/>
      </c>
      <c r="M237" s="96" t="str">
        <f>Portfolio!Q236</f>
        <v/>
      </c>
      <c r="N237" s="14" t="str">
        <f>Portfolio!R236</f>
        <v/>
      </c>
      <c r="O237" s="50" t="str">
        <f>Portfolio!S236</f>
        <v/>
      </c>
      <c r="Q237" s="50" t="str">
        <f>Portfolio!U236</f>
        <v/>
      </c>
      <c r="S237" s="50" t="str">
        <f>Portfolio!W236</f>
        <v/>
      </c>
      <c r="T237" s="50" t="str">
        <f>Portfolio!X236</f>
        <v/>
      </c>
      <c r="U237" s="50" t="str">
        <f>Portfolio!Y236</f>
        <v/>
      </c>
      <c r="V237" s="50" t="str">
        <f>Portfolio!Z236</f>
        <v/>
      </c>
      <c r="W237" s="14" t="str">
        <f>Portfolio!AA236</f>
        <v/>
      </c>
      <c r="X237" s="50" t="str">
        <f>Portfolio!AB236</f>
        <v/>
      </c>
      <c r="Y237" s="179" t="str">
        <f>Portfolio!AC236</f>
        <v/>
      </c>
      <c r="Z237" s="50" t="str">
        <f>Portfolio!AD236</f>
        <v/>
      </c>
      <c r="AA237" s="180" t="str">
        <f>Portfolio!AE236</f>
        <v/>
      </c>
    </row>
    <row r="238">
      <c r="A238" s="14" t="str">
        <f>Portfolio!A237</f>
        <v/>
      </c>
      <c r="B238" s="14" t="str">
        <f>Portfolio!B237</f>
        <v/>
      </c>
      <c r="C238" s="158" t="str">
        <f>Portfolio!C237</f>
        <v/>
      </c>
      <c r="D238" s="96" t="str">
        <f>Portfolio!D237</f>
        <v/>
      </c>
      <c r="E238" s="96" t="str">
        <f>Portfolio!E237</f>
        <v/>
      </c>
      <c r="F238" s="96" t="str">
        <f>Portfolio!G237</f>
        <v/>
      </c>
      <c r="G238" s="50" t="str">
        <f>Portfolio!H237</f>
        <v/>
      </c>
      <c r="H238" s="96" t="str">
        <f>Portfolio!I237</f>
        <v/>
      </c>
      <c r="I238" s="96" t="str">
        <f>Portfolio!J237</f>
        <v/>
      </c>
      <c r="J238" s="96" t="str">
        <f>Portfolio!K237</f>
        <v/>
      </c>
      <c r="K238" s="50" t="str">
        <f>Portfolio!O237</f>
        <v/>
      </c>
      <c r="L238" s="96" t="str">
        <f>Portfolio!P237</f>
        <v/>
      </c>
      <c r="M238" s="96" t="str">
        <f>Portfolio!Q237</f>
        <v/>
      </c>
      <c r="N238" s="14" t="str">
        <f>Portfolio!R237</f>
        <v/>
      </c>
      <c r="O238" s="50" t="str">
        <f>Portfolio!S237</f>
        <v/>
      </c>
      <c r="Q238" s="50" t="str">
        <f>Portfolio!U237</f>
        <v/>
      </c>
      <c r="S238" s="50" t="str">
        <f>Portfolio!W237</f>
        <v/>
      </c>
      <c r="T238" s="50" t="str">
        <f>Portfolio!X237</f>
        <v/>
      </c>
      <c r="U238" s="50" t="str">
        <f>Portfolio!Y237</f>
        <v/>
      </c>
      <c r="V238" s="50" t="str">
        <f>Portfolio!Z237</f>
        <v/>
      </c>
      <c r="W238" s="14" t="str">
        <f>Portfolio!AA237</f>
        <v/>
      </c>
      <c r="X238" s="50" t="str">
        <f>Portfolio!AB237</f>
        <v/>
      </c>
      <c r="Y238" s="179" t="str">
        <f>Portfolio!AC237</f>
        <v/>
      </c>
      <c r="Z238" s="50" t="str">
        <f>Portfolio!AD237</f>
        <v/>
      </c>
      <c r="AA238" s="180" t="str">
        <f>Portfolio!AE237</f>
        <v/>
      </c>
    </row>
    <row r="239">
      <c r="A239" s="14" t="str">
        <f>Portfolio!A238</f>
        <v/>
      </c>
      <c r="B239" s="14" t="str">
        <f>Portfolio!B238</f>
        <v/>
      </c>
      <c r="C239" s="158" t="str">
        <f>Portfolio!C238</f>
        <v/>
      </c>
      <c r="D239" s="96" t="str">
        <f>Portfolio!D238</f>
        <v/>
      </c>
      <c r="E239" s="96" t="str">
        <f>Portfolio!E238</f>
        <v/>
      </c>
      <c r="F239" s="96" t="str">
        <f>Portfolio!G238</f>
        <v/>
      </c>
      <c r="G239" s="50" t="str">
        <f>Portfolio!H238</f>
        <v/>
      </c>
      <c r="H239" s="96" t="str">
        <f>Portfolio!I238</f>
        <v/>
      </c>
      <c r="I239" s="96" t="str">
        <f>Portfolio!J238</f>
        <v/>
      </c>
      <c r="J239" s="96" t="str">
        <f>Portfolio!K238</f>
        <v/>
      </c>
      <c r="K239" s="50" t="str">
        <f>Portfolio!O238</f>
        <v/>
      </c>
      <c r="L239" s="96" t="str">
        <f>Portfolio!P238</f>
        <v/>
      </c>
      <c r="M239" s="96" t="str">
        <f>Portfolio!Q238</f>
        <v/>
      </c>
      <c r="N239" s="14" t="str">
        <f>Portfolio!R238</f>
        <v/>
      </c>
      <c r="O239" s="50" t="str">
        <f>Portfolio!S238</f>
        <v/>
      </c>
      <c r="Q239" s="50" t="str">
        <f>Portfolio!U238</f>
        <v/>
      </c>
      <c r="S239" s="50" t="str">
        <f>Portfolio!W238</f>
        <v/>
      </c>
      <c r="T239" s="50" t="str">
        <f>Portfolio!X238</f>
        <v/>
      </c>
      <c r="U239" s="50" t="str">
        <f>Portfolio!Y238</f>
        <v/>
      </c>
      <c r="V239" s="50" t="str">
        <f>Portfolio!Z238</f>
        <v/>
      </c>
      <c r="W239" s="14" t="str">
        <f>Portfolio!AA238</f>
        <v/>
      </c>
      <c r="X239" s="50" t="str">
        <f>Portfolio!AB238</f>
        <v/>
      </c>
      <c r="Y239" s="179" t="str">
        <f>Portfolio!AC238</f>
        <v/>
      </c>
      <c r="Z239" s="50" t="str">
        <f>Portfolio!AD238</f>
        <v/>
      </c>
      <c r="AA239" s="180" t="str">
        <f>Portfolio!AE238</f>
        <v/>
      </c>
    </row>
    <row r="240">
      <c r="A240" s="14" t="str">
        <f>Portfolio!A239</f>
        <v/>
      </c>
      <c r="B240" s="14" t="str">
        <f>Portfolio!B239</f>
        <v/>
      </c>
      <c r="C240" s="158" t="str">
        <f>Portfolio!C239</f>
        <v/>
      </c>
      <c r="D240" s="96" t="str">
        <f>Portfolio!D239</f>
        <v/>
      </c>
      <c r="E240" s="96" t="str">
        <f>Portfolio!E239</f>
        <v/>
      </c>
      <c r="F240" s="96" t="str">
        <f>Portfolio!G239</f>
        <v/>
      </c>
      <c r="G240" s="50" t="str">
        <f>Portfolio!H239</f>
        <v/>
      </c>
      <c r="H240" s="96" t="str">
        <f>Portfolio!I239</f>
        <v/>
      </c>
      <c r="I240" s="96" t="str">
        <f>Portfolio!J239</f>
        <v/>
      </c>
      <c r="J240" s="96" t="str">
        <f>Portfolio!K239</f>
        <v/>
      </c>
      <c r="K240" s="50" t="str">
        <f>Portfolio!O239</f>
        <v/>
      </c>
      <c r="L240" s="96" t="str">
        <f>Portfolio!P239</f>
        <v/>
      </c>
      <c r="M240" s="96" t="str">
        <f>Portfolio!Q239</f>
        <v/>
      </c>
      <c r="N240" s="14" t="str">
        <f>Portfolio!R239</f>
        <v/>
      </c>
      <c r="O240" s="50" t="str">
        <f>Portfolio!S239</f>
        <v/>
      </c>
      <c r="Q240" s="50" t="str">
        <f>Portfolio!U239</f>
        <v/>
      </c>
      <c r="S240" s="50" t="str">
        <f>Portfolio!W239</f>
        <v/>
      </c>
      <c r="T240" s="50" t="str">
        <f>Portfolio!X239</f>
        <v/>
      </c>
      <c r="U240" s="50" t="str">
        <f>Portfolio!Y239</f>
        <v/>
      </c>
      <c r="V240" s="50" t="str">
        <f>Portfolio!Z239</f>
        <v/>
      </c>
      <c r="W240" s="14" t="str">
        <f>Portfolio!AA239</f>
        <v/>
      </c>
      <c r="X240" s="50" t="str">
        <f>Portfolio!AB239</f>
        <v/>
      </c>
      <c r="Y240" s="179" t="str">
        <f>Portfolio!AC239</f>
        <v/>
      </c>
      <c r="Z240" s="50" t="str">
        <f>Portfolio!AD239</f>
        <v/>
      </c>
      <c r="AA240" s="180" t="str">
        <f>Portfolio!AE239</f>
        <v/>
      </c>
    </row>
    <row r="241">
      <c r="A241" s="14" t="str">
        <f>Portfolio!A240</f>
        <v/>
      </c>
      <c r="B241" s="14" t="str">
        <f>Portfolio!B240</f>
        <v/>
      </c>
      <c r="C241" s="158" t="str">
        <f>Portfolio!C240</f>
        <v/>
      </c>
      <c r="D241" s="96" t="str">
        <f>Portfolio!D240</f>
        <v/>
      </c>
      <c r="E241" s="96" t="str">
        <f>Portfolio!E240</f>
        <v/>
      </c>
      <c r="F241" s="96" t="str">
        <f>Portfolio!G240</f>
        <v/>
      </c>
      <c r="G241" s="50" t="str">
        <f>Portfolio!H240</f>
        <v/>
      </c>
      <c r="H241" s="96" t="str">
        <f>Portfolio!I240</f>
        <v/>
      </c>
      <c r="I241" s="96" t="str">
        <f>Portfolio!J240</f>
        <v/>
      </c>
      <c r="J241" s="96" t="str">
        <f>Portfolio!K240</f>
        <v/>
      </c>
      <c r="K241" s="50" t="str">
        <f>Portfolio!O240</f>
        <v/>
      </c>
      <c r="L241" s="96" t="str">
        <f>Portfolio!P240</f>
        <v/>
      </c>
      <c r="M241" s="96" t="str">
        <f>Portfolio!Q240</f>
        <v/>
      </c>
      <c r="N241" s="14" t="str">
        <f>Portfolio!R240</f>
        <v/>
      </c>
      <c r="O241" s="50" t="str">
        <f>Portfolio!S240</f>
        <v/>
      </c>
      <c r="Q241" s="50" t="str">
        <f>Portfolio!U240</f>
        <v/>
      </c>
      <c r="S241" s="50" t="str">
        <f>Portfolio!W240</f>
        <v/>
      </c>
      <c r="T241" s="50" t="str">
        <f>Portfolio!X240</f>
        <v/>
      </c>
      <c r="U241" s="50" t="str">
        <f>Portfolio!Y240</f>
        <v/>
      </c>
      <c r="V241" s="50" t="str">
        <f>Portfolio!Z240</f>
        <v/>
      </c>
      <c r="W241" s="14" t="str">
        <f>Portfolio!AA240</f>
        <v/>
      </c>
      <c r="X241" s="50" t="str">
        <f>Portfolio!AB240</f>
        <v/>
      </c>
      <c r="Y241" s="179" t="str">
        <f>Portfolio!AC240</f>
        <v/>
      </c>
      <c r="Z241" s="50" t="str">
        <f>Portfolio!AD240</f>
        <v/>
      </c>
      <c r="AA241" s="180" t="str">
        <f>Portfolio!AE240</f>
        <v/>
      </c>
    </row>
    <row r="242">
      <c r="A242" s="14" t="str">
        <f>Portfolio!A241</f>
        <v/>
      </c>
      <c r="B242" s="14" t="str">
        <f>Portfolio!B241</f>
        <v/>
      </c>
      <c r="C242" s="158" t="str">
        <f>Portfolio!C241</f>
        <v/>
      </c>
      <c r="D242" s="96" t="str">
        <f>Portfolio!D241</f>
        <v/>
      </c>
      <c r="E242" s="96" t="str">
        <f>Portfolio!E241</f>
        <v/>
      </c>
      <c r="F242" s="96" t="str">
        <f>Portfolio!G241</f>
        <v/>
      </c>
      <c r="G242" s="50" t="str">
        <f>Portfolio!H241</f>
        <v/>
      </c>
      <c r="H242" s="96" t="str">
        <f>Portfolio!I241</f>
        <v/>
      </c>
      <c r="I242" s="96" t="str">
        <f>Portfolio!J241</f>
        <v/>
      </c>
      <c r="J242" s="96" t="str">
        <f>Portfolio!K241</f>
        <v/>
      </c>
      <c r="K242" s="50" t="str">
        <f>Portfolio!O241</f>
        <v/>
      </c>
      <c r="L242" s="96" t="str">
        <f>Portfolio!P241</f>
        <v/>
      </c>
      <c r="M242" s="96" t="str">
        <f>Portfolio!Q241</f>
        <v/>
      </c>
      <c r="N242" s="14" t="str">
        <f>Portfolio!R241</f>
        <v/>
      </c>
      <c r="O242" s="50" t="str">
        <f>Portfolio!S241</f>
        <v/>
      </c>
      <c r="Q242" s="50" t="str">
        <f>Portfolio!U241</f>
        <v/>
      </c>
      <c r="S242" s="50" t="str">
        <f>Portfolio!W241</f>
        <v/>
      </c>
      <c r="T242" s="50" t="str">
        <f>Portfolio!X241</f>
        <v/>
      </c>
      <c r="U242" s="50" t="str">
        <f>Portfolio!Y241</f>
        <v/>
      </c>
      <c r="V242" s="50" t="str">
        <f>Portfolio!Z241</f>
        <v/>
      </c>
      <c r="W242" s="14" t="str">
        <f>Portfolio!AA241</f>
        <v/>
      </c>
      <c r="X242" s="50" t="str">
        <f>Portfolio!AB241</f>
        <v/>
      </c>
      <c r="Y242" s="179" t="str">
        <f>Portfolio!AC241</f>
        <v/>
      </c>
      <c r="Z242" s="50" t="str">
        <f>Portfolio!AD241</f>
        <v/>
      </c>
      <c r="AA242" s="180" t="str">
        <f>Portfolio!AE241</f>
        <v/>
      </c>
    </row>
    <row r="243">
      <c r="A243" s="14" t="str">
        <f>Portfolio!A242</f>
        <v/>
      </c>
      <c r="B243" s="14" t="str">
        <f>Portfolio!B242</f>
        <v/>
      </c>
      <c r="C243" s="158" t="str">
        <f>Portfolio!C242</f>
        <v/>
      </c>
      <c r="D243" s="96" t="str">
        <f>Portfolio!D242</f>
        <v/>
      </c>
      <c r="E243" s="96" t="str">
        <f>Portfolio!E242</f>
        <v/>
      </c>
      <c r="F243" s="96" t="str">
        <f>Portfolio!G242</f>
        <v/>
      </c>
      <c r="G243" s="50" t="str">
        <f>Portfolio!H242</f>
        <v/>
      </c>
      <c r="H243" s="96" t="str">
        <f>Portfolio!I242</f>
        <v/>
      </c>
      <c r="I243" s="96" t="str">
        <f>Portfolio!J242</f>
        <v/>
      </c>
      <c r="J243" s="96" t="str">
        <f>Portfolio!K242</f>
        <v/>
      </c>
      <c r="K243" s="50" t="str">
        <f>Portfolio!O242</f>
        <v/>
      </c>
      <c r="L243" s="96" t="str">
        <f>Portfolio!P242</f>
        <v/>
      </c>
      <c r="M243" s="96" t="str">
        <f>Portfolio!Q242</f>
        <v/>
      </c>
      <c r="N243" s="14" t="str">
        <f>Portfolio!R242</f>
        <v/>
      </c>
      <c r="O243" s="50" t="str">
        <f>Portfolio!S242</f>
        <v/>
      </c>
      <c r="Q243" s="50" t="str">
        <f>Portfolio!U242</f>
        <v/>
      </c>
      <c r="S243" s="50" t="str">
        <f>Portfolio!W242</f>
        <v/>
      </c>
      <c r="T243" s="50" t="str">
        <f>Portfolio!X242</f>
        <v/>
      </c>
      <c r="U243" s="50" t="str">
        <f>Portfolio!Y242</f>
        <v/>
      </c>
      <c r="V243" s="50" t="str">
        <f>Portfolio!Z242</f>
        <v/>
      </c>
      <c r="W243" s="14" t="str">
        <f>Portfolio!AA242</f>
        <v/>
      </c>
      <c r="X243" s="50" t="str">
        <f>Portfolio!AB242</f>
        <v/>
      </c>
      <c r="Y243" s="179" t="str">
        <f>Portfolio!AC242</f>
        <v/>
      </c>
      <c r="Z243" s="50" t="str">
        <f>Portfolio!AD242</f>
        <v/>
      </c>
      <c r="AA243" s="180" t="str">
        <f>Portfolio!AE242</f>
        <v/>
      </c>
    </row>
    <row r="244">
      <c r="A244" s="14" t="str">
        <f>Portfolio!A243</f>
        <v/>
      </c>
      <c r="B244" s="14" t="str">
        <f>Portfolio!B243</f>
        <v/>
      </c>
      <c r="C244" s="158" t="str">
        <f>Portfolio!C243</f>
        <v/>
      </c>
      <c r="D244" s="96" t="str">
        <f>Portfolio!D243</f>
        <v/>
      </c>
      <c r="E244" s="96" t="str">
        <f>Portfolio!E243</f>
        <v/>
      </c>
      <c r="F244" s="96" t="str">
        <f>Portfolio!G243</f>
        <v/>
      </c>
      <c r="G244" s="50" t="str">
        <f>Portfolio!H243</f>
        <v/>
      </c>
      <c r="H244" s="96" t="str">
        <f>Portfolio!I243</f>
        <v/>
      </c>
      <c r="I244" s="96" t="str">
        <f>Portfolio!J243</f>
        <v/>
      </c>
      <c r="J244" s="96" t="str">
        <f>Portfolio!K243</f>
        <v/>
      </c>
      <c r="K244" s="50" t="str">
        <f>Portfolio!O243</f>
        <v/>
      </c>
      <c r="L244" s="96" t="str">
        <f>Portfolio!P243</f>
        <v/>
      </c>
      <c r="M244" s="96" t="str">
        <f>Portfolio!Q243</f>
        <v/>
      </c>
      <c r="N244" s="14" t="str">
        <f>Portfolio!R243</f>
        <v/>
      </c>
      <c r="O244" s="50" t="str">
        <f>Portfolio!S243</f>
        <v/>
      </c>
      <c r="Q244" s="50" t="str">
        <f>Portfolio!U243</f>
        <v/>
      </c>
      <c r="S244" s="50" t="str">
        <f>Portfolio!W243</f>
        <v/>
      </c>
      <c r="T244" s="50" t="str">
        <f>Portfolio!X243</f>
        <v/>
      </c>
      <c r="U244" s="50" t="str">
        <f>Portfolio!Y243</f>
        <v/>
      </c>
      <c r="V244" s="50" t="str">
        <f>Portfolio!Z243</f>
        <v/>
      </c>
      <c r="W244" s="14" t="str">
        <f>Portfolio!AA243</f>
        <v/>
      </c>
      <c r="X244" s="50" t="str">
        <f>Portfolio!AB243</f>
        <v/>
      </c>
      <c r="Y244" s="179" t="str">
        <f>Portfolio!AC243</f>
        <v/>
      </c>
      <c r="Z244" s="50" t="str">
        <f>Portfolio!AD243</f>
        <v/>
      </c>
      <c r="AA244" s="180" t="str">
        <f>Portfolio!AE243</f>
        <v/>
      </c>
    </row>
    <row r="245">
      <c r="A245" s="14" t="str">
        <f>Portfolio!A244</f>
        <v/>
      </c>
      <c r="B245" s="14" t="str">
        <f>Portfolio!B244</f>
        <v/>
      </c>
      <c r="C245" s="158" t="str">
        <f>Portfolio!C244</f>
        <v/>
      </c>
      <c r="D245" s="96" t="str">
        <f>Portfolio!D244</f>
        <v/>
      </c>
      <c r="E245" s="96" t="str">
        <f>Portfolio!E244</f>
        <v/>
      </c>
      <c r="F245" s="96" t="str">
        <f>Portfolio!G244</f>
        <v/>
      </c>
      <c r="G245" s="50" t="str">
        <f>Portfolio!H244</f>
        <v/>
      </c>
      <c r="H245" s="96" t="str">
        <f>Portfolio!I244</f>
        <v/>
      </c>
      <c r="I245" s="96" t="str">
        <f>Portfolio!J244</f>
        <v/>
      </c>
      <c r="J245" s="96" t="str">
        <f>Portfolio!K244</f>
        <v/>
      </c>
      <c r="K245" s="50" t="str">
        <f>Portfolio!O244</f>
        <v/>
      </c>
      <c r="L245" s="96" t="str">
        <f>Portfolio!P244</f>
        <v/>
      </c>
      <c r="M245" s="96" t="str">
        <f>Portfolio!Q244</f>
        <v/>
      </c>
      <c r="N245" s="14" t="str">
        <f>Portfolio!R244</f>
        <v/>
      </c>
      <c r="O245" s="50" t="str">
        <f>Portfolio!S244</f>
        <v/>
      </c>
      <c r="Q245" s="50" t="str">
        <f>Portfolio!U244</f>
        <v/>
      </c>
      <c r="S245" s="50" t="str">
        <f>Portfolio!W244</f>
        <v/>
      </c>
      <c r="T245" s="50" t="str">
        <f>Portfolio!X244</f>
        <v/>
      </c>
      <c r="U245" s="50" t="str">
        <f>Portfolio!Y244</f>
        <v/>
      </c>
      <c r="V245" s="50" t="str">
        <f>Portfolio!Z244</f>
        <v/>
      </c>
      <c r="W245" s="14" t="str">
        <f>Portfolio!AA244</f>
        <v/>
      </c>
      <c r="X245" s="50" t="str">
        <f>Portfolio!AB244</f>
        <v/>
      </c>
      <c r="Y245" s="179" t="str">
        <f>Portfolio!AC244</f>
        <v/>
      </c>
      <c r="Z245" s="50" t="str">
        <f>Portfolio!AD244</f>
        <v/>
      </c>
      <c r="AA245" s="180" t="str">
        <f>Portfolio!AE244</f>
        <v/>
      </c>
    </row>
    <row r="246">
      <c r="A246" s="14" t="str">
        <f>Portfolio!A245</f>
        <v/>
      </c>
      <c r="B246" s="14" t="str">
        <f>Portfolio!B245</f>
        <v/>
      </c>
      <c r="C246" s="158" t="str">
        <f>Portfolio!C245</f>
        <v/>
      </c>
      <c r="D246" s="96" t="str">
        <f>Portfolio!D245</f>
        <v/>
      </c>
      <c r="E246" s="96" t="str">
        <f>Portfolio!E245</f>
        <v/>
      </c>
      <c r="F246" s="96" t="str">
        <f>Portfolio!G245</f>
        <v/>
      </c>
      <c r="G246" s="50" t="str">
        <f>Portfolio!H245</f>
        <v/>
      </c>
      <c r="H246" s="96" t="str">
        <f>Portfolio!I245</f>
        <v/>
      </c>
      <c r="I246" s="96" t="str">
        <f>Portfolio!J245</f>
        <v/>
      </c>
      <c r="J246" s="96" t="str">
        <f>Portfolio!K245</f>
        <v/>
      </c>
      <c r="K246" s="50" t="str">
        <f>Portfolio!O245</f>
        <v/>
      </c>
      <c r="L246" s="96" t="str">
        <f>Portfolio!P245</f>
        <v/>
      </c>
      <c r="M246" s="96" t="str">
        <f>Portfolio!Q245</f>
        <v/>
      </c>
      <c r="N246" s="14" t="str">
        <f>Portfolio!R245</f>
        <v/>
      </c>
      <c r="O246" s="50" t="str">
        <f>Portfolio!S245</f>
        <v/>
      </c>
      <c r="Q246" s="50" t="str">
        <f>Portfolio!U245</f>
        <v/>
      </c>
      <c r="S246" s="50" t="str">
        <f>Portfolio!W245</f>
        <v/>
      </c>
      <c r="T246" s="50" t="str">
        <f>Portfolio!X245</f>
        <v/>
      </c>
      <c r="U246" s="50" t="str">
        <f>Portfolio!Y245</f>
        <v/>
      </c>
      <c r="V246" s="50" t="str">
        <f>Portfolio!Z245</f>
        <v/>
      </c>
      <c r="W246" s="14" t="str">
        <f>Portfolio!AA245</f>
        <v/>
      </c>
      <c r="X246" s="50" t="str">
        <f>Portfolio!AB245</f>
        <v/>
      </c>
      <c r="Y246" s="179" t="str">
        <f>Portfolio!AC245</f>
        <v/>
      </c>
      <c r="Z246" s="50" t="str">
        <f>Portfolio!AD245</f>
        <v/>
      </c>
      <c r="AA246" s="180" t="str">
        <f>Portfolio!AE245</f>
        <v/>
      </c>
    </row>
    <row r="247">
      <c r="A247" s="14" t="str">
        <f>Portfolio!A246</f>
        <v/>
      </c>
      <c r="B247" s="14" t="str">
        <f>Portfolio!B246</f>
        <v/>
      </c>
      <c r="C247" s="158" t="str">
        <f>Portfolio!C246</f>
        <v/>
      </c>
      <c r="D247" s="96" t="str">
        <f>Portfolio!D246</f>
        <v/>
      </c>
      <c r="E247" s="96" t="str">
        <f>Portfolio!E246</f>
        <v/>
      </c>
      <c r="F247" s="96" t="str">
        <f>Portfolio!G246</f>
        <v/>
      </c>
      <c r="G247" s="50" t="str">
        <f>Portfolio!H246</f>
        <v/>
      </c>
      <c r="H247" s="96" t="str">
        <f>Portfolio!I246</f>
        <v/>
      </c>
      <c r="I247" s="96" t="str">
        <f>Portfolio!J246</f>
        <v/>
      </c>
      <c r="J247" s="96" t="str">
        <f>Portfolio!K246</f>
        <v/>
      </c>
      <c r="K247" s="50" t="str">
        <f>Portfolio!O246</f>
        <v/>
      </c>
      <c r="L247" s="96" t="str">
        <f>Portfolio!P246</f>
        <v/>
      </c>
      <c r="M247" s="96" t="str">
        <f>Portfolio!Q246</f>
        <v/>
      </c>
      <c r="N247" s="14" t="str">
        <f>Portfolio!R246</f>
        <v/>
      </c>
      <c r="O247" s="50" t="str">
        <f>Portfolio!S246</f>
        <v/>
      </c>
      <c r="Q247" s="50" t="str">
        <f>Portfolio!U246</f>
        <v/>
      </c>
      <c r="S247" s="50" t="str">
        <f>Portfolio!W246</f>
        <v/>
      </c>
      <c r="T247" s="50" t="str">
        <f>Portfolio!X246</f>
        <v/>
      </c>
      <c r="U247" s="50" t="str">
        <f>Portfolio!Y246</f>
        <v/>
      </c>
      <c r="V247" s="50" t="str">
        <f>Portfolio!Z246</f>
        <v/>
      </c>
      <c r="W247" s="14" t="str">
        <f>Portfolio!AA246</f>
        <v/>
      </c>
      <c r="X247" s="50" t="str">
        <f>Portfolio!AB246</f>
        <v/>
      </c>
      <c r="Y247" s="179" t="str">
        <f>Portfolio!AC246</f>
        <v/>
      </c>
      <c r="Z247" s="50" t="str">
        <f>Portfolio!AD246</f>
        <v/>
      </c>
      <c r="AA247" s="180" t="str">
        <f>Portfolio!AE246</f>
        <v/>
      </c>
    </row>
    <row r="248">
      <c r="A248" s="14" t="str">
        <f>Portfolio!A247</f>
        <v/>
      </c>
      <c r="B248" s="14" t="str">
        <f>Portfolio!B247</f>
        <v/>
      </c>
      <c r="C248" s="158" t="str">
        <f>Portfolio!C247</f>
        <v/>
      </c>
      <c r="D248" s="96" t="str">
        <f>Portfolio!D247</f>
        <v/>
      </c>
      <c r="E248" s="96" t="str">
        <f>Portfolio!E247</f>
        <v/>
      </c>
      <c r="F248" s="96" t="str">
        <f>Portfolio!G247</f>
        <v/>
      </c>
      <c r="G248" s="50" t="str">
        <f>Portfolio!H247</f>
        <v/>
      </c>
      <c r="H248" s="96" t="str">
        <f>Portfolio!I247</f>
        <v/>
      </c>
      <c r="I248" s="96" t="str">
        <f>Portfolio!J247</f>
        <v/>
      </c>
      <c r="J248" s="96" t="str">
        <f>Portfolio!K247</f>
        <v/>
      </c>
      <c r="K248" s="50" t="str">
        <f>Portfolio!O247</f>
        <v/>
      </c>
      <c r="L248" s="96" t="str">
        <f>Portfolio!P247</f>
        <v/>
      </c>
      <c r="M248" s="96" t="str">
        <f>Portfolio!Q247</f>
        <v/>
      </c>
      <c r="N248" s="14" t="str">
        <f>Portfolio!R247</f>
        <v/>
      </c>
      <c r="O248" s="50" t="str">
        <f>Portfolio!S247</f>
        <v/>
      </c>
      <c r="Q248" s="50" t="str">
        <f>Portfolio!U247</f>
        <v/>
      </c>
      <c r="S248" s="50" t="str">
        <f>Portfolio!W247</f>
        <v/>
      </c>
      <c r="T248" s="50" t="str">
        <f>Portfolio!X247</f>
        <v/>
      </c>
      <c r="U248" s="50" t="str">
        <f>Portfolio!Y247</f>
        <v/>
      </c>
      <c r="V248" s="50" t="str">
        <f>Portfolio!Z247</f>
        <v/>
      </c>
      <c r="W248" s="14" t="str">
        <f>Portfolio!AA247</f>
        <v/>
      </c>
      <c r="X248" s="50" t="str">
        <f>Portfolio!AB247</f>
        <v/>
      </c>
      <c r="Y248" s="179" t="str">
        <f>Portfolio!AC247</f>
        <v/>
      </c>
      <c r="Z248" s="50" t="str">
        <f>Portfolio!AD247</f>
        <v/>
      </c>
      <c r="AA248" s="180" t="str">
        <f>Portfolio!AE247</f>
        <v/>
      </c>
    </row>
    <row r="249">
      <c r="A249" s="14" t="str">
        <f>Portfolio!A248</f>
        <v/>
      </c>
      <c r="B249" s="14" t="str">
        <f>Portfolio!B248</f>
        <v/>
      </c>
      <c r="C249" s="158" t="str">
        <f>Portfolio!C248</f>
        <v/>
      </c>
      <c r="D249" s="96" t="str">
        <f>Portfolio!D248</f>
        <v/>
      </c>
      <c r="E249" s="96" t="str">
        <f>Portfolio!E248</f>
        <v/>
      </c>
      <c r="F249" s="96" t="str">
        <f>Portfolio!G248</f>
        <v/>
      </c>
      <c r="G249" s="50" t="str">
        <f>Portfolio!H248</f>
        <v/>
      </c>
      <c r="H249" s="96" t="str">
        <f>Portfolio!I248</f>
        <v/>
      </c>
      <c r="I249" s="96" t="str">
        <f>Portfolio!J248</f>
        <v/>
      </c>
      <c r="J249" s="96" t="str">
        <f>Portfolio!K248</f>
        <v/>
      </c>
      <c r="K249" s="50" t="str">
        <f>Portfolio!O248</f>
        <v/>
      </c>
      <c r="L249" s="96" t="str">
        <f>Portfolio!P248</f>
        <v/>
      </c>
      <c r="M249" s="96" t="str">
        <f>Portfolio!Q248</f>
        <v/>
      </c>
      <c r="N249" s="14" t="str">
        <f>Portfolio!R248</f>
        <v/>
      </c>
      <c r="O249" s="50" t="str">
        <f>Portfolio!S248</f>
        <v/>
      </c>
      <c r="Q249" s="50" t="str">
        <f>Portfolio!U248</f>
        <v/>
      </c>
      <c r="S249" s="50" t="str">
        <f>Portfolio!W248</f>
        <v/>
      </c>
      <c r="T249" s="50" t="str">
        <f>Portfolio!X248</f>
        <v/>
      </c>
      <c r="U249" s="50" t="str">
        <f>Portfolio!Y248</f>
        <v/>
      </c>
      <c r="V249" s="50" t="str">
        <f>Portfolio!Z248</f>
        <v/>
      </c>
      <c r="W249" s="14" t="str">
        <f>Portfolio!AA248</f>
        <v/>
      </c>
      <c r="X249" s="50" t="str">
        <f>Portfolio!AB248</f>
        <v/>
      </c>
      <c r="Y249" s="179" t="str">
        <f>Portfolio!AC248</f>
        <v/>
      </c>
      <c r="Z249" s="50" t="str">
        <f>Portfolio!AD248</f>
        <v/>
      </c>
      <c r="AA249" s="180" t="str">
        <f>Portfolio!AE248</f>
        <v/>
      </c>
    </row>
    <row r="250">
      <c r="A250" s="14" t="str">
        <f>Portfolio!A249</f>
        <v/>
      </c>
      <c r="B250" s="14" t="str">
        <f>Portfolio!B249</f>
        <v/>
      </c>
      <c r="C250" s="158" t="str">
        <f>Portfolio!C249</f>
        <v/>
      </c>
      <c r="D250" s="96" t="str">
        <f>Portfolio!D249</f>
        <v/>
      </c>
      <c r="E250" s="96" t="str">
        <f>Portfolio!E249</f>
        <v/>
      </c>
      <c r="F250" s="96" t="str">
        <f>Portfolio!G249</f>
        <v/>
      </c>
      <c r="G250" s="50" t="str">
        <f>Portfolio!H249</f>
        <v/>
      </c>
      <c r="H250" s="96" t="str">
        <f>Portfolio!I249</f>
        <v/>
      </c>
      <c r="I250" s="96" t="str">
        <f>Portfolio!J249</f>
        <v/>
      </c>
      <c r="J250" s="96" t="str">
        <f>Portfolio!K249</f>
        <v/>
      </c>
      <c r="K250" s="50" t="str">
        <f>Portfolio!O249</f>
        <v/>
      </c>
      <c r="L250" s="96" t="str">
        <f>Portfolio!P249</f>
        <v/>
      </c>
      <c r="M250" s="96" t="str">
        <f>Portfolio!Q249</f>
        <v/>
      </c>
      <c r="N250" s="14" t="str">
        <f>Portfolio!R249</f>
        <v/>
      </c>
      <c r="O250" s="50" t="str">
        <f>Portfolio!S249</f>
        <v/>
      </c>
      <c r="Q250" s="50" t="str">
        <f>Portfolio!U249</f>
        <v/>
      </c>
      <c r="S250" s="50" t="str">
        <f>Portfolio!W249</f>
        <v/>
      </c>
      <c r="T250" s="50" t="str">
        <f>Portfolio!X249</f>
        <v/>
      </c>
      <c r="U250" s="50" t="str">
        <f>Portfolio!Y249</f>
        <v/>
      </c>
      <c r="V250" s="50" t="str">
        <f>Portfolio!Z249</f>
        <v/>
      </c>
      <c r="W250" s="14" t="str">
        <f>Portfolio!AA249</f>
        <v/>
      </c>
      <c r="X250" s="50" t="str">
        <f>Portfolio!AB249</f>
        <v/>
      </c>
      <c r="Y250" s="179" t="str">
        <f>Portfolio!AC249</f>
        <v/>
      </c>
      <c r="Z250" s="50" t="str">
        <f>Portfolio!AD249</f>
        <v/>
      </c>
      <c r="AA250" s="180" t="str">
        <f>Portfolio!AE249</f>
        <v/>
      </c>
    </row>
    <row r="251">
      <c r="A251" s="14" t="str">
        <f>Portfolio!A250</f>
        <v/>
      </c>
      <c r="B251" s="14" t="str">
        <f>Portfolio!B250</f>
        <v/>
      </c>
      <c r="C251" s="158" t="str">
        <f>Portfolio!C250</f>
        <v/>
      </c>
      <c r="D251" s="96" t="str">
        <f>Portfolio!D250</f>
        <v/>
      </c>
      <c r="E251" s="96" t="str">
        <f>Portfolio!E250</f>
        <v/>
      </c>
      <c r="F251" s="96" t="str">
        <f>Portfolio!G250</f>
        <v/>
      </c>
      <c r="G251" s="50" t="str">
        <f>Portfolio!H250</f>
        <v/>
      </c>
      <c r="H251" s="96" t="str">
        <f>Portfolio!I250</f>
        <v/>
      </c>
      <c r="I251" s="96" t="str">
        <f>Portfolio!J250</f>
        <v/>
      </c>
      <c r="J251" s="96" t="str">
        <f>Portfolio!K250</f>
        <v/>
      </c>
      <c r="K251" s="50" t="str">
        <f>Portfolio!O250</f>
        <v/>
      </c>
      <c r="L251" s="96" t="str">
        <f>Portfolio!P250</f>
        <v/>
      </c>
      <c r="M251" s="96" t="str">
        <f>Portfolio!Q250</f>
        <v/>
      </c>
      <c r="N251" s="14" t="str">
        <f>Portfolio!R250</f>
        <v/>
      </c>
      <c r="O251" s="50" t="str">
        <f>Portfolio!S250</f>
        <v/>
      </c>
      <c r="Q251" s="50" t="str">
        <f>Portfolio!U250</f>
        <v/>
      </c>
      <c r="S251" s="50" t="str">
        <f>Portfolio!W250</f>
        <v/>
      </c>
      <c r="T251" s="50" t="str">
        <f>Portfolio!X250</f>
        <v/>
      </c>
      <c r="U251" s="50" t="str">
        <f>Portfolio!Y250</f>
        <v/>
      </c>
      <c r="V251" s="50" t="str">
        <f>Portfolio!Z250</f>
        <v/>
      </c>
      <c r="W251" s="14" t="str">
        <f>Portfolio!AA250</f>
        <v/>
      </c>
      <c r="X251" s="50" t="str">
        <f>Portfolio!AB250</f>
        <v/>
      </c>
      <c r="Y251" s="179" t="str">
        <f>Portfolio!AC250</f>
        <v/>
      </c>
      <c r="Z251" s="50" t="str">
        <f>Portfolio!AD250</f>
        <v/>
      </c>
      <c r="AA251" s="180" t="str">
        <f>Portfolio!AE250</f>
        <v/>
      </c>
    </row>
    <row r="252">
      <c r="A252" s="14" t="str">
        <f>Portfolio!A251</f>
        <v/>
      </c>
      <c r="B252" s="14" t="str">
        <f>Portfolio!B251</f>
        <v/>
      </c>
      <c r="C252" s="158" t="str">
        <f>Portfolio!C251</f>
        <v/>
      </c>
      <c r="D252" s="96" t="str">
        <f>Portfolio!D251</f>
        <v/>
      </c>
      <c r="E252" s="96" t="str">
        <f>Portfolio!E251</f>
        <v/>
      </c>
      <c r="F252" s="96" t="str">
        <f>Portfolio!G251</f>
        <v/>
      </c>
      <c r="G252" s="50" t="str">
        <f>Portfolio!H251</f>
        <v/>
      </c>
      <c r="H252" s="96" t="str">
        <f>Portfolio!I251</f>
        <v/>
      </c>
      <c r="I252" s="96" t="str">
        <f>Portfolio!J251</f>
        <v/>
      </c>
      <c r="J252" s="96" t="str">
        <f>Portfolio!K251</f>
        <v/>
      </c>
      <c r="K252" s="50" t="str">
        <f>Portfolio!O251</f>
        <v/>
      </c>
      <c r="L252" s="96" t="str">
        <f>Portfolio!P251</f>
        <v/>
      </c>
      <c r="M252" s="96" t="str">
        <f>Portfolio!Q251</f>
        <v/>
      </c>
      <c r="N252" s="14" t="str">
        <f>Portfolio!R251</f>
        <v/>
      </c>
      <c r="O252" s="50" t="str">
        <f>Portfolio!S251</f>
        <v/>
      </c>
      <c r="Q252" s="50" t="str">
        <f>Portfolio!U251</f>
        <v/>
      </c>
      <c r="S252" s="50" t="str">
        <f>Portfolio!W251</f>
        <v/>
      </c>
      <c r="T252" s="50" t="str">
        <f>Portfolio!X251</f>
        <v/>
      </c>
      <c r="U252" s="50" t="str">
        <f>Portfolio!Y251</f>
        <v/>
      </c>
      <c r="V252" s="50" t="str">
        <f>Portfolio!Z251</f>
        <v/>
      </c>
      <c r="W252" s="14" t="str">
        <f>Portfolio!AA251</f>
        <v/>
      </c>
      <c r="X252" s="50" t="str">
        <f>Portfolio!AB251</f>
        <v/>
      </c>
      <c r="Y252" s="179" t="str">
        <f>Portfolio!AC251</f>
        <v/>
      </c>
      <c r="Z252" s="50" t="str">
        <f>Portfolio!AD251</f>
        <v/>
      </c>
      <c r="AA252" s="180" t="str">
        <f>Portfolio!AE251</f>
        <v/>
      </c>
    </row>
    <row r="253">
      <c r="A253" s="14" t="str">
        <f>Portfolio!A252</f>
        <v/>
      </c>
      <c r="B253" s="14" t="str">
        <f>Portfolio!B252</f>
        <v/>
      </c>
      <c r="C253" s="158" t="str">
        <f>Portfolio!C252</f>
        <v/>
      </c>
      <c r="D253" s="96" t="str">
        <f>Portfolio!D252</f>
        <v/>
      </c>
      <c r="E253" s="96" t="str">
        <f>Portfolio!E252</f>
        <v/>
      </c>
      <c r="F253" s="96" t="str">
        <f>Portfolio!G252</f>
        <v/>
      </c>
      <c r="G253" s="50" t="str">
        <f>Portfolio!H252</f>
        <v/>
      </c>
      <c r="H253" s="96" t="str">
        <f>Portfolio!I252</f>
        <v/>
      </c>
      <c r="I253" s="96" t="str">
        <f>Portfolio!J252</f>
        <v/>
      </c>
      <c r="J253" s="96" t="str">
        <f>Portfolio!K252</f>
        <v/>
      </c>
      <c r="K253" s="50" t="str">
        <f>Portfolio!O252</f>
        <v/>
      </c>
      <c r="L253" s="96" t="str">
        <f>Portfolio!P252</f>
        <v/>
      </c>
      <c r="M253" s="96" t="str">
        <f>Portfolio!Q252</f>
        <v/>
      </c>
      <c r="N253" s="14" t="str">
        <f>Portfolio!R252</f>
        <v/>
      </c>
      <c r="O253" s="50" t="str">
        <f>Portfolio!S252</f>
        <v/>
      </c>
      <c r="Q253" s="50" t="str">
        <f>Portfolio!U252</f>
        <v/>
      </c>
      <c r="S253" s="50" t="str">
        <f>Portfolio!W252</f>
        <v/>
      </c>
      <c r="T253" s="50" t="str">
        <f>Portfolio!X252</f>
        <v/>
      </c>
      <c r="U253" s="50" t="str">
        <f>Portfolio!Y252</f>
        <v/>
      </c>
      <c r="V253" s="50" t="str">
        <f>Portfolio!Z252</f>
        <v/>
      </c>
      <c r="W253" s="14" t="str">
        <f>Portfolio!AA252</f>
        <v/>
      </c>
      <c r="X253" s="50" t="str">
        <f>Portfolio!AB252</f>
        <v/>
      </c>
      <c r="Y253" s="179" t="str">
        <f>Portfolio!AC252</f>
        <v/>
      </c>
      <c r="Z253" s="50" t="str">
        <f>Portfolio!AD252</f>
        <v/>
      </c>
      <c r="AA253" s="180" t="str">
        <f>Portfolio!AE252</f>
        <v/>
      </c>
    </row>
    <row r="254">
      <c r="A254" s="14" t="str">
        <f>Portfolio!A253</f>
        <v/>
      </c>
      <c r="B254" s="14" t="str">
        <f>Portfolio!B253</f>
        <v/>
      </c>
      <c r="C254" s="158" t="str">
        <f>Portfolio!C253</f>
        <v/>
      </c>
      <c r="D254" s="96" t="str">
        <f>Portfolio!D253</f>
        <v/>
      </c>
      <c r="E254" s="96" t="str">
        <f>Portfolio!E253</f>
        <v/>
      </c>
      <c r="F254" s="96" t="str">
        <f>Portfolio!G253</f>
        <v/>
      </c>
      <c r="G254" s="50" t="str">
        <f>Portfolio!H253</f>
        <v/>
      </c>
      <c r="H254" s="96" t="str">
        <f>Portfolio!I253</f>
        <v/>
      </c>
      <c r="I254" s="96" t="str">
        <f>Portfolio!J253</f>
        <v/>
      </c>
      <c r="J254" s="96" t="str">
        <f>Portfolio!K253</f>
        <v/>
      </c>
      <c r="K254" s="50" t="str">
        <f>Portfolio!O253</f>
        <v/>
      </c>
      <c r="L254" s="96" t="str">
        <f>Portfolio!P253</f>
        <v/>
      </c>
      <c r="M254" s="96" t="str">
        <f>Portfolio!Q253</f>
        <v/>
      </c>
      <c r="N254" s="14" t="str">
        <f>Portfolio!R253</f>
        <v/>
      </c>
      <c r="O254" s="50" t="str">
        <f>Portfolio!S253</f>
        <v/>
      </c>
      <c r="Q254" s="50" t="str">
        <f>Portfolio!U253</f>
        <v/>
      </c>
      <c r="S254" s="50" t="str">
        <f>Portfolio!W253</f>
        <v/>
      </c>
      <c r="T254" s="50" t="str">
        <f>Portfolio!X253</f>
        <v/>
      </c>
      <c r="U254" s="50" t="str">
        <f>Portfolio!Y253</f>
        <v/>
      </c>
      <c r="V254" s="50" t="str">
        <f>Portfolio!Z253</f>
        <v/>
      </c>
      <c r="W254" s="14" t="str">
        <f>Portfolio!AA253</f>
        <v/>
      </c>
      <c r="X254" s="50" t="str">
        <f>Portfolio!AB253</f>
        <v/>
      </c>
      <c r="Y254" s="179" t="str">
        <f>Portfolio!AC253</f>
        <v/>
      </c>
      <c r="Z254" s="50" t="str">
        <f>Portfolio!AD253</f>
        <v/>
      </c>
      <c r="AA254" s="180" t="str">
        <f>Portfolio!AE253</f>
        <v/>
      </c>
    </row>
    <row r="255">
      <c r="A255" s="14" t="str">
        <f>Portfolio!A254</f>
        <v/>
      </c>
      <c r="B255" s="14" t="str">
        <f>Portfolio!B254</f>
        <v/>
      </c>
      <c r="C255" s="158" t="str">
        <f>Portfolio!C254</f>
        <v/>
      </c>
      <c r="D255" s="96" t="str">
        <f>Portfolio!D254</f>
        <v/>
      </c>
      <c r="E255" s="96" t="str">
        <f>Portfolio!E254</f>
        <v/>
      </c>
      <c r="F255" s="96" t="str">
        <f>Portfolio!G254</f>
        <v/>
      </c>
      <c r="G255" s="50" t="str">
        <f>Portfolio!H254</f>
        <v/>
      </c>
      <c r="H255" s="96" t="str">
        <f>Portfolio!I254</f>
        <v/>
      </c>
      <c r="I255" s="96" t="str">
        <f>Portfolio!J254</f>
        <v/>
      </c>
      <c r="J255" s="96" t="str">
        <f>Portfolio!K254</f>
        <v/>
      </c>
      <c r="K255" s="50" t="str">
        <f>Portfolio!O254</f>
        <v/>
      </c>
      <c r="L255" s="96" t="str">
        <f>Portfolio!P254</f>
        <v/>
      </c>
      <c r="M255" s="96" t="str">
        <f>Portfolio!Q254</f>
        <v/>
      </c>
      <c r="N255" s="14" t="str">
        <f>Portfolio!R254</f>
        <v/>
      </c>
      <c r="O255" s="50" t="str">
        <f>Portfolio!S254</f>
        <v/>
      </c>
      <c r="Q255" s="50" t="str">
        <f>Portfolio!U254</f>
        <v/>
      </c>
      <c r="S255" s="50" t="str">
        <f>Portfolio!W254</f>
        <v/>
      </c>
      <c r="T255" s="50" t="str">
        <f>Portfolio!X254</f>
        <v/>
      </c>
      <c r="U255" s="50" t="str">
        <f>Portfolio!Y254</f>
        <v/>
      </c>
      <c r="V255" s="50" t="str">
        <f>Portfolio!Z254</f>
        <v/>
      </c>
      <c r="W255" s="14" t="str">
        <f>Portfolio!AA254</f>
        <v/>
      </c>
      <c r="X255" s="50" t="str">
        <f>Portfolio!AB254</f>
        <v/>
      </c>
      <c r="Y255" s="179" t="str">
        <f>Portfolio!AC254</f>
        <v/>
      </c>
      <c r="Z255" s="50" t="str">
        <f>Portfolio!AD254</f>
        <v/>
      </c>
      <c r="AA255" s="180" t="str">
        <f>Portfolio!AE254</f>
        <v/>
      </c>
    </row>
    <row r="256">
      <c r="A256" s="14" t="str">
        <f>Portfolio!A255</f>
        <v/>
      </c>
      <c r="B256" s="14" t="str">
        <f>Portfolio!B255</f>
        <v/>
      </c>
      <c r="C256" s="158" t="str">
        <f>Portfolio!C255</f>
        <v/>
      </c>
      <c r="D256" s="96" t="str">
        <f>Portfolio!D255</f>
        <v/>
      </c>
      <c r="E256" s="96" t="str">
        <f>Portfolio!E255</f>
        <v/>
      </c>
      <c r="F256" s="96" t="str">
        <f>Portfolio!G255</f>
        <v/>
      </c>
      <c r="G256" s="50" t="str">
        <f>Portfolio!H255</f>
        <v/>
      </c>
      <c r="H256" s="96" t="str">
        <f>Portfolio!I255</f>
        <v/>
      </c>
      <c r="I256" s="96" t="str">
        <f>Portfolio!J255</f>
        <v/>
      </c>
      <c r="J256" s="96" t="str">
        <f>Portfolio!K255</f>
        <v/>
      </c>
      <c r="K256" s="50" t="str">
        <f>Portfolio!O255</f>
        <v/>
      </c>
      <c r="L256" s="96" t="str">
        <f>Portfolio!P255</f>
        <v/>
      </c>
      <c r="M256" s="96" t="str">
        <f>Portfolio!Q255</f>
        <v/>
      </c>
      <c r="N256" s="14" t="str">
        <f>Portfolio!R255</f>
        <v/>
      </c>
      <c r="O256" s="50" t="str">
        <f>Portfolio!S255</f>
        <v/>
      </c>
      <c r="Q256" s="50" t="str">
        <f>Portfolio!U255</f>
        <v/>
      </c>
      <c r="S256" s="50" t="str">
        <f>Portfolio!W255</f>
        <v/>
      </c>
      <c r="T256" s="50" t="str">
        <f>Portfolio!X255</f>
        <v/>
      </c>
      <c r="U256" s="50" t="str">
        <f>Portfolio!Y255</f>
        <v/>
      </c>
      <c r="V256" s="50" t="str">
        <f>Portfolio!Z255</f>
        <v/>
      </c>
      <c r="W256" s="14" t="str">
        <f>Portfolio!AA255</f>
        <v/>
      </c>
      <c r="X256" s="50" t="str">
        <f>Portfolio!AB255</f>
        <v/>
      </c>
      <c r="Y256" s="179" t="str">
        <f>Portfolio!AC255</f>
        <v/>
      </c>
      <c r="Z256" s="50" t="str">
        <f>Portfolio!AD255</f>
        <v/>
      </c>
      <c r="AA256" s="180" t="str">
        <f>Portfolio!AE255</f>
        <v/>
      </c>
    </row>
    <row r="257">
      <c r="A257" s="14" t="str">
        <f>Portfolio!A256</f>
        <v/>
      </c>
      <c r="B257" s="14" t="str">
        <f>Portfolio!B256</f>
        <v/>
      </c>
      <c r="C257" s="158" t="str">
        <f>Portfolio!C256</f>
        <v/>
      </c>
      <c r="D257" s="96" t="str">
        <f>Portfolio!D256</f>
        <v/>
      </c>
      <c r="E257" s="96" t="str">
        <f>Portfolio!E256</f>
        <v/>
      </c>
      <c r="F257" s="96" t="str">
        <f>Portfolio!G256</f>
        <v/>
      </c>
      <c r="G257" s="50" t="str">
        <f>Portfolio!H256</f>
        <v/>
      </c>
      <c r="H257" s="96" t="str">
        <f>Portfolio!I256</f>
        <v/>
      </c>
      <c r="I257" s="96" t="str">
        <f>Portfolio!J256</f>
        <v/>
      </c>
      <c r="J257" s="96" t="str">
        <f>Portfolio!K256</f>
        <v/>
      </c>
      <c r="K257" s="50" t="str">
        <f>Portfolio!O256</f>
        <v/>
      </c>
      <c r="L257" s="96" t="str">
        <f>Portfolio!P256</f>
        <v/>
      </c>
      <c r="M257" s="96" t="str">
        <f>Portfolio!Q256</f>
        <v/>
      </c>
      <c r="N257" s="14" t="str">
        <f>Portfolio!R256</f>
        <v/>
      </c>
      <c r="O257" s="50" t="str">
        <f>Portfolio!S256</f>
        <v/>
      </c>
      <c r="Q257" s="50" t="str">
        <f>Portfolio!U256</f>
        <v/>
      </c>
      <c r="S257" s="50" t="str">
        <f>Portfolio!W256</f>
        <v/>
      </c>
      <c r="T257" s="50" t="str">
        <f>Portfolio!X256</f>
        <v/>
      </c>
      <c r="U257" s="50" t="str">
        <f>Portfolio!Y256</f>
        <v/>
      </c>
      <c r="V257" s="50" t="str">
        <f>Portfolio!Z256</f>
        <v/>
      </c>
      <c r="W257" s="14" t="str">
        <f>Portfolio!AA256</f>
        <v/>
      </c>
      <c r="X257" s="50" t="str">
        <f>Portfolio!AB256</f>
        <v/>
      </c>
      <c r="Y257" s="179" t="str">
        <f>Portfolio!AC256</f>
        <v/>
      </c>
      <c r="Z257" s="50" t="str">
        <f>Portfolio!AD256</f>
        <v/>
      </c>
      <c r="AA257" s="180" t="str">
        <f>Portfolio!AE256</f>
        <v/>
      </c>
    </row>
    <row r="258">
      <c r="A258" s="14" t="str">
        <f>Portfolio!A257</f>
        <v/>
      </c>
      <c r="B258" s="14" t="str">
        <f>Portfolio!B257</f>
        <v/>
      </c>
      <c r="C258" s="158" t="str">
        <f>Portfolio!C257</f>
        <v/>
      </c>
      <c r="D258" s="96" t="str">
        <f>Portfolio!D257</f>
        <v/>
      </c>
      <c r="E258" s="96" t="str">
        <f>Portfolio!E257</f>
        <v/>
      </c>
      <c r="F258" s="96" t="str">
        <f>Portfolio!G257</f>
        <v/>
      </c>
      <c r="G258" s="50" t="str">
        <f>Portfolio!H257</f>
        <v/>
      </c>
      <c r="H258" s="96" t="str">
        <f>Portfolio!I257</f>
        <v/>
      </c>
      <c r="I258" s="96" t="str">
        <f>Portfolio!J257</f>
        <v/>
      </c>
      <c r="J258" s="96" t="str">
        <f>Portfolio!K257</f>
        <v/>
      </c>
      <c r="K258" s="50" t="str">
        <f>Portfolio!O257</f>
        <v/>
      </c>
      <c r="L258" s="96" t="str">
        <f>Portfolio!P257</f>
        <v/>
      </c>
      <c r="M258" s="96" t="str">
        <f>Portfolio!Q257</f>
        <v/>
      </c>
      <c r="N258" s="14" t="str">
        <f>Portfolio!R257</f>
        <v/>
      </c>
      <c r="O258" s="50" t="str">
        <f>Portfolio!S257</f>
        <v/>
      </c>
      <c r="Q258" s="50" t="str">
        <f>Portfolio!U257</f>
        <v/>
      </c>
      <c r="S258" s="50" t="str">
        <f>Portfolio!W257</f>
        <v/>
      </c>
      <c r="T258" s="50" t="str">
        <f>Portfolio!X257</f>
        <v/>
      </c>
      <c r="U258" s="50" t="str">
        <f>Portfolio!Y257</f>
        <v/>
      </c>
      <c r="V258" s="50" t="str">
        <f>Portfolio!Z257</f>
        <v/>
      </c>
      <c r="W258" s="14" t="str">
        <f>Portfolio!AA257</f>
        <v/>
      </c>
      <c r="X258" s="50" t="str">
        <f>Portfolio!AB257</f>
        <v/>
      </c>
      <c r="Y258" s="179" t="str">
        <f>Portfolio!AC257</f>
        <v/>
      </c>
      <c r="Z258" s="50" t="str">
        <f>Portfolio!AD257</f>
        <v/>
      </c>
      <c r="AA258" s="180" t="str">
        <f>Portfolio!AE257</f>
        <v/>
      </c>
    </row>
    <row r="259">
      <c r="A259" s="14" t="str">
        <f>Portfolio!A258</f>
        <v/>
      </c>
      <c r="B259" s="14" t="str">
        <f>Portfolio!B258</f>
        <v/>
      </c>
      <c r="C259" s="158" t="str">
        <f>Portfolio!C258</f>
        <v/>
      </c>
      <c r="D259" s="96" t="str">
        <f>Portfolio!D258</f>
        <v/>
      </c>
      <c r="E259" s="96" t="str">
        <f>Portfolio!E258</f>
        <v/>
      </c>
      <c r="F259" s="96" t="str">
        <f>Portfolio!G258</f>
        <v/>
      </c>
      <c r="G259" s="50" t="str">
        <f>Portfolio!H258</f>
        <v/>
      </c>
      <c r="H259" s="96" t="str">
        <f>Portfolio!I258</f>
        <v/>
      </c>
      <c r="I259" s="96" t="str">
        <f>Portfolio!J258</f>
        <v/>
      </c>
      <c r="J259" s="96" t="str">
        <f>Portfolio!K258</f>
        <v/>
      </c>
      <c r="K259" s="50" t="str">
        <f>Portfolio!O258</f>
        <v/>
      </c>
      <c r="L259" s="96" t="str">
        <f>Portfolio!P258</f>
        <v/>
      </c>
      <c r="M259" s="96" t="str">
        <f>Portfolio!Q258</f>
        <v/>
      </c>
      <c r="N259" s="14" t="str">
        <f>Portfolio!R258</f>
        <v/>
      </c>
      <c r="O259" s="50" t="str">
        <f>Portfolio!S258</f>
        <v/>
      </c>
      <c r="Q259" s="50" t="str">
        <f>Portfolio!U258</f>
        <v/>
      </c>
      <c r="S259" s="50" t="str">
        <f>Portfolio!W258</f>
        <v/>
      </c>
      <c r="T259" s="50" t="str">
        <f>Portfolio!X258</f>
        <v/>
      </c>
      <c r="U259" s="50" t="str">
        <f>Portfolio!Y258</f>
        <v/>
      </c>
      <c r="V259" s="50" t="str">
        <f>Portfolio!Z258</f>
        <v/>
      </c>
      <c r="W259" s="14" t="str">
        <f>Portfolio!AA258</f>
        <v/>
      </c>
      <c r="X259" s="50" t="str">
        <f>Portfolio!AB258</f>
        <v/>
      </c>
      <c r="Y259" s="179" t="str">
        <f>Portfolio!AC258</f>
        <v/>
      </c>
      <c r="Z259" s="50" t="str">
        <f>Portfolio!AD258</f>
        <v/>
      </c>
      <c r="AA259" s="180" t="str">
        <f>Portfolio!AE258</f>
        <v/>
      </c>
    </row>
    <row r="260">
      <c r="A260" s="14" t="str">
        <f>Portfolio!A259</f>
        <v/>
      </c>
      <c r="B260" s="14" t="str">
        <f>Portfolio!B259</f>
        <v/>
      </c>
      <c r="C260" s="158" t="str">
        <f>Portfolio!C259</f>
        <v/>
      </c>
      <c r="D260" s="96" t="str">
        <f>Portfolio!D259</f>
        <v/>
      </c>
      <c r="E260" s="96" t="str">
        <f>Portfolio!E259</f>
        <v/>
      </c>
      <c r="F260" s="96" t="str">
        <f>Portfolio!G259</f>
        <v/>
      </c>
      <c r="G260" s="50" t="str">
        <f>Portfolio!H259</f>
        <v/>
      </c>
      <c r="H260" s="96" t="str">
        <f>Portfolio!I259</f>
        <v/>
      </c>
      <c r="I260" s="96" t="str">
        <f>Portfolio!J259</f>
        <v/>
      </c>
      <c r="J260" s="96" t="str">
        <f>Portfolio!K259</f>
        <v/>
      </c>
      <c r="K260" s="50" t="str">
        <f>Portfolio!O259</f>
        <v/>
      </c>
      <c r="L260" s="96" t="str">
        <f>Portfolio!P259</f>
        <v/>
      </c>
      <c r="M260" s="96" t="str">
        <f>Portfolio!Q259</f>
        <v/>
      </c>
      <c r="N260" s="14" t="str">
        <f>Portfolio!R259</f>
        <v/>
      </c>
      <c r="O260" s="50" t="str">
        <f>Portfolio!S259</f>
        <v/>
      </c>
      <c r="Q260" s="50" t="str">
        <f>Portfolio!U259</f>
        <v/>
      </c>
      <c r="S260" s="50" t="str">
        <f>Portfolio!W259</f>
        <v/>
      </c>
      <c r="T260" s="50" t="str">
        <f>Portfolio!X259</f>
        <v/>
      </c>
      <c r="U260" s="50" t="str">
        <f>Portfolio!Y259</f>
        <v/>
      </c>
      <c r="V260" s="50" t="str">
        <f>Portfolio!Z259</f>
        <v/>
      </c>
      <c r="W260" s="14" t="str">
        <f>Portfolio!AA259</f>
        <v/>
      </c>
      <c r="X260" s="50" t="str">
        <f>Portfolio!AB259</f>
        <v/>
      </c>
      <c r="Y260" s="179" t="str">
        <f>Portfolio!AC259</f>
        <v/>
      </c>
      <c r="Z260" s="50" t="str">
        <f>Portfolio!AD259</f>
        <v/>
      </c>
      <c r="AA260" s="180" t="str">
        <f>Portfolio!AE259</f>
        <v/>
      </c>
    </row>
    <row r="261">
      <c r="A261" s="14" t="str">
        <f>Portfolio!A260</f>
        <v/>
      </c>
      <c r="B261" s="14" t="str">
        <f>Portfolio!B260</f>
        <v/>
      </c>
      <c r="C261" s="158" t="str">
        <f>Portfolio!C260</f>
        <v/>
      </c>
      <c r="D261" s="96" t="str">
        <f>Portfolio!D260</f>
        <v/>
      </c>
      <c r="E261" s="96" t="str">
        <f>Portfolio!E260</f>
        <v/>
      </c>
      <c r="F261" s="96" t="str">
        <f>Portfolio!G260</f>
        <v/>
      </c>
      <c r="G261" s="50" t="str">
        <f>Portfolio!H260</f>
        <v/>
      </c>
      <c r="H261" s="96" t="str">
        <f>Portfolio!I260</f>
        <v/>
      </c>
      <c r="I261" s="96" t="str">
        <f>Portfolio!J260</f>
        <v/>
      </c>
      <c r="J261" s="96" t="str">
        <f>Portfolio!K260</f>
        <v/>
      </c>
      <c r="K261" s="50" t="str">
        <f>Portfolio!O260</f>
        <v/>
      </c>
      <c r="L261" s="96" t="str">
        <f>Portfolio!P260</f>
        <v/>
      </c>
      <c r="M261" s="96" t="str">
        <f>Portfolio!Q260</f>
        <v/>
      </c>
      <c r="N261" s="14" t="str">
        <f>Portfolio!R260</f>
        <v/>
      </c>
      <c r="O261" s="50" t="str">
        <f>Portfolio!S260</f>
        <v/>
      </c>
      <c r="Q261" s="50" t="str">
        <f>Portfolio!U260</f>
        <v/>
      </c>
      <c r="S261" s="50" t="str">
        <f>Portfolio!W260</f>
        <v/>
      </c>
      <c r="T261" s="50" t="str">
        <f>Portfolio!X260</f>
        <v/>
      </c>
      <c r="U261" s="50" t="str">
        <f>Portfolio!Y260</f>
        <v/>
      </c>
      <c r="V261" s="50" t="str">
        <f>Portfolio!Z260</f>
        <v/>
      </c>
      <c r="W261" s="14" t="str">
        <f>Portfolio!AA260</f>
        <v/>
      </c>
      <c r="X261" s="50" t="str">
        <f>Portfolio!AB260</f>
        <v/>
      </c>
      <c r="Y261" s="179" t="str">
        <f>Portfolio!AC260</f>
        <v/>
      </c>
      <c r="Z261" s="50" t="str">
        <f>Portfolio!AD260</f>
        <v/>
      </c>
      <c r="AA261" s="180" t="str">
        <f>Portfolio!AE260</f>
        <v/>
      </c>
    </row>
    <row r="262">
      <c r="A262" s="14" t="str">
        <f>Portfolio!A261</f>
        <v/>
      </c>
      <c r="B262" s="14" t="str">
        <f>Portfolio!B261</f>
        <v/>
      </c>
      <c r="C262" s="158" t="str">
        <f>Portfolio!C261</f>
        <v/>
      </c>
      <c r="D262" s="96" t="str">
        <f>Portfolio!D261</f>
        <v/>
      </c>
      <c r="E262" s="96" t="str">
        <f>Portfolio!E261</f>
        <v/>
      </c>
      <c r="F262" s="96" t="str">
        <f>Portfolio!G261</f>
        <v/>
      </c>
      <c r="G262" s="50" t="str">
        <f>Portfolio!H261</f>
        <v/>
      </c>
      <c r="H262" s="96" t="str">
        <f>Portfolio!I261</f>
        <v/>
      </c>
      <c r="I262" s="96" t="str">
        <f>Portfolio!J261</f>
        <v/>
      </c>
      <c r="J262" s="96" t="str">
        <f>Portfolio!K261</f>
        <v/>
      </c>
      <c r="K262" s="50" t="str">
        <f>Portfolio!O261</f>
        <v/>
      </c>
      <c r="L262" s="96" t="str">
        <f>Portfolio!P261</f>
        <v/>
      </c>
      <c r="M262" s="96" t="str">
        <f>Portfolio!Q261</f>
        <v/>
      </c>
      <c r="N262" s="14" t="str">
        <f>Portfolio!R261</f>
        <v/>
      </c>
      <c r="O262" s="50" t="str">
        <f>Portfolio!S261</f>
        <v/>
      </c>
      <c r="Q262" s="50" t="str">
        <f>Portfolio!U261</f>
        <v/>
      </c>
      <c r="S262" s="50" t="str">
        <f>Portfolio!W261</f>
        <v/>
      </c>
      <c r="T262" s="50" t="str">
        <f>Portfolio!X261</f>
        <v/>
      </c>
      <c r="U262" s="50" t="str">
        <f>Portfolio!Y261</f>
        <v/>
      </c>
      <c r="V262" s="50" t="str">
        <f>Portfolio!Z261</f>
        <v/>
      </c>
      <c r="W262" s="14" t="str">
        <f>Portfolio!AA261</f>
        <v/>
      </c>
      <c r="X262" s="50" t="str">
        <f>Portfolio!AB261</f>
        <v/>
      </c>
      <c r="Y262" s="179" t="str">
        <f>Portfolio!AC261</f>
        <v/>
      </c>
      <c r="Z262" s="50" t="str">
        <f>Portfolio!AD261</f>
        <v/>
      </c>
      <c r="AA262" s="180" t="str">
        <f>Portfolio!AE261</f>
        <v/>
      </c>
    </row>
    <row r="263">
      <c r="A263" s="14" t="str">
        <f>Portfolio!A262</f>
        <v/>
      </c>
      <c r="B263" s="14" t="str">
        <f>Portfolio!B262</f>
        <v/>
      </c>
      <c r="C263" s="158" t="str">
        <f>Portfolio!C262</f>
        <v/>
      </c>
      <c r="D263" s="96" t="str">
        <f>Portfolio!D262</f>
        <v/>
      </c>
      <c r="E263" s="96" t="str">
        <f>Portfolio!E262</f>
        <v/>
      </c>
      <c r="F263" s="96" t="str">
        <f>Portfolio!G262</f>
        <v/>
      </c>
      <c r="G263" s="50" t="str">
        <f>Portfolio!H262</f>
        <v/>
      </c>
      <c r="H263" s="96" t="str">
        <f>Portfolio!I262</f>
        <v/>
      </c>
      <c r="I263" s="96" t="str">
        <f>Portfolio!J262</f>
        <v/>
      </c>
      <c r="J263" s="96" t="str">
        <f>Portfolio!K262</f>
        <v/>
      </c>
      <c r="K263" s="50" t="str">
        <f>Portfolio!O262</f>
        <v/>
      </c>
      <c r="L263" s="96" t="str">
        <f>Portfolio!P262</f>
        <v/>
      </c>
      <c r="M263" s="96" t="str">
        <f>Portfolio!Q262</f>
        <v/>
      </c>
      <c r="N263" s="14" t="str">
        <f>Portfolio!R262</f>
        <v/>
      </c>
      <c r="O263" s="50" t="str">
        <f>Portfolio!S262</f>
        <v/>
      </c>
      <c r="Q263" s="50" t="str">
        <f>Portfolio!U262</f>
        <v/>
      </c>
      <c r="S263" s="50" t="str">
        <f>Portfolio!W262</f>
        <v/>
      </c>
      <c r="T263" s="50" t="str">
        <f>Portfolio!X262</f>
        <v/>
      </c>
      <c r="U263" s="50" t="str">
        <f>Portfolio!Y262</f>
        <v/>
      </c>
      <c r="V263" s="50" t="str">
        <f>Portfolio!Z262</f>
        <v/>
      </c>
      <c r="W263" s="14" t="str">
        <f>Portfolio!AA262</f>
        <v/>
      </c>
      <c r="X263" s="50" t="str">
        <f>Portfolio!AB262</f>
        <v/>
      </c>
      <c r="Y263" s="179" t="str">
        <f>Portfolio!AC262</f>
        <v/>
      </c>
      <c r="Z263" s="50" t="str">
        <f>Portfolio!AD262</f>
        <v/>
      </c>
      <c r="AA263" s="180" t="str">
        <f>Portfolio!AE262</f>
        <v/>
      </c>
    </row>
    <row r="264">
      <c r="A264" s="14" t="str">
        <f>Portfolio!A263</f>
        <v/>
      </c>
      <c r="B264" s="14" t="str">
        <f>Portfolio!B263</f>
        <v/>
      </c>
      <c r="C264" s="158" t="str">
        <f>Portfolio!C263</f>
        <v/>
      </c>
      <c r="D264" s="96" t="str">
        <f>Portfolio!D263</f>
        <v/>
      </c>
      <c r="E264" s="96" t="str">
        <f>Portfolio!E263</f>
        <v/>
      </c>
      <c r="F264" s="96" t="str">
        <f>Portfolio!G263</f>
        <v/>
      </c>
      <c r="G264" s="50" t="str">
        <f>Portfolio!H263</f>
        <v/>
      </c>
      <c r="H264" s="96" t="str">
        <f>Portfolio!I263</f>
        <v/>
      </c>
      <c r="I264" s="96" t="str">
        <f>Portfolio!J263</f>
        <v/>
      </c>
      <c r="J264" s="96" t="str">
        <f>Portfolio!K263</f>
        <v/>
      </c>
      <c r="K264" s="50" t="str">
        <f>Portfolio!O263</f>
        <v/>
      </c>
      <c r="L264" s="96" t="str">
        <f>Portfolio!P263</f>
        <v/>
      </c>
      <c r="M264" s="96" t="str">
        <f>Portfolio!Q263</f>
        <v/>
      </c>
      <c r="N264" s="14" t="str">
        <f>Portfolio!R263</f>
        <v/>
      </c>
      <c r="O264" s="50" t="str">
        <f>Portfolio!S263</f>
        <v/>
      </c>
      <c r="Q264" s="50" t="str">
        <f>Portfolio!U263</f>
        <v/>
      </c>
      <c r="S264" s="50" t="str">
        <f>Portfolio!W263</f>
        <v/>
      </c>
      <c r="T264" s="50" t="str">
        <f>Portfolio!X263</f>
        <v/>
      </c>
      <c r="U264" s="50" t="str">
        <f>Portfolio!Y263</f>
        <v/>
      </c>
      <c r="V264" s="50" t="str">
        <f>Portfolio!Z263</f>
        <v/>
      </c>
      <c r="W264" s="14" t="str">
        <f>Portfolio!AA263</f>
        <v/>
      </c>
      <c r="X264" s="50" t="str">
        <f>Portfolio!AB263</f>
        <v/>
      </c>
      <c r="Y264" s="179" t="str">
        <f>Portfolio!AC263</f>
        <v/>
      </c>
      <c r="Z264" s="50" t="str">
        <f>Portfolio!AD263</f>
        <v/>
      </c>
      <c r="AA264" s="180" t="str">
        <f>Portfolio!AE263</f>
        <v/>
      </c>
    </row>
    <row r="265">
      <c r="A265" s="14" t="str">
        <f>Portfolio!A264</f>
        <v/>
      </c>
      <c r="B265" s="14" t="str">
        <f>Portfolio!B264</f>
        <v/>
      </c>
      <c r="C265" s="158" t="str">
        <f>Portfolio!C264</f>
        <v/>
      </c>
      <c r="D265" s="96" t="str">
        <f>Portfolio!D264</f>
        <v/>
      </c>
      <c r="E265" s="96" t="str">
        <f>Portfolio!E264</f>
        <v/>
      </c>
      <c r="F265" s="96" t="str">
        <f>Portfolio!G264</f>
        <v/>
      </c>
      <c r="G265" s="50" t="str">
        <f>Portfolio!H264</f>
        <v/>
      </c>
      <c r="H265" s="96" t="str">
        <f>Portfolio!I264</f>
        <v/>
      </c>
      <c r="I265" s="96" t="str">
        <f>Portfolio!J264</f>
        <v/>
      </c>
      <c r="J265" s="96" t="str">
        <f>Portfolio!K264</f>
        <v/>
      </c>
      <c r="K265" s="50" t="str">
        <f>Portfolio!O264</f>
        <v/>
      </c>
      <c r="L265" s="96" t="str">
        <f>Portfolio!P264</f>
        <v/>
      </c>
      <c r="M265" s="96" t="str">
        <f>Portfolio!Q264</f>
        <v/>
      </c>
      <c r="N265" s="14" t="str">
        <f>Portfolio!R264</f>
        <v/>
      </c>
      <c r="O265" s="50" t="str">
        <f>Portfolio!S264</f>
        <v/>
      </c>
      <c r="Q265" s="50" t="str">
        <f>Portfolio!U264</f>
        <v/>
      </c>
      <c r="S265" s="50" t="str">
        <f>Portfolio!W264</f>
        <v/>
      </c>
      <c r="T265" s="50" t="str">
        <f>Portfolio!X264</f>
        <v/>
      </c>
      <c r="U265" s="50" t="str">
        <f>Portfolio!Y264</f>
        <v/>
      </c>
      <c r="V265" s="50" t="str">
        <f>Portfolio!Z264</f>
        <v/>
      </c>
      <c r="W265" s="14" t="str">
        <f>Portfolio!AA264</f>
        <v/>
      </c>
      <c r="X265" s="50" t="str">
        <f>Portfolio!AB264</f>
        <v/>
      </c>
      <c r="Y265" s="179" t="str">
        <f>Portfolio!AC264</f>
        <v/>
      </c>
      <c r="Z265" s="50" t="str">
        <f>Portfolio!AD264</f>
        <v/>
      </c>
      <c r="AA265" s="180" t="str">
        <f>Portfolio!AE264</f>
        <v/>
      </c>
    </row>
    <row r="266">
      <c r="A266" s="14" t="str">
        <f>Portfolio!A265</f>
        <v/>
      </c>
      <c r="B266" s="14" t="str">
        <f>Portfolio!B265</f>
        <v/>
      </c>
      <c r="C266" s="158" t="str">
        <f>Portfolio!C265</f>
        <v/>
      </c>
      <c r="D266" s="96" t="str">
        <f>Portfolio!D265</f>
        <v/>
      </c>
      <c r="E266" s="96" t="str">
        <f>Portfolio!E265</f>
        <v/>
      </c>
      <c r="F266" s="96" t="str">
        <f>Portfolio!G265</f>
        <v/>
      </c>
      <c r="G266" s="50" t="str">
        <f>Portfolio!H265</f>
        <v/>
      </c>
      <c r="H266" s="96" t="str">
        <f>Portfolio!I265</f>
        <v/>
      </c>
      <c r="I266" s="96" t="str">
        <f>Portfolio!J265</f>
        <v/>
      </c>
      <c r="J266" s="96" t="str">
        <f>Portfolio!K265</f>
        <v/>
      </c>
      <c r="K266" s="50" t="str">
        <f>Portfolio!O265</f>
        <v/>
      </c>
      <c r="L266" s="96" t="str">
        <f>Portfolio!P265</f>
        <v/>
      </c>
      <c r="M266" s="96" t="str">
        <f>Portfolio!Q265</f>
        <v/>
      </c>
      <c r="N266" s="14" t="str">
        <f>Portfolio!R265</f>
        <v/>
      </c>
      <c r="O266" s="50" t="str">
        <f>Portfolio!S265</f>
        <v/>
      </c>
      <c r="Q266" s="50" t="str">
        <f>Portfolio!U265</f>
        <v/>
      </c>
      <c r="S266" s="50" t="str">
        <f>Portfolio!W265</f>
        <v/>
      </c>
      <c r="T266" s="50" t="str">
        <f>Portfolio!X265</f>
        <v/>
      </c>
      <c r="U266" s="50" t="str">
        <f>Portfolio!Y265</f>
        <v/>
      </c>
      <c r="V266" s="50" t="str">
        <f>Portfolio!Z265</f>
        <v/>
      </c>
      <c r="W266" s="14" t="str">
        <f>Portfolio!AA265</f>
        <v/>
      </c>
      <c r="X266" s="50" t="str">
        <f>Portfolio!AB265</f>
        <v/>
      </c>
      <c r="Y266" s="179" t="str">
        <f>Portfolio!AC265</f>
        <v/>
      </c>
      <c r="Z266" s="50" t="str">
        <f>Portfolio!AD265</f>
        <v/>
      </c>
      <c r="AA266" s="180" t="str">
        <f>Portfolio!AE265</f>
        <v/>
      </c>
    </row>
    <row r="267">
      <c r="A267" s="14" t="str">
        <f>Portfolio!A266</f>
        <v/>
      </c>
      <c r="B267" s="14" t="str">
        <f>Portfolio!B266</f>
        <v/>
      </c>
      <c r="C267" s="158" t="str">
        <f>Portfolio!C266</f>
        <v/>
      </c>
      <c r="D267" s="96" t="str">
        <f>Portfolio!D266</f>
        <v/>
      </c>
      <c r="E267" s="96" t="str">
        <f>Portfolio!E266</f>
        <v/>
      </c>
      <c r="F267" s="96" t="str">
        <f>Portfolio!G266</f>
        <v/>
      </c>
      <c r="G267" s="50" t="str">
        <f>Portfolio!H266</f>
        <v/>
      </c>
      <c r="H267" s="96" t="str">
        <f>Portfolio!I266</f>
        <v/>
      </c>
      <c r="I267" s="96" t="str">
        <f>Portfolio!J266</f>
        <v/>
      </c>
      <c r="J267" s="96" t="str">
        <f>Portfolio!K266</f>
        <v/>
      </c>
      <c r="K267" s="50" t="str">
        <f>Portfolio!O266</f>
        <v/>
      </c>
      <c r="L267" s="96" t="str">
        <f>Portfolio!P266</f>
        <v/>
      </c>
      <c r="M267" s="96" t="str">
        <f>Portfolio!Q266</f>
        <v/>
      </c>
      <c r="N267" s="14" t="str">
        <f>Portfolio!R266</f>
        <v/>
      </c>
      <c r="O267" s="50" t="str">
        <f>Portfolio!S266</f>
        <v/>
      </c>
      <c r="Q267" s="50" t="str">
        <f>Portfolio!U266</f>
        <v/>
      </c>
      <c r="S267" s="50" t="str">
        <f>Portfolio!W266</f>
        <v/>
      </c>
      <c r="T267" s="50" t="str">
        <f>Portfolio!X266</f>
        <v/>
      </c>
      <c r="U267" s="50" t="str">
        <f>Portfolio!Y266</f>
        <v/>
      </c>
      <c r="V267" s="50" t="str">
        <f>Portfolio!Z266</f>
        <v/>
      </c>
      <c r="W267" s="14" t="str">
        <f>Portfolio!AA266</f>
        <v/>
      </c>
      <c r="X267" s="50" t="str">
        <f>Portfolio!AB266</f>
        <v/>
      </c>
      <c r="Y267" s="179" t="str">
        <f>Portfolio!AC266</f>
        <v/>
      </c>
      <c r="Z267" s="50" t="str">
        <f>Portfolio!AD266</f>
        <v/>
      </c>
      <c r="AA267" s="180" t="str">
        <f>Portfolio!AE266</f>
        <v/>
      </c>
    </row>
    <row r="268">
      <c r="A268" s="14" t="str">
        <f>Portfolio!A267</f>
        <v/>
      </c>
      <c r="B268" s="14" t="str">
        <f>Portfolio!B267</f>
        <v/>
      </c>
      <c r="C268" s="158" t="str">
        <f>Portfolio!C267</f>
        <v/>
      </c>
      <c r="D268" s="96" t="str">
        <f>Portfolio!D267</f>
        <v/>
      </c>
      <c r="E268" s="96" t="str">
        <f>Portfolio!E267</f>
        <v/>
      </c>
      <c r="F268" s="96" t="str">
        <f>Portfolio!G267</f>
        <v/>
      </c>
      <c r="G268" s="50" t="str">
        <f>Portfolio!H267</f>
        <v/>
      </c>
      <c r="H268" s="96" t="str">
        <f>Portfolio!I267</f>
        <v/>
      </c>
      <c r="I268" s="96" t="str">
        <f>Portfolio!J267</f>
        <v/>
      </c>
      <c r="J268" s="96" t="str">
        <f>Portfolio!K267</f>
        <v/>
      </c>
      <c r="K268" s="50" t="str">
        <f>Portfolio!O267</f>
        <v/>
      </c>
      <c r="L268" s="96" t="str">
        <f>Portfolio!P267</f>
        <v/>
      </c>
      <c r="M268" s="96" t="str">
        <f>Portfolio!Q267</f>
        <v/>
      </c>
      <c r="N268" s="14" t="str">
        <f>Portfolio!R267</f>
        <v/>
      </c>
      <c r="O268" s="50" t="str">
        <f>Portfolio!S267</f>
        <v/>
      </c>
      <c r="Q268" s="50" t="str">
        <f>Portfolio!U267</f>
        <v/>
      </c>
      <c r="S268" s="50" t="str">
        <f>Portfolio!W267</f>
        <v/>
      </c>
      <c r="T268" s="50" t="str">
        <f>Portfolio!X267</f>
        <v/>
      </c>
      <c r="U268" s="50" t="str">
        <f>Portfolio!Y267</f>
        <v/>
      </c>
      <c r="V268" s="50" t="str">
        <f>Portfolio!Z267</f>
        <v/>
      </c>
      <c r="W268" s="14" t="str">
        <f>Portfolio!AA267</f>
        <v/>
      </c>
      <c r="X268" s="50" t="str">
        <f>Portfolio!AB267</f>
        <v/>
      </c>
      <c r="Y268" s="179" t="str">
        <f>Portfolio!AC267</f>
        <v/>
      </c>
      <c r="Z268" s="50" t="str">
        <f>Portfolio!AD267</f>
        <v/>
      </c>
      <c r="AA268" s="180" t="str">
        <f>Portfolio!AE267</f>
        <v/>
      </c>
    </row>
    <row r="269">
      <c r="A269" s="14" t="str">
        <f>Portfolio!A268</f>
        <v/>
      </c>
      <c r="B269" s="14" t="str">
        <f>Portfolio!B268</f>
        <v/>
      </c>
      <c r="C269" s="158" t="str">
        <f>Portfolio!C268</f>
        <v/>
      </c>
      <c r="D269" s="96" t="str">
        <f>Portfolio!D268</f>
        <v/>
      </c>
      <c r="E269" s="96" t="str">
        <f>Portfolio!E268</f>
        <v/>
      </c>
      <c r="F269" s="96" t="str">
        <f>Portfolio!G268</f>
        <v/>
      </c>
      <c r="G269" s="50" t="str">
        <f>Portfolio!H268</f>
        <v/>
      </c>
      <c r="H269" s="96" t="str">
        <f>Portfolio!I268</f>
        <v/>
      </c>
      <c r="I269" s="96" t="str">
        <f>Portfolio!J268</f>
        <v/>
      </c>
      <c r="J269" s="96" t="str">
        <f>Portfolio!K268</f>
        <v/>
      </c>
      <c r="K269" s="50" t="str">
        <f>Portfolio!O268</f>
        <v/>
      </c>
      <c r="L269" s="96" t="str">
        <f>Portfolio!P268</f>
        <v/>
      </c>
      <c r="M269" s="96" t="str">
        <f>Portfolio!Q268</f>
        <v/>
      </c>
      <c r="N269" s="14" t="str">
        <f>Portfolio!R268</f>
        <v/>
      </c>
      <c r="O269" s="50" t="str">
        <f>Portfolio!S268</f>
        <v/>
      </c>
      <c r="Q269" s="50" t="str">
        <f>Portfolio!U268</f>
        <v/>
      </c>
      <c r="S269" s="50" t="str">
        <f>Portfolio!W268</f>
        <v/>
      </c>
      <c r="T269" s="50" t="str">
        <f>Portfolio!X268</f>
        <v/>
      </c>
      <c r="U269" s="50" t="str">
        <f>Portfolio!Y268</f>
        <v/>
      </c>
      <c r="V269" s="50" t="str">
        <f>Portfolio!Z268</f>
        <v/>
      </c>
      <c r="W269" s="14" t="str">
        <f>Portfolio!AA268</f>
        <v/>
      </c>
      <c r="X269" s="50" t="str">
        <f>Portfolio!AB268</f>
        <v/>
      </c>
      <c r="Y269" s="179" t="str">
        <f>Portfolio!AC268</f>
        <v/>
      </c>
      <c r="Z269" s="50" t="str">
        <f>Portfolio!AD268</f>
        <v/>
      </c>
      <c r="AA269" s="180" t="str">
        <f>Portfolio!AE268</f>
        <v/>
      </c>
    </row>
    <row r="270">
      <c r="A270" s="14" t="str">
        <f>Portfolio!A269</f>
        <v/>
      </c>
      <c r="B270" s="14" t="str">
        <f>Portfolio!B269</f>
        <v/>
      </c>
      <c r="C270" s="158" t="str">
        <f>Portfolio!C269</f>
        <v/>
      </c>
      <c r="D270" s="96" t="str">
        <f>Portfolio!D269</f>
        <v/>
      </c>
      <c r="E270" s="96" t="str">
        <f>Portfolio!E269</f>
        <v/>
      </c>
      <c r="F270" s="96" t="str">
        <f>Portfolio!G269</f>
        <v/>
      </c>
      <c r="G270" s="50" t="str">
        <f>Portfolio!H269</f>
        <v/>
      </c>
      <c r="H270" s="96" t="str">
        <f>Portfolio!I269</f>
        <v/>
      </c>
      <c r="I270" s="96" t="str">
        <f>Portfolio!J269</f>
        <v/>
      </c>
      <c r="J270" s="96" t="str">
        <f>Portfolio!K269</f>
        <v/>
      </c>
      <c r="K270" s="50" t="str">
        <f>Portfolio!O269</f>
        <v/>
      </c>
      <c r="L270" s="96" t="str">
        <f>Portfolio!P269</f>
        <v/>
      </c>
      <c r="M270" s="96" t="str">
        <f>Portfolio!Q269</f>
        <v/>
      </c>
      <c r="N270" s="14" t="str">
        <f>Portfolio!R269</f>
        <v/>
      </c>
      <c r="O270" s="50" t="str">
        <f>Portfolio!S269</f>
        <v/>
      </c>
      <c r="Q270" s="50" t="str">
        <f>Portfolio!U269</f>
        <v/>
      </c>
      <c r="S270" s="50" t="str">
        <f>Portfolio!W269</f>
        <v/>
      </c>
      <c r="T270" s="50" t="str">
        <f>Portfolio!X269</f>
        <v/>
      </c>
      <c r="U270" s="50" t="str">
        <f>Portfolio!Y269</f>
        <v/>
      </c>
      <c r="V270" s="50" t="str">
        <f>Portfolio!Z269</f>
        <v/>
      </c>
      <c r="W270" s="14" t="str">
        <f>Portfolio!AA269</f>
        <v/>
      </c>
      <c r="X270" s="50" t="str">
        <f>Portfolio!AB269</f>
        <v/>
      </c>
      <c r="Y270" s="179" t="str">
        <f>Portfolio!AC269</f>
        <v/>
      </c>
      <c r="Z270" s="50" t="str">
        <f>Portfolio!AD269</f>
        <v/>
      </c>
      <c r="AA270" s="180" t="str">
        <f>Portfolio!AE269</f>
        <v/>
      </c>
    </row>
    <row r="271">
      <c r="A271" s="14" t="str">
        <f>Portfolio!A270</f>
        <v/>
      </c>
      <c r="B271" s="14" t="str">
        <f>Portfolio!B270</f>
        <v/>
      </c>
      <c r="C271" s="158" t="str">
        <f>Portfolio!C270</f>
        <v/>
      </c>
      <c r="D271" s="96" t="str">
        <f>Portfolio!D270</f>
        <v/>
      </c>
      <c r="E271" s="96" t="str">
        <f>Portfolio!E270</f>
        <v/>
      </c>
      <c r="F271" s="96" t="str">
        <f>Portfolio!G270</f>
        <v/>
      </c>
      <c r="G271" s="50" t="str">
        <f>Portfolio!H270</f>
        <v/>
      </c>
      <c r="H271" s="96" t="str">
        <f>Portfolio!I270</f>
        <v/>
      </c>
      <c r="I271" s="96" t="str">
        <f>Portfolio!J270</f>
        <v/>
      </c>
      <c r="J271" s="96" t="str">
        <f>Portfolio!K270</f>
        <v/>
      </c>
      <c r="K271" s="50" t="str">
        <f>Portfolio!O270</f>
        <v/>
      </c>
      <c r="L271" s="96" t="str">
        <f>Portfolio!P270</f>
        <v/>
      </c>
      <c r="M271" s="96" t="str">
        <f>Portfolio!Q270</f>
        <v/>
      </c>
      <c r="N271" s="14" t="str">
        <f>Portfolio!R270</f>
        <v/>
      </c>
      <c r="O271" s="50" t="str">
        <f>Portfolio!S270</f>
        <v/>
      </c>
      <c r="Q271" s="50" t="str">
        <f>Portfolio!U270</f>
        <v/>
      </c>
      <c r="S271" s="50" t="str">
        <f>Portfolio!W270</f>
        <v/>
      </c>
      <c r="T271" s="50" t="str">
        <f>Portfolio!X270</f>
        <v/>
      </c>
      <c r="U271" s="50" t="str">
        <f>Portfolio!Y270</f>
        <v/>
      </c>
      <c r="V271" s="50" t="str">
        <f>Portfolio!Z270</f>
        <v/>
      </c>
      <c r="W271" s="14" t="str">
        <f>Portfolio!AA270</f>
        <v/>
      </c>
      <c r="X271" s="50" t="str">
        <f>Portfolio!AB270</f>
        <v/>
      </c>
      <c r="Y271" s="179" t="str">
        <f>Portfolio!AC270</f>
        <v/>
      </c>
      <c r="Z271" s="50" t="str">
        <f>Portfolio!AD270</f>
        <v/>
      </c>
      <c r="AA271" s="180" t="str">
        <f>Portfolio!AE270</f>
        <v/>
      </c>
    </row>
    <row r="272">
      <c r="A272" s="14" t="str">
        <f>Portfolio!A271</f>
        <v/>
      </c>
      <c r="B272" s="14" t="str">
        <f>Portfolio!B271</f>
        <v/>
      </c>
      <c r="C272" s="158" t="str">
        <f>Portfolio!C271</f>
        <v/>
      </c>
      <c r="D272" s="96" t="str">
        <f>Portfolio!D271</f>
        <v/>
      </c>
      <c r="E272" s="96" t="str">
        <f>Portfolio!E271</f>
        <v/>
      </c>
      <c r="F272" s="96" t="str">
        <f>Portfolio!G271</f>
        <v/>
      </c>
      <c r="G272" s="50" t="str">
        <f>Portfolio!H271</f>
        <v/>
      </c>
      <c r="H272" s="96" t="str">
        <f>Portfolio!I271</f>
        <v/>
      </c>
      <c r="I272" s="96" t="str">
        <f>Portfolio!J271</f>
        <v/>
      </c>
      <c r="J272" s="96" t="str">
        <f>Portfolio!K271</f>
        <v/>
      </c>
      <c r="K272" s="50" t="str">
        <f>Portfolio!O271</f>
        <v/>
      </c>
      <c r="L272" s="96" t="str">
        <f>Portfolio!P271</f>
        <v/>
      </c>
      <c r="M272" s="96" t="str">
        <f>Portfolio!Q271</f>
        <v/>
      </c>
      <c r="N272" s="14" t="str">
        <f>Portfolio!R271</f>
        <v/>
      </c>
      <c r="O272" s="50" t="str">
        <f>Portfolio!S271</f>
        <v/>
      </c>
      <c r="Q272" s="50" t="str">
        <f>Portfolio!U271</f>
        <v/>
      </c>
      <c r="S272" s="50" t="str">
        <f>Portfolio!W271</f>
        <v/>
      </c>
      <c r="T272" s="50" t="str">
        <f>Portfolio!X271</f>
        <v/>
      </c>
      <c r="U272" s="50" t="str">
        <f>Portfolio!Y271</f>
        <v/>
      </c>
      <c r="V272" s="50" t="str">
        <f>Portfolio!Z271</f>
        <v/>
      </c>
      <c r="W272" s="14" t="str">
        <f>Portfolio!AA271</f>
        <v/>
      </c>
      <c r="X272" s="50" t="str">
        <f>Portfolio!AB271</f>
        <v/>
      </c>
      <c r="Y272" s="179" t="str">
        <f>Portfolio!AC271</f>
        <v/>
      </c>
      <c r="Z272" s="50" t="str">
        <f>Portfolio!AD271</f>
        <v/>
      </c>
      <c r="AA272" s="180" t="str">
        <f>Portfolio!AE271</f>
        <v/>
      </c>
    </row>
    <row r="273">
      <c r="A273" s="14" t="str">
        <f>Portfolio!A272</f>
        <v/>
      </c>
      <c r="B273" s="14" t="str">
        <f>Portfolio!B272</f>
        <v/>
      </c>
      <c r="C273" s="158" t="str">
        <f>Portfolio!C272</f>
        <v/>
      </c>
      <c r="D273" s="96" t="str">
        <f>Portfolio!D272</f>
        <v/>
      </c>
      <c r="E273" s="96" t="str">
        <f>Portfolio!E272</f>
        <v/>
      </c>
      <c r="F273" s="96" t="str">
        <f>Portfolio!G272</f>
        <v/>
      </c>
      <c r="G273" s="50" t="str">
        <f>Portfolio!H272</f>
        <v/>
      </c>
      <c r="H273" s="96" t="str">
        <f>Portfolio!I272</f>
        <v/>
      </c>
      <c r="I273" s="96" t="str">
        <f>Portfolio!J272</f>
        <v/>
      </c>
      <c r="J273" s="96" t="str">
        <f>Portfolio!K272</f>
        <v/>
      </c>
      <c r="K273" s="50" t="str">
        <f>Portfolio!O272</f>
        <v/>
      </c>
      <c r="L273" s="96" t="str">
        <f>Portfolio!P272</f>
        <v/>
      </c>
      <c r="M273" s="96" t="str">
        <f>Portfolio!Q272</f>
        <v/>
      </c>
      <c r="N273" s="14" t="str">
        <f>Portfolio!R272</f>
        <v/>
      </c>
      <c r="O273" s="50" t="str">
        <f>Portfolio!S272</f>
        <v/>
      </c>
      <c r="Q273" s="50" t="str">
        <f>Portfolio!U272</f>
        <v/>
      </c>
      <c r="S273" s="50" t="str">
        <f>Portfolio!W272</f>
        <v/>
      </c>
      <c r="T273" s="50" t="str">
        <f>Portfolio!X272</f>
        <v/>
      </c>
      <c r="U273" s="50" t="str">
        <f>Portfolio!Y272</f>
        <v/>
      </c>
      <c r="V273" s="50" t="str">
        <f>Portfolio!Z272</f>
        <v/>
      </c>
      <c r="W273" s="14" t="str">
        <f>Portfolio!AA272</f>
        <v/>
      </c>
      <c r="X273" s="50" t="str">
        <f>Portfolio!AB272</f>
        <v/>
      </c>
      <c r="Y273" s="179" t="str">
        <f>Portfolio!AC272</f>
        <v/>
      </c>
      <c r="Z273" s="50" t="str">
        <f>Portfolio!AD272</f>
        <v/>
      </c>
      <c r="AA273" s="180" t="str">
        <f>Portfolio!AE272</f>
        <v/>
      </c>
    </row>
    <row r="274">
      <c r="A274" s="14" t="str">
        <f>Portfolio!A273</f>
        <v/>
      </c>
      <c r="B274" s="14" t="str">
        <f>Portfolio!B273</f>
        <v/>
      </c>
      <c r="C274" s="158" t="str">
        <f>Portfolio!C273</f>
        <v/>
      </c>
      <c r="D274" s="96" t="str">
        <f>Portfolio!D273</f>
        <v/>
      </c>
      <c r="E274" s="96" t="str">
        <f>Portfolio!E273</f>
        <v/>
      </c>
      <c r="F274" s="96" t="str">
        <f>Portfolio!G273</f>
        <v/>
      </c>
      <c r="G274" s="50" t="str">
        <f>Portfolio!H273</f>
        <v/>
      </c>
      <c r="H274" s="96" t="str">
        <f>Portfolio!I273</f>
        <v/>
      </c>
      <c r="I274" s="96" t="str">
        <f>Portfolio!J273</f>
        <v/>
      </c>
      <c r="J274" s="96" t="str">
        <f>Portfolio!K273</f>
        <v/>
      </c>
      <c r="K274" s="50" t="str">
        <f>Portfolio!O273</f>
        <v/>
      </c>
      <c r="L274" s="96" t="str">
        <f>Portfolio!P273</f>
        <v/>
      </c>
      <c r="M274" s="96" t="str">
        <f>Portfolio!Q273</f>
        <v/>
      </c>
      <c r="N274" s="14" t="str">
        <f>Portfolio!R273</f>
        <v/>
      </c>
      <c r="O274" s="50" t="str">
        <f>Portfolio!S273</f>
        <v/>
      </c>
      <c r="Q274" s="50" t="str">
        <f>Portfolio!U273</f>
        <v/>
      </c>
      <c r="S274" s="50" t="str">
        <f>Portfolio!W273</f>
        <v/>
      </c>
      <c r="T274" s="50" t="str">
        <f>Portfolio!X273</f>
        <v/>
      </c>
      <c r="U274" s="50" t="str">
        <f>Portfolio!Y273</f>
        <v/>
      </c>
      <c r="V274" s="50" t="str">
        <f>Portfolio!Z273</f>
        <v/>
      </c>
      <c r="W274" s="14" t="str">
        <f>Portfolio!AA273</f>
        <v/>
      </c>
      <c r="X274" s="50" t="str">
        <f>Portfolio!AB273</f>
        <v/>
      </c>
      <c r="Y274" s="179" t="str">
        <f>Portfolio!AC273</f>
        <v/>
      </c>
      <c r="Z274" s="50" t="str">
        <f>Portfolio!AD273</f>
        <v/>
      </c>
      <c r="AA274" s="180" t="str">
        <f>Portfolio!AE273</f>
        <v/>
      </c>
    </row>
    <row r="275">
      <c r="A275" s="14" t="str">
        <f>Portfolio!A274</f>
        <v/>
      </c>
      <c r="B275" s="14" t="str">
        <f>Portfolio!B274</f>
        <v/>
      </c>
      <c r="C275" s="158" t="str">
        <f>Portfolio!C274</f>
        <v/>
      </c>
      <c r="D275" s="96" t="str">
        <f>Portfolio!D274</f>
        <v/>
      </c>
      <c r="E275" s="96" t="str">
        <f>Portfolio!E274</f>
        <v/>
      </c>
      <c r="F275" s="96" t="str">
        <f>Portfolio!G274</f>
        <v/>
      </c>
      <c r="G275" s="50" t="str">
        <f>Portfolio!H274</f>
        <v/>
      </c>
      <c r="H275" s="96" t="str">
        <f>Portfolio!I274</f>
        <v/>
      </c>
      <c r="I275" s="96" t="str">
        <f>Portfolio!J274</f>
        <v/>
      </c>
      <c r="J275" s="96" t="str">
        <f>Portfolio!K274</f>
        <v/>
      </c>
      <c r="K275" s="50" t="str">
        <f>Portfolio!O274</f>
        <v/>
      </c>
      <c r="L275" s="96" t="str">
        <f>Portfolio!P274</f>
        <v/>
      </c>
      <c r="M275" s="96" t="str">
        <f>Portfolio!Q274</f>
        <v/>
      </c>
      <c r="N275" s="14" t="str">
        <f>Portfolio!R274</f>
        <v/>
      </c>
      <c r="O275" s="50" t="str">
        <f>Portfolio!S274</f>
        <v/>
      </c>
      <c r="Q275" s="50" t="str">
        <f>Portfolio!U274</f>
        <v/>
      </c>
      <c r="S275" s="50" t="str">
        <f>Portfolio!W274</f>
        <v/>
      </c>
      <c r="T275" s="50" t="str">
        <f>Portfolio!X274</f>
        <v/>
      </c>
      <c r="U275" s="50" t="str">
        <f>Portfolio!Y274</f>
        <v/>
      </c>
      <c r="V275" s="50" t="str">
        <f>Portfolio!Z274</f>
        <v/>
      </c>
      <c r="W275" s="14" t="str">
        <f>Portfolio!AA274</f>
        <v/>
      </c>
      <c r="X275" s="50" t="str">
        <f>Portfolio!AB274</f>
        <v/>
      </c>
      <c r="Y275" s="179" t="str">
        <f>Portfolio!AC274</f>
        <v/>
      </c>
      <c r="Z275" s="50" t="str">
        <f>Portfolio!AD274</f>
        <v/>
      </c>
      <c r="AA275" s="180" t="str">
        <f>Portfolio!AE274</f>
        <v/>
      </c>
    </row>
    <row r="276">
      <c r="A276" s="14" t="str">
        <f>Portfolio!A275</f>
        <v/>
      </c>
      <c r="B276" s="14" t="str">
        <f>Portfolio!B275</f>
        <v/>
      </c>
      <c r="C276" s="158" t="str">
        <f>Portfolio!C275</f>
        <v/>
      </c>
      <c r="D276" s="96" t="str">
        <f>Portfolio!D275</f>
        <v/>
      </c>
      <c r="E276" s="96" t="str">
        <f>Portfolio!E275</f>
        <v/>
      </c>
      <c r="F276" s="96" t="str">
        <f>Portfolio!G275</f>
        <v/>
      </c>
      <c r="G276" s="50" t="str">
        <f>Portfolio!H275</f>
        <v/>
      </c>
      <c r="H276" s="96" t="str">
        <f>Portfolio!I275</f>
        <v/>
      </c>
      <c r="I276" s="96" t="str">
        <f>Portfolio!J275</f>
        <v/>
      </c>
      <c r="J276" s="96" t="str">
        <f>Portfolio!K275</f>
        <v/>
      </c>
      <c r="K276" s="50" t="str">
        <f>Portfolio!O275</f>
        <v/>
      </c>
      <c r="L276" s="96" t="str">
        <f>Portfolio!P275</f>
        <v/>
      </c>
      <c r="M276" s="96" t="str">
        <f>Portfolio!Q275</f>
        <v/>
      </c>
      <c r="N276" s="14" t="str">
        <f>Portfolio!R275</f>
        <v/>
      </c>
      <c r="O276" s="50" t="str">
        <f>Portfolio!S275</f>
        <v/>
      </c>
      <c r="Q276" s="50" t="str">
        <f>Portfolio!U275</f>
        <v/>
      </c>
      <c r="S276" s="50" t="str">
        <f>Portfolio!W275</f>
        <v/>
      </c>
      <c r="T276" s="50" t="str">
        <f>Portfolio!X275</f>
        <v/>
      </c>
      <c r="U276" s="50" t="str">
        <f>Portfolio!Y275</f>
        <v/>
      </c>
      <c r="V276" s="50" t="str">
        <f>Portfolio!Z275</f>
        <v/>
      </c>
      <c r="W276" s="14" t="str">
        <f>Portfolio!AA275</f>
        <v/>
      </c>
      <c r="X276" s="50" t="str">
        <f>Portfolio!AB275</f>
        <v/>
      </c>
      <c r="Y276" s="179" t="str">
        <f>Portfolio!AC275</f>
        <v/>
      </c>
      <c r="Z276" s="50" t="str">
        <f>Portfolio!AD275</f>
        <v/>
      </c>
      <c r="AA276" s="180" t="str">
        <f>Portfolio!AE275</f>
        <v/>
      </c>
    </row>
    <row r="277">
      <c r="A277" s="14" t="str">
        <f>Portfolio!A276</f>
        <v/>
      </c>
      <c r="B277" s="14" t="str">
        <f>Portfolio!B276</f>
        <v/>
      </c>
      <c r="C277" s="158" t="str">
        <f>Portfolio!C276</f>
        <v/>
      </c>
      <c r="D277" s="96" t="str">
        <f>Portfolio!D276</f>
        <v/>
      </c>
      <c r="E277" s="96" t="str">
        <f>Portfolio!E276</f>
        <v/>
      </c>
      <c r="F277" s="96" t="str">
        <f>Portfolio!G276</f>
        <v/>
      </c>
      <c r="G277" s="50" t="str">
        <f>Portfolio!H276</f>
        <v/>
      </c>
      <c r="H277" s="96" t="str">
        <f>Portfolio!I276</f>
        <v/>
      </c>
      <c r="I277" s="96" t="str">
        <f>Portfolio!J276</f>
        <v/>
      </c>
      <c r="J277" s="96" t="str">
        <f>Portfolio!K276</f>
        <v/>
      </c>
      <c r="K277" s="50" t="str">
        <f>Portfolio!O276</f>
        <v/>
      </c>
      <c r="L277" s="96" t="str">
        <f>Portfolio!P276</f>
        <v/>
      </c>
      <c r="M277" s="96" t="str">
        <f>Portfolio!Q276</f>
        <v/>
      </c>
      <c r="N277" s="14" t="str">
        <f>Portfolio!R276</f>
        <v/>
      </c>
      <c r="O277" s="50" t="str">
        <f>Portfolio!S276</f>
        <v/>
      </c>
      <c r="Q277" s="50" t="str">
        <f>Portfolio!U276</f>
        <v/>
      </c>
      <c r="S277" s="50" t="str">
        <f>Portfolio!W276</f>
        <v/>
      </c>
      <c r="T277" s="50" t="str">
        <f>Portfolio!X276</f>
        <v/>
      </c>
      <c r="U277" s="50" t="str">
        <f>Portfolio!Y276</f>
        <v/>
      </c>
      <c r="V277" s="50" t="str">
        <f>Portfolio!Z276</f>
        <v/>
      </c>
      <c r="W277" s="14" t="str">
        <f>Portfolio!AA276</f>
        <v/>
      </c>
      <c r="X277" s="50" t="str">
        <f>Portfolio!AB276</f>
        <v/>
      </c>
      <c r="Y277" s="179" t="str">
        <f>Portfolio!AC276</f>
        <v/>
      </c>
      <c r="Z277" s="50" t="str">
        <f>Portfolio!AD276</f>
        <v/>
      </c>
      <c r="AA277" s="180" t="str">
        <f>Portfolio!AE276</f>
        <v/>
      </c>
    </row>
    <row r="278">
      <c r="A278" s="14" t="str">
        <f>Portfolio!A277</f>
        <v/>
      </c>
      <c r="B278" s="14" t="str">
        <f>Portfolio!B277</f>
        <v/>
      </c>
      <c r="C278" s="158" t="str">
        <f>Portfolio!C277</f>
        <v/>
      </c>
      <c r="D278" s="96" t="str">
        <f>Portfolio!D277</f>
        <v/>
      </c>
      <c r="E278" s="96" t="str">
        <f>Portfolio!E277</f>
        <v/>
      </c>
      <c r="F278" s="96" t="str">
        <f>Portfolio!G277</f>
        <v/>
      </c>
      <c r="G278" s="50" t="str">
        <f>Portfolio!H277</f>
        <v/>
      </c>
      <c r="H278" s="96" t="str">
        <f>Portfolio!I277</f>
        <v/>
      </c>
      <c r="I278" s="96" t="str">
        <f>Portfolio!J277</f>
        <v/>
      </c>
      <c r="J278" s="96" t="str">
        <f>Portfolio!K277</f>
        <v/>
      </c>
      <c r="K278" s="50" t="str">
        <f>Portfolio!O277</f>
        <v/>
      </c>
      <c r="L278" s="96" t="str">
        <f>Portfolio!P277</f>
        <v/>
      </c>
      <c r="M278" s="96" t="str">
        <f>Portfolio!Q277</f>
        <v/>
      </c>
      <c r="N278" s="14" t="str">
        <f>Portfolio!R277</f>
        <v/>
      </c>
      <c r="O278" s="50" t="str">
        <f>Portfolio!S277</f>
        <v/>
      </c>
      <c r="Q278" s="50" t="str">
        <f>Portfolio!U277</f>
        <v/>
      </c>
      <c r="S278" s="50" t="str">
        <f>Portfolio!W277</f>
        <v/>
      </c>
      <c r="T278" s="50" t="str">
        <f>Portfolio!X277</f>
        <v/>
      </c>
      <c r="U278" s="50" t="str">
        <f>Portfolio!Y277</f>
        <v/>
      </c>
      <c r="V278" s="50" t="str">
        <f>Portfolio!Z277</f>
        <v/>
      </c>
      <c r="W278" s="14" t="str">
        <f>Portfolio!AA277</f>
        <v/>
      </c>
      <c r="X278" s="50" t="str">
        <f>Portfolio!AB277</f>
        <v/>
      </c>
      <c r="Y278" s="179" t="str">
        <f>Portfolio!AC277</f>
        <v/>
      </c>
      <c r="Z278" s="50" t="str">
        <f>Portfolio!AD277</f>
        <v/>
      </c>
      <c r="AA278" s="180" t="str">
        <f>Portfolio!AE277</f>
        <v/>
      </c>
    </row>
    <row r="279">
      <c r="A279" s="14" t="str">
        <f>Portfolio!A278</f>
        <v/>
      </c>
      <c r="B279" s="14" t="str">
        <f>Portfolio!B278</f>
        <v/>
      </c>
      <c r="C279" s="158" t="str">
        <f>Portfolio!C278</f>
        <v/>
      </c>
      <c r="D279" s="96" t="str">
        <f>Portfolio!D278</f>
        <v/>
      </c>
      <c r="E279" s="96" t="str">
        <f>Portfolio!E278</f>
        <v/>
      </c>
      <c r="F279" s="96" t="str">
        <f>Portfolio!G278</f>
        <v/>
      </c>
      <c r="G279" s="50" t="str">
        <f>Portfolio!H278</f>
        <v/>
      </c>
      <c r="H279" s="96" t="str">
        <f>Portfolio!I278</f>
        <v/>
      </c>
      <c r="I279" s="96" t="str">
        <f>Portfolio!J278</f>
        <v/>
      </c>
      <c r="J279" s="96" t="str">
        <f>Portfolio!K278</f>
        <v/>
      </c>
      <c r="K279" s="50" t="str">
        <f>Portfolio!O278</f>
        <v/>
      </c>
      <c r="L279" s="96" t="str">
        <f>Portfolio!P278</f>
        <v/>
      </c>
      <c r="M279" s="96" t="str">
        <f>Portfolio!Q278</f>
        <v/>
      </c>
      <c r="N279" s="14" t="str">
        <f>Portfolio!R278</f>
        <v/>
      </c>
      <c r="O279" s="50" t="str">
        <f>Portfolio!S278</f>
        <v/>
      </c>
      <c r="Q279" s="50" t="str">
        <f>Portfolio!U278</f>
        <v/>
      </c>
      <c r="S279" s="50" t="str">
        <f>Portfolio!W278</f>
        <v/>
      </c>
      <c r="T279" s="50" t="str">
        <f>Portfolio!X278</f>
        <v/>
      </c>
      <c r="U279" s="50" t="str">
        <f>Portfolio!Y278</f>
        <v/>
      </c>
      <c r="V279" s="50" t="str">
        <f>Portfolio!Z278</f>
        <v/>
      </c>
      <c r="W279" s="14" t="str">
        <f>Portfolio!AA278</f>
        <v/>
      </c>
      <c r="X279" s="50" t="str">
        <f>Portfolio!AB278</f>
        <v/>
      </c>
      <c r="Y279" s="179" t="str">
        <f>Portfolio!AC278</f>
        <v/>
      </c>
      <c r="Z279" s="50" t="str">
        <f>Portfolio!AD278</f>
        <v/>
      </c>
      <c r="AA279" s="180" t="str">
        <f>Portfolio!AE278</f>
        <v/>
      </c>
    </row>
    <row r="280">
      <c r="A280" s="14" t="str">
        <f>Portfolio!A279</f>
        <v/>
      </c>
      <c r="B280" s="14" t="str">
        <f>Portfolio!B279</f>
        <v/>
      </c>
      <c r="C280" s="158" t="str">
        <f>Portfolio!C279</f>
        <v/>
      </c>
      <c r="D280" s="96" t="str">
        <f>Portfolio!D279</f>
        <v/>
      </c>
      <c r="E280" s="96" t="str">
        <f>Portfolio!E279</f>
        <v/>
      </c>
      <c r="F280" s="96" t="str">
        <f>Portfolio!G279</f>
        <v/>
      </c>
      <c r="G280" s="50" t="str">
        <f>Portfolio!H279</f>
        <v/>
      </c>
      <c r="H280" s="96" t="str">
        <f>Portfolio!I279</f>
        <v/>
      </c>
      <c r="I280" s="96" t="str">
        <f>Portfolio!J279</f>
        <v/>
      </c>
      <c r="J280" s="96" t="str">
        <f>Portfolio!K279</f>
        <v/>
      </c>
      <c r="K280" s="50" t="str">
        <f>Portfolio!O279</f>
        <v/>
      </c>
      <c r="L280" s="96" t="str">
        <f>Portfolio!P279</f>
        <v/>
      </c>
      <c r="M280" s="96" t="str">
        <f>Portfolio!Q279</f>
        <v/>
      </c>
      <c r="N280" s="14" t="str">
        <f>Portfolio!R279</f>
        <v/>
      </c>
      <c r="O280" s="50" t="str">
        <f>Portfolio!S279</f>
        <v/>
      </c>
      <c r="Q280" s="50" t="str">
        <f>Portfolio!U279</f>
        <v/>
      </c>
      <c r="S280" s="50" t="str">
        <f>Portfolio!W279</f>
        <v/>
      </c>
      <c r="T280" s="50" t="str">
        <f>Portfolio!X279</f>
        <v/>
      </c>
      <c r="U280" s="50" t="str">
        <f>Portfolio!Y279</f>
        <v/>
      </c>
      <c r="V280" s="50" t="str">
        <f>Portfolio!Z279</f>
        <v/>
      </c>
      <c r="W280" s="14" t="str">
        <f>Portfolio!AA279</f>
        <v/>
      </c>
      <c r="X280" s="50" t="str">
        <f>Portfolio!AB279</f>
        <v/>
      </c>
      <c r="Y280" s="179" t="str">
        <f>Portfolio!AC279</f>
        <v/>
      </c>
      <c r="Z280" s="50" t="str">
        <f>Portfolio!AD279</f>
        <v/>
      </c>
      <c r="AA280" s="180" t="str">
        <f>Portfolio!AE279</f>
        <v/>
      </c>
    </row>
    <row r="281">
      <c r="A281" s="14" t="str">
        <f>Portfolio!A280</f>
        <v/>
      </c>
      <c r="B281" s="14" t="str">
        <f>Portfolio!B280</f>
        <v/>
      </c>
      <c r="C281" s="158" t="str">
        <f>Portfolio!C280</f>
        <v/>
      </c>
      <c r="D281" s="96" t="str">
        <f>Portfolio!D280</f>
        <v/>
      </c>
      <c r="E281" s="96" t="str">
        <f>Portfolio!E280</f>
        <v/>
      </c>
      <c r="F281" s="96" t="str">
        <f>Portfolio!G280</f>
        <v/>
      </c>
      <c r="G281" s="50" t="str">
        <f>Portfolio!H280</f>
        <v/>
      </c>
      <c r="H281" s="96" t="str">
        <f>Portfolio!I280</f>
        <v/>
      </c>
      <c r="I281" s="96" t="str">
        <f>Portfolio!J280</f>
        <v/>
      </c>
      <c r="J281" s="96" t="str">
        <f>Portfolio!K280</f>
        <v/>
      </c>
      <c r="K281" s="50" t="str">
        <f>Portfolio!O280</f>
        <v/>
      </c>
      <c r="L281" s="96" t="str">
        <f>Portfolio!P280</f>
        <v/>
      </c>
      <c r="M281" s="96" t="str">
        <f>Portfolio!Q280</f>
        <v/>
      </c>
      <c r="N281" s="14" t="str">
        <f>Portfolio!R280</f>
        <v/>
      </c>
      <c r="O281" s="50" t="str">
        <f>Portfolio!S280</f>
        <v/>
      </c>
      <c r="Q281" s="50" t="str">
        <f>Portfolio!U280</f>
        <v/>
      </c>
      <c r="S281" s="50" t="str">
        <f>Portfolio!W280</f>
        <v/>
      </c>
      <c r="T281" s="50" t="str">
        <f>Portfolio!X280</f>
        <v/>
      </c>
      <c r="U281" s="50" t="str">
        <f>Portfolio!Y280</f>
        <v/>
      </c>
      <c r="V281" s="50" t="str">
        <f>Portfolio!Z280</f>
        <v/>
      </c>
      <c r="W281" s="14" t="str">
        <f>Portfolio!AA280</f>
        <v/>
      </c>
      <c r="X281" s="50" t="str">
        <f>Portfolio!AB280</f>
        <v/>
      </c>
      <c r="Y281" s="179" t="str">
        <f>Portfolio!AC280</f>
        <v/>
      </c>
      <c r="Z281" s="50" t="str">
        <f>Portfolio!AD280</f>
        <v/>
      </c>
      <c r="AA281" s="180" t="str">
        <f>Portfolio!AE280</f>
        <v/>
      </c>
    </row>
    <row r="282">
      <c r="A282" s="14" t="str">
        <f>Portfolio!A281</f>
        <v/>
      </c>
      <c r="B282" s="14" t="str">
        <f>Portfolio!B281</f>
        <v/>
      </c>
      <c r="C282" s="158" t="str">
        <f>Portfolio!C281</f>
        <v/>
      </c>
      <c r="D282" s="96" t="str">
        <f>Portfolio!D281</f>
        <v/>
      </c>
      <c r="E282" s="96" t="str">
        <f>Portfolio!E281</f>
        <v/>
      </c>
      <c r="F282" s="96" t="str">
        <f>Portfolio!G281</f>
        <v/>
      </c>
      <c r="G282" s="50" t="str">
        <f>Portfolio!H281</f>
        <v/>
      </c>
      <c r="H282" s="96" t="str">
        <f>Portfolio!I281</f>
        <v/>
      </c>
      <c r="I282" s="96" t="str">
        <f>Portfolio!J281</f>
        <v/>
      </c>
      <c r="J282" s="96" t="str">
        <f>Portfolio!K281</f>
        <v/>
      </c>
      <c r="K282" s="50" t="str">
        <f>Portfolio!O281</f>
        <v/>
      </c>
      <c r="L282" s="96" t="str">
        <f>Portfolio!P281</f>
        <v/>
      </c>
      <c r="M282" s="96" t="str">
        <f>Portfolio!Q281</f>
        <v/>
      </c>
      <c r="N282" s="14" t="str">
        <f>Portfolio!R281</f>
        <v/>
      </c>
      <c r="O282" s="50" t="str">
        <f>Portfolio!S281</f>
        <v/>
      </c>
      <c r="Q282" s="50" t="str">
        <f>Portfolio!U281</f>
        <v/>
      </c>
      <c r="S282" s="50" t="str">
        <f>Portfolio!W281</f>
        <v/>
      </c>
      <c r="T282" s="50" t="str">
        <f>Portfolio!X281</f>
        <v/>
      </c>
      <c r="U282" s="50" t="str">
        <f>Portfolio!Y281</f>
        <v/>
      </c>
      <c r="V282" s="50" t="str">
        <f>Portfolio!Z281</f>
        <v/>
      </c>
      <c r="W282" s="14" t="str">
        <f>Portfolio!AA281</f>
        <v/>
      </c>
      <c r="X282" s="50" t="str">
        <f>Portfolio!AB281</f>
        <v/>
      </c>
      <c r="Y282" s="179" t="str">
        <f>Portfolio!AC281</f>
        <v/>
      </c>
      <c r="Z282" s="50" t="str">
        <f>Portfolio!AD281</f>
        <v/>
      </c>
      <c r="AA282" s="180" t="str">
        <f>Portfolio!AE281</f>
        <v/>
      </c>
    </row>
    <row r="283">
      <c r="A283" s="14" t="str">
        <f>Portfolio!A282</f>
        <v/>
      </c>
      <c r="B283" s="14" t="str">
        <f>Portfolio!B282</f>
        <v/>
      </c>
      <c r="C283" s="158" t="str">
        <f>Portfolio!C282</f>
        <v/>
      </c>
      <c r="D283" s="96" t="str">
        <f>Portfolio!D282</f>
        <v/>
      </c>
      <c r="E283" s="96" t="str">
        <f>Portfolio!E282</f>
        <v/>
      </c>
      <c r="F283" s="96" t="str">
        <f>Portfolio!G282</f>
        <v/>
      </c>
      <c r="G283" s="50" t="str">
        <f>Portfolio!H282</f>
        <v/>
      </c>
      <c r="H283" s="96" t="str">
        <f>Portfolio!I282</f>
        <v/>
      </c>
      <c r="I283" s="96" t="str">
        <f>Portfolio!J282</f>
        <v/>
      </c>
      <c r="J283" s="96" t="str">
        <f>Portfolio!K282</f>
        <v/>
      </c>
      <c r="K283" s="50" t="str">
        <f>Portfolio!O282</f>
        <v/>
      </c>
      <c r="L283" s="96" t="str">
        <f>Portfolio!P282</f>
        <v/>
      </c>
      <c r="M283" s="96" t="str">
        <f>Portfolio!Q282</f>
        <v/>
      </c>
      <c r="N283" s="14" t="str">
        <f>Portfolio!R282</f>
        <v/>
      </c>
      <c r="O283" s="50" t="str">
        <f>Portfolio!S282</f>
        <v/>
      </c>
      <c r="Q283" s="50" t="str">
        <f>Portfolio!U282</f>
        <v/>
      </c>
      <c r="S283" s="50" t="str">
        <f>Portfolio!W282</f>
        <v/>
      </c>
      <c r="T283" s="50" t="str">
        <f>Portfolio!X282</f>
        <v/>
      </c>
      <c r="U283" s="50" t="str">
        <f>Portfolio!Y282</f>
        <v/>
      </c>
      <c r="V283" s="50" t="str">
        <f>Portfolio!Z282</f>
        <v/>
      </c>
      <c r="W283" s="14" t="str">
        <f>Portfolio!AA282</f>
        <v/>
      </c>
      <c r="X283" s="50" t="str">
        <f>Portfolio!AB282</f>
        <v/>
      </c>
      <c r="Y283" s="179" t="str">
        <f>Portfolio!AC282</f>
        <v/>
      </c>
      <c r="Z283" s="50" t="str">
        <f>Portfolio!AD282</f>
        <v/>
      </c>
      <c r="AA283" s="180" t="str">
        <f>Portfolio!AE282</f>
        <v/>
      </c>
    </row>
    <row r="284">
      <c r="A284" s="14" t="str">
        <f>Portfolio!A283</f>
        <v/>
      </c>
      <c r="B284" s="14" t="str">
        <f>Portfolio!B283</f>
        <v/>
      </c>
      <c r="C284" s="158" t="str">
        <f>Portfolio!C283</f>
        <v/>
      </c>
      <c r="D284" s="96" t="str">
        <f>Portfolio!D283</f>
        <v/>
      </c>
      <c r="E284" s="96" t="str">
        <f>Portfolio!E283</f>
        <v/>
      </c>
      <c r="F284" s="96" t="str">
        <f>Portfolio!G283</f>
        <v/>
      </c>
      <c r="G284" s="50" t="str">
        <f>Portfolio!H283</f>
        <v/>
      </c>
      <c r="H284" s="96" t="str">
        <f>Portfolio!I283</f>
        <v/>
      </c>
      <c r="I284" s="96" t="str">
        <f>Portfolio!J283</f>
        <v/>
      </c>
      <c r="J284" s="96" t="str">
        <f>Portfolio!K283</f>
        <v/>
      </c>
      <c r="K284" s="50" t="str">
        <f>Portfolio!O283</f>
        <v/>
      </c>
      <c r="L284" s="96" t="str">
        <f>Portfolio!P283</f>
        <v/>
      </c>
      <c r="M284" s="96" t="str">
        <f>Portfolio!Q283</f>
        <v/>
      </c>
      <c r="N284" s="14" t="str">
        <f>Portfolio!R283</f>
        <v/>
      </c>
      <c r="O284" s="50" t="str">
        <f>Portfolio!S283</f>
        <v/>
      </c>
      <c r="Q284" s="50" t="str">
        <f>Portfolio!U283</f>
        <v/>
      </c>
      <c r="S284" s="50" t="str">
        <f>Portfolio!W283</f>
        <v/>
      </c>
      <c r="T284" s="50" t="str">
        <f>Portfolio!X283</f>
        <v/>
      </c>
      <c r="U284" s="50" t="str">
        <f>Portfolio!Y283</f>
        <v/>
      </c>
      <c r="V284" s="50" t="str">
        <f>Portfolio!Z283</f>
        <v/>
      </c>
      <c r="W284" s="14" t="str">
        <f>Portfolio!AA283</f>
        <v/>
      </c>
      <c r="X284" s="50" t="str">
        <f>Portfolio!AB283</f>
        <v/>
      </c>
      <c r="Y284" s="179" t="str">
        <f>Portfolio!AC283</f>
        <v/>
      </c>
      <c r="Z284" s="50" t="str">
        <f>Portfolio!AD283</f>
        <v/>
      </c>
      <c r="AA284" s="180" t="str">
        <f>Portfolio!AE283</f>
        <v/>
      </c>
    </row>
    <row r="285">
      <c r="A285" s="14" t="str">
        <f>Portfolio!A284</f>
        <v/>
      </c>
      <c r="B285" s="14" t="str">
        <f>Portfolio!B284</f>
        <v/>
      </c>
      <c r="C285" s="158" t="str">
        <f>Portfolio!C284</f>
        <v/>
      </c>
      <c r="D285" s="96" t="str">
        <f>Portfolio!D284</f>
        <v/>
      </c>
      <c r="E285" s="96" t="str">
        <f>Portfolio!E284</f>
        <v/>
      </c>
      <c r="F285" s="96" t="str">
        <f>Portfolio!G284</f>
        <v/>
      </c>
      <c r="G285" s="50" t="str">
        <f>Portfolio!H284</f>
        <v/>
      </c>
      <c r="H285" s="96" t="str">
        <f>Portfolio!I284</f>
        <v/>
      </c>
      <c r="I285" s="96" t="str">
        <f>Portfolio!J284</f>
        <v/>
      </c>
      <c r="J285" s="96" t="str">
        <f>Portfolio!K284</f>
        <v/>
      </c>
      <c r="K285" s="50" t="str">
        <f>Portfolio!O284</f>
        <v/>
      </c>
      <c r="L285" s="96" t="str">
        <f>Portfolio!P284</f>
        <v/>
      </c>
      <c r="M285" s="96" t="str">
        <f>Portfolio!Q284</f>
        <v/>
      </c>
      <c r="N285" s="14" t="str">
        <f>Portfolio!R284</f>
        <v/>
      </c>
      <c r="O285" s="50" t="str">
        <f>Portfolio!S284</f>
        <v/>
      </c>
      <c r="Q285" s="50" t="str">
        <f>Portfolio!U284</f>
        <v/>
      </c>
      <c r="S285" s="50" t="str">
        <f>Portfolio!W284</f>
        <v/>
      </c>
      <c r="T285" s="50" t="str">
        <f>Portfolio!X284</f>
        <v/>
      </c>
      <c r="U285" s="50" t="str">
        <f>Portfolio!Y284</f>
        <v/>
      </c>
      <c r="V285" s="50" t="str">
        <f>Portfolio!Z284</f>
        <v/>
      </c>
      <c r="W285" s="14" t="str">
        <f>Portfolio!AA284</f>
        <v/>
      </c>
      <c r="X285" s="50" t="str">
        <f>Portfolio!AB284</f>
        <v/>
      </c>
      <c r="Y285" s="179" t="str">
        <f>Portfolio!AC284</f>
        <v/>
      </c>
      <c r="Z285" s="50" t="str">
        <f>Portfolio!AD284</f>
        <v/>
      </c>
      <c r="AA285" s="180" t="str">
        <f>Portfolio!AE284</f>
        <v/>
      </c>
    </row>
    <row r="286">
      <c r="A286" s="14" t="str">
        <f>Portfolio!A285</f>
        <v/>
      </c>
      <c r="B286" s="14" t="str">
        <f>Portfolio!B285</f>
        <v/>
      </c>
      <c r="C286" s="158" t="str">
        <f>Portfolio!C285</f>
        <v/>
      </c>
      <c r="D286" s="96" t="str">
        <f>Portfolio!D285</f>
        <v/>
      </c>
      <c r="E286" s="96" t="str">
        <f>Portfolio!E285</f>
        <v/>
      </c>
      <c r="F286" s="96" t="str">
        <f>Portfolio!G285</f>
        <v/>
      </c>
      <c r="G286" s="50" t="str">
        <f>Portfolio!H285</f>
        <v/>
      </c>
      <c r="H286" s="96" t="str">
        <f>Portfolio!I285</f>
        <v/>
      </c>
      <c r="I286" s="96" t="str">
        <f>Portfolio!J285</f>
        <v/>
      </c>
      <c r="J286" s="96" t="str">
        <f>Portfolio!K285</f>
        <v/>
      </c>
      <c r="K286" s="50" t="str">
        <f>Portfolio!O285</f>
        <v/>
      </c>
      <c r="L286" s="96" t="str">
        <f>Portfolio!P285</f>
        <v/>
      </c>
      <c r="M286" s="96" t="str">
        <f>Portfolio!Q285</f>
        <v/>
      </c>
      <c r="N286" s="14" t="str">
        <f>Portfolio!R285</f>
        <v/>
      </c>
      <c r="O286" s="50" t="str">
        <f>Portfolio!S285</f>
        <v/>
      </c>
      <c r="Q286" s="50" t="str">
        <f>Portfolio!U285</f>
        <v/>
      </c>
      <c r="S286" s="50" t="str">
        <f>Portfolio!W285</f>
        <v/>
      </c>
      <c r="T286" s="50" t="str">
        <f>Portfolio!X285</f>
        <v/>
      </c>
      <c r="U286" s="50" t="str">
        <f>Portfolio!Y285</f>
        <v/>
      </c>
      <c r="V286" s="50" t="str">
        <f>Portfolio!Z285</f>
        <v/>
      </c>
      <c r="W286" s="14" t="str">
        <f>Portfolio!AA285</f>
        <v/>
      </c>
      <c r="X286" s="50" t="str">
        <f>Portfolio!AB285</f>
        <v/>
      </c>
      <c r="Y286" s="179" t="str">
        <f>Portfolio!AC285</f>
        <v/>
      </c>
      <c r="Z286" s="50" t="str">
        <f>Portfolio!AD285</f>
        <v/>
      </c>
      <c r="AA286" s="180" t="str">
        <f>Portfolio!AE285</f>
        <v/>
      </c>
    </row>
    <row r="287">
      <c r="A287" s="14" t="str">
        <f>Portfolio!A286</f>
        <v/>
      </c>
      <c r="B287" s="14" t="str">
        <f>Portfolio!B286</f>
        <v/>
      </c>
      <c r="C287" s="158" t="str">
        <f>Portfolio!C286</f>
        <v/>
      </c>
      <c r="D287" s="96" t="str">
        <f>Portfolio!D286</f>
        <v/>
      </c>
      <c r="E287" s="96" t="str">
        <f>Portfolio!E286</f>
        <v/>
      </c>
      <c r="F287" s="96" t="str">
        <f>Portfolio!G286</f>
        <v/>
      </c>
      <c r="G287" s="50" t="str">
        <f>Portfolio!H286</f>
        <v/>
      </c>
      <c r="H287" s="96" t="str">
        <f>Portfolio!I286</f>
        <v/>
      </c>
      <c r="I287" s="96" t="str">
        <f>Portfolio!J286</f>
        <v/>
      </c>
      <c r="J287" s="96" t="str">
        <f>Portfolio!K286</f>
        <v/>
      </c>
      <c r="K287" s="50" t="str">
        <f>Portfolio!O286</f>
        <v/>
      </c>
      <c r="L287" s="96" t="str">
        <f>Portfolio!P286</f>
        <v/>
      </c>
      <c r="M287" s="96" t="str">
        <f>Portfolio!Q286</f>
        <v/>
      </c>
      <c r="N287" s="14" t="str">
        <f>Portfolio!R286</f>
        <v/>
      </c>
      <c r="O287" s="50" t="str">
        <f>Portfolio!S286</f>
        <v/>
      </c>
      <c r="Q287" s="50" t="str">
        <f>Portfolio!U286</f>
        <v/>
      </c>
      <c r="S287" s="50" t="str">
        <f>Portfolio!W286</f>
        <v/>
      </c>
      <c r="T287" s="50" t="str">
        <f>Portfolio!X286</f>
        <v/>
      </c>
      <c r="U287" s="50" t="str">
        <f>Portfolio!Y286</f>
        <v/>
      </c>
      <c r="V287" s="50" t="str">
        <f>Portfolio!Z286</f>
        <v/>
      </c>
      <c r="W287" s="14" t="str">
        <f>Portfolio!AA286</f>
        <v/>
      </c>
      <c r="X287" s="50" t="str">
        <f>Portfolio!AB286</f>
        <v/>
      </c>
      <c r="Y287" s="179" t="str">
        <f>Portfolio!AC286</f>
        <v/>
      </c>
      <c r="Z287" s="50" t="str">
        <f>Portfolio!AD286</f>
        <v/>
      </c>
      <c r="AA287" s="180" t="str">
        <f>Portfolio!AE286</f>
        <v/>
      </c>
    </row>
    <row r="288">
      <c r="A288" s="14" t="str">
        <f>Portfolio!A287</f>
        <v/>
      </c>
      <c r="B288" s="14" t="str">
        <f>Portfolio!B287</f>
        <v/>
      </c>
      <c r="C288" s="158" t="str">
        <f>Portfolio!C287</f>
        <v/>
      </c>
      <c r="D288" s="96" t="str">
        <f>Portfolio!D287</f>
        <v/>
      </c>
      <c r="E288" s="96" t="str">
        <f>Portfolio!E287</f>
        <v/>
      </c>
      <c r="F288" s="96" t="str">
        <f>Portfolio!G287</f>
        <v/>
      </c>
      <c r="G288" s="50" t="str">
        <f>Portfolio!H287</f>
        <v/>
      </c>
      <c r="H288" s="96" t="str">
        <f>Portfolio!I287</f>
        <v/>
      </c>
      <c r="I288" s="96" t="str">
        <f>Portfolio!J287</f>
        <v/>
      </c>
      <c r="J288" s="96" t="str">
        <f>Portfolio!K287</f>
        <v/>
      </c>
      <c r="K288" s="50" t="str">
        <f>Portfolio!O287</f>
        <v/>
      </c>
      <c r="L288" s="96" t="str">
        <f>Portfolio!P287</f>
        <v/>
      </c>
      <c r="M288" s="96" t="str">
        <f>Portfolio!Q287</f>
        <v/>
      </c>
      <c r="N288" s="14" t="str">
        <f>Portfolio!R287</f>
        <v/>
      </c>
      <c r="O288" s="50" t="str">
        <f>Portfolio!S287</f>
        <v/>
      </c>
      <c r="Q288" s="50" t="str">
        <f>Portfolio!U287</f>
        <v/>
      </c>
      <c r="S288" s="50" t="str">
        <f>Portfolio!W287</f>
        <v/>
      </c>
      <c r="T288" s="50" t="str">
        <f>Portfolio!X287</f>
        <v/>
      </c>
      <c r="U288" s="50" t="str">
        <f>Portfolio!Y287</f>
        <v/>
      </c>
      <c r="V288" s="50" t="str">
        <f>Portfolio!Z287</f>
        <v/>
      </c>
      <c r="W288" s="14" t="str">
        <f>Portfolio!AA287</f>
        <v/>
      </c>
      <c r="X288" s="50" t="str">
        <f>Portfolio!AB287</f>
        <v/>
      </c>
      <c r="Y288" s="179" t="str">
        <f>Portfolio!AC287</f>
        <v/>
      </c>
      <c r="Z288" s="50" t="str">
        <f>Portfolio!AD287</f>
        <v/>
      </c>
      <c r="AA288" s="180" t="str">
        <f>Portfolio!AE287</f>
        <v/>
      </c>
    </row>
    <row r="289">
      <c r="A289" s="14" t="str">
        <f>Portfolio!A288</f>
        <v/>
      </c>
      <c r="B289" s="14" t="str">
        <f>Portfolio!B288</f>
        <v/>
      </c>
      <c r="C289" s="158" t="str">
        <f>Portfolio!C288</f>
        <v/>
      </c>
      <c r="D289" s="96" t="str">
        <f>Portfolio!D288</f>
        <v/>
      </c>
      <c r="E289" s="96" t="str">
        <f>Portfolio!E288</f>
        <v/>
      </c>
      <c r="F289" s="96" t="str">
        <f>Portfolio!G288</f>
        <v/>
      </c>
      <c r="G289" s="50" t="str">
        <f>Portfolio!H288</f>
        <v/>
      </c>
      <c r="H289" s="96" t="str">
        <f>Portfolio!I288</f>
        <v/>
      </c>
      <c r="I289" s="96" t="str">
        <f>Portfolio!J288</f>
        <v/>
      </c>
      <c r="J289" s="96" t="str">
        <f>Portfolio!K288</f>
        <v/>
      </c>
      <c r="K289" s="50" t="str">
        <f>Portfolio!O288</f>
        <v/>
      </c>
      <c r="L289" s="96" t="str">
        <f>Portfolio!P288</f>
        <v/>
      </c>
      <c r="M289" s="96" t="str">
        <f>Portfolio!Q288</f>
        <v/>
      </c>
      <c r="N289" s="14" t="str">
        <f>Portfolio!R288</f>
        <v/>
      </c>
      <c r="O289" s="50" t="str">
        <f>Portfolio!S288</f>
        <v/>
      </c>
      <c r="Q289" s="50" t="str">
        <f>Portfolio!U288</f>
        <v/>
      </c>
      <c r="S289" s="50" t="str">
        <f>Portfolio!W288</f>
        <v/>
      </c>
      <c r="T289" s="50" t="str">
        <f>Portfolio!X288</f>
        <v/>
      </c>
      <c r="U289" s="50" t="str">
        <f>Portfolio!Y288</f>
        <v/>
      </c>
      <c r="V289" s="50" t="str">
        <f>Portfolio!Z288</f>
        <v/>
      </c>
      <c r="W289" s="14" t="str">
        <f>Portfolio!AA288</f>
        <v/>
      </c>
      <c r="X289" s="50" t="str">
        <f>Portfolio!AB288</f>
        <v/>
      </c>
      <c r="Y289" s="179" t="str">
        <f>Portfolio!AC288</f>
        <v/>
      </c>
      <c r="Z289" s="50" t="str">
        <f>Portfolio!AD288</f>
        <v/>
      </c>
      <c r="AA289" s="180" t="str">
        <f>Portfolio!AE288</f>
        <v/>
      </c>
    </row>
    <row r="290">
      <c r="A290" s="14" t="str">
        <f>Portfolio!A289</f>
        <v/>
      </c>
      <c r="B290" s="14" t="str">
        <f>Portfolio!B289</f>
        <v/>
      </c>
      <c r="C290" s="158" t="str">
        <f>Portfolio!C289</f>
        <v/>
      </c>
      <c r="D290" s="96" t="str">
        <f>Portfolio!D289</f>
        <v/>
      </c>
      <c r="E290" s="96" t="str">
        <f>Portfolio!E289</f>
        <v/>
      </c>
      <c r="F290" s="96" t="str">
        <f>Portfolio!G289</f>
        <v/>
      </c>
      <c r="G290" s="50" t="str">
        <f>Portfolio!H289</f>
        <v/>
      </c>
      <c r="H290" s="96" t="str">
        <f>Portfolio!I289</f>
        <v/>
      </c>
      <c r="I290" s="96" t="str">
        <f>Portfolio!J289</f>
        <v/>
      </c>
      <c r="J290" s="96" t="str">
        <f>Portfolio!K289</f>
        <v/>
      </c>
      <c r="K290" s="50" t="str">
        <f>Portfolio!O289</f>
        <v/>
      </c>
      <c r="L290" s="96" t="str">
        <f>Portfolio!P289</f>
        <v/>
      </c>
      <c r="M290" s="96" t="str">
        <f>Portfolio!Q289</f>
        <v/>
      </c>
      <c r="N290" s="14" t="str">
        <f>Portfolio!R289</f>
        <v/>
      </c>
      <c r="O290" s="50" t="str">
        <f>Portfolio!S289</f>
        <v/>
      </c>
      <c r="Q290" s="50" t="str">
        <f>Portfolio!U289</f>
        <v/>
      </c>
      <c r="S290" s="50" t="str">
        <f>Portfolio!W289</f>
        <v/>
      </c>
      <c r="T290" s="50" t="str">
        <f>Portfolio!X289</f>
        <v/>
      </c>
      <c r="U290" s="50" t="str">
        <f>Portfolio!Y289</f>
        <v/>
      </c>
      <c r="V290" s="50" t="str">
        <f>Portfolio!Z289</f>
        <v/>
      </c>
      <c r="W290" s="14" t="str">
        <f>Portfolio!AA289</f>
        <v/>
      </c>
      <c r="X290" s="50" t="str">
        <f>Portfolio!AB289</f>
        <v/>
      </c>
      <c r="Y290" s="179" t="str">
        <f>Portfolio!AC289</f>
        <v/>
      </c>
      <c r="Z290" s="50" t="str">
        <f>Portfolio!AD289</f>
        <v/>
      </c>
      <c r="AA290" s="180" t="str">
        <f>Portfolio!AE289</f>
        <v/>
      </c>
    </row>
    <row r="291">
      <c r="A291" s="14" t="str">
        <f>Portfolio!A290</f>
        <v/>
      </c>
      <c r="B291" s="14" t="str">
        <f>Portfolio!B290</f>
        <v/>
      </c>
      <c r="C291" s="158" t="str">
        <f>Portfolio!C290</f>
        <v/>
      </c>
      <c r="D291" s="96" t="str">
        <f>Portfolio!D290</f>
        <v/>
      </c>
      <c r="E291" s="96" t="str">
        <f>Portfolio!E290</f>
        <v/>
      </c>
      <c r="F291" s="96" t="str">
        <f>Portfolio!G290</f>
        <v/>
      </c>
      <c r="G291" s="50" t="str">
        <f>Portfolio!H290</f>
        <v/>
      </c>
      <c r="H291" s="96" t="str">
        <f>Portfolio!I290</f>
        <v/>
      </c>
      <c r="I291" s="96" t="str">
        <f>Portfolio!J290</f>
        <v/>
      </c>
      <c r="J291" s="96" t="str">
        <f>Portfolio!K290</f>
        <v/>
      </c>
      <c r="K291" s="50" t="str">
        <f>Portfolio!O290</f>
        <v/>
      </c>
      <c r="L291" s="96" t="str">
        <f>Portfolio!P290</f>
        <v/>
      </c>
      <c r="M291" s="96" t="str">
        <f>Portfolio!Q290</f>
        <v/>
      </c>
      <c r="N291" s="14" t="str">
        <f>Portfolio!R290</f>
        <v/>
      </c>
      <c r="O291" s="50" t="str">
        <f>Portfolio!S290</f>
        <v/>
      </c>
      <c r="Q291" s="50" t="str">
        <f>Portfolio!U290</f>
        <v/>
      </c>
      <c r="S291" s="50" t="str">
        <f>Portfolio!W290</f>
        <v/>
      </c>
      <c r="T291" s="50" t="str">
        <f>Portfolio!X290</f>
        <v/>
      </c>
      <c r="U291" s="50" t="str">
        <f>Portfolio!Y290</f>
        <v/>
      </c>
      <c r="V291" s="50" t="str">
        <f>Portfolio!Z290</f>
        <v/>
      </c>
      <c r="W291" s="14" t="str">
        <f>Portfolio!AA290</f>
        <v/>
      </c>
      <c r="X291" s="50" t="str">
        <f>Portfolio!AB290</f>
        <v/>
      </c>
      <c r="Y291" s="179" t="str">
        <f>Portfolio!AC290</f>
        <v/>
      </c>
      <c r="Z291" s="50" t="str">
        <f>Portfolio!AD290</f>
        <v/>
      </c>
      <c r="AA291" s="180" t="str">
        <f>Portfolio!AE290</f>
        <v/>
      </c>
    </row>
    <row r="292">
      <c r="A292" s="14" t="str">
        <f>Portfolio!A291</f>
        <v/>
      </c>
      <c r="B292" s="14" t="str">
        <f>Portfolio!B291</f>
        <v/>
      </c>
      <c r="C292" s="158" t="str">
        <f>Portfolio!C291</f>
        <v/>
      </c>
      <c r="D292" s="96" t="str">
        <f>Portfolio!D291</f>
        <v/>
      </c>
      <c r="E292" s="96" t="str">
        <f>Portfolio!E291</f>
        <v/>
      </c>
      <c r="F292" s="96" t="str">
        <f>Portfolio!G291</f>
        <v/>
      </c>
      <c r="G292" s="50" t="str">
        <f>Portfolio!H291</f>
        <v/>
      </c>
      <c r="H292" s="96" t="str">
        <f>Portfolio!I291</f>
        <v/>
      </c>
      <c r="I292" s="96" t="str">
        <f>Portfolio!J291</f>
        <v/>
      </c>
      <c r="J292" s="96" t="str">
        <f>Portfolio!K291</f>
        <v/>
      </c>
      <c r="K292" s="50" t="str">
        <f>Portfolio!O291</f>
        <v/>
      </c>
      <c r="L292" s="96" t="str">
        <f>Portfolio!P291</f>
        <v/>
      </c>
      <c r="M292" s="96" t="str">
        <f>Portfolio!Q291</f>
        <v/>
      </c>
      <c r="N292" s="14" t="str">
        <f>Portfolio!R291</f>
        <v/>
      </c>
      <c r="O292" s="50" t="str">
        <f>Portfolio!S291</f>
        <v/>
      </c>
      <c r="Q292" s="50" t="str">
        <f>Portfolio!U291</f>
        <v/>
      </c>
      <c r="S292" s="50" t="str">
        <f>Portfolio!W291</f>
        <v/>
      </c>
      <c r="T292" s="50" t="str">
        <f>Portfolio!X291</f>
        <v/>
      </c>
      <c r="U292" s="50" t="str">
        <f>Portfolio!Y291</f>
        <v/>
      </c>
      <c r="V292" s="50" t="str">
        <f>Portfolio!Z291</f>
        <v/>
      </c>
      <c r="W292" s="14" t="str">
        <f>Portfolio!AA291</f>
        <v/>
      </c>
      <c r="X292" s="50" t="str">
        <f>Portfolio!AB291</f>
        <v/>
      </c>
      <c r="Y292" s="179" t="str">
        <f>Portfolio!AC291</f>
        <v/>
      </c>
      <c r="Z292" s="50" t="str">
        <f>Portfolio!AD291</f>
        <v/>
      </c>
      <c r="AA292" s="180" t="str">
        <f>Portfolio!AE291</f>
        <v/>
      </c>
    </row>
    <row r="293">
      <c r="A293" s="14" t="str">
        <f>Portfolio!A292</f>
        <v/>
      </c>
      <c r="B293" s="14" t="str">
        <f>Portfolio!B292</f>
        <v/>
      </c>
      <c r="C293" s="158" t="str">
        <f>Portfolio!C292</f>
        <v/>
      </c>
      <c r="D293" s="96" t="str">
        <f>Portfolio!D292</f>
        <v/>
      </c>
      <c r="E293" s="96" t="str">
        <f>Portfolio!E292</f>
        <v/>
      </c>
      <c r="F293" s="96" t="str">
        <f>Portfolio!G292</f>
        <v/>
      </c>
      <c r="G293" s="50" t="str">
        <f>Portfolio!H292</f>
        <v/>
      </c>
      <c r="H293" s="96" t="str">
        <f>Portfolio!I292</f>
        <v/>
      </c>
      <c r="I293" s="96" t="str">
        <f>Portfolio!J292</f>
        <v/>
      </c>
      <c r="J293" s="96" t="str">
        <f>Portfolio!K292</f>
        <v/>
      </c>
      <c r="K293" s="50" t="str">
        <f>Portfolio!O292</f>
        <v/>
      </c>
      <c r="L293" s="96" t="str">
        <f>Portfolio!P292</f>
        <v/>
      </c>
      <c r="M293" s="96" t="str">
        <f>Portfolio!Q292</f>
        <v/>
      </c>
      <c r="N293" s="14" t="str">
        <f>Portfolio!R292</f>
        <v/>
      </c>
      <c r="O293" s="50" t="str">
        <f>Portfolio!S292</f>
        <v/>
      </c>
      <c r="Q293" s="50" t="str">
        <f>Portfolio!U292</f>
        <v/>
      </c>
      <c r="S293" s="50" t="str">
        <f>Portfolio!W292</f>
        <v/>
      </c>
      <c r="T293" s="50" t="str">
        <f>Portfolio!X292</f>
        <v/>
      </c>
      <c r="U293" s="50" t="str">
        <f>Portfolio!Y292</f>
        <v/>
      </c>
      <c r="V293" s="50" t="str">
        <f>Portfolio!Z292</f>
        <v/>
      </c>
      <c r="W293" s="14" t="str">
        <f>Portfolio!AA292</f>
        <v/>
      </c>
      <c r="X293" s="50" t="str">
        <f>Portfolio!AB292</f>
        <v/>
      </c>
      <c r="Y293" s="179" t="str">
        <f>Portfolio!AC292</f>
        <v/>
      </c>
      <c r="Z293" s="50" t="str">
        <f>Portfolio!AD292</f>
        <v/>
      </c>
      <c r="AA293" s="180" t="str">
        <f>Portfolio!AE292</f>
        <v/>
      </c>
    </row>
    <row r="294">
      <c r="A294" s="14" t="str">
        <f>Portfolio!A293</f>
        <v/>
      </c>
      <c r="B294" s="14" t="str">
        <f>Portfolio!B293</f>
        <v/>
      </c>
      <c r="C294" s="158" t="str">
        <f>Portfolio!C293</f>
        <v/>
      </c>
      <c r="D294" s="96" t="str">
        <f>Portfolio!D293</f>
        <v/>
      </c>
      <c r="E294" s="96" t="str">
        <f>Portfolio!E293</f>
        <v/>
      </c>
      <c r="F294" s="96" t="str">
        <f>Portfolio!G293</f>
        <v/>
      </c>
      <c r="G294" s="50" t="str">
        <f>Portfolio!H293</f>
        <v/>
      </c>
      <c r="H294" s="96" t="str">
        <f>Portfolio!I293</f>
        <v/>
      </c>
      <c r="I294" s="96" t="str">
        <f>Portfolio!J293</f>
        <v/>
      </c>
      <c r="J294" s="96" t="str">
        <f>Portfolio!K293</f>
        <v/>
      </c>
      <c r="K294" s="50" t="str">
        <f>Portfolio!O293</f>
        <v/>
      </c>
      <c r="L294" s="96" t="str">
        <f>Portfolio!P293</f>
        <v/>
      </c>
      <c r="M294" s="96" t="str">
        <f>Portfolio!Q293</f>
        <v/>
      </c>
      <c r="N294" s="14" t="str">
        <f>Portfolio!R293</f>
        <v/>
      </c>
      <c r="O294" s="50" t="str">
        <f>Portfolio!S293</f>
        <v/>
      </c>
      <c r="Q294" s="50" t="str">
        <f>Portfolio!U293</f>
        <v/>
      </c>
      <c r="S294" s="50" t="str">
        <f>Portfolio!W293</f>
        <v/>
      </c>
      <c r="T294" s="50" t="str">
        <f>Portfolio!X293</f>
        <v/>
      </c>
      <c r="U294" s="50" t="str">
        <f>Portfolio!Y293</f>
        <v/>
      </c>
      <c r="V294" s="50" t="str">
        <f>Portfolio!Z293</f>
        <v/>
      </c>
      <c r="W294" s="14" t="str">
        <f>Portfolio!AA293</f>
        <v/>
      </c>
      <c r="X294" s="50" t="str">
        <f>Portfolio!AB293</f>
        <v/>
      </c>
      <c r="Y294" s="179" t="str">
        <f>Portfolio!AC293</f>
        <v/>
      </c>
      <c r="Z294" s="50" t="str">
        <f>Portfolio!AD293</f>
        <v/>
      </c>
      <c r="AA294" s="180" t="str">
        <f>Portfolio!AE293</f>
        <v/>
      </c>
    </row>
    <row r="295">
      <c r="A295" s="14" t="str">
        <f>Portfolio!A294</f>
        <v/>
      </c>
      <c r="B295" s="14" t="str">
        <f>Portfolio!B294</f>
        <v/>
      </c>
      <c r="C295" s="158" t="str">
        <f>Portfolio!C294</f>
        <v/>
      </c>
      <c r="D295" s="96" t="str">
        <f>Portfolio!D294</f>
        <v/>
      </c>
      <c r="E295" s="96" t="str">
        <f>Portfolio!E294</f>
        <v/>
      </c>
      <c r="F295" s="96" t="str">
        <f>Portfolio!G294</f>
        <v/>
      </c>
      <c r="G295" s="50" t="str">
        <f>Portfolio!H294</f>
        <v/>
      </c>
      <c r="H295" s="96" t="str">
        <f>Portfolio!I294</f>
        <v/>
      </c>
      <c r="I295" s="96" t="str">
        <f>Portfolio!J294</f>
        <v/>
      </c>
      <c r="J295" s="96" t="str">
        <f>Portfolio!K294</f>
        <v/>
      </c>
      <c r="K295" s="50" t="str">
        <f>Portfolio!O294</f>
        <v/>
      </c>
      <c r="L295" s="96" t="str">
        <f>Portfolio!P294</f>
        <v/>
      </c>
      <c r="M295" s="96" t="str">
        <f>Portfolio!Q294</f>
        <v/>
      </c>
      <c r="N295" s="14" t="str">
        <f>Portfolio!R294</f>
        <v/>
      </c>
      <c r="O295" s="50" t="str">
        <f>Portfolio!S294</f>
        <v/>
      </c>
      <c r="Q295" s="50" t="str">
        <f>Portfolio!U294</f>
        <v/>
      </c>
      <c r="S295" s="50" t="str">
        <f>Portfolio!W294</f>
        <v/>
      </c>
      <c r="T295" s="50" t="str">
        <f>Portfolio!X294</f>
        <v/>
      </c>
      <c r="U295" s="50" t="str">
        <f>Portfolio!Y294</f>
        <v/>
      </c>
      <c r="V295" s="50" t="str">
        <f>Portfolio!Z294</f>
        <v/>
      </c>
      <c r="W295" s="14" t="str">
        <f>Portfolio!AA294</f>
        <v/>
      </c>
      <c r="X295" s="50" t="str">
        <f>Portfolio!AB294</f>
        <v/>
      </c>
      <c r="Y295" s="179" t="str">
        <f>Portfolio!AC294</f>
        <v/>
      </c>
      <c r="Z295" s="50" t="str">
        <f>Portfolio!AD294</f>
        <v/>
      </c>
      <c r="AA295" s="180" t="str">
        <f>Portfolio!AE294</f>
        <v/>
      </c>
    </row>
    <row r="296">
      <c r="A296" s="14" t="str">
        <f>Portfolio!A295</f>
        <v/>
      </c>
      <c r="B296" s="14" t="str">
        <f>Portfolio!B295</f>
        <v/>
      </c>
      <c r="C296" s="158" t="str">
        <f>Portfolio!C295</f>
        <v/>
      </c>
      <c r="D296" s="96" t="str">
        <f>Portfolio!D295</f>
        <v/>
      </c>
      <c r="E296" s="96" t="str">
        <f>Portfolio!E295</f>
        <v/>
      </c>
      <c r="F296" s="96" t="str">
        <f>Portfolio!G295</f>
        <v/>
      </c>
      <c r="G296" s="50" t="str">
        <f>Portfolio!H295</f>
        <v/>
      </c>
      <c r="H296" s="96" t="str">
        <f>Portfolio!I295</f>
        <v/>
      </c>
      <c r="I296" s="96" t="str">
        <f>Portfolio!J295</f>
        <v/>
      </c>
      <c r="J296" s="96" t="str">
        <f>Portfolio!K295</f>
        <v/>
      </c>
      <c r="K296" s="50" t="str">
        <f>Portfolio!O295</f>
        <v/>
      </c>
      <c r="L296" s="96" t="str">
        <f>Portfolio!P295</f>
        <v/>
      </c>
      <c r="M296" s="96" t="str">
        <f>Portfolio!Q295</f>
        <v/>
      </c>
      <c r="N296" s="14" t="str">
        <f>Portfolio!R295</f>
        <v/>
      </c>
      <c r="O296" s="50" t="str">
        <f>Portfolio!S295</f>
        <v/>
      </c>
      <c r="Q296" s="50" t="str">
        <f>Portfolio!U295</f>
        <v/>
      </c>
      <c r="S296" s="50" t="str">
        <f>Portfolio!W295</f>
        <v/>
      </c>
      <c r="T296" s="50" t="str">
        <f>Portfolio!X295</f>
        <v/>
      </c>
      <c r="U296" s="50" t="str">
        <f>Portfolio!Y295</f>
        <v/>
      </c>
      <c r="V296" s="50" t="str">
        <f>Portfolio!Z295</f>
        <v/>
      </c>
      <c r="W296" s="14" t="str">
        <f>Portfolio!AA295</f>
        <v/>
      </c>
      <c r="X296" s="50" t="str">
        <f>Portfolio!AB295</f>
        <v/>
      </c>
      <c r="Y296" s="179" t="str">
        <f>Portfolio!AC295</f>
        <v/>
      </c>
      <c r="Z296" s="50" t="str">
        <f>Portfolio!AD295</f>
        <v/>
      </c>
      <c r="AA296" s="180" t="str">
        <f>Portfolio!AE295</f>
        <v/>
      </c>
    </row>
    <row r="297">
      <c r="A297" s="14" t="str">
        <f>Portfolio!A296</f>
        <v/>
      </c>
      <c r="B297" s="14" t="str">
        <f>Portfolio!B296</f>
        <v/>
      </c>
      <c r="C297" s="158" t="str">
        <f>Portfolio!C296</f>
        <v/>
      </c>
      <c r="D297" s="96" t="str">
        <f>Portfolio!D296</f>
        <v/>
      </c>
      <c r="E297" s="96" t="str">
        <f>Portfolio!E296</f>
        <v/>
      </c>
      <c r="F297" s="96" t="str">
        <f>Portfolio!G296</f>
        <v/>
      </c>
      <c r="G297" s="50" t="str">
        <f>Portfolio!H296</f>
        <v/>
      </c>
      <c r="H297" s="96" t="str">
        <f>Portfolio!I296</f>
        <v/>
      </c>
      <c r="I297" s="96" t="str">
        <f>Portfolio!J296</f>
        <v/>
      </c>
      <c r="J297" s="96" t="str">
        <f>Portfolio!K296</f>
        <v/>
      </c>
      <c r="K297" s="50" t="str">
        <f>Portfolio!O296</f>
        <v/>
      </c>
      <c r="L297" s="96" t="str">
        <f>Portfolio!P296</f>
        <v/>
      </c>
      <c r="M297" s="96" t="str">
        <f>Portfolio!Q296</f>
        <v/>
      </c>
      <c r="N297" s="14" t="str">
        <f>Portfolio!R296</f>
        <v/>
      </c>
      <c r="O297" s="50" t="str">
        <f>Portfolio!S296</f>
        <v/>
      </c>
      <c r="Q297" s="50" t="str">
        <f>Portfolio!U296</f>
        <v/>
      </c>
      <c r="S297" s="50" t="str">
        <f>Portfolio!W296</f>
        <v/>
      </c>
      <c r="T297" s="50" t="str">
        <f>Portfolio!X296</f>
        <v/>
      </c>
      <c r="U297" s="50" t="str">
        <f>Portfolio!Y296</f>
        <v/>
      </c>
      <c r="V297" s="50" t="str">
        <f>Portfolio!Z296</f>
        <v/>
      </c>
      <c r="W297" s="14" t="str">
        <f>Portfolio!AA296</f>
        <v/>
      </c>
      <c r="X297" s="50" t="str">
        <f>Portfolio!AB296</f>
        <v/>
      </c>
      <c r="Y297" s="179" t="str">
        <f>Portfolio!AC296</f>
        <v/>
      </c>
      <c r="Z297" s="50" t="str">
        <f>Portfolio!AD296</f>
        <v/>
      </c>
      <c r="AA297" s="180" t="str">
        <f>Portfolio!AE296</f>
        <v/>
      </c>
    </row>
    <row r="298">
      <c r="A298" s="14" t="str">
        <f>Portfolio!A297</f>
        <v/>
      </c>
      <c r="B298" s="14" t="str">
        <f>Portfolio!B297</f>
        <v/>
      </c>
      <c r="C298" s="158" t="str">
        <f>Portfolio!C297</f>
        <v/>
      </c>
      <c r="D298" s="96" t="str">
        <f>Portfolio!D297</f>
        <v/>
      </c>
      <c r="E298" s="96" t="str">
        <f>Portfolio!E297</f>
        <v/>
      </c>
      <c r="F298" s="96" t="str">
        <f>Portfolio!G297</f>
        <v/>
      </c>
      <c r="G298" s="50" t="str">
        <f>Portfolio!H297</f>
        <v/>
      </c>
      <c r="H298" s="96" t="str">
        <f>Portfolio!I297</f>
        <v/>
      </c>
      <c r="I298" s="96" t="str">
        <f>Portfolio!J297</f>
        <v/>
      </c>
      <c r="J298" s="96" t="str">
        <f>Portfolio!K297</f>
        <v/>
      </c>
      <c r="K298" s="50" t="str">
        <f>Portfolio!O297</f>
        <v/>
      </c>
      <c r="L298" s="96" t="str">
        <f>Portfolio!P297</f>
        <v/>
      </c>
      <c r="M298" s="96" t="str">
        <f>Portfolio!Q297</f>
        <v/>
      </c>
      <c r="N298" s="14" t="str">
        <f>Portfolio!R297</f>
        <v/>
      </c>
      <c r="O298" s="50" t="str">
        <f>Portfolio!S297</f>
        <v/>
      </c>
      <c r="Q298" s="50" t="str">
        <f>Portfolio!U297</f>
        <v/>
      </c>
      <c r="S298" s="50" t="str">
        <f>Portfolio!W297</f>
        <v/>
      </c>
      <c r="T298" s="50" t="str">
        <f>Portfolio!X297</f>
        <v/>
      </c>
      <c r="U298" s="50" t="str">
        <f>Portfolio!Y297</f>
        <v/>
      </c>
      <c r="V298" s="50" t="str">
        <f>Portfolio!Z297</f>
        <v/>
      </c>
      <c r="W298" s="14" t="str">
        <f>Portfolio!AA297</f>
        <v/>
      </c>
      <c r="X298" s="50" t="str">
        <f>Portfolio!AB297</f>
        <v/>
      </c>
      <c r="Y298" s="179" t="str">
        <f>Portfolio!AC297</f>
        <v/>
      </c>
      <c r="Z298" s="50" t="str">
        <f>Portfolio!AD297</f>
        <v/>
      </c>
      <c r="AA298" s="180" t="str">
        <f>Portfolio!AE297</f>
        <v/>
      </c>
    </row>
    <row r="299">
      <c r="A299" s="14" t="str">
        <f>Portfolio!A298</f>
        <v/>
      </c>
      <c r="B299" s="14" t="str">
        <f>Portfolio!B298</f>
        <v/>
      </c>
      <c r="C299" s="158" t="str">
        <f>Portfolio!C298</f>
        <v/>
      </c>
      <c r="D299" s="96" t="str">
        <f>Portfolio!D298</f>
        <v/>
      </c>
      <c r="E299" s="96" t="str">
        <f>Portfolio!E298</f>
        <v/>
      </c>
      <c r="F299" s="96" t="str">
        <f>Portfolio!G298</f>
        <v/>
      </c>
      <c r="G299" s="50" t="str">
        <f>Portfolio!H298</f>
        <v/>
      </c>
      <c r="H299" s="96" t="str">
        <f>Portfolio!I298</f>
        <v/>
      </c>
      <c r="I299" s="96" t="str">
        <f>Portfolio!J298</f>
        <v/>
      </c>
      <c r="J299" s="96" t="str">
        <f>Portfolio!K298</f>
        <v/>
      </c>
      <c r="K299" s="50" t="str">
        <f>Portfolio!O298</f>
        <v/>
      </c>
      <c r="L299" s="96" t="str">
        <f>Portfolio!P298</f>
        <v/>
      </c>
      <c r="M299" s="96" t="str">
        <f>Portfolio!Q298</f>
        <v/>
      </c>
      <c r="N299" s="14" t="str">
        <f>Portfolio!R298</f>
        <v/>
      </c>
      <c r="O299" s="50" t="str">
        <f>Portfolio!S298</f>
        <v/>
      </c>
      <c r="Q299" s="50" t="str">
        <f>Portfolio!U298</f>
        <v/>
      </c>
      <c r="S299" s="50" t="str">
        <f>Portfolio!W298</f>
        <v/>
      </c>
      <c r="T299" s="50" t="str">
        <f>Portfolio!X298</f>
        <v/>
      </c>
      <c r="U299" s="50" t="str">
        <f>Portfolio!Y298</f>
        <v/>
      </c>
      <c r="V299" s="50" t="str">
        <f>Portfolio!Z298</f>
        <v/>
      </c>
      <c r="W299" s="14" t="str">
        <f>Portfolio!AA298</f>
        <v/>
      </c>
      <c r="X299" s="50" t="str">
        <f>Portfolio!AB298</f>
        <v/>
      </c>
      <c r="Y299" s="179" t="str">
        <f>Portfolio!AC298</f>
        <v/>
      </c>
      <c r="Z299" s="50" t="str">
        <f>Portfolio!AD298</f>
        <v/>
      </c>
      <c r="AA299" s="180" t="str">
        <f>Portfolio!AE298</f>
        <v/>
      </c>
    </row>
    <row r="300">
      <c r="A300" s="14" t="str">
        <f>Portfolio!A299</f>
        <v/>
      </c>
      <c r="B300" s="14" t="str">
        <f>Portfolio!B299</f>
        <v/>
      </c>
      <c r="C300" s="158" t="str">
        <f>Portfolio!C299</f>
        <v/>
      </c>
      <c r="D300" s="96" t="str">
        <f>Portfolio!D299</f>
        <v/>
      </c>
      <c r="E300" s="96" t="str">
        <f>Portfolio!E299</f>
        <v/>
      </c>
      <c r="F300" s="96" t="str">
        <f>Portfolio!G299</f>
        <v/>
      </c>
      <c r="G300" s="50" t="str">
        <f>Portfolio!H299</f>
        <v/>
      </c>
      <c r="H300" s="96" t="str">
        <f>Portfolio!I299</f>
        <v/>
      </c>
      <c r="I300" s="96" t="str">
        <f>Portfolio!J299</f>
        <v/>
      </c>
      <c r="J300" s="96" t="str">
        <f>Portfolio!K299</f>
        <v/>
      </c>
      <c r="K300" s="50" t="str">
        <f>Portfolio!O299</f>
        <v/>
      </c>
      <c r="L300" s="96" t="str">
        <f>Portfolio!P299</f>
        <v/>
      </c>
      <c r="M300" s="96" t="str">
        <f>Portfolio!Q299</f>
        <v/>
      </c>
      <c r="N300" s="14" t="str">
        <f>Portfolio!R299</f>
        <v/>
      </c>
      <c r="O300" s="50" t="str">
        <f>Portfolio!S299</f>
        <v/>
      </c>
      <c r="Q300" s="50" t="str">
        <f>Portfolio!U299</f>
        <v/>
      </c>
      <c r="S300" s="50" t="str">
        <f>Portfolio!W299</f>
        <v/>
      </c>
      <c r="T300" s="50" t="str">
        <f>Portfolio!X299</f>
        <v/>
      </c>
      <c r="U300" s="50" t="str">
        <f>Portfolio!Y299</f>
        <v/>
      </c>
      <c r="V300" s="50" t="str">
        <f>Portfolio!Z299</f>
        <v/>
      </c>
      <c r="W300" s="14" t="str">
        <f>Portfolio!AA299</f>
        <v/>
      </c>
      <c r="X300" s="50" t="str">
        <f>Portfolio!AB299</f>
        <v/>
      </c>
      <c r="Y300" s="179" t="str">
        <f>Portfolio!AC299</f>
        <v/>
      </c>
      <c r="Z300" s="50" t="str">
        <f>Portfolio!AD299</f>
        <v/>
      </c>
      <c r="AA300" s="180" t="str">
        <f>Portfolio!AE299</f>
        <v/>
      </c>
    </row>
    <row r="301">
      <c r="A301" s="14" t="str">
        <f>Portfolio!A300</f>
        <v/>
      </c>
      <c r="B301" s="14" t="str">
        <f>Portfolio!B300</f>
        <v/>
      </c>
      <c r="C301" s="158" t="str">
        <f>Portfolio!C300</f>
        <v/>
      </c>
      <c r="D301" s="96" t="str">
        <f>Portfolio!D300</f>
        <v/>
      </c>
      <c r="E301" s="96" t="str">
        <f>Portfolio!E300</f>
        <v/>
      </c>
      <c r="F301" s="96" t="str">
        <f>Portfolio!G300</f>
        <v/>
      </c>
      <c r="G301" s="50" t="str">
        <f>Portfolio!H300</f>
        <v/>
      </c>
      <c r="H301" s="96" t="str">
        <f>Portfolio!I300</f>
        <v/>
      </c>
      <c r="I301" s="96" t="str">
        <f>Portfolio!J300</f>
        <v/>
      </c>
      <c r="J301" s="96" t="str">
        <f>Portfolio!K300</f>
        <v/>
      </c>
      <c r="K301" s="50" t="str">
        <f>Portfolio!O300</f>
        <v/>
      </c>
      <c r="L301" s="96" t="str">
        <f>Portfolio!P300</f>
        <v/>
      </c>
      <c r="M301" s="96" t="str">
        <f>Portfolio!Q300</f>
        <v/>
      </c>
      <c r="N301" s="14" t="str">
        <f>Portfolio!R300</f>
        <v/>
      </c>
      <c r="O301" s="50" t="str">
        <f>Portfolio!S300</f>
        <v/>
      </c>
      <c r="Q301" s="50" t="str">
        <f>Portfolio!U300</f>
        <v/>
      </c>
      <c r="S301" s="50" t="str">
        <f>Portfolio!W300</f>
        <v/>
      </c>
      <c r="T301" s="50" t="str">
        <f>Portfolio!X300</f>
        <v/>
      </c>
      <c r="U301" s="50" t="str">
        <f>Portfolio!Y300</f>
        <v/>
      </c>
      <c r="V301" s="50" t="str">
        <f>Portfolio!Z300</f>
        <v/>
      </c>
      <c r="W301" s="14" t="str">
        <f>Portfolio!AA300</f>
        <v/>
      </c>
      <c r="X301" s="50" t="str">
        <f>Portfolio!AB300</f>
        <v/>
      </c>
      <c r="Y301" s="179" t="str">
        <f>Portfolio!AC300</f>
        <v/>
      </c>
      <c r="Z301" s="50" t="str">
        <f>Portfolio!AD300</f>
        <v/>
      </c>
      <c r="AA301" s="180" t="str">
        <f>Portfolio!AE300</f>
        <v/>
      </c>
    </row>
    <row r="302">
      <c r="A302" s="14" t="str">
        <f>Portfolio!A301</f>
        <v/>
      </c>
      <c r="B302" s="14" t="str">
        <f>Portfolio!B301</f>
        <v/>
      </c>
      <c r="C302" s="158" t="str">
        <f>Portfolio!C301</f>
        <v/>
      </c>
      <c r="D302" s="96" t="str">
        <f>Portfolio!D301</f>
        <v/>
      </c>
      <c r="E302" s="96" t="str">
        <f>Portfolio!E301</f>
        <v/>
      </c>
      <c r="F302" s="96" t="str">
        <f>Portfolio!G301</f>
        <v/>
      </c>
      <c r="G302" s="50" t="str">
        <f>Portfolio!H301</f>
        <v/>
      </c>
      <c r="H302" s="96" t="str">
        <f>Portfolio!I301</f>
        <v/>
      </c>
      <c r="I302" s="96" t="str">
        <f>Portfolio!J301</f>
        <v/>
      </c>
      <c r="J302" s="96" t="str">
        <f>Portfolio!K301</f>
        <v/>
      </c>
      <c r="K302" s="50" t="str">
        <f>Portfolio!O301</f>
        <v/>
      </c>
      <c r="L302" s="96" t="str">
        <f>Portfolio!P301</f>
        <v/>
      </c>
      <c r="M302" s="96" t="str">
        <f>Portfolio!Q301</f>
        <v/>
      </c>
      <c r="N302" s="14" t="str">
        <f>Portfolio!R301</f>
        <v/>
      </c>
      <c r="O302" s="50" t="str">
        <f>Portfolio!S301</f>
        <v/>
      </c>
      <c r="Q302" s="50" t="str">
        <f>Portfolio!U301</f>
        <v/>
      </c>
      <c r="S302" s="50" t="str">
        <f>Portfolio!W301</f>
        <v/>
      </c>
      <c r="T302" s="50" t="str">
        <f>Portfolio!X301</f>
        <v/>
      </c>
      <c r="U302" s="50" t="str">
        <f>Portfolio!Y301</f>
        <v/>
      </c>
      <c r="V302" s="50" t="str">
        <f>Portfolio!Z301</f>
        <v/>
      </c>
      <c r="W302" s="14" t="str">
        <f>Portfolio!AA301</f>
        <v/>
      </c>
      <c r="X302" s="50" t="str">
        <f>Portfolio!AB301</f>
        <v/>
      </c>
      <c r="Y302" s="179" t="str">
        <f>Portfolio!AC301</f>
        <v/>
      </c>
      <c r="Z302" s="50" t="str">
        <f>Portfolio!AD301</f>
        <v/>
      </c>
      <c r="AA302" s="180" t="str">
        <f>Portfolio!AE301</f>
        <v/>
      </c>
    </row>
    <row r="303">
      <c r="A303" s="14" t="str">
        <f>Portfolio!A302</f>
        <v/>
      </c>
      <c r="B303" s="14" t="str">
        <f>Portfolio!B302</f>
        <v/>
      </c>
      <c r="C303" s="158" t="str">
        <f>Portfolio!C302</f>
        <v/>
      </c>
      <c r="D303" s="96" t="str">
        <f>Portfolio!D302</f>
        <v/>
      </c>
      <c r="E303" s="96" t="str">
        <f>Portfolio!E302</f>
        <v/>
      </c>
      <c r="F303" s="96" t="str">
        <f>Portfolio!G302</f>
        <v/>
      </c>
      <c r="G303" s="50" t="str">
        <f>Portfolio!H302</f>
        <v/>
      </c>
      <c r="H303" s="96" t="str">
        <f>Portfolio!I302</f>
        <v/>
      </c>
      <c r="I303" s="96" t="str">
        <f>Portfolio!J302</f>
        <v/>
      </c>
      <c r="J303" s="96" t="str">
        <f>Portfolio!K302</f>
        <v/>
      </c>
      <c r="K303" s="50" t="str">
        <f>Portfolio!O302</f>
        <v/>
      </c>
      <c r="L303" s="96" t="str">
        <f>Portfolio!P302</f>
        <v/>
      </c>
      <c r="M303" s="96" t="str">
        <f>Portfolio!Q302</f>
        <v/>
      </c>
      <c r="N303" s="14" t="str">
        <f>Portfolio!R302</f>
        <v/>
      </c>
      <c r="O303" s="50" t="str">
        <f>Portfolio!S302</f>
        <v/>
      </c>
      <c r="Q303" s="50" t="str">
        <f>Portfolio!U302</f>
        <v/>
      </c>
      <c r="S303" s="50" t="str">
        <f>Portfolio!W302</f>
        <v/>
      </c>
      <c r="T303" s="50" t="str">
        <f>Portfolio!X302</f>
        <v/>
      </c>
      <c r="U303" s="50" t="str">
        <f>Portfolio!Y302</f>
        <v/>
      </c>
      <c r="V303" s="50" t="str">
        <f>Portfolio!Z302</f>
        <v/>
      </c>
      <c r="W303" s="14" t="str">
        <f>Portfolio!AA302</f>
        <v/>
      </c>
      <c r="X303" s="50" t="str">
        <f>Portfolio!AB302</f>
        <v/>
      </c>
      <c r="Y303" s="179" t="str">
        <f>Portfolio!AC302</f>
        <v/>
      </c>
      <c r="Z303" s="50" t="str">
        <f>Portfolio!AD302</f>
        <v/>
      </c>
      <c r="AA303" s="180" t="str">
        <f>Portfolio!AE302</f>
        <v/>
      </c>
    </row>
    <row r="304">
      <c r="A304" s="14" t="str">
        <f>Portfolio!A303</f>
        <v/>
      </c>
      <c r="B304" s="14" t="str">
        <f>Portfolio!B303</f>
        <v/>
      </c>
      <c r="C304" s="158" t="str">
        <f>Portfolio!C303</f>
        <v/>
      </c>
      <c r="D304" s="96" t="str">
        <f>Portfolio!D303</f>
        <v/>
      </c>
      <c r="E304" s="96" t="str">
        <f>Portfolio!E303</f>
        <v/>
      </c>
      <c r="F304" s="96" t="str">
        <f>Portfolio!G303</f>
        <v/>
      </c>
      <c r="G304" s="50" t="str">
        <f>Portfolio!H303</f>
        <v/>
      </c>
      <c r="H304" s="96" t="str">
        <f>Portfolio!I303</f>
        <v/>
      </c>
      <c r="I304" s="96" t="str">
        <f>Portfolio!J303</f>
        <v/>
      </c>
      <c r="J304" s="96" t="str">
        <f>Portfolio!K303</f>
        <v/>
      </c>
      <c r="K304" s="50" t="str">
        <f>Portfolio!O303</f>
        <v/>
      </c>
      <c r="L304" s="96" t="str">
        <f>Portfolio!P303</f>
        <v/>
      </c>
      <c r="M304" s="96" t="str">
        <f>Portfolio!Q303</f>
        <v/>
      </c>
      <c r="N304" s="14" t="str">
        <f>Portfolio!R303</f>
        <v/>
      </c>
      <c r="O304" s="50" t="str">
        <f>Portfolio!S303</f>
        <v/>
      </c>
      <c r="Q304" s="50" t="str">
        <f>Portfolio!U303</f>
        <v/>
      </c>
      <c r="S304" s="50" t="str">
        <f>Portfolio!W303</f>
        <v/>
      </c>
      <c r="T304" s="50" t="str">
        <f>Portfolio!X303</f>
        <v/>
      </c>
      <c r="U304" s="50" t="str">
        <f>Portfolio!Y303</f>
        <v/>
      </c>
      <c r="V304" s="50" t="str">
        <f>Portfolio!Z303</f>
        <v/>
      </c>
      <c r="W304" s="14" t="str">
        <f>Portfolio!AA303</f>
        <v/>
      </c>
      <c r="X304" s="50" t="str">
        <f>Portfolio!AB303</f>
        <v/>
      </c>
      <c r="Y304" s="179" t="str">
        <f>Portfolio!AC303</f>
        <v/>
      </c>
      <c r="Z304" s="50" t="str">
        <f>Portfolio!AD303</f>
        <v/>
      </c>
      <c r="AA304" s="180" t="str">
        <f>Portfolio!AE303</f>
        <v/>
      </c>
    </row>
    <row r="305">
      <c r="A305" s="14" t="str">
        <f>Portfolio!A304</f>
        <v/>
      </c>
      <c r="B305" s="14" t="str">
        <f>Portfolio!B304</f>
        <v/>
      </c>
      <c r="C305" s="158" t="str">
        <f>Portfolio!C304</f>
        <v/>
      </c>
      <c r="D305" s="96" t="str">
        <f>Portfolio!D304</f>
        <v/>
      </c>
      <c r="E305" s="96" t="str">
        <f>Portfolio!E304</f>
        <v/>
      </c>
      <c r="F305" s="96" t="str">
        <f>Portfolio!G304</f>
        <v/>
      </c>
      <c r="G305" s="50" t="str">
        <f>Portfolio!H304</f>
        <v/>
      </c>
      <c r="H305" s="96" t="str">
        <f>Portfolio!I304</f>
        <v/>
      </c>
      <c r="I305" s="96" t="str">
        <f>Portfolio!J304</f>
        <v/>
      </c>
      <c r="J305" s="96" t="str">
        <f>Portfolio!K304</f>
        <v/>
      </c>
      <c r="K305" s="50" t="str">
        <f>Portfolio!O304</f>
        <v/>
      </c>
      <c r="L305" s="96" t="str">
        <f>Portfolio!P304</f>
        <v/>
      </c>
      <c r="M305" s="96" t="str">
        <f>Portfolio!Q304</f>
        <v/>
      </c>
      <c r="N305" s="14" t="str">
        <f>Portfolio!R304</f>
        <v/>
      </c>
      <c r="O305" s="50" t="str">
        <f>Portfolio!S304</f>
        <v/>
      </c>
      <c r="Q305" s="50" t="str">
        <f>Portfolio!U304</f>
        <v/>
      </c>
      <c r="S305" s="50" t="str">
        <f>Portfolio!W304</f>
        <v/>
      </c>
      <c r="T305" s="50" t="str">
        <f>Portfolio!X304</f>
        <v/>
      </c>
      <c r="U305" s="50" t="str">
        <f>Portfolio!Y304</f>
        <v/>
      </c>
      <c r="V305" s="50" t="str">
        <f>Portfolio!Z304</f>
        <v/>
      </c>
      <c r="W305" s="14" t="str">
        <f>Portfolio!AA304</f>
        <v/>
      </c>
      <c r="X305" s="50" t="str">
        <f>Portfolio!AB304</f>
        <v/>
      </c>
      <c r="Y305" s="179" t="str">
        <f>Portfolio!AC304</f>
        <v/>
      </c>
      <c r="Z305" s="50" t="str">
        <f>Portfolio!AD304</f>
        <v/>
      </c>
      <c r="AA305" s="180" t="str">
        <f>Portfolio!AE304</f>
        <v/>
      </c>
    </row>
    <row r="306">
      <c r="A306" s="14" t="str">
        <f>Portfolio!A305</f>
        <v/>
      </c>
      <c r="B306" s="14" t="str">
        <f>Portfolio!B305</f>
        <v/>
      </c>
      <c r="C306" s="158" t="str">
        <f>Portfolio!C305</f>
        <v/>
      </c>
      <c r="D306" s="96" t="str">
        <f>Portfolio!D305</f>
        <v/>
      </c>
      <c r="E306" s="96" t="str">
        <f>Portfolio!E305</f>
        <v/>
      </c>
      <c r="F306" s="96" t="str">
        <f>Portfolio!G305</f>
        <v/>
      </c>
      <c r="G306" s="50" t="str">
        <f>Portfolio!H305</f>
        <v/>
      </c>
      <c r="H306" s="96" t="str">
        <f>Portfolio!I305</f>
        <v/>
      </c>
      <c r="I306" s="96" t="str">
        <f>Portfolio!J305</f>
        <v/>
      </c>
      <c r="J306" s="96" t="str">
        <f>Portfolio!K305</f>
        <v/>
      </c>
      <c r="K306" s="50" t="str">
        <f>Portfolio!O305</f>
        <v/>
      </c>
      <c r="L306" s="96" t="str">
        <f>Portfolio!P305</f>
        <v/>
      </c>
      <c r="M306" s="96" t="str">
        <f>Portfolio!Q305</f>
        <v/>
      </c>
      <c r="N306" s="14" t="str">
        <f>Portfolio!R305</f>
        <v/>
      </c>
      <c r="O306" s="50" t="str">
        <f>Portfolio!S305</f>
        <v/>
      </c>
      <c r="Q306" s="50" t="str">
        <f>Portfolio!U305</f>
        <v/>
      </c>
      <c r="S306" s="50" t="str">
        <f>Portfolio!W305</f>
        <v/>
      </c>
      <c r="T306" s="50" t="str">
        <f>Portfolio!X305</f>
        <v/>
      </c>
      <c r="U306" s="50" t="str">
        <f>Portfolio!Y305</f>
        <v/>
      </c>
      <c r="V306" s="50" t="str">
        <f>Portfolio!Z305</f>
        <v/>
      </c>
      <c r="W306" s="14" t="str">
        <f>Portfolio!AA305</f>
        <v/>
      </c>
      <c r="X306" s="50" t="str">
        <f>Portfolio!AB305</f>
        <v/>
      </c>
      <c r="Y306" s="179" t="str">
        <f>Portfolio!AC305</f>
        <v/>
      </c>
      <c r="Z306" s="50" t="str">
        <f>Portfolio!AD305</f>
        <v/>
      </c>
      <c r="AA306" s="180" t="str">
        <f>Portfolio!AE305</f>
        <v/>
      </c>
    </row>
    <row r="307">
      <c r="A307" s="14" t="str">
        <f>Portfolio!A306</f>
        <v/>
      </c>
      <c r="B307" s="14" t="str">
        <f>Portfolio!B306</f>
        <v/>
      </c>
      <c r="C307" s="158" t="str">
        <f>Portfolio!C306</f>
        <v/>
      </c>
      <c r="D307" s="96" t="str">
        <f>Portfolio!D306</f>
        <v/>
      </c>
      <c r="E307" s="96" t="str">
        <f>Portfolio!E306</f>
        <v/>
      </c>
      <c r="F307" s="96" t="str">
        <f>Portfolio!G306</f>
        <v/>
      </c>
      <c r="G307" s="50" t="str">
        <f>Portfolio!H306</f>
        <v/>
      </c>
      <c r="H307" s="96" t="str">
        <f>Portfolio!I306</f>
        <v/>
      </c>
      <c r="I307" s="96" t="str">
        <f>Portfolio!J306</f>
        <v/>
      </c>
      <c r="J307" s="96" t="str">
        <f>Portfolio!K306</f>
        <v/>
      </c>
      <c r="K307" s="50" t="str">
        <f>Portfolio!O306</f>
        <v/>
      </c>
      <c r="L307" s="96" t="str">
        <f>Portfolio!P306</f>
        <v/>
      </c>
      <c r="M307" s="96" t="str">
        <f>Portfolio!Q306</f>
        <v/>
      </c>
      <c r="N307" s="14" t="str">
        <f>Portfolio!R306</f>
        <v/>
      </c>
      <c r="O307" s="50" t="str">
        <f>Portfolio!S306</f>
        <v/>
      </c>
      <c r="Q307" s="50" t="str">
        <f>Portfolio!U306</f>
        <v/>
      </c>
      <c r="S307" s="50" t="str">
        <f>Portfolio!W306</f>
        <v/>
      </c>
      <c r="T307" s="50" t="str">
        <f>Portfolio!X306</f>
        <v/>
      </c>
      <c r="U307" s="50" t="str">
        <f>Portfolio!Y306</f>
        <v/>
      </c>
      <c r="V307" s="50" t="str">
        <f>Portfolio!Z306</f>
        <v/>
      </c>
      <c r="W307" s="14" t="str">
        <f>Portfolio!AA306</f>
        <v/>
      </c>
      <c r="X307" s="50" t="str">
        <f>Portfolio!AB306</f>
        <v/>
      </c>
      <c r="Y307" s="179" t="str">
        <f>Portfolio!AC306</f>
        <v/>
      </c>
      <c r="Z307" s="50" t="str">
        <f>Portfolio!AD306</f>
        <v/>
      </c>
      <c r="AA307" s="180" t="str">
        <f>Portfolio!AE306</f>
        <v/>
      </c>
    </row>
    <row r="308">
      <c r="A308" s="14" t="str">
        <f>Portfolio!A307</f>
        <v/>
      </c>
      <c r="B308" s="14" t="str">
        <f>Portfolio!B307</f>
        <v/>
      </c>
      <c r="C308" s="158" t="str">
        <f>Portfolio!C307</f>
        <v/>
      </c>
      <c r="D308" s="96" t="str">
        <f>Portfolio!D307</f>
        <v/>
      </c>
      <c r="E308" s="96" t="str">
        <f>Portfolio!E307</f>
        <v/>
      </c>
      <c r="F308" s="96" t="str">
        <f>Portfolio!G307</f>
        <v/>
      </c>
      <c r="G308" s="50" t="str">
        <f>Portfolio!H307</f>
        <v/>
      </c>
      <c r="H308" s="96" t="str">
        <f>Portfolio!I307</f>
        <v/>
      </c>
      <c r="I308" s="96" t="str">
        <f>Portfolio!J307</f>
        <v/>
      </c>
      <c r="J308" s="96" t="str">
        <f>Portfolio!K307</f>
        <v/>
      </c>
      <c r="K308" s="50" t="str">
        <f>Portfolio!O307</f>
        <v/>
      </c>
      <c r="L308" s="96" t="str">
        <f>Portfolio!P307</f>
        <v/>
      </c>
      <c r="M308" s="96" t="str">
        <f>Portfolio!Q307</f>
        <v/>
      </c>
      <c r="N308" s="14" t="str">
        <f>Portfolio!R307</f>
        <v/>
      </c>
      <c r="O308" s="50" t="str">
        <f>Portfolio!S307</f>
        <v/>
      </c>
      <c r="Q308" s="50" t="str">
        <f>Portfolio!U307</f>
        <v/>
      </c>
      <c r="S308" s="50" t="str">
        <f>Portfolio!W307</f>
        <v/>
      </c>
      <c r="T308" s="50" t="str">
        <f>Portfolio!X307</f>
        <v/>
      </c>
      <c r="U308" s="50" t="str">
        <f>Portfolio!Y307</f>
        <v/>
      </c>
      <c r="V308" s="50" t="str">
        <f>Portfolio!Z307</f>
        <v/>
      </c>
      <c r="W308" s="14" t="str">
        <f>Portfolio!AA307</f>
        <v/>
      </c>
      <c r="X308" s="50" t="str">
        <f>Portfolio!AB307</f>
        <v/>
      </c>
      <c r="Y308" s="179" t="str">
        <f>Portfolio!AC307</f>
        <v/>
      </c>
      <c r="Z308" s="50" t="str">
        <f>Portfolio!AD307</f>
        <v/>
      </c>
      <c r="AA308" s="180" t="str">
        <f>Portfolio!AE307</f>
        <v/>
      </c>
    </row>
    <row r="309">
      <c r="A309" s="14" t="str">
        <f>Portfolio!A308</f>
        <v/>
      </c>
      <c r="B309" s="14" t="str">
        <f>Portfolio!B308</f>
        <v/>
      </c>
      <c r="C309" s="158" t="str">
        <f>Portfolio!C308</f>
        <v/>
      </c>
      <c r="D309" s="96" t="str">
        <f>Portfolio!D308</f>
        <v/>
      </c>
      <c r="E309" s="96" t="str">
        <f>Portfolio!E308</f>
        <v/>
      </c>
      <c r="F309" s="96" t="str">
        <f>Portfolio!G308</f>
        <v/>
      </c>
      <c r="G309" s="50" t="str">
        <f>Portfolio!H308</f>
        <v/>
      </c>
      <c r="H309" s="96" t="str">
        <f>Portfolio!I308</f>
        <v/>
      </c>
      <c r="I309" s="96" t="str">
        <f>Portfolio!J308</f>
        <v/>
      </c>
      <c r="J309" s="96" t="str">
        <f>Portfolio!K308</f>
        <v/>
      </c>
      <c r="K309" s="50" t="str">
        <f>Portfolio!O308</f>
        <v/>
      </c>
      <c r="L309" s="96" t="str">
        <f>Portfolio!P308</f>
        <v/>
      </c>
      <c r="M309" s="96" t="str">
        <f>Portfolio!Q308</f>
        <v/>
      </c>
      <c r="N309" s="14" t="str">
        <f>Portfolio!R308</f>
        <v/>
      </c>
      <c r="O309" s="50" t="str">
        <f>Portfolio!S308</f>
        <v/>
      </c>
      <c r="Q309" s="50" t="str">
        <f>Portfolio!U308</f>
        <v/>
      </c>
      <c r="S309" s="50" t="str">
        <f>Portfolio!W308</f>
        <v/>
      </c>
      <c r="T309" s="50" t="str">
        <f>Portfolio!X308</f>
        <v/>
      </c>
      <c r="U309" s="50" t="str">
        <f>Portfolio!Y308</f>
        <v/>
      </c>
      <c r="V309" s="50" t="str">
        <f>Portfolio!Z308</f>
        <v/>
      </c>
      <c r="W309" s="14" t="str">
        <f>Portfolio!AA308</f>
        <v/>
      </c>
      <c r="X309" s="50" t="str">
        <f>Portfolio!AB308</f>
        <v/>
      </c>
      <c r="Y309" s="179" t="str">
        <f>Portfolio!AC308</f>
        <v/>
      </c>
      <c r="Z309" s="50" t="str">
        <f>Portfolio!AD308</f>
        <v/>
      </c>
      <c r="AA309" s="180" t="str">
        <f>Portfolio!AE308</f>
        <v/>
      </c>
    </row>
    <row r="310">
      <c r="A310" s="14" t="str">
        <f>Portfolio!A309</f>
        <v/>
      </c>
      <c r="B310" s="14" t="str">
        <f>Portfolio!B309</f>
        <v/>
      </c>
      <c r="C310" s="158" t="str">
        <f>Portfolio!C309</f>
        <v/>
      </c>
      <c r="D310" s="96" t="str">
        <f>Portfolio!D309</f>
        <v/>
      </c>
      <c r="E310" s="96" t="str">
        <f>Portfolio!E309</f>
        <v/>
      </c>
      <c r="F310" s="96" t="str">
        <f>Portfolio!G309</f>
        <v/>
      </c>
      <c r="G310" s="50" t="str">
        <f>Portfolio!H309</f>
        <v/>
      </c>
      <c r="H310" s="96" t="str">
        <f>Portfolio!I309</f>
        <v/>
      </c>
      <c r="I310" s="96" t="str">
        <f>Portfolio!J309</f>
        <v/>
      </c>
      <c r="J310" s="96" t="str">
        <f>Portfolio!K309</f>
        <v/>
      </c>
      <c r="K310" s="50" t="str">
        <f>Portfolio!O309</f>
        <v/>
      </c>
      <c r="L310" s="96" t="str">
        <f>Portfolio!P309</f>
        <v/>
      </c>
      <c r="M310" s="96" t="str">
        <f>Portfolio!Q309</f>
        <v/>
      </c>
      <c r="N310" s="14" t="str">
        <f>Portfolio!R309</f>
        <v/>
      </c>
      <c r="O310" s="50" t="str">
        <f>Portfolio!S309</f>
        <v/>
      </c>
      <c r="Q310" s="50" t="str">
        <f>Portfolio!U309</f>
        <v/>
      </c>
      <c r="S310" s="50" t="str">
        <f>Portfolio!W309</f>
        <v/>
      </c>
      <c r="T310" s="50" t="str">
        <f>Portfolio!X309</f>
        <v/>
      </c>
      <c r="U310" s="50" t="str">
        <f>Portfolio!Y309</f>
        <v/>
      </c>
      <c r="V310" s="50" t="str">
        <f>Portfolio!Z309</f>
        <v/>
      </c>
      <c r="W310" s="14" t="str">
        <f>Portfolio!AA309</f>
        <v/>
      </c>
      <c r="X310" s="50" t="str">
        <f>Portfolio!AB309</f>
        <v/>
      </c>
      <c r="Y310" s="179" t="str">
        <f>Portfolio!AC309</f>
        <v/>
      </c>
      <c r="Z310" s="50" t="str">
        <f>Portfolio!AD309</f>
        <v/>
      </c>
      <c r="AA310" s="180" t="str">
        <f>Portfolio!AE309</f>
        <v/>
      </c>
    </row>
    <row r="311">
      <c r="A311" s="14" t="str">
        <f>Portfolio!A310</f>
        <v/>
      </c>
      <c r="B311" s="14" t="str">
        <f>Portfolio!B310</f>
        <v/>
      </c>
      <c r="C311" s="158" t="str">
        <f>Portfolio!C310</f>
        <v/>
      </c>
      <c r="D311" s="96" t="str">
        <f>Portfolio!D310</f>
        <v/>
      </c>
      <c r="E311" s="96" t="str">
        <f>Portfolio!E310</f>
        <v/>
      </c>
      <c r="F311" s="96" t="str">
        <f>Portfolio!G310</f>
        <v/>
      </c>
      <c r="G311" s="50" t="str">
        <f>Portfolio!H310</f>
        <v/>
      </c>
      <c r="H311" s="96" t="str">
        <f>Portfolio!I310</f>
        <v/>
      </c>
      <c r="I311" s="96" t="str">
        <f>Portfolio!J310</f>
        <v/>
      </c>
      <c r="J311" s="96" t="str">
        <f>Portfolio!K310</f>
        <v/>
      </c>
      <c r="K311" s="50" t="str">
        <f>Portfolio!O310</f>
        <v/>
      </c>
      <c r="L311" s="96" t="str">
        <f>Portfolio!P310</f>
        <v/>
      </c>
      <c r="M311" s="96" t="str">
        <f>Portfolio!Q310</f>
        <v/>
      </c>
      <c r="N311" s="14" t="str">
        <f>Portfolio!R310</f>
        <v/>
      </c>
      <c r="O311" s="50" t="str">
        <f>Portfolio!S310</f>
        <v/>
      </c>
      <c r="Q311" s="50" t="str">
        <f>Portfolio!U310</f>
        <v/>
      </c>
      <c r="S311" s="50" t="str">
        <f>Portfolio!W310</f>
        <v/>
      </c>
      <c r="T311" s="50" t="str">
        <f>Portfolio!X310</f>
        <v/>
      </c>
      <c r="U311" s="50" t="str">
        <f>Portfolio!Y310</f>
        <v/>
      </c>
      <c r="V311" s="50" t="str">
        <f>Portfolio!Z310</f>
        <v/>
      </c>
      <c r="W311" s="14" t="str">
        <f>Portfolio!AA310</f>
        <v/>
      </c>
      <c r="X311" s="50" t="str">
        <f>Portfolio!AB310</f>
        <v/>
      </c>
      <c r="Y311" s="179" t="str">
        <f>Portfolio!AC310</f>
        <v/>
      </c>
      <c r="Z311" s="50" t="str">
        <f>Portfolio!AD310</f>
        <v/>
      </c>
      <c r="AA311" s="180" t="str">
        <f>Portfolio!AE310</f>
        <v/>
      </c>
    </row>
    <row r="312">
      <c r="A312" s="14" t="str">
        <f>Portfolio!A311</f>
        <v/>
      </c>
      <c r="B312" s="14" t="str">
        <f>Portfolio!B311</f>
        <v/>
      </c>
      <c r="C312" s="158" t="str">
        <f>Portfolio!C311</f>
        <v/>
      </c>
      <c r="D312" s="96" t="str">
        <f>Portfolio!D311</f>
        <v/>
      </c>
      <c r="E312" s="96" t="str">
        <f>Portfolio!E311</f>
        <v/>
      </c>
      <c r="F312" s="96" t="str">
        <f>Portfolio!G311</f>
        <v/>
      </c>
      <c r="G312" s="50" t="str">
        <f>Portfolio!H311</f>
        <v/>
      </c>
      <c r="H312" s="96" t="str">
        <f>Portfolio!I311</f>
        <v/>
      </c>
      <c r="I312" s="96" t="str">
        <f>Portfolio!J311</f>
        <v/>
      </c>
      <c r="J312" s="96" t="str">
        <f>Portfolio!K311</f>
        <v/>
      </c>
      <c r="K312" s="50" t="str">
        <f>Portfolio!O311</f>
        <v/>
      </c>
      <c r="L312" s="96" t="str">
        <f>Portfolio!P311</f>
        <v/>
      </c>
      <c r="M312" s="96" t="str">
        <f>Portfolio!Q311</f>
        <v/>
      </c>
      <c r="N312" s="14" t="str">
        <f>Portfolio!R311</f>
        <v/>
      </c>
      <c r="O312" s="50" t="str">
        <f>Portfolio!S311</f>
        <v/>
      </c>
      <c r="Q312" s="50" t="str">
        <f>Portfolio!U311</f>
        <v/>
      </c>
      <c r="S312" s="50" t="str">
        <f>Portfolio!W311</f>
        <v/>
      </c>
      <c r="T312" s="50" t="str">
        <f>Portfolio!X311</f>
        <v/>
      </c>
      <c r="U312" s="50" t="str">
        <f>Portfolio!Y311</f>
        <v/>
      </c>
      <c r="V312" s="50" t="str">
        <f>Portfolio!Z311</f>
        <v/>
      </c>
      <c r="W312" s="14" t="str">
        <f>Portfolio!AA311</f>
        <v/>
      </c>
      <c r="X312" s="50" t="str">
        <f>Portfolio!AB311</f>
        <v/>
      </c>
      <c r="Y312" s="179" t="str">
        <f>Portfolio!AC311</f>
        <v/>
      </c>
      <c r="Z312" s="50" t="str">
        <f>Portfolio!AD311</f>
        <v/>
      </c>
      <c r="AA312" s="180" t="str">
        <f>Portfolio!AE311</f>
        <v/>
      </c>
    </row>
    <row r="313">
      <c r="A313" s="14" t="str">
        <f>Portfolio!A312</f>
        <v/>
      </c>
      <c r="B313" s="14" t="str">
        <f>Portfolio!B312</f>
        <v/>
      </c>
      <c r="C313" s="158" t="str">
        <f>Portfolio!C312</f>
        <v/>
      </c>
      <c r="D313" s="96" t="str">
        <f>Portfolio!D312</f>
        <v/>
      </c>
      <c r="E313" s="96" t="str">
        <f>Portfolio!E312</f>
        <v/>
      </c>
      <c r="F313" s="96" t="str">
        <f>Portfolio!G312</f>
        <v/>
      </c>
      <c r="G313" s="50" t="str">
        <f>Portfolio!H312</f>
        <v/>
      </c>
      <c r="H313" s="96" t="str">
        <f>Portfolio!I312</f>
        <v/>
      </c>
      <c r="I313" s="96" t="str">
        <f>Portfolio!J312</f>
        <v/>
      </c>
      <c r="J313" s="96" t="str">
        <f>Portfolio!K312</f>
        <v/>
      </c>
      <c r="K313" s="50" t="str">
        <f>Portfolio!O312</f>
        <v/>
      </c>
      <c r="L313" s="96" t="str">
        <f>Portfolio!P312</f>
        <v/>
      </c>
      <c r="M313" s="96" t="str">
        <f>Portfolio!Q312</f>
        <v/>
      </c>
      <c r="N313" s="14" t="str">
        <f>Portfolio!R312</f>
        <v/>
      </c>
      <c r="O313" s="50" t="str">
        <f>Portfolio!S312</f>
        <v/>
      </c>
      <c r="Q313" s="50" t="str">
        <f>Portfolio!U312</f>
        <v/>
      </c>
      <c r="S313" s="50" t="str">
        <f>Portfolio!W312</f>
        <v/>
      </c>
      <c r="T313" s="50" t="str">
        <f>Portfolio!X312</f>
        <v/>
      </c>
      <c r="U313" s="50" t="str">
        <f>Portfolio!Y312</f>
        <v/>
      </c>
      <c r="V313" s="50" t="str">
        <f>Portfolio!Z312</f>
        <v/>
      </c>
      <c r="W313" s="14" t="str">
        <f>Portfolio!AA312</f>
        <v/>
      </c>
      <c r="X313" s="50" t="str">
        <f>Portfolio!AB312</f>
        <v/>
      </c>
      <c r="Y313" s="179" t="str">
        <f>Portfolio!AC312</f>
        <v/>
      </c>
      <c r="Z313" s="50" t="str">
        <f>Portfolio!AD312</f>
        <v/>
      </c>
      <c r="AA313" s="180" t="str">
        <f>Portfolio!AE312</f>
        <v/>
      </c>
    </row>
    <row r="314">
      <c r="A314" s="14" t="str">
        <f>Portfolio!A313</f>
        <v/>
      </c>
      <c r="B314" s="14" t="str">
        <f>Portfolio!B313</f>
        <v/>
      </c>
      <c r="C314" s="158" t="str">
        <f>Portfolio!C313</f>
        <v/>
      </c>
      <c r="D314" s="96" t="str">
        <f>Portfolio!D313</f>
        <v/>
      </c>
      <c r="E314" s="96" t="str">
        <f>Portfolio!E313</f>
        <v/>
      </c>
      <c r="F314" s="96" t="str">
        <f>Portfolio!G313</f>
        <v/>
      </c>
      <c r="G314" s="50" t="str">
        <f>Portfolio!H313</f>
        <v/>
      </c>
      <c r="H314" s="96" t="str">
        <f>Portfolio!I313</f>
        <v/>
      </c>
      <c r="I314" s="96" t="str">
        <f>Portfolio!J313</f>
        <v/>
      </c>
      <c r="J314" s="96" t="str">
        <f>Portfolio!K313</f>
        <v/>
      </c>
      <c r="K314" s="50" t="str">
        <f>Portfolio!O313</f>
        <v/>
      </c>
      <c r="L314" s="96" t="str">
        <f>Portfolio!P313</f>
        <v/>
      </c>
      <c r="M314" s="96" t="str">
        <f>Portfolio!Q313</f>
        <v/>
      </c>
      <c r="N314" s="14" t="str">
        <f>Portfolio!R313</f>
        <v/>
      </c>
      <c r="O314" s="50" t="str">
        <f>Portfolio!S313</f>
        <v/>
      </c>
      <c r="Q314" s="50" t="str">
        <f>Portfolio!U313</f>
        <v/>
      </c>
      <c r="S314" s="50" t="str">
        <f>Portfolio!W313</f>
        <v/>
      </c>
      <c r="T314" s="50" t="str">
        <f>Portfolio!X313</f>
        <v/>
      </c>
      <c r="U314" s="50" t="str">
        <f>Portfolio!Y313</f>
        <v/>
      </c>
      <c r="V314" s="50" t="str">
        <f>Portfolio!Z313</f>
        <v/>
      </c>
      <c r="W314" s="14" t="str">
        <f>Portfolio!AA313</f>
        <v/>
      </c>
      <c r="X314" s="50" t="str">
        <f>Portfolio!AB313</f>
        <v/>
      </c>
      <c r="Y314" s="179" t="str">
        <f>Portfolio!AC313</f>
        <v/>
      </c>
      <c r="Z314" s="50" t="str">
        <f>Portfolio!AD313</f>
        <v/>
      </c>
      <c r="AA314" s="180" t="str">
        <f>Portfolio!AE313</f>
        <v/>
      </c>
    </row>
    <row r="315">
      <c r="A315" s="14" t="str">
        <f>Portfolio!A314</f>
        <v/>
      </c>
      <c r="B315" s="14" t="str">
        <f>Portfolio!B314</f>
        <v/>
      </c>
      <c r="C315" s="158" t="str">
        <f>Portfolio!C314</f>
        <v/>
      </c>
      <c r="D315" s="96" t="str">
        <f>Portfolio!D314</f>
        <v/>
      </c>
      <c r="E315" s="96" t="str">
        <f>Portfolio!E314</f>
        <v/>
      </c>
      <c r="F315" s="96" t="str">
        <f>Portfolio!G314</f>
        <v/>
      </c>
      <c r="G315" s="50" t="str">
        <f>Portfolio!H314</f>
        <v/>
      </c>
      <c r="H315" s="96" t="str">
        <f>Portfolio!I314</f>
        <v/>
      </c>
      <c r="I315" s="96" t="str">
        <f>Portfolio!J314</f>
        <v/>
      </c>
      <c r="J315" s="96" t="str">
        <f>Portfolio!K314</f>
        <v/>
      </c>
      <c r="K315" s="50" t="str">
        <f>Portfolio!O314</f>
        <v/>
      </c>
      <c r="L315" s="96" t="str">
        <f>Portfolio!P314</f>
        <v/>
      </c>
      <c r="M315" s="96" t="str">
        <f>Portfolio!Q314</f>
        <v/>
      </c>
      <c r="N315" s="14" t="str">
        <f>Portfolio!R314</f>
        <v/>
      </c>
      <c r="O315" s="50" t="str">
        <f>Portfolio!S314</f>
        <v/>
      </c>
      <c r="Q315" s="50" t="str">
        <f>Portfolio!U314</f>
        <v/>
      </c>
      <c r="S315" s="50" t="str">
        <f>Portfolio!W314</f>
        <v/>
      </c>
      <c r="T315" s="50" t="str">
        <f>Portfolio!X314</f>
        <v/>
      </c>
      <c r="U315" s="50" t="str">
        <f>Portfolio!Y314</f>
        <v/>
      </c>
      <c r="V315" s="50" t="str">
        <f>Portfolio!Z314</f>
        <v/>
      </c>
      <c r="W315" s="14" t="str">
        <f>Portfolio!AA314</f>
        <v/>
      </c>
      <c r="X315" s="50" t="str">
        <f>Portfolio!AB314</f>
        <v/>
      </c>
      <c r="Y315" s="179" t="str">
        <f>Portfolio!AC314</f>
        <v/>
      </c>
      <c r="Z315" s="50" t="str">
        <f>Portfolio!AD314</f>
        <v/>
      </c>
      <c r="AA315" s="180" t="str">
        <f>Portfolio!AE314</f>
        <v/>
      </c>
    </row>
    <row r="316">
      <c r="A316" s="14" t="str">
        <f>Portfolio!A315</f>
        <v/>
      </c>
      <c r="B316" s="14" t="str">
        <f>Portfolio!B315</f>
        <v/>
      </c>
      <c r="C316" s="158" t="str">
        <f>Portfolio!C315</f>
        <v/>
      </c>
      <c r="D316" s="96" t="str">
        <f>Portfolio!D315</f>
        <v/>
      </c>
      <c r="E316" s="96" t="str">
        <f>Portfolio!E315</f>
        <v/>
      </c>
      <c r="F316" s="96" t="str">
        <f>Portfolio!G315</f>
        <v/>
      </c>
      <c r="G316" s="50" t="str">
        <f>Portfolio!H315</f>
        <v/>
      </c>
      <c r="H316" s="96" t="str">
        <f>Portfolio!I315</f>
        <v/>
      </c>
      <c r="I316" s="96" t="str">
        <f>Portfolio!J315</f>
        <v/>
      </c>
      <c r="J316" s="96" t="str">
        <f>Portfolio!K315</f>
        <v/>
      </c>
      <c r="K316" s="50" t="str">
        <f>Portfolio!O315</f>
        <v/>
      </c>
      <c r="L316" s="96" t="str">
        <f>Portfolio!P315</f>
        <v/>
      </c>
      <c r="M316" s="96" t="str">
        <f>Portfolio!Q315</f>
        <v/>
      </c>
      <c r="N316" s="14" t="str">
        <f>Portfolio!R315</f>
        <v/>
      </c>
      <c r="O316" s="50" t="str">
        <f>Portfolio!S315</f>
        <v/>
      </c>
      <c r="Q316" s="50" t="str">
        <f>Portfolio!U315</f>
        <v/>
      </c>
      <c r="S316" s="50" t="str">
        <f>Portfolio!W315</f>
        <v/>
      </c>
      <c r="T316" s="50" t="str">
        <f>Portfolio!X315</f>
        <v/>
      </c>
      <c r="U316" s="50" t="str">
        <f>Portfolio!Y315</f>
        <v/>
      </c>
      <c r="V316" s="50" t="str">
        <f>Portfolio!Z315</f>
        <v/>
      </c>
      <c r="W316" s="14" t="str">
        <f>Portfolio!AA315</f>
        <v/>
      </c>
      <c r="X316" s="50" t="str">
        <f>Portfolio!AB315</f>
        <v/>
      </c>
      <c r="Y316" s="179" t="str">
        <f>Portfolio!AC315</f>
        <v/>
      </c>
      <c r="Z316" s="50" t="str">
        <f>Portfolio!AD315</f>
        <v/>
      </c>
      <c r="AA316" s="180" t="str">
        <f>Portfolio!AE315</f>
        <v/>
      </c>
    </row>
    <row r="317">
      <c r="A317" s="14" t="str">
        <f>Portfolio!A316</f>
        <v/>
      </c>
      <c r="B317" s="14" t="str">
        <f>Portfolio!B316</f>
        <v/>
      </c>
      <c r="C317" s="158" t="str">
        <f>Portfolio!C316</f>
        <v/>
      </c>
      <c r="D317" s="96" t="str">
        <f>Portfolio!D316</f>
        <v/>
      </c>
      <c r="E317" s="96" t="str">
        <f>Portfolio!E316</f>
        <v/>
      </c>
      <c r="F317" s="96" t="str">
        <f>Portfolio!G316</f>
        <v/>
      </c>
      <c r="G317" s="50" t="str">
        <f>Portfolio!H316</f>
        <v/>
      </c>
      <c r="H317" s="96" t="str">
        <f>Portfolio!I316</f>
        <v/>
      </c>
      <c r="I317" s="96" t="str">
        <f>Portfolio!J316</f>
        <v/>
      </c>
      <c r="J317" s="96" t="str">
        <f>Portfolio!K316</f>
        <v/>
      </c>
      <c r="K317" s="50" t="str">
        <f>Portfolio!O316</f>
        <v/>
      </c>
      <c r="L317" s="96" t="str">
        <f>Portfolio!P316</f>
        <v/>
      </c>
      <c r="M317" s="96" t="str">
        <f>Portfolio!Q316</f>
        <v/>
      </c>
      <c r="N317" s="14" t="str">
        <f>Portfolio!R316</f>
        <v/>
      </c>
      <c r="O317" s="50" t="str">
        <f>Portfolio!S316</f>
        <v/>
      </c>
      <c r="Q317" s="50" t="str">
        <f>Portfolio!U316</f>
        <v/>
      </c>
      <c r="S317" s="50" t="str">
        <f>Portfolio!W316</f>
        <v/>
      </c>
      <c r="T317" s="50" t="str">
        <f>Portfolio!X316</f>
        <v/>
      </c>
      <c r="U317" s="50" t="str">
        <f>Portfolio!Y316</f>
        <v/>
      </c>
      <c r="V317" s="50" t="str">
        <f>Portfolio!Z316</f>
        <v/>
      </c>
      <c r="W317" s="14" t="str">
        <f>Portfolio!AA316</f>
        <v/>
      </c>
      <c r="X317" s="50" t="str">
        <f>Portfolio!AB316</f>
        <v/>
      </c>
      <c r="Y317" s="179" t="str">
        <f>Portfolio!AC316</f>
        <v/>
      </c>
      <c r="Z317" s="50" t="str">
        <f>Portfolio!AD316</f>
        <v/>
      </c>
      <c r="AA317" s="180" t="str">
        <f>Portfolio!AE316</f>
        <v/>
      </c>
    </row>
    <row r="318">
      <c r="A318" s="14" t="str">
        <f>Portfolio!A317</f>
        <v/>
      </c>
      <c r="B318" s="14" t="str">
        <f>Portfolio!B317</f>
        <v/>
      </c>
      <c r="C318" s="158" t="str">
        <f>Portfolio!C317</f>
        <v/>
      </c>
      <c r="D318" s="96" t="str">
        <f>Portfolio!D317</f>
        <v/>
      </c>
      <c r="E318" s="96" t="str">
        <f>Portfolio!E317</f>
        <v/>
      </c>
      <c r="F318" s="96" t="str">
        <f>Portfolio!G317</f>
        <v/>
      </c>
      <c r="G318" s="50" t="str">
        <f>Portfolio!H317</f>
        <v/>
      </c>
      <c r="H318" s="96" t="str">
        <f>Portfolio!I317</f>
        <v/>
      </c>
      <c r="I318" s="96" t="str">
        <f>Portfolio!J317</f>
        <v/>
      </c>
      <c r="J318" s="96" t="str">
        <f>Portfolio!K317</f>
        <v/>
      </c>
      <c r="K318" s="50" t="str">
        <f>Portfolio!O317</f>
        <v/>
      </c>
      <c r="L318" s="96" t="str">
        <f>Portfolio!P317</f>
        <v/>
      </c>
      <c r="M318" s="96" t="str">
        <f>Portfolio!Q317</f>
        <v/>
      </c>
      <c r="N318" s="14" t="str">
        <f>Portfolio!R317</f>
        <v/>
      </c>
      <c r="O318" s="50" t="str">
        <f>Portfolio!S317</f>
        <v/>
      </c>
      <c r="Q318" s="50" t="str">
        <f>Portfolio!U317</f>
        <v/>
      </c>
      <c r="S318" s="50" t="str">
        <f>Portfolio!W317</f>
        <v/>
      </c>
      <c r="T318" s="50" t="str">
        <f>Portfolio!X317</f>
        <v/>
      </c>
      <c r="U318" s="50" t="str">
        <f>Portfolio!Y317</f>
        <v/>
      </c>
      <c r="V318" s="50" t="str">
        <f>Portfolio!Z317</f>
        <v/>
      </c>
      <c r="W318" s="14" t="str">
        <f>Portfolio!AA317</f>
        <v/>
      </c>
      <c r="X318" s="50" t="str">
        <f>Portfolio!AB317</f>
        <v/>
      </c>
      <c r="Y318" s="179" t="str">
        <f>Portfolio!AC317</f>
        <v/>
      </c>
      <c r="Z318" s="50" t="str">
        <f>Portfolio!AD317</f>
        <v/>
      </c>
      <c r="AA318" s="180" t="str">
        <f>Portfolio!AE317</f>
        <v/>
      </c>
    </row>
    <row r="319">
      <c r="A319" s="14" t="str">
        <f>Portfolio!A318</f>
        <v/>
      </c>
      <c r="B319" s="14" t="str">
        <f>Portfolio!B318</f>
        <v/>
      </c>
      <c r="C319" s="158" t="str">
        <f>Portfolio!C318</f>
        <v/>
      </c>
      <c r="D319" s="96" t="str">
        <f>Portfolio!D318</f>
        <v/>
      </c>
      <c r="E319" s="96" t="str">
        <f>Portfolio!E318</f>
        <v/>
      </c>
      <c r="F319" s="96" t="str">
        <f>Portfolio!G318</f>
        <v/>
      </c>
      <c r="G319" s="50" t="str">
        <f>Portfolio!H318</f>
        <v/>
      </c>
      <c r="H319" s="96" t="str">
        <f>Portfolio!I318</f>
        <v/>
      </c>
      <c r="I319" s="96" t="str">
        <f>Portfolio!J318</f>
        <v/>
      </c>
      <c r="J319" s="96" t="str">
        <f>Portfolio!K318</f>
        <v/>
      </c>
      <c r="K319" s="50" t="str">
        <f>Portfolio!O318</f>
        <v/>
      </c>
      <c r="L319" s="96" t="str">
        <f>Portfolio!P318</f>
        <v/>
      </c>
      <c r="M319" s="96" t="str">
        <f>Portfolio!Q318</f>
        <v/>
      </c>
      <c r="N319" s="14" t="str">
        <f>Portfolio!R318</f>
        <v/>
      </c>
      <c r="O319" s="50" t="str">
        <f>Portfolio!S318</f>
        <v/>
      </c>
      <c r="Q319" s="50" t="str">
        <f>Portfolio!U318</f>
        <v/>
      </c>
      <c r="S319" s="50" t="str">
        <f>Portfolio!W318</f>
        <v/>
      </c>
      <c r="T319" s="50" t="str">
        <f>Portfolio!X318</f>
        <v/>
      </c>
      <c r="U319" s="50" t="str">
        <f>Portfolio!Y318</f>
        <v/>
      </c>
      <c r="V319" s="50" t="str">
        <f>Portfolio!Z318</f>
        <v/>
      </c>
      <c r="W319" s="14" t="str">
        <f>Portfolio!AA318</f>
        <v/>
      </c>
      <c r="X319" s="50" t="str">
        <f>Portfolio!AB318</f>
        <v/>
      </c>
      <c r="Y319" s="179" t="str">
        <f>Portfolio!AC318</f>
        <v/>
      </c>
      <c r="Z319" s="50" t="str">
        <f>Portfolio!AD318</f>
        <v/>
      </c>
      <c r="AA319" s="180" t="str">
        <f>Portfolio!AE318</f>
        <v/>
      </c>
    </row>
    <row r="320">
      <c r="A320" s="14" t="str">
        <f>Portfolio!A319</f>
        <v/>
      </c>
      <c r="B320" s="14" t="str">
        <f>Portfolio!B319</f>
        <v/>
      </c>
      <c r="C320" s="158" t="str">
        <f>Portfolio!C319</f>
        <v/>
      </c>
      <c r="D320" s="96" t="str">
        <f>Portfolio!D319</f>
        <v/>
      </c>
      <c r="E320" s="96" t="str">
        <f>Portfolio!E319</f>
        <v/>
      </c>
      <c r="F320" s="96" t="str">
        <f>Portfolio!G319</f>
        <v/>
      </c>
      <c r="G320" s="50" t="str">
        <f>Portfolio!H319</f>
        <v/>
      </c>
      <c r="H320" s="96" t="str">
        <f>Portfolio!I319</f>
        <v/>
      </c>
      <c r="I320" s="96" t="str">
        <f>Portfolio!J319</f>
        <v/>
      </c>
      <c r="J320" s="96" t="str">
        <f>Portfolio!K319</f>
        <v/>
      </c>
      <c r="K320" s="50" t="str">
        <f>Portfolio!O319</f>
        <v/>
      </c>
      <c r="L320" s="96" t="str">
        <f>Portfolio!P319</f>
        <v/>
      </c>
      <c r="M320" s="96" t="str">
        <f>Portfolio!Q319</f>
        <v/>
      </c>
      <c r="N320" s="14" t="str">
        <f>Portfolio!R319</f>
        <v/>
      </c>
      <c r="O320" s="50" t="str">
        <f>Portfolio!S319</f>
        <v/>
      </c>
      <c r="Q320" s="50" t="str">
        <f>Portfolio!U319</f>
        <v/>
      </c>
      <c r="S320" s="50" t="str">
        <f>Portfolio!W319</f>
        <v/>
      </c>
      <c r="T320" s="50" t="str">
        <f>Portfolio!X319</f>
        <v/>
      </c>
      <c r="U320" s="50" t="str">
        <f>Portfolio!Y319</f>
        <v/>
      </c>
      <c r="V320" s="50" t="str">
        <f>Portfolio!Z319</f>
        <v/>
      </c>
      <c r="W320" s="14" t="str">
        <f>Portfolio!AA319</f>
        <v/>
      </c>
      <c r="X320" s="50" t="str">
        <f>Portfolio!AB319</f>
        <v/>
      </c>
      <c r="Y320" s="179" t="str">
        <f>Portfolio!AC319</f>
        <v/>
      </c>
      <c r="Z320" s="50" t="str">
        <f>Portfolio!AD319</f>
        <v/>
      </c>
      <c r="AA320" s="180" t="str">
        <f>Portfolio!AE319</f>
        <v/>
      </c>
    </row>
    <row r="321">
      <c r="A321" s="14" t="str">
        <f>Portfolio!A320</f>
        <v/>
      </c>
      <c r="B321" s="14" t="str">
        <f>Portfolio!B320</f>
        <v/>
      </c>
      <c r="C321" s="158" t="str">
        <f>Portfolio!C320</f>
        <v/>
      </c>
      <c r="D321" s="96" t="str">
        <f>Portfolio!D320</f>
        <v/>
      </c>
      <c r="E321" s="96" t="str">
        <f>Portfolio!E320</f>
        <v/>
      </c>
      <c r="F321" s="96" t="str">
        <f>Portfolio!G320</f>
        <v/>
      </c>
      <c r="G321" s="50" t="str">
        <f>Portfolio!H320</f>
        <v/>
      </c>
      <c r="H321" s="96" t="str">
        <f>Portfolio!I320</f>
        <v/>
      </c>
      <c r="I321" s="96" t="str">
        <f>Portfolio!J320</f>
        <v/>
      </c>
      <c r="J321" s="96" t="str">
        <f>Portfolio!K320</f>
        <v/>
      </c>
      <c r="K321" s="50" t="str">
        <f>Portfolio!O320</f>
        <v/>
      </c>
      <c r="L321" s="96" t="str">
        <f>Portfolio!P320</f>
        <v/>
      </c>
      <c r="M321" s="96" t="str">
        <f>Portfolio!Q320</f>
        <v/>
      </c>
      <c r="N321" s="14" t="str">
        <f>Portfolio!R320</f>
        <v/>
      </c>
      <c r="O321" s="50" t="str">
        <f>Portfolio!S320</f>
        <v/>
      </c>
      <c r="Q321" s="50" t="str">
        <f>Portfolio!U320</f>
        <v/>
      </c>
      <c r="S321" s="50" t="str">
        <f>Portfolio!W320</f>
        <v/>
      </c>
      <c r="T321" s="50" t="str">
        <f>Portfolio!X320</f>
        <v/>
      </c>
      <c r="U321" s="50" t="str">
        <f>Portfolio!Y320</f>
        <v/>
      </c>
      <c r="V321" s="50" t="str">
        <f>Portfolio!Z320</f>
        <v/>
      </c>
      <c r="W321" s="14" t="str">
        <f>Portfolio!AA320</f>
        <v/>
      </c>
      <c r="X321" s="50" t="str">
        <f>Portfolio!AB320</f>
        <v/>
      </c>
      <c r="Y321" s="179" t="str">
        <f>Portfolio!AC320</f>
        <v/>
      </c>
      <c r="Z321" s="50" t="str">
        <f>Portfolio!AD320</f>
        <v/>
      </c>
      <c r="AA321" s="180" t="str">
        <f>Portfolio!AE320</f>
        <v/>
      </c>
    </row>
    <row r="322">
      <c r="A322" s="14" t="str">
        <f>Portfolio!A321</f>
        <v/>
      </c>
      <c r="B322" s="14" t="str">
        <f>Portfolio!B321</f>
        <v/>
      </c>
      <c r="C322" s="158" t="str">
        <f>Portfolio!C321</f>
        <v/>
      </c>
      <c r="D322" s="96" t="str">
        <f>Portfolio!D321</f>
        <v/>
      </c>
      <c r="E322" s="96" t="str">
        <f>Portfolio!E321</f>
        <v/>
      </c>
      <c r="F322" s="96" t="str">
        <f>Portfolio!G321</f>
        <v/>
      </c>
      <c r="G322" s="50" t="str">
        <f>Portfolio!H321</f>
        <v/>
      </c>
      <c r="H322" s="96" t="str">
        <f>Portfolio!I321</f>
        <v/>
      </c>
      <c r="I322" s="96" t="str">
        <f>Portfolio!J321</f>
        <v/>
      </c>
      <c r="J322" s="96" t="str">
        <f>Portfolio!K321</f>
        <v/>
      </c>
      <c r="K322" s="50" t="str">
        <f>Portfolio!O321</f>
        <v/>
      </c>
      <c r="L322" s="96" t="str">
        <f>Portfolio!P321</f>
        <v/>
      </c>
      <c r="M322" s="96" t="str">
        <f>Portfolio!Q321</f>
        <v/>
      </c>
      <c r="N322" s="14" t="str">
        <f>Portfolio!R321</f>
        <v/>
      </c>
      <c r="O322" s="50" t="str">
        <f>Portfolio!S321</f>
        <v/>
      </c>
      <c r="Q322" s="50" t="str">
        <f>Portfolio!U321</f>
        <v/>
      </c>
      <c r="S322" s="50" t="str">
        <f>Portfolio!W321</f>
        <v/>
      </c>
      <c r="T322" s="50" t="str">
        <f>Portfolio!X321</f>
        <v/>
      </c>
      <c r="U322" s="50" t="str">
        <f>Portfolio!Y321</f>
        <v/>
      </c>
      <c r="V322" s="50" t="str">
        <f>Portfolio!Z321</f>
        <v/>
      </c>
      <c r="W322" s="14" t="str">
        <f>Portfolio!AA321</f>
        <v/>
      </c>
      <c r="X322" s="50" t="str">
        <f>Portfolio!AB321</f>
        <v/>
      </c>
      <c r="Y322" s="179" t="str">
        <f>Portfolio!AC321</f>
        <v/>
      </c>
      <c r="Z322" s="50" t="str">
        <f>Portfolio!AD321</f>
        <v/>
      </c>
      <c r="AA322" s="180" t="str">
        <f>Portfolio!AE321</f>
        <v/>
      </c>
    </row>
    <row r="323">
      <c r="A323" s="14" t="str">
        <f>Portfolio!A322</f>
        <v/>
      </c>
      <c r="B323" s="14" t="str">
        <f>Portfolio!B322</f>
        <v/>
      </c>
      <c r="C323" s="158" t="str">
        <f>Portfolio!C322</f>
        <v/>
      </c>
      <c r="D323" s="96" t="str">
        <f>Portfolio!D322</f>
        <v/>
      </c>
      <c r="E323" s="96" t="str">
        <f>Portfolio!E322</f>
        <v/>
      </c>
      <c r="F323" s="96" t="str">
        <f>Portfolio!G322</f>
        <v/>
      </c>
      <c r="G323" s="50" t="str">
        <f>Portfolio!H322</f>
        <v/>
      </c>
      <c r="H323" s="96" t="str">
        <f>Portfolio!I322</f>
        <v/>
      </c>
      <c r="I323" s="96" t="str">
        <f>Portfolio!J322</f>
        <v/>
      </c>
      <c r="J323" s="96" t="str">
        <f>Portfolio!K322</f>
        <v/>
      </c>
      <c r="K323" s="50" t="str">
        <f>Portfolio!O322</f>
        <v/>
      </c>
      <c r="L323" s="96" t="str">
        <f>Portfolio!P322</f>
        <v/>
      </c>
      <c r="M323" s="96" t="str">
        <f>Portfolio!Q322</f>
        <v/>
      </c>
      <c r="N323" s="14" t="str">
        <f>Portfolio!R322</f>
        <v/>
      </c>
      <c r="O323" s="50" t="str">
        <f>Portfolio!S322</f>
        <v/>
      </c>
      <c r="Q323" s="50" t="str">
        <f>Portfolio!U322</f>
        <v/>
      </c>
      <c r="S323" s="50" t="str">
        <f>Portfolio!W322</f>
        <v/>
      </c>
      <c r="T323" s="50" t="str">
        <f>Portfolio!X322</f>
        <v/>
      </c>
      <c r="U323" s="50" t="str">
        <f>Portfolio!Y322</f>
        <v/>
      </c>
      <c r="V323" s="50" t="str">
        <f>Portfolio!Z322</f>
        <v/>
      </c>
      <c r="W323" s="14" t="str">
        <f>Portfolio!AA322</f>
        <v/>
      </c>
      <c r="X323" s="50" t="str">
        <f>Portfolio!AB322</f>
        <v/>
      </c>
      <c r="Y323" s="179" t="str">
        <f>Portfolio!AC322</f>
        <v/>
      </c>
      <c r="Z323" s="50" t="str">
        <f>Portfolio!AD322</f>
        <v/>
      </c>
      <c r="AA323" s="180" t="str">
        <f>Portfolio!AE322</f>
        <v/>
      </c>
    </row>
    <row r="324">
      <c r="A324" s="14" t="str">
        <f>Portfolio!A323</f>
        <v/>
      </c>
      <c r="B324" s="14" t="str">
        <f>Portfolio!B323</f>
        <v/>
      </c>
      <c r="C324" s="158" t="str">
        <f>Portfolio!C323</f>
        <v/>
      </c>
      <c r="D324" s="96" t="str">
        <f>Portfolio!D323</f>
        <v/>
      </c>
      <c r="E324" s="96" t="str">
        <f>Portfolio!E323</f>
        <v/>
      </c>
      <c r="F324" s="96" t="str">
        <f>Portfolio!G323</f>
        <v/>
      </c>
      <c r="G324" s="50" t="str">
        <f>Portfolio!H323</f>
        <v/>
      </c>
      <c r="H324" s="96" t="str">
        <f>Portfolio!I323</f>
        <v/>
      </c>
      <c r="I324" s="96" t="str">
        <f>Portfolio!J323</f>
        <v/>
      </c>
      <c r="J324" s="96" t="str">
        <f>Portfolio!K323</f>
        <v/>
      </c>
      <c r="K324" s="50" t="str">
        <f>Portfolio!O323</f>
        <v/>
      </c>
      <c r="L324" s="96" t="str">
        <f>Portfolio!P323</f>
        <v/>
      </c>
      <c r="M324" s="96" t="str">
        <f>Portfolio!Q323</f>
        <v/>
      </c>
      <c r="N324" s="14" t="str">
        <f>Portfolio!R323</f>
        <v/>
      </c>
      <c r="O324" s="50" t="str">
        <f>Portfolio!S323</f>
        <v/>
      </c>
      <c r="Q324" s="50" t="str">
        <f>Portfolio!U323</f>
        <v/>
      </c>
      <c r="S324" s="50" t="str">
        <f>Portfolio!W323</f>
        <v/>
      </c>
      <c r="T324" s="50" t="str">
        <f>Portfolio!X323</f>
        <v/>
      </c>
      <c r="U324" s="50" t="str">
        <f>Portfolio!Y323</f>
        <v/>
      </c>
      <c r="V324" s="50" t="str">
        <f>Portfolio!Z323</f>
        <v/>
      </c>
      <c r="W324" s="14" t="str">
        <f>Portfolio!AA323</f>
        <v/>
      </c>
      <c r="X324" s="50" t="str">
        <f>Portfolio!AB323</f>
        <v/>
      </c>
      <c r="Y324" s="179" t="str">
        <f>Portfolio!AC323</f>
        <v/>
      </c>
      <c r="Z324" s="50" t="str">
        <f>Portfolio!AD323</f>
        <v/>
      </c>
      <c r="AA324" s="180" t="str">
        <f>Portfolio!AE323</f>
        <v/>
      </c>
    </row>
    <row r="325">
      <c r="A325" s="14" t="str">
        <f>Portfolio!A324</f>
        <v/>
      </c>
      <c r="B325" s="14" t="str">
        <f>Portfolio!B324</f>
        <v/>
      </c>
      <c r="C325" s="158" t="str">
        <f>Portfolio!C324</f>
        <v/>
      </c>
      <c r="D325" s="96" t="str">
        <f>Portfolio!D324</f>
        <v/>
      </c>
      <c r="E325" s="96" t="str">
        <f>Portfolio!E324</f>
        <v/>
      </c>
      <c r="F325" s="96" t="str">
        <f>Portfolio!G324</f>
        <v/>
      </c>
      <c r="G325" s="50" t="str">
        <f>Portfolio!H324</f>
        <v/>
      </c>
      <c r="H325" s="96" t="str">
        <f>Portfolio!I324</f>
        <v/>
      </c>
      <c r="I325" s="96" t="str">
        <f>Portfolio!J324</f>
        <v/>
      </c>
      <c r="J325" s="96" t="str">
        <f>Portfolio!K324</f>
        <v/>
      </c>
      <c r="K325" s="50" t="str">
        <f>Portfolio!O324</f>
        <v/>
      </c>
      <c r="L325" s="96" t="str">
        <f>Portfolio!P324</f>
        <v/>
      </c>
      <c r="M325" s="96" t="str">
        <f>Portfolio!Q324</f>
        <v/>
      </c>
      <c r="N325" s="14" t="str">
        <f>Portfolio!R324</f>
        <v/>
      </c>
      <c r="O325" s="50" t="str">
        <f>Portfolio!S324</f>
        <v/>
      </c>
      <c r="Q325" s="50" t="str">
        <f>Portfolio!U324</f>
        <v/>
      </c>
      <c r="S325" s="50" t="str">
        <f>Portfolio!W324</f>
        <v/>
      </c>
      <c r="T325" s="50" t="str">
        <f>Portfolio!X324</f>
        <v/>
      </c>
      <c r="U325" s="50" t="str">
        <f>Portfolio!Y324</f>
        <v/>
      </c>
      <c r="V325" s="50" t="str">
        <f>Portfolio!Z324</f>
        <v/>
      </c>
      <c r="W325" s="14" t="str">
        <f>Portfolio!AA324</f>
        <v/>
      </c>
      <c r="X325" s="50" t="str">
        <f>Portfolio!AB324</f>
        <v/>
      </c>
      <c r="Y325" s="179" t="str">
        <f>Portfolio!AC324</f>
        <v/>
      </c>
      <c r="Z325" s="50" t="str">
        <f>Portfolio!AD324</f>
        <v/>
      </c>
      <c r="AA325" s="180" t="str">
        <f>Portfolio!AE324</f>
        <v/>
      </c>
    </row>
    <row r="326">
      <c r="A326" s="14" t="str">
        <f>Portfolio!A325</f>
        <v/>
      </c>
      <c r="B326" s="14" t="str">
        <f>Portfolio!B325</f>
        <v/>
      </c>
      <c r="C326" s="158" t="str">
        <f>Portfolio!C325</f>
        <v/>
      </c>
      <c r="D326" s="96" t="str">
        <f>Portfolio!D325</f>
        <v/>
      </c>
      <c r="E326" s="96" t="str">
        <f>Portfolio!E325</f>
        <v/>
      </c>
      <c r="F326" s="96" t="str">
        <f>Portfolio!G325</f>
        <v/>
      </c>
      <c r="G326" s="50" t="str">
        <f>Portfolio!H325</f>
        <v/>
      </c>
      <c r="H326" s="96" t="str">
        <f>Portfolio!I325</f>
        <v/>
      </c>
      <c r="I326" s="96" t="str">
        <f>Portfolio!J325</f>
        <v/>
      </c>
      <c r="J326" s="96" t="str">
        <f>Portfolio!K325</f>
        <v/>
      </c>
      <c r="K326" s="50" t="str">
        <f>Portfolio!O325</f>
        <v/>
      </c>
      <c r="L326" s="96" t="str">
        <f>Portfolio!P325</f>
        <v/>
      </c>
      <c r="M326" s="96" t="str">
        <f>Portfolio!Q325</f>
        <v/>
      </c>
      <c r="N326" s="14" t="str">
        <f>Portfolio!R325</f>
        <v/>
      </c>
      <c r="O326" s="50" t="str">
        <f>Portfolio!S325</f>
        <v/>
      </c>
      <c r="Q326" s="50" t="str">
        <f>Portfolio!U325</f>
        <v/>
      </c>
      <c r="S326" s="50" t="str">
        <f>Portfolio!W325</f>
        <v/>
      </c>
      <c r="T326" s="50" t="str">
        <f>Portfolio!X325</f>
        <v/>
      </c>
      <c r="U326" s="50" t="str">
        <f>Portfolio!Y325</f>
        <v/>
      </c>
      <c r="V326" s="50" t="str">
        <f>Portfolio!Z325</f>
        <v/>
      </c>
      <c r="W326" s="14" t="str">
        <f>Portfolio!AA325</f>
        <v/>
      </c>
      <c r="X326" s="50" t="str">
        <f>Portfolio!AB325</f>
        <v/>
      </c>
      <c r="Y326" s="179" t="str">
        <f>Portfolio!AC325</f>
        <v/>
      </c>
      <c r="Z326" s="50" t="str">
        <f>Portfolio!AD325</f>
        <v/>
      </c>
      <c r="AA326" s="180" t="str">
        <f>Portfolio!AE325</f>
        <v/>
      </c>
    </row>
    <row r="327">
      <c r="A327" s="14" t="str">
        <f>Portfolio!A326</f>
        <v/>
      </c>
      <c r="B327" s="14" t="str">
        <f>Portfolio!B326</f>
        <v/>
      </c>
      <c r="C327" s="158" t="str">
        <f>Portfolio!C326</f>
        <v/>
      </c>
      <c r="D327" s="96" t="str">
        <f>Portfolio!D326</f>
        <v/>
      </c>
      <c r="E327" s="96" t="str">
        <f>Portfolio!E326</f>
        <v/>
      </c>
      <c r="F327" s="96" t="str">
        <f>Portfolio!G326</f>
        <v/>
      </c>
      <c r="G327" s="50" t="str">
        <f>Portfolio!H326</f>
        <v/>
      </c>
      <c r="H327" s="96" t="str">
        <f>Portfolio!I326</f>
        <v/>
      </c>
      <c r="I327" s="96" t="str">
        <f>Portfolio!J326</f>
        <v/>
      </c>
      <c r="J327" s="96" t="str">
        <f>Portfolio!K326</f>
        <v/>
      </c>
      <c r="K327" s="50" t="str">
        <f>Portfolio!O326</f>
        <v/>
      </c>
      <c r="L327" s="96" t="str">
        <f>Portfolio!P326</f>
        <v/>
      </c>
      <c r="M327" s="96" t="str">
        <f>Portfolio!Q326</f>
        <v/>
      </c>
      <c r="N327" s="14" t="str">
        <f>Portfolio!R326</f>
        <v/>
      </c>
      <c r="O327" s="50" t="str">
        <f>Portfolio!S326</f>
        <v/>
      </c>
      <c r="Q327" s="50" t="str">
        <f>Portfolio!U326</f>
        <v/>
      </c>
      <c r="S327" s="50" t="str">
        <f>Portfolio!W326</f>
        <v/>
      </c>
      <c r="T327" s="50" t="str">
        <f>Portfolio!X326</f>
        <v/>
      </c>
      <c r="U327" s="50" t="str">
        <f>Portfolio!Y326</f>
        <v/>
      </c>
      <c r="V327" s="50" t="str">
        <f>Portfolio!Z326</f>
        <v/>
      </c>
      <c r="W327" s="14" t="str">
        <f>Portfolio!AA326</f>
        <v/>
      </c>
      <c r="X327" s="50" t="str">
        <f>Portfolio!AB326</f>
        <v/>
      </c>
      <c r="Y327" s="179" t="str">
        <f>Portfolio!AC326</f>
        <v/>
      </c>
      <c r="Z327" s="50" t="str">
        <f>Portfolio!AD326</f>
        <v/>
      </c>
      <c r="AA327" s="180" t="str">
        <f>Portfolio!AE326</f>
        <v/>
      </c>
    </row>
    <row r="328">
      <c r="A328" s="14" t="str">
        <f>Portfolio!A327</f>
        <v/>
      </c>
      <c r="B328" s="14" t="str">
        <f>Portfolio!B327</f>
        <v/>
      </c>
      <c r="C328" s="158" t="str">
        <f>Portfolio!C327</f>
        <v/>
      </c>
      <c r="D328" s="96" t="str">
        <f>Portfolio!D327</f>
        <v/>
      </c>
      <c r="E328" s="96" t="str">
        <f>Portfolio!E327</f>
        <v/>
      </c>
      <c r="F328" s="96" t="str">
        <f>Portfolio!G327</f>
        <v/>
      </c>
      <c r="G328" s="50" t="str">
        <f>Portfolio!H327</f>
        <v/>
      </c>
      <c r="H328" s="96" t="str">
        <f>Portfolio!I327</f>
        <v/>
      </c>
      <c r="I328" s="96" t="str">
        <f>Portfolio!J327</f>
        <v/>
      </c>
      <c r="J328" s="96" t="str">
        <f>Portfolio!K327</f>
        <v/>
      </c>
      <c r="K328" s="50" t="str">
        <f>Portfolio!O327</f>
        <v/>
      </c>
      <c r="L328" s="96" t="str">
        <f>Portfolio!P327</f>
        <v/>
      </c>
      <c r="M328" s="96" t="str">
        <f>Portfolio!Q327</f>
        <v/>
      </c>
      <c r="N328" s="14" t="str">
        <f>Portfolio!R327</f>
        <v/>
      </c>
      <c r="O328" s="50" t="str">
        <f>Portfolio!S327</f>
        <v/>
      </c>
      <c r="Q328" s="50" t="str">
        <f>Portfolio!U327</f>
        <v/>
      </c>
      <c r="S328" s="50" t="str">
        <f>Portfolio!W327</f>
        <v/>
      </c>
      <c r="T328" s="50" t="str">
        <f>Portfolio!X327</f>
        <v/>
      </c>
      <c r="U328" s="50" t="str">
        <f>Portfolio!Y327</f>
        <v/>
      </c>
      <c r="V328" s="50" t="str">
        <f>Portfolio!Z327</f>
        <v/>
      </c>
      <c r="W328" s="14" t="str">
        <f>Portfolio!AA327</f>
        <v/>
      </c>
      <c r="X328" s="50" t="str">
        <f>Portfolio!AB327</f>
        <v/>
      </c>
      <c r="Y328" s="179" t="str">
        <f>Portfolio!AC327</f>
        <v/>
      </c>
      <c r="Z328" s="50" t="str">
        <f>Portfolio!AD327</f>
        <v/>
      </c>
      <c r="AA328" s="180" t="str">
        <f>Portfolio!AE327</f>
        <v/>
      </c>
    </row>
    <row r="329">
      <c r="A329" s="14" t="str">
        <f>Portfolio!A328</f>
        <v/>
      </c>
      <c r="B329" s="14" t="str">
        <f>Portfolio!B328</f>
        <v/>
      </c>
      <c r="C329" s="158" t="str">
        <f>Portfolio!C328</f>
        <v/>
      </c>
      <c r="D329" s="96" t="str">
        <f>Portfolio!D328</f>
        <v/>
      </c>
      <c r="E329" s="96" t="str">
        <f>Portfolio!E328</f>
        <v/>
      </c>
      <c r="F329" s="96" t="str">
        <f>Portfolio!G328</f>
        <v/>
      </c>
      <c r="G329" s="50" t="str">
        <f>Portfolio!H328</f>
        <v/>
      </c>
      <c r="H329" s="96" t="str">
        <f>Portfolio!I328</f>
        <v/>
      </c>
      <c r="I329" s="96" t="str">
        <f>Portfolio!J328</f>
        <v/>
      </c>
      <c r="J329" s="96" t="str">
        <f>Portfolio!K328</f>
        <v/>
      </c>
      <c r="K329" s="50" t="str">
        <f>Portfolio!O328</f>
        <v/>
      </c>
      <c r="L329" s="96" t="str">
        <f>Portfolio!P328</f>
        <v/>
      </c>
      <c r="M329" s="96" t="str">
        <f>Portfolio!Q328</f>
        <v/>
      </c>
      <c r="N329" s="14" t="str">
        <f>Portfolio!R328</f>
        <v/>
      </c>
      <c r="O329" s="50" t="str">
        <f>Portfolio!S328</f>
        <v/>
      </c>
      <c r="Q329" s="50" t="str">
        <f>Portfolio!U328</f>
        <v/>
      </c>
      <c r="S329" s="50" t="str">
        <f>Portfolio!W328</f>
        <v/>
      </c>
      <c r="T329" s="50" t="str">
        <f>Portfolio!X328</f>
        <v/>
      </c>
      <c r="U329" s="50" t="str">
        <f>Portfolio!Y328</f>
        <v/>
      </c>
      <c r="V329" s="50" t="str">
        <f>Portfolio!Z328</f>
        <v/>
      </c>
      <c r="W329" s="14" t="str">
        <f>Portfolio!AA328</f>
        <v/>
      </c>
      <c r="X329" s="50" t="str">
        <f>Portfolio!AB328</f>
        <v/>
      </c>
      <c r="Y329" s="179" t="str">
        <f>Portfolio!AC328</f>
        <v/>
      </c>
      <c r="Z329" s="50" t="str">
        <f>Portfolio!AD328</f>
        <v/>
      </c>
      <c r="AA329" s="180" t="str">
        <f>Portfolio!AE328</f>
        <v/>
      </c>
    </row>
    <row r="330">
      <c r="A330" s="14" t="str">
        <f>Portfolio!A329</f>
        <v/>
      </c>
      <c r="B330" s="14" t="str">
        <f>Portfolio!B329</f>
        <v/>
      </c>
      <c r="C330" s="158" t="str">
        <f>Portfolio!C329</f>
        <v/>
      </c>
      <c r="D330" s="96" t="str">
        <f>Portfolio!D329</f>
        <v/>
      </c>
      <c r="E330" s="96" t="str">
        <f>Portfolio!E329</f>
        <v/>
      </c>
      <c r="F330" s="96" t="str">
        <f>Portfolio!G329</f>
        <v/>
      </c>
      <c r="G330" s="50" t="str">
        <f>Portfolio!H329</f>
        <v/>
      </c>
      <c r="H330" s="96" t="str">
        <f>Portfolio!I329</f>
        <v/>
      </c>
      <c r="I330" s="96" t="str">
        <f>Portfolio!J329</f>
        <v/>
      </c>
      <c r="J330" s="96" t="str">
        <f>Portfolio!K329</f>
        <v/>
      </c>
      <c r="K330" s="50" t="str">
        <f>Portfolio!O329</f>
        <v/>
      </c>
      <c r="L330" s="96" t="str">
        <f>Portfolio!P329</f>
        <v/>
      </c>
      <c r="M330" s="96" t="str">
        <f>Portfolio!Q329</f>
        <v/>
      </c>
      <c r="N330" s="14" t="str">
        <f>Portfolio!R329</f>
        <v/>
      </c>
      <c r="O330" s="50" t="str">
        <f>Portfolio!S329</f>
        <v/>
      </c>
      <c r="Q330" s="50" t="str">
        <f>Portfolio!U329</f>
        <v/>
      </c>
      <c r="S330" s="50" t="str">
        <f>Portfolio!W329</f>
        <v/>
      </c>
      <c r="T330" s="50" t="str">
        <f>Portfolio!X329</f>
        <v/>
      </c>
      <c r="U330" s="50" t="str">
        <f>Portfolio!Y329</f>
        <v/>
      </c>
      <c r="V330" s="50" t="str">
        <f>Portfolio!Z329</f>
        <v/>
      </c>
      <c r="W330" s="14" t="str">
        <f>Portfolio!AA329</f>
        <v/>
      </c>
      <c r="X330" s="50" t="str">
        <f>Portfolio!AB329</f>
        <v/>
      </c>
      <c r="Y330" s="179" t="str">
        <f>Portfolio!AC329</f>
        <v/>
      </c>
      <c r="Z330" s="50" t="str">
        <f>Portfolio!AD329</f>
        <v/>
      </c>
      <c r="AA330" s="180" t="str">
        <f>Portfolio!AE329</f>
        <v/>
      </c>
    </row>
    <row r="331">
      <c r="A331" s="14" t="str">
        <f>Portfolio!A330</f>
        <v/>
      </c>
      <c r="B331" s="14" t="str">
        <f>Portfolio!B330</f>
        <v/>
      </c>
      <c r="C331" s="158" t="str">
        <f>Portfolio!C330</f>
        <v/>
      </c>
      <c r="D331" s="96" t="str">
        <f>Portfolio!D330</f>
        <v/>
      </c>
      <c r="E331" s="96" t="str">
        <f>Portfolio!E330</f>
        <v/>
      </c>
      <c r="F331" s="96" t="str">
        <f>Portfolio!G330</f>
        <v/>
      </c>
      <c r="G331" s="50" t="str">
        <f>Portfolio!H330</f>
        <v/>
      </c>
      <c r="H331" s="96" t="str">
        <f>Portfolio!I330</f>
        <v/>
      </c>
      <c r="I331" s="96" t="str">
        <f>Portfolio!J330</f>
        <v/>
      </c>
      <c r="J331" s="96" t="str">
        <f>Portfolio!K330</f>
        <v/>
      </c>
      <c r="K331" s="50" t="str">
        <f>Portfolio!O330</f>
        <v/>
      </c>
      <c r="L331" s="96" t="str">
        <f>Portfolio!P330</f>
        <v/>
      </c>
      <c r="M331" s="96" t="str">
        <f>Portfolio!Q330</f>
        <v/>
      </c>
      <c r="N331" s="14" t="str">
        <f>Portfolio!R330</f>
        <v/>
      </c>
      <c r="O331" s="50" t="str">
        <f>Portfolio!S330</f>
        <v/>
      </c>
      <c r="Q331" s="50" t="str">
        <f>Portfolio!U330</f>
        <v/>
      </c>
      <c r="S331" s="50" t="str">
        <f>Portfolio!W330</f>
        <v/>
      </c>
      <c r="T331" s="50" t="str">
        <f>Portfolio!X330</f>
        <v/>
      </c>
      <c r="U331" s="50" t="str">
        <f>Portfolio!Y330</f>
        <v/>
      </c>
      <c r="V331" s="50" t="str">
        <f>Portfolio!Z330</f>
        <v/>
      </c>
      <c r="W331" s="14" t="str">
        <f>Portfolio!AA330</f>
        <v/>
      </c>
      <c r="X331" s="50" t="str">
        <f>Portfolio!AB330</f>
        <v/>
      </c>
      <c r="Y331" s="179" t="str">
        <f>Portfolio!AC330</f>
        <v/>
      </c>
      <c r="Z331" s="50" t="str">
        <f>Portfolio!AD330</f>
        <v/>
      </c>
      <c r="AA331" s="180" t="str">
        <f>Portfolio!AE330</f>
        <v/>
      </c>
    </row>
    <row r="332">
      <c r="A332" s="14" t="str">
        <f>Portfolio!A331</f>
        <v/>
      </c>
      <c r="B332" s="14" t="str">
        <f>Portfolio!B331</f>
        <v/>
      </c>
      <c r="C332" s="158" t="str">
        <f>Portfolio!C331</f>
        <v/>
      </c>
      <c r="D332" s="96" t="str">
        <f>Portfolio!D331</f>
        <v/>
      </c>
      <c r="E332" s="96" t="str">
        <f>Portfolio!E331</f>
        <v/>
      </c>
      <c r="F332" s="96" t="str">
        <f>Portfolio!G331</f>
        <v/>
      </c>
      <c r="G332" s="50" t="str">
        <f>Portfolio!H331</f>
        <v/>
      </c>
      <c r="H332" s="96" t="str">
        <f>Portfolio!I331</f>
        <v/>
      </c>
      <c r="I332" s="96" t="str">
        <f>Portfolio!J331</f>
        <v/>
      </c>
      <c r="J332" s="96" t="str">
        <f>Portfolio!K331</f>
        <v/>
      </c>
      <c r="K332" s="50" t="str">
        <f>Portfolio!O331</f>
        <v/>
      </c>
      <c r="L332" s="96" t="str">
        <f>Portfolio!P331</f>
        <v/>
      </c>
      <c r="M332" s="96" t="str">
        <f>Portfolio!Q331</f>
        <v/>
      </c>
      <c r="N332" s="14" t="str">
        <f>Portfolio!R331</f>
        <v/>
      </c>
      <c r="O332" s="50" t="str">
        <f>Portfolio!S331</f>
        <v/>
      </c>
      <c r="Q332" s="50" t="str">
        <f>Portfolio!U331</f>
        <v/>
      </c>
      <c r="S332" s="50" t="str">
        <f>Portfolio!W331</f>
        <v/>
      </c>
      <c r="T332" s="50" t="str">
        <f>Portfolio!X331</f>
        <v/>
      </c>
      <c r="U332" s="50" t="str">
        <f>Portfolio!Y331</f>
        <v/>
      </c>
      <c r="V332" s="50" t="str">
        <f>Portfolio!Z331</f>
        <v/>
      </c>
      <c r="W332" s="14" t="str">
        <f>Portfolio!AA331</f>
        <v/>
      </c>
      <c r="X332" s="50" t="str">
        <f>Portfolio!AB331</f>
        <v/>
      </c>
      <c r="Y332" s="179" t="str">
        <f>Portfolio!AC331</f>
        <v/>
      </c>
      <c r="Z332" s="50" t="str">
        <f>Portfolio!AD331</f>
        <v/>
      </c>
      <c r="AA332" s="180" t="str">
        <f>Portfolio!AE331</f>
        <v/>
      </c>
    </row>
    <row r="333">
      <c r="A333" s="14" t="str">
        <f>Portfolio!A332</f>
        <v/>
      </c>
      <c r="B333" s="14" t="str">
        <f>Portfolio!B332</f>
        <v/>
      </c>
      <c r="C333" s="158" t="str">
        <f>Portfolio!C332</f>
        <v/>
      </c>
      <c r="D333" s="96" t="str">
        <f>Portfolio!D332</f>
        <v/>
      </c>
      <c r="E333" s="96" t="str">
        <f>Portfolio!E332</f>
        <v/>
      </c>
      <c r="F333" s="96" t="str">
        <f>Portfolio!G332</f>
        <v/>
      </c>
      <c r="G333" s="50" t="str">
        <f>Portfolio!H332</f>
        <v/>
      </c>
      <c r="H333" s="96" t="str">
        <f>Portfolio!I332</f>
        <v/>
      </c>
      <c r="I333" s="96" t="str">
        <f>Portfolio!J332</f>
        <v/>
      </c>
      <c r="J333" s="96" t="str">
        <f>Portfolio!K332</f>
        <v/>
      </c>
      <c r="K333" s="50" t="str">
        <f>Portfolio!O332</f>
        <v/>
      </c>
      <c r="L333" s="96" t="str">
        <f>Portfolio!P332</f>
        <v/>
      </c>
      <c r="M333" s="96" t="str">
        <f>Portfolio!Q332</f>
        <v/>
      </c>
      <c r="N333" s="14" t="str">
        <f>Portfolio!R332</f>
        <v/>
      </c>
      <c r="O333" s="50" t="str">
        <f>Portfolio!S332</f>
        <v/>
      </c>
      <c r="Q333" s="50" t="str">
        <f>Portfolio!U332</f>
        <v/>
      </c>
      <c r="S333" s="50" t="str">
        <f>Portfolio!W332</f>
        <v/>
      </c>
      <c r="T333" s="50" t="str">
        <f>Portfolio!X332</f>
        <v/>
      </c>
      <c r="U333" s="50" t="str">
        <f>Portfolio!Y332</f>
        <v/>
      </c>
      <c r="V333" s="50" t="str">
        <f>Portfolio!Z332</f>
        <v/>
      </c>
      <c r="W333" s="14" t="str">
        <f>Portfolio!AA332</f>
        <v/>
      </c>
      <c r="X333" s="50" t="str">
        <f>Portfolio!AB332</f>
        <v/>
      </c>
      <c r="Y333" s="179" t="str">
        <f>Portfolio!AC332</f>
        <v/>
      </c>
      <c r="Z333" s="50" t="str">
        <f>Portfolio!AD332</f>
        <v/>
      </c>
      <c r="AA333" s="180" t="str">
        <f>Portfolio!AE332</f>
        <v/>
      </c>
    </row>
    <row r="334">
      <c r="A334" s="14" t="str">
        <f>Portfolio!A333</f>
        <v/>
      </c>
      <c r="B334" s="14" t="str">
        <f>Portfolio!B333</f>
        <v/>
      </c>
      <c r="C334" s="158" t="str">
        <f>Portfolio!C333</f>
        <v/>
      </c>
      <c r="D334" s="96" t="str">
        <f>Portfolio!D333</f>
        <v/>
      </c>
      <c r="E334" s="96" t="str">
        <f>Portfolio!E333</f>
        <v/>
      </c>
      <c r="F334" s="96" t="str">
        <f>Portfolio!G333</f>
        <v/>
      </c>
      <c r="G334" s="50" t="str">
        <f>Portfolio!H333</f>
        <v/>
      </c>
      <c r="H334" s="96" t="str">
        <f>Portfolio!I333</f>
        <v/>
      </c>
      <c r="I334" s="96" t="str">
        <f>Portfolio!J333</f>
        <v/>
      </c>
      <c r="J334" s="96" t="str">
        <f>Portfolio!K333</f>
        <v/>
      </c>
      <c r="K334" s="50" t="str">
        <f>Portfolio!O333</f>
        <v/>
      </c>
      <c r="L334" s="96" t="str">
        <f>Portfolio!P333</f>
        <v/>
      </c>
      <c r="M334" s="96" t="str">
        <f>Portfolio!Q333</f>
        <v/>
      </c>
      <c r="N334" s="14" t="str">
        <f>Portfolio!R333</f>
        <v/>
      </c>
      <c r="O334" s="50" t="str">
        <f>Portfolio!S333</f>
        <v/>
      </c>
      <c r="Q334" s="50" t="str">
        <f>Portfolio!U333</f>
        <v/>
      </c>
      <c r="S334" s="50" t="str">
        <f>Portfolio!W333</f>
        <v/>
      </c>
      <c r="T334" s="50" t="str">
        <f>Portfolio!X333</f>
        <v/>
      </c>
      <c r="U334" s="50" t="str">
        <f>Portfolio!Y333</f>
        <v/>
      </c>
      <c r="V334" s="50" t="str">
        <f>Portfolio!Z333</f>
        <v/>
      </c>
      <c r="W334" s="14" t="str">
        <f>Portfolio!AA333</f>
        <v/>
      </c>
      <c r="X334" s="50" t="str">
        <f>Portfolio!AB333</f>
        <v/>
      </c>
      <c r="Y334" s="179" t="str">
        <f>Portfolio!AC333</f>
        <v/>
      </c>
      <c r="Z334" s="50" t="str">
        <f>Portfolio!AD333</f>
        <v/>
      </c>
      <c r="AA334" s="180" t="str">
        <f>Portfolio!AE333</f>
        <v/>
      </c>
    </row>
    <row r="335">
      <c r="A335" s="14" t="str">
        <f>Portfolio!A334</f>
        <v/>
      </c>
      <c r="B335" s="14" t="str">
        <f>Portfolio!B334</f>
        <v/>
      </c>
      <c r="C335" s="158" t="str">
        <f>Portfolio!C334</f>
        <v/>
      </c>
      <c r="D335" s="96" t="str">
        <f>Portfolio!D334</f>
        <v/>
      </c>
      <c r="E335" s="96" t="str">
        <f>Portfolio!E334</f>
        <v/>
      </c>
      <c r="F335" s="96" t="str">
        <f>Portfolio!G334</f>
        <v/>
      </c>
      <c r="G335" s="50" t="str">
        <f>Portfolio!H334</f>
        <v/>
      </c>
      <c r="H335" s="96" t="str">
        <f>Portfolio!I334</f>
        <v/>
      </c>
      <c r="I335" s="96" t="str">
        <f>Portfolio!J334</f>
        <v/>
      </c>
      <c r="J335" s="96" t="str">
        <f>Portfolio!K334</f>
        <v/>
      </c>
      <c r="K335" s="50" t="str">
        <f>Portfolio!O334</f>
        <v/>
      </c>
      <c r="L335" s="96" t="str">
        <f>Portfolio!P334</f>
        <v/>
      </c>
      <c r="M335" s="96" t="str">
        <f>Portfolio!Q334</f>
        <v/>
      </c>
      <c r="N335" s="14" t="str">
        <f>Portfolio!R334</f>
        <v/>
      </c>
      <c r="O335" s="50" t="str">
        <f>Portfolio!S334</f>
        <v/>
      </c>
      <c r="Q335" s="50" t="str">
        <f>Portfolio!U334</f>
        <v/>
      </c>
      <c r="S335" s="50" t="str">
        <f>Portfolio!W334</f>
        <v/>
      </c>
      <c r="T335" s="50" t="str">
        <f>Portfolio!X334</f>
        <v/>
      </c>
      <c r="U335" s="50" t="str">
        <f>Portfolio!Y334</f>
        <v/>
      </c>
      <c r="V335" s="50" t="str">
        <f>Portfolio!Z334</f>
        <v/>
      </c>
      <c r="W335" s="14" t="str">
        <f>Portfolio!AA334</f>
        <v/>
      </c>
      <c r="X335" s="50" t="str">
        <f>Portfolio!AB334</f>
        <v/>
      </c>
      <c r="Y335" s="179" t="str">
        <f>Portfolio!AC334</f>
        <v/>
      </c>
      <c r="Z335" s="50" t="str">
        <f>Portfolio!AD334</f>
        <v/>
      </c>
      <c r="AA335" s="180" t="str">
        <f>Portfolio!AE334</f>
        <v/>
      </c>
    </row>
    <row r="336">
      <c r="A336" s="14" t="str">
        <f>Portfolio!A335</f>
        <v/>
      </c>
      <c r="B336" s="14" t="str">
        <f>Portfolio!B335</f>
        <v/>
      </c>
      <c r="C336" s="158" t="str">
        <f>Portfolio!C335</f>
        <v/>
      </c>
      <c r="D336" s="96" t="str">
        <f>Portfolio!D335</f>
        <v/>
      </c>
      <c r="E336" s="96" t="str">
        <f>Portfolio!E335</f>
        <v/>
      </c>
      <c r="F336" s="96" t="str">
        <f>Portfolio!G335</f>
        <v/>
      </c>
      <c r="G336" s="50" t="str">
        <f>Portfolio!H335</f>
        <v/>
      </c>
      <c r="H336" s="96" t="str">
        <f>Portfolio!I335</f>
        <v/>
      </c>
      <c r="I336" s="96" t="str">
        <f>Portfolio!J335</f>
        <v/>
      </c>
      <c r="J336" s="96" t="str">
        <f>Portfolio!K335</f>
        <v/>
      </c>
      <c r="K336" s="50" t="str">
        <f>Portfolio!O335</f>
        <v/>
      </c>
      <c r="L336" s="96" t="str">
        <f>Portfolio!P335</f>
        <v/>
      </c>
      <c r="M336" s="96" t="str">
        <f>Portfolio!Q335</f>
        <v/>
      </c>
      <c r="N336" s="14" t="str">
        <f>Portfolio!R335</f>
        <v/>
      </c>
      <c r="O336" s="50" t="str">
        <f>Portfolio!S335</f>
        <v/>
      </c>
      <c r="Q336" s="50" t="str">
        <f>Portfolio!U335</f>
        <v/>
      </c>
      <c r="S336" s="50" t="str">
        <f>Portfolio!W335</f>
        <v/>
      </c>
      <c r="T336" s="50" t="str">
        <f>Portfolio!X335</f>
        <v/>
      </c>
      <c r="U336" s="50" t="str">
        <f>Portfolio!Y335</f>
        <v/>
      </c>
      <c r="V336" s="50" t="str">
        <f>Portfolio!Z335</f>
        <v/>
      </c>
      <c r="W336" s="14" t="str">
        <f>Portfolio!AA335</f>
        <v/>
      </c>
      <c r="X336" s="50" t="str">
        <f>Portfolio!AB335</f>
        <v/>
      </c>
      <c r="Y336" s="179" t="str">
        <f>Portfolio!AC335</f>
        <v/>
      </c>
      <c r="Z336" s="50" t="str">
        <f>Portfolio!AD335</f>
        <v/>
      </c>
      <c r="AA336" s="180" t="str">
        <f>Portfolio!AE335</f>
        <v/>
      </c>
    </row>
    <row r="337">
      <c r="A337" s="14" t="str">
        <f>Portfolio!A336</f>
        <v/>
      </c>
      <c r="B337" s="14" t="str">
        <f>Portfolio!B336</f>
        <v/>
      </c>
      <c r="C337" s="158" t="str">
        <f>Portfolio!C336</f>
        <v/>
      </c>
      <c r="D337" s="96" t="str">
        <f>Portfolio!D336</f>
        <v/>
      </c>
      <c r="E337" s="96" t="str">
        <f>Portfolio!E336</f>
        <v/>
      </c>
      <c r="F337" s="96" t="str">
        <f>Portfolio!G336</f>
        <v/>
      </c>
      <c r="G337" s="50" t="str">
        <f>Portfolio!H336</f>
        <v/>
      </c>
      <c r="H337" s="96" t="str">
        <f>Portfolio!I336</f>
        <v/>
      </c>
      <c r="I337" s="96" t="str">
        <f>Portfolio!J336</f>
        <v/>
      </c>
      <c r="J337" s="96" t="str">
        <f>Portfolio!K336</f>
        <v/>
      </c>
      <c r="K337" s="50" t="str">
        <f>Portfolio!O336</f>
        <v/>
      </c>
      <c r="L337" s="96" t="str">
        <f>Portfolio!P336</f>
        <v/>
      </c>
      <c r="M337" s="96" t="str">
        <f>Portfolio!Q336</f>
        <v/>
      </c>
      <c r="N337" s="14" t="str">
        <f>Portfolio!R336</f>
        <v/>
      </c>
      <c r="O337" s="50" t="str">
        <f>Portfolio!S336</f>
        <v/>
      </c>
      <c r="Q337" s="50" t="str">
        <f>Portfolio!U336</f>
        <v/>
      </c>
      <c r="S337" s="50" t="str">
        <f>Portfolio!W336</f>
        <v/>
      </c>
      <c r="T337" s="50" t="str">
        <f>Portfolio!X336</f>
        <v/>
      </c>
      <c r="U337" s="50" t="str">
        <f>Portfolio!Y336</f>
        <v/>
      </c>
      <c r="V337" s="50" t="str">
        <f>Portfolio!Z336</f>
        <v/>
      </c>
      <c r="W337" s="14" t="str">
        <f>Portfolio!AA336</f>
        <v/>
      </c>
      <c r="X337" s="50" t="str">
        <f>Portfolio!AB336</f>
        <v/>
      </c>
      <c r="Y337" s="179" t="str">
        <f>Portfolio!AC336</f>
        <v/>
      </c>
      <c r="Z337" s="50" t="str">
        <f>Portfolio!AD336</f>
        <v/>
      </c>
      <c r="AA337" s="180" t="str">
        <f>Portfolio!AE336</f>
        <v/>
      </c>
    </row>
    <row r="338">
      <c r="A338" s="14" t="str">
        <f>Portfolio!A337</f>
        <v/>
      </c>
      <c r="B338" s="14" t="str">
        <f>Portfolio!B337</f>
        <v/>
      </c>
      <c r="C338" s="158" t="str">
        <f>Portfolio!C337</f>
        <v/>
      </c>
      <c r="D338" s="96" t="str">
        <f>Portfolio!D337</f>
        <v/>
      </c>
      <c r="E338" s="96" t="str">
        <f>Portfolio!E337</f>
        <v/>
      </c>
      <c r="F338" s="96" t="str">
        <f>Portfolio!G337</f>
        <v/>
      </c>
      <c r="G338" s="50" t="str">
        <f>Portfolio!H337</f>
        <v/>
      </c>
      <c r="H338" s="96" t="str">
        <f>Portfolio!I337</f>
        <v/>
      </c>
      <c r="I338" s="96" t="str">
        <f>Portfolio!J337</f>
        <v/>
      </c>
      <c r="J338" s="96" t="str">
        <f>Portfolio!K337</f>
        <v/>
      </c>
      <c r="K338" s="50" t="str">
        <f>Portfolio!O337</f>
        <v/>
      </c>
      <c r="L338" s="96" t="str">
        <f>Portfolio!P337</f>
        <v/>
      </c>
      <c r="M338" s="96" t="str">
        <f>Portfolio!Q337</f>
        <v/>
      </c>
      <c r="N338" s="14" t="str">
        <f>Portfolio!R337</f>
        <v/>
      </c>
      <c r="O338" s="50" t="str">
        <f>Portfolio!S337</f>
        <v/>
      </c>
      <c r="Q338" s="50" t="str">
        <f>Portfolio!U337</f>
        <v/>
      </c>
      <c r="S338" s="50" t="str">
        <f>Portfolio!W337</f>
        <v/>
      </c>
      <c r="T338" s="50" t="str">
        <f>Portfolio!X337</f>
        <v/>
      </c>
      <c r="U338" s="50" t="str">
        <f>Portfolio!Y337</f>
        <v/>
      </c>
      <c r="V338" s="50" t="str">
        <f>Portfolio!Z337</f>
        <v/>
      </c>
      <c r="W338" s="14" t="str">
        <f>Portfolio!AA337</f>
        <v/>
      </c>
      <c r="X338" s="50" t="str">
        <f>Portfolio!AB337</f>
        <v/>
      </c>
      <c r="Y338" s="179" t="str">
        <f>Portfolio!AC337</f>
        <v/>
      </c>
      <c r="Z338" s="50" t="str">
        <f>Portfolio!AD337</f>
        <v/>
      </c>
      <c r="AA338" s="180" t="str">
        <f>Portfolio!AE337</f>
        <v/>
      </c>
    </row>
    <row r="339">
      <c r="A339" s="14" t="str">
        <f>Portfolio!A338</f>
        <v/>
      </c>
      <c r="B339" s="14" t="str">
        <f>Portfolio!B338</f>
        <v/>
      </c>
      <c r="C339" s="158" t="str">
        <f>Portfolio!C338</f>
        <v/>
      </c>
      <c r="D339" s="96" t="str">
        <f>Portfolio!D338</f>
        <v/>
      </c>
      <c r="E339" s="96" t="str">
        <f>Portfolio!E338</f>
        <v/>
      </c>
      <c r="F339" s="96" t="str">
        <f>Portfolio!G338</f>
        <v/>
      </c>
      <c r="G339" s="50" t="str">
        <f>Portfolio!H338</f>
        <v/>
      </c>
      <c r="H339" s="96" t="str">
        <f>Portfolio!I338</f>
        <v/>
      </c>
      <c r="I339" s="96" t="str">
        <f>Portfolio!J338</f>
        <v/>
      </c>
      <c r="J339" s="96" t="str">
        <f>Portfolio!K338</f>
        <v/>
      </c>
      <c r="K339" s="50" t="str">
        <f>Portfolio!O338</f>
        <v/>
      </c>
      <c r="L339" s="96" t="str">
        <f>Portfolio!P338</f>
        <v/>
      </c>
      <c r="M339" s="96" t="str">
        <f>Portfolio!Q338</f>
        <v/>
      </c>
      <c r="N339" s="14" t="str">
        <f>Portfolio!R338</f>
        <v/>
      </c>
      <c r="O339" s="50" t="str">
        <f>Portfolio!S338</f>
        <v/>
      </c>
      <c r="Q339" s="50" t="str">
        <f>Portfolio!U338</f>
        <v/>
      </c>
      <c r="S339" s="50" t="str">
        <f>Portfolio!W338</f>
        <v/>
      </c>
      <c r="T339" s="50" t="str">
        <f>Portfolio!X338</f>
        <v/>
      </c>
      <c r="U339" s="50" t="str">
        <f>Portfolio!Y338</f>
        <v/>
      </c>
      <c r="V339" s="50" t="str">
        <f>Portfolio!Z338</f>
        <v/>
      </c>
      <c r="W339" s="14" t="str">
        <f>Portfolio!AA338</f>
        <v/>
      </c>
      <c r="X339" s="50" t="str">
        <f>Portfolio!AB338</f>
        <v/>
      </c>
      <c r="Y339" s="179" t="str">
        <f>Portfolio!AC338</f>
        <v/>
      </c>
      <c r="Z339" s="50" t="str">
        <f>Portfolio!AD338</f>
        <v/>
      </c>
      <c r="AA339" s="180" t="str">
        <f>Portfolio!AE338</f>
        <v/>
      </c>
    </row>
    <row r="340">
      <c r="A340" s="14" t="str">
        <f>Portfolio!A339</f>
        <v/>
      </c>
      <c r="B340" s="14" t="str">
        <f>Portfolio!B339</f>
        <v/>
      </c>
      <c r="C340" s="158" t="str">
        <f>Portfolio!C339</f>
        <v/>
      </c>
      <c r="D340" s="96" t="str">
        <f>Portfolio!D339</f>
        <v/>
      </c>
      <c r="E340" s="96" t="str">
        <f>Portfolio!E339</f>
        <v/>
      </c>
      <c r="F340" s="96" t="str">
        <f>Portfolio!G339</f>
        <v/>
      </c>
      <c r="G340" s="50" t="str">
        <f>Portfolio!H339</f>
        <v/>
      </c>
      <c r="H340" s="96" t="str">
        <f>Portfolio!I339</f>
        <v/>
      </c>
      <c r="I340" s="96" t="str">
        <f>Portfolio!J339</f>
        <v/>
      </c>
      <c r="J340" s="96" t="str">
        <f>Portfolio!K339</f>
        <v/>
      </c>
      <c r="K340" s="50" t="str">
        <f>Portfolio!O339</f>
        <v/>
      </c>
      <c r="L340" s="96" t="str">
        <f>Portfolio!P339</f>
        <v/>
      </c>
      <c r="M340" s="96" t="str">
        <f>Portfolio!Q339</f>
        <v/>
      </c>
      <c r="N340" s="14" t="str">
        <f>Portfolio!R339</f>
        <v/>
      </c>
      <c r="O340" s="50" t="str">
        <f>Portfolio!S339</f>
        <v/>
      </c>
      <c r="Q340" s="50" t="str">
        <f>Portfolio!U339</f>
        <v/>
      </c>
      <c r="S340" s="50" t="str">
        <f>Portfolio!W339</f>
        <v/>
      </c>
      <c r="T340" s="50" t="str">
        <f>Portfolio!X339</f>
        <v/>
      </c>
      <c r="U340" s="50" t="str">
        <f>Portfolio!Y339</f>
        <v/>
      </c>
      <c r="V340" s="50" t="str">
        <f>Portfolio!Z339</f>
        <v/>
      </c>
      <c r="W340" s="14" t="str">
        <f>Portfolio!AA339</f>
        <v/>
      </c>
      <c r="X340" s="50" t="str">
        <f>Portfolio!AB339</f>
        <v/>
      </c>
      <c r="Y340" s="179" t="str">
        <f>Portfolio!AC339</f>
        <v/>
      </c>
      <c r="Z340" s="50" t="str">
        <f>Portfolio!AD339</f>
        <v/>
      </c>
      <c r="AA340" s="180" t="str">
        <f>Portfolio!AE339</f>
        <v/>
      </c>
    </row>
    <row r="341">
      <c r="A341" s="14" t="str">
        <f>Portfolio!A340</f>
        <v/>
      </c>
      <c r="B341" s="14" t="str">
        <f>Portfolio!B340</f>
        <v/>
      </c>
      <c r="C341" s="158" t="str">
        <f>Portfolio!C340</f>
        <v/>
      </c>
      <c r="D341" s="96" t="str">
        <f>Portfolio!D340</f>
        <v/>
      </c>
      <c r="E341" s="96" t="str">
        <f>Portfolio!E340</f>
        <v/>
      </c>
      <c r="F341" s="96" t="str">
        <f>Portfolio!G340</f>
        <v/>
      </c>
      <c r="G341" s="50" t="str">
        <f>Portfolio!H340</f>
        <v/>
      </c>
      <c r="H341" s="96" t="str">
        <f>Portfolio!I340</f>
        <v/>
      </c>
      <c r="I341" s="96" t="str">
        <f>Portfolio!J340</f>
        <v/>
      </c>
      <c r="J341" s="96" t="str">
        <f>Portfolio!K340</f>
        <v/>
      </c>
      <c r="K341" s="50" t="str">
        <f>Portfolio!O340</f>
        <v/>
      </c>
      <c r="L341" s="96" t="str">
        <f>Portfolio!P340</f>
        <v/>
      </c>
      <c r="M341" s="96" t="str">
        <f>Portfolio!Q340</f>
        <v/>
      </c>
      <c r="N341" s="14" t="str">
        <f>Portfolio!R340</f>
        <v/>
      </c>
      <c r="O341" s="50" t="str">
        <f>Portfolio!S340</f>
        <v/>
      </c>
      <c r="Q341" s="50" t="str">
        <f>Portfolio!U340</f>
        <v/>
      </c>
      <c r="S341" s="50" t="str">
        <f>Portfolio!W340</f>
        <v/>
      </c>
      <c r="T341" s="50" t="str">
        <f>Portfolio!X340</f>
        <v/>
      </c>
      <c r="U341" s="50" t="str">
        <f>Portfolio!Y340</f>
        <v/>
      </c>
      <c r="V341" s="50" t="str">
        <f>Portfolio!Z340</f>
        <v/>
      </c>
      <c r="W341" s="14" t="str">
        <f>Portfolio!AA340</f>
        <v/>
      </c>
      <c r="X341" s="50" t="str">
        <f>Portfolio!AB340</f>
        <v/>
      </c>
      <c r="Y341" s="179" t="str">
        <f>Portfolio!AC340</f>
        <v/>
      </c>
      <c r="Z341" s="50" t="str">
        <f>Portfolio!AD340</f>
        <v/>
      </c>
      <c r="AA341" s="180" t="str">
        <f>Portfolio!AE340</f>
        <v/>
      </c>
    </row>
    <row r="342">
      <c r="A342" s="14" t="str">
        <f>Portfolio!A341</f>
        <v/>
      </c>
      <c r="B342" s="14" t="str">
        <f>Portfolio!B341</f>
        <v/>
      </c>
      <c r="C342" s="158" t="str">
        <f>Portfolio!C341</f>
        <v/>
      </c>
      <c r="D342" s="96" t="str">
        <f>Portfolio!D341</f>
        <v/>
      </c>
      <c r="E342" s="96" t="str">
        <f>Portfolio!E341</f>
        <v/>
      </c>
      <c r="F342" s="96" t="str">
        <f>Portfolio!G341</f>
        <v/>
      </c>
      <c r="G342" s="50" t="str">
        <f>Portfolio!H341</f>
        <v/>
      </c>
      <c r="H342" s="96" t="str">
        <f>Portfolio!I341</f>
        <v/>
      </c>
      <c r="I342" s="96" t="str">
        <f>Portfolio!J341</f>
        <v/>
      </c>
      <c r="J342" s="96" t="str">
        <f>Portfolio!K341</f>
        <v/>
      </c>
      <c r="K342" s="50" t="str">
        <f>Portfolio!O341</f>
        <v/>
      </c>
      <c r="L342" s="96" t="str">
        <f>Portfolio!P341</f>
        <v/>
      </c>
      <c r="M342" s="96" t="str">
        <f>Portfolio!Q341</f>
        <v/>
      </c>
      <c r="N342" s="14" t="str">
        <f>Portfolio!R341</f>
        <v/>
      </c>
      <c r="O342" s="50" t="str">
        <f>Portfolio!S341</f>
        <v/>
      </c>
      <c r="Q342" s="50" t="str">
        <f>Portfolio!U341</f>
        <v/>
      </c>
      <c r="S342" s="50" t="str">
        <f>Portfolio!W341</f>
        <v/>
      </c>
      <c r="T342" s="50" t="str">
        <f>Portfolio!X341</f>
        <v/>
      </c>
      <c r="U342" s="50" t="str">
        <f>Portfolio!Y341</f>
        <v/>
      </c>
      <c r="V342" s="50" t="str">
        <f>Portfolio!Z341</f>
        <v/>
      </c>
      <c r="W342" s="14" t="str">
        <f>Portfolio!AA341</f>
        <v/>
      </c>
      <c r="X342" s="50" t="str">
        <f>Portfolio!AB341</f>
        <v/>
      </c>
      <c r="Y342" s="179" t="str">
        <f>Portfolio!AC341</f>
        <v/>
      </c>
      <c r="Z342" s="50" t="str">
        <f>Portfolio!AD341</f>
        <v/>
      </c>
      <c r="AA342" s="180" t="str">
        <f>Portfolio!AE341</f>
        <v/>
      </c>
    </row>
    <row r="343">
      <c r="A343" s="14" t="str">
        <f>Portfolio!A342</f>
        <v/>
      </c>
      <c r="B343" s="14" t="str">
        <f>Portfolio!B342</f>
        <v/>
      </c>
      <c r="C343" s="158" t="str">
        <f>Portfolio!C342</f>
        <v/>
      </c>
      <c r="D343" s="96" t="str">
        <f>Portfolio!D342</f>
        <v/>
      </c>
      <c r="E343" s="96" t="str">
        <f>Portfolio!E342</f>
        <v/>
      </c>
      <c r="F343" s="96" t="str">
        <f>Portfolio!G342</f>
        <v/>
      </c>
      <c r="G343" s="50" t="str">
        <f>Portfolio!H342</f>
        <v/>
      </c>
      <c r="H343" s="96" t="str">
        <f>Portfolio!I342</f>
        <v/>
      </c>
      <c r="I343" s="96" t="str">
        <f>Portfolio!J342</f>
        <v/>
      </c>
      <c r="J343" s="96" t="str">
        <f>Portfolio!K342</f>
        <v/>
      </c>
      <c r="K343" s="50" t="str">
        <f>Portfolio!O342</f>
        <v/>
      </c>
      <c r="L343" s="96" t="str">
        <f>Portfolio!P342</f>
        <v/>
      </c>
      <c r="M343" s="96" t="str">
        <f>Portfolio!Q342</f>
        <v/>
      </c>
      <c r="N343" s="14" t="str">
        <f>Portfolio!R342</f>
        <v/>
      </c>
      <c r="O343" s="50" t="str">
        <f>Portfolio!S342</f>
        <v/>
      </c>
      <c r="Q343" s="50" t="str">
        <f>Portfolio!U342</f>
        <v/>
      </c>
      <c r="S343" s="50" t="str">
        <f>Portfolio!W342</f>
        <v/>
      </c>
      <c r="T343" s="50" t="str">
        <f>Portfolio!X342</f>
        <v/>
      </c>
      <c r="U343" s="50" t="str">
        <f>Portfolio!Y342</f>
        <v/>
      </c>
      <c r="V343" s="50" t="str">
        <f>Portfolio!Z342</f>
        <v/>
      </c>
      <c r="W343" s="14" t="str">
        <f>Portfolio!AA342</f>
        <v/>
      </c>
      <c r="X343" s="50" t="str">
        <f>Portfolio!AB342</f>
        <v/>
      </c>
      <c r="Y343" s="179" t="str">
        <f>Portfolio!AC342</f>
        <v/>
      </c>
      <c r="Z343" s="50" t="str">
        <f>Portfolio!AD342</f>
        <v/>
      </c>
      <c r="AA343" s="180" t="str">
        <f>Portfolio!AE342</f>
        <v/>
      </c>
    </row>
    <row r="344">
      <c r="A344" s="14" t="str">
        <f>Portfolio!A343</f>
        <v/>
      </c>
      <c r="B344" s="14" t="str">
        <f>Portfolio!B343</f>
        <v/>
      </c>
      <c r="C344" s="158" t="str">
        <f>Portfolio!C343</f>
        <v/>
      </c>
      <c r="D344" s="96" t="str">
        <f>Portfolio!D343</f>
        <v/>
      </c>
      <c r="E344" s="96" t="str">
        <f>Portfolio!E343</f>
        <v/>
      </c>
      <c r="F344" s="96" t="str">
        <f>Portfolio!G343</f>
        <v/>
      </c>
      <c r="G344" s="50" t="str">
        <f>Portfolio!H343</f>
        <v/>
      </c>
      <c r="H344" s="96" t="str">
        <f>Portfolio!I343</f>
        <v/>
      </c>
      <c r="I344" s="96" t="str">
        <f>Portfolio!J343</f>
        <v/>
      </c>
      <c r="J344" s="96" t="str">
        <f>Portfolio!K343</f>
        <v/>
      </c>
      <c r="K344" s="50" t="str">
        <f>Portfolio!O343</f>
        <v/>
      </c>
      <c r="L344" s="96" t="str">
        <f>Portfolio!P343</f>
        <v/>
      </c>
      <c r="M344" s="96" t="str">
        <f>Portfolio!Q343</f>
        <v/>
      </c>
      <c r="N344" s="14" t="str">
        <f>Portfolio!R343</f>
        <v/>
      </c>
      <c r="O344" s="50" t="str">
        <f>Portfolio!S343</f>
        <v/>
      </c>
      <c r="Q344" s="50" t="str">
        <f>Portfolio!U343</f>
        <v/>
      </c>
      <c r="S344" s="50" t="str">
        <f>Portfolio!W343</f>
        <v/>
      </c>
      <c r="T344" s="50" t="str">
        <f>Portfolio!X343</f>
        <v/>
      </c>
      <c r="U344" s="50" t="str">
        <f>Portfolio!Y343</f>
        <v/>
      </c>
      <c r="V344" s="50" t="str">
        <f>Portfolio!Z343</f>
        <v/>
      </c>
      <c r="W344" s="14" t="str">
        <f>Portfolio!AA343</f>
        <v/>
      </c>
      <c r="X344" s="50" t="str">
        <f>Portfolio!AB343</f>
        <v/>
      </c>
      <c r="Y344" s="179" t="str">
        <f>Portfolio!AC343</f>
        <v/>
      </c>
      <c r="Z344" s="50" t="str">
        <f>Portfolio!AD343</f>
        <v/>
      </c>
      <c r="AA344" s="180" t="str">
        <f>Portfolio!AE343</f>
        <v/>
      </c>
    </row>
    <row r="345">
      <c r="A345" s="14" t="str">
        <f>Portfolio!A344</f>
        <v/>
      </c>
      <c r="B345" s="14" t="str">
        <f>Portfolio!B344</f>
        <v/>
      </c>
      <c r="C345" s="158" t="str">
        <f>Portfolio!C344</f>
        <v/>
      </c>
      <c r="D345" s="96" t="str">
        <f>Portfolio!D344</f>
        <v/>
      </c>
      <c r="E345" s="96" t="str">
        <f>Portfolio!E344</f>
        <v/>
      </c>
      <c r="F345" s="96" t="str">
        <f>Portfolio!G344</f>
        <v/>
      </c>
      <c r="G345" s="50" t="str">
        <f>Portfolio!H344</f>
        <v/>
      </c>
      <c r="H345" s="96" t="str">
        <f>Portfolio!I344</f>
        <v/>
      </c>
      <c r="I345" s="96" t="str">
        <f>Portfolio!J344</f>
        <v/>
      </c>
      <c r="J345" s="96" t="str">
        <f>Portfolio!K344</f>
        <v/>
      </c>
      <c r="K345" s="50" t="str">
        <f>Portfolio!O344</f>
        <v/>
      </c>
      <c r="L345" s="96" t="str">
        <f>Portfolio!P344</f>
        <v/>
      </c>
      <c r="M345" s="96" t="str">
        <f>Portfolio!Q344</f>
        <v/>
      </c>
      <c r="N345" s="14" t="str">
        <f>Portfolio!R344</f>
        <v/>
      </c>
      <c r="O345" s="50" t="str">
        <f>Portfolio!S344</f>
        <v/>
      </c>
      <c r="Q345" s="50" t="str">
        <f>Portfolio!U344</f>
        <v/>
      </c>
      <c r="S345" s="50" t="str">
        <f>Portfolio!W344</f>
        <v/>
      </c>
      <c r="T345" s="50" t="str">
        <f>Portfolio!X344</f>
        <v/>
      </c>
      <c r="U345" s="50" t="str">
        <f>Portfolio!Y344</f>
        <v/>
      </c>
      <c r="V345" s="50" t="str">
        <f>Portfolio!Z344</f>
        <v/>
      </c>
      <c r="W345" s="14" t="str">
        <f>Portfolio!AA344</f>
        <v/>
      </c>
      <c r="X345" s="50" t="str">
        <f>Portfolio!AB344</f>
        <v/>
      </c>
      <c r="Y345" s="179" t="str">
        <f>Portfolio!AC344</f>
        <v/>
      </c>
      <c r="Z345" s="50" t="str">
        <f>Portfolio!AD344</f>
        <v/>
      </c>
      <c r="AA345" s="180" t="str">
        <f>Portfolio!AE344</f>
        <v/>
      </c>
    </row>
    <row r="346">
      <c r="A346" s="14" t="str">
        <f>Portfolio!A345</f>
        <v/>
      </c>
      <c r="B346" s="14" t="str">
        <f>Portfolio!B345</f>
        <v/>
      </c>
      <c r="C346" s="158" t="str">
        <f>Portfolio!C345</f>
        <v/>
      </c>
      <c r="D346" s="96" t="str">
        <f>Portfolio!D345</f>
        <v/>
      </c>
      <c r="E346" s="96" t="str">
        <f>Portfolio!E345</f>
        <v/>
      </c>
      <c r="F346" s="96" t="str">
        <f>Portfolio!G345</f>
        <v/>
      </c>
      <c r="G346" s="50" t="str">
        <f>Portfolio!H345</f>
        <v/>
      </c>
      <c r="H346" s="96" t="str">
        <f>Portfolio!I345</f>
        <v/>
      </c>
      <c r="I346" s="96" t="str">
        <f>Portfolio!J345</f>
        <v/>
      </c>
      <c r="J346" s="96" t="str">
        <f>Portfolio!K345</f>
        <v/>
      </c>
      <c r="K346" s="50" t="str">
        <f>Portfolio!O345</f>
        <v/>
      </c>
      <c r="L346" s="96" t="str">
        <f>Portfolio!P345</f>
        <v/>
      </c>
      <c r="M346" s="96" t="str">
        <f>Portfolio!Q345</f>
        <v/>
      </c>
      <c r="N346" s="14" t="str">
        <f>Portfolio!R345</f>
        <v/>
      </c>
      <c r="O346" s="50" t="str">
        <f>Portfolio!S345</f>
        <v/>
      </c>
      <c r="Q346" s="50" t="str">
        <f>Portfolio!U345</f>
        <v/>
      </c>
      <c r="S346" s="50" t="str">
        <f>Portfolio!W345</f>
        <v/>
      </c>
      <c r="T346" s="50" t="str">
        <f>Portfolio!X345</f>
        <v/>
      </c>
      <c r="U346" s="50" t="str">
        <f>Portfolio!Y345</f>
        <v/>
      </c>
      <c r="V346" s="50" t="str">
        <f>Portfolio!Z345</f>
        <v/>
      </c>
      <c r="W346" s="14" t="str">
        <f>Portfolio!AA345</f>
        <v/>
      </c>
      <c r="X346" s="50" t="str">
        <f>Portfolio!AB345</f>
        <v/>
      </c>
      <c r="Y346" s="179" t="str">
        <f>Portfolio!AC345</f>
        <v/>
      </c>
      <c r="Z346" s="50" t="str">
        <f>Portfolio!AD345</f>
        <v/>
      </c>
      <c r="AA346" s="180" t="str">
        <f>Portfolio!AE345</f>
        <v/>
      </c>
    </row>
    <row r="347">
      <c r="A347" s="14" t="str">
        <f>Portfolio!A346</f>
        <v/>
      </c>
      <c r="B347" s="14" t="str">
        <f>Portfolio!B346</f>
        <v/>
      </c>
      <c r="C347" s="158" t="str">
        <f>Portfolio!C346</f>
        <v/>
      </c>
      <c r="D347" s="96" t="str">
        <f>Portfolio!D346</f>
        <v/>
      </c>
      <c r="E347" s="96" t="str">
        <f>Portfolio!E346</f>
        <v/>
      </c>
      <c r="F347" s="96" t="str">
        <f>Portfolio!G346</f>
        <v/>
      </c>
      <c r="G347" s="50" t="str">
        <f>Portfolio!H346</f>
        <v/>
      </c>
      <c r="H347" s="96" t="str">
        <f>Portfolio!I346</f>
        <v/>
      </c>
      <c r="I347" s="96" t="str">
        <f>Portfolio!J346</f>
        <v/>
      </c>
      <c r="J347" s="96" t="str">
        <f>Portfolio!K346</f>
        <v/>
      </c>
      <c r="K347" s="50" t="str">
        <f>Portfolio!O346</f>
        <v/>
      </c>
      <c r="L347" s="96" t="str">
        <f>Portfolio!P346</f>
        <v/>
      </c>
      <c r="M347" s="96" t="str">
        <f>Portfolio!Q346</f>
        <v/>
      </c>
      <c r="N347" s="14" t="str">
        <f>Portfolio!R346</f>
        <v/>
      </c>
      <c r="O347" s="50" t="str">
        <f>Portfolio!S346</f>
        <v/>
      </c>
      <c r="Q347" s="50" t="str">
        <f>Portfolio!U346</f>
        <v/>
      </c>
      <c r="S347" s="50" t="str">
        <f>Portfolio!W346</f>
        <v/>
      </c>
      <c r="T347" s="50" t="str">
        <f>Portfolio!X346</f>
        <v/>
      </c>
      <c r="U347" s="50" t="str">
        <f>Portfolio!Y346</f>
        <v/>
      </c>
      <c r="V347" s="50" t="str">
        <f>Portfolio!Z346</f>
        <v/>
      </c>
      <c r="W347" s="14" t="str">
        <f>Portfolio!AA346</f>
        <v/>
      </c>
      <c r="X347" s="50" t="str">
        <f>Portfolio!AB346</f>
        <v/>
      </c>
      <c r="Y347" s="179" t="str">
        <f>Portfolio!AC346</f>
        <v/>
      </c>
      <c r="Z347" s="50" t="str">
        <f>Portfolio!AD346</f>
        <v/>
      </c>
      <c r="AA347" s="180" t="str">
        <f>Portfolio!AE346</f>
        <v/>
      </c>
    </row>
    <row r="348">
      <c r="A348" s="14" t="str">
        <f>Portfolio!A347</f>
        <v/>
      </c>
      <c r="B348" s="14" t="str">
        <f>Portfolio!B347</f>
        <v/>
      </c>
      <c r="C348" s="158" t="str">
        <f>Portfolio!C347</f>
        <v/>
      </c>
      <c r="D348" s="96" t="str">
        <f>Portfolio!D347</f>
        <v/>
      </c>
      <c r="E348" s="96" t="str">
        <f>Portfolio!E347</f>
        <v/>
      </c>
      <c r="F348" s="96" t="str">
        <f>Portfolio!G347</f>
        <v/>
      </c>
      <c r="G348" s="50" t="str">
        <f>Portfolio!H347</f>
        <v/>
      </c>
      <c r="H348" s="96" t="str">
        <f>Portfolio!I347</f>
        <v/>
      </c>
      <c r="I348" s="96" t="str">
        <f>Portfolio!J347</f>
        <v/>
      </c>
      <c r="J348" s="96" t="str">
        <f>Portfolio!K347</f>
        <v/>
      </c>
      <c r="K348" s="50" t="str">
        <f>Portfolio!O347</f>
        <v/>
      </c>
      <c r="L348" s="96" t="str">
        <f>Portfolio!P347</f>
        <v/>
      </c>
      <c r="M348" s="96" t="str">
        <f>Portfolio!Q347</f>
        <v/>
      </c>
      <c r="N348" s="14" t="str">
        <f>Portfolio!R347</f>
        <v/>
      </c>
      <c r="O348" s="50" t="str">
        <f>Portfolio!S347</f>
        <v/>
      </c>
      <c r="Q348" s="50" t="str">
        <f>Portfolio!U347</f>
        <v/>
      </c>
      <c r="S348" s="50" t="str">
        <f>Portfolio!W347</f>
        <v/>
      </c>
      <c r="T348" s="50" t="str">
        <f>Portfolio!X347</f>
        <v/>
      </c>
      <c r="U348" s="50" t="str">
        <f>Portfolio!Y347</f>
        <v/>
      </c>
      <c r="V348" s="50" t="str">
        <f>Portfolio!Z347</f>
        <v/>
      </c>
      <c r="W348" s="14" t="str">
        <f>Portfolio!AA347</f>
        <v/>
      </c>
      <c r="X348" s="50" t="str">
        <f>Portfolio!AB347</f>
        <v/>
      </c>
      <c r="Y348" s="179" t="str">
        <f>Portfolio!AC347</f>
        <v/>
      </c>
      <c r="Z348" s="50" t="str">
        <f>Portfolio!AD347</f>
        <v/>
      </c>
      <c r="AA348" s="180" t="str">
        <f>Portfolio!AE347</f>
        <v/>
      </c>
    </row>
    <row r="349">
      <c r="A349" s="14" t="str">
        <f>Portfolio!A348</f>
        <v/>
      </c>
      <c r="B349" s="14" t="str">
        <f>Portfolio!B348</f>
        <v/>
      </c>
      <c r="C349" s="158" t="str">
        <f>Portfolio!C348</f>
        <v/>
      </c>
      <c r="D349" s="96" t="str">
        <f>Portfolio!D348</f>
        <v/>
      </c>
      <c r="E349" s="96" t="str">
        <f>Portfolio!E348</f>
        <v/>
      </c>
      <c r="F349" s="96" t="str">
        <f>Portfolio!G348</f>
        <v/>
      </c>
      <c r="G349" s="50" t="str">
        <f>Portfolio!H348</f>
        <v/>
      </c>
      <c r="H349" s="96" t="str">
        <f>Portfolio!I348</f>
        <v/>
      </c>
      <c r="I349" s="96" t="str">
        <f>Portfolio!J348</f>
        <v/>
      </c>
      <c r="J349" s="96" t="str">
        <f>Portfolio!K348</f>
        <v/>
      </c>
      <c r="K349" s="50" t="str">
        <f>Portfolio!O348</f>
        <v/>
      </c>
      <c r="L349" s="96" t="str">
        <f>Portfolio!P348</f>
        <v/>
      </c>
      <c r="M349" s="96" t="str">
        <f>Portfolio!Q348</f>
        <v/>
      </c>
      <c r="N349" s="14" t="str">
        <f>Portfolio!R348</f>
        <v/>
      </c>
      <c r="O349" s="50" t="str">
        <f>Portfolio!S348</f>
        <v/>
      </c>
      <c r="Q349" s="50" t="str">
        <f>Portfolio!U348</f>
        <v/>
      </c>
      <c r="S349" s="50" t="str">
        <f>Portfolio!W348</f>
        <v/>
      </c>
      <c r="T349" s="50" t="str">
        <f>Portfolio!X348</f>
        <v/>
      </c>
      <c r="U349" s="50" t="str">
        <f>Portfolio!Y348</f>
        <v/>
      </c>
      <c r="V349" s="50" t="str">
        <f>Portfolio!Z348</f>
        <v/>
      </c>
      <c r="W349" s="14" t="str">
        <f>Portfolio!AA348</f>
        <v/>
      </c>
      <c r="X349" s="50" t="str">
        <f>Portfolio!AB348</f>
        <v/>
      </c>
      <c r="Y349" s="179" t="str">
        <f>Portfolio!AC348</f>
        <v/>
      </c>
      <c r="Z349" s="50" t="str">
        <f>Portfolio!AD348</f>
        <v/>
      </c>
      <c r="AA349" s="180" t="str">
        <f>Portfolio!AE348</f>
        <v/>
      </c>
    </row>
    <row r="350">
      <c r="A350" s="14" t="str">
        <f>Portfolio!A349</f>
        <v/>
      </c>
      <c r="B350" s="14" t="str">
        <f>Portfolio!B349</f>
        <v/>
      </c>
      <c r="C350" s="158" t="str">
        <f>Portfolio!C349</f>
        <v/>
      </c>
      <c r="D350" s="96" t="str">
        <f>Portfolio!D349</f>
        <v/>
      </c>
      <c r="E350" s="96" t="str">
        <f>Portfolio!E349</f>
        <v/>
      </c>
      <c r="F350" s="96" t="str">
        <f>Portfolio!G349</f>
        <v/>
      </c>
      <c r="G350" s="50" t="str">
        <f>Portfolio!H349</f>
        <v/>
      </c>
      <c r="H350" s="96" t="str">
        <f>Portfolio!I349</f>
        <v/>
      </c>
      <c r="I350" s="96" t="str">
        <f>Portfolio!J349</f>
        <v/>
      </c>
      <c r="J350" s="96" t="str">
        <f>Portfolio!K349</f>
        <v/>
      </c>
      <c r="K350" s="50" t="str">
        <f>Portfolio!O349</f>
        <v/>
      </c>
      <c r="L350" s="96" t="str">
        <f>Portfolio!P349</f>
        <v/>
      </c>
      <c r="M350" s="96" t="str">
        <f>Portfolio!Q349</f>
        <v/>
      </c>
      <c r="N350" s="14" t="str">
        <f>Portfolio!R349</f>
        <v/>
      </c>
      <c r="O350" s="50" t="str">
        <f>Portfolio!S349</f>
        <v/>
      </c>
      <c r="Q350" s="50" t="str">
        <f>Portfolio!U349</f>
        <v/>
      </c>
      <c r="S350" s="50" t="str">
        <f>Portfolio!W349</f>
        <v/>
      </c>
      <c r="T350" s="50" t="str">
        <f>Portfolio!X349</f>
        <v/>
      </c>
      <c r="U350" s="50" t="str">
        <f>Portfolio!Y349</f>
        <v/>
      </c>
      <c r="V350" s="50" t="str">
        <f>Portfolio!Z349</f>
        <v/>
      </c>
      <c r="W350" s="14" t="str">
        <f>Portfolio!AA349</f>
        <v/>
      </c>
      <c r="X350" s="50" t="str">
        <f>Portfolio!AB349</f>
        <v/>
      </c>
      <c r="Y350" s="179" t="str">
        <f>Portfolio!AC349</f>
        <v/>
      </c>
      <c r="Z350" s="50" t="str">
        <f>Portfolio!AD349</f>
        <v/>
      </c>
      <c r="AA350" s="180" t="str">
        <f>Portfolio!AE349</f>
        <v/>
      </c>
    </row>
    <row r="351">
      <c r="A351" s="14" t="str">
        <f>Portfolio!A350</f>
        <v/>
      </c>
      <c r="B351" s="14" t="str">
        <f>Portfolio!B350</f>
        <v/>
      </c>
      <c r="C351" s="158" t="str">
        <f>Portfolio!C350</f>
        <v/>
      </c>
      <c r="D351" s="96" t="str">
        <f>Portfolio!D350</f>
        <v/>
      </c>
      <c r="E351" s="96" t="str">
        <f>Portfolio!E350</f>
        <v/>
      </c>
      <c r="F351" s="96" t="str">
        <f>Portfolio!G350</f>
        <v/>
      </c>
      <c r="G351" s="50" t="str">
        <f>Portfolio!H350</f>
        <v/>
      </c>
      <c r="H351" s="96" t="str">
        <f>Portfolio!I350</f>
        <v/>
      </c>
      <c r="I351" s="96" t="str">
        <f>Portfolio!J350</f>
        <v/>
      </c>
      <c r="J351" s="96" t="str">
        <f>Portfolio!K350</f>
        <v/>
      </c>
      <c r="K351" s="50" t="str">
        <f>Portfolio!O350</f>
        <v/>
      </c>
      <c r="L351" s="96" t="str">
        <f>Portfolio!P350</f>
        <v/>
      </c>
      <c r="M351" s="96" t="str">
        <f>Portfolio!Q350</f>
        <v/>
      </c>
      <c r="N351" s="14" t="str">
        <f>Portfolio!R350</f>
        <v/>
      </c>
      <c r="O351" s="50" t="str">
        <f>Portfolio!S350</f>
        <v/>
      </c>
      <c r="Q351" s="50" t="str">
        <f>Portfolio!U350</f>
        <v/>
      </c>
      <c r="S351" s="50" t="str">
        <f>Portfolio!W350</f>
        <v/>
      </c>
      <c r="T351" s="50" t="str">
        <f>Portfolio!X350</f>
        <v/>
      </c>
      <c r="U351" s="50" t="str">
        <f>Portfolio!Y350</f>
        <v/>
      </c>
      <c r="V351" s="50" t="str">
        <f>Portfolio!Z350</f>
        <v/>
      </c>
      <c r="W351" s="14" t="str">
        <f>Portfolio!AA350</f>
        <v/>
      </c>
      <c r="X351" s="50" t="str">
        <f>Portfolio!AB350</f>
        <v/>
      </c>
      <c r="Y351" s="179" t="str">
        <f>Portfolio!AC350</f>
        <v/>
      </c>
      <c r="Z351" s="50" t="str">
        <f>Portfolio!AD350</f>
        <v/>
      </c>
      <c r="AA351" s="180" t="str">
        <f>Portfolio!AE350</f>
        <v/>
      </c>
    </row>
    <row r="352">
      <c r="A352" s="14" t="str">
        <f>Portfolio!A351</f>
        <v/>
      </c>
      <c r="B352" s="14" t="str">
        <f>Portfolio!B351</f>
        <v/>
      </c>
      <c r="C352" s="158" t="str">
        <f>Portfolio!C351</f>
        <v/>
      </c>
      <c r="D352" s="96" t="str">
        <f>Portfolio!D351</f>
        <v/>
      </c>
      <c r="E352" s="96" t="str">
        <f>Portfolio!E351</f>
        <v/>
      </c>
      <c r="F352" s="96" t="str">
        <f>Portfolio!G351</f>
        <v/>
      </c>
      <c r="G352" s="50" t="str">
        <f>Portfolio!H351</f>
        <v/>
      </c>
      <c r="H352" s="96" t="str">
        <f>Portfolio!I351</f>
        <v/>
      </c>
      <c r="I352" s="96" t="str">
        <f>Portfolio!J351</f>
        <v/>
      </c>
      <c r="J352" s="96" t="str">
        <f>Portfolio!K351</f>
        <v/>
      </c>
      <c r="K352" s="50" t="str">
        <f>Portfolio!O351</f>
        <v/>
      </c>
      <c r="L352" s="96" t="str">
        <f>Portfolio!P351</f>
        <v/>
      </c>
      <c r="M352" s="96" t="str">
        <f>Portfolio!Q351</f>
        <v/>
      </c>
      <c r="N352" s="14" t="str">
        <f>Portfolio!R351</f>
        <v/>
      </c>
      <c r="O352" s="50" t="str">
        <f>Portfolio!S351</f>
        <v/>
      </c>
      <c r="Q352" s="50" t="str">
        <f>Portfolio!U351</f>
        <v/>
      </c>
      <c r="S352" s="50" t="str">
        <f>Portfolio!W351</f>
        <v/>
      </c>
      <c r="T352" s="50" t="str">
        <f>Portfolio!X351</f>
        <v/>
      </c>
      <c r="U352" s="50" t="str">
        <f>Portfolio!Y351</f>
        <v/>
      </c>
      <c r="V352" s="50" t="str">
        <f>Portfolio!Z351</f>
        <v/>
      </c>
      <c r="W352" s="14" t="str">
        <f>Portfolio!AA351</f>
        <v/>
      </c>
      <c r="X352" s="50" t="str">
        <f>Portfolio!AB351</f>
        <v/>
      </c>
      <c r="Y352" s="179" t="str">
        <f>Portfolio!AC351</f>
        <v/>
      </c>
      <c r="Z352" s="50" t="str">
        <f>Portfolio!AD351</f>
        <v/>
      </c>
      <c r="AA352" s="180" t="str">
        <f>Portfolio!AE351</f>
        <v/>
      </c>
    </row>
    <row r="353">
      <c r="A353" s="14" t="str">
        <f>Portfolio!A352</f>
        <v/>
      </c>
      <c r="B353" s="14" t="str">
        <f>Portfolio!B352</f>
        <v/>
      </c>
      <c r="C353" s="158" t="str">
        <f>Portfolio!C352</f>
        <v/>
      </c>
      <c r="D353" s="96" t="str">
        <f>Portfolio!D352</f>
        <v/>
      </c>
      <c r="E353" s="96" t="str">
        <f>Portfolio!E352</f>
        <v/>
      </c>
      <c r="F353" s="96" t="str">
        <f>Portfolio!G352</f>
        <v/>
      </c>
      <c r="G353" s="50" t="str">
        <f>Portfolio!H352</f>
        <v/>
      </c>
      <c r="H353" s="96" t="str">
        <f>Portfolio!I352</f>
        <v/>
      </c>
      <c r="I353" s="96" t="str">
        <f>Portfolio!J352</f>
        <v/>
      </c>
      <c r="J353" s="96" t="str">
        <f>Portfolio!K352</f>
        <v/>
      </c>
      <c r="K353" s="50" t="str">
        <f>Portfolio!O352</f>
        <v/>
      </c>
      <c r="L353" s="96" t="str">
        <f>Portfolio!P352</f>
        <v/>
      </c>
      <c r="M353" s="96" t="str">
        <f>Portfolio!Q352</f>
        <v/>
      </c>
      <c r="N353" s="14" t="str">
        <f>Portfolio!R352</f>
        <v/>
      </c>
      <c r="O353" s="50" t="str">
        <f>Portfolio!S352</f>
        <v/>
      </c>
      <c r="Q353" s="50" t="str">
        <f>Portfolio!U352</f>
        <v/>
      </c>
      <c r="S353" s="50" t="str">
        <f>Portfolio!W352</f>
        <v/>
      </c>
      <c r="T353" s="50" t="str">
        <f>Portfolio!X352</f>
        <v/>
      </c>
      <c r="U353" s="50" t="str">
        <f>Portfolio!Y352</f>
        <v/>
      </c>
      <c r="V353" s="50" t="str">
        <f>Portfolio!Z352</f>
        <v/>
      </c>
      <c r="W353" s="14" t="str">
        <f>Portfolio!AA352</f>
        <v/>
      </c>
      <c r="X353" s="50" t="str">
        <f>Portfolio!AB352</f>
        <v/>
      </c>
      <c r="Y353" s="179" t="str">
        <f>Portfolio!AC352</f>
        <v/>
      </c>
      <c r="Z353" s="50" t="str">
        <f>Portfolio!AD352</f>
        <v/>
      </c>
      <c r="AA353" s="180" t="str">
        <f>Portfolio!AE352</f>
        <v/>
      </c>
    </row>
    <row r="354">
      <c r="A354" s="14" t="str">
        <f>Portfolio!A353</f>
        <v/>
      </c>
      <c r="B354" s="14" t="str">
        <f>Portfolio!B353</f>
        <v/>
      </c>
      <c r="C354" s="158" t="str">
        <f>Portfolio!C353</f>
        <v/>
      </c>
      <c r="D354" s="96" t="str">
        <f>Portfolio!D353</f>
        <v/>
      </c>
      <c r="E354" s="96" t="str">
        <f>Portfolio!E353</f>
        <v/>
      </c>
      <c r="F354" s="96" t="str">
        <f>Portfolio!G353</f>
        <v/>
      </c>
      <c r="G354" s="50" t="str">
        <f>Portfolio!H353</f>
        <v/>
      </c>
      <c r="H354" s="96" t="str">
        <f>Portfolio!I353</f>
        <v/>
      </c>
      <c r="I354" s="96" t="str">
        <f>Portfolio!J353</f>
        <v/>
      </c>
      <c r="J354" s="96" t="str">
        <f>Portfolio!K353</f>
        <v/>
      </c>
      <c r="K354" s="50" t="str">
        <f>Portfolio!O353</f>
        <v/>
      </c>
      <c r="L354" s="96" t="str">
        <f>Portfolio!P353</f>
        <v/>
      </c>
      <c r="M354" s="96" t="str">
        <f>Portfolio!Q353</f>
        <v/>
      </c>
      <c r="N354" s="14" t="str">
        <f>Portfolio!R353</f>
        <v/>
      </c>
      <c r="O354" s="50" t="str">
        <f>Portfolio!S353</f>
        <v/>
      </c>
      <c r="Q354" s="50" t="str">
        <f>Portfolio!U353</f>
        <v/>
      </c>
      <c r="S354" s="50" t="str">
        <f>Portfolio!W353</f>
        <v/>
      </c>
      <c r="T354" s="50" t="str">
        <f>Portfolio!X353</f>
        <v/>
      </c>
      <c r="U354" s="50" t="str">
        <f>Portfolio!Y353</f>
        <v/>
      </c>
      <c r="V354" s="50" t="str">
        <f>Portfolio!Z353</f>
        <v/>
      </c>
      <c r="W354" s="14" t="str">
        <f>Portfolio!AA353</f>
        <v/>
      </c>
      <c r="X354" s="50" t="str">
        <f>Portfolio!AB353</f>
        <v/>
      </c>
      <c r="Y354" s="179" t="str">
        <f>Portfolio!AC353</f>
        <v/>
      </c>
      <c r="Z354" s="50" t="str">
        <f>Portfolio!AD353</f>
        <v/>
      </c>
      <c r="AA354" s="180" t="str">
        <f>Portfolio!AE353</f>
        <v/>
      </c>
    </row>
    <row r="355">
      <c r="A355" s="14" t="str">
        <f>Portfolio!A354</f>
        <v/>
      </c>
      <c r="B355" s="14" t="str">
        <f>Portfolio!B354</f>
        <v/>
      </c>
      <c r="C355" s="158" t="str">
        <f>Portfolio!C354</f>
        <v/>
      </c>
      <c r="D355" s="96" t="str">
        <f>Portfolio!D354</f>
        <v/>
      </c>
      <c r="E355" s="96" t="str">
        <f>Portfolio!E354</f>
        <v/>
      </c>
      <c r="F355" s="96" t="str">
        <f>Portfolio!G354</f>
        <v/>
      </c>
      <c r="G355" s="50" t="str">
        <f>Portfolio!H354</f>
        <v/>
      </c>
      <c r="H355" s="96" t="str">
        <f>Portfolio!I354</f>
        <v/>
      </c>
      <c r="I355" s="96" t="str">
        <f>Portfolio!J354</f>
        <v/>
      </c>
      <c r="J355" s="96" t="str">
        <f>Portfolio!K354</f>
        <v/>
      </c>
      <c r="K355" s="50" t="str">
        <f>Portfolio!O354</f>
        <v/>
      </c>
      <c r="L355" s="96" t="str">
        <f>Portfolio!P354</f>
        <v/>
      </c>
      <c r="M355" s="96" t="str">
        <f>Portfolio!Q354</f>
        <v/>
      </c>
      <c r="N355" s="14" t="str">
        <f>Portfolio!R354</f>
        <v/>
      </c>
      <c r="O355" s="50" t="str">
        <f>Portfolio!S354</f>
        <v/>
      </c>
      <c r="Q355" s="50" t="str">
        <f>Portfolio!U354</f>
        <v/>
      </c>
      <c r="S355" s="50" t="str">
        <f>Portfolio!W354</f>
        <v/>
      </c>
      <c r="T355" s="50" t="str">
        <f>Portfolio!X354</f>
        <v/>
      </c>
      <c r="U355" s="50" t="str">
        <f>Portfolio!Y354</f>
        <v/>
      </c>
      <c r="V355" s="50" t="str">
        <f>Portfolio!Z354</f>
        <v/>
      </c>
      <c r="W355" s="14" t="str">
        <f>Portfolio!AA354</f>
        <v/>
      </c>
      <c r="X355" s="50" t="str">
        <f>Portfolio!AB354</f>
        <v/>
      </c>
      <c r="Y355" s="179" t="str">
        <f>Portfolio!AC354</f>
        <v/>
      </c>
      <c r="Z355" s="50" t="str">
        <f>Portfolio!AD354</f>
        <v/>
      </c>
      <c r="AA355" s="180" t="str">
        <f>Portfolio!AE354</f>
        <v/>
      </c>
    </row>
    <row r="356">
      <c r="A356" s="14" t="str">
        <f>Portfolio!A355</f>
        <v/>
      </c>
      <c r="B356" s="14" t="str">
        <f>Portfolio!B355</f>
        <v/>
      </c>
      <c r="C356" s="158" t="str">
        <f>Portfolio!C355</f>
        <v/>
      </c>
      <c r="D356" s="96" t="str">
        <f>Portfolio!D355</f>
        <v/>
      </c>
      <c r="E356" s="96" t="str">
        <f>Portfolio!E355</f>
        <v/>
      </c>
      <c r="F356" s="96" t="str">
        <f>Portfolio!G355</f>
        <v/>
      </c>
      <c r="G356" s="50" t="str">
        <f>Portfolio!H355</f>
        <v/>
      </c>
      <c r="H356" s="96" t="str">
        <f>Portfolio!I355</f>
        <v/>
      </c>
      <c r="I356" s="96" t="str">
        <f>Portfolio!J355</f>
        <v/>
      </c>
      <c r="J356" s="96" t="str">
        <f>Portfolio!K355</f>
        <v/>
      </c>
      <c r="K356" s="50" t="str">
        <f>Portfolio!O355</f>
        <v/>
      </c>
      <c r="L356" s="96" t="str">
        <f>Portfolio!P355</f>
        <v/>
      </c>
      <c r="M356" s="96" t="str">
        <f>Portfolio!Q355</f>
        <v/>
      </c>
      <c r="N356" s="14" t="str">
        <f>Portfolio!R355</f>
        <v/>
      </c>
      <c r="O356" s="50" t="str">
        <f>Portfolio!S355</f>
        <v/>
      </c>
      <c r="Q356" s="50" t="str">
        <f>Portfolio!U355</f>
        <v/>
      </c>
      <c r="S356" s="50" t="str">
        <f>Portfolio!W355</f>
        <v/>
      </c>
      <c r="T356" s="50" t="str">
        <f>Portfolio!X355</f>
        <v/>
      </c>
      <c r="U356" s="50" t="str">
        <f>Portfolio!Y355</f>
        <v/>
      </c>
      <c r="V356" s="50" t="str">
        <f>Portfolio!Z355</f>
        <v/>
      </c>
      <c r="W356" s="14" t="str">
        <f>Portfolio!AA355</f>
        <v/>
      </c>
      <c r="X356" s="50" t="str">
        <f>Portfolio!AB355</f>
        <v/>
      </c>
      <c r="Y356" s="179" t="str">
        <f>Portfolio!AC355</f>
        <v/>
      </c>
      <c r="Z356" s="50" t="str">
        <f>Portfolio!AD355</f>
        <v/>
      </c>
      <c r="AA356" s="180" t="str">
        <f>Portfolio!AE355</f>
        <v/>
      </c>
    </row>
    <row r="357">
      <c r="A357" s="14" t="str">
        <f>Portfolio!A356</f>
        <v/>
      </c>
      <c r="B357" s="14" t="str">
        <f>Portfolio!B356</f>
        <v/>
      </c>
      <c r="C357" s="158" t="str">
        <f>Portfolio!C356</f>
        <v/>
      </c>
      <c r="D357" s="96" t="str">
        <f>Portfolio!D356</f>
        <v/>
      </c>
      <c r="E357" s="96" t="str">
        <f>Portfolio!E356</f>
        <v/>
      </c>
      <c r="F357" s="96" t="str">
        <f>Portfolio!G356</f>
        <v/>
      </c>
      <c r="G357" s="50" t="str">
        <f>Portfolio!H356</f>
        <v/>
      </c>
      <c r="H357" s="96" t="str">
        <f>Portfolio!I356</f>
        <v/>
      </c>
      <c r="I357" s="96" t="str">
        <f>Portfolio!J356</f>
        <v/>
      </c>
      <c r="J357" s="96" t="str">
        <f>Portfolio!K356</f>
        <v/>
      </c>
      <c r="K357" s="50" t="str">
        <f>Portfolio!O356</f>
        <v/>
      </c>
      <c r="L357" s="96" t="str">
        <f>Portfolio!P356</f>
        <v/>
      </c>
      <c r="M357" s="96" t="str">
        <f>Portfolio!Q356</f>
        <v/>
      </c>
      <c r="N357" s="14" t="str">
        <f>Portfolio!R356</f>
        <v/>
      </c>
      <c r="O357" s="50" t="str">
        <f>Portfolio!S356</f>
        <v/>
      </c>
      <c r="Q357" s="50" t="str">
        <f>Portfolio!U356</f>
        <v/>
      </c>
      <c r="S357" s="50" t="str">
        <f>Portfolio!W356</f>
        <v/>
      </c>
      <c r="T357" s="50" t="str">
        <f>Portfolio!X356</f>
        <v/>
      </c>
      <c r="U357" s="50" t="str">
        <f>Portfolio!Y356</f>
        <v/>
      </c>
      <c r="V357" s="50" t="str">
        <f>Portfolio!Z356</f>
        <v/>
      </c>
      <c r="W357" s="14" t="str">
        <f>Portfolio!AA356</f>
        <v/>
      </c>
      <c r="X357" s="50" t="str">
        <f>Portfolio!AB356</f>
        <v/>
      </c>
      <c r="Y357" s="179" t="str">
        <f>Portfolio!AC356</f>
        <v/>
      </c>
      <c r="Z357" s="50" t="str">
        <f>Portfolio!AD356</f>
        <v/>
      </c>
      <c r="AA357" s="180" t="str">
        <f>Portfolio!AE356</f>
        <v/>
      </c>
    </row>
    <row r="358">
      <c r="A358" s="14" t="str">
        <f>Portfolio!A357</f>
        <v/>
      </c>
      <c r="B358" s="14" t="str">
        <f>Portfolio!B357</f>
        <v/>
      </c>
      <c r="C358" s="158" t="str">
        <f>Portfolio!C357</f>
        <v/>
      </c>
      <c r="D358" s="96" t="str">
        <f>Portfolio!D357</f>
        <v/>
      </c>
      <c r="E358" s="96" t="str">
        <f>Portfolio!E357</f>
        <v/>
      </c>
      <c r="F358" s="96" t="str">
        <f>Portfolio!G357</f>
        <v/>
      </c>
      <c r="G358" s="50" t="str">
        <f>Portfolio!H357</f>
        <v/>
      </c>
      <c r="H358" s="96" t="str">
        <f>Portfolio!I357</f>
        <v/>
      </c>
      <c r="I358" s="96" t="str">
        <f>Portfolio!J357</f>
        <v/>
      </c>
      <c r="J358" s="96" t="str">
        <f>Portfolio!K357</f>
        <v/>
      </c>
      <c r="K358" s="50" t="str">
        <f>Portfolio!O357</f>
        <v/>
      </c>
      <c r="L358" s="96" t="str">
        <f>Portfolio!P357</f>
        <v/>
      </c>
      <c r="M358" s="96" t="str">
        <f>Portfolio!Q357</f>
        <v/>
      </c>
      <c r="N358" s="14" t="str">
        <f>Portfolio!R357</f>
        <v/>
      </c>
      <c r="O358" s="50" t="str">
        <f>Portfolio!S357</f>
        <v/>
      </c>
      <c r="Q358" s="50" t="str">
        <f>Portfolio!U357</f>
        <v/>
      </c>
      <c r="S358" s="50" t="str">
        <f>Portfolio!W357</f>
        <v/>
      </c>
      <c r="T358" s="50" t="str">
        <f>Portfolio!X357</f>
        <v/>
      </c>
      <c r="U358" s="50" t="str">
        <f>Portfolio!Y357</f>
        <v/>
      </c>
      <c r="V358" s="50" t="str">
        <f>Portfolio!Z357</f>
        <v/>
      </c>
      <c r="W358" s="14" t="str">
        <f>Portfolio!AA357</f>
        <v/>
      </c>
      <c r="X358" s="50" t="str">
        <f>Portfolio!AB357</f>
        <v/>
      </c>
      <c r="Y358" s="179" t="str">
        <f>Portfolio!AC357</f>
        <v/>
      </c>
      <c r="Z358" s="50" t="str">
        <f>Portfolio!AD357</f>
        <v/>
      </c>
      <c r="AA358" s="180" t="str">
        <f>Portfolio!AE357</f>
        <v/>
      </c>
    </row>
    <row r="359">
      <c r="A359" s="14" t="str">
        <f>Portfolio!A358</f>
        <v/>
      </c>
      <c r="B359" s="14" t="str">
        <f>Portfolio!B358</f>
        <v/>
      </c>
      <c r="C359" s="158" t="str">
        <f>Portfolio!C358</f>
        <v/>
      </c>
      <c r="D359" s="96" t="str">
        <f>Portfolio!D358</f>
        <v/>
      </c>
      <c r="E359" s="96" t="str">
        <f>Portfolio!E358</f>
        <v/>
      </c>
      <c r="F359" s="96" t="str">
        <f>Portfolio!G358</f>
        <v/>
      </c>
      <c r="G359" s="50" t="str">
        <f>Portfolio!H358</f>
        <v/>
      </c>
      <c r="H359" s="96" t="str">
        <f>Portfolio!I358</f>
        <v/>
      </c>
      <c r="I359" s="96" t="str">
        <f>Portfolio!J358</f>
        <v/>
      </c>
      <c r="J359" s="96" t="str">
        <f>Portfolio!K358</f>
        <v/>
      </c>
      <c r="K359" s="50" t="str">
        <f>Portfolio!O358</f>
        <v/>
      </c>
      <c r="L359" s="96" t="str">
        <f>Portfolio!P358</f>
        <v/>
      </c>
      <c r="M359" s="96" t="str">
        <f>Portfolio!Q358</f>
        <v/>
      </c>
      <c r="N359" s="14" t="str">
        <f>Portfolio!R358</f>
        <v/>
      </c>
      <c r="O359" s="50" t="str">
        <f>Portfolio!S358</f>
        <v/>
      </c>
      <c r="Q359" s="50" t="str">
        <f>Portfolio!U358</f>
        <v/>
      </c>
      <c r="S359" s="50" t="str">
        <f>Portfolio!W358</f>
        <v/>
      </c>
      <c r="T359" s="50" t="str">
        <f>Portfolio!X358</f>
        <v/>
      </c>
      <c r="U359" s="50" t="str">
        <f>Portfolio!Y358</f>
        <v/>
      </c>
      <c r="V359" s="50" t="str">
        <f>Portfolio!Z358</f>
        <v/>
      </c>
      <c r="W359" s="14" t="str">
        <f>Portfolio!AA358</f>
        <v/>
      </c>
      <c r="X359" s="50" t="str">
        <f>Portfolio!AB358</f>
        <v/>
      </c>
      <c r="Y359" s="179" t="str">
        <f>Portfolio!AC358</f>
        <v/>
      </c>
      <c r="Z359" s="50" t="str">
        <f>Portfolio!AD358</f>
        <v/>
      </c>
      <c r="AA359" s="180" t="str">
        <f>Portfolio!AE358</f>
        <v/>
      </c>
    </row>
    <row r="360">
      <c r="A360" s="14" t="str">
        <f>Portfolio!A359</f>
        <v/>
      </c>
      <c r="B360" s="14" t="str">
        <f>Portfolio!B359</f>
        <v/>
      </c>
      <c r="C360" s="158" t="str">
        <f>Portfolio!C359</f>
        <v/>
      </c>
      <c r="D360" s="96" t="str">
        <f>Portfolio!D359</f>
        <v/>
      </c>
      <c r="E360" s="96" t="str">
        <f>Portfolio!E359</f>
        <v/>
      </c>
      <c r="F360" s="96" t="str">
        <f>Portfolio!G359</f>
        <v/>
      </c>
      <c r="G360" s="50" t="str">
        <f>Portfolio!H359</f>
        <v/>
      </c>
      <c r="H360" s="96" t="str">
        <f>Portfolio!I359</f>
        <v/>
      </c>
      <c r="I360" s="96" t="str">
        <f>Portfolio!J359</f>
        <v/>
      </c>
      <c r="J360" s="96" t="str">
        <f>Portfolio!K359</f>
        <v/>
      </c>
      <c r="K360" s="50" t="str">
        <f>Portfolio!O359</f>
        <v/>
      </c>
      <c r="L360" s="96" t="str">
        <f>Portfolio!P359</f>
        <v/>
      </c>
      <c r="M360" s="96" t="str">
        <f>Portfolio!Q359</f>
        <v/>
      </c>
      <c r="N360" s="14" t="str">
        <f>Portfolio!R359</f>
        <v/>
      </c>
      <c r="O360" s="50" t="str">
        <f>Portfolio!S359</f>
        <v/>
      </c>
      <c r="Q360" s="50" t="str">
        <f>Portfolio!U359</f>
        <v/>
      </c>
      <c r="S360" s="50" t="str">
        <f>Portfolio!W359</f>
        <v/>
      </c>
      <c r="T360" s="50" t="str">
        <f>Portfolio!X359</f>
        <v/>
      </c>
      <c r="U360" s="50" t="str">
        <f>Portfolio!Y359</f>
        <v/>
      </c>
      <c r="V360" s="50" t="str">
        <f>Portfolio!Z359</f>
        <v/>
      </c>
      <c r="W360" s="14" t="str">
        <f>Portfolio!AA359</f>
        <v/>
      </c>
      <c r="X360" s="50" t="str">
        <f>Portfolio!AB359</f>
        <v/>
      </c>
      <c r="Y360" s="179" t="str">
        <f>Portfolio!AC359</f>
        <v/>
      </c>
      <c r="Z360" s="50" t="str">
        <f>Portfolio!AD359</f>
        <v/>
      </c>
      <c r="AA360" s="180" t="str">
        <f>Portfolio!AE359</f>
        <v/>
      </c>
    </row>
    <row r="361">
      <c r="A361" s="14" t="str">
        <f>Portfolio!A360</f>
        <v/>
      </c>
      <c r="B361" s="14" t="str">
        <f>Portfolio!B360</f>
        <v/>
      </c>
      <c r="C361" s="158" t="str">
        <f>Portfolio!C360</f>
        <v/>
      </c>
      <c r="D361" s="96" t="str">
        <f>Portfolio!D360</f>
        <v/>
      </c>
      <c r="E361" s="96" t="str">
        <f>Portfolio!E360</f>
        <v/>
      </c>
      <c r="F361" s="96" t="str">
        <f>Portfolio!G360</f>
        <v/>
      </c>
      <c r="G361" s="50" t="str">
        <f>Portfolio!H360</f>
        <v/>
      </c>
      <c r="H361" s="96" t="str">
        <f>Portfolio!I360</f>
        <v/>
      </c>
      <c r="I361" s="96" t="str">
        <f>Portfolio!J360</f>
        <v/>
      </c>
      <c r="J361" s="96" t="str">
        <f>Portfolio!K360</f>
        <v/>
      </c>
      <c r="K361" s="50" t="str">
        <f>Portfolio!O360</f>
        <v/>
      </c>
      <c r="L361" s="96" t="str">
        <f>Portfolio!P360</f>
        <v/>
      </c>
      <c r="M361" s="96" t="str">
        <f>Portfolio!Q360</f>
        <v/>
      </c>
      <c r="N361" s="14" t="str">
        <f>Portfolio!R360</f>
        <v/>
      </c>
      <c r="O361" s="50" t="str">
        <f>Portfolio!S360</f>
        <v/>
      </c>
      <c r="Q361" s="50" t="str">
        <f>Portfolio!U360</f>
        <v/>
      </c>
      <c r="S361" s="50" t="str">
        <f>Portfolio!W360</f>
        <v/>
      </c>
      <c r="T361" s="50" t="str">
        <f>Portfolio!X360</f>
        <v/>
      </c>
      <c r="U361" s="50" t="str">
        <f>Portfolio!Y360</f>
        <v/>
      </c>
      <c r="V361" s="50" t="str">
        <f>Portfolio!Z360</f>
        <v/>
      </c>
      <c r="W361" s="14" t="str">
        <f>Portfolio!AA360</f>
        <v/>
      </c>
      <c r="X361" s="50" t="str">
        <f>Portfolio!AB360</f>
        <v/>
      </c>
      <c r="Y361" s="179" t="str">
        <f>Portfolio!AC360</f>
        <v/>
      </c>
      <c r="Z361" s="50" t="str">
        <f>Portfolio!AD360</f>
        <v/>
      </c>
      <c r="AA361" s="180" t="str">
        <f>Portfolio!AE360</f>
        <v/>
      </c>
    </row>
    <row r="362">
      <c r="A362" s="14" t="str">
        <f>Portfolio!A361</f>
        <v/>
      </c>
      <c r="B362" s="14" t="str">
        <f>Portfolio!B361</f>
        <v/>
      </c>
      <c r="C362" s="158" t="str">
        <f>Portfolio!C361</f>
        <v/>
      </c>
      <c r="D362" s="96" t="str">
        <f>Portfolio!D361</f>
        <v/>
      </c>
      <c r="E362" s="96" t="str">
        <f>Portfolio!E361</f>
        <v/>
      </c>
      <c r="F362" s="96" t="str">
        <f>Portfolio!G361</f>
        <v/>
      </c>
      <c r="G362" s="50" t="str">
        <f>Portfolio!H361</f>
        <v/>
      </c>
      <c r="H362" s="96" t="str">
        <f>Portfolio!I361</f>
        <v/>
      </c>
      <c r="I362" s="96" t="str">
        <f>Portfolio!J361</f>
        <v/>
      </c>
      <c r="J362" s="96" t="str">
        <f>Portfolio!K361</f>
        <v/>
      </c>
      <c r="K362" s="50" t="str">
        <f>Portfolio!O361</f>
        <v/>
      </c>
      <c r="L362" s="96" t="str">
        <f>Portfolio!P361</f>
        <v/>
      </c>
      <c r="M362" s="96" t="str">
        <f>Portfolio!Q361</f>
        <v/>
      </c>
      <c r="N362" s="14" t="str">
        <f>Portfolio!R361</f>
        <v/>
      </c>
      <c r="O362" s="50" t="str">
        <f>Portfolio!S361</f>
        <v/>
      </c>
      <c r="Q362" s="50" t="str">
        <f>Portfolio!U361</f>
        <v/>
      </c>
      <c r="S362" s="50" t="str">
        <f>Portfolio!W361</f>
        <v/>
      </c>
      <c r="T362" s="50" t="str">
        <f>Portfolio!X361</f>
        <v/>
      </c>
      <c r="U362" s="50" t="str">
        <f>Portfolio!Y361</f>
        <v/>
      </c>
      <c r="V362" s="50" t="str">
        <f>Portfolio!Z361</f>
        <v/>
      </c>
      <c r="W362" s="14" t="str">
        <f>Portfolio!AA361</f>
        <v/>
      </c>
      <c r="X362" s="50" t="str">
        <f>Portfolio!AB361</f>
        <v/>
      </c>
      <c r="Y362" s="179" t="str">
        <f>Portfolio!AC361</f>
        <v/>
      </c>
      <c r="Z362" s="50" t="str">
        <f>Portfolio!AD361</f>
        <v/>
      </c>
      <c r="AA362" s="180" t="str">
        <f>Portfolio!AE361</f>
        <v/>
      </c>
    </row>
    <row r="363">
      <c r="A363" s="14" t="str">
        <f>Portfolio!A362</f>
        <v/>
      </c>
      <c r="B363" s="14" t="str">
        <f>Portfolio!B362</f>
        <v/>
      </c>
      <c r="C363" s="158" t="str">
        <f>Portfolio!C362</f>
        <v/>
      </c>
      <c r="D363" s="96" t="str">
        <f>Portfolio!D362</f>
        <v/>
      </c>
      <c r="E363" s="96" t="str">
        <f>Portfolio!E362</f>
        <v/>
      </c>
      <c r="F363" s="96" t="str">
        <f>Portfolio!G362</f>
        <v/>
      </c>
      <c r="G363" s="50" t="str">
        <f>Portfolio!H362</f>
        <v/>
      </c>
      <c r="H363" s="96" t="str">
        <f>Portfolio!I362</f>
        <v/>
      </c>
      <c r="I363" s="96" t="str">
        <f>Portfolio!J362</f>
        <v/>
      </c>
      <c r="J363" s="96" t="str">
        <f>Portfolio!K362</f>
        <v/>
      </c>
      <c r="K363" s="50" t="str">
        <f>Portfolio!O362</f>
        <v/>
      </c>
      <c r="L363" s="96" t="str">
        <f>Portfolio!P362</f>
        <v/>
      </c>
      <c r="M363" s="96" t="str">
        <f>Portfolio!Q362</f>
        <v/>
      </c>
      <c r="N363" s="14" t="str">
        <f>Portfolio!R362</f>
        <v/>
      </c>
      <c r="O363" s="50" t="str">
        <f>Portfolio!S362</f>
        <v/>
      </c>
      <c r="Q363" s="50" t="str">
        <f>Portfolio!U362</f>
        <v/>
      </c>
      <c r="S363" s="50" t="str">
        <f>Portfolio!W362</f>
        <v/>
      </c>
      <c r="T363" s="50" t="str">
        <f>Portfolio!X362</f>
        <v/>
      </c>
      <c r="U363" s="50" t="str">
        <f>Portfolio!Y362</f>
        <v/>
      </c>
      <c r="V363" s="50" t="str">
        <f>Portfolio!Z362</f>
        <v/>
      </c>
      <c r="W363" s="14" t="str">
        <f>Portfolio!AA362</f>
        <v/>
      </c>
      <c r="X363" s="50" t="str">
        <f>Portfolio!AB362</f>
        <v/>
      </c>
      <c r="Y363" s="179" t="str">
        <f>Portfolio!AC362</f>
        <v/>
      </c>
      <c r="Z363" s="50" t="str">
        <f>Portfolio!AD362</f>
        <v/>
      </c>
      <c r="AA363" s="180" t="str">
        <f>Portfolio!AE362</f>
        <v/>
      </c>
    </row>
    <row r="364">
      <c r="A364" s="14" t="str">
        <f>Portfolio!A363</f>
        <v/>
      </c>
      <c r="B364" s="14" t="str">
        <f>Portfolio!B363</f>
        <v/>
      </c>
      <c r="C364" s="158" t="str">
        <f>Portfolio!C363</f>
        <v/>
      </c>
      <c r="D364" s="96" t="str">
        <f>Portfolio!D363</f>
        <v/>
      </c>
      <c r="E364" s="96" t="str">
        <f>Portfolio!E363</f>
        <v/>
      </c>
      <c r="F364" s="96" t="str">
        <f>Portfolio!G363</f>
        <v/>
      </c>
      <c r="G364" s="50" t="str">
        <f>Portfolio!H363</f>
        <v/>
      </c>
      <c r="H364" s="96" t="str">
        <f>Portfolio!I363</f>
        <v/>
      </c>
      <c r="I364" s="96" t="str">
        <f>Portfolio!J363</f>
        <v/>
      </c>
      <c r="J364" s="96" t="str">
        <f>Portfolio!K363</f>
        <v/>
      </c>
      <c r="K364" s="50" t="str">
        <f>Portfolio!O363</f>
        <v/>
      </c>
      <c r="L364" s="96" t="str">
        <f>Portfolio!P363</f>
        <v/>
      </c>
      <c r="M364" s="96" t="str">
        <f>Portfolio!Q363</f>
        <v/>
      </c>
      <c r="N364" s="14" t="str">
        <f>Portfolio!R363</f>
        <v/>
      </c>
      <c r="O364" s="50" t="str">
        <f>Portfolio!S363</f>
        <v/>
      </c>
      <c r="Q364" s="50" t="str">
        <f>Portfolio!U363</f>
        <v/>
      </c>
      <c r="S364" s="50" t="str">
        <f>Portfolio!W363</f>
        <v/>
      </c>
      <c r="T364" s="50" t="str">
        <f>Portfolio!X363</f>
        <v/>
      </c>
      <c r="U364" s="50" t="str">
        <f>Portfolio!Y363</f>
        <v/>
      </c>
      <c r="V364" s="50" t="str">
        <f>Portfolio!Z363</f>
        <v/>
      </c>
      <c r="W364" s="14" t="str">
        <f>Portfolio!AA363</f>
        <v/>
      </c>
      <c r="X364" s="50" t="str">
        <f>Portfolio!AB363</f>
        <v/>
      </c>
      <c r="Y364" s="179" t="str">
        <f>Portfolio!AC363</f>
        <v/>
      </c>
      <c r="Z364" s="50" t="str">
        <f>Portfolio!AD363</f>
        <v/>
      </c>
      <c r="AA364" s="180" t="str">
        <f>Portfolio!AE363</f>
        <v/>
      </c>
    </row>
    <row r="365">
      <c r="A365" s="14" t="str">
        <f>Portfolio!A364</f>
        <v/>
      </c>
      <c r="B365" s="14" t="str">
        <f>Portfolio!B364</f>
        <v/>
      </c>
      <c r="C365" s="158" t="str">
        <f>Portfolio!C364</f>
        <v/>
      </c>
      <c r="D365" s="96" t="str">
        <f>Portfolio!D364</f>
        <v/>
      </c>
      <c r="E365" s="96" t="str">
        <f>Portfolio!E364</f>
        <v/>
      </c>
      <c r="F365" s="96" t="str">
        <f>Portfolio!G364</f>
        <v/>
      </c>
      <c r="G365" s="50" t="str">
        <f>Portfolio!H364</f>
        <v/>
      </c>
      <c r="H365" s="96" t="str">
        <f>Portfolio!I364</f>
        <v/>
      </c>
      <c r="I365" s="96" t="str">
        <f>Portfolio!J364</f>
        <v/>
      </c>
      <c r="J365" s="96" t="str">
        <f>Portfolio!K364</f>
        <v/>
      </c>
      <c r="K365" s="50" t="str">
        <f>Portfolio!O364</f>
        <v/>
      </c>
      <c r="L365" s="96" t="str">
        <f>Portfolio!P364</f>
        <v/>
      </c>
      <c r="M365" s="96" t="str">
        <f>Portfolio!Q364</f>
        <v/>
      </c>
      <c r="N365" s="14" t="str">
        <f>Portfolio!R364</f>
        <v/>
      </c>
      <c r="O365" s="50" t="str">
        <f>Portfolio!S364</f>
        <v/>
      </c>
      <c r="Q365" s="50" t="str">
        <f>Portfolio!U364</f>
        <v/>
      </c>
      <c r="S365" s="50" t="str">
        <f>Portfolio!W364</f>
        <v/>
      </c>
      <c r="T365" s="50" t="str">
        <f>Portfolio!X364</f>
        <v/>
      </c>
      <c r="U365" s="50" t="str">
        <f>Portfolio!Y364</f>
        <v/>
      </c>
      <c r="V365" s="50" t="str">
        <f>Portfolio!Z364</f>
        <v/>
      </c>
      <c r="W365" s="14" t="str">
        <f>Portfolio!AA364</f>
        <v/>
      </c>
      <c r="X365" s="50" t="str">
        <f>Portfolio!AB364</f>
        <v/>
      </c>
      <c r="Y365" s="179" t="str">
        <f>Portfolio!AC364</f>
        <v/>
      </c>
      <c r="Z365" s="50" t="str">
        <f>Portfolio!AD364</f>
        <v/>
      </c>
      <c r="AA365" s="180" t="str">
        <f>Portfolio!AE364</f>
        <v/>
      </c>
    </row>
    <row r="366">
      <c r="A366" s="14" t="str">
        <f>Portfolio!A365</f>
        <v/>
      </c>
      <c r="B366" s="14" t="str">
        <f>Portfolio!B365</f>
        <v/>
      </c>
      <c r="C366" s="158" t="str">
        <f>Portfolio!C365</f>
        <v/>
      </c>
      <c r="D366" s="96" t="str">
        <f>Portfolio!D365</f>
        <v/>
      </c>
      <c r="E366" s="96" t="str">
        <f>Portfolio!E365</f>
        <v/>
      </c>
      <c r="F366" s="96" t="str">
        <f>Portfolio!G365</f>
        <v/>
      </c>
      <c r="G366" s="50" t="str">
        <f>Portfolio!H365</f>
        <v/>
      </c>
      <c r="H366" s="96" t="str">
        <f>Portfolio!I365</f>
        <v/>
      </c>
      <c r="I366" s="96" t="str">
        <f>Portfolio!J365</f>
        <v/>
      </c>
      <c r="J366" s="96" t="str">
        <f>Portfolio!K365</f>
        <v/>
      </c>
      <c r="K366" s="50" t="str">
        <f>Portfolio!O365</f>
        <v/>
      </c>
      <c r="L366" s="96" t="str">
        <f>Portfolio!P365</f>
        <v/>
      </c>
      <c r="M366" s="96" t="str">
        <f>Portfolio!Q365</f>
        <v/>
      </c>
      <c r="N366" s="14" t="str">
        <f>Portfolio!R365</f>
        <v/>
      </c>
      <c r="O366" s="50" t="str">
        <f>Portfolio!S365</f>
        <v/>
      </c>
      <c r="Q366" s="50" t="str">
        <f>Portfolio!U365</f>
        <v/>
      </c>
      <c r="S366" s="50" t="str">
        <f>Portfolio!W365</f>
        <v/>
      </c>
      <c r="T366" s="50" t="str">
        <f>Portfolio!X365</f>
        <v/>
      </c>
      <c r="U366" s="50" t="str">
        <f>Portfolio!Y365</f>
        <v/>
      </c>
      <c r="V366" s="50" t="str">
        <f>Portfolio!Z365</f>
        <v/>
      </c>
      <c r="W366" s="14" t="str">
        <f>Portfolio!AA365</f>
        <v/>
      </c>
      <c r="X366" s="50" t="str">
        <f>Portfolio!AB365</f>
        <v/>
      </c>
      <c r="Y366" s="179" t="str">
        <f>Portfolio!AC365</f>
        <v/>
      </c>
      <c r="Z366" s="50" t="str">
        <f>Portfolio!AD365</f>
        <v/>
      </c>
      <c r="AA366" s="180" t="str">
        <f>Portfolio!AE365</f>
        <v/>
      </c>
    </row>
    <row r="367">
      <c r="A367" s="14" t="str">
        <f>Portfolio!A366</f>
        <v/>
      </c>
      <c r="B367" s="14" t="str">
        <f>Portfolio!B366</f>
        <v/>
      </c>
      <c r="C367" s="158" t="str">
        <f>Portfolio!C366</f>
        <v/>
      </c>
      <c r="D367" s="96" t="str">
        <f>Portfolio!D366</f>
        <v/>
      </c>
      <c r="E367" s="96" t="str">
        <f>Portfolio!E366</f>
        <v/>
      </c>
      <c r="F367" s="96" t="str">
        <f>Portfolio!G366</f>
        <v/>
      </c>
      <c r="G367" s="50" t="str">
        <f>Portfolio!H366</f>
        <v/>
      </c>
      <c r="H367" s="96" t="str">
        <f>Portfolio!I366</f>
        <v/>
      </c>
      <c r="I367" s="96" t="str">
        <f>Portfolio!J366</f>
        <v/>
      </c>
      <c r="J367" s="96" t="str">
        <f>Portfolio!K366</f>
        <v/>
      </c>
      <c r="K367" s="50" t="str">
        <f>Portfolio!O366</f>
        <v/>
      </c>
      <c r="L367" s="96" t="str">
        <f>Portfolio!P366</f>
        <v/>
      </c>
      <c r="M367" s="96" t="str">
        <f>Portfolio!Q366</f>
        <v/>
      </c>
      <c r="N367" s="14" t="str">
        <f>Portfolio!R366</f>
        <v/>
      </c>
      <c r="O367" s="50" t="str">
        <f>Portfolio!S366</f>
        <v/>
      </c>
      <c r="Q367" s="50" t="str">
        <f>Portfolio!U366</f>
        <v/>
      </c>
      <c r="S367" s="50" t="str">
        <f>Portfolio!W366</f>
        <v/>
      </c>
      <c r="T367" s="50" t="str">
        <f>Portfolio!X366</f>
        <v/>
      </c>
      <c r="U367" s="50" t="str">
        <f>Portfolio!Y366</f>
        <v/>
      </c>
      <c r="V367" s="50" t="str">
        <f>Portfolio!Z366</f>
        <v/>
      </c>
      <c r="W367" s="14" t="str">
        <f>Portfolio!AA366</f>
        <v/>
      </c>
      <c r="X367" s="50" t="str">
        <f>Portfolio!AB366</f>
        <v/>
      </c>
      <c r="Y367" s="179" t="str">
        <f>Portfolio!AC366</f>
        <v/>
      </c>
      <c r="Z367" s="50" t="str">
        <f>Portfolio!AD366</f>
        <v/>
      </c>
      <c r="AA367" s="180" t="str">
        <f>Portfolio!AE366</f>
        <v/>
      </c>
    </row>
    <row r="368">
      <c r="A368" s="14" t="str">
        <f>Portfolio!A367</f>
        <v/>
      </c>
      <c r="B368" s="14" t="str">
        <f>Portfolio!B367</f>
        <v/>
      </c>
      <c r="C368" s="158" t="str">
        <f>Portfolio!C367</f>
        <v/>
      </c>
      <c r="D368" s="96" t="str">
        <f>Portfolio!D367</f>
        <v/>
      </c>
      <c r="E368" s="96" t="str">
        <f>Portfolio!E367</f>
        <v/>
      </c>
      <c r="F368" s="96" t="str">
        <f>Portfolio!G367</f>
        <v/>
      </c>
      <c r="G368" s="50" t="str">
        <f>Portfolio!H367</f>
        <v/>
      </c>
      <c r="H368" s="96" t="str">
        <f>Portfolio!I367</f>
        <v/>
      </c>
      <c r="I368" s="96" t="str">
        <f>Portfolio!J367</f>
        <v/>
      </c>
      <c r="J368" s="96" t="str">
        <f>Portfolio!K367</f>
        <v/>
      </c>
      <c r="K368" s="50" t="str">
        <f>Portfolio!O367</f>
        <v/>
      </c>
      <c r="L368" s="96" t="str">
        <f>Portfolio!P367</f>
        <v/>
      </c>
      <c r="M368" s="96" t="str">
        <f>Portfolio!Q367</f>
        <v/>
      </c>
      <c r="N368" s="14" t="str">
        <f>Portfolio!R367</f>
        <v/>
      </c>
      <c r="O368" s="50" t="str">
        <f>Portfolio!S367</f>
        <v/>
      </c>
      <c r="Q368" s="50" t="str">
        <f>Portfolio!U367</f>
        <v/>
      </c>
      <c r="S368" s="50" t="str">
        <f>Portfolio!W367</f>
        <v/>
      </c>
      <c r="T368" s="50" t="str">
        <f>Portfolio!X367</f>
        <v/>
      </c>
      <c r="U368" s="50" t="str">
        <f>Portfolio!Y367</f>
        <v/>
      </c>
      <c r="V368" s="50" t="str">
        <f>Portfolio!Z367</f>
        <v/>
      </c>
      <c r="W368" s="14" t="str">
        <f>Portfolio!AA367</f>
        <v/>
      </c>
      <c r="X368" s="50" t="str">
        <f>Portfolio!AB367</f>
        <v/>
      </c>
      <c r="Y368" s="179" t="str">
        <f>Portfolio!AC367</f>
        <v/>
      </c>
      <c r="Z368" s="50" t="str">
        <f>Portfolio!AD367</f>
        <v/>
      </c>
      <c r="AA368" s="180" t="str">
        <f>Portfolio!AE367</f>
        <v/>
      </c>
    </row>
    <row r="369">
      <c r="A369" s="14" t="str">
        <f>Portfolio!A368</f>
        <v/>
      </c>
      <c r="B369" s="14" t="str">
        <f>Portfolio!B368</f>
        <v/>
      </c>
      <c r="C369" s="158" t="str">
        <f>Portfolio!C368</f>
        <v/>
      </c>
      <c r="D369" s="96" t="str">
        <f>Portfolio!D368</f>
        <v/>
      </c>
      <c r="E369" s="96" t="str">
        <f>Portfolio!E368</f>
        <v/>
      </c>
      <c r="F369" s="96" t="str">
        <f>Portfolio!G368</f>
        <v/>
      </c>
      <c r="G369" s="50" t="str">
        <f>Portfolio!H368</f>
        <v/>
      </c>
      <c r="H369" s="96" t="str">
        <f>Portfolio!I368</f>
        <v/>
      </c>
      <c r="I369" s="96" t="str">
        <f>Portfolio!J368</f>
        <v/>
      </c>
      <c r="J369" s="96" t="str">
        <f>Portfolio!K368</f>
        <v/>
      </c>
      <c r="K369" s="50" t="str">
        <f>Portfolio!O368</f>
        <v/>
      </c>
      <c r="L369" s="96" t="str">
        <f>Portfolio!P368</f>
        <v/>
      </c>
      <c r="M369" s="96" t="str">
        <f>Portfolio!Q368</f>
        <v/>
      </c>
      <c r="N369" s="14" t="str">
        <f>Portfolio!R368</f>
        <v/>
      </c>
      <c r="O369" s="50" t="str">
        <f>Portfolio!S368</f>
        <v/>
      </c>
      <c r="Q369" s="50" t="str">
        <f>Portfolio!U368</f>
        <v/>
      </c>
      <c r="S369" s="50" t="str">
        <f>Portfolio!W368</f>
        <v/>
      </c>
      <c r="T369" s="50" t="str">
        <f>Portfolio!X368</f>
        <v/>
      </c>
      <c r="U369" s="50" t="str">
        <f>Portfolio!Y368</f>
        <v/>
      </c>
      <c r="V369" s="50" t="str">
        <f>Portfolio!Z368</f>
        <v/>
      </c>
      <c r="W369" s="14" t="str">
        <f>Portfolio!AA368</f>
        <v/>
      </c>
      <c r="X369" s="50" t="str">
        <f>Portfolio!AB368</f>
        <v/>
      </c>
      <c r="Y369" s="179" t="str">
        <f>Portfolio!AC368</f>
        <v/>
      </c>
      <c r="Z369" s="50" t="str">
        <f>Portfolio!AD368</f>
        <v/>
      </c>
      <c r="AA369" s="180" t="str">
        <f>Portfolio!AE368</f>
        <v/>
      </c>
    </row>
    <row r="370">
      <c r="A370" s="14" t="str">
        <f>Portfolio!A369</f>
        <v/>
      </c>
      <c r="B370" s="14" t="str">
        <f>Portfolio!B369</f>
        <v/>
      </c>
      <c r="C370" s="158" t="str">
        <f>Portfolio!C369</f>
        <v/>
      </c>
      <c r="D370" s="96" t="str">
        <f>Portfolio!D369</f>
        <v/>
      </c>
      <c r="E370" s="96" t="str">
        <f>Portfolio!E369</f>
        <v/>
      </c>
      <c r="F370" s="96" t="str">
        <f>Portfolio!G369</f>
        <v/>
      </c>
      <c r="G370" s="50" t="str">
        <f>Portfolio!H369</f>
        <v/>
      </c>
      <c r="H370" s="96" t="str">
        <f>Portfolio!I369</f>
        <v/>
      </c>
      <c r="I370" s="96" t="str">
        <f>Portfolio!J369</f>
        <v/>
      </c>
      <c r="J370" s="96" t="str">
        <f>Portfolio!K369</f>
        <v/>
      </c>
      <c r="K370" s="50" t="str">
        <f>Portfolio!O369</f>
        <v/>
      </c>
      <c r="L370" s="96" t="str">
        <f>Portfolio!P369</f>
        <v/>
      </c>
      <c r="M370" s="96" t="str">
        <f>Portfolio!Q369</f>
        <v/>
      </c>
      <c r="N370" s="14" t="str">
        <f>Portfolio!R369</f>
        <v/>
      </c>
      <c r="O370" s="50" t="str">
        <f>Portfolio!S369</f>
        <v/>
      </c>
      <c r="Q370" s="50" t="str">
        <f>Portfolio!U369</f>
        <v/>
      </c>
      <c r="S370" s="50" t="str">
        <f>Portfolio!W369</f>
        <v/>
      </c>
      <c r="T370" s="50" t="str">
        <f>Portfolio!X369</f>
        <v/>
      </c>
      <c r="U370" s="50" t="str">
        <f>Portfolio!Y369</f>
        <v/>
      </c>
      <c r="V370" s="50" t="str">
        <f>Portfolio!Z369</f>
        <v/>
      </c>
      <c r="W370" s="14" t="str">
        <f>Portfolio!AA369</f>
        <v/>
      </c>
      <c r="X370" s="50" t="str">
        <f>Portfolio!AB369</f>
        <v/>
      </c>
      <c r="Y370" s="179" t="str">
        <f>Portfolio!AC369</f>
        <v/>
      </c>
      <c r="Z370" s="50" t="str">
        <f>Portfolio!AD369</f>
        <v/>
      </c>
      <c r="AA370" s="180" t="str">
        <f>Portfolio!AE369</f>
        <v/>
      </c>
    </row>
    <row r="371">
      <c r="A371" s="14" t="str">
        <f>Portfolio!A370</f>
        <v/>
      </c>
      <c r="B371" s="14" t="str">
        <f>Portfolio!B370</f>
        <v/>
      </c>
      <c r="C371" s="158" t="str">
        <f>Portfolio!C370</f>
        <v/>
      </c>
      <c r="D371" s="96" t="str">
        <f>Portfolio!D370</f>
        <v/>
      </c>
      <c r="E371" s="96" t="str">
        <f>Portfolio!E370</f>
        <v/>
      </c>
      <c r="F371" s="96" t="str">
        <f>Portfolio!G370</f>
        <v/>
      </c>
      <c r="G371" s="50" t="str">
        <f>Portfolio!H370</f>
        <v/>
      </c>
      <c r="H371" s="96" t="str">
        <f>Portfolio!I370</f>
        <v/>
      </c>
      <c r="I371" s="96" t="str">
        <f>Portfolio!J370</f>
        <v/>
      </c>
      <c r="J371" s="96" t="str">
        <f>Portfolio!K370</f>
        <v/>
      </c>
      <c r="K371" s="50" t="str">
        <f>Portfolio!O370</f>
        <v/>
      </c>
      <c r="L371" s="96" t="str">
        <f>Portfolio!P370</f>
        <v/>
      </c>
      <c r="M371" s="96" t="str">
        <f>Portfolio!Q370</f>
        <v/>
      </c>
      <c r="N371" s="14" t="str">
        <f>Portfolio!R370</f>
        <v/>
      </c>
      <c r="O371" s="50" t="str">
        <f>Portfolio!S370</f>
        <v/>
      </c>
      <c r="Q371" s="50" t="str">
        <f>Portfolio!U370</f>
        <v/>
      </c>
      <c r="S371" s="50" t="str">
        <f>Portfolio!W370</f>
        <v/>
      </c>
      <c r="T371" s="50" t="str">
        <f>Portfolio!X370</f>
        <v/>
      </c>
      <c r="U371" s="50" t="str">
        <f>Portfolio!Y370</f>
        <v/>
      </c>
      <c r="V371" s="50" t="str">
        <f>Portfolio!Z370</f>
        <v/>
      </c>
      <c r="W371" s="14" t="str">
        <f>Portfolio!AA370</f>
        <v/>
      </c>
      <c r="X371" s="50" t="str">
        <f>Portfolio!AB370</f>
        <v/>
      </c>
      <c r="Y371" s="179" t="str">
        <f>Portfolio!AC370</f>
        <v/>
      </c>
      <c r="Z371" s="50" t="str">
        <f>Portfolio!AD370</f>
        <v/>
      </c>
      <c r="AA371" s="180" t="str">
        <f>Portfolio!AE370</f>
        <v/>
      </c>
    </row>
    <row r="372">
      <c r="A372" s="14" t="str">
        <f>Portfolio!A371</f>
        <v/>
      </c>
      <c r="B372" s="14" t="str">
        <f>Portfolio!B371</f>
        <v/>
      </c>
      <c r="C372" s="158" t="str">
        <f>Portfolio!C371</f>
        <v/>
      </c>
      <c r="D372" s="96" t="str">
        <f>Portfolio!D371</f>
        <v/>
      </c>
      <c r="E372" s="96" t="str">
        <f>Portfolio!E371</f>
        <v/>
      </c>
      <c r="F372" s="96" t="str">
        <f>Portfolio!G371</f>
        <v/>
      </c>
      <c r="G372" s="50" t="str">
        <f>Portfolio!H371</f>
        <v/>
      </c>
      <c r="H372" s="96" t="str">
        <f>Portfolio!I371</f>
        <v/>
      </c>
      <c r="I372" s="96" t="str">
        <f>Portfolio!J371</f>
        <v/>
      </c>
      <c r="J372" s="96" t="str">
        <f>Portfolio!K371</f>
        <v/>
      </c>
      <c r="K372" s="50" t="str">
        <f>Portfolio!O371</f>
        <v/>
      </c>
      <c r="L372" s="96" t="str">
        <f>Portfolio!P371</f>
        <v/>
      </c>
      <c r="M372" s="96" t="str">
        <f>Portfolio!Q371</f>
        <v/>
      </c>
      <c r="N372" s="14" t="str">
        <f>Portfolio!R371</f>
        <v/>
      </c>
      <c r="O372" s="50" t="str">
        <f>Portfolio!S371</f>
        <v/>
      </c>
      <c r="Q372" s="50" t="str">
        <f>Portfolio!U371</f>
        <v/>
      </c>
      <c r="S372" s="50" t="str">
        <f>Portfolio!W371</f>
        <v/>
      </c>
      <c r="T372" s="50" t="str">
        <f>Portfolio!X371</f>
        <v/>
      </c>
      <c r="U372" s="50" t="str">
        <f>Portfolio!Y371</f>
        <v/>
      </c>
      <c r="V372" s="50" t="str">
        <f>Portfolio!Z371</f>
        <v/>
      </c>
      <c r="W372" s="14" t="str">
        <f>Portfolio!AA371</f>
        <v/>
      </c>
      <c r="X372" s="50" t="str">
        <f>Portfolio!AB371</f>
        <v/>
      </c>
      <c r="Y372" s="179" t="str">
        <f>Portfolio!AC371</f>
        <v/>
      </c>
      <c r="Z372" s="50" t="str">
        <f>Portfolio!AD371</f>
        <v/>
      </c>
      <c r="AA372" s="180" t="str">
        <f>Portfolio!AE371</f>
        <v/>
      </c>
    </row>
    <row r="373">
      <c r="A373" s="14" t="str">
        <f>Portfolio!A372</f>
        <v/>
      </c>
      <c r="B373" s="14" t="str">
        <f>Portfolio!B372</f>
        <v/>
      </c>
      <c r="C373" s="158" t="str">
        <f>Portfolio!C372</f>
        <v/>
      </c>
      <c r="D373" s="96" t="str">
        <f>Portfolio!D372</f>
        <v/>
      </c>
      <c r="E373" s="96" t="str">
        <f>Portfolio!E372</f>
        <v/>
      </c>
      <c r="F373" s="96" t="str">
        <f>Portfolio!G372</f>
        <v/>
      </c>
      <c r="G373" s="50" t="str">
        <f>Portfolio!H372</f>
        <v/>
      </c>
      <c r="H373" s="96" t="str">
        <f>Portfolio!I372</f>
        <v/>
      </c>
      <c r="I373" s="96" t="str">
        <f>Portfolio!J372</f>
        <v/>
      </c>
      <c r="J373" s="96" t="str">
        <f>Portfolio!K372</f>
        <v/>
      </c>
      <c r="K373" s="50" t="str">
        <f>Portfolio!O372</f>
        <v/>
      </c>
      <c r="L373" s="96" t="str">
        <f>Portfolio!P372</f>
        <v/>
      </c>
      <c r="M373" s="96" t="str">
        <f>Portfolio!Q372</f>
        <v/>
      </c>
      <c r="N373" s="14" t="str">
        <f>Portfolio!R372</f>
        <v/>
      </c>
      <c r="O373" s="50" t="str">
        <f>Portfolio!S372</f>
        <v/>
      </c>
      <c r="Q373" s="50" t="str">
        <f>Portfolio!U372</f>
        <v/>
      </c>
      <c r="S373" s="50" t="str">
        <f>Portfolio!W372</f>
        <v/>
      </c>
      <c r="T373" s="50" t="str">
        <f>Portfolio!X372</f>
        <v/>
      </c>
      <c r="U373" s="50" t="str">
        <f>Portfolio!Y372</f>
        <v/>
      </c>
      <c r="V373" s="50" t="str">
        <f>Portfolio!Z372</f>
        <v/>
      </c>
      <c r="W373" s="14" t="str">
        <f>Portfolio!AA372</f>
        <v/>
      </c>
      <c r="X373" s="50" t="str">
        <f>Portfolio!AB372</f>
        <v/>
      </c>
      <c r="Y373" s="179" t="str">
        <f>Portfolio!AC372</f>
        <v/>
      </c>
      <c r="Z373" s="50" t="str">
        <f>Portfolio!AD372</f>
        <v/>
      </c>
      <c r="AA373" s="180" t="str">
        <f>Portfolio!AE372</f>
        <v/>
      </c>
    </row>
    <row r="374">
      <c r="A374" s="14" t="str">
        <f>Portfolio!A373</f>
        <v/>
      </c>
      <c r="B374" s="14" t="str">
        <f>Portfolio!B373</f>
        <v/>
      </c>
      <c r="C374" s="158" t="str">
        <f>Portfolio!C373</f>
        <v/>
      </c>
      <c r="D374" s="96" t="str">
        <f>Portfolio!D373</f>
        <v/>
      </c>
      <c r="E374" s="96" t="str">
        <f>Portfolio!E373</f>
        <v/>
      </c>
      <c r="F374" s="96" t="str">
        <f>Portfolio!G373</f>
        <v/>
      </c>
      <c r="G374" s="50" t="str">
        <f>Portfolio!H373</f>
        <v/>
      </c>
      <c r="H374" s="96" t="str">
        <f>Portfolio!I373</f>
        <v/>
      </c>
      <c r="I374" s="96" t="str">
        <f>Portfolio!J373</f>
        <v/>
      </c>
      <c r="J374" s="96" t="str">
        <f>Portfolio!K373</f>
        <v/>
      </c>
      <c r="K374" s="50" t="str">
        <f>Portfolio!O373</f>
        <v/>
      </c>
      <c r="L374" s="96" t="str">
        <f>Portfolio!P373</f>
        <v/>
      </c>
      <c r="M374" s="96" t="str">
        <f>Portfolio!Q373</f>
        <v/>
      </c>
      <c r="N374" s="14" t="str">
        <f>Portfolio!R373</f>
        <v/>
      </c>
      <c r="O374" s="50" t="str">
        <f>Portfolio!S373</f>
        <v/>
      </c>
      <c r="Q374" s="50" t="str">
        <f>Portfolio!U373</f>
        <v/>
      </c>
      <c r="S374" s="50" t="str">
        <f>Portfolio!W373</f>
        <v/>
      </c>
      <c r="T374" s="50" t="str">
        <f>Portfolio!X373</f>
        <v/>
      </c>
      <c r="U374" s="50" t="str">
        <f>Portfolio!Y373</f>
        <v/>
      </c>
      <c r="V374" s="50" t="str">
        <f>Portfolio!Z373</f>
        <v/>
      </c>
      <c r="W374" s="14" t="str">
        <f>Portfolio!AA373</f>
        <v/>
      </c>
      <c r="X374" s="50" t="str">
        <f>Portfolio!AB373</f>
        <v/>
      </c>
      <c r="Y374" s="179" t="str">
        <f>Portfolio!AC373</f>
        <v/>
      </c>
      <c r="Z374" s="50" t="str">
        <f>Portfolio!AD373</f>
        <v/>
      </c>
      <c r="AA374" s="180" t="str">
        <f>Portfolio!AE373</f>
        <v/>
      </c>
    </row>
    <row r="375">
      <c r="A375" s="14" t="str">
        <f>Portfolio!A374</f>
        <v/>
      </c>
      <c r="B375" s="14" t="str">
        <f>Portfolio!B374</f>
        <v/>
      </c>
      <c r="C375" s="158" t="str">
        <f>Portfolio!C374</f>
        <v/>
      </c>
      <c r="D375" s="96" t="str">
        <f>Portfolio!D374</f>
        <v/>
      </c>
      <c r="E375" s="96" t="str">
        <f>Portfolio!E374</f>
        <v/>
      </c>
      <c r="F375" s="96" t="str">
        <f>Portfolio!G374</f>
        <v/>
      </c>
      <c r="G375" s="50" t="str">
        <f>Portfolio!H374</f>
        <v/>
      </c>
      <c r="H375" s="96" t="str">
        <f>Portfolio!I374</f>
        <v/>
      </c>
      <c r="I375" s="96" t="str">
        <f>Portfolio!J374</f>
        <v/>
      </c>
      <c r="J375" s="96" t="str">
        <f>Portfolio!K374</f>
        <v/>
      </c>
      <c r="K375" s="50" t="str">
        <f>Portfolio!O374</f>
        <v/>
      </c>
      <c r="L375" s="96" t="str">
        <f>Portfolio!P374</f>
        <v/>
      </c>
      <c r="M375" s="96" t="str">
        <f>Portfolio!Q374</f>
        <v/>
      </c>
      <c r="N375" s="14" t="str">
        <f>Portfolio!R374</f>
        <v/>
      </c>
      <c r="O375" s="50" t="str">
        <f>Portfolio!S374</f>
        <v/>
      </c>
      <c r="Q375" s="50" t="str">
        <f>Portfolio!U374</f>
        <v/>
      </c>
      <c r="S375" s="50" t="str">
        <f>Portfolio!W374</f>
        <v/>
      </c>
      <c r="T375" s="50" t="str">
        <f>Portfolio!X374</f>
        <v/>
      </c>
      <c r="U375" s="50" t="str">
        <f>Portfolio!Y374</f>
        <v/>
      </c>
      <c r="V375" s="50" t="str">
        <f>Portfolio!Z374</f>
        <v/>
      </c>
      <c r="W375" s="14" t="str">
        <f>Portfolio!AA374</f>
        <v/>
      </c>
      <c r="X375" s="50" t="str">
        <f>Portfolio!AB374</f>
        <v/>
      </c>
      <c r="Y375" s="179" t="str">
        <f>Portfolio!AC374</f>
        <v/>
      </c>
      <c r="Z375" s="50" t="str">
        <f>Portfolio!AD374</f>
        <v/>
      </c>
      <c r="AA375" s="180" t="str">
        <f>Portfolio!AE374</f>
        <v/>
      </c>
    </row>
    <row r="376">
      <c r="A376" s="14" t="str">
        <f>Portfolio!A375</f>
        <v/>
      </c>
      <c r="B376" s="14" t="str">
        <f>Portfolio!B375</f>
        <v/>
      </c>
      <c r="C376" s="158" t="str">
        <f>Portfolio!C375</f>
        <v/>
      </c>
      <c r="D376" s="96" t="str">
        <f>Portfolio!D375</f>
        <v/>
      </c>
      <c r="E376" s="96" t="str">
        <f>Portfolio!E375</f>
        <v/>
      </c>
      <c r="F376" s="96" t="str">
        <f>Portfolio!G375</f>
        <v/>
      </c>
      <c r="G376" s="50" t="str">
        <f>Portfolio!H375</f>
        <v/>
      </c>
      <c r="H376" s="96" t="str">
        <f>Portfolio!I375</f>
        <v/>
      </c>
      <c r="I376" s="96" t="str">
        <f>Portfolio!J375</f>
        <v/>
      </c>
      <c r="J376" s="96" t="str">
        <f>Portfolio!K375</f>
        <v/>
      </c>
      <c r="K376" s="50" t="str">
        <f>Portfolio!O375</f>
        <v/>
      </c>
      <c r="L376" s="96" t="str">
        <f>Portfolio!P375</f>
        <v/>
      </c>
      <c r="M376" s="96" t="str">
        <f>Portfolio!Q375</f>
        <v/>
      </c>
      <c r="N376" s="14" t="str">
        <f>Portfolio!R375</f>
        <v/>
      </c>
      <c r="O376" s="50" t="str">
        <f>Portfolio!S375</f>
        <v/>
      </c>
      <c r="Q376" s="50" t="str">
        <f>Portfolio!U375</f>
        <v/>
      </c>
      <c r="S376" s="50" t="str">
        <f>Portfolio!W375</f>
        <v/>
      </c>
      <c r="T376" s="50" t="str">
        <f>Portfolio!X375</f>
        <v/>
      </c>
      <c r="U376" s="50" t="str">
        <f>Portfolio!Y375</f>
        <v/>
      </c>
      <c r="V376" s="50" t="str">
        <f>Portfolio!Z375</f>
        <v/>
      </c>
      <c r="W376" s="14" t="str">
        <f>Portfolio!AA375</f>
        <v/>
      </c>
      <c r="X376" s="50" t="str">
        <f>Portfolio!AB375</f>
        <v/>
      </c>
      <c r="Y376" s="179" t="str">
        <f>Portfolio!AC375</f>
        <v/>
      </c>
      <c r="Z376" s="50" t="str">
        <f>Portfolio!AD375</f>
        <v/>
      </c>
      <c r="AA376" s="180" t="str">
        <f>Portfolio!AE375</f>
        <v/>
      </c>
    </row>
    <row r="377">
      <c r="A377" s="14" t="str">
        <f>Portfolio!A376</f>
        <v/>
      </c>
      <c r="B377" s="14" t="str">
        <f>Portfolio!B376</f>
        <v/>
      </c>
      <c r="C377" s="158" t="str">
        <f>Portfolio!C376</f>
        <v/>
      </c>
      <c r="D377" s="96" t="str">
        <f>Portfolio!D376</f>
        <v/>
      </c>
      <c r="E377" s="96" t="str">
        <f>Portfolio!E376</f>
        <v/>
      </c>
      <c r="F377" s="96" t="str">
        <f>Portfolio!G376</f>
        <v/>
      </c>
      <c r="G377" s="50" t="str">
        <f>Portfolio!H376</f>
        <v/>
      </c>
      <c r="H377" s="96" t="str">
        <f>Portfolio!I376</f>
        <v/>
      </c>
      <c r="I377" s="96" t="str">
        <f>Portfolio!J376</f>
        <v/>
      </c>
      <c r="J377" s="96" t="str">
        <f>Portfolio!K376</f>
        <v/>
      </c>
      <c r="K377" s="50" t="str">
        <f>Portfolio!O376</f>
        <v/>
      </c>
      <c r="L377" s="96" t="str">
        <f>Portfolio!P376</f>
        <v/>
      </c>
      <c r="M377" s="96" t="str">
        <f>Portfolio!Q376</f>
        <v/>
      </c>
      <c r="N377" s="14" t="str">
        <f>Portfolio!R376</f>
        <v/>
      </c>
      <c r="O377" s="50" t="str">
        <f>Portfolio!S376</f>
        <v/>
      </c>
      <c r="Q377" s="50" t="str">
        <f>Portfolio!U376</f>
        <v/>
      </c>
      <c r="S377" s="50" t="str">
        <f>Portfolio!W376</f>
        <v/>
      </c>
      <c r="T377" s="50" t="str">
        <f>Portfolio!X376</f>
        <v/>
      </c>
      <c r="U377" s="50" t="str">
        <f>Portfolio!Y376</f>
        <v/>
      </c>
      <c r="V377" s="50" t="str">
        <f>Portfolio!Z376</f>
        <v/>
      </c>
      <c r="W377" s="14" t="str">
        <f>Portfolio!AA376</f>
        <v/>
      </c>
      <c r="X377" s="50" t="str">
        <f>Portfolio!AB376</f>
        <v/>
      </c>
      <c r="Y377" s="179" t="str">
        <f>Portfolio!AC376</f>
        <v/>
      </c>
      <c r="Z377" s="50" t="str">
        <f>Portfolio!AD376</f>
        <v/>
      </c>
      <c r="AA377" s="180" t="str">
        <f>Portfolio!AE376</f>
        <v/>
      </c>
    </row>
    <row r="378">
      <c r="A378" s="14" t="str">
        <f>Portfolio!A377</f>
        <v/>
      </c>
      <c r="B378" s="14" t="str">
        <f>Portfolio!B377</f>
        <v/>
      </c>
      <c r="C378" s="158" t="str">
        <f>Portfolio!C377</f>
        <v/>
      </c>
      <c r="D378" s="96" t="str">
        <f>Portfolio!D377</f>
        <v/>
      </c>
      <c r="E378" s="96" t="str">
        <f>Portfolio!E377</f>
        <v/>
      </c>
      <c r="F378" s="96" t="str">
        <f>Portfolio!G377</f>
        <v/>
      </c>
      <c r="G378" s="50" t="str">
        <f>Portfolio!H377</f>
        <v/>
      </c>
      <c r="H378" s="96" t="str">
        <f>Portfolio!I377</f>
        <v/>
      </c>
      <c r="I378" s="96" t="str">
        <f>Portfolio!J377</f>
        <v/>
      </c>
      <c r="J378" s="96" t="str">
        <f>Portfolio!K377</f>
        <v/>
      </c>
      <c r="K378" s="50" t="str">
        <f>Portfolio!O377</f>
        <v/>
      </c>
      <c r="L378" s="96" t="str">
        <f>Portfolio!P377</f>
        <v/>
      </c>
      <c r="M378" s="96" t="str">
        <f>Portfolio!Q377</f>
        <v/>
      </c>
      <c r="N378" s="14" t="str">
        <f>Portfolio!R377</f>
        <v/>
      </c>
      <c r="O378" s="50" t="str">
        <f>Portfolio!S377</f>
        <v/>
      </c>
      <c r="Q378" s="50" t="str">
        <f>Portfolio!U377</f>
        <v/>
      </c>
      <c r="S378" s="50" t="str">
        <f>Portfolio!W377</f>
        <v/>
      </c>
      <c r="T378" s="50" t="str">
        <f>Portfolio!X377</f>
        <v/>
      </c>
      <c r="U378" s="50" t="str">
        <f>Portfolio!Y377</f>
        <v/>
      </c>
      <c r="V378" s="50" t="str">
        <f>Portfolio!Z377</f>
        <v/>
      </c>
      <c r="W378" s="14" t="str">
        <f>Portfolio!AA377</f>
        <v/>
      </c>
      <c r="X378" s="50" t="str">
        <f>Portfolio!AB377</f>
        <v/>
      </c>
      <c r="Y378" s="179" t="str">
        <f>Portfolio!AC377</f>
        <v/>
      </c>
      <c r="Z378" s="50" t="str">
        <f>Portfolio!AD377</f>
        <v/>
      </c>
      <c r="AA378" s="180" t="str">
        <f>Portfolio!AE377</f>
        <v/>
      </c>
    </row>
    <row r="379">
      <c r="A379" s="14" t="str">
        <f>Portfolio!A378</f>
        <v/>
      </c>
      <c r="B379" s="14" t="str">
        <f>Portfolio!B378</f>
        <v/>
      </c>
      <c r="C379" s="158" t="str">
        <f>Portfolio!C378</f>
        <v/>
      </c>
      <c r="D379" s="96" t="str">
        <f>Portfolio!D378</f>
        <v/>
      </c>
      <c r="E379" s="96" t="str">
        <f>Portfolio!E378</f>
        <v/>
      </c>
      <c r="F379" s="96" t="str">
        <f>Portfolio!G378</f>
        <v/>
      </c>
      <c r="G379" s="50" t="str">
        <f>Portfolio!H378</f>
        <v/>
      </c>
      <c r="H379" s="96" t="str">
        <f>Portfolio!I378</f>
        <v/>
      </c>
      <c r="I379" s="96" t="str">
        <f>Portfolio!J378</f>
        <v/>
      </c>
      <c r="J379" s="96" t="str">
        <f>Portfolio!K378</f>
        <v/>
      </c>
      <c r="K379" s="50" t="str">
        <f>Portfolio!O378</f>
        <v/>
      </c>
      <c r="L379" s="96" t="str">
        <f>Portfolio!P378</f>
        <v/>
      </c>
      <c r="M379" s="96" t="str">
        <f>Portfolio!Q378</f>
        <v/>
      </c>
      <c r="N379" s="14" t="str">
        <f>Portfolio!R378</f>
        <v/>
      </c>
      <c r="O379" s="50" t="str">
        <f>Portfolio!S378</f>
        <v/>
      </c>
      <c r="Q379" s="50" t="str">
        <f>Portfolio!U378</f>
        <v/>
      </c>
      <c r="S379" s="50" t="str">
        <f>Portfolio!W378</f>
        <v/>
      </c>
      <c r="T379" s="50" t="str">
        <f>Portfolio!X378</f>
        <v/>
      </c>
      <c r="U379" s="50" t="str">
        <f>Portfolio!Y378</f>
        <v/>
      </c>
      <c r="V379" s="50" t="str">
        <f>Portfolio!Z378</f>
        <v/>
      </c>
      <c r="W379" s="14" t="str">
        <f>Portfolio!AA378</f>
        <v/>
      </c>
      <c r="X379" s="50" t="str">
        <f>Portfolio!AB378</f>
        <v/>
      </c>
      <c r="Y379" s="179" t="str">
        <f>Portfolio!AC378</f>
        <v/>
      </c>
      <c r="Z379" s="50" t="str">
        <f>Portfolio!AD378</f>
        <v/>
      </c>
      <c r="AA379" s="180" t="str">
        <f>Portfolio!AE378</f>
        <v/>
      </c>
    </row>
    <row r="380">
      <c r="A380" s="14" t="str">
        <f>Portfolio!A379</f>
        <v/>
      </c>
      <c r="B380" s="14" t="str">
        <f>Portfolio!B379</f>
        <v/>
      </c>
      <c r="C380" s="158" t="str">
        <f>Portfolio!C379</f>
        <v/>
      </c>
      <c r="D380" s="96" t="str">
        <f>Portfolio!D379</f>
        <v/>
      </c>
      <c r="E380" s="96" t="str">
        <f>Portfolio!E379</f>
        <v/>
      </c>
      <c r="F380" s="96" t="str">
        <f>Portfolio!G379</f>
        <v/>
      </c>
      <c r="G380" s="50" t="str">
        <f>Portfolio!H379</f>
        <v/>
      </c>
      <c r="H380" s="96" t="str">
        <f>Portfolio!I379</f>
        <v/>
      </c>
      <c r="I380" s="96" t="str">
        <f>Portfolio!J379</f>
        <v/>
      </c>
      <c r="J380" s="96" t="str">
        <f>Portfolio!K379</f>
        <v/>
      </c>
      <c r="K380" s="50" t="str">
        <f>Portfolio!O379</f>
        <v/>
      </c>
      <c r="L380" s="96" t="str">
        <f>Portfolio!P379</f>
        <v/>
      </c>
      <c r="M380" s="96" t="str">
        <f>Portfolio!Q379</f>
        <v/>
      </c>
      <c r="N380" s="14" t="str">
        <f>Portfolio!R379</f>
        <v/>
      </c>
      <c r="O380" s="50" t="str">
        <f>Portfolio!S379</f>
        <v/>
      </c>
      <c r="Q380" s="50" t="str">
        <f>Portfolio!U379</f>
        <v/>
      </c>
      <c r="S380" s="50" t="str">
        <f>Portfolio!W379</f>
        <v/>
      </c>
      <c r="T380" s="50" t="str">
        <f>Portfolio!X379</f>
        <v/>
      </c>
      <c r="U380" s="50" t="str">
        <f>Portfolio!Y379</f>
        <v/>
      </c>
      <c r="V380" s="50" t="str">
        <f>Portfolio!Z379</f>
        <v/>
      </c>
      <c r="W380" s="14" t="str">
        <f>Portfolio!AA379</f>
        <v/>
      </c>
      <c r="X380" s="50" t="str">
        <f>Portfolio!AB379</f>
        <v/>
      </c>
      <c r="Y380" s="179" t="str">
        <f>Portfolio!AC379</f>
        <v/>
      </c>
      <c r="Z380" s="50" t="str">
        <f>Portfolio!AD379</f>
        <v/>
      </c>
      <c r="AA380" s="180" t="str">
        <f>Portfolio!AE379</f>
        <v/>
      </c>
    </row>
    <row r="381">
      <c r="A381" s="14" t="str">
        <f>Portfolio!A380</f>
        <v/>
      </c>
      <c r="B381" s="14" t="str">
        <f>Portfolio!B380</f>
        <v/>
      </c>
      <c r="C381" s="158" t="str">
        <f>Portfolio!C380</f>
        <v/>
      </c>
      <c r="D381" s="96" t="str">
        <f>Portfolio!D380</f>
        <v/>
      </c>
      <c r="E381" s="96" t="str">
        <f>Portfolio!E380</f>
        <v/>
      </c>
      <c r="F381" s="96" t="str">
        <f>Portfolio!G380</f>
        <v/>
      </c>
      <c r="G381" s="50" t="str">
        <f>Portfolio!H380</f>
        <v/>
      </c>
      <c r="H381" s="96" t="str">
        <f>Portfolio!I380</f>
        <v/>
      </c>
      <c r="I381" s="96" t="str">
        <f>Portfolio!J380</f>
        <v/>
      </c>
      <c r="J381" s="96" t="str">
        <f>Portfolio!K380</f>
        <v/>
      </c>
      <c r="K381" s="50" t="str">
        <f>Portfolio!O380</f>
        <v/>
      </c>
      <c r="L381" s="96" t="str">
        <f>Portfolio!P380</f>
        <v/>
      </c>
      <c r="M381" s="96" t="str">
        <f>Portfolio!Q380</f>
        <v/>
      </c>
      <c r="N381" s="14" t="str">
        <f>Portfolio!R380</f>
        <v/>
      </c>
      <c r="O381" s="50" t="str">
        <f>Portfolio!S380</f>
        <v/>
      </c>
      <c r="Q381" s="50" t="str">
        <f>Portfolio!U380</f>
        <v/>
      </c>
      <c r="S381" s="50" t="str">
        <f>Portfolio!W380</f>
        <v/>
      </c>
      <c r="T381" s="50" t="str">
        <f>Portfolio!X380</f>
        <v/>
      </c>
      <c r="U381" s="50" t="str">
        <f>Portfolio!Y380</f>
        <v/>
      </c>
      <c r="V381" s="50" t="str">
        <f>Portfolio!Z380</f>
        <v/>
      </c>
      <c r="W381" s="14" t="str">
        <f>Portfolio!AA380</f>
        <v/>
      </c>
      <c r="X381" s="50" t="str">
        <f>Portfolio!AB380</f>
        <v/>
      </c>
      <c r="Y381" s="179" t="str">
        <f>Portfolio!AC380</f>
        <v/>
      </c>
      <c r="Z381" s="50" t="str">
        <f>Portfolio!AD380</f>
        <v/>
      </c>
      <c r="AA381" s="180" t="str">
        <f>Portfolio!AE380</f>
        <v/>
      </c>
    </row>
    <row r="382">
      <c r="A382" s="14" t="str">
        <f>Portfolio!A381</f>
        <v/>
      </c>
      <c r="B382" s="14" t="str">
        <f>Portfolio!B381</f>
        <v/>
      </c>
      <c r="C382" s="158" t="str">
        <f>Portfolio!C381</f>
        <v/>
      </c>
      <c r="D382" s="96" t="str">
        <f>Portfolio!D381</f>
        <v/>
      </c>
      <c r="E382" s="96" t="str">
        <f>Portfolio!E381</f>
        <v/>
      </c>
      <c r="F382" s="96" t="str">
        <f>Portfolio!G381</f>
        <v/>
      </c>
      <c r="G382" s="50" t="str">
        <f>Portfolio!H381</f>
        <v/>
      </c>
      <c r="H382" s="96" t="str">
        <f>Portfolio!I381</f>
        <v/>
      </c>
      <c r="I382" s="96" t="str">
        <f>Portfolio!J381</f>
        <v/>
      </c>
      <c r="J382" s="96" t="str">
        <f>Portfolio!K381</f>
        <v/>
      </c>
      <c r="K382" s="50" t="str">
        <f>Portfolio!O381</f>
        <v/>
      </c>
      <c r="L382" s="96" t="str">
        <f>Portfolio!P381</f>
        <v/>
      </c>
      <c r="M382" s="96" t="str">
        <f>Portfolio!Q381</f>
        <v/>
      </c>
      <c r="N382" s="14" t="str">
        <f>Portfolio!R381</f>
        <v/>
      </c>
      <c r="O382" s="50" t="str">
        <f>Portfolio!S381</f>
        <v/>
      </c>
      <c r="Q382" s="50" t="str">
        <f>Portfolio!U381</f>
        <v/>
      </c>
      <c r="S382" s="50" t="str">
        <f>Portfolio!W381</f>
        <v/>
      </c>
      <c r="T382" s="50" t="str">
        <f>Portfolio!X381</f>
        <v/>
      </c>
      <c r="U382" s="50" t="str">
        <f>Portfolio!Y381</f>
        <v/>
      </c>
      <c r="V382" s="50" t="str">
        <f>Portfolio!Z381</f>
        <v/>
      </c>
      <c r="W382" s="14" t="str">
        <f>Portfolio!AA381</f>
        <v/>
      </c>
      <c r="X382" s="50" t="str">
        <f>Portfolio!AB381</f>
        <v/>
      </c>
      <c r="Y382" s="179" t="str">
        <f>Portfolio!AC381</f>
        <v/>
      </c>
      <c r="Z382" s="50" t="str">
        <f>Portfolio!AD381</f>
        <v/>
      </c>
      <c r="AA382" s="180" t="str">
        <f>Portfolio!AE381</f>
        <v/>
      </c>
    </row>
    <row r="383">
      <c r="A383" s="14" t="str">
        <f>Portfolio!A382</f>
        <v/>
      </c>
      <c r="B383" s="14" t="str">
        <f>Portfolio!B382</f>
        <v/>
      </c>
      <c r="C383" s="158" t="str">
        <f>Portfolio!C382</f>
        <v/>
      </c>
      <c r="D383" s="96" t="str">
        <f>Portfolio!D382</f>
        <v/>
      </c>
      <c r="E383" s="96" t="str">
        <f>Portfolio!E382</f>
        <v/>
      </c>
      <c r="F383" s="96" t="str">
        <f>Portfolio!G382</f>
        <v/>
      </c>
      <c r="G383" s="50" t="str">
        <f>Portfolio!H382</f>
        <v/>
      </c>
      <c r="H383" s="96" t="str">
        <f>Portfolio!I382</f>
        <v/>
      </c>
      <c r="I383" s="96" t="str">
        <f>Portfolio!J382</f>
        <v/>
      </c>
      <c r="J383" s="96" t="str">
        <f>Portfolio!K382</f>
        <v/>
      </c>
      <c r="K383" s="50" t="str">
        <f>Portfolio!O382</f>
        <v/>
      </c>
      <c r="L383" s="96" t="str">
        <f>Portfolio!P382</f>
        <v/>
      </c>
      <c r="M383" s="96" t="str">
        <f>Portfolio!Q382</f>
        <v/>
      </c>
      <c r="N383" s="14" t="str">
        <f>Portfolio!R382</f>
        <v/>
      </c>
      <c r="O383" s="50" t="str">
        <f>Portfolio!S382</f>
        <v/>
      </c>
      <c r="Q383" s="50" t="str">
        <f>Portfolio!U382</f>
        <v/>
      </c>
      <c r="S383" s="50" t="str">
        <f>Portfolio!W382</f>
        <v/>
      </c>
      <c r="T383" s="50" t="str">
        <f>Portfolio!X382</f>
        <v/>
      </c>
      <c r="U383" s="50" t="str">
        <f>Portfolio!Y382</f>
        <v/>
      </c>
      <c r="V383" s="50" t="str">
        <f>Portfolio!Z382</f>
        <v/>
      </c>
      <c r="W383" s="14" t="str">
        <f>Portfolio!AA382</f>
        <v/>
      </c>
      <c r="X383" s="50" t="str">
        <f>Portfolio!AB382</f>
        <v/>
      </c>
      <c r="Y383" s="179" t="str">
        <f>Portfolio!AC382</f>
        <v/>
      </c>
      <c r="Z383" s="50" t="str">
        <f>Portfolio!AD382</f>
        <v/>
      </c>
      <c r="AA383" s="180" t="str">
        <f>Portfolio!AE382</f>
        <v/>
      </c>
    </row>
    <row r="384">
      <c r="A384" s="14" t="str">
        <f>Portfolio!A383</f>
        <v/>
      </c>
      <c r="B384" s="14" t="str">
        <f>Portfolio!B383</f>
        <v/>
      </c>
      <c r="C384" s="158" t="str">
        <f>Portfolio!C383</f>
        <v/>
      </c>
      <c r="D384" s="96" t="str">
        <f>Portfolio!D383</f>
        <v/>
      </c>
      <c r="E384" s="96" t="str">
        <f>Portfolio!E383</f>
        <v/>
      </c>
      <c r="F384" s="96" t="str">
        <f>Portfolio!G383</f>
        <v/>
      </c>
      <c r="G384" s="50" t="str">
        <f>Portfolio!H383</f>
        <v/>
      </c>
      <c r="H384" s="96" t="str">
        <f>Portfolio!I383</f>
        <v/>
      </c>
      <c r="I384" s="96" t="str">
        <f>Portfolio!J383</f>
        <v/>
      </c>
      <c r="J384" s="96" t="str">
        <f>Portfolio!K383</f>
        <v/>
      </c>
      <c r="K384" s="50" t="str">
        <f>Portfolio!O383</f>
        <v/>
      </c>
      <c r="L384" s="96" t="str">
        <f>Portfolio!P383</f>
        <v/>
      </c>
      <c r="M384" s="96" t="str">
        <f>Portfolio!Q383</f>
        <v/>
      </c>
      <c r="N384" s="14" t="str">
        <f>Portfolio!R383</f>
        <v/>
      </c>
      <c r="O384" s="50" t="str">
        <f>Portfolio!S383</f>
        <v/>
      </c>
      <c r="Q384" s="50" t="str">
        <f>Portfolio!U383</f>
        <v/>
      </c>
      <c r="S384" s="50" t="str">
        <f>Portfolio!W383</f>
        <v/>
      </c>
      <c r="T384" s="50" t="str">
        <f>Portfolio!X383</f>
        <v/>
      </c>
      <c r="U384" s="50" t="str">
        <f>Portfolio!Y383</f>
        <v/>
      </c>
      <c r="V384" s="50" t="str">
        <f>Portfolio!Z383</f>
        <v/>
      </c>
      <c r="W384" s="14" t="str">
        <f>Portfolio!AA383</f>
        <v/>
      </c>
      <c r="X384" s="50" t="str">
        <f>Portfolio!AB383</f>
        <v/>
      </c>
      <c r="Y384" s="179" t="str">
        <f>Portfolio!AC383</f>
        <v/>
      </c>
      <c r="Z384" s="50" t="str">
        <f>Portfolio!AD383</f>
        <v/>
      </c>
      <c r="AA384" s="180" t="str">
        <f>Portfolio!AE383</f>
        <v/>
      </c>
    </row>
    <row r="385">
      <c r="A385" s="14" t="str">
        <f>Portfolio!A384</f>
        <v/>
      </c>
      <c r="B385" s="14" t="str">
        <f>Portfolio!B384</f>
        <v/>
      </c>
      <c r="C385" s="158" t="str">
        <f>Portfolio!C384</f>
        <v/>
      </c>
      <c r="D385" s="96" t="str">
        <f>Portfolio!D384</f>
        <v/>
      </c>
      <c r="E385" s="96" t="str">
        <f>Portfolio!E384</f>
        <v/>
      </c>
      <c r="F385" s="96" t="str">
        <f>Portfolio!G384</f>
        <v/>
      </c>
      <c r="G385" s="50" t="str">
        <f>Portfolio!H384</f>
        <v/>
      </c>
      <c r="H385" s="96" t="str">
        <f>Portfolio!I384</f>
        <v/>
      </c>
      <c r="I385" s="96" t="str">
        <f>Portfolio!J384</f>
        <v/>
      </c>
      <c r="J385" s="96" t="str">
        <f>Portfolio!K384</f>
        <v/>
      </c>
      <c r="K385" s="50" t="str">
        <f>Portfolio!O384</f>
        <v/>
      </c>
      <c r="L385" s="96" t="str">
        <f>Portfolio!P384</f>
        <v/>
      </c>
      <c r="M385" s="96" t="str">
        <f>Portfolio!Q384</f>
        <v/>
      </c>
      <c r="N385" s="14" t="str">
        <f>Portfolio!R384</f>
        <v/>
      </c>
      <c r="O385" s="50" t="str">
        <f>Portfolio!S384</f>
        <v/>
      </c>
      <c r="Q385" s="50" t="str">
        <f>Portfolio!U384</f>
        <v/>
      </c>
      <c r="S385" s="50" t="str">
        <f>Portfolio!W384</f>
        <v/>
      </c>
      <c r="T385" s="50" t="str">
        <f>Portfolio!X384</f>
        <v/>
      </c>
      <c r="U385" s="50" t="str">
        <f>Portfolio!Y384</f>
        <v/>
      </c>
      <c r="V385" s="50" t="str">
        <f>Portfolio!Z384</f>
        <v/>
      </c>
      <c r="W385" s="14" t="str">
        <f>Portfolio!AA384</f>
        <v/>
      </c>
      <c r="X385" s="50" t="str">
        <f>Portfolio!AB384</f>
        <v/>
      </c>
      <c r="Y385" s="179" t="str">
        <f>Portfolio!AC384</f>
        <v/>
      </c>
      <c r="Z385" s="50" t="str">
        <f>Portfolio!AD384</f>
        <v/>
      </c>
      <c r="AA385" s="180" t="str">
        <f>Portfolio!AE384</f>
        <v/>
      </c>
    </row>
    <row r="386">
      <c r="A386" s="14" t="str">
        <f>Portfolio!A385</f>
        <v/>
      </c>
      <c r="B386" s="14" t="str">
        <f>Portfolio!B385</f>
        <v/>
      </c>
      <c r="C386" s="158" t="str">
        <f>Portfolio!C385</f>
        <v/>
      </c>
      <c r="D386" s="96" t="str">
        <f>Portfolio!D385</f>
        <v/>
      </c>
      <c r="E386" s="96" t="str">
        <f>Portfolio!E385</f>
        <v/>
      </c>
      <c r="F386" s="96" t="str">
        <f>Portfolio!G385</f>
        <v/>
      </c>
      <c r="G386" s="50" t="str">
        <f>Portfolio!H385</f>
        <v/>
      </c>
      <c r="H386" s="96" t="str">
        <f>Portfolio!I385</f>
        <v/>
      </c>
      <c r="I386" s="96" t="str">
        <f>Portfolio!J385</f>
        <v/>
      </c>
      <c r="J386" s="96" t="str">
        <f>Portfolio!K385</f>
        <v/>
      </c>
      <c r="K386" s="50" t="str">
        <f>Portfolio!O385</f>
        <v/>
      </c>
      <c r="L386" s="96" t="str">
        <f>Portfolio!P385</f>
        <v/>
      </c>
      <c r="M386" s="96" t="str">
        <f>Portfolio!Q385</f>
        <v/>
      </c>
      <c r="N386" s="14" t="str">
        <f>Portfolio!R385</f>
        <v/>
      </c>
      <c r="O386" s="50" t="str">
        <f>Portfolio!S385</f>
        <v/>
      </c>
      <c r="Q386" s="50" t="str">
        <f>Portfolio!U385</f>
        <v/>
      </c>
      <c r="S386" s="50" t="str">
        <f>Portfolio!W385</f>
        <v/>
      </c>
      <c r="T386" s="50" t="str">
        <f>Portfolio!X385</f>
        <v/>
      </c>
      <c r="U386" s="50" t="str">
        <f>Portfolio!Y385</f>
        <v/>
      </c>
      <c r="V386" s="50" t="str">
        <f>Portfolio!Z385</f>
        <v/>
      </c>
      <c r="W386" s="14" t="str">
        <f>Portfolio!AA385</f>
        <v/>
      </c>
      <c r="X386" s="50" t="str">
        <f>Portfolio!AB385</f>
        <v/>
      </c>
      <c r="Y386" s="179" t="str">
        <f>Portfolio!AC385</f>
        <v/>
      </c>
      <c r="Z386" s="50" t="str">
        <f>Portfolio!AD385</f>
        <v/>
      </c>
      <c r="AA386" s="180" t="str">
        <f>Portfolio!AE385</f>
        <v/>
      </c>
    </row>
    <row r="387">
      <c r="A387" s="14" t="str">
        <f>Portfolio!A386</f>
        <v/>
      </c>
      <c r="B387" s="14" t="str">
        <f>Portfolio!B386</f>
        <v/>
      </c>
      <c r="C387" s="158" t="str">
        <f>Portfolio!C386</f>
        <v/>
      </c>
      <c r="D387" s="96" t="str">
        <f>Portfolio!D386</f>
        <v/>
      </c>
      <c r="E387" s="96" t="str">
        <f>Portfolio!E386</f>
        <v/>
      </c>
      <c r="F387" s="96" t="str">
        <f>Portfolio!G386</f>
        <v/>
      </c>
      <c r="G387" s="50" t="str">
        <f>Portfolio!H386</f>
        <v/>
      </c>
      <c r="H387" s="96" t="str">
        <f>Portfolio!I386</f>
        <v/>
      </c>
      <c r="I387" s="96" t="str">
        <f>Portfolio!J386</f>
        <v/>
      </c>
      <c r="J387" s="96" t="str">
        <f>Portfolio!K386</f>
        <v/>
      </c>
      <c r="K387" s="50" t="str">
        <f>Portfolio!O386</f>
        <v/>
      </c>
      <c r="L387" s="96" t="str">
        <f>Portfolio!P386</f>
        <v/>
      </c>
      <c r="M387" s="96" t="str">
        <f>Portfolio!Q386</f>
        <v/>
      </c>
      <c r="N387" s="14" t="str">
        <f>Portfolio!R386</f>
        <v/>
      </c>
      <c r="O387" s="50" t="str">
        <f>Portfolio!S386</f>
        <v/>
      </c>
      <c r="Q387" s="50" t="str">
        <f>Portfolio!U386</f>
        <v/>
      </c>
      <c r="S387" s="50" t="str">
        <f>Portfolio!W386</f>
        <v/>
      </c>
      <c r="T387" s="50" t="str">
        <f>Portfolio!X386</f>
        <v/>
      </c>
      <c r="U387" s="50" t="str">
        <f>Portfolio!Y386</f>
        <v/>
      </c>
      <c r="V387" s="50" t="str">
        <f>Portfolio!Z386</f>
        <v/>
      </c>
      <c r="W387" s="14" t="str">
        <f>Portfolio!AA386</f>
        <v/>
      </c>
      <c r="X387" s="50" t="str">
        <f>Portfolio!AB386</f>
        <v/>
      </c>
      <c r="Y387" s="179" t="str">
        <f>Portfolio!AC386</f>
        <v/>
      </c>
      <c r="Z387" s="50" t="str">
        <f>Portfolio!AD386</f>
        <v/>
      </c>
      <c r="AA387" s="180" t="str">
        <f>Portfolio!AE386</f>
        <v/>
      </c>
    </row>
    <row r="388">
      <c r="A388" s="14" t="str">
        <f>Portfolio!A387</f>
        <v/>
      </c>
      <c r="B388" s="14" t="str">
        <f>Portfolio!B387</f>
        <v/>
      </c>
      <c r="C388" s="158" t="str">
        <f>Portfolio!C387</f>
        <v/>
      </c>
      <c r="D388" s="96" t="str">
        <f>Portfolio!D387</f>
        <v/>
      </c>
      <c r="E388" s="96" t="str">
        <f>Portfolio!E387</f>
        <v/>
      </c>
      <c r="F388" s="96" t="str">
        <f>Portfolio!G387</f>
        <v/>
      </c>
      <c r="G388" s="50" t="str">
        <f>Portfolio!H387</f>
        <v/>
      </c>
      <c r="H388" s="96" t="str">
        <f>Portfolio!I387</f>
        <v/>
      </c>
      <c r="I388" s="96" t="str">
        <f>Portfolio!J387</f>
        <v/>
      </c>
      <c r="J388" s="96" t="str">
        <f>Portfolio!K387</f>
        <v/>
      </c>
      <c r="K388" s="50" t="str">
        <f>Portfolio!O387</f>
        <v/>
      </c>
      <c r="L388" s="96" t="str">
        <f>Portfolio!P387</f>
        <v/>
      </c>
      <c r="M388" s="96" t="str">
        <f>Portfolio!Q387</f>
        <v/>
      </c>
      <c r="N388" s="14" t="str">
        <f>Portfolio!R387</f>
        <v/>
      </c>
      <c r="O388" s="50" t="str">
        <f>Portfolio!S387</f>
        <v/>
      </c>
      <c r="Q388" s="50" t="str">
        <f>Portfolio!U387</f>
        <v/>
      </c>
      <c r="S388" s="50" t="str">
        <f>Portfolio!W387</f>
        <v/>
      </c>
      <c r="T388" s="50" t="str">
        <f>Portfolio!X387</f>
        <v/>
      </c>
      <c r="U388" s="50" t="str">
        <f>Portfolio!Y387</f>
        <v/>
      </c>
      <c r="V388" s="50" t="str">
        <f>Portfolio!Z387</f>
        <v/>
      </c>
      <c r="W388" s="14" t="str">
        <f>Portfolio!AA387</f>
        <v/>
      </c>
      <c r="X388" s="50" t="str">
        <f>Portfolio!AB387</f>
        <v/>
      </c>
      <c r="Y388" s="179" t="str">
        <f>Portfolio!AC387</f>
        <v/>
      </c>
      <c r="Z388" s="50" t="str">
        <f>Portfolio!AD387</f>
        <v/>
      </c>
      <c r="AA388" s="180" t="str">
        <f>Portfolio!AE387</f>
        <v/>
      </c>
    </row>
    <row r="389">
      <c r="A389" s="14" t="str">
        <f>Portfolio!A388</f>
        <v/>
      </c>
      <c r="B389" s="14" t="str">
        <f>Portfolio!B388</f>
        <v/>
      </c>
      <c r="C389" s="158" t="str">
        <f>Portfolio!C388</f>
        <v/>
      </c>
      <c r="D389" s="96" t="str">
        <f>Portfolio!D388</f>
        <v/>
      </c>
      <c r="E389" s="96" t="str">
        <f>Portfolio!E388</f>
        <v/>
      </c>
      <c r="F389" s="96" t="str">
        <f>Portfolio!G388</f>
        <v/>
      </c>
      <c r="G389" s="50" t="str">
        <f>Portfolio!H388</f>
        <v/>
      </c>
      <c r="H389" s="96" t="str">
        <f>Portfolio!I388</f>
        <v/>
      </c>
      <c r="I389" s="96" t="str">
        <f>Portfolio!J388</f>
        <v/>
      </c>
      <c r="J389" s="96" t="str">
        <f>Portfolio!K388</f>
        <v/>
      </c>
      <c r="K389" s="50" t="str">
        <f>Portfolio!O388</f>
        <v/>
      </c>
      <c r="L389" s="96" t="str">
        <f>Portfolio!P388</f>
        <v/>
      </c>
      <c r="M389" s="96" t="str">
        <f>Portfolio!Q388</f>
        <v/>
      </c>
      <c r="N389" s="14" t="str">
        <f>Portfolio!R388</f>
        <v/>
      </c>
      <c r="O389" s="50" t="str">
        <f>Portfolio!S388</f>
        <v/>
      </c>
      <c r="Q389" s="50" t="str">
        <f>Portfolio!U388</f>
        <v/>
      </c>
      <c r="S389" s="50" t="str">
        <f>Portfolio!W388</f>
        <v/>
      </c>
      <c r="T389" s="50" t="str">
        <f>Portfolio!X388</f>
        <v/>
      </c>
      <c r="U389" s="50" t="str">
        <f>Portfolio!Y388</f>
        <v/>
      </c>
      <c r="V389" s="50" t="str">
        <f>Portfolio!Z388</f>
        <v/>
      </c>
      <c r="W389" s="14" t="str">
        <f>Portfolio!AA388</f>
        <v/>
      </c>
      <c r="X389" s="50" t="str">
        <f>Portfolio!AB388</f>
        <v/>
      </c>
      <c r="Y389" s="179" t="str">
        <f>Portfolio!AC388</f>
        <v/>
      </c>
      <c r="Z389" s="50" t="str">
        <f>Portfolio!AD388</f>
        <v/>
      </c>
      <c r="AA389" s="180" t="str">
        <f>Portfolio!AE388</f>
        <v/>
      </c>
    </row>
    <row r="390">
      <c r="A390" s="14" t="str">
        <f>Portfolio!A389</f>
        <v/>
      </c>
      <c r="B390" s="14" t="str">
        <f>Portfolio!B389</f>
        <v/>
      </c>
      <c r="C390" s="158" t="str">
        <f>Portfolio!C389</f>
        <v/>
      </c>
      <c r="D390" s="96" t="str">
        <f>Portfolio!D389</f>
        <v/>
      </c>
      <c r="E390" s="96" t="str">
        <f>Portfolio!E389</f>
        <v/>
      </c>
      <c r="F390" s="96" t="str">
        <f>Portfolio!G389</f>
        <v/>
      </c>
      <c r="G390" s="50" t="str">
        <f>Portfolio!H389</f>
        <v/>
      </c>
      <c r="H390" s="96" t="str">
        <f>Portfolio!I389</f>
        <v/>
      </c>
      <c r="I390" s="96" t="str">
        <f>Portfolio!J389</f>
        <v/>
      </c>
      <c r="J390" s="96" t="str">
        <f>Portfolio!K389</f>
        <v/>
      </c>
      <c r="K390" s="50" t="str">
        <f>Portfolio!O389</f>
        <v/>
      </c>
      <c r="L390" s="96" t="str">
        <f>Portfolio!P389</f>
        <v/>
      </c>
      <c r="M390" s="96" t="str">
        <f>Portfolio!Q389</f>
        <v/>
      </c>
      <c r="N390" s="14" t="str">
        <f>Portfolio!R389</f>
        <v/>
      </c>
      <c r="O390" s="50" t="str">
        <f>Portfolio!S389</f>
        <v/>
      </c>
      <c r="Q390" s="50" t="str">
        <f>Portfolio!U389</f>
        <v/>
      </c>
      <c r="S390" s="50" t="str">
        <f>Portfolio!W389</f>
        <v/>
      </c>
      <c r="T390" s="50" t="str">
        <f>Portfolio!X389</f>
        <v/>
      </c>
      <c r="U390" s="50" t="str">
        <f>Portfolio!Y389</f>
        <v/>
      </c>
      <c r="V390" s="50" t="str">
        <f>Portfolio!Z389</f>
        <v/>
      </c>
      <c r="W390" s="14" t="str">
        <f>Portfolio!AA389</f>
        <v/>
      </c>
      <c r="X390" s="50" t="str">
        <f>Portfolio!AB389</f>
        <v/>
      </c>
      <c r="Y390" s="179" t="str">
        <f>Portfolio!AC389</f>
        <v/>
      </c>
      <c r="Z390" s="50" t="str">
        <f>Portfolio!AD389</f>
        <v/>
      </c>
      <c r="AA390" s="180" t="str">
        <f>Portfolio!AE389</f>
        <v/>
      </c>
    </row>
    <row r="391">
      <c r="A391" s="14" t="str">
        <f>Portfolio!A390</f>
        <v/>
      </c>
      <c r="B391" s="14" t="str">
        <f>Portfolio!B390</f>
        <v/>
      </c>
      <c r="C391" s="158" t="str">
        <f>Portfolio!C390</f>
        <v/>
      </c>
      <c r="D391" s="96" t="str">
        <f>Portfolio!D390</f>
        <v/>
      </c>
      <c r="E391" s="96" t="str">
        <f>Portfolio!E390</f>
        <v/>
      </c>
      <c r="F391" s="96" t="str">
        <f>Portfolio!G390</f>
        <v/>
      </c>
      <c r="G391" s="50" t="str">
        <f>Portfolio!H390</f>
        <v/>
      </c>
      <c r="H391" s="96" t="str">
        <f>Portfolio!I390</f>
        <v/>
      </c>
      <c r="I391" s="96" t="str">
        <f>Portfolio!J390</f>
        <v/>
      </c>
      <c r="J391" s="96" t="str">
        <f>Portfolio!K390</f>
        <v/>
      </c>
      <c r="K391" s="50" t="str">
        <f>Portfolio!O390</f>
        <v/>
      </c>
      <c r="L391" s="96" t="str">
        <f>Portfolio!P390</f>
        <v/>
      </c>
      <c r="M391" s="96" t="str">
        <f>Portfolio!Q390</f>
        <v/>
      </c>
      <c r="N391" s="14" t="str">
        <f>Portfolio!R390</f>
        <v/>
      </c>
      <c r="O391" s="50" t="str">
        <f>Portfolio!S390</f>
        <v/>
      </c>
      <c r="Q391" s="50" t="str">
        <f>Portfolio!U390</f>
        <v/>
      </c>
      <c r="S391" s="50" t="str">
        <f>Portfolio!W390</f>
        <v/>
      </c>
      <c r="T391" s="50" t="str">
        <f>Portfolio!X390</f>
        <v/>
      </c>
      <c r="U391" s="50" t="str">
        <f>Portfolio!Y390</f>
        <v/>
      </c>
      <c r="V391" s="50" t="str">
        <f>Portfolio!Z390</f>
        <v/>
      </c>
      <c r="W391" s="14" t="str">
        <f>Portfolio!AA390</f>
        <v/>
      </c>
      <c r="X391" s="50" t="str">
        <f>Portfolio!AB390</f>
        <v/>
      </c>
      <c r="Y391" s="179" t="str">
        <f>Portfolio!AC390</f>
        <v/>
      </c>
      <c r="Z391" s="50" t="str">
        <f>Portfolio!AD390</f>
        <v/>
      </c>
      <c r="AA391" s="180" t="str">
        <f>Portfolio!AE390</f>
        <v/>
      </c>
    </row>
    <row r="392">
      <c r="A392" s="14" t="str">
        <f>Portfolio!A391</f>
        <v/>
      </c>
      <c r="B392" s="14" t="str">
        <f>Portfolio!B391</f>
        <v/>
      </c>
      <c r="C392" s="158" t="str">
        <f>Portfolio!C391</f>
        <v/>
      </c>
      <c r="D392" s="96" t="str">
        <f>Portfolio!D391</f>
        <v/>
      </c>
      <c r="E392" s="96" t="str">
        <f>Portfolio!E391</f>
        <v/>
      </c>
      <c r="F392" s="96" t="str">
        <f>Portfolio!G391</f>
        <v/>
      </c>
      <c r="G392" s="50" t="str">
        <f>Portfolio!H391</f>
        <v/>
      </c>
      <c r="H392" s="96" t="str">
        <f>Portfolio!I391</f>
        <v/>
      </c>
      <c r="I392" s="96" t="str">
        <f>Portfolio!J391</f>
        <v/>
      </c>
      <c r="J392" s="96" t="str">
        <f>Portfolio!K391</f>
        <v/>
      </c>
      <c r="K392" s="50" t="str">
        <f>Portfolio!O391</f>
        <v/>
      </c>
      <c r="L392" s="96" t="str">
        <f>Portfolio!P391</f>
        <v/>
      </c>
      <c r="M392" s="96" t="str">
        <f>Portfolio!Q391</f>
        <v/>
      </c>
      <c r="N392" s="14" t="str">
        <f>Portfolio!R391</f>
        <v/>
      </c>
      <c r="O392" s="50" t="str">
        <f>Portfolio!S391</f>
        <v/>
      </c>
      <c r="Q392" s="50" t="str">
        <f>Portfolio!U391</f>
        <v/>
      </c>
      <c r="S392" s="50" t="str">
        <f>Portfolio!W391</f>
        <v/>
      </c>
      <c r="T392" s="50" t="str">
        <f>Portfolio!X391</f>
        <v/>
      </c>
      <c r="U392" s="50" t="str">
        <f>Portfolio!Y391</f>
        <v/>
      </c>
      <c r="V392" s="50" t="str">
        <f>Portfolio!Z391</f>
        <v/>
      </c>
      <c r="W392" s="14" t="str">
        <f>Portfolio!AA391</f>
        <v/>
      </c>
      <c r="X392" s="50" t="str">
        <f>Portfolio!AB391</f>
        <v/>
      </c>
      <c r="Y392" s="179" t="str">
        <f>Portfolio!AC391</f>
        <v/>
      </c>
      <c r="Z392" s="50" t="str">
        <f>Portfolio!AD391</f>
        <v/>
      </c>
      <c r="AA392" s="180" t="str">
        <f>Portfolio!AE391</f>
        <v/>
      </c>
    </row>
    <row r="393">
      <c r="A393" s="14" t="str">
        <f>Portfolio!A392</f>
        <v/>
      </c>
      <c r="B393" s="14" t="str">
        <f>Portfolio!B392</f>
        <v/>
      </c>
      <c r="C393" s="158" t="str">
        <f>Portfolio!C392</f>
        <v/>
      </c>
      <c r="D393" s="96" t="str">
        <f>Portfolio!D392</f>
        <v/>
      </c>
      <c r="E393" s="96" t="str">
        <f>Portfolio!E392</f>
        <v/>
      </c>
      <c r="F393" s="96" t="str">
        <f>Portfolio!G392</f>
        <v/>
      </c>
      <c r="G393" s="50" t="str">
        <f>Portfolio!H392</f>
        <v/>
      </c>
      <c r="H393" s="96" t="str">
        <f>Portfolio!I392</f>
        <v/>
      </c>
      <c r="I393" s="96" t="str">
        <f>Portfolio!J392</f>
        <v/>
      </c>
      <c r="J393" s="96" t="str">
        <f>Portfolio!K392</f>
        <v/>
      </c>
      <c r="K393" s="50" t="str">
        <f>Portfolio!O392</f>
        <v/>
      </c>
      <c r="L393" s="96" t="str">
        <f>Portfolio!P392</f>
        <v/>
      </c>
      <c r="M393" s="96" t="str">
        <f>Portfolio!Q392</f>
        <v/>
      </c>
      <c r="N393" s="14" t="str">
        <f>Portfolio!R392</f>
        <v/>
      </c>
      <c r="O393" s="50" t="str">
        <f>Portfolio!S392</f>
        <v/>
      </c>
      <c r="Q393" s="50" t="str">
        <f>Portfolio!U392</f>
        <v/>
      </c>
      <c r="S393" s="50" t="str">
        <f>Portfolio!W392</f>
        <v/>
      </c>
      <c r="T393" s="50" t="str">
        <f>Portfolio!X392</f>
        <v/>
      </c>
      <c r="U393" s="50" t="str">
        <f>Portfolio!Y392</f>
        <v/>
      </c>
      <c r="V393" s="50" t="str">
        <f>Portfolio!Z392</f>
        <v/>
      </c>
      <c r="W393" s="14" t="str">
        <f>Portfolio!AA392</f>
        <v/>
      </c>
      <c r="X393" s="50" t="str">
        <f>Portfolio!AB392</f>
        <v/>
      </c>
      <c r="Y393" s="179" t="str">
        <f>Portfolio!AC392</f>
        <v/>
      </c>
      <c r="Z393" s="50" t="str">
        <f>Portfolio!AD392</f>
        <v/>
      </c>
      <c r="AA393" s="180" t="str">
        <f>Portfolio!AE392</f>
        <v/>
      </c>
    </row>
    <row r="394">
      <c r="A394" s="14" t="str">
        <f>Portfolio!A393</f>
        <v/>
      </c>
      <c r="B394" s="14" t="str">
        <f>Portfolio!B393</f>
        <v/>
      </c>
      <c r="C394" s="158" t="str">
        <f>Portfolio!C393</f>
        <v/>
      </c>
      <c r="D394" s="96" t="str">
        <f>Portfolio!D393</f>
        <v/>
      </c>
      <c r="E394" s="96" t="str">
        <f>Portfolio!E393</f>
        <v/>
      </c>
      <c r="F394" s="96" t="str">
        <f>Portfolio!G393</f>
        <v/>
      </c>
      <c r="G394" s="50" t="str">
        <f>Portfolio!H393</f>
        <v/>
      </c>
      <c r="H394" s="96" t="str">
        <f>Portfolio!I393</f>
        <v/>
      </c>
      <c r="I394" s="96" t="str">
        <f>Portfolio!J393</f>
        <v/>
      </c>
      <c r="J394" s="96" t="str">
        <f>Portfolio!K393</f>
        <v/>
      </c>
      <c r="K394" s="50" t="str">
        <f>Portfolio!O393</f>
        <v/>
      </c>
      <c r="L394" s="96" t="str">
        <f>Portfolio!P393</f>
        <v/>
      </c>
      <c r="M394" s="96" t="str">
        <f>Portfolio!Q393</f>
        <v/>
      </c>
      <c r="N394" s="14" t="str">
        <f>Portfolio!R393</f>
        <v/>
      </c>
      <c r="O394" s="50" t="str">
        <f>Portfolio!S393</f>
        <v/>
      </c>
      <c r="Q394" s="50" t="str">
        <f>Portfolio!U393</f>
        <v/>
      </c>
      <c r="S394" s="50" t="str">
        <f>Portfolio!W393</f>
        <v/>
      </c>
      <c r="T394" s="50" t="str">
        <f>Portfolio!X393</f>
        <v/>
      </c>
      <c r="U394" s="50" t="str">
        <f>Portfolio!Y393</f>
        <v/>
      </c>
      <c r="V394" s="50" t="str">
        <f>Portfolio!Z393</f>
        <v/>
      </c>
      <c r="W394" s="14" t="str">
        <f>Portfolio!AA393</f>
        <v/>
      </c>
      <c r="X394" s="50" t="str">
        <f>Portfolio!AB393</f>
        <v/>
      </c>
      <c r="Y394" s="179" t="str">
        <f>Portfolio!AC393</f>
        <v/>
      </c>
      <c r="Z394" s="50" t="str">
        <f>Portfolio!AD393</f>
        <v/>
      </c>
      <c r="AA394" s="180" t="str">
        <f>Portfolio!AE393</f>
        <v/>
      </c>
    </row>
    <row r="395">
      <c r="A395" s="14" t="str">
        <f>Portfolio!A394</f>
        <v/>
      </c>
      <c r="B395" s="14" t="str">
        <f>Portfolio!B394</f>
        <v/>
      </c>
      <c r="C395" s="158" t="str">
        <f>Portfolio!C394</f>
        <v/>
      </c>
      <c r="D395" s="96" t="str">
        <f>Portfolio!D394</f>
        <v/>
      </c>
      <c r="E395" s="96" t="str">
        <f>Portfolio!E394</f>
        <v/>
      </c>
      <c r="F395" s="96" t="str">
        <f>Portfolio!G394</f>
        <v/>
      </c>
      <c r="G395" s="50" t="str">
        <f>Portfolio!H394</f>
        <v/>
      </c>
      <c r="H395" s="96" t="str">
        <f>Portfolio!I394</f>
        <v/>
      </c>
      <c r="I395" s="96" t="str">
        <f>Portfolio!J394</f>
        <v/>
      </c>
      <c r="J395" s="96" t="str">
        <f>Portfolio!K394</f>
        <v/>
      </c>
      <c r="K395" s="50" t="str">
        <f>Portfolio!O394</f>
        <v/>
      </c>
      <c r="L395" s="96" t="str">
        <f>Portfolio!P394</f>
        <v/>
      </c>
      <c r="M395" s="96" t="str">
        <f>Portfolio!Q394</f>
        <v/>
      </c>
      <c r="N395" s="14" t="str">
        <f>Portfolio!R394</f>
        <v/>
      </c>
      <c r="O395" s="50" t="str">
        <f>Portfolio!S394</f>
        <v/>
      </c>
      <c r="Q395" s="50" t="str">
        <f>Portfolio!U394</f>
        <v/>
      </c>
      <c r="S395" s="50" t="str">
        <f>Portfolio!W394</f>
        <v/>
      </c>
      <c r="T395" s="50" t="str">
        <f>Portfolio!X394</f>
        <v/>
      </c>
      <c r="U395" s="50" t="str">
        <f>Portfolio!Y394</f>
        <v/>
      </c>
      <c r="V395" s="50" t="str">
        <f>Portfolio!Z394</f>
        <v/>
      </c>
      <c r="W395" s="14" t="str">
        <f>Portfolio!AA394</f>
        <v/>
      </c>
      <c r="X395" s="50" t="str">
        <f>Portfolio!AB394</f>
        <v/>
      </c>
      <c r="Y395" s="179" t="str">
        <f>Portfolio!AC394</f>
        <v/>
      </c>
      <c r="Z395" s="50" t="str">
        <f>Portfolio!AD394</f>
        <v/>
      </c>
      <c r="AA395" s="180" t="str">
        <f>Portfolio!AE394</f>
        <v/>
      </c>
    </row>
    <row r="396">
      <c r="A396" s="14" t="str">
        <f>Portfolio!A395</f>
        <v/>
      </c>
      <c r="B396" s="14" t="str">
        <f>Portfolio!B395</f>
        <v/>
      </c>
      <c r="C396" s="158" t="str">
        <f>Portfolio!C395</f>
        <v/>
      </c>
      <c r="D396" s="96" t="str">
        <f>Portfolio!D395</f>
        <v/>
      </c>
      <c r="E396" s="96" t="str">
        <f>Portfolio!E395</f>
        <v/>
      </c>
      <c r="F396" s="96" t="str">
        <f>Portfolio!G395</f>
        <v/>
      </c>
      <c r="G396" s="50" t="str">
        <f>Portfolio!H395</f>
        <v/>
      </c>
      <c r="H396" s="96" t="str">
        <f>Portfolio!I395</f>
        <v/>
      </c>
      <c r="I396" s="96" t="str">
        <f>Portfolio!J395</f>
        <v/>
      </c>
      <c r="J396" s="96" t="str">
        <f>Portfolio!K395</f>
        <v/>
      </c>
      <c r="K396" s="50" t="str">
        <f>Portfolio!O395</f>
        <v/>
      </c>
      <c r="L396" s="96" t="str">
        <f>Portfolio!P395</f>
        <v/>
      </c>
      <c r="M396" s="96" t="str">
        <f>Portfolio!Q395</f>
        <v/>
      </c>
      <c r="N396" s="14" t="str">
        <f>Portfolio!R395</f>
        <v/>
      </c>
      <c r="O396" s="50" t="str">
        <f>Portfolio!S395</f>
        <v/>
      </c>
      <c r="Q396" s="50" t="str">
        <f>Portfolio!U395</f>
        <v/>
      </c>
      <c r="S396" s="50" t="str">
        <f>Portfolio!W395</f>
        <v/>
      </c>
      <c r="T396" s="50" t="str">
        <f>Portfolio!X395</f>
        <v/>
      </c>
      <c r="U396" s="50" t="str">
        <f>Portfolio!Y395</f>
        <v/>
      </c>
      <c r="V396" s="50" t="str">
        <f>Portfolio!Z395</f>
        <v/>
      </c>
      <c r="W396" s="14" t="str">
        <f>Portfolio!AA395</f>
        <v/>
      </c>
      <c r="X396" s="50" t="str">
        <f>Portfolio!AB395</f>
        <v/>
      </c>
      <c r="Y396" s="179" t="str">
        <f>Portfolio!AC395</f>
        <v/>
      </c>
      <c r="Z396" s="50" t="str">
        <f>Portfolio!AD395</f>
        <v/>
      </c>
      <c r="AA396" s="180" t="str">
        <f>Portfolio!AE395</f>
        <v/>
      </c>
    </row>
    <row r="397">
      <c r="A397" s="14" t="str">
        <f>Portfolio!A396</f>
        <v/>
      </c>
      <c r="B397" s="14" t="str">
        <f>Portfolio!B396</f>
        <v/>
      </c>
      <c r="C397" s="158" t="str">
        <f>Portfolio!C396</f>
        <v/>
      </c>
      <c r="D397" s="96" t="str">
        <f>Portfolio!D396</f>
        <v/>
      </c>
      <c r="E397" s="96" t="str">
        <f>Portfolio!E396</f>
        <v/>
      </c>
      <c r="F397" s="96" t="str">
        <f>Portfolio!G396</f>
        <v/>
      </c>
      <c r="G397" s="50" t="str">
        <f>Portfolio!H396</f>
        <v/>
      </c>
      <c r="H397" s="96" t="str">
        <f>Portfolio!I396</f>
        <v/>
      </c>
      <c r="I397" s="96" t="str">
        <f>Portfolio!J396</f>
        <v/>
      </c>
      <c r="J397" s="96" t="str">
        <f>Portfolio!K396</f>
        <v/>
      </c>
      <c r="K397" s="50" t="str">
        <f>Portfolio!O396</f>
        <v/>
      </c>
      <c r="L397" s="96" t="str">
        <f>Portfolio!P396</f>
        <v/>
      </c>
      <c r="M397" s="96" t="str">
        <f>Portfolio!Q396</f>
        <v/>
      </c>
      <c r="N397" s="14" t="str">
        <f>Portfolio!R396</f>
        <v/>
      </c>
      <c r="O397" s="50" t="str">
        <f>Portfolio!S396</f>
        <v/>
      </c>
      <c r="Q397" s="50" t="str">
        <f>Portfolio!U396</f>
        <v/>
      </c>
      <c r="S397" s="50" t="str">
        <f>Portfolio!W396</f>
        <v/>
      </c>
      <c r="T397" s="50" t="str">
        <f>Portfolio!X396</f>
        <v/>
      </c>
      <c r="U397" s="50" t="str">
        <f>Portfolio!Y396</f>
        <v/>
      </c>
      <c r="V397" s="50" t="str">
        <f>Portfolio!Z396</f>
        <v/>
      </c>
      <c r="W397" s="14" t="str">
        <f>Portfolio!AA396</f>
        <v/>
      </c>
      <c r="X397" s="50" t="str">
        <f>Portfolio!AB396</f>
        <v/>
      </c>
      <c r="Y397" s="179" t="str">
        <f>Portfolio!AC396</f>
        <v/>
      </c>
      <c r="Z397" s="50" t="str">
        <f>Portfolio!AD396</f>
        <v/>
      </c>
      <c r="AA397" s="180" t="str">
        <f>Portfolio!AE396</f>
        <v/>
      </c>
    </row>
    <row r="398">
      <c r="A398" s="14" t="str">
        <f>Portfolio!A397</f>
        <v/>
      </c>
      <c r="B398" s="14" t="str">
        <f>Portfolio!B397</f>
        <v/>
      </c>
      <c r="C398" s="158" t="str">
        <f>Portfolio!C397</f>
        <v/>
      </c>
      <c r="D398" s="96" t="str">
        <f>Portfolio!D397</f>
        <v/>
      </c>
      <c r="E398" s="96" t="str">
        <f>Portfolio!E397</f>
        <v/>
      </c>
      <c r="F398" s="96" t="str">
        <f>Portfolio!G397</f>
        <v/>
      </c>
      <c r="G398" s="50" t="str">
        <f>Portfolio!H397</f>
        <v/>
      </c>
      <c r="H398" s="96" t="str">
        <f>Portfolio!I397</f>
        <v/>
      </c>
      <c r="I398" s="96" t="str">
        <f>Portfolio!J397</f>
        <v/>
      </c>
      <c r="J398" s="96" t="str">
        <f>Portfolio!K397</f>
        <v/>
      </c>
      <c r="K398" s="50" t="str">
        <f>Portfolio!O397</f>
        <v/>
      </c>
      <c r="L398" s="96" t="str">
        <f>Portfolio!P397</f>
        <v/>
      </c>
      <c r="M398" s="96" t="str">
        <f>Portfolio!Q397</f>
        <v/>
      </c>
      <c r="N398" s="14" t="str">
        <f>Portfolio!R397</f>
        <v/>
      </c>
      <c r="O398" s="50" t="str">
        <f>Portfolio!S397</f>
        <v/>
      </c>
      <c r="Q398" s="50" t="str">
        <f>Portfolio!U397</f>
        <v/>
      </c>
      <c r="S398" s="50" t="str">
        <f>Portfolio!W397</f>
        <v/>
      </c>
      <c r="T398" s="50" t="str">
        <f>Portfolio!X397</f>
        <v/>
      </c>
      <c r="U398" s="50" t="str">
        <f>Portfolio!Y397</f>
        <v/>
      </c>
      <c r="V398" s="50" t="str">
        <f>Portfolio!Z397</f>
        <v/>
      </c>
      <c r="W398" s="14" t="str">
        <f>Portfolio!AA397</f>
        <v/>
      </c>
      <c r="X398" s="50" t="str">
        <f>Portfolio!AB397</f>
        <v/>
      </c>
      <c r="Y398" s="179" t="str">
        <f>Portfolio!AC397</f>
        <v/>
      </c>
      <c r="Z398" s="50" t="str">
        <f>Portfolio!AD397</f>
        <v/>
      </c>
      <c r="AA398" s="180" t="str">
        <f>Portfolio!AE397</f>
        <v/>
      </c>
    </row>
    <row r="399">
      <c r="A399" s="14" t="str">
        <f>Portfolio!A398</f>
        <v/>
      </c>
      <c r="B399" s="14" t="str">
        <f>Portfolio!B398</f>
        <v/>
      </c>
      <c r="C399" s="158" t="str">
        <f>Portfolio!C398</f>
        <v/>
      </c>
      <c r="D399" s="96" t="str">
        <f>Portfolio!D398</f>
        <v/>
      </c>
      <c r="E399" s="96" t="str">
        <f>Portfolio!E398</f>
        <v/>
      </c>
      <c r="F399" s="96" t="str">
        <f>Portfolio!G398</f>
        <v/>
      </c>
      <c r="G399" s="50" t="str">
        <f>Portfolio!H398</f>
        <v/>
      </c>
      <c r="H399" s="96" t="str">
        <f>Portfolio!I398</f>
        <v/>
      </c>
      <c r="I399" s="96" t="str">
        <f>Portfolio!J398</f>
        <v/>
      </c>
      <c r="J399" s="96" t="str">
        <f>Portfolio!K398</f>
        <v/>
      </c>
      <c r="K399" s="50" t="str">
        <f>Portfolio!O398</f>
        <v/>
      </c>
      <c r="L399" s="96" t="str">
        <f>Portfolio!P398</f>
        <v/>
      </c>
      <c r="M399" s="96" t="str">
        <f>Portfolio!Q398</f>
        <v/>
      </c>
      <c r="N399" s="14" t="str">
        <f>Portfolio!R398</f>
        <v/>
      </c>
      <c r="O399" s="50" t="str">
        <f>Portfolio!S398</f>
        <v/>
      </c>
      <c r="Q399" s="50" t="str">
        <f>Portfolio!U398</f>
        <v/>
      </c>
      <c r="S399" s="50" t="str">
        <f>Portfolio!W398</f>
        <v/>
      </c>
      <c r="T399" s="50" t="str">
        <f>Portfolio!X398</f>
        <v/>
      </c>
      <c r="U399" s="50" t="str">
        <f>Portfolio!Y398</f>
        <v/>
      </c>
      <c r="V399" s="50" t="str">
        <f>Portfolio!Z398</f>
        <v/>
      </c>
      <c r="W399" s="14" t="str">
        <f>Portfolio!AA398</f>
        <v/>
      </c>
      <c r="X399" s="50" t="str">
        <f>Portfolio!AB398</f>
        <v/>
      </c>
      <c r="Y399" s="179" t="str">
        <f>Portfolio!AC398</f>
        <v/>
      </c>
      <c r="Z399" s="50" t="str">
        <f>Portfolio!AD398</f>
        <v/>
      </c>
      <c r="AA399" s="180" t="str">
        <f>Portfolio!AE398</f>
        <v/>
      </c>
    </row>
    <row r="400">
      <c r="A400" s="14" t="str">
        <f>Portfolio!A399</f>
        <v/>
      </c>
      <c r="B400" s="14" t="str">
        <f>Portfolio!B399</f>
        <v/>
      </c>
      <c r="C400" s="158" t="str">
        <f>Portfolio!C399</f>
        <v/>
      </c>
      <c r="D400" s="96" t="str">
        <f>Portfolio!D399</f>
        <v/>
      </c>
      <c r="E400" s="96" t="str">
        <f>Portfolio!E399</f>
        <v/>
      </c>
      <c r="F400" s="96" t="str">
        <f>Portfolio!G399</f>
        <v/>
      </c>
      <c r="G400" s="50" t="str">
        <f>Portfolio!H399</f>
        <v/>
      </c>
      <c r="H400" s="96" t="str">
        <f>Portfolio!I399</f>
        <v/>
      </c>
      <c r="I400" s="96" t="str">
        <f>Portfolio!J399</f>
        <v/>
      </c>
      <c r="J400" s="96" t="str">
        <f>Portfolio!K399</f>
        <v/>
      </c>
      <c r="K400" s="50" t="str">
        <f>Portfolio!O399</f>
        <v/>
      </c>
      <c r="L400" s="96" t="str">
        <f>Portfolio!P399</f>
        <v/>
      </c>
      <c r="M400" s="96" t="str">
        <f>Portfolio!Q399</f>
        <v/>
      </c>
      <c r="N400" s="14" t="str">
        <f>Portfolio!R399</f>
        <v/>
      </c>
      <c r="O400" s="50" t="str">
        <f>Portfolio!S399</f>
        <v/>
      </c>
      <c r="Q400" s="50" t="str">
        <f>Portfolio!U399</f>
        <v/>
      </c>
      <c r="S400" s="50" t="str">
        <f>Portfolio!W399</f>
        <v/>
      </c>
      <c r="T400" s="50" t="str">
        <f>Portfolio!X399</f>
        <v/>
      </c>
      <c r="U400" s="50" t="str">
        <f>Portfolio!Y399</f>
        <v/>
      </c>
      <c r="V400" s="50" t="str">
        <f>Portfolio!Z399</f>
        <v/>
      </c>
      <c r="W400" s="14" t="str">
        <f>Portfolio!AA399</f>
        <v/>
      </c>
      <c r="X400" s="50" t="str">
        <f>Portfolio!AB399</f>
        <v/>
      </c>
      <c r="Y400" s="179" t="str">
        <f>Portfolio!AC399</f>
        <v/>
      </c>
      <c r="Z400" s="50" t="str">
        <f>Portfolio!AD399</f>
        <v/>
      </c>
      <c r="AA400" s="180" t="str">
        <f>Portfolio!AE399</f>
        <v/>
      </c>
    </row>
    <row r="401">
      <c r="A401" s="14" t="str">
        <f>Portfolio!A400</f>
        <v/>
      </c>
      <c r="B401" s="14" t="str">
        <f>Portfolio!B400</f>
        <v/>
      </c>
      <c r="C401" s="158" t="str">
        <f>Portfolio!C400</f>
        <v/>
      </c>
      <c r="D401" s="96" t="str">
        <f>Portfolio!D400</f>
        <v/>
      </c>
      <c r="E401" s="96" t="str">
        <f>Portfolio!E400</f>
        <v/>
      </c>
      <c r="F401" s="96" t="str">
        <f>Portfolio!G400</f>
        <v/>
      </c>
      <c r="G401" s="50" t="str">
        <f>Portfolio!H400</f>
        <v/>
      </c>
      <c r="H401" s="96" t="str">
        <f>Portfolio!I400</f>
        <v/>
      </c>
      <c r="I401" s="96" t="str">
        <f>Portfolio!J400</f>
        <v/>
      </c>
      <c r="J401" s="96" t="str">
        <f>Portfolio!K400</f>
        <v/>
      </c>
      <c r="K401" s="50" t="str">
        <f>Portfolio!O400</f>
        <v/>
      </c>
      <c r="L401" s="96" t="str">
        <f>Portfolio!P400</f>
        <v/>
      </c>
      <c r="M401" s="96" t="str">
        <f>Portfolio!Q400</f>
        <v/>
      </c>
      <c r="N401" s="14" t="str">
        <f>Portfolio!R400</f>
        <v/>
      </c>
      <c r="O401" s="50" t="str">
        <f>Portfolio!S400</f>
        <v/>
      </c>
      <c r="Q401" s="50" t="str">
        <f>Portfolio!U400</f>
        <v/>
      </c>
      <c r="S401" s="50" t="str">
        <f>Portfolio!W400</f>
        <v/>
      </c>
      <c r="T401" s="50" t="str">
        <f>Portfolio!X400</f>
        <v/>
      </c>
      <c r="U401" s="50" t="str">
        <f>Portfolio!Y400</f>
        <v/>
      </c>
      <c r="V401" s="50" t="str">
        <f>Portfolio!Z400</f>
        <v/>
      </c>
      <c r="W401" s="14" t="str">
        <f>Portfolio!AA400</f>
        <v/>
      </c>
      <c r="X401" s="50" t="str">
        <f>Portfolio!AB400</f>
        <v/>
      </c>
      <c r="Y401" s="179" t="str">
        <f>Portfolio!AC400</f>
        <v/>
      </c>
      <c r="Z401" s="50" t="str">
        <f>Portfolio!AD400</f>
        <v/>
      </c>
      <c r="AA401" s="180" t="str">
        <f>Portfolio!AE400</f>
        <v/>
      </c>
    </row>
    <row r="402">
      <c r="A402" s="14" t="str">
        <f>Portfolio!A401</f>
        <v/>
      </c>
      <c r="B402" s="14" t="str">
        <f>Portfolio!B401</f>
        <v/>
      </c>
      <c r="C402" s="158" t="str">
        <f>Portfolio!C401</f>
        <v/>
      </c>
      <c r="D402" s="96" t="str">
        <f>Portfolio!D401</f>
        <v/>
      </c>
      <c r="E402" s="96" t="str">
        <f>Portfolio!E401</f>
        <v/>
      </c>
      <c r="F402" s="96" t="str">
        <f>Portfolio!G401</f>
        <v/>
      </c>
      <c r="G402" s="50" t="str">
        <f>Portfolio!H401</f>
        <v/>
      </c>
      <c r="H402" s="96" t="str">
        <f>Portfolio!I401</f>
        <v/>
      </c>
      <c r="I402" s="96" t="str">
        <f>Portfolio!J401</f>
        <v/>
      </c>
      <c r="J402" s="96" t="str">
        <f>Portfolio!K401</f>
        <v/>
      </c>
      <c r="K402" s="50" t="str">
        <f>Portfolio!O401</f>
        <v/>
      </c>
      <c r="L402" s="96" t="str">
        <f>Portfolio!P401</f>
        <v/>
      </c>
      <c r="M402" s="96" t="str">
        <f>Portfolio!Q401</f>
        <v/>
      </c>
      <c r="N402" s="14" t="str">
        <f>Portfolio!R401</f>
        <v/>
      </c>
      <c r="O402" s="50" t="str">
        <f>Portfolio!S401</f>
        <v/>
      </c>
      <c r="Q402" s="50" t="str">
        <f>Portfolio!U401</f>
        <v/>
      </c>
      <c r="S402" s="50" t="str">
        <f>Portfolio!W401</f>
        <v/>
      </c>
      <c r="T402" s="50" t="str">
        <f>Portfolio!X401</f>
        <v/>
      </c>
      <c r="U402" s="50" t="str">
        <f>Portfolio!Y401</f>
        <v/>
      </c>
      <c r="V402" s="50" t="str">
        <f>Portfolio!Z401</f>
        <v/>
      </c>
      <c r="W402" s="14" t="str">
        <f>Portfolio!AA401</f>
        <v/>
      </c>
      <c r="X402" s="50" t="str">
        <f>Portfolio!AB401</f>
        <v/>
      </c>
      <c r="Y402" s="179" t="str">
        <f>Portfolio!AC401</f>
        <v/>
      </c>
      <c r="Z402" s="50" t="str">
        <f>Portfolio!AD401</f>
        <v/>
      </c>
      <c r="AA402" s="180" t="str">
        <f>Portfolio!AE401</f>
        <v/>
      </c>
    </row>
    <row r="403">
      <c r="A403" s="14" t="str">
        <f>Portfolio!A402</f>
        <v/>
      </c>
      <c r="B403" s="14" t="str">
        <f>Portfolio!B402</f>
        <v/>
      </c>
      <c r="C403" s="158" t="str">
        <f>Portfolio!C402</f>
        <v/>
      </c>
      <c r="D403" s="96" t="str">
        <f>Portfolio!D402</f>
        <v/>
      </c>
      <c r="E403" s="96" t="str">
        <f>Portfolio!E402</f>
        <v/>
      </c>
      <c r="F403" s="96" t="str">
        <f>Portfolio!G402</f>
        <v/>
      </c>
      <c r="G403" s="50" t="str">
        <f>Portfolio!H402</f>
        <v/>
      </c>
      <c r="H403" s="96" t="str">
        <f>Portfolio!I402</f>
        <v/>
      </c>
      <c r="I403" s="96" t="str">
        <f>Portfolio!J402</f>
        <v/>
      </c>
      <c r="J403" s="96" t="str">
        <f>Portfolio!K402</f>
        <v/>
      </c>
      <c r="K403" s="50" t="str">
        <f>Portfolio!O402</f>
        <v/>
      </c>
      <c r="L403" s="96" t="str">
        <f>Portfolio!P402</f>
        <v/>
      </c>
      <c r="M403" s="96" t="str">
        <f>Portfolio!Q402</f>
        <v/>
      </c>
      <c r="N403" s="14" t="str">
        <f>Portfolio!R402</f>
        <v/>
      </c>
      <c r="O403" s="50" t="str">
        <f>Portfolio!S402</f>
        <v/>
      </c>
      <c r="Q403" s="50" t="str">
        <f>Portfolio!U402</f>
        <v/>
      </c>
      <c r="S403" s="50" t="str">
        <f>Portfolio!W402</f>
        <v/>
      </c>
      <c r="T403" s="50" t="str">
        <f>Portfolio!X402</f>
        <v/>
      </c>
      <c r="U403" s="50" t="str">
        <f>Portfolio!Y402</f>
        <v/>
      </c>
      <c r="V403" s="50" t="str">
        <f>Portfolio!Z402</f>
        <v/>
      </c>
      <c r="W403" s="14" t="str">
        <f>Portfolio!AA402</f>
        <v/>
      </c>
      <c r="X403" s="50" t="str">
        <f>Portfolio!AB402</f>
        <v/>
      </c>
      <c r="Y403" s="179" t="str">
        <f>Portfolio!AC402</f>
        <v/>
      </c>
      <c r="Z403" s="50" t="str">
        <f>Portfolio!AD402</f>
        <v/>
      </c>
      <c r="AA403" s="180" t="str">
        <f>Portfolio!AE402</f>
        <v/>
      </c>
    </row>
    <row r="404">
      <c r="A404" s="14" t="str">
        <f>Portfolio!A403</f>
        <v/>
      </c>
      <c r="B404" s="14" t="str">
        <f>Portfolio!B403</f>
        <v/>
      </c>
      <c r="C404" s="158" t="str">
        <f>Portfolio!C403</f>
        <v/>
      </c>
      <c r="D404" s="96" t="str">
        <f>Portfolio!D403</f>
        <v/>
      </c>
      <c r="E404" s="96" t="str">
        <f>Portfolio!E403</f>
        <v/>
      </c>
      <c r="F404" s="96" t="str">
        <f>Portfolio!G403</f>
        <v/>
      </c>
      <c r="G404" s="50" t="str">
        <f>Portfolio!H403</f>
        <v/>
      </c>
      <c r="H404" s="96" t="str">
        <f>Portfolio!I403</f>
        <v/>
      </c>
      <c r="I404" s="96" t="str">
        <f>Portfolio!J403</f>
        <v/>
      </c>
      <c r="J404" s="96" t="str">
        <f>Portfolio!K403</f>
        <v/>
      </c>
      <c r="K404" s="50" t="str">
        <f>Portfolio!O403</f>
        <v/>
      </c>
      <c r="L404" s="96" t="str">
        <f>Portfolio!P403</f>
        <v/>
      </c>
      <c r="M404" s="96" t="str">
        <f>Portfolio!Q403</f>
        <v/>
      </c>
      <c r="N404" s="14" t="str">
        <f>Portfolio!R403</f>
        <v/>
      </c>
      <c r="O404" s="50" t="str">
        <f>Portfolio!S403</f>
        <v/>
      </c>
      <c r="Q404" s="50" t="str">
        <f>Portfolio!U403</f>
        <v/>
      </c>
      <c r="S404" s="50" t="str">
        <f>Portfolio!W403</f>
        <v/>
      </c>
      <c r="T404" s="50" t="str">
        <f>Portfolio!X403</f>
        <v/>
      </c>
      <c r="U404" s="50" t="str">
        <f>Portfolio!Y403</f>
        <v/>
      </c>
      <c r="V404" s="50" t="str">
        <f>Portfolio!Z403</f>
        <v/>
      </c>
      <c r="W404" s="14" t="str">
        <f>Portfolio!AA403</f>
        <v/>
      </c>
      <c r="X404" s="50" t="str">
        <f>Portfolio!AB403</f>
        <v/>
      </c>
      <c r="Y404" s="179" t="str">
        <f>Portfolio!AC403</f>
        <v/>
      </c>
      <c r="Z404" s="50" t="str">
        <f>Portfolio!AD403</f>
        <v/>
      </c>
      <c r="AA404" s="180" t="str">
        <f>Portfolio!AE403</f>
        <v/>
      </c>
    </row>
    <row r="405">
      <c r="A405" s="14" t="str">
        <f>Portfolio!A404</f>
        <v/>
      </c>
      <c r="B405" s="14" t="str">
        <f>Portfolio!B404</f>
        <v/>
      </c>
      <c r="C405" s="158" t="str">
        <f>Portfolio!C404</f>
        <v/>
      </c>
      <c r="D405" s="96" t="str">
        <f>Portfolio!D404</f>
        <v/>
      </c>
      <c r="E405" s="96" t="str">
        <f>Portfolio!E404</f>
        <v/>
      </c>
      <c r="F405" s="96" t="str">
        <f>Portfolio!G404</f>
        <v/>
      </c>
      <c r="G405" s="50" t="str">
        <f>Portfolio!H404</f>
        <v/>
      </c>
      <c r="H405" s="96" t="str">
        <f>Portfolio!I404</f>
        <v/>
      </c>
      <c r="I405" s="96" t="str">
        <f>Portfolio!J404</f>
        <v/>
      </c>
      <c r="J405" s="96" t="str">
        <f>Portfolio!K404</f>
        <v/>
      </c>
      <c r="K405" s="50" t="str">
        <f>Portfolio!O404</f>
        <v/>
      </c>
      <c r="L405" s="96" t="str">
        <f>Portfolio!P404</f>
        <v/>
      </c>
      <c r="M405" s="96" t="str">
        <f>Portfolio!Q404</f>
        <v/>
      </c>
      <c r="N405" s="14" t="str">
        <f>Portfolio!R404</f>
        <v/>
      </c>
      <c r="O405" s="50" t="str">
        <f>Portfolio!S404</f>
        <v/>
      </c>
      <c r="Q405" s="50" t="str">
        <f>Portfolio!U404</f>
        <v/>
      </c>
      <c r="S405" s="50" t="str">
        <f>Portfolio!W404</f>
        <v/>
      </c>
      <c r="T405" s="50" t="str">
        <f>Portfolio!X404</f>
        <v/>
      </c>
      <c r="U405" s="50" t="str">
        <f>Portfolio!Y404</f>
        <v/>
      </c>
      <c r="V405" s="50" t="str">
        <f>Portfolio!Z404</f>
        <v/>
      </c>
      <c r="W405" s="14" t="str">
        <f>Portfolio!AA404</f>
        <v/>
      </c>
      <c r="X405" s="50" t="str">
        <f>Portfolio!AB404</f>
        <v/>
      </c>
      <c r="Y405" s="179" t="str">
        <f>Portfolio!AC404</f>
        <v/>
      </c>
      <c r="Z405" s="50" t="str">
        <f>Portfolio!AD404</f>
        <v/>
      </c>
      <c r="AA405" s="180" t="str">
        <f>Portfolio!AE404</f>
        <v/>
      </c>
    </row>
    <row r="406">
      <c r="A406" s="14" t="str">
        <f>Portfolio!A405</f>
        <v/>
      </c>
      <c r="B406" s="14" t="str">
        <f>Portfolio!B405</f>
        <v/>
      </c>
      <c r="C406" s="158" t="str">
        <f>Portfolio!C405</f>
        <v/>
      </c>
      <c r="D406" s="96" t="str">
        <f>Portfolio!D405</f>
        <v/>
      </c>
      <c r="E406" s="96" t="str">
        <f>Portfolio!E405</f>
        <v/>
      </c>
      <c r="F406" s="96" t="str">
        <f>Portfolio!G405</f>
        <v/>
      </c>
      <c r="G406" s="50" t="str">
        <f>Portfolio!H405</f>
        <v/>
      </c>
      <c r="H406" s="96" t="str">
        <f>Portfolio!I405</f>
        <v/>
      </c>
      <c r="I406" s="96" t="str">
        <f>Portfolio!J405</f>
        <v/>
      </c>
      <c r="J406" s="96" t="str">
        <f>Portfolio!K405</f>
        <v/>
      </c>
      <c r="K406" s="50" t="str">
        <f>Portfolio!O405</f>
        <v/>
      </c>
      <c r="L406" s="96" t="str">
        <f>Portfolio!P405</f>
        <v/>
      </c>
      <c r="M406" s="96" t="str">
        <f>Portfolio!Q405</f>
        <v/>
      </c>
      <c r="N406" s="14" t="str">
        <f>Portfolio!R405</f>
        <v/>
      </c>
      <c r="O406" s="50" t="str">
        <f>Portfolio!S405</f>
        <v/>
      </c>
      <c r="Q406" s="50" t="str">
        <f>Portfolio!U405</f>
        <v/>
      </c>
      <c r="S406" s="50" t="str">
        <f>Portfolio!W405</f>
        <v/>
      </c>
      <c r="T406" s="50" t="str">
        <f>Portfolio!X405</f>
        <v/>
      </c>
      <c r="U406" s="50" t="str">
        <f>Portfolio!Y405</f>
        <v/>
      </c>
      <c r="V406" s="50" t="str">
        <f>Portfolio!Z405</f>
        <v/>
      </c>
      <c r="W406" s="14" t="str">
        <f>Portfolio!AA405</f>
        <v/>
      </c>
      <c r="X406" s="50" t="str">
        <f>Portfolio!AB405</f>
        <v/>
      </c>
      <c r="Y406" s="179" t="str">
        <f>Portfolio!AC405</f>
        <v/>
      </c>
      <c r="Z406" s="50" t="str">
        <f>Portfolio!AD405</f>
        <v/>
      </c>
      <c r="AA406" s="180" t="str">
        <f>Portfolio!AE405</f>
        <v/>
      </c>
    </row>
    <row r="407">
      <c r="A407" s="14" t="str">
        <f>Portfolio!A406</f>
        <v/>
      </c>
      <c r="B407" s="14" t="str">
        <f>Portfolio!B406</f>
        <v/>
      </c>
      <c r="C407" s="158" t="str">
        <f>Portfolio!C406</f>
        <v/>
      </c>
      <c r="D407" s="96" t="str">
        <f>Portfolio!D406</f>
        <v/>
      </c>
      <c r="E407" s="96" t="str">
        <f>Portfolio!E406</f>
        <v/>
      </c>
      <c r="F407" s="96" t="str">
        <f>Portfolio!G406</f>
        <v/>
      </c>
      <c r="G407" s="50" t="str">
        <f>Portfolio!H406</f>
        <v/>
      </c>
      <c r="H407" s="96" t="str">
        <f>Portfolio!I406</f>
        <v/>
      </c>
      <c r="I407" s="96" t="str">
        <f>Portfolio!J406</f>
        <v/>
      </c>
      <c r="J407" s="96" t="str">
        <f>Portfolio!K406</f>
        <v/>
      </c>
      <c r="K407" s="50" t="str">
        <f>Portfolio!O406</f>
        <v/>
      </c>
      <c r="L407" s="96" t="str">
        <f>Portfolio!P406</f>
        <v/>
      </c>
      <c r="M407" s="96" t="str">
        <f>Portfolio!Q406</f>
        <v/>
      </c>
      <c r="N407" s="14" t="str">
        <f>Portfolio!R406</f>
        <v/>
      </c>
      <c r="O407" s="50" t="str">
        <f>Portfolio!S406</f>
        <v/>
      </c>
      <c r="Q407" s="50" t="str">
        <f>Portfolio!U406</f>
        <v/>
      </c>
      <c r="S407" s="50" t="str">
        <f>Portfolio!W406</f>
        <v/>
      </c>
      <c r="T407" s="50" t="str">
        <f>Portfolio!X406</f>
        <v/>
      </c>
      <c r="U407" s="50" t="str">
        <f>Portfolio!Y406</f>
        <v/>
      </c>
      <c r="V407" s="50" t="str">
        <f>Portfolio!Z406</f>
        <v/>
      </c>
      <c r="W407" s="14" t="str">
        <f>Portfolio!AA406</f>
        <v/>
      </c>
      <c r="X407" s="50" t="str">
        <f>Portfolio!AB406</f>
        <v/>
      </c>
      <c r="Y407" s="179" t="str">
        <f>Portfolio!AC406</f>
        <v/>
      </c>
      <c r="Z407" s="50" t="str">
        <f>Portfolio!AD406</f>
        <v/>
      </c>
      <c r="AA407" s="180" t="str">
        <f>Portfolio!AE406</f>
        <v/>
      </c>
    </row>
    <row r="408">
      <c r="A408" s="14" t="str">
        <f>Portfolio!A407</f>
        <v/>
      </c>
      <c r="B408" s="14" t="str">
        <f>Portfolio!B407</f>
        <v/>
      </c>
      <c r="C408" s="158" t="str">
        <f>Portfolio!C407</f>
        <v/>
      </c>
      <c r="D408" s="96" t="str">
        <f>Portfolio!D407</f>
        <v/>
      </c>
      <c r="E408" s="96" t="str">
        <f>Portfolio!E407</f>
        <v/>
      </c>
      <c r="F408" s="96" t="str">
        <f>Portfolio!G407</f>
        <v/>
      </c>
      <c r="G408" s="50" t="str">
        <f>Portfolio!H407</f>
        <v/>
      </c>
      <c r="H408" s="96" t="str">
        <f>Portfolio!I407</f>
        <v/>
      </c>
      <c r="I408" s="96" t="str">
        <f>Portfolio!J407</f>
        <v/>
      </c>
      <c r="J408" s="96" t="str">
        <f>Portfolio!K407</f>
        <v/>
      </c>
      <c r="K408" s="50" t="str">
        <f>Portfolio!O407</f>
        <v/>
      </c>
      <c r="L408" s="96" t="str">
        <f>Portfolio!P407</f>
        <v/>
      </c>
      <c r="M408" s="96" t="str">
        <f>Portfolio!Q407</f>
        <v/>
      </c>
      <c r="N408" s="14" t="str">
        <f>Portfolio!R407</f>
        <v/>
      </c>
      <c r="O408" s="50" t="str">
        <f>Portfolio!S407</f>
        <v/>
      </c>
      <c r="Q408" s="50" t="str">
        <f>Portfolio!U407</f>
        <v/>
      </c>
      <c r="S408" s="50" t="str">
        <f>Portfolio!W407</f>
        <v/>
      </c>
      <c r="T408" s="50" t="str">
        <f>Portfolio!X407</f>
        <v/>
      </c>
      <c r="U408" s="50" t="str">
        <f>Portfolio!Y407</f>
        <v/>
      </c>
      <c r="V408" s="50" t="str">
        <f>Portfolio!Z407</f>
        <v/>
      </c>
      <c r="W408" s="14" t="str">
        <f>Portfolio!AA407</f>
        <v/>
      </c>
      <c r="X408" s="50" t="str">
        <f>Portfolio!AB407</f>
        <v/>
      </c>
      <c r="Y408" s="179" t="str">
        <f>Portfolio!AC407</f>
        <v/>
      </c>
      <c r="Z408" s="50" t="str">
        <f>Portfolio!AD407</f>
        <v/>
      </c>
      <c r="AA408" s="180" t="str">
        <f>Portfolio!AE407</f>
        <v/>
      </c>
    </row>
    <row r="409">
      <c r="A409" s="14" t="str">
        <f>Portfolio!A408</f>
        <v/>
      </c>
      <c r="B409" s="14" t="str">
        <f>Portfolio!B408</f>
        <v/>
      </c>
      <c r="C409" s="158" t="str">
        <f>Portfolio!C408</f>
        <v/>
      </c>
      <c r="D409" s="96" t="str">
        <f>Portfolio!D408</f>
        <v/>
      </c>
      <c r="E409" s="96" t="str">
        <f>Portfolio!E408</f>
        <v/>
      </c>
      <c r="F409" s="96" t="str">
        <f>Portfolio!G408</f>
        <v/>
      </c>
      <c r="G409" s="50" t="str">
        <f>Portfolio!H408</f>
        <v/>
      </c>
      <c r="H409" s="96" t="str">
        <f>Portfolio!I408</f>
        <v/>
      </c>
      <c r="I409" s="96" t="str">
        <f>Portfolio!J408</f>
        <v/>
      </c>
      <c r="J409" s="96" t="str">
        <f>Portfolio!K408</f>
        <v/>
      </c>
      <c r="K409" s="50" t="str">
        <f>Portfolio!O408</f>
        <v/>
      </c>
      <c r="L409" s="96" t="str">
        <f>Portfolio!P408</f>
        <v/>
      </c>
      <c r="M409" s="96" t="str">
        <f>Portfolio!Q408</f>
        <v/>
      </c>
      <c r="N409" s="14" t="str">
        <f>Portfolio!R408</f>
        <v/>
      </c>
      <c r="O409" s="50" t="str">
        <f>Portfolio!S408</f>
        <v/>
      </c>
      <c r="Q409" s="50" t="str">
        <f>Portfolio!U408</f>
        <v/>
      </c>
      <c r="S409" s="50" t="str">
        <f>Portfolio!W408</f>
        <v/>
      </c>
      <c r="T409" s="50" t="str">
        <f>Portfolio!X408</f>
        <v/>
      </c>
      <c r="U409" s="50" t="str">
        <f>Portfolio!Y408</f>
        <v/>
      </c>
      <c r="V409" s="50" t="str">
        <f>Portfolio!Z408</f>
        <v/>
      </c>
      <c r="W409" s="14" t="str">
        <f>Portfolio!AA408</f>
        <v/>
      </c>
      <c r="X409" s="50" t="str">
        <f>Portfolio!AB408</f>
        <v/>
      </c>
      <c r="Y409" s="179" t="str">
        <f>Portfolio!AC408</f>
        <v/>
      </c>
      <c r="Z409" s="50" t="str">
        <f>Portfolio!AD408</f>
        <v/>
      </c>
      <c r="AA409" s="180" t="str">
        <f>Portfolio!AE408</f>
        <v/>
      </c>
    </row>
    <row r="410">
      <c r="A410" s="14" t="str">
        <f>Portfolio!A409</f>
        <v/>
      </c>
      <c r="B410" s="14" t="str">
        <f>Portfolio!B409</f>
        <v/>
      </c>
      <c r="C410" s="158" t="str">
        <f>Portfolio!C409</f>
        <v/>
      </c>
      <c r="D410" s="96" t="str">
        <f>Portfolio!D409</f>
        <v/>
      </c>
      <c r="E410" s="96" t="str">
        <f>Portfolio!E409</f>
        <v/>
      </c>
      <c r="F410" s="96" t="str">
        <f>Portfolio!G409</f>
        <v/>
      </c>
      <c r="G410" s="50" t="str">
        <f>Portfolio!H409</f>
        <v/>
      </c>
      <c r="H410" s="96" t="str">
        <f>Portfolio!I409</f>
        <v/>
      </c>
      <c r="I410" s="96" t="str">
        <f>Portfolio!J409</f>
        <v/>
      </c>
      <c r="J410" s="96" t="str">
        <f>Portfolio!K409</f>
        <v/>
      </c>
      <c r="K410" s="50" t="str">
        <f>Portfolio!O409</f>
        <v/>
      </c>
      <c r="L410" s="96" t="str">
        <f>Portfolio!P409</f>
        <v/>
      </c>
      <c r="M410" s="96" t="str">
        <f>Portfolio!Q409</f>
        <v/>
      </c>
      <c r="N410" s="14" t="str">
        <f>Portfolio!R409</f>
        <v/>
      </c>
      <c r="O410" s="50" t="str">
        <f>Portfolio!S409</f>
        <v/>
      </c>
      <c r="Q410" s="50" t="str">
        <f>Portfolio!U409</f>
        <v/>
      </c>
      <c r="S410" s="50" t="str">
        <f>Portfolio!W409</f>
        <v/>
      </c>
      <c r="T410" s="50" t="str">
        <f>Portfolio!X409</f>
        <v/>
      </c>
      <c r="U410" s="50" t="str">
        <f>Portfolio!Y409</f>
        <v/>
      </c>
      <c r="V410" s="50" t="str">
        <f>Portfolio!Z409</f>
        <v/>
      </c>
      <c r="W410" s="14" t="str">
        <f>Portfolio!AA409</f>
        <v/>
      </c>
      <c r="X410" s="50" t="str">
        <f>Portfolio!AB409</f>
        <v/>
      </c>
      <c r="Y410" s="179" t="str">
        <f>Portfolio!AC409</f>
        <v/>
      </c>
      <c r="Z410" s="50" t="str">
        <f>Portfolio!AD409</f>
        <v/>
      </c>
      <c r="AA410" s="180" t="str">
        <f>Portfolio!AE409</f>
        <v/>
      </c>
    </row>
    <row r="411">
      <c r="A411" s="14" t="str">
        <f>Portfolio!A410</f>
        <v/>
      </c>
      <c r="B411" s="14" t="str">
        <f>Portfolio!B410</f>
        <v/>
      </c>
      <c r="C411" s="158" t="str">
        <f>Portfolio!C410</f>
        <v/>
      </c>
      <c r="D411" s="96" t="str">
        <f>Portfolio!D410</f>
        <v/>
      </c>
      <c r="E411" s="96" t="str">
        <f>Portfolio!E410</f>
        <v/>
      </c>
      <c r="F411" s="96" t="str">
        <f>Portfolio!G410</f>
        <v/>
      </c>
      <c r="G411" s="50" t="str">
        <f>Portfolio!H410</f>
        <v/>
      </c>
      <c r="H411" s="96" t="str">
        <f>Portfolio!I410</f>
        <v/>
      </c>
      <c r="I411" s="96" t="str">
        <f>Portfolio!J410</f>
        <v/>
      </c>
      <c r="J411" s="96" t="str">
        <f>Portfolio!K410</f>
        <v/>
      </c>
      <c r="K411" s="50" t="str">
        <f>Portfolio!O410</f>
        <v/>
      </c>
      <c r="L411" s="96" t="str">
        <f>Portfolio!P410</f>
        <v/>
      </c>
      <c r="M411" s="96" t="str">
        <f>Portfolio!Q410</f>
        <v/>
      </c>
      <c r="N411" s="14" t="str">
        <f>Portfolio!R410</f>
        <v/>
      </c>
      <c r="O411" s="50" t="str">
        <f>Portfolio!S410</f>
        <v/>
      </c>
      <c r="Q411" s="50" t="str">
        <f>Portfolio!U410</f>
        <v/>
      </c>
      <c r="S411" s="50" t="str">
        <f>Portfolio!W410</f>
        <v/>
      </c>
      <c r="T411" s="50" t="str">
        <f>Portfolio!X410</f>
        <v/>
      </c>
      <c r="U411" s="50" t="str">
        <f>Portfolio!Y410</f>
        <v/>
      </c>
      <c r="V411" s="50" t="str">
        <f>Portfolio!Z410</f>
        <v/>
      </c>
      <c r="W411" s="14" t="str">
        <f>Portfolio!AA410</f>
        <v/>
      </c>
      <c r="X411" s="50" t="str">
        <f>Portfolio!AB410</f>
        <v/>
      </c>
      <c r="Y411" s="179" t="str">
        <f>Portfolio!AC410</f>
        <v/>
      </c>
      <c r="Z411" s="50" t="str">
        <f>Portfolio!AD410</f>
        <v/>
      </c>
      <c r="AA411" s="180" t="str">
        <f>Portfolio!AE410</f>
        <v/>
      </c>
    </row>
    <row r="412">
      <c r="A412" s="14" t="str">
        <f>Portfolio!A411</f>
        <v/>
      </c>
      <c r="B412" s="14" t="str">
        <f>Portfolio!B411</f>
        <v/>
      </c>
      <c r="C412" s="158" t="str">
        <f>Portfolio!C411</f>
        <v/>
      </c>
      <c r="D412" s="96" t="str">
        <f>Portfolio!D411</f>
        <v/>
      </c>
      <c r="E412" s="96" t="str">
        <f>Portfolio!E411</f>
        <v/>
      </c>
      <c r="F412" s="96" t="str">
        <f>Portfolio!G411</f>
        <v/>
      </c>
      <c r="G412" s="50" t="str">
        <f>Portfolio!H411</f>
        <v/>
      </c>
      <c r="H412" s="96" t="str">
        <f>Portfolio!I411</f>
        <v/>
      </c>
      <c r="I412" s="96" t="str">
        <f>Portfolio!J411</f>
        <v/>
      </c>
      <c r="J412" s="96" t="str">
        <f>Portfolio!K411</f>
        <v/>
      </c>
      <c r="K412" s="50" t="str">
        <f>Portfolio!O411</f>
        <v/>
      </c>
      <c r="L412" s="96" t="str">
        <f>Portfolio!P411</f>
        <v/>
      </c>
      <c r="M412" s="96" t="str">
        <f>Portfolio!Q411</f>
        <v/>
      </c>
      <c r="N412" s="14" t="str">
        <f>Portfolio!R411</f>
        <v/>
      </c>
      <c r="O412" s="50" t="str">
        <f>Portfolio!S411</f>
        <v/>
      </c>
      <c r="Q412" s="50" t="str">
        <f>Portfolio!U411</f>
        <v/>
      </c>
      <c r="S412" s="50" t="str">
        <f>Portfolio!W411</f>
        <v/>
      </c>
      <c r="T412" s="50" t="str">
        <f>Portfolio!X411</f>
        <v/>
      </c>
      <c r="U412" s="50" t="str">
        <f>Portfolio!Y411</f>
        <v/>
      </c>
      <c r="V412" s="50" t="str">
        <f>Portfolio!Z411</f>
        <v/>
      </c>
      <c r="W412" s="14" t="str">
        <f>Portfolio!AA411</f>
        <v/>
      </c>
      <c r="X412" s="50" t="str">
        <f>Portfolio!AB411</f>
        <v/>
      </c>
      <c r="Y412" s="179" t="str">
        <f>Portfolio!AC411</f>
        <v/>
      </c>
      <c r="Z412" s="50" t="str">
        <f>Portfolio!AD411</f>
        <v/>
      </c>
      <c r="AA412" s="180" t="str">
        <f>Portfolio!AE411</f>
        <v/>
      </c>
    </row>
    <row r="413">
      <c r="A413" s="14" t="str">
        <f>Portfolio!A412</f>
        <v/>
      </c>
      <c r="B413" s="14" t="str">
        <f>Portfolio!B412</f>
        <v/>
      </c>
      <c r="C413" s="158" t="str">
        <f>Portfolio!C412</f>
        <v/>
      </c>
      <c r="D413" s="96" t="str">
        <f>Portfolio!D412</f>
        <v/>
      </c>
      <c r="E413" s="96" t="str">
        <f>Portfolio!E412</f>
        <v/>
      </c>
      <c r="F413" s="96" t="str">
        <f>Portfolio!G412</f>
        <v/>
      </c>
      <c r="G413" s="50" t="str">
        <f>Portfolio!H412</f>
        <v/>
      </c>
      <c r="H413" s="96" t="str">
        <f>Portfolio!I412</f>
        <v/>
      </c>
      <c r="I413" s="96" t="str">
        <f>Portfolio!J412</f>
        <v/>
      </c>
      <c r="J413" s="96" t="str">
        <f>Portfolio!K412</f>
        <v/>
      </c>
      <c r="K413" s="50" t="str">
        <f>Portfolio!O412</f>
        <v/>
      </c>
      <c r="L413" s="96" t="str">
        <f>Portfolio!P412</f>
        <v/>
      </c>
      <c r="M413" s="96" t="str">
        <f>Portfolio!Q412</f>
        <v/>
      </c>
      <c r="N413" s="14" t="str">
        <f>Portfolio!R412</f>
        <v/>
      </c>
      <c r="O413" s="50" t="str">
        <f>Portfolio!S412</f>
        <v/>
      </c>
      <c r="Q413" s="50" t="str">
        <f>Portfolio!U412</f>
        <v/>
      </c>
      <c r="S413" s="50" t="str">
        <f>Portfolio!W412</f>
        <v/>
      </c>
      <c r="T413" s="50" t="str">
        <f>Portfolio!X412</f>
        <v/>
      </c>
      <c r="U413" s="50" t="str">
        <f>Portfolio!Y412</f>
        <v/>
      </c>
      <c r="V413" s="50" t="str">
        <f>Portfolio!Z412</f>
        <v/>
      </c>
      <c r="W413" s="14" t="str">
        <f>Portfolio!AA412</f>
        <v/>
      </c>
      <c r="X413" s="50" t="str">
        <f>Portfolio!AB412</f>
        <v/>
      </c>
      <c r="Y413" s="179" t="str">
        <f>Portfolio!AC412</f>
        <v/>
      </c>
      <c r="Z413" s="50" t="str">
        <f>Portfolio!AD412</f>
        <v/>
      </c>
      <c r="AA413" s="180" t="str">
        <f>Portfolio!AE412</f>
        <v/>
      </c>
    </row>
    <row r="414">
      <c r="A414" s="14" t="str">
        <f>Portfolio!A413</f>
        <v/>
      </c>
      <c r="B414" s="14" t="str">
        <f>Portfolio!B413</f>
        <v/>
      </c>
      <c r="C414" s="158" t="str">
        <f>Portfolio!C413</f>
        <v/>
      </c>
      <c r="D414" s="96" t="str">
        <f>Portfolio!D413</f>
        <v/>
      </c>
      <c r="E414" s="96" t="str">
        <f>Portfolio!E413</f>
        <v/>
      </c>
      <c r="F414" s="96" t="str">
        <f>Portfolio!G413</f>
        <v/>
      </c>
      <c r="G414" s="50" t="str">
        <f>Portfolio!H413</f>
        <v/>
      </c>
      <c r="H414" s="96" t="str">
        <f>Portfolio!I413</f>
        <v/>
      </c>
      <c r="I414" s="96" t="str">
        <f>Portfolio!J413</f>
        <v/>
      </c>
      <c r="J414" s="96" t="str">
        <f>Portfolio!K413</f>
        <v/>
      </c>
      <c r="K414" s="50" t="str">
        <f>Portfolio!O413</f>
        <v/>
      </c>
      <c r="L414" s="96" t="str">
        <f>Portfolio!P413</f>
        <v/>
      </c>
      <c r="M414" s="96" t="str">
        <f>Portfolio!Q413</f>
        <v/>
      </c>
      <c r="N414" s="14" t="str">
        <f>Portfolio!R413</f>
        <v/>
      </c>
      <c r="O414" s="50" t="str">
        <f>Portfolio!S413</f>
        <v/>
      </c>
      <c r="Q414" s="50" t="str">
        <f>Portfolio!U413</f>
        <v/>
      </c>
      <c r="S414" s="50" t="str">
        <f>Portfolio!W413</f>
        <v/>
      </c>
      <c r="T414" s="50" t="str">
        <f>Portfolio!X413</f>
        <v/>
      </c>
      <c r="U414" s="50" t="str">
        <f>Portfolio!Y413</f>
        <v/>
      </c>
      <c r="V414" s="50" t="str">
        <f>Portfolio!Z413</f>
        <v/>
      </c>
      <c r="W414" s="14" t="str">
        <f>Portfolio!AA413</f>
        <v/>
      </c>
      <c r="X414" s="50" t="str">
        <f>Portfolio!AB413</f>
        <v/>
      </c>
      <c r="Y414" s="179" t="str">
        <f>Portfolio!AC413</f>
        <v/>
      </c>
      <c r="Z414" s="50" t="str">
        <f>Portfolio!AD413</f>
        <v/>
      </c>
      <c r="AA414" s="180" t="str">
        <f>Portfolio!AE413</f>
        <v/>
      </c>
    </row>
    <row r="415">
      <c r="A415" s="14" t="str">
        <f>Portfolio!A414</f>
        <v/>
      </c>
      <c r="B415" s="14" t="str">
        <f>Portfolio!B414</f>
        <v/>
      </c>
      <c r="C415" s="158" t="str">
        <f>Portfolio!C414</f>
        <v/>
      </c>
      <c r="D415" s="96" t="str">
        <f>Portfolio!D414</f>
        <v/>
      </c>
      <c r="E415" s="96" t="str">
        <f>Portfolio!E414</f>
        <v/>
      </c>
      <c r="F415" s="96" t="str">
        <f>Portfolio!G414</f>
        <v/>
      </c>
      <c r="G415" s="50" t="str">
        <f>Portfolio!H414</f>
        <v/>
      </c>
      <c r="H415" s="96" t="str">
        <f>Portfolio!I414</f>
        <v/>
      </c>
      <c r="I415" s="96" t="str">
        <f>Portfolio!J414</f>
        <v/>
      </c>
      <c r="J415" s="96" t="str">
        <f>Portfolio!K414</f>
        <v/>
      </c>
      <c r="K415" s="50" t="str">
        <f>Portfolio!O414</f>
        <v/>
      </c>
      <c r="L415" s="96" t="str">
        <f>Portfolio!P414</f>
        <v/>
      </c>
      <c r="M415" s="96" t="str">
        <f>Portfolio!Q414</f>
        <v/>
      </c>
      <c r="N415" s="14" t="str">
        <f>Portfolio!R414</f>
        <v/>
      </c>
      <c r="O415" s="50" t="str">
        <f>Portfolio!S414</f>
        <v/>
      </c>
      <c r="Q415" s="50" t="str">
        <f>Portfolio!U414</f>
        <v/>
      </c>
      <c r="S415" s="50" t="str">
        <f>Portfolio!W414</f>
        <v/>
      </c>
      <c r="T415" s="50" t="str">
        <f>Portfolio!X414</f>
        <v/>
      </c>
      <c r="U415" s="50" t="str">
        <f>Portfolio!Y414</f>
        <v/>
      </c>
      <c r="V415" s="50" t="str">
        <f>Portfolio!Z414</f>
        <v/>
      </c>
      <c r="W415" s="14" t="str">
        <f>Portfolio!AA414</f>
        <v/>
      </c>
      <c r="X415" s="50" t="str">
        <f>Portfolio!AB414</f>
        <v/>
      </c>
      <c r="Y415" s="179" t="str">
        <f>Portfolio!AC414</f>
        <v/>
      </c>
      <c r="Z415" s="50" t="str">
        <f>Portfolio!AD414</f>
        <v/>
      </c>
      <c r="AA415" s="180" t="str">
        <f>Portfolio!AE414</f>
        <v/>
      </c>
    </row>
    <row r="416">
      <c r="A416" s="14" t="str">
        <f>Portfolio!A415</f>
        <v/>
      </c>
      <c r="B416" s="14" t="str">
        <f>Portfolio!B415</f>
        <v/>
      </c>
      <c r="C416" s="158" t="str">
        <f>Portfolio!C415</f>
        <v/>
      </c>
      <c r="D416" s="96" t="str">
        <f>Portfolio!D415</f>
        <v/>
      </c>
      <c r="E416" s="96" t="str">
        <f>Portfolio!E415</f>
        <v/>
      </c>
      <c r="F416" s="96" t="str">
        <f>Portfolio!G415</f>
        <v/>
      </c>
      <c r="G416" s="50" t="str">
        <f>Portfolio!H415</f>
        <v/>
      </c>
      <c r="H416" s="96" t="str">
        <f>Portfolio!I415</f>
        <v/>
      </c>
      <c r="I416" s="96" t="str">
        <f>Portfolio!J415</f>
        <v/>
      </c>
      <c r="J416" s="96" t="str">
        <f>Portfolio!K415</f>
        <v/>
      </c>
      <c r="K416" s="50" t="str">
        <f>Portfolio!O415</f>
        <v/>
      </c>
      <c r="L416" s="96" t="str">
        <f>Portfolio!P415</f>
        <v/>
      </c>
      <c r="M416" s="96" t="str">
        <f>Portfolio!Q415</f>
        <v/>
      </c>
      <c r="N416" s="14" t="str">
        <f>Portfolio!R415</f>
        <v/>
      </c>
      <c r="O416" s="50" t="str">
        <f>Portfolio!S415</f>
        <v/>
      </c>
      <c r="Q416" s="50" t="str">
        <f>Portfolio!U415</f>
        <v/>
      </c>
      <c r="S416" s="50" t="str">
        <f>Portfolio!W415</f>
        <v/>
      </c>
      <c r="T416" s="50" t="str">
        <f>Portfolio!X415</f>
        <v/>
      </c>
      <c r="U416" s="50" t="str">
        <f>Portfolio!Y415</f>
        <v/>
      </c>
      <c r="V416" s="50" t="str">
        <f>Portfolio!Z415</f>
        <v/>
      </c>
      <c r="W416" s="14" t="str">
        <f>Portfolio!AA415</f>
        <v/>
      </c>
      <c r="X416" s="50" t="str">
        <f>Portfolio!AB415</f>
        <v/>
      </c>
      <c r="Y416" s="179" t="str">
        <f>Portfolio!AC415</f>
        <v/>
      </c>
      <c r="Z416" s="50" t="str">
        <f>Portfolio!AD415</f>
        <v/>
      </c>
      <c r="AA416" s="180" t="str">
        <f>Portfolio!AE415</f>
        <v/>
      </c>
    </row>
    <row r="417">
      <c r="A417" s="14" t="str">
        <f>Portfolio!A416</f>
        <v/>
      </c>
      <c r="B417" s="14" t="str">
        <f>Portfolio!B416</f>
        <v/>
      </c>
      <c r="C417" s="158" t="str">
        <f>Portfolio!C416</f>
        <v/>
      </c>
      <c r="D417" s="96" t="str">
        <f>Portfolio!D416</f>
        <v/>
      </c>
      <c r="E417" s="96" t="str">
        <f>Portfolio!E416</f>
        <v/>
      </c>
      <c r="F417" s="96" t="str">
        <f>Portfolio!G416</f>
        <v/>
      </c>
      <c r="G417" s="50" t="str">
        <f>Portfolio!H416</f>
        <v/>
      </c>
      <c r="H417" s="96" t="str">
        <f>Portfolio!I416</f>
        <v/>
      </c>
      <c r="I417" s="96" t="str">
        <f>Portfolio!J416</f>
        <v/>
      </c>
      <c r="J417" s="96" t="str">
        <f>Portfolio!K416</f>
        <v/>
      </c>
      <c r="K417" s="50" t="str">
        <f>Portfolio!O416</f>
        <v/>
      </c>
      <c r="L417" s="96" t="str">
        <f>Portfolio!P416</f>
        <v/>
      </c>
      <c r="M417" s="96" t="str">
        <f>Portfolio!Q416</f>
        <v/>
      </c>
      <c r="N417" s="14" t="str">
        <f>Portfolio!R416</f>
        <v/>
      </c>
      <c r="O417" s="50" t="str">
        <f>Portfolio!S416</f>
        <v/>
      </c>
      <c r="Q417" s="50" t="str">
        <f>Portfolio!U416</f>
        <v/>
      </c>
      <c r="S417" s="50" t="str">
        <f>Portfolio!W416</f>
        <v/>
      </c>
      <c r="T417" s="50" t="str">
        <f>Portfolio!X416</f>
        <v/>
      </c>
      <c r="U417" s="50" t="str">
        <f>Portfolio!Y416</f>
        <v/>
      </c>
      <c r="V417" s="50" t="str">
        <f>Portfolio!Z416</f>
        <v/>
      </c>
      <c r="W417" s="14" t="str">
        <f>Portfolio!AA416</f>
        <v/>
      </c>
      <c r="X417" s="50" t="str">
        <f>Portfolio!AB416</f>
        <v/>
      </c>
      <c r="Y417" s="179" t="str">
        <f>Portfolio!AC416</f>
        <v/>
      </c>
      <c r="Z417" s="50" t="str">
        <f>Portfolio!AD416</f>
        <v/>
      </c>
      <c r="AA417" s="180" t="str">
        <f>Portfolio!AE416</f>
        <v/>
      </c>
    </row>
    <row r="418">
      <c r="A418" s="14" t="str">
        <f>Portfolio!A417</f>
        <v/>
      </c>
      <c r="B418" s="14" t="str">
        <f>Portfolio!B417</f>
        <v/>
      </c>
      <c r="C418" s="158" t="str">
        <f>Portfolio!C417</f>
        <v/>
      </c>
      <c r="D418" s="96" t="str">
        <f>Portfolio!D417</f>
        <v/>
      </c>
      <c r="E418" s="96" t="str">
        <f>Portfolio!E417</f>
        <v/>
      </c>
      <c r="F418" s="96" t="str">
        <f>Portfolio!G417</f>
        <v/>
      </c>
      <c r="G418" s="50" t="str">
        <f>Portfolio!H417</f>
        <v/>
      </c>
      <c r="H418" s="96" t="str">
        <f>Portfolio!I417</f>
        <v/>
      </c>
      <c r="I418" s="96" t="str">
        <f>Portfolio!J417</f>
        <v/>
      </c>
      <c r="J418" s="96" t="str">
        <f>Portfolio!K417</f>
        <v/>
      </c>
      <c r="K418" s="50" t="str">
        <f>Portfolio!O417</f>
        <v/>
      </c>
      <c r="L418" s="96" t="str">
        <f>Portfolio!P417</f>
        <v/>
      </c>
      <c r="M418" s="96" t="str">
        <f>Portfolio!Q417</f>
        <v/>
      </c>
      <c r="N418" s="14" t="str">
        <f>Portfolio!R417</f>
        <v/>
      </c>
      <c r="O418" s="50" t="str">
        <f>Portfolio!S417</f>
        <v/>
      </c>
      <c r="Q418" s="50" t="str">
        <f>Portfolio!U417</f>
        <v/>
      </c>
      <c r="S418" s="50" t="str">
        <f>Portfolio!W417</f>
        <v/>
      </c>
      <c r="T418" s="50" t="str">
        <f>Portfolio!X417</f>
        <v/>
      </c>
      <c r="U418" s="50" t="str">
        <f>Portfolio!Y417</f>
        <v/>
      </c>
      <c r="V418" s="50" t="str">
        <f>Portfolio!Z417</f>
        <v/>
      </c>
      <c r="W418" s="14" t="str">
        <f>Portfolio!AA417</f>
        <v/>
      </c>
      <c r="X418" s="50" t="str">
        <f>Portfolio!AB417</f>
        <v/>
      </c>
      <c r="Y418" s="179" t="str">
        <f>Portfolio!AC417</f>
        <v/>
      </c>
      <c r="Z418" s="50" t="str">
        <f>Portfolio!AD417</f>
        <v/>
      </c>
      <c r="AA418" s="180" t="str">
        <f>Portfolio!AE417</f>
        <v/>
      </c>
    </row>
    <row r="419">
      <c r="A419" s="14" t="str">
        <f>Portfolio!A418</f>
        <v/>
      </c>
      <c r="B419" s="14" t="str">
        <f>Portfolio!B418</f>
        <v/>
      </c>
      <c r="C419" s="158" t="str">
        <f>Portfolio!C418</f>
        <v/>
      </c>
      <c r="D419" s="96" t="str">
        <f>Portfolio!D418</f>
        <v/>
      </c>
      <c r="E419" s="96" t="str">
        <f>Portfolio!E418</f>
        <v/>
      </c>
      <c r="F419" s="96" t="str">
        <f>Portfolio!G418</f>
        <v/>
      </c>
      <c r="G419" s="50" t="str">
        <f>Portfolio!H418</f>
        <v/>
      </c>
      <c r="H419" s="96" t="str">
        <f>Portfolio!I418</f>
        <v/>
      </c>
      <c r="I419" s="96" t="str">
        <f>Portfolio!J418</f>
        <v/>
      </c>
      <c r="J419" s="96" t="str">
        <f>Portfolio!K418</f>
        <v/>
      </c>
      <c r="K419" s="50" t="str">
        <f>Portfolio!O418</f>
        <v/>
      </c>
      <c r="L419" s="96" t="str">
        <f>Portfolio!P418</f>
        <v/>
      </c>
      <c r="M419" s="96" t="str">
        <f>Portfolio!Q418</f>
        <v/>
      </c>
      <c r="N419" s="14" t="str">
        <f>Portfolio!R418</f>
        <v/>
      </c>
      <c r="O419" s="50" t="str">
        <f>Portfolio!S418</f>
        <v/>
      </c>
      <c r="Q419" s="50" t="str">
        <f>Portfolio!U418</f>
        <v/>
      </c>
      <c r="S419" s="50" t="str">
        <f>Portfolio!W418</f>
        <v/>
      </c>
      <c r="T419" s="50" t="str">
        <f>Portfolio!X418</f>
        <v/>
      </c>
      <c r="U419" s="50" t="str">
        <f>Portfolio!Y418</f>
        <v/>
      </c>
      <c r="V419" s="50" t="str">
        <f>Portfolio!Z418</f>
        <v/>
      </c>
      <c r="W419" s="14" t="str">
        <f>Portfolio!AA418</f>
        <v/>
      </c>
      <c r="X419" s="50" t="str">
        <f>Portfolio!AB418</f>
        <v/>
      </c>
      <c r="Y419" s="179" t="str">
        <f>Portfolio!AC418</f>
        <v/>
      </c>
      <c r="Z419" s="50" t="str">
        <f>Portfolio!AD418</f>
        <v/>
      </c>
      <c r="AA419" s="180" t="str">
        <f>Portfolio!AE418</f>
        <v/>
      </c>
    </row>
    <row r="420">
      <c r="A420" s="14" t="str">
        <f>Portfolio!A419</f>
        <v/>
      </c>
      <c r="B420" s="14" t="str">
        <f>Portfolio!B419</f>
        <v/>
      </c>
      <c r="C420" s="158" t="str">
        <f>Portfolio!C419</f>
        <v/>
      </c>
      <c r="D420" s="96" t="str">
        <f>Portfolio!D419</f>
        <v/>
      </c>
      <c r="E420" s="96" t="str">
        <f>Portfolio!E419</f>
        <v/>
      </c>
      <c r="F420" s="96" t="str">
        <f>Portfolio!G419</f>
        <v/>
      </c>
      <c r="G420" s="50" t="str">
        <f>Portfolio!H419</f>
        <v/>
      </c>
      <c r="H420" s="96" t="str">
        <f>Portfolio!I419</f>
        <v/>
      </c>
      <c r="I420" s="96" t="str">
        <f>Portfolio!J419</f>
        <v/>
      </c>
      <c r="J420" s="96" t="str">
        <f>Portfolio!K419</f>
        <v/>
      </c>
      <c r="K420" s="50" t="str">
        <f>Portfolio!O419</f>
        <v/>
      </c>
      <c r="L420" s="96" t="str">
        <f>Portfolio!P419</f>
        <v/>
      </c>
      <c r="M420" s="96" t="str">
        <f>Portfolio!Q419</f>
        <v/>
      </c>
      <c r="N420" s="14" t="str">
        <f>Portfolio!R419</f>
        <v/>
      </c>
      <c r="O420" s="50" t="str">
        <f>Portfolio!S419</f>
        <v/>
      </c>
      <c r="Q420" s="50" t="str">
        <f>Portfolio!U419</f>
        <v/>
      </c>
      <c r="S420" s="50" t="str">
        <f>Portfolio!W419</f>
        <v/>
      </c>
      <c r="T420" s="50" t="str">
        <f>Portfolio!X419</f>
        <v/>
      </c>
      <c r="U420" s="50" t="str">
        <f>Portfolio!Y419</f>
        <v/>
      </c>
      <c r="V420" s="50" t="str">
        <f>Portfolio!Z419</f>
        <v/>
      </c>
      <c r="W420" s="14" t="str">
        <f>Portfolio!AA419</f>
        <v/>
      </c>
      <c r="X420" s="50" t="str">
        <f>Portfolio!AB419</f>
        <v/>
      </c>
      <c r="Y420" s="179" t="str">
        <f>Portfolio!AC419</f>
        <v/>
      </c>
      <c r="Z420" s="50" t="str">
        <f>Portfolio!AD419</f>
        <v/>
      </c>
      <c r="AA420" s="180" t="str">
        <f>Portfolio!AE419</f>
        <v/>
      </c>
    </row>
    <row r="421">
      <c r="A421" s="14" t="str">
        <f>Portfolio!A420</f>
        <v/>
      </c>
      <c r="B421" s="14" t="str">
        <f>Portfolio!B420</f>
        <v/>
      </c>
      <c r="C421" s="158" t="str">
        <f>Portfolio!C420</f>
        <v/>
      </c>
      <c r="D421" s="96" t="str">
        <f>Portfolio!D420</f>
        <v/>
      </c>
      <c r="E421" s="96" t="str">
        <f>Portfolio!E420</f>
        <v/>
      </c>
      <c r="F421" s="96" t="str">
        <f>Portfolio!G420</f>
        <v/>
      </c>
      <c r="G421" s="50" t="str">
        <f>Portfolio!H420</f>
        <v/>
      </c>
      <c r="H421" s="96" t="str">
        <f>Portfolio!I420</f>
        <v/>
      </c>
      <c r="I421" s="96" t="str">
        <f>Portfolio!J420</f>
        <v/>
      </c>
      <c r="J421" s="96" t="str">
        <f>Portfolio!K420</f>
        <v/>
      </c>
      <c r="K421" s="50" t="str">
        <f>Portfolio!O420</f>
        <v/>
      </c>
      <c r="L421" s="96" t="str">
        <f>Portfolio!P420</f>
        <v/>
      </c>
      <c r="M421" s="96" t="str">
        <f>Portfolio!Q420</f>
        <v/>
      </c>
      <c r="N421" s="14" t="str">
        <f>Portfolio!R420</f>
        <v/>
      </c>
      <c r="O421" s="50" t="str">
        <f>Portfolio!S420</f>
        <v/>
      </c>
      <c r="Q421" s="50" t="str">
        <f>Portfolio!U420</f>
        <v/>
      </c>
      <c r="S421" s="50" t="str">
        <f>Portfolio!W420</f>
        <v/>
      </c>
      <c r="T421" s="50" t="str">
        <f>Portfolio!X420</f>
        <v/>
      </c>
      <c r="U421" s="50" t="str">
        <f>Portfolio!Y420</f>
        <v/>
      </c>
      <c r="V421" s="50" t="str">
        <f>Portfolio!Z420</f>
        <v/>
      </c>
      <c r="W421" s="14" t="str">
        <f>Portfolio!AA420</f>
        <v/>
      </c>
      <c r="X421" s="50" t="str">
        <f>Portfolio!AB420</f>
        <v/>
      </c>
      <c r="Y421" s="179" t="str">
        <f>Portfolio!AC420</f>
        <v/>
      </c>
      <c r="Z421" s="50" t="str">
        <f>Portfolio!AD420</f>
        <v/>
      </c>
      <c r="AA421" s="180" t="str">
        <f>Portfolio!AE420</f>
        <v/>
      </c>
    </row>
    <row r="422">
      <c r="A422" s="14" t="str">
        <f>Portfolio!A421</f>
        <v/>
      </c>
      <c r="B422" s="14" t="str">
        <f>Portfolio!B421</f>
        <v/>
      </c>
      <c r="C422" s="158" t="str">
        <f>Portfolio!C421</f>
        <v/>
      </c>
      <c r="D422" s="96" t="str">
        <f>Portfolio!D421</f>
        <v/>
      </c>
      <c r="E422" s="96" t="str">
        <f>Portfolio!E421</f>
        <v/>
      </c>
      <c r="F422" s="96" t="str">
        <f>Portfolio!G421</f>
        <v/>
      </c>
      <c r="G422" s="50" t="str">
        <f>Portfolio!H421</f>
        <v/>
      </c>
      <c r="H422" s="96" t="str">
        <f>Portfolio!I421</f>
        <v/>
      </c>
      <c r="I422" s="96" t="str">
        <f>Portfolio!J421</f>
        <v/>
      </c>
      <c r="J422" s="96" t="str">
        <f>Portfolio!K421</f>
        <v/>
      </c>
      <c r="K422" s="50" t="str">
        <f>Portfolio!O421</f>
        <v/>
      </c>
      <c r="L422" s="96" t="str">
        <f>Portfolio!P421</f>
        <v/>
      </c>
      <c r="M422" s="96" t="str">
        <f>Portfolio!Q421</f>
        <v/>
      </c>
      <c r="N422" s="14" t="str">
        <f>Portfolio!R421</f>
        <v/>
      </c>
      <c r="O422" s="50" t="str">
        <f>Portfolio!S421</f>
        <v/>
      </c>
      <c r="Q422" s="50" t="str">
        <f>Portfolio!U421</f>
        <v/>
      </c>
      <c r="S422" s="50" t="str">
        <f>Portfolio!W421</f>
        <v/>
      </c>
      <c r="T422" s="50" t="str">
        <f>Portfolio!X421</f>
        <v/>
      </c>
      <c r="U422" s="50" t="str">
        <f>Portfolio!Y421</f>
        <v/>
      </c>
      <c r="V422" s="50" t="str">
        <f>Portfolio!Z421</f>
        <v/>
      </c>
      <c r="W422" s="14" t="str">
        <f>Portfolio!AA421</f>
        <v/>
      </c>
      <c r="X422" s="50" t="str">
        <f>Portfolio!AB421</f>
        <v/>
      </c>
      <c r="Y422" s="179" t="str">
        <f>Portfolio!AC421</f>
        <v/>
      </c>
      <c r="Z422" s="50" t="str">
        <f>Portfolio!AD421</f>
        <v/>
      </c>
      <c r="AA422" s="180" t="str">
        <f>Portfolio!AE421</f>
        <v/>
      </c>
    </row>
    <row r="423">
      <c r="A423" s="14" t="str">
        <f>Portfolio!A422</f>
        <v/>
      </c>
      <c r="B423" s="14" t="str">
        <f>Portfolio!B422</f>
        <v/>
      </c>
      <c r="C423" s="158" t="str">
        <f>Portfolio!C422</f>
        <v/>
      </c>
      <c r="D423" s="96" t="str">
        <f>Portfolio!D422</f>
        <v/>
      </c>
      <c r="E423" s="96" t="str">
        <f>Portfolio!E422</f>
        <v/>
      </c>
      <c r="F423" s="96" t="str">
        <f>Portfolio!G422</f>
        <v/>
      </c>
      <c r="G423" s="50" t="str">
        <f>Portfolio!H422</f>
        <v/>
      </c>
      <c r="H423" s="96" t="str">
        <f>Portfolio!I422</f>
        <v/>
      </c>
      <c r="I423" s="96" t="str">
        <f>Portfolio!J422</f>
        <v/>
      </c>
      <c r="J423" s="96" t="str">
        <f>Portfolio!K422</f>
        <v/>
      </c>
      <c r="K423" s="50" t="str">
        <f>Portfolio!O422</f>
        <v/>
      </c>
      <c r="L423" s="96" t="str">
        <f>Portfolio!P422</f>
        <v/>
      </c>
      <c r="M423" s="96" t="str">
        <f>Portfolio!Q422</f>
        <v/>
      </c>
      <c r="N423" s="14" t="str">
        <f>Portfolio!R422</f>
        <v/>
      </c>
      <c r="O423" s="50" t="str">
        <f>Portfolio!S422</f>
        <v/>
      </c>
      <c r="Q423" s="50" t="str">
        <f>Portfolio!U422</f>
        <v/>
      </c>
      <c r="S423" s="50" t="str">
        <f>Portfolio!W422</f>
        <v/>
      </c>
      <c r="T423" s="50" t="str">
        <f>Portfolio!X422</f>
        <v/>
      </c>
      <c r="U423" s="50" t="str">
        <f>Portfolio!Y422</f>
        <v/>
      </c>
      <c r="V423" s="50" t="str">
        <f>Portfolio!Z422</f>
        <v/>
      </c>
      <c r="W423" s="14" t="str">
        <f>Portfolio!AA422</f>
        <v/>
      </c>
      <c r="X423" s="50" t="str">
        <f>Portfolio!AB422</f>
        <v/>
      </c>
      <c r="Y423" s="179" t="str">
        <f>Portfolio!AC422</f>
        <v/>
      </c>
      <c r="Z423" s="50" t="str">
        <f>Portfolio!AD422</f>
        <v/>
      </c>
      <c r="AA423" s="180" t="str">
        <f>Portfolio!AE422</f>
        <v/>
      </c>
    </row>
    <row r="424">
      <c r="A424" s="14" t="str">
        <f>Portfolio!A423</f>
        <v/>
      </c>
      <c r="B424" s="14" t="str">
        <f>Portfolio!B423</f>
        <v/>
      </c>
      <c r="C424" s="158" t="str">
        <f>Portfolio!C423</f>
        <v/>
      </c>
      <c r="D424" s="96" t="str">
        <f>Portfolio!D423</f>
        <v/>
      </c>
      <c r="E424" s="96" t="str">
        <f>Portfolio!E423</f>
        <v/>
      </c>
      <c r="F424" s="96" t="str">
        <f>Portfolio!G423</f>
        <v/>
      </c>
      <c r="G424" s="50" t="str">
        <f>Portfolio!H423</f>
        <v/>
      </c>
      <c r="H424" s="96" t="str">
        <f>Portfolio!I423</f>
        <v/>
      </c>
      <c r="I424" s="96" t="str">
        <f>Portfolio!J423</f>
        <v/>
      </c>
      <c r="J424" s="96" t="str">
        <f>Portfolio!K423</f>
        <v/>
      </c>
      <c r="K424" s="50" t="str">
        <f>Portfolio!O423</f>
        <v/>
      </c>
      <c r="L424" s="96" t="str">
        <f>Portfolio!P423</f>
        <v/>
      </c>
      <c r="M424" s="96" t="str">
        <f>Portfolio!Q423</f>
        <v/>
      </c>
      <c r="N424" s="14" t="str">
        <f>Portfolio!R423</f>
        <v/>
      </c>
      <c r="O424" s="50" t="str">
        <f>Portfolio!S423</f>
        <v/>
      </c>
      <c r="Q424" s="50" t="str">
        <f>Portfolio!U423</f>
        <v/>
      </c>
      <c r="S424" s="50" t="str">
        <f>Portfolio!W423</f>
        <v/>
      </c>
      <c r="T424" s="50" t="str">
        <f>Portfolio!X423</f>
        <v/>
      </c>
      <c r="U424" s="50" t="str">
        <f>Portfolio!Y423</f>
        <v/>
      </c>
      <c r="V424" s="50" t="str">
        <f>Portfolio!Z423</f>
        <v/>
      </c>
      <c r="W424" s="14" t="str">
        <f>Portfolio!AA423</f>
        <v/>
      </c>
      <c r="X424" s="50" t="str">
        <f>Portfolio!AB423</f>
        <v/>
      </c>
      <c r="Y424" s="179" t="str">
        <f>Portfolio!AC423</f>
        <v/>
      </c>
      <c r="Z424" s="50" t="str">
        <f>Portfolio!AD423</f>
        <v/>
      </c>
      <c r="AA424" s="180" t="str">
        <f>Portfolio!AE423</f>
        <v/>
      </c>
    </row>
    <row r="425">
      <c r="A425" s="14" t="str">
        <f>Portfolio!A424</f>
        <v/>
      </c>
      <c r="B425" s="14" t="str">
        <f>Portfolio!B424</f>
        <v/>
      </c>
      <c r="C425" s="158" t="str">
        <f>Portfolio!C424</f>
        <v/>
      </c>
      <c r="D425" s="96" t="str">
        <f>Portfolio!D424</f>
        <v/>
      </c>
      <c r="E425" s="96" t="str">
        <f>Portfolio!E424</f>
        <v/>
      </c>
      <c r="F425" s="96" t="str">
        <f>Portfolio!G424</f>
        <v/>
      </c>
      <c r="G425" s="50" t="str">
        <f>Portfolio!H424</f>
        <v/>
      </c>
      <c r="H425" s="96" t="str">
        <f>Portfolio!I424</f>
        <v/>
      </c>
      <c r="I425" s="96" t="str">
        <f>Portfolio!J424</f>
        <v/>
      </c>
      <c r="J425" s="96" t="str">
        <f>Portfolio!K424</f>
        <v/>
      </c>
      <c r="K425" s="50" t="str">
        <f>Portfolio!O424</f>
        <v/>
      </c>
      <c r="L425" s="96" t="str">
        <f>Portfolio!P424</f>
        <v/>
      </c>
      <c r="M425" s="96" t="str">
        <f>Portfolio!Q424</f>
        <v/>
      </c>
      <c r="N425" s="14" t="str">
        <f>Portfolio!R424</f>
        <v/>
      </c>
      <c r="O425" s="50" t="str">
        <f>Portfolio!S424</f>
        <v/>
      </c>
      <c r="Q425" s="50" t="str">
        <f>Portfolio!U424</f>
        <v/>
      </c>
      <c r="S425" s="50" t="str">
        <f>Portfolio!W424</f>
        <v/>
      </c>
      <c r="T425" s="50" t="str">
        <f>Portfolio!X424</f>
        <v/>
      </c>
      <c r="U425" s="50" t="str">
        <f>Portfolio!Y424</f>
        <v/>
      </c>
      <c r="V425" s="50" t="str">
        <f>Portfolio!Z424</f>
        <v/>
      </c>
      <c r="W425" s="14" t="str">
        <f>Portfolio!AA424</f>
        <v/>
      </c>
      <c r="X425" s="50" t="str">
        <f>Portfolio!AB424</f>
        <v/>
      </c>
      <c r="Y425" s="179" t="str">
        <f>Portfolio!AC424</f>
        <v/>
      </c>
      <c r="Z425" s="50" t="str">
        <f>Portfolio!AD424</f>
        <v/>
      </c>
      <c r="AA425" s="180" t="str">
        <f>Portfolio!AE424</f>
        <v/>
      </c>
    </row>
    <row r="426">
      <c r="A426" s="14" t="str">
        <f>Portfolio!A425</f>
        <v/>
      </c>
      <c r="B426" s="14" t="str">
        <f>Portfolio!B425</f>
        <v/>
      </c>
      <c r="C426" s="158" t="str">
        <f>Portfolio!C425</f>
        <v/>
      </c>
      <c r="D426" s="96" t="str">
        <f>Portfolio!D425</f>
        <v/>
      </c>
      <c r="E426" s="96" t="str">
        <f>Portfolio!E425</f>
        <v/>
      </c>
      <c r="F426" s="96" t="str">
        <f>Portfolio!G425</f>
        <v/>
      </c>
      <c r="G426" s="50" t="str">
        <f>Portfolio!H425</f>
        <v/>
      </c>
      <c r="H426" s="96" t="str">
        <f>Portfolio!I425</f>
        <v/>
      </c>
      <c r="I426" s="96" t="str">
        <f>Portfolio!J425</f>
        <v/>
      </c>
      <c r="J426" s="96" t="str">
        <f>Portfolio!K425</f>
        <v/>
      </c>
      <c r="K426" s="50" t="str">
        <f>Portfolio!O425</f>
        <v/>
      </c>
      <c r="L426" s="96" t="str">
        <f>Portfolio!P425</f>
        <v/>
      </c>
      <c r="M426" s="96" t="str">
        <f>Portfolio!Q425</f>
        <v/>
      </c>
      <c r="N426" s="14" t="str">
        <f>Portfolio!R425</f>
        <v/>
      </c>
      <c r="O426" s="50" t="str">
        <f>Portfolio!S425</f>
        <v/>
      </c>
      <c r="Q426" s="50" t="str">
        <f>Portfolio!U425</f>
        <v/>
      </c>
      <c r="S426" s="50" t="str">
        <f>Portfolio!W425</f>
        <v/>
      </c>
      <c r="T426" s="50" t="str">
        <f>Portfolio!X425</f>
        <v/>
      </c>
      <c r="U426" s="50" t="str">
        <f>Portfolio!Y425</f>
        <v/>
      </c>
      <c r="V426" s="50" t="str">
        <f>Portfolio!Z425</f>
        <v/>
      </c>
      <c r="W426" s="14" t="str">
        <f>Portfolio!AA425</f>
        <v/>
      </c>
      <c r="X426" s="50" t="str">
        <f>Portfolio!AB425</f>
        <v/>
      </c>
      <c r="Y426" s="179" t="str">
        <f>Portfolio!AC425</f>
        <v/>
      </c>
      <c r="Z426" s="50" t="str">
        <f>Portfolio!AD425</f>
        <v/>
      </c>
      <c r="AA426" s="180" t="str">
        <f>Portfolio!AE425</f>
        <v/>
      </c>
    </row>
    <row r="427">
      <c r="A427" s="14" t="str">
        <f>Portfolio!A426</f>
        <v/>
      </c>
      <c r="B427" s="14" t="str">
        <f>Portfolio!B426</f>
        <v/>
      </c>
      <c r="C427" s="158" t="str">
        <f>Portfolio!C426</f>
        <v/>
      </c>
      <c r="D427" s="96" t="str">
        <f>Portfolio!D426</f>
        <v/>
      </c>
      <c r="E427" s="96" t="str">
        <f>Portfolio!E426</f>
        <v/>
      </c>
      <c r="F427" s="96" t="str">
        <f>Portfolio!G426</f>
        <v/>
      </c>
      <c r="G427" s="50" t="str">
        <f>Portfolio!H426</f>
        <v/>
      </c>
      <c r="H427" s="96" t="str">
        <f>Portfolio!I426</f>
        <v/>
      </c>
      <c r="I427" s="96" t="str">
        <f>Portfolio!J426</f>
        <v/>
      </c>
      <c r="J427" s="96" t="str">
        <f>Portfolio!K426</f>
        <v/>
      </c>
      <c r="K427" s="50" t="str">
        <f>Portfolio!O426</f>
        <v/>
      </c>
      <c r="L427" s="96" t="str">
        <f>Portfolio!P426</f>
        <v/>
      </c>
      <c r="M427" s="96" t="str">
        <f>Portfolio!Q426</f>
        <v/>
      </c>
      <c r="N427" s="14" t="str">
        <f>Portfolio!R426</f>
        <v/>
      </c>
      <c r="O427" s="50" t="str">
        <f>Portfolio!S426</f>
        <v/>
      </c>
      <c r="Q427" s="50" t="str">
        <f>Portfolio!U426</f>
        <v/>
      </c>
      <c r="S427" s="50" t="str">
        <f>Portfolio!W426</f>
        <v/>
      </c>
      <c r="T427" s="50" t="str">
        <f>Portfolio!X426</f>
        <v/>
      </c>
      <c r="U427" s="50" t="str">
        <f>Portfolio!Y426</f>
        <v/>
      </c>
      <c r="V427" s="50" t="str">
        <f>Portfolio!Z426</f>
        <v/>
      </c>
      <c r="W427" s="14" t="str">
        <f>Portfolio!AA426</f>
        <v/>
      </c>
      <c r="X427" s="50" t="str">
        <f>Portfolio!AB426</f>
        <v/>
      </c>
      <c r="Y427" s="179" t="str">
        <f>Portfolio!AC426</f>
        <v/>
      </c>
      <c r="Z427" s="50" t="str">
        <f>Portfolio!AD426</f>
        <v/>
      </c>
      <c r="AA427" s="180" t="str">
        <f>Portfolio!AE426</f>
        <v/>
      </c>
    </row>
    <row r="428">
      <c r="A428" s="14" t="str">
        <f>Portfolio!A427</f>
        <v/>
      </c>
      <c r="B428" s="14" t="str">
        <f>Portfolio!B427</f>
        <v/>
      </c>
      <c r="C428" s="158" t="str">
        <f>Portfolio!C427</f>
        <v/>
      </c>
      <c r="D428" s="96" t="str">
        <f>Portfolio!D427</f>
        <v/>
      </c>
      <c r="E428" s="96" t="str">
        <f>Portfolio!E427</f>
        <v/>
      </c>
      <c r="F428" s="96" t="str">
        <f>Portfolio!G427</f>
        <v/>
      </c>
      <c r="G428" s="50" t="str">
        <f>Portfolio!H427</f>
        <v/>
      </c>
      <c r="H428" s="96" t="str">
        <f>Portfolio!I427</f>
        <v/>
      </c>
      <c r="I428" s="96" t="str">
        <f>Portfolio!J427</f>
        <v/>
      </c>
      <c r="J428" s="96" t="str">
        <f>Portfolio!K427</f>
        <v/>
      </c>
      <c r="K428" s="50" t="str">
        <f>Portfolio!O427</f>
        <v/>
      </c>
      <c r="L428" s="96" t="str">
        <f>Portfolio!P427</f>
        <v/>
      </c>
      <c r="M428" s="96" t="str">
        <f>Portfolio!Q427</f>
        <v/>
      </c>
      <c r="N428" s="14" t="str">
        <f>Portfolio!R427</f>
        <v/>
      </c>
      <c r="O428" s="50" t="str">
        <f>Portfolio!S427</f>
        <v/>
      </c>
      <c r="Q428" s="50" t="str">
        <f>Portfolio!U427</f>
        <v/>
      </c>
      <c r="S428" s="50" t="str">
        <f>Portfolio!W427</f>
        <v/>
      </c>
      <c r="T428" s="50" t="str">
        <f>Portfolio!X427</f>
        <v/>
      </c>
      <c r="U428" s="50" t="str">
        <f>Portfolio!Y427</f>
        <v/>
      </c>
      <c r="V428" s="50" t="str">
        <f>Portfolio!Z427</f>
        <v/>
      </c>
      <c r="W428" s="14" t="str">
        <f>Portfolio!AA427</f>
        <v/>
      </c>
      <c r="X428" s="50" t="str">
        <f>Portfolio!AB427</f>
        <v/>
      </c>
      <c r="Y428" s="179" t="str">
        <f>Portfolio!AC427</f>
        <v/>
      </c>
      <c r="Z428" s="50" t="str">
        <f>Portfolio!AD427</f>
        <v/>
      </c>
      <c r="AA428" s="180" t="str">
        <f>Portfolio!AE427</f>
        <v/>
      </c>
    </row>
    <row r="429">
      <c r="A429" s="14" t="str">
        <f>Portfolio!A428</f>
        <v/>
      </c>
      <c r="B429" s="14" t="str">
        <f>Portfolio!B428</f>
        <v/>
      </c>
      <c r="C429" s="158" t="str">
        <f>Portfolio!C428</f>
        <v/>
      </c>
      <c r="D429" s="96" t="str">
        <f>Portfolio!D428</f>
        <v/>
      </c>
      <c r="E429" s="96" t="str">
        <f>Portfolio!E428</f>
        <v/>
      </c>
      <c r="F429" s="96" t="str">
        <f>Portfolio!G428</f>
        <v/>
      </c>
      <c r="G429" s="50" t="str">
        <f>Portfolio!H428</f>
        <v/>
      </c>
      <c r="H429" s="96" t="str">
        <f>Portfolio!I428</f>
        <v/>
      </c>
      <c r="I429" s="96" t="str">
        <f>Portfolio!J428</f>
        <v/>
      </c>
      <c r="J429" s="96" t="str">
        <f>Portfolio!K428</f>
        <v/>
      </c>
      <c r="K429" s="50" t="str">
        <f>Portfolio!O428</f>
        <v/>
      </c>
      <c r="L429" s="96" t="str">
        <f>Portfolio!P428</f>
        <v/>
      </c>
      <c r="M429" s="96" t="str">
        <f>Portfolio!Q428</f>
        <v/>
      </c>
      <c r="N429" s="14" t="str">
        <f>Portfolio!R428</f>
        <v/>
      </c>
      <c r="O429" s="50" t="str">
        <f>Portfolio!S428</f>
        <v/>
      </c>
      <c r="Q429" s="50" t="str">
        <f>Portfolio!U428</f>
        <v/>
      </c>
      <c r="S429" s="50" t="str">
        <f>Portfolio!W428</f>
        <v/>
      </c>
      <c r="T429" s="50" t="str">
        <f>Portfolio!X428</f>
        <v/>
      </c>
      <c r="U429" s="50" t="str">
        <f>Portfolio!Y428</f>
        <v/>
      </c>
      <c r="V429" s="50" t="str">
        <f>Portfolio!Z428</f>
        <v/>
      </c>
      <c r="W429" s="14" t="str">
        <f>Portfolio!AA428</f>
        <v/>
      </c>
      <c r="X429" s="50" t="str">
        <f>Portfolio!AB428</f>
        <v/>
      </c>
      <c r="Y429" s="179" t="str">
        <f>Portfolio!AC428</f>
        <v/>
      </c>
      <c r="Z429" s="50" t="str">
        <f>Portfolio!AD428</f>
        <v/>
      </c>
      <c r="AA429" s="180" t="str">
        <f>Portfolio!AE428</f>
        <v/>
      </c>
    </row>
    <row r="430">
      <c r="A430" s="14" t="str">
        <f>Portfolio!A429</f>
        <v/>
      </c>
      <c r="B430" s="14" t="str">
        <f>Portfolio!B429</f>
        <v/>
      </c>
      <c r="C430" s="158" t="str">
        <f>Portfolio!C429</f>
        <v/>
      </c>
      <c r="D430" s="96" t="str">
        <f>Portfolio!D429</f>
        <v/>
      </c>
      <c r="E430" s="96" t="str">
        <f>Portfolio!E429</f>
        <v/>
      </c>
      <c r="F430" s="96" t="str">
        <f>Portfolio!G429</f>
        <v/>
      </c>
      <c r="G430" s="50" t="str">
        <f>Portfolio!H429</f>
        <v/>
      </c>
      <c r="H430" s="96" t="str">
        <f>Portfolio!I429</f>
        <v/>
      </c>
      <c r="I430" s="96" t="str">
        <f>Portfolio!J429</f>
        <v/>
      </c>
      <c r="J430" s="96" t="str">
        <f>Portfolio!K429</f>
        <v/>
      </c>
      <c r="K430" s="50" t="str">
        <f>Portfolio!O429</f>
        <v/>
      </c>
      <c r="L430" s="96" t="str">
        <f>Portfolio!P429</f>
        <v/>
      </c>
      <c r="M430" s="96" t="str">
        <f>Portfolio!Q429</f>
        <v/>
      </c>
      <c r="N430" s="14" t="str">
        <f>Portfolio!R429</f>
        <v/>
      </c>
      <c r="O430" s="50" t="str">
        <f>Portfolio!S429</f>
        <v/>
      </c>
      <c r="Q430" s="50" t="str">
        <f>Portfolio!U429</f>
        <v/>
      </c>
      <c r="S430" s="50" t="str">
        <f>Portfolio!W429</f>
        <v/>
      </c>
      <c r="T430" s="50" t="str">
        <f>Portfolio!X429</f>
        <v/>
      </c>
      <c r="U430" s="50" t="str">
        <f>Portfolio!Y429</f>
        <v/>
      </c>
      <c r="V430" s="50" t="str">
        <f>Portfolio!Z429</f>
        <v/>
      </c>
      <c r="W430" s="14" t="str">
        <f>Portfolio!AA429</f>
        <v/>
      </c>
      <c r="X430" s="50" t="str">
        <f>Portfolio!AB429</f>
        <v/>
      </c>
      <c r="Y430" s="179" t="str">
        <f>Portfolio!AC429</f>
        <v/>
      </c>
      <c r="Z430" s="50" t="str">
        <f>Portfolio!AD429</f>
        <v/>
      </c>
      <c r="AA430" s="180" t="str">
        <f>Portfolio!AE429</f>
        <v/>
      </c>
    </row>
    <row r="431">
      <c r="A431" s="14" t="str">
        <f>Portfolio!A430</f>
        <v/>
      </c>
      <c r="B431" s="14" t="str">
        <f>Portfolio!B430</f>
        <v/>
      </c>
      <c r="C431" s="158" t="str">
        <f>Portfolio!C430</f>
        <v/>
      </c>
      <c r="D431" s="96" t="str">
        <f>Portfolio!D430</f>
        <v/>
      </c>
      <c r="E431" s="96" t="str">
        <f>Portfolio!E430</f>
        <v/>
      </c>
      <c r="F431" s="96" t="str">
        <f>Portfolio!G430</f>
        <v/>
      </c>
      <c r="G431" s="50" t="str">
        <f>Portfolio!H430</f>
        <v/>
      </c>
      <c r="H431" s="96" t="str">
        <f>Portfolio!I430</f>
        <v/>
      </c>
      <c r="I431" s="96" t="str">
        <f>Portfolio!J430</f>
        <v/>
      </c>
      <c r="J431" s="96" t="str">
        <f>Portfolio!K430</f>
        <v/>
      </c>
      <c r="K431" s="50" t="str">
        <f>Portfolio!O430</f>
        <v/>
      </c>
      <c r="L431" s="96" t="str">
        <f>Portfolio!P430</f>
        <v/>
      </c>
      <c r="M431" s="96" t="str">
        <f>Portfolio!Q430</f>
        <v/>
      </c>
      <c r="N431" s="14" t="str">
        <f>Portfolio!R430</f>
        <v/>
      </c>
      <c r="O431" s="50" t="str">
        <f>Portfolio!S430</f>
        <v/>
      </c>
      <c r="Q431" s="50" t="str">
        <f>Portfolio!U430</f>
        <v/>
      </c>
      <c r="S431" s="50" t="str">
        <f>Portfolio!W430</f>
        <v/>
      </c>
      <c r="T431" s="50" t="str">
        <f>Portfolio!X430</f>
        <v/>
      </c>
      <c r="U431" s="50" t="str">
        <f>Portfolio!Y430</f>
        <v/>
      </c>
      <c r="V431" s="50" t="str">
        <f>Portfolio!Z430</f>
        <v/>
      </c>
      <c r="W431" s="14" t="str">
        <f>Portfolio!AA430</f>
        <v/>
      </c>
      <c r="X431" s="50" t="str">
        <f>Portfolio!AB430</f>
        <v/>
      </c>
      <c r="Y431" s="179" t="str">
        <f>Portfolio!AC430</f>
        <v/>
      </c>
      <c r="Z431" s="50" t="str">
        <f>Portfolio!AD430</f>
        <v/>
      </c>
      <c r="AA431" s="180" t="str">
        <f>Portfolio!AE430</f>
        <v/>
      </c>
    </row>
    <row r="432">
      <c r="A432" s="14" t="str">
        <f>Portfolio!A431</f>
        <v/>
      </c>
      <c r="B432" s="14" t="str">
        <f>Portfolio!B431</f>
        <v/>
      </c>
      <c r="C432" s="158" t="str">
        <f>Portfolio!C431</f>
        <v/>
      </c>
      <c r="D432" s="96" t="str">
        <f>Portfolio!D431</f>
        <v/>
      </c>
      <c r="E432" s="96" t="str">
        <f>Portfolio!E431</f>
        <v/>
      </c>
      <c r="F432" s="96" t="str">
        <f>Portfolio!G431</f>
        <v/>
      </c>
      <c r="G432" s="50" t="str">
        <f>Portfolio!H431</f>
        <v/>
      </c>
      <c r="H432" s="96" t="str">
        <f>Portfolio!I431</f>
        <v/>
      </c>
      <c r="I432" s="96" t="str">
        <f>Portfolio!J431</f>
        <v/>
      </c>
      <c r="J432" s="96" t="str">
        <f>Portfolio!K431</f>
        <v/>
      </c>
      <c r="K432" s="50" t="str">
        <f>Portfolio!O431</f>
        <v/>
      </c>
      <c r="L432" s="96" t="str">
        <f>Portfolio!P431</f>
        <v/>
      </c>
      <c r="M432" s="96" t="str">
        <f>Portfolio!Q431</f>
        <v/>
      </c>
      <c r="N432" s="14" t="str">
        <f>Portfolio!R431</f>
        <v/>
      </c>
      <c r="O432" s="50" t="str">
        <f>Portfolio!S431</f>
        <v/>
      </c>
      <c r="Q432" s="50" t="str">
        <f>Portfolio!U431</f>
        <v/>
      </c>
      <c r="S432" s="50" t="str">
        <f>Portfolio!W431</f>
        <v/>
      </c>
      <c r="T432" s="50" t="str">
        <f>Portfolio!X431</f>
        <v/>
      </c>
      <c r="U432" s="50" t="str">
        <f>Portfolio!Y431</f>
        <v/>
      </c>
      <c r="V432" s="50" t="str">
        <f>Portfolio!Z431</f>
        <v/>
      </c>
      <c r="W432" s="14" t="str">
        <f>Portfolio!AA431</f>
        <v/>
      </c>
      <c r="X432" s="50" t="str">
        <f>Portfolio!AB431</f>
        <v/>
      </c>
      <c r="Y432" s="179" t="str">
        <f>Portfolio!AC431</f>
        <v/>
      </c>
      <c r="Z432" s="50" t="str">
        <f>Portfolio!AD431</f>
        <v/>
      </c>
      <c r="AA432" s="180" t="str">
        <f>Portfolio!AE431</f>
        <v/>
      </c>
    </row>
    <row r="433">
      <c r="A433" s="14" t="str">
        <f>Portfolio!A432</f>
        <v/>
      </c>
      <c r="B433" s="14" t="str">
        <f>Portfolio!B432</f>
        <v/>
      </c>
      <c r="C433" s="158" t="str">
        <f>Portfolio!C432</f>
        <v/>
      </c>
      <c r="D433" s="96" t="str">
        <f>Portfolio!D432</f>
        <v/>
      </c>
      <c r="E433" s="96" t="str">
        <f>Portfolio!E432</f>
        <v/>
      </c>
      <c r="F433" s="96" t="str">
        <f>Portfolio!G432</f>
        <v/>
      </c>
      <c r="G433" s="50" t="str">
        <f>Portfolio!H432</f>
        <v/>
      </c>
      <c r="H433" s="96" t="str">
        <f>Portfolio!I432</f>
        <v/>
      </c>
      <c r="I433" s="96" t="str">
        <f>Portfolio!J432</f>
        <v/>
      </c>
      <c r="J433" s="96" t="str">
        <f>Portfolio!K432</f>
        <v/>
      </c>
      <c r="K433" s="50" t="str">
        <f>Portfolio!O432</f>
        <v/>
      </c>
      <c r="L433" s="96" t="str">
        <f>Portfolio!P432</f>
        <v/>
      </c>
      <c r="M433" s="96" t="str">
        <f>Portfolio!Q432</f>
        <v/>
      </c>
      <c r="N433" s="14" t="str">
        <f>Portfolio!R432</f>
        <v/>
      </c>
      <c r="O433" s="50" t="str">
        <f>Portfolio!S432</f>
        <v/>
      </c>
      <c r="Q433" s="50" t="str">
        <f>Portfolio!U432</f>
        <v/>
      </c>
      <c r="S433" s="50" t="str">
        <f>Portfolio!W432</f>
        <v/>
      </c>
      <c r="T433" s="50" t="str">
        <f>Portfolio!X432</f>
        <v/>
      </c>
      <c r="U433" s="50" t="str">
        <f>Portfolio!Y432</f>
        <v/>
      </c>
      <c r="V433" s="50" t="str">
        <f>Portfolio!Z432</f>
        <v/>
      </c>
      <c r="W433" s="14" t="str">
        <f>Portfolio!AA432</f>
        <v/>
      </c>
      <c r="X433" s="50" t="str">
        <f>Portfolio!AB432</f>
        <v/>
      </c>
      <c r="Y433" s="179" t="str">
        <f>Portfolio!AC432</f>
        <v/>
      </c>
      <c r="Z433" s="50" t="str">
        <f>Portfolio!AD432</f>
        <v/>
      </c>
      <c r="AA433" s="180" t="str">
        <f>Portfolio!AE432</f>
        <v/>
      </c>
    </row>
    <row r="434">
      <c r="A434" s="14" t="str">
        <f>Portfolio!A433</f>
        <v/>
      </c>
      <c r="B434" s="14" t="str">
        <f>Portfolio!B433</f>
        <v/>
      </c>
      <c r="C434" s="158" t="str">
        <f>Portfolio!C433</f>
        <v/>
      </c>
      <c r="D434" s="96" t="str">
        <f>Portfolio!D433</f>
        <v/>
      </c>
      <c r="E434" s="96" t="str">
        <f>Portfolio!E433</f>
        <v/>
      </c>
      <c r="F434" s="96" t="str">
        <f>Portfolio!G433</f>
        <v/>
      </c>
      <c r="G434" s="50" t="str">
        <f>Portfolio!H433</f>
        <v/>
      </c>
      <c r="H434" s="96" t="str">
        <f>Portfolio!I433</f>
        <v/>
      </c>
      <c r="I434" s="96" t="str">
        <f>Portfolio!J433</f>
        <v/>
      </c>
      <c r="J434" s="96" t="str">
        <f>Portfolio!K433</f>
        <v/>
      </c>
      <c r="K434" s="50" t="str">
        <f>Portfolio!O433</f>
        <v/>
      </c>
      <c r="L434" s="96" t="str">
        <f>Portfolio!P433</f>
        <v/>
      </c>
      <c r="M434" s="96" t="str">
        <f>Portfolio!Q433</f>
        <v/>
      </c>
      <c r="N434" s="14" t="str">
        <f>Portfolio!R433</f>
        <v/>
      </c>
      <c r="O434" s="50" t="str">
        <f>Portfolio!S433</f>
        <v/>
      </c>
      <c r="Q434" s="50" t="str">
        <f>Portfolio!U433</f>
        <v/>
      </c>
      <c r="S434" s="50" t="str">
        <f>Portfolio!W433</f>
        <v/>
      </c>
      <c r="T434" s="50" t="str">
        <f>Portfolio!X433</f>
        <v/>
      </c>
      <c r="U434" s="50" t="str">
        <f>Portfolio!Y433</f>
        <v/>
      </c>
      <c r="V434" s="50" t="str">
        <f>Portfolio!Z433</f>
        <v/>
      </c>
      <c r="W434" s="14" t="str">
        <f>Portfolio!AA433</f>
        <v/>
      </c>
      <c r="X434" s="50" t="str">
        <f>Portfolio!AB433</f>
        <v/>
      </c>
      <c r="Y434" s="179" t="str">
        <f>Portfolio!AC433</f>
        <v/>
      </c>
      <c r="Z434" s="50" t="str">
        <f>Portfolio!AD433</f>
        <v/>
      </c>
      <c r="AA434" s="180" t="str">
        <f>Portfolio!AE433</f>
        <v/>
      </c>
    </row>
    <row r="435">
      <c r="A435" s="14" t="str">
        <f>Portfolio!A434</f>
        <v/>
      </c>
      <c r="B435" s="14" t="str">
        <f>Portfolio!B434</f>
        <v/>
      </c>
      <c r="C435" s="158" t="str">
        <f>Portfolio!C434</f>
        <v/>
      </c>
      <c r="D435" s="96" t="str">
        <f>Portfolio!D434</f>
        <v/>
      </c>
      <c r="E435" s="96" t="str">
        <f>Portfolio!E434</f>
        <v/>
      </c>
      <c r="F435" s="96" t="str">
        <f>Portfolio!G434</f>
        <v/>
      </c>
      <c r="G435" s="50" t="str">
        <f>Portfolio!H434</f>
        <v/>
      </c>
      <c r="H435" s="96" t="str">
        <f>Portfolio!I434</f>
        <v/>
      </c>
      <c r="I435" s="96" t="str">
        <f>Portfolio!J434</f>
        <v/>
      </c>
      <c r="J435" s="96" t="str">
        <f>Portfolio!K434</f>
        <v/>
      </c>
      <c r="K435" s="50" t="str">
        <f>Portfolio!O434</f>
        <v/>
      </c>
      <c r="L435" s="96" t="str">
        <f>Portfolio!P434</f>
        <v/>
      </c>
      <c r="M435" s="96" t="str">
        <f>Portfolio!Q434</f>
        <v/>
      </c>
      <c r="N435" s="14" t="str">
        <f>Portfolio!R434</f>
        <v/>
      </c>
      <c r="O435" s="50" t="str">
        <f>Portfolio!S434</f>
        <v/>
      </c>
      <c r="Q435" s="50" t="str">
        <f>Portfolio!U434</f>
        <v/>
      </c>
      <c r="S435" s="50" t="str">
        <f>Portfolio!W434</f>
        <v/>
      </c>
      <c r="T435" s="50" t="str">
        <f>Portfolio!X434</f>
        <v/>
      </c>
      <c r="U435" s="50" t="str">
        <f>Portfolio!Y434</f>
        <v/>
      </c>
      <c r="V435" s="50" t="str">
        <f>Portfolio!Z434</f>
        <v/>
      </c>
      <c r="W435" s="14" t="str">
        <f>Portfolio!AA434</f>
        <v/>
      </c>
      <c r="X435" s="50" t="str">
        <f>Portfolio!AB434</f>
        <v/>
      </c>
      <c r="Y435" s="179" t="str">
        <f>Portfolio!AC434</f>
        <v/>
      </c>
      <c r="Z435" s="50" t="str">
        <f>Portfolio!AD434</f>
        <v/>
      </c>
      <c r="AA435" s="180" t="str">
        <f>Portfolio!AE434</f>
        <v/>
      </c>
    </row>
    <row r="436">
      <c r="A436" s="14" t="str">
        <f>Portfolio!A435</f>
        <v/>
      </c>
      <c r="B436" s="14" t="str">
        <f>Portfolio!B435</f>
        <v/>
      </c>
      <c r="C436" s="158" t="str">
        <f>Portfolio!C435</f>
        <v/>
      </c>
      <c r="D436" s="96" t="str">
        <f>Portfolio!D435</f>
        <v/>
      </c>
      <c r="E436" s="96" t="str">
        <f>Portfolio!E435</f>
        <v/>
      </c>
      <c r="F436" s="96" t="str">
        <f>Portfolio!G435</f>
        <v/>
      </c>
      <c r="G436" s="50" t="str">
        <f>Portfolio!H435</f>
        <v/>
      </c>
      <c r="H436" s="96" t="str">
        <f>Portfolio!I435</f>
        <v/>
      </c>
      <c r="I436" s="96" t="str">
        <f>Portfolio!J435</f>
        <v/>
      </c>
      <c r="J436" s="96" t="str">
        <f>Portfolio!K435</f>
        <v/>
      </c>
      <c r="K436" s="50" t="str">
        <f>Portfolio!O435</f>
        <v/>
      </c>
      <c r="L436" s="96" t="str">
        <f>Portfolio!P435</f>
        <v/>
      </c>
      <c r="M436" s="96" t="str">
        <f>Portfolio!Q435</f>
        <v/>
      </c>
      <c r="N436" s="14" t="str">
        <f>Portfolio!R435</f>
        <v/>
      </c>
      <c r="O436" s="50" t="str">
        <f>Portfolio!S435</f>
        <v/>
      </c>
      <c r="Q436" s="50" t="str">
        <f>Portfolio!U435</f>
        <v/>
      </c>
      <c r="S436" s="50" t="str">
        <f>Portfolio!W435</f>
        <v/>
      </c>
      <c r="T436" s="50" t="str">
        <f>Portfolio!X435</f>
        <v/>
      </c>
      <c r="U436" s="50" t="str">
        <f>Portfolio!Y435</f>
        <v/>
      </c>
      <c r="V436" s="50" t="str">
        <f>Portfolio!Z435</f>
        <v/>
      </c>
      <c r="W436" s="14" t="str">
        <f>Portfolio!AA435</f>
        <v/>
      </c>
      <c r="X436" s="50" t="str">
        <f>Portfolio!AB435</f>
        <v/>
      </c>
      <c r="Y436" s="179" t="str">
        <f>Portfolio!AC435</f>
        <v/>
      </c>
      <c r="Z436" s="50" t="str">
        <f>Portfolio!AD435</f>
        <v/>
      </c>
      <c r="AA436" s="180" t="str">
        <f>Portfolio!AE435</f>
        <v/>
      </c>
    </row>
    <row r="437">
      <c r="A437" s="14" t="str">
        <f>Portfolio!A436</f>
        <v/>
      </c>
      <c r="B437" s="14" t="str">
        <f>Portfolio!B436</f>
        <v/>
      </c>
      <c r="C437" s="158" t="str">
        <f>Portfolio!C436</f>
        <v/>
      </c>
      <c r="D437" s="96" t="str">
        <f>Portfolio!D436</f>
        <v/>
      </c>
      <c r="E437" s="96" t="str">
        <f>Portfolio!E436</f>
        <v/>
      </c>
      <c r="F437" s="96" t="str">
        <f>Portfolio!G436</f>
        <v/>
      </c>
      <c r="G437" s="50" t="str">
        <f>Portfolio!H436</f>
        <v/>
      </c>
      <c r="H437" s="96" t="str">
        <f>Portfolio!I436</f>
        <v/>
      </c>
      <c r="I437" s="96" t="str">
        <f>Portfolio!J436</f>
        <v/>
      </c>
      <c r="J437" s="96" t="str">
        <f>Portfolio!K436</f>
        <v/>
      </c>
      <c r="K437" s="50" t="str">
        <f>Portfolio!O436</f>
        <v/>
      </c>
      <c r="L437" s="96" t="str">
        <f>Portfolio!P436</f>
        <v/>
      </c>
      <c r="M437" s="96" t="str">
        <f>Portfolio!Q436</f>
        <v/>
      </c>
      <c r="N437" s="14" t="str">
        <f>Portfolio!R436</f>
        <v/>
      </c>
      <c r="O437" s="50" t="str">
        <f>Portfolio!S436</f>
        <v/>
      </c>
      <c r="Q437" s="50" t="str">
        <f>Portfolio!U436</f>
        <v/>
      </c>
      <c r="S437" s="50" t="str">
        <f>Portfolio!W436</f>
        <v/>
      </c>
      <c r="T437" s="50" t="str">
        <f>Portfolio!X436</f>
        <v/>
      </c>
      <c r="U437" s="50" t="str">
        <f>Portfolio!Y436</f>
        <v/>
      </c>
      <c r="V437" s="50" t="str">
        <f>Portfolio!Z436</f>
        <v/>
      </c>
      <c r="W437" s="14" t="str">
        <f>Portfolio!AA436</f>
        <v/>
      </c>
      <c r="X437" s="50" t="str">
        <f>Portfolio!AB436</f>
        <v/>
      </c>
      <c r="Y437" s="179" t="str">
        <f>Portfolio!AC436</f>
        <v/>
      </c>
      <c r="Z437" s="50" t="str">
        <f>Portfolio!AD436</f>
        <v/>
      </c>
      <c r="AA437" s="180" t="str">
        <f>Portfolio!AE436</f>
        <v/>
      </c>
    </row>
    <row r="438">
      <c r="A438" s="14" t="str">
        <f>Portfolio!A437</f>
        <v/>
      </c>
      <c r="B438" s="14" t="str">
        <f>Portfolio!B437</f>
        <v/>
      </c>
      <c r="C438" s="158" t="str">
        <f>Portfolio!C437</f>
        <v/>
      </c>
      <c r="D438" s="96" t="str">
        <f>Portfolio!D437</f>
        <v/>
      </c>
      <c r="E438" s="96" t="str">
        <f>Portfolio!E437</f>
        <v/>
      </c>
      <c r="F438" s="96" t="str">
        <f>Portfolio!G437</f>
        <v/>
      </c>
      <c r="G438" s="50" t="str">
        <f>Portfolio!H437</f>
        <v/>
      </c>
      <c r="H438" s="96" t="str">
        <f>Portfolio!I437</f>
        <v/>
      </c>
      <c r="I438" s="96" t="str">
        <f>Portfolio!J437</f>
        <v/>
      </c>
      <c r="J438" s="96" t="str">
        <f>Portfolio!K437</f>
        <v/>
      </c>
      <c r="K438" s="50" t="str">
        <f>Portfolio!O437</f>
        <v/>
      </c>
      <c r="L438" s="96" t="str">
        <f>Portfolio!P437</f>
        <v/>
      </c>
      <c r="M438" s="96" t="str">
        <f>Portfolio!Q437</f>
        <v/>
      </c>
      <c r="N438" s="14" t="str">
        <f>Portfolio!R437</f>
        <v/>
      </c>
      <c r="O438" s="50" t="str">
        <f>Portfolio!S437</f>
        <v/>
      </c>
      <c r="Q438" s="50" t="str">
        <f>Portfolio!U437</f>
        <v/>
      </c>
      <c r="S438" s="50" t="str">
        <f>Portfolio!W437</f>
        <v/>
      </c>
      <c r="T438" s="50" t="str">
        <f>Portfolio!X437</f>
        <v/>
      </c>
      <c r="U438" s="50" t="str">
        <f>Portfolio!Y437</f>
        <v/>
      </c>
      <c r="V438" s="50" t="str">
        <f>Portfolio!Z437</f>
        <v/>
      </c>
      <c r="W438" s="14" t="str">
        <f>Portfolio!AA437</f>
        <v/>
      </c>
      <c r="X438" s="50" t="str">
        <f>Portfolio!AB437</f>
        <v/>
      </c>
      <c r="Y438" s="179" t="str">
        <f>Portfolio!AC437</f>
        <v/>
      </c>
      <c r="Z438" s="50" t="str">
        <f>Portfolio!AD437</f>
        <v/>
      </c>
      <c r="AA438" s="180" t="str">
        <f>Portfolio!AE437</f>
        <v/>
      </c>
    </row>
    <row r="439">
      <c r="A439" s="14" t="str">
        <f>Portfolio!A438</f>
        <v/>
      </c>
      <c r="B439" s="14" t="str">
        <f>Portfolio!B438</f>
        <v/>
      </c>
      <c r="C439" s="158" t="str">
        <f>Portfolio!C438</f>
        <v/>
      </c>
      <c r="D439" s="96" t="str">
        <f>Portfolio!D438</f>
        <v/>
      </c>
      <c r="E439" s="96" t="str">
        <f>Portfolio!E438</f>
        <v/>
      </c>
      <c r="F439" s="96" t="str">
        <f>Portfolio!G438</f>
        <v/>
      </c>
      <c r="G439" s="50" t="str">
        <f>Portfolio!H438</f>
        <v/>
      </c>
      <c r="H439" s="96" t="str">
        <f>Portfolio!I438</f>
        <v/>
      </c>
      <c r="I439" s="96" t="str">
        <f>Portfolio!J438</f>
        <v/>
      </c>
      <c r="J439" s="96" t="str">
        <f>Portfolio!K438</f>
        <v/>
      </c>
      <c r="K439" s="50" t="str">
        <f>Portfolio!O438</f>
        <v/>
      </c>
      <c r="L439" s="96" t="str">
        <f>Portfolio!P438</f>
        <v/>
      </c>
      <c r="M439" s="96" t="str">
        <f>Portfolio!Q438</f>
        <v/>
      </c>
      <c r="N439" s="14" t="str">
        <f>Portfolio!R438</f>
        <v/>
      </c>
      <c r="O439" s="50" t="str">
        <f>Portfolio!S438</f>
        <v/>
      </c>
      <c r="Q439" s="50" t="str">
        <f>Portfolio!U438</f>
        <v/>
      </c>
      <c r="S439" s="50" t="str">
        <f>Portfolio!W438</f>
        <v/>
      </c>
      <c r="T439" s="50" t="str">
        <f>Portfolio!X438</f>
        <v/>
      </c>
      <c r="U439" s="50" t="str">
        <f>Portfolio!Y438</f>
        <v/>
      </c>
      <c r="V439" s="50" t="str">
        <f>Portfolio!Z438</f>
        <v/>
      </c>
      <c r="W439" s="14" t="str">
        <f>Portfolio!AA438</f>
        <v/>
      </c>
      <c r="X439" s="50" t="str">
        <f>Portfolio!AB438</f>
        <v/>
      </c>
      <c r="Y439" s="179" t="str">
        <f>Portfolio!AC438</f>
        <v/>
      </c>
      <c r="Z439" s="50" t="str">
        <f>Portfolio!AD438</f>
        <v/>
      </c>
      <c r="AA439" s="180" t="str">
        <f>Portfolio!AE438</f>
        <v/>
      </c>
    </row>
    <row r="440">
      <c r="A440" s="14" t="str">
        <f>Portfolio!A439</f>
        <v/>
      </c>
      <c r="B440" s="14" t="str">
        <f>Portfolio!B439</f>
        <v/>
      </c>
      <c r="C440" s="158" t="str">
        <f>Portfolio!C439</f>
        <v/>
      </c>
      <c r="D440" s="96" t="str">
        <f>Portfolio!D439</f>
        <v/>
      </c>
      <c r="E440" s="96" t="str">
        <f>Portfolio!E439</f>
        <v/>
      </c>
      <c r="F440" s="96" t="str">
        <f>Portfolio!G439</f>
        <v/>
      </c>
      <c r="G440" s="50" t="str">
        <f>Portfolio!H439</f>
        <v/>
      </c>
      <c r="H440" s="96" t="str">
        <f>Portfolio!I439</f>
        <v/>
      </c>
      <c r="I440" s="96" t="str">
        <f>Portfolio!J439</f>
        <v/>
      </c>
      <c r="J440" s="96" t="str">
        <f>Portfolio!K439</f>
        <v/>
      </c>
      <c r="K440" s="50" t="str">
        <f>Portfolio!O439</f>
        <v/>
      </c>
      <c r="L440" s="96" t="str">
        <f>Portfolio!P439</f>
        <v/>
      </c>
      <c r="M440" s="96" t="str">
        <f>Portfolio!Q439</f>
        <v/>
      </c>
      <c r="N440" s="14" t="str">
        <f>Portfolio!R439</f>
        <v/>
      </c>
      <c r="O440" s="50" t="str">
        <f>Portfolio!S439</f>
        <v/>
      </c>
      <c r="Q440" s="50" t="str">
        <f>Portfolio!U439</f>
        <v/>
      </c>
      <c r="S440" s="50" t="str">
        <f>Portfolio!W439</f>
        <v/>
      </c>
      <c r="T440" s="50" t="str">
        <f>Portfolio!X439</f>
        <v/>
      </c>
      <c r="U440" s="50" t="str">
        <f>Portfolio!Y439</f>
        <v/>
      </c>
      <c r="V440" s="50" t="str">
        <f>Portfolio!Z439</f>
        <v/>
      </c>
      <c r="W440" s="14" t="str">
        <f>Portfolio!AA439</f>
        <v/>
      </c>
      <c r="X440" s="50" t="str">
        <f>Portfolio!AB439</f>
        <v/>
      </c>
      <c r="Y440" s="179" t="str">
        <f>Portfolio!AC439</f>
        <v/>
      </c>
      <c r="Z440" s="50" t="str">
        <f>Portfolio!AD439</f>
        <v/>
      </c>
      <c r="AA440" s="180" t="str">
        <f>Portfolio!AE439</f>
        <v/>
      </c>
    </row>
    <row r="441">
      <c r="A441" s="14" t="str">
        <f>Portfolio!A440</f>
        <v/>
      </c>
      <c r="B441" s="14" t="str">
        <f>Portfolio!B440</f>
        <v/>
      </c>
      <c r="C441" s="158" t="str">
        <f>Portfolio!C440</f>
        <v/>
      </c>
      <c r="D441" s="96" t="str">
        <f>Portfolio!D440</f>
        <v/>
      </c>
      <c r="E441" s="96" t="str">
        <f>Portfolio!E440</f>
        <v/>
      </c>
      <c r="F441" s="96" t="str">
        <f>Portfolio!G440</f>
        <v/>
      </c>
      <c r="G441" s="50" t="str">
        <f>Portfolio!H440</f>
        <v/>
      </c>
      <c r="H441" s="96" t="str">
        <f>Portfolio!I440</f>
        <v/>
      </c>
      <c r="I441" s="96" t="str">
        <f>Portfolio!J440</f>
        <v/>
      </c>
      <c r="J441" s="96" t="str">
        <f>Portfolio!K440</f>
        <v/>
      </c>
      <c r="K441" s="50" t="str">
        <f>Portfolio!O440</f>
        <v/>
      </c>
      <c r="L441" s="96" t="str">
        <f>Portfolio!P440</f>
        <v/>
      </c>
      <c r="M441" s="96" t="str">
        <f>Portfolio!Q440</f>
        <v/>
      </c>
      <c r="N441" s="14" t="str">
        <f>Portfolio!R440</f>
        <v/>
      </c>
      <c r="O441" s="50" t="str">
        <f>Portfolio!S440</f>
        <v/>
      </c>
      <c r="Q441" s="50" t="str">
        <f>Portfolio!U440</f>
        <v/>
      </c>
      <c r="S441" s="50" t="str">
        <f>Portfolio!W440</f>
        <v/>
      </c>
      <c r="T441" s="50" t="str">
        <f>Portfolio!X440</f>
        <v/>
      </c>
      <c r="U441" s="50" t="str">
        <f>Portfolio!Y440</f>
        <v/>
      </c>
      <c r="V441" s="50" t="str">
        <f>Portfolio!Z440</f>
        <v/>
      </c>
      <c r="W441" s="14" t="str">
        <f>Portfolio!AA440</f>
        <v/>
      </c>
      <c r="X441" s="50" t="str">
        <f>Portfolio!AB440</f>
        <v/>
      </c>
      <c r="Y441" s="179" t="str">
        <f>Portfolio!AC440</f>
        <v/>
      </c>
      <c r="Z441" s="50" t="str">
        <f>Portfolio!AD440</f>
        <v/>
      </c>
      <c r="AA441" s="180" t="str">
        <f>Portfolio!AE440</f>
        <v/>
      </c>
    </row>
    <row r="442">
      <c r="A442" s="14" t="str">
        <f>Portfolio!A441</f>
        <v/>
      </c>
      <c r="B442" s="14" t="str">
        <f>Portfolio!B441</f>
        <v/>
      </c>
      <c r="C442" s="158" t="str">
        <f>Portfolio!C441</f>
        <v/>
      </c>
      <c r="D442" s="96" t="str">
        <f>Portfolio!D441</f>
        <v/>
      </c>
      <c r="E442" s="96" t="str">
        <f>Portfolio!E441</f>
        <v/>
      </c>
      <c r="F442" s="96" t="str">
        <f>Portfolio!G441</f>
        <v/>
      </c>
      <c r="G442" s="50" t="str">
        <f>Portfolio!H441</f>
        <v/>
      </c>
      <c r="H442" s="96" t="str">
        <f>Portfolio!I441</f>
        <v/>
      </c>
      <c r="I442" s="96" t="str">
        <f>Portfolio!J441</f>
        <v/>
      </c>
      <c r="J442" s="96" t="str">
        <f>Portfolio!K441</f>
        <v/>
      </c>
      <c r="K442" s="50" t="str">
        <f>Portfolio!O441</f>
        <v/>
      </c>
      <c r="L442" s="96" t="str">
        <f>Portfolio!P441</f>
        <v/>
      </c>
      <c r="M442" s="96" t="str">
        <f>Portfolio!Q441</f>
        <v/>
      </c>
      <c r="N442" s="14" t="str">
        <f>Portfolio!R441</f>
        <v/>
      </c>
      <c r="O442" s="50" t="str">
        <f>Portfolio!S441</f>
        <v/>
      </c>
      <c r="Q442" s="50" t="str">
        <f>Portfolio!U441</f>
        <v/>
      </c>
      <c r="S442" s="50" t="str">
        <f>Portfolio!W441</f>
        <v/>
      </c>
      <c r="T442" s="50" t="str">
        <f>Portfolio!X441</f>
        <v/>
      </c>
      <c r="U442" s="50" t="str">
        <f>Portfolio!Y441</f>
        <v/>
      </c>
      <c r="V442" s="50" t="str">
        <f>Portfolio!Z441</f>
        <v/>
      </c>
      <c r="W442" s="14" t="str">
        <f>Portfolio!AA441</f>
        <v/>
      </c>
      <c r="X442" s="50" t="str">
        <f>Portfolio!AB441</f>
        <v/>
      </c>
      <c r="Y442" s="179" t="str">
        <f>Portfolio!AC441</f>
        <v/>
      </c>
      <c r="Z442" s="50" t="str">
        <f>Portfolio!AD441</f>
        <v/>
      </c>
      <c r="AA442" s="180" t="str">
        <f>Portfolio!AE441</f>
        <v/>
      </c>
    </row>
    <row r="443">
      <c r="A443" s="14" t="str">
        <f>Portfolio!A442</f>
        <v/>
      </c>
      <c r="B443" s="14" t="str">
        <f>Portfolio!B442</f>
        <v/>
      </c>
      <c r="C443" s="158" t="str">
        <f>Portfolio!C442</f>
        <v/>
      </c>
      <c r="D443" s="96" t="str">
        <f>Portfolio!D442</f>
        <v/>
      </c>
      <c r="E443" s="96" t="str">
        <f>Portfolio!E442</f>
        <v/>
      </c>
      <c r="F443" s="96" t="str">
        <f>Portfolio!G442</f>
        <v/>
      </c>
      <c r="G443" s="50" t="str">
        <f>Portfolio!H442</f>
        <v/>
      </c>
      <c r="H443" s="96" t="str">
        <f>Portfolio!I442</f>
        <v/>
      </c>
      <c r="I443" s="96" t="str">
        <f>Portfolio!J442</f>
        <v/>
      </c>
      <c r="J443" s="96" t="str">
        <f>Portfolio!K442</f>
        <v/>
      </c>
      <c r="K443" s="50" t="str">
        <f>Portfolio!O442</f>
        <v/>
      </c>
      <c r="L443" s="96" t="str">
        <f>Portfolio!P442</f>
        <v/>
      </c>
      <c r="M443" s="96" t="str">
        <f>Portfolio!Q442</f>
        <v/>
      </c>
      <c r="N443" s="14" t="str">
        <f>Portfolio!R442</f>
        <v/>
      </c>
      <c r="O443" s="50" t="str">
        <f>Portfolio!S442</f>
        <v/>
      </c>
      <c r="Q443" s="50" t="str">
        <f>Portfolio!U442</f>
        <v/>
      </c>
      <c r="S443" s="50" t="str">
        <f>Portfolio!W442</f>
        <v/>
      </c>
      <c r="T443" s="50" t="str">
        <f>Portfolio!X442</f>
        <v/>
      </c>
      <c r="U443" s="50" t="str">
        <f>Portfolio!Y442</f>
        <v/>
      </c>
      <c r="V443" s="50" t="str">
        <f>Portfolio!Z442</f>
        <v/>
      </c>
      <c r="W443" s="14" t="str">
        <f>Portfolio!AA442</f>
        <v/>
      </c>
      <c r="X443" s="50" t="str">
        <f>Portfolio!AB442</f>
        <v/>
      </c>
      <c r="Y443" s="179" t="str">
        <f>Portfolio!AC442</f>
        <v/>
      </c>
      <c r="Z443" s="50" t="str">
        <f>Portfolio!AD442</f>
        <v/>
      </c>
      <c r="AA443" s="180" t="str">
        <f>Portfolio!AE442</f>
        <v/>
      </c>
    </row>
    <row r="444">
      <c r="A444" s="14" t="str">
        <f>Portfolio!A443</f>
        <v/>
      </c>
      <c r="B444" s="14" t="str">
        <f>Portfolio!B443</f>
        <v/>
      </c>
      <c r="C444" s="158" t="str">
        <f>Portfolio!C443</f>
        <v/>
      </c>
      <c r="D444" s="96" t="str">
        <f>Portfolio!D443</f>
        <v/>
      </c>
      <c r="E444" s="96" t="str">
        <f>Portfolio!E443</f>
        <v/>
      </c>
      <c r="F444" s="96" t="str">
        <f>Portfolio!G443</f>
        <v/>
      </c>
      <c r="G444" s="50" t="str">
        <f>Portfolio!H443</f>
        <v/>
      </c>
      <c r="H444" s="96" t="str">
        <f>Portfolio!I443</f>
        <v/>
      </c>
      <c r="I444" s="96" t="str">
        <f>Portfolio!J443</f>
        <v/>
      </c>
      <c r="J444" s="96" t="str">
        <f>Portfolio!K443</f>
        <v/>
      </c>
      <c r="K444" s="50" t="str">
        <f>Portfolio!O443</f>
        <v/>
      </c>
      <c r="L444" s="96" t="str">
        <f>Portfolio!P443</f>
        <v/>
      </c>
      <c r="M444" s="96" t="str">
        <f>Portfolio!Q443</f>
        <v/>
      </c>
      <c r="N444" s="14" t="str">
        <f>Portfolio!R443</f>
        <v/>
      </c>
      <c r="O444" s="50" t="str">
        <f>Portfolio!S443</f>
        <v/>
      </c>
      <c r="Q444" s="50" t="str">
        <f>Portfolio!U443</f>
        <v/>
      </c>
      <c r="S444" s="50" t="str">
        <f>Portfolio!W443</f>
        <v/>
      </c>
      <c r="T444" s="50" t="str">
        <f>Portfolio!X443</f>
        <v/>
      </c>
      <c r="U444" s="50" t="str">
        <f>Portfolio!Y443</f>
        <v/>
      </c>
      <c r="V444" s="50" t="str">
        <f>Portfolio!Z443</f>
        <v/>
      </c>
      <c r="W444" s="14" t="str">
        <f>Portfolio!AA443</f>
        <v/>
      </c>
      <c r="X444" s="50" t="str">
        <f>Portfolio!AB443</f>
        <v/>
      </c>
      <c r="Y444" s="179" t="str">
        <f>Portfolio!AC443</f>
        <v/>
      </c>
      <c r="Z444" s="50" t="str">
        <f>Portfolio!AD443</f>
        <v/>
      </c>
      <c r="AA444" s="180" t="str">
        <f>Portfolio!AE443</f>
        <v/>
      </c>
    </row>
    <row r="445">
      <c r="A445" s="14" t="str">
        <f>Portfolio!A444</f>
        <v/>
      </c>
      <c r="B445" s="14" t="str">
        <f>Portfolio!B444</f>
        <v/>
      </c>
      <c r="C445" s="158" t="str">
        <f>Portfolio!C444</f>
        <v/>
      </c>
      <c r="D445" s="96" t="str">
        <f>Portfolio!D444</f>
        <v/>
      </c>
      <c r="E445" s="96" t="str">
        <f>Portfolio!E444</f>
        <v/>
      </c>
      <c r="F445" s="96" t="str">
        <f>Portfolio!G444</f>
        <v/>
      </c>
      <c r="G445" s="50" t="str">
        <f>Portfolio!H444</f>
        <v/>
      </c>
      <c r="H445" s="96" t="str">
        <f>Portfolio!I444</f>
        <v/>
      </c>
      <c r="I445" s="96" t="str">
        <f>Portfolio!J444</f>
        <v/>
      </c>
      <c r="J445" s="96" t="str">
        <f>Portfolio!K444</f>
        <v/>
      </c>
      <c r="K445" s="50" t="str">
        <f>Portfolio!O444</f>
        <v/>
      </c>
      <c r="L445" s="96" t="str">
        <f>Portfolio!P444</f>
        <v/>
      </c>
      <c r="M445" s="96" t="str">
        <f>Portfolio!Q444</f>
        <v/>
      </c>
      <c r="N445" s="14" t="str">
        <f>Portfolio!R444</f>
        <v/>
      </c>
      <c r="O445" s="50" t="str">
        <f>Portfolio!S444</f>
        <v/>
      </c>
      <c r="Q445" s="50" t="str">
        <f>Portfolio!U444</f>
        <v/>
      </c>
      <c r="S445" s="50" t="str">
        <f>Portfolio!W444</f>
        <v/>
      </c>
      <c r="T445" s="50" t="str">
        <f>Portfolio!X444</f>
        <v/>
      </c>
      <c r="U445" s="50" t="str">
        <f>Portfolio!Y444</f>
        <v/>
      </c>
      <c r="V445" s="50" t="str">
        <f>Portfolio!Z444</f>
        <v/>
      </c>
      <c r="W445" s="14" t="str">
        <f>Portfolio!AA444</f>
        <v/>
      </c>
      <c r="X445" s="50" t="str">
        <f>Portfolio!AB444</f>
        <v/>
      </c>
      <c r="Y445" s="179" t="str">
        <f>Portfolio!AC444</f>
        <v/>
      </c>
      <c r="Z445" s="50" t="str">
        <f>Portfolio!AD444</f>
        <v/>
      </c>
      <c r="AA445" s="180" t="str">
        <f>Portfolio!AE444</f>
        <v/>
      </c>
    </row>
    <row r="446">
      <c r="A446" s="14" t="str">
        <f>Portfolio!A445</f>
        <v/>
      </c>
      <c r="B446" s="14" t="str">
        <f>Portfolio!B445</f>
        <v/>
      </c>
      <c r="C446" s="158" t="str">
        <f>Portfolio!C445</f>
        <v/>
      </c>
      <c r="D446" s="96" t="str">
        <f>Portfolio!D445</f>
        <v/>
      </c>
      <c r="E446" s="96" t="str">
        <f>Portfolio!E445</f>
        <v/>
      </c>
      <c r="F446" s="96" t="str">
        <f>Portfolio!G445</f>
        <v/>
      </c>
      <c r="G446" s="50" t="str">
        <f>Portfolio!H445</f>
        <v/>
      </c>
      <c r="H446" s="96" t="str">
        <f>Portfolio!I445</f>
        <v/>
      </c>
      <c r="I446" s="96" t="str">
        <f>Portfolio!J445</f>
        <v/>
      </c>
      <c r="J446" s="96" t="str">
        <f>Portfolio!K445</f>
        <v/>
      </c>
      <c r="K446" s="50" t="str">
        <f>Portfolio!O445</f>
        <v/>
      </c>
      <c r="L446" s="96" t="str">
        <f>Portfolio!P445</f>
        <v/>
      </c>
      <c r="M446" s="96" t="str">
        <f>Portfolio!Q445</f>
        <v/>
      </c>
      <c r="N446" s="14" t="str">
        <f>Portfolio!R445</f>
        <v/>
      </c>
      <c r="O446" s="50" t="str">
        <f>Portfolio!S445</f>
        <v/>
      </c>
      <c r="Q446" s="50" t="str">
        <f>Portfolio!U445</f>
        <v/>
      </c>
      <c r="S446" s="50" t="str">
        <f>Portfolio!W445</f>
        <v/>
      </c>
      <c r="T446" s="50" t="str">
        <f>Portfolio!X445</f>
        <v/>
      </c>
      <c r="U446" s="50" t="str">
        <f>Portfolio!Y445</f>
        <v/>
      </c>
      <c r="V446" s="50" t="str">
        <f>Portfolio!Z445</f>
        <v/>
      </c>
      <c r="W446" s="14" t="str">
        <f>Portfolio!AA445</f>
        <v/>
      </c>
      <c r="X446" s="50" t="str">
        <f>Portfolio!AB445</f>
        <v/>
      </c>
      <c r="Y446" s="179" t="str">
        <f>Portfolio!AC445</f>
        <v/>
      </c>
      <c r="Z446" s="50" t="str">
        <f>Portfolio!AD445</f>
        <v/>
      </c>
      <c r="AA446" s="180" t="str">
        <f>Portfolio!AE445</f>
        <v/>
      </c>
    </row>
    <row r="447">
      <c r="A447" s="14" t="str">
        <f>Portfolio!A446</f>
        <v/>
      </c>
      <c r="B447" s="14" t="str">
        <f>Portfolio!B446</f>
        <v/>
      </c>
      <c r="C447" s="158" t="str">
        <f>Portfolio!C446</f>
        <v/>
      </c>
      <c r="D447" s="96" t="str">
        <f>Portfolio!D446</f>
        <v/>
      </c>
      <c r="E447" s="96" t="str">
        <f>Portfolio!E446</f>
        <v/>
      </c>
      <c r="F447" s="96" t="str">
        <f>Portfolio!G446</f>
        <v/>
      </c>
      <c r="G447" s="50" t="str">
        <f>Portfolio!H446</f>
        <v/>
      </c>
      <c r="H447" s="96" t="str">
        <f>Portfolio!I446</f>
        <v/>
      </c>
      <c r="I447" s="96" t="str">
        <f>Portfolio!J446</f>
        <v/>
      </c>
      <c r="J447" s="96" t="str">
        <f>Portfolio!K446</f>
        <v/>
      </c>
      <c r="K447" s="50" t="str">
        <f>Portfolio!O446</f>
        <v/>
      </c>
      <c r="L447" s="96" t="str">
        <f>Portfolio!P446</f>
        <v/>
      </c>
      <c r="M447" s="96" t="str">
        <f>Portfolio!Q446</f>
        <v/>
      </c>
      <c r="N447" s="14" t="str">
        <f>Portfolio!R446</f>
        <v/>
      </c>
      <c r="O447" s="50" t="str">
        <f>Portfolio!S446</f>
        <v/>
      </c>
      <c r="Q447" s="50" t="str">
        <f>Portfolio!U446</f>
        <v/>
      </c>
      <c r="S447" s="50" t="str">
        <f>Portfolio!W446</f>
        <v/>
      </c>
      <c r="T447" s="50" t="str">
        <f>Portfolio!X446</f>
        <v/>
      </c>
      <c r="U447" s="50" t="str">
        <f>Portfolio!Y446</f>
        <v/>
      </c>
      <c r="V447" s="50" t="str">
        <f>Portfolio!Z446</f>
        <v/>
      </c>
      <c r="W447" s="14" t="str">
        <f>Portfolio!AA446</f>
        <v/>
      </c>
      <c r="X447" s="50" t="str">
        <f>Portfolio!AB446</f>
        <v/>
      </c>
      <c r="Y447" s="179" t="str">
        <f>Portfolio!AC446</f>
        <v/>
      </c>
      <c r="Z447" s="50" t="str">
        <f>Portfolio!AD446</f>
        <v/>
      </c>
      <c r="AA447" s="180" t="str">
        <f>Portfolio!AE446</f>
        <v/>
      </c>
    </row>
    <row r="448">
      <c r="A448" s="14" t="str">
        <f>Portfolio!A447</f>
        <v/>
      </c>
      <c r="B448" s="14" t="str">
        <f>Portfolio!B447</f>
        <v/>
      </c>
      <c r="C448" s="158" t="str">
        <f>Portfolio!C447</f>
        <v/>
      </c>
      <c r="D448" s="96" t="str">
        <f>Portfolio!D447</f>
        <v/>
      </c>
      <c r="E448" s="96" t="str">
        <f>Portfolio!E447</f>
        <v/>
      </c>
      <c r="F448" s="96" t="str">
        <f>Portfolio!G447</f>
        <v/>
      </c>
      <c r="G448" s="50" t="str">
        <f>Portfolio!H447</f>
        <v/>
      </c>
      <c r="H448" s="96" t="str">
        <f>Portfolio!I447</f>
        <v/>
      </c>
      <c r="I448" s="96" t="str">
        <f>Portfolio!J447</f>
        <v/>
      </c>
      <c r="J448" s="96" t="str">
        <f>Portfolio!K447</f>
        <v/>
      </c>
      <c r="K448" s="50" t="str">
        <f>Portfolio!O447</f>
        <v/>
      </c>
      <c r="L448" s="96" t="str">
        <f>Portfolio!P447</f>
        <v/>
      </c>
      <c r="M448" s="96" t="str">
        <f>Portfolio!Q447</f>
        <v/>
      </c>
      <c r="N448" s="14" t="str">
        <f>Portfolio!R447</f>
        <v/>
      </c>
      <c r="O448" s="50" t="str">
        <f>Portfolio!S447</f>
        <v/>
      </c>
      <c r="Q448" s="50" t="str">
        <f>Portfolio!U447</f>
        <v/>
      </c>
      <c r="S448" s="50" t="str">
        <f>Portfolio!W447</f>
        <v/>
      </c>
      <c r="T448" s="50" t="str">
        <f>Portfolio!X447</f>
        <v/>
      </c>
      <c r="U448" s="50" t="str">
        <f>Portfolio!Y447</f>
        <v/>
      </c>
      <c r="V448" s="50" t="str">
        <f>Portfolio!Z447</f>
        <v/>
      </c>
      <c r="W448" s="14" t="str">
        <f>Portfolio!AA447</f>
        <v/>
      </c>
      <c r="X448" s="50" t="str">
        <f>Portfolio!AB447</f>
        <v/>
      </c>
      <c r="Y448" s="179" t="str">
        <f>Portfolio!AC447</f>
        <v/>
      </c>
      <c r="Z448" s="50" t="str">
        <f>Portfolio!AD447</f>
        <v/>
      </c>
      <c r="AA448" s="180" t="str">
        <f>Portfolio!AE447</f>
        <v/>
      </c>
    </row>
    <row r="449">
      <c r="A449" s="14" t="str">
        <f>Portfolio!A448</f>
        <v/>
      </c>
      <c r="B449" s="14" t="str">
        <f>Portfolio!B448</f>
        <v/>
      </c>
      <c r="C449" s="158" t="str">
        <f>Portfolio!C448</f>
        <v/>
      </c>
      <c r="D449" s="96" t="str">
        <f>Portfolio!D448</f>
        <v/>
      </c>
      <c r="E449" s="96" t="str">
        <f>Portfolio!E448</f>
        <v/>
      </c>
      <c r="F449" s="96" t="str">
        <f>Portfolio!G448</f>
        <v/>
      </c>
      <c r="G449" s="50" t="str">
        <f>Portfolio!H448</f>
        <v/>
      </c>
      <c r="H449" s="96" t="str">
        <f>Portfolio!I448</f>
        <v/>
      </c>
      <c r="I449" s="96" t="str">
        <f>Portfolio!J448</f>
        <v/>
      </c>
      <c r="J449" s="96" t="str">
        <f>Portfolio!K448</f>
        <v/>
      </c>
      <c r="K449" s="50" t="str">
        <f>Portfolio!O448</f>
        <v/>
      </c>
      <c r="L449" s="96" t="str">
        <f>Portfolio!P448</f>
        <v/>
      </c>
      <c r="M449" s="96" t="str">
        <f>Portfolio!Q448</f>
        <v/>
      </c>
      <c r="N449" s="14" t="str">
        <f>Portfolio!R448</f>
        <v/>
      </c>
      <c r="O449" s="50" t="str">
        <f>Portfolio!S448</f>
        <v/>
      </c>
      <c r="Q449" s="50" t="str">
        <f>Portfolio!U448</f>
        <v/>
      </c>
      <c r="S449" s="50" t="str">
        <f>Portfolio!W448</f>
        <v/>
      </c>
      <c r="T449" s="50" t="str">
        <f>Portfolio!X448</f>
        <v/>
      </c>
      <c r="U449" s="50" t="str">
        <f>Portfolio!Y448</f>
        <v/>
      </c>
      <c r="V449" s="50" t="str">
        <f>Portfolio!Z448</f>
        <v/>
      </c>
      <c r="W449" s="14" t="str">
        <f>Portfolio!AA448</f>
        <v/>
      </c>
      <c r="X449" s="50" t="str">
        <f>Portfolio!AB448</f>
        <v/>
      </c>
      <c r="Y449" s="179" t="str">
        <f>Portfolio!AC448</f>
        <v/>
      </c>
      <c r="Z449" s="50" t="str">
        <f>Portfolio!AD448</f>
        <v/>
      </c>
      <c r="AA449" s="180" t="str">
        <f>Portfolio!AE448</f>
        <v/>
      </c>
    </row>
    <row r="450">
      <c r="A450" s="14" t="str">
        <f>Portfolio!A449</f>
        <v/>
      </c>
      <c r="B450" s="14" t="str">
        <f>Portfolio!B449</f>
        <v/>
      </c>
      <c r="C450" s="158" t="str">
        <f>Portfolio!C449</f>
        <v/>
      </c>
      <c r="D450" s="96" t="str">
        <f>Portfolio!D449</f>
        <v/>
      </c>
      <c r="E450" s="96" t="str">
        <f>Portfolio!E449</f>
        <v/>
      </c>
      <c r="F450" s="96" t="str">
        <f>Portfolio!G449</f>
        <v/>
      </c>
      <c r="G450" s="50" t="str">
        <f>Portfolio!H449</f>
        <v/>
      </c>
      <c r="H450" s="96" t="str">
        <f>Portfolio!I449</f>
        <v/>
      </c>
      <c r="I450" s="96" t="str">
        <f>Portfolio!J449</f>
        <v/>
      </c>
      <c r="J450" s="96" t="str">
        <f>Portfolio!K449</f>
        <v/>
      </c>
      <c r="K450" s="50" t="str">
        <f>Portfolio!O449</f>
        <v/>
      </c>
      <c r="L450" s="96" t="str">
        <f>Portfolio!P449</f>
        <v/>
      </c>
      <c r="M450" s="96" t="str">
        <f>Portfolio!Q449</f>
        <v/>
      </c>
      <c r="N450" s="14" t="str">
        <f>Portfolio!R449</f>
        <v/>
      </c>
      <c r="O450" s="50" t="str">
        <f>Portfolio!S449</f>
        <v/>
      </c>
      <c r="Q450" s="50" t="str">
        <f>Portfolio!U449</f>
        <v/>
      </c>
      <c r="S450" s="50" t="str">
        <f>Portfolio!W449</f>
        <v/>
      </c>
      <c r="T450" s="50" t="str">
        <f>Portfolio!X449</f>
        <v/>
      </c>
      <c r="U450" s="50" t="str">
        <f>Portfolio!Y449</f>
        <v/>
      </c>
      <c r="V450" s="50" t="str">
        <f>Portfolio!Z449</f>
        <v/>
      </c>
      <c r="W450" s="14" t="str">
        <f>Portfolio!AA449</f>
        <v/>
      </c>
      <c r="X450" s="50" t="str">
        <f>Portfolio!AB449</f>
        <v/>
      </c>
      <c r="Y450" s="179" t="str">
        <f>Portfolio!AC449</f>
        <v/>
      </c>
      <c r="Z450" s="50" t="str">
        <f>Portfolio!AD449</f>
        <v/>
      </c>
      <c r="AA450" s="180" t="str">
        <f>Portfolio!AE449</f>
        <v/>
      </c>
    </row>
    <row r="451">
      <c r="A451" s="14" t="str">
        <f>Portfolio!A450</f>
        <v/>
      </c>
      <c r="B451" s="14" t="str">
        <f>Portfolio!B450</f>
        <v/>
      </c>
      <c r="C451" s="158" t="str">
        <f>Portfolio!C450</f>
        <v/>
      </c>
      <c r="D451" s="96" t="str">
        <f>Portfolio!D450</f>
        <v/>
      </c>
      <c r="E451" s="96" t="str">
        <f>Portfolio!E450</f>
        <v/>
      </c>
      <c r="F451" s="96" t="str">
        <f>Portfolio!G450</f>
        <v/>
      </c>
      <c r="G451" s="50" t="str">
        <f>Portfolio!H450</f>
        <v/>
      </c>
      <c r="H451" s="96" t="str">
        <f>Portfolio!I450</f>
        <v/>
      </c>
      <c r="I451" s="96" t="str">
        <f>Portfolio!J450</f>
        <v/>
      </c>
      <c r="J451" s="96" t="str">
        <f>Portfolio!K450</f>
        <v/>
      </c>
      <c r="K451" s="50" t="str">
        <f>Portfolio!O450</f>
        <v/>
      </c>
      <c r="L451" s="96" t="str">
        <f>Portfolio!P450</f>
        <v/>
      </c>
      <c r="M451" s="96" t="str">
        <f>Portfolio!Q450</f>
        <v/>
      </c>
      <c r="N451" s="14" t="str">
        <f>Portfolio!R450</f>
        <v/>
      </c>
      <c r="O451" s="50" t="str">
        <f>Portfolio!S450</f>
        <v/>
      </c>
      <c r="Q451" s="50" t="str">
        <f>Portfolio!U450</f>
        <v/>
      </c>
      <c r="S451" s="50" t="str">
        <f>Portfolio!W450</f>
        <v/>
      </c>
      <c r="T451" s="50" t="str">
        <f>Portfolio!X450</f>
        <v/>
      </c>
      <c r="U451" s="50" t="str">
        <f>Portfolio!Y450</f>
        <v/>
      </c>
      <c r="V451" s="50" t="str">
        <f>Portfolio!Z450</f>
        <v/>
      </c>
      <c r="W451" s="14" t="str">
        <f>Portfolio!AA450</f>
        <v/>
      </c>
      <c r="X451" s="50" t="str">
        <f>Portfolio!AB450</f>
        <v/>
      </c>
      <c r="Y451" s="179" t="str">
        <f>Portfolio!AC450</f>
        <v/>
      </c>
      <c r="Z451" s="50" t="str">
        <f>Portfolio!AD450</f>
        <v/>
      </c>
      <c r="AA451" s="180" t="str">
        <f>Portfolio!AE450</f>
        <v/>
      </c>
    </row>
    <row r="452">
      <c r="A452" s="14" t="str">
        <f>Portfolio!A451</f>
        <v/>
      </c>
      <c r="B452" s="14" t="str">
        <f>Portfolio!B451</f>
        <v/>
      </c>
      <c r="C452" s="158" t="str">
        <f>Portfolio!C451</f>
        <v/>
      </c>
      <c r="D452" s="96" t="str">
        <f>Portfolio!D451</f>
        <v/>
      </c>
      <c r="E452" s="96" t="str">
        <f>Portfolio!E451</f>
        <v/>
      </c>
      <c r="F452" s="96" t="str">
        <f>Portfolio!G451</f>
        <v/>
      </c>
      <c r="G452" s="50" t="str">
        <f>Portfolio!H451</f>
        <v/>
      </c>
      <c r="H452" s="96" t="str">
        <f>Portfolio!I451</f>
        <v/>
      </c>
      <c r="I452" s="96" t="str">
        <f>Portfolio!J451</f>
        <v/>
      </c>
      <c r="J452" s="96" t="str">
        <f>Portfolio!K451</f>
        <v/>
      </c>
      <c r="K452" s="50" t="str">
        <f>Portfolio!O451</f>
        <v/>
      </c>
      <c r="L452" s="96" t="str">
        <f>Portfolio!P451</f>
        <v/>
      </c>
      <c r="M452" s="96" t="str">
        <f>Portfolio!Q451</f>
        <v/>
      </c>
      <c r="N452" s="14" t="str">
        <f>Portfolio!R451</f>
        <v/>
      </c>
      <c r="O452" s="50" t="str">
        <f>Portfolio!S451</f>
        <v/>
      </c>
      <c r="Q452" s="50" t="str">
        <f>Portfolio!U451</f>
        <v/>
      </c>
      <c r="S452" s="50" t="str">
        <f>Portfolio!W451</f>
        <v/>
      </c>
      <c r="T452" s="50" t="str">
        <f>Portfolio!X451</f>
        <v/>
      </c>
      <c r="U452" s="50" t="str">
        <f>Portfolio!Y451</f>
        <v/>
      </c>
      <c r="V452" s="50" t="str">
        <f>Portfolio!Z451</f>
        <v/>
      </c>
      <c r="W452" s="14" t="str">
        <f>Portfolio!AA451</f>
        <v/>
      </c>
      <c r="X452" s="50" t="str">
        <f>Portfolio!AB451</f>
        <v/>
      </c>
      <c r="Y452" s="179" t="str">
        <f>Portfolio!AC451</f>
        <v/>
      </c>
      <c r="Z452" s="50" t="str">
        <f>Portfolio!AD451</f>
        <v/>
      </c>
      <c r="AA452" s="180" t="str">
        <f>Portfolio!AE451</f>
        <v/>
      </c>
    </row>
    <row r="453">
      <c r="A453" s="14" t="str">
        <f>Portfolio!A452</f>
        <v/>
      </c>
      <c r="B453" s="14" t="str">
        <f>Portfolio!B452</f>
        <v/>
      </c>
      <c r="C453" s="158" t="str">
        <f>Portfolio!C452</f>
        <v/>
      </c>
      <c r="D453" s="96" t="str">
        <f>Portfolio!D452</f>
        <v/>
      </c>
      <c r="E453" s="96" t="str">
        <f>Portfolio!E452</f>
        <v/>
      </c>
      <c r="F453" s="96" t="str">
        <f>Portfolio!G452</f>
        <v/>
      </c>
      <c r="G453" s="50" t="str">
        <f>Portfolio!H452</f>
        <v/>
      </c>
      <c r="H453" s="96" t="str">
        <f>Portfolio!I452</f>
        <v/>
      </c>
      <c r="I453" s="96" t="str">
        <f>Portfolio!J452</f>
        <v/>
      </c>
      <c r="J453" s="96" t="str">
        <f>Portfolio!K452</f>
        <v/>
      </c>
      <c r="K453" s="50" t="str">
        <f>Portfolio!O452</f>
        <v/>
      </c>
      <c r="L453" s="96" t="str">
        <f>Portfolio!P452</f>
        <v/>
      </c>
      <c r="M453" s="96" t="str">
        <f>Portfolio!Q452</f>
        <v/>
      </c>
      <c r="N453" s="14" t="str">
        <f>Portfolio!R452</f>
        <v/>
      </c>
      <c r="O453" s="50" t="str">
        <f>Portfolio!S452</f>
        <v/>
      </c>
      <c r="Q453" s="50" t="str">
        <f>Portfolio!U452</f>
        <v/>
      </c>
      <c r="S453" s="50" t="str">
        <f>Portfolio!W452</f>
        <v/>
      </c>
      <c r="T453" s="50" t="str">
        <f>Portfolio!X452</f>
        <v/>
      </c>
      <c r="U453" s="50" t="str">
        <f>Portfolio!Y452</f>
        <v/>
      </c>
      <c r="V453" s="50" t="str">
        <f>Portfolio!Z452</f>
        <v/>
      </c>
      <c r="W453" s="14" t="str">
        <f>Portfolio!AA452</f>
        <v/>
      </c>
      <c r="X453" s="50" t="str">
        <f>Portfolio!AB452</f>
        <v/>
      </c>
      <c r="Y453" s="179" t="str">
        <f>Portfolio!AC452</f>
        <v/>
      </c>
      <c r="Z453" s="50" t="str">
        <f>Portfolio!AD452</f>
        <v/>
      </c>
      <c r="AA453" s="180" t="str">
        <f>Portfolio!AE452</f>
        <v/>
      </c>
    </row>
    <row r="454">
      <c r="A454" s="14" t="str">
        <f>Portfolio!A453</f>
        <v/>
      </c>
      <c r="B454" s="14" t="str">
        <f>Portfolio!B453</f>
        <v/>
      </c>
      <c r="C454" s="158" t="str">
        <f>Portfolio!C453</f>
        <v/>
      </c>
      <c r="D454" s="96" t="str">
        <f>Portfolio!D453</f>
        <v/>
      </c>
      <c r="E454" s="96" t="str">
        <f>Portfolio!E453</f>
        <v/>
      </c>
      <c r="F454" s="96" t="str">
        <f>Portfolio!G453</f>
        <v/>
      </c>
      <c r="G454" s="50" t="str">
        <f>Portfolio!H453</f>
        <v/>
      </c>
      <c r="H454" s="96" t="str">
        <f>Portfolio!I453</f>
        <v/>
      </c>
      <c r="I454" s="96" t="str">
        <f>Portfolio!J453</f>
        <v/>
      </c>
      <c r="J454" s="96" t="str">
        <f>Portfolio!K453</f>
        <v/>
      </c>
      <c r="K454" s="50" t="str">
        <f>Portfolio!O453</f>
        <v/>
      </c>
      <c r="L454" s="96" t="str">
        <f>Portfolio!P453</f>
        <v/>
      </c>
      <c r="M454" s="96" t="str">
        <f>Portfolio!Q453</f>
        <v/>
      </c>
      <c r="N454" s="14" t="str">
        <f>Portfolio!R453</f>
        <v/>
      </c>
      <c r="O454" s="50" t="str">
        <f>Portfolio!S453</f>
        <v/>
      </c>
      <c r="Q454" s="50" t="str">
        <f>Portfolio!U453</f>
        <v/>
      </c>
      <c r="S454" s="50" t="str">
        <f>Portfolio!W453</f>
        <v/>
      </c>
      <c r="T454" s="50" t="str">
        <f>Portfolio!X453</f>
        <v/>
      </c>
      <c r="U454" s="50" t="str">
        <f>Portfolio!Y453</f>
        <v/>
      </c>
      <c r="V454" s="50" t="str">
        <f>Portfolio!Z453</f>
        <v/>
      </c>
      <c r="W454" s="14" t="str">
        <f>Portfolio!AA453</f>
        <v/>
      </c>
      <c r="X454" s="50" t="str">
        <f>Portfolio!AB453</f>
        <v/>
      </c>
      <c r="Y454" s="179" t="str">
        <f>Portfolio!AC453</f>
        <v/>
      </c>
      <c r="Z454" s="50" t="str">
        <f>Portfolio!AD453</f>
        <v/>
      </c>
      <c r="AA454" s="180" t="str">
        <f>Portfolio!AE453</f>
        <v/>
      </c>
    </row>
    <row r="455">
      <c r="A455" s="14" t="str">
        <f>Portfolio!A454</f>
        <v/>
      </c>
      <c r="B455" s="14" t="str">
        <f>Portfolio!B454</f>
        <v/>
      </c>
      <c r="C455" s="158" t="str">
        <f>Portfolio!C454</f>
        <v/>
      </c>
      <c r="D455" s="96" t="str">
        <f>Portfolio!D454</f>
        <v/>
      </c>
      <c r="E455" s="96" t="str">
        <f>Portfolio!E454</f>
        <v/>
      </c>
      <c r="F455" s="96" t="str">
        <f>Portfolio!G454</f>
        <v/>
      </c>
      <c r="G455" s="50" t="str">
        <f>Portfolio!H454</f>
        <v/>
      </c>
      <c r="H455" s="96" t="str">
        <f>Portfolio!I454</f>
        <v/>
      </c>
      <c r="I455" s="96" t="str">
        <f>Portfolio!J454</f>
        <v/>
      </c>
      <c r="J455" s="96" t="str">
        <f>Portfolio!K454</f>
        <v/>
      </c>
      <c r="K455" s="50" t="str">
        <f>Portfolio!O454</f>
        <v/>
      </c>
      <c r="L455" s="96" t="str">
        <f>Portfolio!P454</f>
        <v/>
      </c>
      <c r="M455" s="96" t="str">
        <f>Portfolio!Q454</f>
        <v/>
      </c>
      <c r="N455" s="14" t="str">
        <f>Portfolio!R454</f>
        <v/>
      </c>
      <c r="O455" s="50" t="str">
        <f>Portfolio!S454</f>
        <v/>
      </c>
      <c r="Q455" s="50" t="str">
        <f>Portfolio!U454</f>
        <v/>
      </c>
      <c r="S455" s="50" t="str">
        <f>Portfolio!W454</f>
        <v/>
      </c>
      <c r="T455" s="50" t="str">
        <f>Portfolio!X454</f>
        <v/>
      </c>
      <c r="U455" s="50" t="str">
        <f>Portfolio!Y454</f>
        <v/>
      </c>
      <c r="V455" s="50" t="str">
        <f>Portfolio!Z454</f>
        <v/>
      </c>
      <c r="W455" s="14" t="str">
        <f>Portfolio!AA454</f>
        <v/>
      </c>
      <c r="X455" s="50" t="str">
        <f>Portfolio!AB454</f>
        <v/>
      </c>
      <c r="Y455" s="179" t="str">
        <f>Portfolio!AC454</f>
        <v/>
      </c>
      <c r="Z455" s="50" t="str">
        <f>Portfolio!AD454</f>
        <v/>
      </c>
      <c r="AA455" s="180" t="str">
        <f>Portfolio!AE454</f>
        <v/>
      </c>
    </row>
    <row r="456">
      <c r="A456" s="14" t="str">
        <f>Portfolio!A455</f>
        <v/>
      </c>
      <c r="B456" s="14" t="str">
        <f>Portfolio!B455</f>
        <v/>
      </c>
      <c r="C456" s="158" t="str">
        <f>Portfolio!C455</f>
        <v/>
      </c>
      <c r="D456" s="96" t="str">
        <f>Portfolio!D455</f>
        <v/>
      </c>
      <c r="E456" s="96" t="str">
        <f>Portfolio!E455</f>
        <v/>
      </c>
      <c r="F456" s="96" t="str">
        <f>Portfolio!G455</f>
        <v/>
      </c>
      <c r="G456" s="50" t="str">
        <f>Portfolio!H455</f>
        <v/>
      </c>
      <c r="H456" s="96" t="str">
        <f>Portfolio!I455</f>
        <v/>
      </c>
      <c r="I456" s="96" t="str">
        <f>Portfolio!J455</f>
        <v/>
      </c>
      <c r="J456" s="96" t="str">
        <f>Portfolio!K455</f>
        <v/>
      </c>
      <c r="K456" s="50" t="str">
        <f>Portfolio!O455</f>
        <v/>
      </c>
      <c r="L456" s="96" t="str">
        <f>Portfolio!P455</f>
        <v/>
      </c>
      <c r="M456" s="96" t="str">
        <f>Portfolio!Q455</f>
        <v/>
      </c>
      <c r="N456" s="14" t="str">
        <f>Portfolio!R455</f>
        <v/>
      </c>
      <c r="O456" s="50" t="str">
        <f>Portfolio!S455</f>
        <v/>
      </c>
      <c r="Q456" s="50" t="str">
        <f>Portfolio!U455</f>
        <v/>
      </c>
      <c r="S456" s="50" t="str">
        <f>Portfolio!W455</f>
        <v/>
      </c>
      <c r="T456" s="50" t="str">
        <f>Portfolio!X455</f>
        <v/>
      </c>
      <c r="U456" s="50" t="str">
        <f>Portfolio!Y455</f>
        <v/>
      </c>
      <c r="V456" s="50" t="str">
        <f>Portfolio!Z455</f>
        <v/>
      </c>
      <c r="W456" s="14" t="str">
        <f>Portfolio!AA455</f>
        <v/>
      </c>
      <c r="X456" s="50" t="str">
        <f>Portfolio!AB455</f>
        <v/>
      </c>
      <c r="Y456" s="179" t="str">
        <f>Portfolio!AC455</f>
        <v/>
      </c>
      <c r="Z456" s="50" t="str">
        <f>Portfolio!AD455</f>
        <v/>
      </c>
      <c r="AA456" s="180" t="str">
        <f>Portfolio!AE455</f>
        <v/>
      </c>
    </row>
    <row r="457">
      <c r="A457" s="14" t="str">
        <f>Portfolio!A456</f>
        <v/>
      </c>
      <c r="B457" s="14" t="str">
        <f>Portfolio!B456</f>
        <v/>
      </c>
      <c r="C457" s="158" t="str">
        <f>Portfolio!C456</f>
        <v/>
      </c>
      <c r="D457" s="96" t="str">
        <f>Portfolio!D456</f>
        <v/>
      </c>
      <c r="E457" s="96" t="str">
        <f>Portfolio!E456</f>
        <v/>
      </c>
      <c r="F457" s="96" t="str">
        <f>Portfolio!G456</f>
        <v/>
      </c>
      <c r="G457" s="50" t="str">
        <f>Portfolio!H456</f>
        <v/>
      </c>
      <c r="H457" s="96" t="str">
        <f>Portfolio!I456</f>
        <v/>
      </c>
      <c r="I457" s="96" t="str">
        <f>Portfolio!J456</f>
        <v/>
      </c>
      <c r="J457" s="96" t="str">
        <f>Portfolio!K456</f>
        <v/>
      </c>
      <c r="K457" s="50" t="str">
        <f>Portfolio!O456</f>
        <v/>
      </c>
      <c r="L457" s="96" t="str">
        <f>Portfolio!P456</f>
        <v/>
      </c>
      <c r="M457" s="96" t="str">
        <f>Portfolio!Q456</f>
        <v/>
      </c>
      <c r="N457" s="14" t="str">
        <f>Portfolio!R456</f>
        <v/>
      </c>
      <c r="O457" s="50" t="str">
        <f>Portfolio!S456</f>
        <v/>
      </c>
      <c r="Q457" s="50" t="str">
        <f>Portfolio!U456</f>
        <v/>
      </c>
      <c r="S457" s="50" t="str">
        <f>Portfolio!W456</f>
        <v/>
      </c>
      <c r="T457" s="50" t="str">
        <f>Portfolio!X456</f>
        <v/>
      </c>
      <c r="U457" s="50" t="str">
        <f>Portfolio!Y456</f>
        <v/>
      </c>
      <c r="V457" s="50" t="str">
        <f>Portfolio!Z456</f>
        <v/>
      </c>
      <c r="W457" s="14" t="str">
        <f>Portfolio!AA456</f>
        <v/>
      </c>
      <c r="X457" s="50" t="str">
        <f>Portfolio!AB456</f>
        <v/>
      </c>
      <c r="Y457" s="179" t="str">
        <f>Portfolio!AC456</f>
        <v/>
      </c>
      <c r="Z457" s="50" t="str">
        <f>Portfolio!AD456</f>
        <v/>
      </c>
      <c r="AA457" s="180" t="str">
        <f>Portfolio!AE456</f>
        <v/>
      </c>
    </row>
    <row r="458">
      <c r="A458" s="14" t="str">
        <f>Portfolio!A457</f>
        <v/>
      </c>
      <c r="B458" s="14" t="str">
        <f>Portfolio!B457</f>
        <v/>
      </c>
      <c r="C458" s="158" t="str">
        <f>Portfolio!C457</f>
        <v/>
      </c>
      <c r="D458" s="96" t="str">
        <f>Portfolio!D457</f>
        <v/>
      </c>
      <c r="E458" s="96" t="str">
        <f>Portfolio!E457</f>
        <v/>
      </c>
      <c r="F458" s="96" t="str">
        <f>Portfolio!G457</f>
        <v/>
      </c>
      <c r="G458" s="50" t="str">
        <f>Portfolio!H457</f>
        <v/>
      </c>
      <c r="H458" s="96" t="str">
        <f>Portfolio!I457</f>
        <v/>
      </c>
      <c r="I458" s="96" t="str">
        <f>Portfolio!J457</f>
        <v/>
      </c>
      <c r="J458" s="96" t="str">
        <f>Portfolio!K457</f>
        <v/>
      </c>
      <c r="K458" s="50" t="str">
        <f>Portfolio!O457</f>
        <v/>
      </c>
      <c r="L458" s="96" t="str">
        <f>Portfolio!P457</f>
        <v/>
      </c>
      <c r="M458" s="96" t="str">
        <f>Portfolio!Q457</f>
        <v/>
      </c>
      <c r="N458" s="14" t="str">
        <f>Portfolio!R457</f>
        <v/>
      </c>
      <c r="O458" s="50" t="str">
        <f>Portfolio!S457</f>
        <v/>
      </c>
      <c r="Q458" s="50" t="str">
        <f>Portfolio!U457</f>
        <v/>
      </c>
      <c r="S458" s="50" t="str">
        <f>Portfolio!W457</f>
        <v/>
      </c>
      <c r="T458" s="50" t="str">
        <f>Portfolio!X457</f>
        <v/>
      </c>
      <c r="U458" s="50" t="str">
        <f>Portfolio!Y457</f>
        <v/>
      </c>
      <c r="V458" s="50" t="str">
        <f>Portfolio!Z457</f>
        <v/>
      </c>
      <c r="W458" s="14" t="str">
        <f>Portfolio!AA457</f>
        <v/>
      </c>
      <c r="X458" s="50" t="str">
        <f>Portfolio!AB457</f>
        <v/>
      </c>
      <c r="Y458" s="179" t="str">
        <f>Portfolio!AC457</f>
        <v/>
      </c>
      <c r="Z458" s="50" t="str">
        <f>Portfolio!AD457</f>
        <v/>
      </c>
      <c r="AA458" s="180" t="str">
        <f>Portfolio!AE457</f>
        <v/>
      </c>
    </row>
    <row r="459">
      <c r="A459" s="14" t="str">
        <f>Portfolio!A458</f>
        <v/>
      </c>
      <c r="B459" s="14" t="str">
        <f>Portfolio!B458</f>
        <v/>
      </c>
      <c r="C459" s="158" t="str">
        <f>Portfolio!C458</f>
        <v/>
      </c>
      <c r="D459" s="96" t="str">
        <f>Portfolio!D458</f>
        <v/>
      </c>
      <c r="E459" s="96" t="str">
        <f>Portfolio!E458</f>
        <v/>
      </c>
      <c r="F459" s="96" t="str">
        <f>Portfolio!G458</f>
        <v/>
      </c>
      <c r="G459" s="50" t="str">
        <f>Portfolio!H458</f>
        <v/>
      </c>
      <c r="H459" s="96" t="str">
        <f>Portfolio!I458</f>
        <v/>
      </c>
      <c r="I459" s="96" t="str">
        <f>Portfolio!J458</f>
        <v/>
      </c>
      <c r="J459" s="96" t="str">
        <f>Portfolio!K458</f>
        <v/>
      </c>
      <c r="K459" s="50" t="str">
        <f>Portfolio!O458</f>
        <v/>
      </c>
      <c r="L459" s="96" t="str">
        <f>Portfolio!P458</f>
        <v/>
      </c>
      <c r="M459" s="96" t="str">
        <f>Portfolio!Q458</f>
        <v/>
      </c>
      <c r="N459" s="14" t="str">
        <f>Portfolio!R458</f>
        <v/>
      </c>
      <c r="O459" s="50" t="str">
        <f>Portfolio!S458</f>
        <v/>
      </c>
      <c r="Q459" s="50" t="str">
        <f>Portfolio!U458</f>
        <v/>
      </c>
      <c r="S459" s="50" t="str">
        <f>Portfolio!W458</f>
        <v/>
      </c>
      <c r="T459" s="50" t="str">
        <f>Portfolio!X458</f>
        <v/>
      </c>
      <c r="U459" s="50" t="str">
        <f>Portfolio!Y458</f>
        <v/>
      </c>
      <c r="V459" s="50" t="str">
        <f>Portfolio!Z458</f>
        <v/>
      </c>
      <c r="W459" s="14" t="str">
        <f>Portfolio!AA458</f>
        <v/>
      </c>
      <c r="X459" s="50" t="str">
        <f>Portfolio!AB458</f>
        <v/>
      </c>
      <c r="Y459" s="179" t="str">
        <f>Portfolio!AC458</f>
        <v/>
      </c>
      <c r="Z459" s="50" t="str">
        <f>Portfolio!AD458</f>
        <v/>
      </c>
      <c r="AA459" s="180" t="str">
        <f>Portfolio!AE458</f>
        <v/>
      </c>
    </row>
    <row r="460">
      <c r="A460" s="14" t="str">
        <f>Portfolio!A459</f>
        <v/>
      </c>
      <c r="B460" s="14" t="str">
        <f>Portfolio!B459</f>
        <v/>
      </c>
      <c r="C460" s="158" t="str">
        <f>Portfolio!C459</f>
        <v/>
      </c>
      <c r="D460" s="96" t="str">
        <f>Portfolio!D459</f>
        <v/>
      </c>
      <c r="E460" s="96" t="str">
        <f>Portfolio!E459</f>
        <v/>
      </c>
      <c r="F460" s="96" t="str">
        <f>Portfolio!G459</f>
        <v/>
      </c>
      <c r="G460" s="50" t="str">
        <f>Portfolio!H459</f>
        <v/>
      </c>
      <c r="H460" s="96" t="str">
        <f>Portfolio!I459</f>
        <v/>
      </c>
      <c r="I460" s="96" t="str">
        <f>Portfolio!J459</f>
        <v/>
      </c>
      <c r="J460" s="96" t="str">
        <f>Portfolio!K459</f>
        <v/>
      </c>
      <c r="K460" s="50" t="str">
        <f>Portfolio!O459</f>
        <v/>
      </c>
      <c r="L460" s="96" t="str">
        <f>Portfolio!P459</f>
        <v/>
      </c>
      <c r="M460" s="96" t="str">
        <f>Portfolio!Q459</f>
        <v/>
      </c>
      <c r="N460" s="14" t="str">
        <f>Portfolio!R459</f>
        <v/>
      </c>
      <c r="O460" s="50" t="str">
        <f>Portfolio!S459</f>
        <v/>
      </c>
      <c r="Q460" s="50" t="str">
        <f>Portfolio!U459</f>
        <v/>
      </c>
      <c r="S460" s="50" t="str">
        <f>Portfolio!W459</f>
        <v/>
      </c>
      <c r="T460" s="50" t="str">
        <f>Portfolio!X459</f>
        <v/>
      </c>
      <c r="U460" s="50" t="str">
        <f>Portfolio!Y459</f>
        <v/>
      </c>
      <c r="V460" s="50" t="str">
        <f>Portfolio!Z459</f>
        <v/>
      </c>
      <c r="W460" s="14" t="str">
        <f>Portfolio!AA459</f>
        <v/>
      </c>
      <c r="X460" s="50" t="str">
        <f>Portfolio!AB459</f>
        <v/>
      </c>
      <c r="Y460" s="179" t="str">
        <f>Portfolio!AC459</f>
        <v/>
      </c>
      <c r="Z460" s="50" t="str">
        <f>Portfolio!AD459</f>
        <v/>
      </c>
      <c r="AA460" s="180" t="str">
        <f>Portfolio!AE459</f>
        <v/>
      </c>
    </row>
    <row r="461">
      <c r="A461" s="14" t="str">
        <f>Portfolio!A460</f>
        <v/>
      </c>
      <c r="B461" s="14" t="str">
        <f>Portfolio!B460</f>
        <v/>
      </c>
      <c r="C461" s="158" t="str">
        <f>Portfolio!C460</f>
        <v/>
      </c>
      <c r="D461" s="96" t="str">
        <f>Portfolio!D460</f>
        <v/>
      </c>
      <c r="E461" s="96" t="str">
        <f>Portfolio!E460</f>
        <v/>
      </c>
      <c r="F461" s="96" t="str">
        <f>Portfolio!G460</f>
        <v/>
      </c>
      <c r="G461" s="50" t="str">
        <f>Portfolio!H460</f>
        <v/>
      </c>
      <c r="H461" s="96" t="str">
        <f>Portfolio!I460</f>
        <v/>
      </c>
      <c r="I461" s="96" t="str">
        <f>Portfolio!J460</f>
        <v/>
      </c>
      <c r="J461" s="96" t="str">
        <f>Portfolio!K460</f>
        <v/>
      </c>
      <c r="K461" s="50" t="str">
        <f>Portfolio!O460</f>
        <v/>
      </c>
      <c r="L461" s="96" t="str">
        <f>Portfolio!P460</f>
        <v/>
      </c>
      <c r="M461" s="96" t="str">
        <f>Portfolio!Q460</f>
        <v/>
      </c>
      <c r="N461" s="14" t="str">
        <f>Portfolio!R460</f>
        <v/>
      </c>
      <c r="O461" s="50" t="str">
        <f>Portfolio!S460</f>
        <v/>
      </c>
      <c r="Q461" s="50" t="str">
        <f>Portfolio!U460</f>
        <v/>
      </c>
      <c r="S461" s="50" t="str">
        <f>Portfolio!W460</f>
        <v/>
      </c>
      <c r="T461" s="50" t="str">
        <f>Portfolio!X460</f>
        <v/>
      </c>
      <c r="U461" s="50" t="str">
        <f>Portfolio!Y460</f>
        <v/>
      </c>
      <c r="V461" s="50" t="str">
        <f>Portfolio!Z460</f>
        <v/>
      </c>
      <c r="W461" s="14" t="str">
        <f>Portfolio!AA460</f>
        <v/>
      </c>
      <c r="X461" s="50" t="str">
        <f>Portfolio!AB460</f>
        <v/>
      </c>
      <c r="Y461" s="179" t="str">
        <f>Portfolio!AC460</f>
        <v/>
      </c>
      <c r="Z461" s="50" t="str">
        <f>Portfolio!AD460</f>
        <v/>
      </c>
      <c r="AA461" s="180" t="str">
        <f>Portfolio!AE460</f>
        <v/>
      </c>
    </row>
    <row r="462">
      <c r="A462" s="14" t="str">
        <f>Portfolio!A461</f>
        <v/>
      </c>
      <c r="B462" s="14" t="str">
        <f>Portfolio!B461</f>
        <v/>
      </c>
      <c r="C462" s="158" t="str">
        <f>Portfolio!C461</f>
        <v/>
      </c>
      <c r="D462" s="96" t="str">
        <f>Portfolio!D461</f>
        <v/>
      </c>
      <c r="E462" s="96" t="str">
        <f>Portfolio!E461</f>
        <v/>
      </c>
      <c r="F462" s="96" t="str">
        <f>Portfolio!G461</f>
        <v/>
      </c>
      <c r="G462" s="50" t="str">
        <f>Portfolio!H461</f>
        <v/>
      </c>
      <c r="H462" s="96" t="str">
        <f>Portfolio!I461</f>
        <v/>
      </c>
      <c r="I462" s="96" t="str">
        <f>Portfolio!J461</f>
        <v/>
      </c>
      <c r="J462" s="96" t="str">
        <f>Portfolio!K461</f>
        <v/>
      </c>
      <c r="K462" s="50" t="str">
        <f>Portfolio!O461</f>
        <v/>
      </c>
      <c r="L462" s="96" t="str">
        <f>Portfolio!P461</f>
        <v/>
      </c>
      <c r="M462" s="96" t="str">
        <f>Portfolio!Q461</f>
        <v/>
      </c>
      <c r="N462" s="14" t="str">
        <f>Portfolio!R461</f>
        <v/>
      </c>
      <c r="O462" s="50" t="str">
        <f>Portfolio!S461</f>
        <v/>
      </c>
      <c r="Q462" s="50" t="str">
        <f>Portfolio!U461</f>
        <v/>
      </c>
      <c r="S462" s="50" t="str">
        <f>Portfolio!W461</f>
        <v/>
      </c>
      <c r="T462" s="50" t="str">
        <f>Portfolio!X461</f>
        <v/>
      </c>
      <c r="U462" s="50" t="str">
        <f>Portfolio!Y461</f>
        <v/>
      </c>
      <c r="V462" s="50" t="str">
        <f>Portfolio!Z461</f>
        <v/>
      </c>
      <c r="W462" s="14" t="str">
        <f>Portfolio!AA461</f>
        <v/>
      </c>
      <c r="X462" s="50" t="str">
        <f>Portfolio!AB461</f>
        <v/>
      </c>
      <c r="Y462" s="179" t="str">
        <f>Portfolio!AC461</f>
        <v/>
      </c>
      <c r="Z462" s="50" t="str">
        <f>Portfolio!AD461</f>
        <v/>
      </c>
      <c r="AA462" s="180" t="str">
        <f>Portfolio!AE461</f>
        <v/>
      </c>
    </row>
    <row r="463">
      <c r="A463" s="14" t="str">
        <f>Portfolio!A462</f>
        <v/>
      </c>
      <c r="B463" s="14" t="str">
        <f>Portfolio!B462</f>
        <v/>
      </c>
      <c r="C463" s="158" t="str">
        <f>Portfolio!C462</f>
        <v/>
      </c>
      <c r="D463" s="96" t="str">
        <f>Portfolio!D462</f>
        <v/>
      </c>
      <c r="E463" s="96" t="str">
        <f>Portfolio!E462</f>
        <v/>
      </c>
      <c r="F463" s="96" t="str">
        <f>Portfolio!G462</f>
        <v/>
      </c>
      <c r="G463" s="50" t="str">
        <f>Portfolio!H462</f>
        <v/>
      </c>
      <c r="H463" s="96" t="str">
        <f>Portfolio!I462</f>
        <v/>
      </c>
      <c r="I463" s="96" t="str">
        <f>Portfolio!J462</f>
        <v/>
      </c>
      <c r="J463" s="96" t="str">
        <f>Portfolio!K462</f>
        <v/>
      </c>
      <c r="K463" s="50" t="str">
        <f>Portfolio!O462</f>
        <v/>
      </c>
      <c r="L463" s="96" t="str">
        <f>Portfolio!P462</f>
        <v/>
      </c>
      <c r="M463" s="96" t="str">
        <f>Portfolio!Q462</f>
        <v/>
      </c>
      <c r="N463" s="14" t="str">
        <f>Portfolio!R462</f>
        <v/>
      </c>
      <c r="O463" s="50" t="str">
        <f>Portfolio!S462</f>
        <v/>
      </c>
      <c r="Q463" s="50" t="str">
        <f>Portfolio!U462</f>
        <v/>
      </c>
      <c r="S463" s="50" t="str">
        <f>Portfolio!W462</f>
        <v/>
      </c>
      <c r="T463" s="50" t="str">
        <f>Portfolio!X462</f>
        <v/>
      </c>
      <c r="U463" s="50" t="str">
        <f>Portfolio!Y462</f>
        <v/>
      </c>
      <c r="V463" s="50" t="str">
        <f>Portfolio!Z462</f>
        <v/>
      </c>
      <c r="W463" s="14" t="str">
        <f>Portfolio!AA462</f>
        <v/>
      </c>
      <c r="X463" s="50" t="str">
        <f>Portfolio!AB462</f>
        <v/>
      </c>
      <c r="Y463" s="179" t="str">
        <f>Portfolio!AC462</f>
        <v/>
      </c>
      <c r="Z463" s="50" t="str">
        <f>Portfolio!AD462</f>
        <v/>
      </c>
      <c r="AA463" s="180" t="str">
        <f>Portfolio!AE462</f>
        <v/>
      </c>
    </row>
    <row r="464">
      <c r="A464" s="14" t="str">
        <f>Portfolio!A463</f>
        <v/>
      </c>
      <c r="B464" s="14" t="str">
        <f>Portfolio!B463</f>
        <v/>
      </c>
      <c r="C464" s="158" t="str">
        <f>Portfolio!C463</f>
        <v/>
      </c>
      <c r="D464" s="96" t="str">
        <f>Portfolio!D463</f>
        <v/>
      </c>
      <c r="E464" s="96" t="str">
        <f>Portfolio!E463</f>
        <v/>
      </c>
      <c r="F464" s="96" t="str">
        <f>Portfolio!G463</f>
        <v/>
      </c>
      <c r="G464" s="50" t="str">
        <f>Portfolio!H463</f>
        <v/>
      </c>
      <c r="H464" s="96" t="str">
        <f>Portfolio!I463</f>
        <v/>
      </c>
      <c r="I464" s="96" t="str">
        <f>Portfolio!J463</f>
        <v/>
      </c>
      <c r="J464" s="96" t="str">
        <f>Portfolio!K463</f>
        <v/>
      </c>
      <c r="K464" s="50" t="str">
        <f>Portfolio!O463</f>
        <v/>
      </c>
      <c r="L464" s="96" t="str">
        <f>Portfolio!P463</f>
        <v/>
      </c>
      <c r="M464" s="96" t="str">
        <f>Portfolio!Q463</f>
        <v/>
      </c>
      <c r="N464" s="14" t="str">
        <f>Portfolio!R463</f>
        <v/>
      </c>
      <c r="O464" s="50" t="str">
        <f>Portfolio!S463</f>
        <v/>
      </c>
      <c r="Q464" s="50" t="str">
        <f>Portfolio!U463</f>
        <v/>
      </c>
      <c r="S464" s="50" t="str">
        <f>Portfolio!W463</f>
        <v/>
      </c>
      <c r="T464" s="50" t="str">
        <f>Portfolio!X463</f>
        <v/>
      </c>
      <c r="U464" s="50" t="str">
        <f>Portfolio!Y463</f>
        <v/>
      </c>
      <c r="V464" s="50" t="str">
        <f>Portfolio!Z463</f>
        <v/>
      </c>
      <c r="W464" s="14" t="str">
        <f>Portfolio!AA463</f>
        <v/>
      </c>
      <c r="X464" s="50" t="str">
        <f>Portfolio!AB463</f>
        <v/>
      </c>
      <c r="Y464" s="179" t="str">
        <f>Portfolio!AC463</f>
        <v/>
      </c>
      <c r="Z464" s="50" t="str">
        <f>Portfolio!AD463</f>
        <v/>
      </c>
      <c r="AA464" s="180" t="str">
        <f>Portfolio!AE463</f>
        <v/>
      </c>
    </row>
    <row r="465">
      <c r="A465" s="14" t="str">
        <f>Portfolio!A464</f>
        <v/>
      </c>
      <c r="B465" s="14" t="str">
        <f>Portfolio!B464</f>
        <v/>
      </c>
      <c r="C465" s="158" t="str">
        <f>Portfolio!C464</f>
        <v/>
      </c>
      <c r="D465" s="96" t="str">
        <f>Portfolio!D464</f>
        <v/>
      </c>
      <c r="E465" s="96" t="str">
        <f>Portfolio!E464</f>
        <v/>
      </c>
      <c r="F465" s="96" t="str">
        <f>Portfolio!G464</f>
        <v/>
      </c>
      <c r="G465" s="50" t="str">
        <f>Portfolio!H464</f>
        <v/>
      </c>
      <c r="H465" s="96" t="str">
        <f>Portfolio!I464</f>
        <v/>
      </c>
      <c r="I465" s="96" t="str">
        <f>Portfolio!J464</f>
        <v/>
      </c>
      <c r="J465" s="96" t="str">
        <f>Portfolio!K464</f>
        <v/>
      </c>
      <c r="K465" s="50" t="str">
        <f>Portfolio!O464</f>
        <v/>
      </c>
      <c r="L465" s="96" t="str">
        <f>Portfolio!P464</f>
        <v/>
      </c>
      <c r="M465" s="96" t="str">
        <f>Portfolio!Q464</f>
        <v/>
      </c>
      <c r="N465" s="14" t="str">
        <f>Portfolio!R464</f>
        <v/>
      </c>
      <c r="O465" s="50" t="str">
        <f>Portfolio!S464</f>
        <v/>
      </c>
      <c r="Q465" s="50" t="str">
        <f>Portfolio!U464</f>
        <v/>
      </c>
      <c r="S465" s="50" t="str">
        <f>Portfolio!W464</f>
        <v/>
      </c>
      <c r="T465" s="50" t="str">
        <f>Portfolio!X464</f>
        <v/>
      </c>
      <c r="U465" s="50" t="str">
        <f>Portfolio!Y464</f>
        <v/>
      </c>
      <c r="V465" s="50" t="str">
        <f>Portfolio!Z464</f>
        <v/>
      </c>
      <c r="W465" s="14" t="str">
        <f>Portfolio!AA464</f>
        <v/>
      </c>
      <c r="X465" s="50" t="str">
        <f>Portfolio!AB464</f>
        <v/>
      </c>
      <c r="Y465" s="179" t="str">
        <f>Portfolio!AC464</f>
        <v/>
      </c>
      <c r="Z465" s="50" t="str">
        <f>Portfolio!AD464</f>
        <v/>
      </c>
      <c r="AA465" s="180" t="str">
        <f>Portfolio!AE464</f>
        <v/>
      </c>
    </row>
    <row r="466">
      <c r="A466" s="14" t="str">
        <f>Portfolio!A465</f>
        <v/>
      </c>
      <c r="B466" s="14" t="str">
        <f>Portfolio!B465</f>
        <v/>
      </c>
      <c r="C466" s="158" t="str">
        <f>Portfolio!C465</f>
        <v/>
      </c>
      <c r="D466" s="96" t="str">
        <f>Portfolio!D465</f>
        <v/>
      </c>
      <c r="E466" s="96" t="str">
        <f>Portfolio!E465</f>
        <v/>
      </c>
      <c r="F466" s="96" t="str">
        <f>Portfolio!G465</f>
        <v/>
      </c>
      <c r="G466" s="50" t="str">
        <f>Portfolio!H465</f>
        <v/>
      </c>
      <c r="H466" s="96" t="str">
        <f>Portfolio!I465</f>
        <v/>
      </c>
      <c r="I466" s="96" t="str">
        <f>Portfolio!J465</f>
        <v/>
      </c>
      <c r="J466" s="96" t="str">
        <f>Portfolio!K465</f>
        <v/>
      </c>
      <c r="K466" s="50" t="str">
        <f>Portfolio!O465</f>
        <v/>
      </c>
      <c r="L466" s="96" t="str">
        <f>Portfolio!P465</f>
        <v/>
      </c>
      <c r="M466" s="96" t="str">
        <f>Portfolio!Q465</f>
        <v/>
      </c>
      <c r="N466" s="14" t="str">
        <f>Portfolio!R465</f>
        <v/>
      </c>
      <c r="O466" s="50" t="str">
        <f>Portfolio!S465</f>
        <v/>
      </c>
      <c r="Q466" s="50" t="str">
        <f>Portfolio!U465</f>
        <v/>
      </c>
      <c r="S466" s="50" t="str">
        <f>Portfolio!W465</f>
        <v/>
      </c>
      <c r="T466" s="50" t="str">
        <f>Portfolio!X465</f>
        <v/>
      </c>
      <c r="U466" s="50" t="str">
        <f>Portfolio!Y465</f>
        <v/>
      </c>
      <c r="V466" s="50" t="str">
        <f>Portfolio!Z465</f>
        <v/>
      </c>
      <c r="W466" s="14" t="str">
        <f>Portfolio!AA465</f>
        <v/>
      </c>
      <c r="X466" s="50" t="str">
        <f>Portfolio!AB465</f>
        <v/>
      </c>
      <c r="Y466" s="179" t="str">
        <f>Portfolio!AC465</f>
        <v/>
      </c>
      <c r="Z466" s="50" t="str">
        <f>Portfolio!AD465</f>
        <v/>
      </c>
      <c r="AA466" s="180" t="str">
        <f>Portfolio!AE465</f>
        <v/>
      </c>
    </row>
    <row r="467">
      <c r="A467" s="14" t="str">
        <f>Portfolio!A466</f>
        <v/>
      </c>
      <c r="B467" s="14" t="str">
        <f>Portfolio!B466</f>
        <v/>
      </c>
      <c r="C467" s="158" t="str">
        <f>Portfolio!C466</f>
        <v/>
      </c>
      <c r="D467" s="96" t="str">
        <f>Portfolio!D466</f>
        <v/>
      </c>
      <c r="E467" s="96" t="str">
        <f>Portfolio!E466</f>
        <v/>
      </c>
      <c r="F467" s="96" t="str">
        <f>Portfolio!G466</f>
        <v/>
      </c>
      <c r="G467" s="50" t="str">
        <f>Portfolio!H466</f>
        <v/>
      </c>
      <c r="H467" s="96" t="str">
        <f>Portfolio!I466</f>
        <v/>
      </c>
      <c r="I467" s="96" t="str">
        <f>Portfolio!J466</f>
        <v/>
      </c>
      <c r="J467" s="96" t="str">
        <f>Portfolio!K466</f>
        <v/>
      </c>
      <c r="K467" s="50" t="str">
        <f>Portfolio!O466</f>
        <v/>
      </c>
      <c r="L467" s="96" t="str">
        <f>Portfolio!P466</f>
        <v/>
      </c>
      <c r="M467" s="96" t="str">
        <f>Portfolio!Q466</f>
        <v/>
      </c>
      <c r="N467" s="14" t="str">
        <f>Portfolio!R466</f>
        <v/>
      </c>
      <c r="O467" s="50" t="str">
        <f>Portfolio!S466</f>
        <v/>
      </c>
      <c r="Q467" s="50" t="str">
        <f>Portfolio!U466</f>
        <v/>
      </c>
      <c r="S467" s="50" t="str">
        <f>Portfolio!W466</f>
        <v/>
      </c>
      <c r="T467" s="50" t="str">
        <f>Portfolio!X466</f>
        <v/>
      </c>
      <c r="U467" s="50" t="str">
        <f>Portfolio!Y466</f>
        <v/>
      </c>
      <c r="V467" s="50" t="str">
        <f>Portfolio!Z466</f>
        <v/>
      </c>
      <c r="W467" s="14" t="str">
        <f>Portfolio!AA466</f>
        <v/>
      </c>
      <c r="X467" s="50" t="str">
        <f>Portfolio!AB466</f>
        <v/>
      </c>
      <c r="Y467" s="179" t="str">
        <f>Portfolio!AC466</f>
        <v/>
      </c>
      <c r="Z467" s="50" t="str">
        <f>Portfolio!AD466</f>
        <v/>
      </c>
      <c r="AA467" s="180" t="str">
        <f>Portfolio!AE466</f>
        <v/>
      </c>
    </row>
    <row r="468">
      <c r="A468" s="14" t="str">
        <f>Portfolio!A467</f>
        <v/>
      </c>
      <c r="B468" s="14" t="str">
        <f>Portfolio!B467</f>
        <v/>
      </c>
      <c r="C468" s="158" t="str">
        <f>Portfolio!C467</f>
        <v/>
      </c>
      <c r="D468" s="96" t="str">
        <f>Portfolio!D467</f>
        <v/>
      </c>
      <c r="E468" s="96" t="str">
        <f>Portfolio!E467</f>
        <v/>
      </c>
      <c r="F468" s="96" t="str">
        <f>Portfolio!G467</f>
        <v/>
      </c>
      <c r="G468" s="50" t="str">
        <f>Portfolio!H467</f>
        <v/>
      </c>
      <c r="H468" s="96" t="str">
        <f>Portfolio!I467</f>
        <v/>
      </c>
      <c r="I468" s="96" t="str">
        <f>Portfolio!J467</f>
        <v/>
      </c>
      <c r="J468" s="96" t="str">
        <f>Portfolio!K467</f>
        <v/>
      </c>
      <c r="K468" s="50" t="str">
        <f>Portfolio!O467</f>
        <v/>
      </c>
      <c r="L468" s="96" t="str">
        <f>Portfolio!P467</f>
        <v/>
      </c>
      <c r="M468" s="96" t="str">
        <f>Portfolio!Q467</f>
        <v/>
      </c>
      <c r="N468" s="14" t="str">
        <f>Portfolio!R467</f>
        <v/>
      </c>
      <c r="O468" s="50" t="str">
        <f>Portfolio!S467</f>
        <v/>
      </c>
      <c r="Q468" s="50" t="str">
        <f>Portfolio!U467</f>
        <v/>
      </c>
      <c r="S468" s="50" t="str">
        <f>Portfolio!W467</f>
        <v/>
      </c>
      <c r="T468" s="50" t="str">
        <f>Portfolio!X467</f>
        <v/>
      </c>
      <c r="U468" s="50" t="str">
        <f>Portfolio!Y467</f>
        <v/>
      </c>
      <c r="V468" s="50" t="str">
        <f>Portfolio!Z467</f>
        <v/>
      </c>
      <c r="W468" s="14" t="str">
        <f>Portfolio!AA467</f>
        <v/>
      </c>
      <c r="X468" s="50" t="str">
        <f>Portfolio!AB467</f>
        <v/>
      </c>
      <c r="Y468" s="179" t="str">
        <f>Portfolio!AC467</f>
        <v/>
      </c>
      <c r="Z468" s="50" t="str">
        <f>Portfolio!AD467</f>
        <v/>
      </c>
      <c r="AA468" s="180" t="str">
        <f>Portfolio!AE467</f>
        <v/>
      </c>
    </row>
    <row r="469">
      <c r="A469" s="14" t="str">
        <f>Portfolio!A468</f>
        <v/>
      </c>
      <c r="B469" s="14" t="str">
        <f>Portfolio!B468</f>
        <v/>
      </c>
      <c r="C469" s="158" t="str">
        <f>Portfolio!C468</f>
        <v/>
      </c>
      <c r="D469" s="96" t="str">
        <f>Portfolio!D468</f>
        <v/>
      </c>
      <c r="E469" s="96" t="str">
        <f>Portfolio!E468</f>
        <v/>
      </c>
      <c r="F469" s="96" t="str">
        <f>Portfolio!G468</f>
        <v/>
      </c>
      <c r="G469" s="50" t="str">
        <f>Portfolio!H468</f>
        <v/>
      </c>
      <c r="H469" s="96" t="str">
        <f>Portfolio!I468</f>
        <v/>
      </c>
      <c r="I469" s="96" t="str">
        <f>Portfolio!J468</f>
        <v/>
      </c>
      <c r="J469" s="96" t="str">
        <f>Portfolio!K468</f>
        <v/>
      </c>
      <c r="K469" s="50" t="str">
        <f>Portfolio!O468</f>
        <v/>
      </c>
      <c r="L469" s="96" t="str">
        <f>Portfolio!P468</f>
        <v/>
      </c>
      <c r="M469" s="96" t="str">
        <f>Portfolio!Q468</f>
        <v/>
      </c>
      <c r="N469" s="14" t="str">
        <f>Portfolio!R468</f>
        <v/>
      </c>
      <c r="O469" s="50" t="str">
        <f>Portfolio!S468</f>
        <v/>
      </c>
      <c r="Q469" s="50" t="str">
        <f>Portfolio!U468</f>
        <v/>
      </c>
      <c r="S469" s="50" t="str">
        <f>Portfolio!W468</f>
        <v/>
      </c>
      <c r="T469" s="50" t="str">
        <f>Portfolio!X468</f>
        <v/>
      </c>
      <c r="U469" s="50" t="str">
        <f>Portfolio!Y468</f>
        <v/>
      </c>
      <c r="V469" s="50" t="str">
        <f>Portfolio!Z468</f>
        <v/>
      </c>
      <c r="W469" s="14" t="str">
        <f>Portfolio!AA468</f>
        <v/>
      </c>
      <c r="X469" s="50" t="str">
        <f>Portfolio!AB468</f>
        <v/>
      </c>
      <c r="Y469" s="179" t="str">
        <f>Portfolio!AC468</f>
        <v/>
      </c>
      <c r="Z469" s="50" t="str">
        <f>Portfolio!AD468</f>
        <v/>
      </c>
      <c r="AA469" s="180" t="str">
        <f>Portfolio!AE468</f>
        <v/>
      </c>
    </row>
    <row r="470">
      <c r="A470" s="14" t="str">
        <f>Portfolio!A469</f>
        <v/>
      </c>
      <c r="B470" s="14" t="str">
        <f>Portfolio!B469</f>
        <v/>
      </c>
      <c r="C470" s="158" t="str">
        <f>Portfolio!C469</f>
        <v/>
      </c>
      <c r="D470" s="96" t="str">
        <f>Portfolio!D469</f>
        <v/>
      </c>
      <c r="E470" s="96" t="str">
        <f>Portfolio!E469</f>
        <v/>
      </c>
      <c r="F470" s="96" t="str">
        <f>Portfolio!G469</f>
        <v/>
      </c>
      <c r="G470" s="50" t="str">
        <f>Portfolio!H469</f>
        <v/>
      </c>
      <c r="H470" s="96" t="str">
        <f>Portfolio!I469</f>
        <v/>
      </c>
      <c r="I470" s="96" t="str">
        <f>Portfolio!J469</f>
        <v/>
      </c>
      <c r="J470" s="96" t="str">
        <f>Portfolio!K469</f>
        <v/>
      </c>
      <c r="K470" s="50" t="str">
        <f>Portfolio!O469</f>
        <v/>
      </c>
      <c r="L470" s="96" t="str">
        <f>Portfolio!P469</f>
        <v/>
      </c>
      <c r="M470" s="96" t="str">
        <f>Portfolio!Q469</f>
        <v/>
      </c>
      <c r="N470" s="14" t="str">
        <f>Portfolio!R469</f>
        <v/>
      </c>
      <c r="O470" s="50" t="str">
        <f>Portfolio!S469</f>
        <v/>
      </c>
      <c r="Q470" s="50" t="str">
        <f>Portfolio!U469</f>
        <v/>
      </c>
      <c r="S470" s="50" t="str">
        <f>Portfolio!W469</f>
        <v/>
      </c>
      <c r="T470" s="50" t="str">
        <f>Portfolio!X469</f>
        <v/>
      </c>
      <c r="U470" s="50" t="str">
        <f>Portfolio!Y469</f>
        <v/>
      </c>
      <c r="V470" s="50" t="str">
        <f>Portfolio!Z469</f>
        <v/>
      </c>
      <c r="W470" s="14" t="str">
        <f>Portfolio!AA469</f>
        <v/>
      </c>
      <c r="X470" s="50" t="str">
        <f>Portfolio!AB469</f>
        <v/>
      </c>
      <c r="Y470" s="179" t="str">
        <f>Portfolio!AC469</f>
        <v/>
      </c>
      <c r="Z470" s="50" t="str">
        <f>Portfolio!AD469</f>
        <v/>
      </c>
      <c r="AA470" s="180" t="str">
        <f>Portfolio!AE469</f>
        <v/>
      </c>
    </row>
    <row r="471">
      <c r="A471" s="14" t="str">
        <f>Portfolio!A470</f>
        <v/>
      </c>
      <c r="B471" s="14" t="str">
        <f>Portfolio!B470</f>
        <v/>
      </c>
      <c r="C471" s="158" t="str">
        <f>Portfolio!C470</f>
        <v/>
      </c>
      <c r="D471" s="96" t="str">
        <f>Portfolio!D470</f>
        <v/>
      </c>
      <c r="E471" s="96" t="str">
        <f>Portfolio!E470</f>
        <v/>
      </c>
      <c r="F471" s="96" t="str">
        <f>Portfolio!G470</f>
        <v/>
      </c>
      <c r="G471" s="50" t="str">
        <f>Portfolio!H470</f>
        <v/>
      </c>
      <c r="H471" s="96" t="str">
        <f>Portfolio!I470</f>
        <v/>
      </c>
      <c r="I471" s="96" t="str">
        <f>Portfolio!J470</f>
        <v/>
      </c>
      <c r="J471" s="96" t="str">
        <f>Portfolio!K470</f>
        <v/>
      </c>
      <c r="K471" s="50" t="str">
        <f>Portfolio!O470</f>
        <v/>
      </c>
      <c r="L471" s="96" t="str">
        <f>Portfolio!P470</f>
        <v/>
      </c>
      <c r="M471" s="96" t="str">
        <f>Portfolio!Q470</f>
        <v/>
      </c>
      <c r="N471" s="14" t="str">
        <f>Portfolio!R470</f>
        <v/>
      </c>
      <c r="O471" s="50" t="str">
        <f>Portfolio!S470</f>
        <v/>
      </c>
      <c r="Q471" s="50" t="str">
        <f>Portfolio!U470</f>
        <v/>
      </c>
      <c r="S471" s="50" t="str">
        <f>Portfolio!W470</f>
        <v/>
      </c>
      <c r="T471" s="50" t="str">
        <f>Portfolio!X470</f>
        <v/>
      </c>
      <c r="U471" s="50" t="str">
        <f>Portfolio!Y470</f>
        <v/>
      </c>
      <c r="V471" s="50" t="str">
        <f>Portfolio!Z470</f>
        <v/>
      </c>
      <c r="W471" s="14" t="str">
        <f>Portfolio!AA470</f>
        <v/>
      </c>
      <c r="X471" s="50" t="str">
        <f>Portfolio!AB470</f>
        <v/>
      </c>
      <c r="Y471" s="179" t="str">
        <f>Portfolio!AC470</f>
        <v/>
      </c>
      <c r="Z471" s="50" t="str">
        <f>Portfolio!AD470</f>
        <v/>
      </c>
      <c r="AA471" s="180" t="str">
        <f>Portfolio!AE470</f>
        <v/>
      </c>
    </row>
    <row r="472">
      <c r="A472" s="14" t="str">
        <f>Portfolio!A471</f>
        <v/>
      </c>
      <c r="B472" s="14" t="str">
        <f>Portfolio!B471</f>
        <v/>
      </c>
      <c r="C472" s="158" t="str">
        <f>Portfolio!C471</f>
        <v/>
      </c>
      <c r="D472" s="96" t="str">
        <f>Portfolio!D471</f>
        <v/>
      </c>
      <c r="E472" s="96" t="str">
        <f>Portfolio!E471</f>
        <v/>
      </c>
      <c r="F472" s="96" t="str">
        <f>Portfolio!G471</f>
        <v/>
      </c>
      <c r="G472" s="50" t="str">
        <f>Portfolio!H471</f>
        <v/>
      </c>
      <c r="H472" s="96" t="str">
        <f>Portfolio!I471</f>
        <v/>
      </c>
      <c r="I472" s="96" t="str">
        <f>Portfolio!J471</f>
        <v/>
      </c>
      <c r="J472" s="96" t="str">
        <f>Portfolio!K471</f>
        <v/>
      </c>
      <c r="K472" s="50" t="str">
        <f>Portfolio!O471</f>
        <v/>
      </c>
      <c r="L472" s="96" t="str">
        <f>Portfolio!P471</f>
        <v/>
      </c>
      <c r="M472" s="96" t="str">
        <f>Portfolio!Q471</f>
        <v/>
      </c>
      <c r="N472" s="14" t="str">
        <f>Portfolio!R471</f>
        <v/>
      </c>
      <c r="O472" s="50" t="str">
        <f>Portfolio!S471</f>
        <v/>
      </c>
      <c r="Q472" s="50" t="str">
        <f>Portfolio!U471</f>
        <v/>
      </c>
      <c r="S472" s="50" t="str">
        <f>Portfolio!W471</f>
        <v/>
      </c>
      <c r="T472" s="50" t="str">
        <f>Portfolio!X471</f>
        <v/>
      </c>
      <c r="U472" s="50" t="str">
        <f>Portfolio!Y471</f>
        <v/>
      </c>
      <c r="V472" s="50" t="str">
        <f>Portfolio!Z471</f>
        <v/>
      </c>
      <c r="W472" s="14" t="str">
        <f>Portfolio!AA471</f>
        <v/>
      </c>
      <c r="X472" s="50" t="str">
        <f>Portfolio!AB471</f>
        <v/>
      </c>
      <c r="Y472" s="179" t="str">
        <f>Portfolio!AC471</f>
        <v/>
      </c>
      <c r="Z472" s="50" t="str">
        <f>Portfolio!AD471</f>
        <v/>
      </c>
      <c r="AA472" s="180" t="str">
        <f>Portfolio!AE471</f>
        <v/>
      </c>
    </row>
    <row r="473">
      <c r="A473" s="14" t="str">
        <f>Portfolio!A472</f>
        <v/>
      </c>
      <c r="B473" s="14" t="str">
        <f>Portfolio!B472</f>
        <v/>
      </c>
      <c r="C473" s="158" t="str">
        <f>Portfolio!C472</f>
        <v/>
      </c>
      <c r="D473" s="96" t="str">
        <f>Portfolio!D472</f>
        <v/>
      </c>
      <c r="E473" s="96" t="str">
        <f>Portfolio!E472</f>
        <v/>
      </c>
      <c r="F473" s="96" t="str">
        <f>Portfolio!G472</f>
        <v/>
      </c>
      <c r="G473" s="50" t="str">
        <f>Portfolio!H472</f>
        <v/>
      </c>
      <c r="H473" s="96" t="str">
        <f>Portfolio!I472</f>
        <v/>
      </c>
      <c r="I473" s="96" t="str">
        <f>Portfolio!J472</f>
        <v/>
      </c>
      <c r="J473" s="96" t="str">
        <f>Portfolio!K472</f>
        <v/>
      </c>
      <c r="K473" s="50" t="str">
        <f>Portfolio!O472</f>
        <v/>
      </c>
      <c r="L473" s="96" t="str">
        <f>Portfolio!P472</f>
        <v/>
      </c>
      <c r="M473" s="96" t="str">
        <f>Portfolio!Q472</f>
        <v/>
      </c>
      <c r="N473" s="14" t="str">
        <f>Portfolio!R472</f>
        <v/>
      </c>
      <c r="O473" s="50" t="str">
        <f>Portfolio!S472</f>
        <v/>
      </c>
      <c r="Q473" s="50" t="str">
        <f>Portfolio!U472</f>
        <v/>
      </c>
      <c r="S473" s="50" t="str">
        <f>Portfolio!W472</f>
        <v/>
      </c>
      <c r="T473" s="50" t="str">
        <f>Portfolio!X472</f>
        <v/>
      </c>
      <c r="U473" s="50" t="str">
        <f>Portfolio!Y472</f>
        <v/>
      </c>
      <c r="V473" s="50" t="str">
        <f>Portfolio!Z472</f>
        <v/>
      </c>
      <c r="W473" s="14" t="str">
        <f>Portfolio!AA472</f>
        <v/>
      </c>
      <c r="X473" s="50" t="str">
        <f>Portfolio!AB472</f>
        <v/>
      </c>
      <c r="Y473" s="179" t="str">
        <f>Portfolio!AC472</f>
        <v/>
      </c>
      <c r="Z473" s="50" t="str">
        <f>Portfolio!AD472</f>
        <v/>
      </c>
      <c r="AA473" s="180" t="str">
        <f>Portfolio!AE472</f>
        <v/>
      </c>
    </row>
    <row r="474">
      <c r="A474" s="14" t="str">
        <f>Portfolio!A473</f>
        <v/>
      </c>
      <c r="B474" s="14" t="str">
        <f>Portfolio!B473</f>
        <v/>
      </c>
      <c r="C474" s="158" t="str">
        <f>Portfolio!C473</f>
        <v/>
      </c>
      <c r="D474" s="96" t="str">
        <f>Portfolio!D473</f>
        <v/>
      </c>
      <c r="E474" s="96" t="str">
        <f>Portfolio!E473</f>
        <v/>
      </c>
      <c r="F474" s="96" t="str">
        <f>Portfolio!G473</f>
        <v/>
      </c>
      <c r="G474" s="50" t="str">
        <f>Portfolio!H473</f>
        <v/>
      </c>
      <c r="H474" s="96" t="str">
        <f>Portfolio!I473</f>
        <v/>
      </c>
      <c r="I474" s="96" t="str">
        <f>Portfolio!J473</f>
        <v/>
      </c>
      <c r="J474" s="96" t="str">
        <f>Portfolio!K473</f>
        <v/>
      </c>
      <c r="K474" s="50" t="str">
        <f>Portfolio!O473</f>
        <v/>
      </c>
      <c r="L474" s="96" t="str">
        <f>Portfolio!P473</f>
        <v/>
      </c>
      <c r="M474" s="96" t="str">
        <f>Portfolio!Q473</f>
        <v/>
      </c>
      <c r="N474" s="14" t="str">
        <f>Portfolio!R473</f>
        <v/>
      </c>
      <c r="O474" s="50" t="str">
        <f>Portfolio!S473</f>
        <v/>
      </c>
      <c r="Q474" s="50" t="str">
        <f>Portfolio!U473</f>
        <v/>
      </c>
      <c r="S474" s="50" t="str">
        <f>Portfolio!W473</f>
        <v/>
      </c>
      <c r="T474" s="50" t="str">
        <f>Portfolio!X473</f>
        <v/>
      </c>
      <c r="U474" s="50" t="str">
        <f>Portfolio!Y473</f>
        <v/>
      </c>
      <c r="V474" s="50" t="str">
        <f>Portfolio!Z473</f>
        <v/>
      </c>
      <c r="W474" s="14" t="str">
        <f>Portfolio!AA473</f>
        <v/>
      </c>
      <c r="X474" s="50" t="str">
        <f>Portfolio!AB473</f>
        <v/>
      </c>
      <c r="Y474" s="179" t="str">
        <f>Portfolio!AC473</f>
        <v/>
      </c>
      <c r="Z474" s="50" t="str">
        <f>Portfolio!AD473</f>
        <v/>
      </c>
      <c r="AA474" s="180" t="str">
        <f>Portfolio!AE473</f>
        <v/>
      </c>
    </row>
    <row r="475">
      <c r="A475" s="14" t="str">
        <f>Portfolio!A474</f>
        <v/>
      </c>
      <c r="B475" s="14" t="str">
        <f>Portfolio!B474</f>
        <v/>
      </c>
      <c r="C475" s="158" t="str">
        <f>Portfolio!C474</f>
        <v/>
      </c>
      <c r="D475" s="96" t="str">
        <f>Portfolio!D474</f>
        <v/>
      </c>
      <c r="E475" s="96" t="str">
        <f>Portfolio!E474</f>
        <v/>
      </c>
      <c r="F475" s="96" t="str">
        <f>Portfolio!G474</f>
        <v/>
      </c>
      <c r="G475" s="50" t="str">
        <f>Portfolio!H474</f>
        <v/>
      </c>
      <c r="H475" s="96" t="str">
        <f>Portfolio!I474</f>
        <v/>
      </c>
      <c r="I475" s="96" t="str">
        <f>Portfolio!J474</f>
        <v/>
      </c>
      <c r="J475" s="96" t="str">
        <f>Portfolio!K474</f>
        <v/>
      </c>
      <c r="K475" s="50" t="str">
        <f>Portfolio!O474</f>
        <v/>
      </c>
      <c r="L475" s="96" t="str">
        <f>Portfolio!P474</f>
        <v/>
      </c>
      <c r="M475" s="96" t="str">
        <f>Portfolio!Q474</f>
        <v/>
      </c>
      <c r="N475" s="14" t="str">
        <f>Portfolio!R474</f>
        <v/>
      </c>
      <c r="O475" s="50" t="str">
        <f>Portfolio!S474</f>
        <v/>
      </c>
      <c r="Q475" s="50" t="str">
        <f>Portfolio!U474</f>
        <v/>
      </c>
      <c r="S475" s="50" t="str">
        <f>Portfolio!W474</f>
        <v/>
      </c>
      <c r="T475" s="50" t="str">
        <f>Portfolio!X474</f>
        <v/>
      </c>
      <c r="U475" s="50" t="str">
        <f>Portfolio!Y474</f>
        <v/>
      </c>
      <c r="V475" s="50" t="str">
        <f>Portfolio!Z474</f>
        <v/>
      </c>
      <c r="W475" s="14" t="str">
        <f>Portfolio!AA474</f>
        <v/>
      </c>
      <c r="X475" s="50" t="str">
        <f>Portfolio!AB474</f>
        <v/>
      </c>
      <c r="Y475" s="179" t="str">
        <f>Portfolio!AC474</f>
        <v/>
      </c>
      <c r="Z475" s="50" t="str">
        <f>Portfolio!AD474</f>
        <v/>
      </c>
      <c r="AA475" s="180" t="str">
        <f>Portfolio!AE474</f>
        <v/>
      </c>
    </row>
    <row r="476">
      <c r="A476" s="14" t="str">
        <f>Portfolio!A475</f>
        <v/>
      </c>
      <c r="B476" s="14" t="str">
        <f>Portfolio!B475</f>
        <v/>
      </c>
      <c r="C476" s="158" t="str">
        <f>Portfolio!C475</f>
        <v/>
      </c>
      <c r="D476" s="96" t="str">
        <f>Portfolio!D475</f>
        <v/>
      </c>
      <c r="E476" s="96" t="str">
        <f>Portfolio!E475</f>
        <v/>
      </c>
      <c r="F476" s="96" t="str">
        <f>Portfolio!G475</f>
        <v/>
      </c>
      <c r="G476" s="50" t="str">
        <f>Portfolio!H475</f>
        <v/>
      </c>
      <c r="H476" s="96" t="str">
        <f>Portfolio!I475</f>
        <v/>
      </c>
      <c r="I476" s="96" t="str">
        <f>Portfolio!J475</f>
        <v/>
      </c>
      <c r="J476" s="96" t="str">
        <f>Portfolio!K475</f>
        <v/>
      </c>
      <c r="K476" s="50" t="str">
        <f>Portfolio!O475</f>
        <v/>
      </c>
      <c r="L476" s="96" t="str">
        <f>Portfolio!P475</f>
        <v/>
      </c>
      <c r="M476" s="96" t="str">
        <f>Portfolio!Q475</f>
        <v/>
      </c>
      <c r="N476" s="14" t="str">
        <f>Portfolio!R475</f>
        <v/>
      </c>
      <c r="O476" s="50" t="str">
        <f>Portfolio!S475</f>
        <v/>
      </c>
      <c r="Q476" s="50" t="str">
        <f>Portfolio!U475</f>
        <v/>
      </c>
      <c r="S476" s="50" t="str">
        <f>Portfolio!W475</f>
        <v/>
      </c>
      <c r="T476" s="50" t="str">
        <f>Portfolio!X475</f>
        <v/>
      </c>
      <c r="U476" s="50" t="str">
        <f>Portfolio!Y475</f>
        <v/>
      </c>
      <c r="V476" s="50" t="str">
        <f>Portfolio!Z475</f>
        <v/>
      </c>
      <c r="W476" s="14" t="str">
        <f>Portfolio!AA475</f>
        <v/>
      </c>
      <c r="X476" s="50" t="str">
        <f>Portfolio!AB475</f>
        <v/>
      </c>
      <c r="Y476" s="179" t="str">
        <f>Portfolio!AC475</f>
        <v/>
      </c>
      <c r="Z476" s="50" t="str">
        <f>Portfolio!AD475</f>
        <v/>
      </c>
      <c r="AA476" s="180" t="str">
        <f>Portfolio!AE475</f>
        <v/>
      </c>
    </row>
    <row r="477">
      <c r="A477" s="14" t="str">
        <f>Portfolio!A476</f>
        <v/>
      </c>
      <c r="B477" s="14" t="str">
        <f>Portfolio!B476</f>
        <v/>
      </c>
      <c r="C477" s="158" t="str">
        <f>Portfolio!C476</f>
        <v/>
      </c>
      <c r="D477" s="96" t="str">
        <f>Portfolio!D476</f>
        <v/>
      </c>
      <c r="E477" s="96" t="str">
        <f>Portfolio!E476</f>
        <v/>
      </c>
      <c r="F477" s="96" t="str">
        <f>Portfolio!G476</f>
        <v/>
      </c>
      <c r="G477" s="50" t="str">
        <f>Portfolio!H476</f>
        <v/>
      </c>
      <c r="H477" s="96" t="str">
        <f>Portfolio!I476</f>
        <v/>
      </c>
      <c r="I477" s="96" t="str">
        <f>Portfolio!J476</f>
        <v/>
      </c>
      <c r="J477" s="96" t="str">
        <f>Portfolio!K476</f>
        <v/>
      </c>
      <c r="K477" s="50" t="str">
        <f>Portfolio!O476</f>
        <v/>
      </c>
      <c r="L477" s="96" t="str">
        <f>Portfolio!P476</f>
        <v/>
      </c>
      <c r="M477" s="96" t="str">
        <f>Portfolio!Q476</f>
        <v/>
      </c>
      <c r="N477" s="14" t="str">
        <f>Portfolio!R476</f>
        <v/>
      </c>
      <c r="O477" s="50" t="str">
        <f>Portfolio!S476</f>
        <v/>
      </c>
      <c r="Q477" s="50" t="str">
        <f>Portfolio!U476</f>
        <v/>
      </c>
      <c r="S477" s="50" t="str">
        <f>Portfolio!W476</f>
        <v/>
      </c>
      <c r="T477" s="50" t="str">
        <f>Portfolio!X476</f>
        <v/>
      </c>
      <c r="U477" s="50" t="str">
        <f>Portfolio!Y476</f>
        <v/>
      </c>
      <c r="V477" s="50" t="str">
        <f>Portfolio!Z476</f>
        <v/>
      </c>
      <c r="W477" s="14" t="str">
        <f>Portfolio!AA476</f>
        <v/>
      </c>
      <c r="X477" s="50" t="str">
        <f>Portfolio!AB476</f>
        <v/>
      </c>
      <c r="Y477" s="179" t="str">
        <f>Portfolio!AC476</f>
        <v/>
      </c>
      <c r="Z477" s="50" t="str">
        <f>Portfolio!AD476</f>
        <v/>
      </c>
      <c r="AA477" s="180" t="str">
        <f>Portfolio!AE476</f>
        <v/>
      </c>
    </row>
    <row r="478">
      <c r="A478" s="14" t="str">
        <f>Portfolio!A477</f>
        <v/>
      </c>
      <c r="B478" s="14" t="str">
        <f>Portfolio!B477</f>
        <v/>
      </c>
      <c r="C478" s="158" t="str">
        <f>Portfolio!C477</f>
        <v/>
      </c>
      <c r="D478" s="96" t="str">
        <f>Portfolio!D477</f>
        <v/>
      </c>
      <c r="E478" s="96" t="str">
        <f>Portfolio!E477</f>
        <v/>
      </c>
      <c r="F478" s="96" t="str">
        <f>Portfolio!G477</f>
        <v/>
      </c>
      <c r="G478" s="50" t="str">
        <f>Portfolio!H477</f>
        <v/>
      </c>
      <c r="H478" s="96" t="str">
        <f>Portfolio!I477</f>
        <v/>
      </c>
      <c r="I478" s="96" t="str">
        <f>Portfolio!J477</f>
        <v/>
      </c>
      <c r="J478" s="96" t="str">
        <f>Portfolio!K477</f>
        <v/>
      </c>
      <c r="K478" s="50" t="str">
        <f>Portfolio!O477</f>
        <v/>
      </c>
      <c r="L478" s="96" t="str">
        <f>Portfolio!P477</f>
        <v/>
      </c>
      <c r="M478" s="96" t="str">
        <f>Portfolio!Q477</f>
        <v/>
      </c>
      <c r="N478" s="14" t="str">
        <f>Portfolio!R477</f>
        <v/>
      </c>
      <c r="O478" s="50" t="str">
        <f>Portfolio!S477</f>
        <v/>
      </c>
      <c r="Q478" s="50" t="str">
        <f>Portfolio!U477</f>
        <v/>
      </c>
      <c r="S478" s="50" t="str">
        <f>Portfolio!W477</f>
        <v/>
      </c>
      <c r="T478" s="50" t="str">
        <f>Portfolio!X477</f>
        <v/>
      </c>
      <c r="U478" s="50" t="str">
        <f>Portfolio!Y477</f>
        <v/>
      </c>
      <c r="V478" s="50" t="str">
        <f>Portfolio!Z477</f>
        <v/>
      </c>
      <c r="W478" s="14" t="str">
        <f>Portfolio!AA477</f>
        <v/>
      </c>
      <c r="X478" s="50" t="str">
        <f>Portfolio!AB477</f>
        <v/>
      </c>
      <c r="Y478" s="179" t="str">
        <f>Portfolio!AC477</f>
        <v/>
      </c>
      <c r="Z478" s="50" t="str">
        <f>Portfolio!AD477</f>
        <v/>
      </c>
      <c r="AA478" s="180" t="str">
        <f>Portfolio!AE477</f>
        <v/>
      </c>
    </row>
    <row r="479">
      <c r="A479" s="14" t="str">
        <f>Portfolio!A478</f>
        <v/>
      </c>
      <c r="B479" s="14" t="str">
        <f>Portfolio!B478</f>
        <v/>
      </c>
      <c r="C479" s="158" t="str">
        <f>Portfolio!C478</f>
        <v/>
      </c>
      <c r="D479" s="96" t="str">
        <f>Portfolio!D478</f>
        <v/>
      </c>
      <c r="E479" s="96" t="str">
        <f>Portfolio!E478</f>
        <v/>
      </c>
      <c r="F479" s="96" t="str">
        <f>Portfolio!G478</f>
        <v/>
      </c>
      <c r="G479" s="50" t="str">
        <f>Portfolio!H478</f>
        <v/>
      </c>
      <c r="H479" s="96" t="str">
        <f>Portfolio!I478</f>
        <v/>
      </c>
      <c r="I479" s="96" t="str">
        <f>Portfolio!J478</f>
        <v/>
      </c>
      <c r="J479" s="96" t="str">
        <f>Portfolio!K478</f>
        <v/>
      </c>
      <c r="K479" s="50" t="str">
        <f>Portfolio!O478</f>
        <v/>
      </c>
      <c r="L479" s="96" t="str">
        <f>Portfolio!P478</f>
        <v/>
      </c>
      <c r="M479" s="96" t="str">
        <f>Portfolio!Q478</f>
        <v/>
      </c>
      <c r="N479" s="14" t="str">
        <f>Portfolio!R478</f>
        <v/>
      </c>
      <c r="O479" s="50" t="str">
        <f>Portfolio!S478</f>
        <v/>
      </c>
      <c r="Q479" s="50" t="str">
        <f>Portfolio!U478</f>
        <v/>
      </c>
      <c r="S479" s="50" t="str">
        <f>Portfolio!W478</f>
        <v/>
      </c>
      <c r="T479" s="50" t="str">
        <f>Portfolio!X478</f>
        <v/>
      </c>
      <c r="U479" s="50" t="str">
        <f>Portfolio!Y478</f>
        <v/>
      </c>
      <c r="V479" s="50" t="str">
        <f>Portfolio!Z478</f>
        <v/>
      </c>
      <c r="W479" s="14" t="str">
        <f>Portfolio!AA478</f>
        <v/>
      </c>
      <c r="X479" s="50" t="str">
        <f>Portfolio!AB478</f>
        <v/>
      </c>
      <c r="Y479" s="179" t="str">
        <f>Portfolio!AC478</f>
        <v/>
      </c>
      <c r="Z479" s="50" t="str">
        <f>Portfolio!AD478</f>
        <v/>
      </c>
      <c r="AA479" s="180" t="str">
        <f>Portfolio!AE478</f>
        <v/>
      </c>
    </row>
    <row r="480">
      <c r="A480" s="14" t="str">
        <f>Portfolio!A479</f>
        <v/>
      </c>
      <c r="B480" s="14" t="str">
        <f>Portfolio!B479</f>
        <v/>
      </c>
      <c r="C480" s="158" t="str">
        <f>Portfolio!C479</f>
        <v/>
      </c>
      <c r="D480" s="96" t="str">
        <f>Portfolio!D479</f>
        <v/>
      </c>
      <c r="E480" s="96" t="str">
        <f>Portfolio!E479</f>
        <v/>
      </c>
      <c r="F480" s="96" t="str">
        <f>Portfolio!G479</f>
        <v/>
      </c>
      <c r="G480" s="50" t="str">
        <f>Portfolio!H479</f>
        <v/>
      </c>
      <c r="H480" s="96" t="str">
        <f>Portfolio!I479</f>
        <v/>
      </c>
      <c r="I480" s="96" t="str">
        <f>Portfolio!J479</f>
        <v/>
      </c>
      <c r="J480" s="96" t="str">
        <f>Portfolio!K479</f>
        <v/>
      </c>
      <c r="K480" s="50" t="str">
        <f>Portfolio!O479</f>
        <v/>
      </c>
      <c r="L480" s="96" t="str">
        <f>Portfolio!P479</f>
        <v/>
      </c>
      <c r="M480" s="96" t="str">
        <f>Portfolio!Q479</f>
        <v/>
      </c>
      <c r="N480" s="14" t="str">
        <f>Portfolio!R479</f>
        <v/>
      </c>
      <c r="O480" s="50" t="str">
        <f>Portfolio!S479</f>
        <v/>
      </c>
      <c r="Q480" s="50" t="str">
        <f>Portfolio!U479</f>
        <v/>
      </c>
      <c r="S480" s="50" t="str">
        <f>Portfolio!W479</f>
        <v/>
      </c>
      <c r="T480" s="50" t="str">
        <f>Portfolio!X479</f>
        <v/>
      </c>
      <c r="U480" s="50" t="str">
        <f>Portfolio!Y479</f>
        <v/>
      </c>
      <c r="V480" s="50" t="str">
        <f>Portfolio!Z479</f>
        <v/>
      </c>
      <c r="W480" s="14" t="str">
        <f>Portfolio!AA479</f>
        <v/>
      </c>
      <c r="X480" s="50" t="str">
        <f>Portfolio!AB479</f>
        <v/>
      </c>
      <c r="Y480" s="179" t="str">
        <f>Portfolio!AC479</f>
        <v/>
      </c>
      <c r="Z480" s="50" t="str">
        <f>Portfolio!AD479</f>
        <v/>
      </c>
      <c r="AA480" s="180" t="str">
        <f>Portfolio!AE479</f>
        <v/>
      </c>
    </row>
    <row r="481">
      <c r="A481" s="14" t="str">
        <f>Portfolio!A480</f>
        <v/>
      </c>
      <c r="B481" s="14" t="str">
        <f>Portfolio!B480</f>
        <v/>
      </c>
      <c r="C481" s="158" t="str">
        <f>Portfolio!C480</f>
        <v/>
      </c>
      <c r="D481" s="96" t="str">
        <f>Portfolio!D480</f>
        <v/>
      </c>
      <c r="E481" s="96" t="str">
        <f>Portfolio!E480</f>
        <v/>
      </c>
      <c r="F481" s="96" t="str">
        <f>Portfolio!G480</f>
        <v/>
      </c>
      <c r="G481" s="50" t="str">
        <f>Portfolio!H480</f>
        <v/>
      </c>
      <c r="H481" s="96" t="str">
        <f>Portfolio!I480</f>
        <v/>
      </c>
      <c r="I481" s="96" t="str">
        <f>Portfolio!J480</f>
        <v/>
      </c>
      <c r="J481" s="96" t="str">
        <f>Portfolio!K480</f>
        <v/>
      </c>
      <c r="K481" s="50" t="str">
        <f>Portfolio!O480</f>
        <v/>
      </c>
      <c r="L481" s="96" t="str">
        <f>Portfolio!P480</f>
        <v/>
      </c>
      <c r="M481" s="96" t="str">
        <f>Portfolio!Q480</f>
        <v/>
      </c>
      <c r="N481" s="14" t="str">
        <f>Portfolio!R480</f>
        <v/>
      </c>
      <c r="O481" s="50" t="str">
        <f>Portfolio!S480</f>
        <v/>
      </c>
      <c r="Q481" s="50" t="str">
        <f>Portfolio!U480</f>
        <v/>
      </c>
      <c r="S481" s="50" t="str">
        <f>Portfolio!W480</f>
        <v/>
      </c>
      <c r="T481" s="50" t="str">
        <f>Portfolio!X480</f>
        <v/>
      </c>
      <c r="U481" s="50" t="str">
        <f>Portfolio!Y480</f>
        <v/>
      </c>
      <c r="V481" s="50" t="str">
        <f>Portfolio!Z480</f>
        <v/>
      </c>
      <c r="W481" s="14" t="str">
        <f>Portfolio!AA480</f>
        <v/>
      </c>
      <c r="X481" s="50" t="str">
        <f>Portfolio!AB480</f>
        <v/>
      </c>
      <c r="Y481" s="179" t="str">
        <f>Portfolio!AC480</f>
        <v/>
      </c>
      <c r="Z481" s="50" t="str">
        <f>Portfolio!AD480</f>
        <v/>
      </c>
      <c r="AA481" s="180" t="str">
        <f>Portfolio!AE480</f>
        <v/>
      </c>
    </row>
    <row r="482">
      <c r="A482" s="14" t="str">
        <f>Portfolio!A481</f>
        <v/>
      </c>
      <c r="B482" s="14" t="str">
        <f>Portfolio!B481</f>
        <v/>
      </c>
      <c r="C482" s="158" t="str">
        <f>Portfolio!C481</f>
        <v/>
      </c>
      <c r="D482" s="96" t="str">
        <f>Portfolio!D481</f>
        <v/>
      </c>
      <c r="E482" s="96" t="str">
        <f>Portfolio!E481</f>
        <v/>
      </c>
      <c r="F482" s="96" t="str">
        <f>Portfolio!G481</f>
        <v/>
      </c>
      <c r="G482" s="50" t="str">
        <f>Portfolio!H481</f>
        <v/>
      </c>
      <c r="H482" s="96" t="str">
        <f>Portfolio!I481</f>
        <v/>
      </c>
      <c r="I482" s="96" t="str">
        <f>Portfolio!J481</f>
        <v/>
      </c>
      <c r="J482" s="96" t="str">
        <f>Portfolio!K481</f>
        <v/>
      </c>
      <c r="K482" s="50" t="str">
        <f>Portfolio!O481</f>
        <v/>
      </c>
      <c r="L482" s="96" t="str">
        <f>Portfolio!P481</f>
        <v/>
      </c>
      <c r="M482" s="96" t="str">
        <f>Portfolio!Q481</f>
        <v/>
      </c>
      <c r="N482" s="14" t="str">
        <f>Portfolio!R481</f>
        <v/>
      </c>
      <c r="O482" s="50" t="str">
        <f>Portfolio!S481</f>
        <v/>
      </c>
      <c r="Q482" s="50" t="str">
        <f>Portfolio!U481</f>
        <v/>
      </c>
      <c r="S482" s="50" t="str">
        <f>Portfolio!W481</f>
        <v/>
      </c>
      <c r="T482" s="50" t="str">
        <f>Portfolio!X481</f>
        <v/>
      </c>
      <c r="U482" s="50" t="str">
        <f>Portfolio!Y481</f>
        <v/>
      </c>
      <c r="V482" s="50" t="str">
        <f>Portfolio!Z481</f>
        <v/>
      </c>
      <c r="W482" s="14" t="str">
        <f>Portfolio!AA481</f>
        <v/>
      </c>
      <c r="X482" s="50" t="str">
        <f>Portfolio!AB481</f>
        <v/>
      </c>
      <c r="Y482" s="179" t="str">
        <f>Portfolio!AC481</f>
        <v/>
      </c>
      <c r="Z482" s="50" t="str">
        <f>Portfolio!AD481</f>
        <v/>
      </c>
      <c r="AA482" s="180" t="str">
        <f>Portfolio!AE481</f>
        <v/>
      </c>
    </row>
    <row r="483">
      <c r="A483" s="14" t="str">
        <f>Portfolio!A482</f>
        <v/>
      </c>
      <c r="B483" s="14" t="str">
        <f>Portfolio!B482</f>
        <v/>
      </c>
      <c r="C483" s="158" t="str">
        <f>Portfolio!C482</f>
        <v/>
      </c>
      <c r="D483" s="96" t="str">
        <f>Portfolio!D482</f>
        <v/>
      </c>
      <c r="E483" s="96" t="str">
        <f>Portfolio!E482</f>
        <v/>
      </c>
      <c r="F483" s="96" t="str">
        <f>Portfolio!G482</f>
        <v/>
      </c>
      <c r="G483" s="50" t="str">
        <f>Portfolio!H482</f>
        <v/>
      </c>
      <c r="H483" s="96" t="str">
        <f>Portfolio!I482</f>
        <v/>
      </c>
      <c r="I483" s="96" t="str">
        <f>Portfolio!J482</f>
        <v/>
      </c>
      <c r="J483" s="96" t="str">
        <f>Portfolio!K482</f>
        <v/>
      </c>
      <c r="K483" s="50" t="str">
        <f>Portfolio!O482</f>
        <v/>
      </c>
      <c r="L483" s="96" t="str">
        <f>Portfolio!P482</f>
        <v/>
      </c>
      <c r="M483" s="96" t="str">
        <f>Portfolio!Q482</f>
        <v/>
      </c>
      <c r="N483" s="14" t="str">
        <f>Portfolio!R482</f>
        <v/>
      </c>
      <c r="O483" s="50" t="str">
        <f>Portfolio!S482</f>
        <v/>
      </c>
      <c r="Q483" s="50" t="str">
        <f>Portfolio!U482</f>
        <v/>
      </c>
      <c r="S483" s="50" t="str">
        <f>Portfolio!W482</f>
        <v/>
      </c>
      <c r="T483" s="50" t="str">
        <f>Portfolio!X482</f>
        <v/>
      </c>
      <c r="U483" s="50" t="str">
        <f>Portfolio!Y482</f>
        <v/>
      </c>
      <c r="V483" s="50" t="str">
        <f>Portfolio!Z482</f>
        <v/>
      </c>
      <c r="W483" s="14" t="str">
        <f>Portfolio!AA482</f>
        <v/>
      </c>
      <c r="X483" s="50" t="str">
        <f>Portfolio!AB482</f>
        <v/>
      </c>
      <c r="Y483" s="179" t="str">
        <f>Portfolio!AC482</f>
        <v/>
      </c>
      <c r="Z483" s="50" t="str">
        <f>Portfolio!AD482</f>
        <v/>
      </c>
      <c r="AA483" s="180" t="str">
        <f>Portfolio!AE482</f>
        <v/>
      </c>
    </row>
    <row r="484">
      <c r="A484" s="14" t="str">
        <f>Portfolio!A483</f>
        <v/>
      </c>
      <c r="B484" s="14" t="str">
        <f>Portfolio!B483</f>
        <v/>
      </c>
      <c r="C484" s="158" t="str">
        <f>Portfolio!C483</f>
        <v/>
      </c>
      <c r="D484" s="96" t="str">
        <f>Portfolio!D483</f>
        <v/>
      </c>
      <c r="E484" s="96" t="str">
        <f>Portfolio!E483</f>
        <v/>
      </c>
      <c r="F484" s="96" t="str">
        <f>Portfolio!G483</f>
        <v/>
      </c>
      <c r="G484" s="50" t="str">
        <f>Portfolio!H483</f>
        <v/>
      </c>
      <c r="H484" s="96" t="str">
        <f>Portfolio!I483</f>
        <v/>
      </c>
      <c r="I484" s="96" t="str">
        <f>Portfolio!J483</f>
        <v/>
      </c>
      <c r="J484" s="96" t="str">
        <f>Portfolio!K483</f>
        <v/>
      </c>
      <c r="K484" s="50" t="str">
        <f>Portfolio!O483</f>
        <v/>
      </c>
      <c r="L484" s="96" t="str">
        <f>Portfolio!P483</f>
        <v/>
      </c>
      <c r="M484" s="96" t="str">
        <f>Portfolio!Q483</f>
        <v/>
      </c>
      <c r="N484" s="14" t="str">
        <f>Portfolio!R483</f>
        <v/>
      </c>
      <c r="O484" s="50" t="str">
        <f>Portfolio!S483</f>
        <v/>
      </c>
      <c r="Q484" s="50" t="str">
        <f>Portfolio!U483</f>
        <v/>
      </c>
      <c r="S484" s="50" t="str">
        <f>Portfolio!W483</f>
        <v/>
      </c>
      <c r="T484" s="50" t="str">
        <f>Portfolio!X483</f>
        <v/>
      </c>
      <c r="U484" s="50" t="str">
        <f>Portfolio!Y483</f>
        <v/>
      </c>
      <c r="V484" s="50" t="str">
        <f>Portfolio!Z483</f>
        <v/>
      </c>
      <c r="W484" s="14" t="str">
        <f>Portfolio!AA483</f>
        <v/>
      </c>
      <c r="X484" s="50" t="str">
        <f>Portfolio!AB483</f>
        <v/>
      </c>
      <c r="Y484" s="179" t="str">
        <f>Portfolio!AC483</f>
        <v/>
      </c>
      <c r="Z484" s="50" t="str">
        <f>Portfolio!AD483</f>
        <v/>
      </c>
      <c r="AA484" s="180" t="str">
        <f>Portfolio!AE483</f>
        <v/>
      </c>
    </row>
    <row r="485">
      <c r="A485" s="14" t="str">
        <f>Portfolio!A484</f>
        <v/>
      </c>
      <c r="B485" s="14" t="str">
        <f>Portfolio!B484</f>
        <v/>
      </c>
      <c r="C485" s="158" t="str">
        <f>Portfolio!C484</f>
        <v/>
      </c>
      <c r="D485" s="96" t="str">
        <f>Portfolio!D484</f>
        <v/>
      </c>
      <c r="E485" s="96" t="str">
        <f>Portfolio!E484</f>
        <v/>
      </c>
      <c r="F485" s="96" t="str">
        <f>Portfolio!G484</f>
        <v/>
      </c>
      <c r="G485" s="50" t="str">
        <f>Portfolio!H484</f>
        <v/>
      </c>
      <c r="H485" s="96" t="str">
        <f>Portfolio!I484</f>
        <v/>
      </c>
      <c r="I485" s="96" t="str">
        <f>Portfolio!J484</f>
        <v/>
      </c>
      <c r="J485" s="96" t="str">
        <f>Portfolio!K484</f>
        <v/>
      </c>
      <c r="K485" s="50" t="str">
        <f>Portfolio!O484</f>
        <v/>
      </c>
      <c r="L485" s="96" t="str">
        <f>Portfolio!P484</f>
        <v/>
      </c>
      <c r="M485" s="96" t="str">
        <f>Portfolio!Q484</f>
        <v/>
      </c>
      <c r="N485" s="14" t="str">
        <f>Portfolio!R484</f>
        <v/>
      </c>
      <c r="O485" s="50" t="str">
        <f>Portfolio!S484</f>
        <v/>
      </c>
      <c r="Q485" s="50" t="str">
        <f>Portfolio!U484</f>
        <v/>
      </c>
      <c r="S485" s="50" t="str">
        <f>Portfolio!W484</f>
        <v/>
      </c>
      <c r="T485" s="50" t="str">
        <f>Portfolio!X484</f>
        <v/>
      </c>
      <c r="U485" s="50" t="str">
        <f>Portfolio!Y484</f>
        <v/>
      </c>
      <c r="V485" s="50" t="str">
        <f>Portfolio!Z484</f>
        <v/>
      </c>
      <c r="W485" s="14" t="str">
        <f>Portfolio!AA484</f>
        <v/>
      </c>
      <c r="X485" s="50" t="str">
        <f>Portfolio!AB484</f>
        <v/>
      </c>
      <c r="Y485" s="179" t="str">
        <f>Portfolio!AC484</f>
        <v/>
      </c>
      <c r="Z485" s="50" t="str">
        <f>Portfolio!AD484</f>
        <v/>
      </c>
      <c r="AA485" s="180" t="str">
        <f>Portfolio!AE484</f>
        <v/>
      </c>
    </row>
    <row r="486">
      <c r="A486" s="14" t="str">
        <f>Portfolio!A485</f>
        <v/>
      </c>
      <c r="B486" s="14" t="str">
        <f>Portfolio!B485</f>
        <v/>
      </c>
      <c r="C486" s="158" t="str">
        <f>Portfolio!C485</f>
        <v/>
      </c>
      <c r="D486" s="96" t="str">
        <f>Portfolio!D485</f>
        <v/>
      </c>
      <c r="E486" s="96" t="str">
        <f>Portfolio!E485</f>
        <v/>
      </c>
      <c r="F486" s="96" t="str">
        <f>Portfolio!G485</f>
        <v/>
      </c>
      <c r="G486" s="50" t="str">
        <f>Portfolio!H485</f>
        <v/>
      </c>
      <c r="H486" s="96" t="str">
        <f>Portfolio!I485</f>
        <v/>
      </c>
      <c r="I486" s="96" t="str">
        <f>Portfolio!J485</f>
        <v/>
      </c>
      <c r="J486" s="96" t="str">
        <f>Portfolio!K485</f>
        <v/>
      </c>
      <c r="K486" s="50" t="str">
        <f>Portfolio!O485</f>
        <v/>
      </c>
      <c r="L486" s="96" t="str">
        <f>Portfolio!P485</f>
        <v/>
      </c>
      <c r="M486" s="96" t="str">
        <f>Portfolio!Q485</f>
        <v/>
      </c>
      <c r="N486" s="14" t="str">
        <f>Portfolio!R485</f>
        <v/>
      </c>
      <c r="O486" s="50" t="str">
        <f>Portfolio!S485</f>
        <v/>
      </c>
      <c r="Q486" s="50" t="str">
        <f>Portfolio!U485</f>
        <v/>
      </c>
      <c r="S486" s="50" t="str">
        <f>Portfolio!W485</f>
        <v/>
      </c>
      <c r="T486" s="50" t="str">
        <f>Portfolio!X485</f>
        <v/>
      </c>
      <c r="U486" s="50" t="str">
        <f>Portfolio!Y485</f>
        <v/>
      </c>
      <c r="V486" s="50" t="str">
        <f>Portfolio!Z485</f>
        <v/>
      </c>
      <c r="W486" s="14" t="str">
        <f>Portfolio!AA485</f>
        <v/>
      </c>
      <c r="X486" s="50" t="str">
        <f>Portfolio!AB485</f>
        <v/>
      </c>
      <c r="Y486" s="179" t="str">
        <f>Portfolio!AC485</f>
        <v/>
      </c>
      <c r="Z486" s="50" t="str">
        <f>Portfolio!AD485</f>
        <v/>
      </c>
      <c r="AA486" s="180" t="str">
        <f>Portfolio!AE485</f>
        <v/>
      </c>
    </row>
    <row r="487">
      <c r="A487" s="14" t="str">
        <f>Portfolio!A486</f>
        <v/>
      </c>
      <c r="B487" s="14" t="str">
        <f>Portfolio!B486</f>
        <v/>
      </c>
      <c r="C487" s="158" t="str">
        <f>Portfolio!C486</f>
        <v/>
      </c>
      <c r="D487" s="96" t="str">
        <f>Portfolio!D486</f>
        <v/>
      </c>
      <c r="E487" s="96" t="str">
        <f>Portfolio!E486</f>
        <v/>
      </c>
      <c r="F487" s="96" t="str">
        <f>Portfolio!G486</f>
        <v/>
      </c>
      <c r="G487" s="50" t="str">
        <f>Portfolio!H486</f>
        <v/>
      </c>
      <c r="H487" s="96" t="str">
        <f>Portfolio!I486</f>
        <v/>
      </c>
      <c r="I487" s="96" t="str">
        <f>Portfolio!J486</f>
        <v/>
      </c>
      <c r="J487" s="96" t="str">
        <f>Portfolio!K486</f>
        <v/>
      </c>
      <c r="K487" s="50" t="str">
        <f>Portfolio!O486</f>
        <v/>
      </c>
      <c r="L487" s="96" t="str">
        <f>Portfolio!P486</f>
        <v/>
      </c>
      <c r="M487" s="96" t="str">
        <f>Portfolio!Q486</f>
        <v/>
      </c>
      <c r="N487" s="14" t="str">
        <f>Portfolio!R486</f>
        <v/>
      </c>
      <c r="O487" s="50" t="str">
        <f>Portfolio!S486</f>
        <v/>
      </c>
      <c r="Q487" s="50" t="str">
        <f>Portfolio!U486</f>
        <v/>
      </c>
      <c r="S487" s="50" t="str">
        <f>Portfolio!W486</f>
        <v/>
      </c>
      <c r="T487" s="50" t="str">
        <f>Portfolio!X486</f>
        <v/>
      </c>
      <c r="U487" s="50" t="str">
        <f>Portfolio!Y486</f>
        <v/>
      </c>
      <c r="V487" s="50" t="str">
        <f>Portfolio!Z486</f>
        <v/>
      </c>
      <c r="W487" s="14" t="str">
        <f>Portfolio!AA486</f>
        <v/>
      </c>
      <c r="X487" s="50" t="str">
        <f>Portfolio!AB486</f>
        <v/>
      </c>
      <c r="Y487" s="179" t="str">
        <f>Portfolio!AC486</f>
        <v/>
      </c>
      <c r="Z487" s="50" t="str">
        <f>Portfolio!AD486</f>
        <v/>
      </c>
      <c r="AA487" s="180" t="str">
        <f>Portfolio!AE486</f>
        <v/>
      </c>
    </row>
    <row r="488">
      <c r="A488" s="14" t="str">
        <f>Portfolio!A487</f>
        <v/>
      </c>
      <c r="B488" s="14" t="str">
        <f>Portfolio!B487</f>
        <v/>
      </c>
      <c r="C488" s="158" t="str">
        <f>Portfolio!C487</f>
        <v/>
      </c>
      <c r="D488" s="96" t="str">
        <f>Portfolio!D487</f>
        <v/>
      </c>
      <c r="E488" s="96" t="str">
        <f>Portfolio!E487</f>
        <v/>
      </c>
      <c r="F488" s="96" t="str">
        <f>Portfolio!G487</f>
        <v/>
      </c>
      <c r="G488" s="50" t="str">
        <f>Portfolio!H487</f>
        <v/>
      </c>
      <c r="H488" s="96" t="str">
        <f>Portfolio!I487</f>
        <v/>
      </c>
      <c r="I488" s="96" t="str">
        <f>Portfolio!J487</f>
        <v/>
      </c>
      <c r="J488" s="96" t="str">
        <f>Portfolio!K487</f>
        <v/>
      </c>
      <c r="K488" s="50" t="str">
        <f>Portfolio!O487</f>
        <v/>
      </c>
      <c r="L488" s="96" t="str">
        <f>Portfolio!P487</f>
        <v/>
      </c>
      <c r="M488" s="96" t="str">
        <f>Portfolio!Q487</f>
        <v/>
      </c>
      <c r="N488" s="14" t="str">
        <f>Portfolio!R487</f>
        <v/>
      </c>
      <c r="O488" s="50" t="str">
        <f>Portfolio!S487</f>
        <v/>
      </c>
      <c r="Q488" s="50" t="str">
        <f>Portfolio!U487</f>
        <v/>
      </c>
      <c r="S488" s="50" t="str">
        <f>Portfolio!W487</f>
        <v/>
      </c>
      <c r="T488" s="50" t="str">
        <f>Portfolio!X487</f>
        <v/>
      </c>
      <c r="U488" s="50" t="str">
        <f>Portfolio!Y487</f>
        <v/>
      </c>
      <c r="V488" s="50" t="str">
        <f>Portfolio!Z487</f>
        <v/>
      </c>
      <c r="W488" s="14" t="str">
        <f>Portfolio!AA487</f>
        <v/>
      </c>
      <c r="X488" s="50" t="str">
        <f>Portfolio!AB487</f>
        <v/>
      </c>
      <c r="Y488" s="179" t="str">
        <f>Portfolio!AC487</f>
        <v/>
      </c>
      <c r="Z488" s="50" t="str">
        <f>Portfolio!AD487</f>
        <v/>
      </c>
      <c r="AA488" s="180" t="str">
        <f>Portfolio!AE487</f>
        <v/>
      </c>
    </row>
    <row r="489">
      <c r="A489" s="14" t="str">
        <f>Portfolio!A488</f>
        <v/>
      </c>
      <c r="B489" s="14" t="str">
        <f>Portfolio!B488</f>
        <v/>
      </c>
      <c r="C489" s="158" t="str">
        <f>Portfolio!C488</f>
        <v/>
      </c>
      <c r="D489" s="96" t="str">
        <f>Portfolio!D488</f>
        <v/>
      </c>
      <c r="E489" s="96" t="str">
        <f>Portfolio!E488</f>
        <v/>
      </c>
      <c r="F489" s="96" t="str">
        <f>Portfolio!G488</f>
        <v/>
      </c>
      <c r="G489" s="50" t="str">
        <f>Portfolio!H488</f>
        <v/>
      </c>
      <c r="H489" s="96" t="str">
        <f>Portfolio!I488</f>
        <v/>
      </c>
      <c r="I489" s="96" t="str">
        <f>Portfolio!J488</f>
        <v/>
      </c>
      <c r="J489" s="96" t="str">
        <f>Portfolio!K488</f>
        <v/>
      </c>
      <c r="K489" s="50" t="str">
        <f>Portfolio!O488</f>
        <v/>
      </c>
      <c r="L489" s="96" t="str">
        <f>Portfolio!P488</f>
        <v/>
      </c>
      <c r="M489" s="96" t="str">
        <f>Portfolio!Q488</f>
        <v/>
      </c>
      <c r="N489" s="14" t="str">
        <f>Portfolio!R488</f>
        <v/>
      </c>
      <c r="O489" s="50" t="str">
        <f>Portfolio!S488</f>
        <v/>
      </c>
      <c r="Q489" s="50" t="str">
        <f>Portfolio!U488</f>
        <v/>
      </c>
      <c r="S489" s="50" t="str">
        <f>Portfolio!W488</f>
        <v/>
      </c>
      <c r="T489" s="50" t="str">
        <f>Portfolio!X488</f>
        <v/>
      </c>
      <c r="U489" s="50" t="str">
        <f>Portfolio!Y488</f>
        <v/>
      </c>
      <c r="V489" s="50" t="str">
        <f>Portfolio!Z488</f>
        <v/>
      </c>
      <c r="W489" s="14" t="str">
        <f>Portfolio!AA488</f>
        <v/>
      </c>
      <c r="X489" s="50" t="str">
        <f>Portfolio!AB488</f>
        <v/>
      </c>
      <c r="Y489" s="179" t="str">
        <f>Portfolio!AC488</f>
        <v/>
      </c>
      <c r="Z489" s="50" t="str">
        <f>Portfolio!AD488</f>
        <v/>
      </c>
      <c r="AA489" s="180" t="str">
        <f>Portfolio!AE488</f>
        <v/>
      </c>
    </row>
    <row r="490">
      <c r="A490" s="14" t="str">
        <f>Portfolio!A489</f>
        <v/>
      </c>
      <c r="B490" s="14" t="str">
        <f>Portfolio!B489</f>
        <v/>
      </c>
      <c r="C490" s="158" t="str">
        <f>Portfolio!C489</f>
        <v/>
      </c>
      <c r="D490" s="96" t="str">
        <f>Portfolio!D489</f>
        <v/>
      </c>
      <c r="E490" s="96" t="str">
        <f>Portfolio!E489</f>
        <v/>
      </c>
      <c r="F490" s="96" t="str">
        <f>Portfolio!G489</f>
        <v/>
      </c>
      <c r="G490" s="50" t="str">
        <f>Portfolio!H489</f>
        <v/>
      </c>
      <c r="H490" s="96" t="str">
        <f>Portfolio!I489</f>
        <v/>
      </c>
      <c r="I490" s="96" t="str">
        <f>Portfolio!J489</f>
        <v/>
      </c>
      <c r="J490" s="96" t="str">
        <f>Portfolio!K489</f>
        <v/>
      </c>
      <c r="K490" s="50" t="str">
        <f>Portfolio!O489</f>
        <v/>
      </c>
      <c r="L490" s="96" t="str">
        <f>Portfolio!P489</f>
        <v/>
      </c>
      <c r="M490" s="96" t="str">
        <f>Portfolio!Q489</f>
        <v/>
      </c>
      <c r="N490" s="14" t="str">
        <f>Portfolio!R489</f>
        <v/>
      </c>
      <c r="O490" s="50" t="str">
        <f>Portfolio!S489</f>
        <v/>
      </c>
      <c r="Q490" s="50" t="str">
        <f>Portfolio!U489</f>
        <v/>
      </c>
      <c r="S490" s="50" t="str">
        <f>Portfolio!W489</f>
        <v/>
      </c>
      <c r="T490" s="50" t="str">
        <f>Portfolio!X489</f>
        <v/>
      </c>
      <c r="U490" s="50" t="str">
        <f>Portfolio!Y489</f>
        <v/>
      </c>
      <c r="V490" s="50" t="str">
        <f>Portfolio!Z489</f>
        <v/>
      </c>
      <c r="W490" s="14" t="str">
        <f>Portfolio!AA489</f>
        <v/>
      </c>
      <c r="X490" s="50" t="str">
        <f>Portfolio!AB489</f>
        <v/>
      </c>
      <c r="Y490" s="179" t="str">
        <f>Portfolio!AC489</f>
        <v/>
      </c>
      <c r="Z490" s="50" t="str">
        <f>Portfolio!AD489</f>
        <v/>
      </c>
      <c r="AA490" s="180" t="str">
        <f>Portfolio!AE489</f>
        <v/>
      </c>
    </row>
    <row r="491">
      <c r="A491" s="14" t="str">
        <f>Portfolio!A490</f>
        <v/>
      </c>
      <c r="B491" s="14" t="str">
        <f>Portfolio!B490</f>
        <v/>
      </c>
      <c r="C491" s="158" t="str">
        <f>Portfolio!C490</f>
        <v/>
      </c>
      <c r="D491" s="96" t="str">
        <f>Portfolio!D490</f>
        <v/>
      </c>
      <c r="E491" s="96" t="str">
        <f>Portfolio!E490</f>
        <v/>
      </c>
      <c r="F491" s="96" t="str">
        <f>Portfolio!G490</f>
        <v/>
      </c>
      <c r="G491" s="50" t="str">
        <f>Portfolio!H490</f>
        <v/>
      </c>
      <c r="H491" s="96" t="str">
        <f>Portfolio!I490</f>
        <v/>
      </c>
      <c r="I491" s="96" t="str">
        <f>Portfolio!J490</f>
        <v/>
      </c>
      <c r="J491" s="96" t="str">
        <f>Portfolio!K490</f>
        <v/>
      </c>
      <c r="K491" s="50" t="str">
        <f>Portfolio!O490</f>
        <v/>
      </c>
      <c r="L491" s="96" t="str">
        <f>Portfolio!P490</f>
        <v/>
      </c>
      <c r="M491" s="96" t="str">
        <f>Portfolio!Q490</f>
        <v/>
      </c>
      <c r="N491" s="14" t="str">
        <f>Portfolio!R490</f>
        <v/>
      </c>
      <c r="O491" s="50" t="str">
        <f>Portfolio!S490</f>
        <v/>
      </c>
      <c r="Q491" s="50" t="str">
        <f>Portfolio!U490</f>
        <v/>
      </c>
      <c r="S491" s="50" t="str">
        <f>Portfolio!W490</f>
        <v/>
      </c>
      <c r="T491" s="50" t="str">
        <f>Portfolio!X490</f>
        <v/>
      </c>
      <c r="U491" s="50" t="str">
        <f>Portfolio!Y490</f>
        <v/>
      </c>
      <c r="V491" s="50" t="str">
        <f>Portfolio!Z490</f>
        <v/>
      </c>
      <c r="W491" s="14" t="str">
        <f>Portfolio!AA490</f>
        <v/>
      </c>
      <c r="X491" s="50" t="str">
        <f>Portfolio!AB490</f>
        <v/>
      </c>
      <c r="Y491" s="179" t="str">
        <f>Portfolio!AC490</f>
        <v/>
      </c>
      <c r="Z491" s="50" t="str">
        <f>Portfolio!AD490</f>
        <v/>
      </c>
      <c r="AA491" s="180" t="str">
        <f>Portfolio!AE490</f>
        <v/>
      </c>
    </row>
    <row r="492">
      <c r="A492" s="14" t="str">
        <f>Portfolio!A491</f>
        <v/>
      </c>
      <c r="B492" s="14" t="str">
        <f>Portfolio!B491</f>
        <v/>
      </c>
      <c r="C492" s="158" t="str">
        <f>Portfolio!C491</f>
        <v/>
      </c>
      <c r="D492" s="96" t="str">
        <f>Portfolio!D491</f>
        <v/>
      </c>
      <c r="E492" s="96" t="str">
        <f>Portfolio!E491</f>
        <v/>
      </c>
      <c r="F492" s="96" t="str">
        <f>Portfolio!G491</f>
        <v/>
      </c>
      <c r="G492" s="50" t="str">
        <f>Portfolio!H491</f>
        <v/>
      </c>
      <c r="H492" s="96" t="str">
        <f>Portfolio!I491</f>
        <v/>
      </c>
      <c r="I492" s="96" t="str">
        <f>Portfolio!J491</f>
        <v/>
      </c>
      <c r="J492" s="96" t="str">
        <f>Portfolio!K491</f>
        <v/>
      </c>
      <c r="K492" s="50" t="str">
        <f>Portfolio!O491</f>
        <v/>
      </c>
      <c r="L492" s="96" t="str">
        <f>Portfolio!P491</f>
        <v/>
      </c>
      <c r="M492" s="96" t="str">
        <f>Portfolio!Q491</f>
        <v/>
      </c>
      <c r="N492" s="14" t="str">
        <f>Portfolio!R491</f>
        <v/>
      </c>
      <c r="O492" s="50" t="str">
        <f>Portfolio!S491</f>
        <v/>
      </c>
      <c r="Q492" s="50" t="str">
        <f>Portfolio!U491</f>
        <v/>
      </c>
      <c r="S492" s="50" t="str">
        <f>Portfolio!W491</f>
        <v/>
      </c>
      <c r="T492" s="50" t="str">
        <f>Portfolio!X491</f>
        <v/>
      </c>
      <c r="U492" s="50" t="str">
        <f>Portfolio!Y491</f>
        <v/>
      </c>
      <c r="V492" s="50" t="str">
        <f>Portfolio!Z491</f>
        <v/>
      </c>
      <c r="W492" s="14" t="str">
        <f>Portfolio!AA491</f>
        <v/>
      </c>
      <c r="X492" s="50" t="str">
        <f>Portfolio!AB491</f>
        <v/>
      </c>
      <c r="Y492" s="179" t="str">
        <f>Portfolio!AC491</f>
        <v/>
      </c>
      <c r="Z492" s="50" t="str">
        <f>Portfolio!AD491</f>
        <v/>
      </c>
      <c r="AA492" s="180" t="str">
        <f>Portfolio!AE491</f>
        <v/>
      </c>
    </row>
    <row r="493">
      <c r="A493" s="14" t="str">
        <f>Portfolio!A492</f>
        <v/>
      </c>
      <c r="B493" s="14" t="str">
        <f>Portfolio!B492</f>
        <v/>
      </c>
      <c r="C493" s="158" t="str">
        <f>Portfolio!C492</f>
        <v/>
      </c>
      <c r="D493" s="96" t="str">
        <f>Portfolio!D492</f>
        <v/>
      </c>
      <c r="E493" s="96" t="str">
        <f>Portfolio!E492</f>
        <v/>
      </c>
      <c r="F493" s="96" t="str">
        <f>Portfolio!G492</f>
        <v/>
      </c>
      <c r="G493" s="50" t="str">
        <f>Portfolio!H492</f>
        <v/>
      </c>
      <c r="H493" s="96" t="str">
        <f>Portfolio!I492</f>
        <v/>
      </c>
      <c r="I493" s="96" t="str">
        <f>Portfolio!J492</f>
        <v/>
      </c>
      <c r="J493" s="96" t="str">
        <f>Portfolio!K492</f>
        <v/>
      </c>
      <c r="K493" s="50" t="str">
        <f>Portfolio!O492</f>
        <v/>
      </c>
      <c r="L493" s="96" t="str">
        <f>Portfolio!P492</f>
        <v/>
      </c>
      <c r="M493" s="96" t="str">
        <f>Portfolio!Q492</f>
        <v/>
      </c>
      <c r="N493" s="14" t="str">
        <f>Portfolio!R492</f>
        <v/>
      </c>
      <c r="O493" s="50" t="str">
        <f>Portfolio!S492</f>
        <v/>
      </c>
      <c r="Q493" s="50" t="str">
        <f>Portfolio!U492</f>
        <v/>
      </c>
      <c r="S493" s="50" t="str">
        <f>Portfolio!W492</f>
        <v/>
      </c>
      <c r="T493" s="50" t="str">
        <f>Portfolio!X492</f>
        <v/>
      </c>
      <c r="U493" s="50" t="str">
        <f>Portfolio!Y492</f>
        <v/>
      </c>
      <c r="V493" s="50" t="str">
        <f>Portfolio!Z492</f>
        <v/>
      </c>
      <c r="W493" s="14" t="str">
        <f>Portfolio!AA492</f>
        <v/>
      </c>
      <c r="X493" s="50" t="str">
        <f>Portfolio!AB492</f>
        <v/>
      </c>
      <c r="Y493" s="179" t="str">
        <f>Portfolio!AC492</f>
        <v/>
      </c>
      <c r="Z493" s="50" t="str">
        <f>Portfolio!AD492</f>
        <v/>
      </c>
      <c r="AA493" s="180" t="str">
        <f>Portfolio!AE492</f>
        <v/>
      </c>
    </row>
    <row r="494">
      <c r="A494" s="14" t="str">
        <f>Portfolio!A493</f>
        <v/>
      </c>
      <c r="B494" s="14" t="str">
        <f>Portfolio!B493</f>
        <v/>
      </c>
      <c r="C494" s="158" t="str">
        <f>Portfolio!C493</f>
        <v/>
      </c>
      <c r="D494" s="96" t="str">
        <f>Portfolio!D493</f>
        <v/>
      </c>
      <c r="E494" s="96" t="str">
        <f>Portfolio!E493</f>
        <v/>
      </c>
      <c r="F494" s="96" t="str">
        <f>Portfolio!G493</f>
        <v/>
      </c>
      <c r="G494" s="50" t="str">
        <f>Portfolio!H493</f>
        <v/>
      </c>
      <c r="H494" s="96" t="str">
        <f>Portfolio!I493</f>
        <v/>
      </c>
      <c r="I494" s="96" t="str">
        <f>Portfolio!J493</f>
        <v/>
      </c>
      <c r="J494" s="96" t="str">
        <f>Portfolio!K493</f>
        <v/>
      </c>
      <c r="K494" s="50" t="str">
        <f>Portfolio!O493</f>
        <v/>
      </c>
      <c r="L494" s="96" t="str">
        <f>Portfolio!P493</f>
        <v/>
      </c>
      <c r="M494" s="96" t="str">
        <f>Portfolio!Q493</f>
        <v/>
      </c>
      <c r="N494" s="14" t="str">
        <f>Portfolio!R493</f>
        <v/>
      </c>
      <c r="O494" s="50" t="str">
        <f>Portfolio!S493</f>
        <v/>
      </c>
      <c r="Q494" s="50" t="str">
        <f>Portfolio!U493</f>
        <v/>
      </c>
      <c r="S494" s="50" t="str">
        <f>Portfolio!W493</f>
        <v/>
      </c>
      <c r="T494" s="50" t="str">
        <f>Portfolio!X493</f>
        <v/>
      </c>
      <c r="U494" s="50" t="str">
        <f>Portfolio!Y493</f>
        <v/>
      </c>
      <c r="V494" s="50" t="str">
        <f>Portfolio!Z493</f>
        <v/>
      </c>
      <c r="W494" s="14" t="str">
        <f>Portfolio!AA493</f>
        <v/>
      </c>
      <c r="X494" s="50" t="str">
        <f>Portfolio!AB493</f>
        <v/>
      </c>
      <c r="Y494" s="179" t="str">
        <f>Portfolio!AC493</f>
        <v/>
      </c>
      <c r="Z494" s="50" t="str">
        <f>Portfolio!AD493</f>
        <v/>
      </c>
      <c r="AA494" s="180" t="str">
        <f>Portfolio!AE493</f>
        <v/>
      </c>
    </row>
    <row r="495">
      <c r="A495" s="14" t="str">
        <f>Portfolio!A494</f>
        <v/>
      </c>
      <c r="B495" s="14" t="str">
        <f>Portfolio!B494</f>
        <v/>
      </c>
      <c r="C495" s="158" t="str">
        <f>Portfolio!C494</f>
        <v/>
      </c>
      <c r="D495" s="96" t="str">
        <f>Portfolio!D494</f>
        <v/>
      </c>
      <c r="E495" s="96" t="str">
        <f>Portfolio!E494</f>
        <v/>
      </c>
      <c r="F495" s="96" t="str">
        <f>Portfolio!G494</f>
        <v/>
      </c>
      <c r="G495" s="50" t="str">
        <f>Portfolio!H494</f>
        <v/>
      </c>
      <c r="H495" s="96" t="str">
        <f>Portfolio!I494</f>
        <v/>
      </c>
      <c r="I495" s="96" t="str">
        <f>Portfolio!J494</f>
        <v/>
      </c>
      <c r="J495" s="96" t="str">
        <f>Portfolio!K494</f>
        <v/>
      </c>
      <c r="K495" s="50" t="str">
        <f>Portfolio!O494</f>
        <v/>
      </c>
      <c r="L495" s="96" t="str">
        <f>Portfolio!P494</f>
        <v/>
      </c>
      <c r="M495" s="96" t="str">
        <f>Portfolio!Q494</f>
        <v/>
      </c>
      <c r="N495" s="14" t="str">
        <f>Portfolio!R494</f>
        <v/>
      </c>
      <c r="O495" s="50" t="str">
        <f>Portfolio!S494</f>
        <v/>
      </c>
      <c r="Q495" s="50" t="str">
        <f>Portfolio!U494</f>
        <v/>
      </c>
      <c r="S495" s="50" t="str">
        <f>Portfolio!W494</f>
        <v/>
      </c>
      <c r="T495" s="50" t="str">
        <f>Portfolio!X494</f>
        <v/>
      </c>
      <c r="U495" s="50" t="str">
        <f>Portfolio!Y494</f>
        <v/>
      </c>
      <c r="V495" s="50" t="str">
        <f>Portfolio!Z494</f>
        <v/>
      </c>
      <c r="W495" s="14" t="str">
        <f>Portfolio!AA494</f>
        <v/>
      </c>
      <c r="X495" s="50" t="str">
        <f>Portfolio!AB494</f>
        <v/>
      </c>
      <c r="Y495" s="179" t="str">
        <f>Portfolio!AC494</f>
        <v/>
      </c>
      <c r="Z495" s="50" t="str">
        <f>Portfolio!AD494</f>
        <v/>
      </c>
      <c r="AA495" s="180" t="str">
        <f>Portfolio!AE494</f>
        <v/>
      </c>
    </row>
    <row r="496">
      <c r="A496" s="14" t="str">
        <f>Portfolio!A495</f>
        <v/>
      </c>
      <c r="B496" s="14" t="str">
        <f>Portfolio!B495</f>
        <v/>
      </c>
      <c r="C496" s="158" t="str">
        <f>Portfolio!C495</f>
        <v/>
      </c>
      <c r="D496" s="96" t="str">
        <f>Portfolio!D495</f>
        <v/>
      </c>
      <c r="E496" s="96" t="str">
        <f>Portfolio!E495</f>
        <v/>
      </c>
      <c r="F496" s="96" t="str">
        <f>Portfolio!G495</f>
        <v/>
      </c>
      <c r="G496" s="50" t="str">
        <f>Portfolio!H495</f>
        <v/>
      </c>
      <c r="H496" s="96" t="str">
        <f>Portfolio!I495</f>
        <v/>
      </c>
      <c r="I496" s="96" t="str">
        <f>Portfolio!J495</f>
        <v/>
      </c>
      <c r="J496" s="96" t="str">
        <f>Portfolio!K495</f>
        <v/>
      </c>
      <c r="K496" s="50" t="str">
        <f>Portfolio!O495</f>
        <v/>
      </c>
      <c r="L496" s="96" t="str">
        <f>Portfolio!P495</f>
        <v/>
      </c>
      <c r="M496" s="96" t="str">
        <f>Portfolio!Q495</f>
        <v/>
      </c>
      <c r="N496" s="14" t="str">
        <f>Portfolio!R495</f>
        <v/>
      </c>
      <c r="O496" s="50" t="str">
        <f>Portfolio!S495</f>
        <v/>
      </c>
      <c r="Q496" s="50" t="str">
        <f>Portfolio!U495</f>
        <v/>
      </c>
      <c r="S496" s="50" t="str">
        <f>Portfolio!W495</f>
        <v/>
      </c>
      <c r="T496" s="50" t="str">
        <f>Portfolio!X495</f>
        <v/>
      </c>
      <c r="U496" s="50" t="str">
        <f>Portfolio!Y495</f>
        <v/>
      </c>
      <c r="V496" s="50" t="str">
        <f>Portfolio!Z495</f>
        <v/>
      </c>
      <c r="W496" s="14" t="str">
        <f>Portfolio!AA495</f>
        <v/>
      </c>
      <c r="X496" s="50" t="str">
        <f>Portfolio!AB495</f>
        <v/>
      </c>
      <c r="Y496" s="179" t="str">
        <f>Portfolio!AC495</f>
        <v/>
      </c>
      <c r="Z496" s="50" t="str">
        <f>Portfolio!AD495</f>
        <v/>
      </c>
      <c r="AA496" s="180" t="str">
        <f>Portfolio!AE495</f>
        <v/>
      </c>
    </row>
    <row r="497">
      <c r="A497" s="14" t="str">
        <f>Portfolio!A496</f>
        <v/>
      </c>
      <c r="B497" s="14" t="str">
        <f>Portfolio!B496</f>
        <v/>
      </c>
      <c r="C497" s="158" t="str">
        <f>Portfolio!C496</f>
        <v/>
      </c>
      <c r="D497" s="96" t="str">
        <f>Portfolio!D496</f>
        <v/>
      </c>
      <c r="E497" s="96" t="str">
        <f>Portfolio!E496</f>
        <v/>
      </c>
      <c r="F497" s="96" t="str">
        <f>Portfolio!G496</f>
        <v/>
      </c>
      <c r="G497" s="50" t="str">
        <f>Portfolio!H496</f>
        <v/>
      </c>
      <c r="H497" s="96" t="str">
        <f>Portfolio!I496</f>
        <v/>
      </c>
      <c r="I497" s="96" t="str">
        <f>Portfolio!J496</f>
        <v/>
      </c>
      <c r="J497" s="96" t="str">
        <f>Portfolio!K496</f>
        <v/>
      </c>
      <c r="K497" s="50" t="str">
        <f>Portfolio!O496</f>
        <v/>
      </c>
      <c r="L497" s="96" t="str">
        <f>Portfolio!P496</f>
        <v/>
      </c>
      <c r="M497" s="96" t="str">
        <f>Portfolio!Q496</f>
        <v/>
      </c>
      <c r="N497" s="14" t="str">
        <f>Portfolio!R496</f>
        <v/>
      </c>
      <c r="O497" s="50" t="str">
        <f>Portfolio!S496</f>
        <v/>
      </c>
      <c r="Q497" s="50" t="str">
        <f>Portfolio!U496</f>
        <v/>
      </c>
      <c r="S497" s="50" t="str">
        <f>Portfolio!W496</f>
        <v/>
      </c>
      <c r="T497" s="50" t="str">
        <f>Portfolio!X496</f>
        <v/>
      </c>
      <c r="U497" s="50" t="str">
        <f>Portfolio!Y496</f>
        <v/>
      </c>
      <c r="V497" s="50" t="str">
        <f>Portfolio!Z496</f>
        <v/>
      </c>
      <c r="W497" s="14" t="str">
        <f>Portfolio!AA496</f>
        <v/>
      </c>
      <c r="X497" s="50" t="str">
        <f>Portfolio!AB496</f>
        <v/>
      </c>
      <c r="Y497" s="179" t="str">
        <f>Portfolio!AC496</f>
        <v/>
      </c>
      <c r="Z497" s="50" t="str">
        <f>Portfolio!AD496</f>
        <v/>
      </c>
      <c r="AA497" s="180" t="str">
        <f>Portfolio!AE496</f>
        <v/>
      </c>
    </row>
    <row r="498">
      <c r="A498" s="14" t="str">
        <f>Portfolio!A497</f>
        <v/>
      </c>
      <c r="B498" s="14" t="str">
        <f>Portfolio!B497</f>
        <v/>
      </c>
      <c r="C498" s="158" t="str">
        <f>Portfolio!C497</f>
        <v/>
      </c>
      <c r="D498" s="96" t="str">
        <f>Portfolio!D497</f>
        <v/>
      </c>
      <c r="E498" s="96" t="str">
        <f>Portfolio!E497</f>
        <v/>
      </c>
      <c r="F498" s="96" t="str">
        <f>Portfolio!G497</f>
        <v/>
      </c>
      <c r="G498" s="50" t="str">
        <f>Portfolio!H497</f>
        <v/>
      </c>
      <c r="H498" s="96" t="str">
        <f>Portfolio!I497</f>
        <v/>
      </c>
      <c r="I498" s="96" t="str">
        <f>Portfolio!J497</f>
        <v/>
      </c>
      <c r="J498" s="96" t="str">
        <f>Portfolio!K497</f>
        <v/>
      </c>
      <c r="K498" s="50" t="str">
        <f>Portfolio!O497</f>
        <v/>
      </c>
      <c r="L498" s="96" t="str">
        <f>Portfolio!P497</f>
        <v/>
      </c>
      <c r="M498" s="96" t="str">
        <f>Portfolio!Q497</f>
        <v/>
      </c>
      <c r="N498" s="14" t="str">
        <f>Portfolio!R497</f>
        <v/>
      </c>
      <c r="O498" s="50" t="str">
        <f>Portfolio!S497</f>
        <v/>
      </c>
      <c r="Q498" s="50" t="str">
        <f>Portfolio!U497</f>
        <v/>
      </c>
      <c r="S498" s="50" t="str">
        <f>Portfolio!W497</f>
        <v/>
      </c>
      <c r="T498" s="50" t="str">
        <f>Portfolio!X497</f>
        <v/>
      </c>
      <c r="U498" s="50" t="str">
        <f>Portfolio!Y497</f>
        <v/>
      </c>
      <c r="V498" s="50" t="str">
        <f>Portfolio!Z497</f>
        <v/>
      </c>
      <c r="W498" s="14" t="str">
        <f>Portfolio!AA497</f>
        <v/>
      </c>
      <c r="X498" s="50" t="str">
        <f>Portfolio!AB497</f>
        <v/>
      </c>
      <c r="Y498" s="179" t="str">
        <f>Portfolio!AC497</f>
        <v/>
      </c>
      <c r="Z498" s="50" t="str">
        <f>Portfolio!AD497</f>
        <v/>
      </c>
      <c r="AA498" s="180" t="str">
        <f>Portfolio!AE497</f>
        <v/>
      </c>
    </row>
    <row r="499">
      <c r="A499" s="14"/>
      <c r="B499" s="14"/>
      <c r="C499" s="158"/>
      <c r="D499" s="96"/>
      <c r="E499" s="96"/>
      <c r="F499" s="96"/>
      <c r="G499" s="50"/>
      <c r="H499" s="96"/>
      <c r="I499" s="96"/>
      <c r="J499" s="96"/>
      <c r="K499" s="50"/>
      <c r="L499" s="96"/>
      <c r="M499" s="96"/>
      <c r="N499" s="14"/>
      <c r="O499" s="50"/>
      <c r="P499" s="50"/>
      <c r="Q499" s="50"/>
      <c r="R499" s="50"/>
      <c r="S499" s="50"/>
      <c r="T499" s="50"/>
      <c r="U499" s="50"/>
      <c r="V499" s="50"/>
      <c r="W499" s="14"/>
      <c r="X499" s="50"/>
      <c r="Y499" s="179"/>
      <c r="Z499" s="50"/>
      <c r="AA499" s="14"/>
    </row>
    <row r="500">
      <c r="A500" s="14"/>
      <c r="B500" s="14"/>
      <c r="C500" s="158"/>
      <c r="D500" s="96"/>
      <c r="E500" s="96"/>
      <c r="F500" s="96"/>
      <c r="G500" s="50"/>
      <c r="H500" s="96"/>
      <c r="I500" s="96"/>
      <c r="J500" s="96"/>
      <c r="K500" s="50"/>
      <c r="L500" s="96"/>
      <c r="M500" s="96"/>
      <c r="N500" s="14"/>
      <c r="O500" s="50"/>
      <c r="P500" s="50"/>
      <c r="Q500" s="50"/>
      <c r="R500" s="50"/>
      <c r="S500" s="50"/>
      <c r="T500" s="50"/>
      <c r="U500" s="50"/>
      <c r="V500" s="50"/>
      <c r="W500" s="14"/>
      <c r="X500" s="50"/>
      <c r="Y500" s="179"/>
      <c r="Z500" s="50"/>
      <c r="AA500" s="14"/>
    </row>
    <row r="501">
      <c r="A501" s="14"/>
      <c r="B501" s="14"/>
      <c r="C501" s="158"/>
      <c r="D501" s="96"/>
      <c r="E501" s="96"/>
      <c r="F501" s="96"/>
      <c r="G501" s="50"/>
      <c r="H501" s="96"/>
      <c r="I501" s="96"/>
      <c r="J501" s="96"/>
      <c r="K501" s="50"/>
      <c r="L501" s="96"/>
      <c r="M501" s="96"/>
      <c r="N501" s="14"/>
      <c r="O501" s="50"/>
      <c r="P501" s="50"/>
      <c r="Q501" s="50"/>
      <c r="R501" s="50"/>
      <c r="S501" s="50"/>
      <c r="T501" s="50"/>
      <c r="U501" s="50"/>
      <c r="V501" s="50"/>
      <c r="W501" s="14"/>
      <c r="X501" s="50"/>
      <c r="Y501" s="179"/>
      <c r="Z501" s="50"/>
      <c r="AA501" s="14"/>
    </row>
    <row r="502">
      <c r="A502" s="14"/>
      <c r="B502" s="14"/>
      <c r="C502" s="158"/>
      <c r="D502" s="96"/>
      <c r="E502" s="96"/>
      <c r="F502" s="96"/>
      <c r="G502" s="50"/>
      <c r="H502" s="96"/>
      <c r="I502" s="96"/>
      <c r="J502" s="96"/>
      <c r="K502" s="50"/>
      <c r="L502" s="96"/>
      <c r="M502" s="96"/>
      <c r="N502" s="14"/>
      <c r="O502" s="50"/>
      <c r="P502" s="50"/>
      <c r="Q502" s="50"/>
      <c r="R502" s="50"/>
      <c r="S502" s="50"/>
      <c r="T502" s="50"/>
      <c r="U502" s="50"/>
      <c r="V502" s="50"/>
      <c r="W502" s="14"/>
      <c r="X502" s="50"/>
      <c r="Y502" s="179"/>
      <c r="Z502" s="50"/>
      <c r="AA502" s="14"/>
    </row>
    <row r="503">
      <c r="A503" s="14"/>
      <c r="B503" s="14"/>
      <c r="C503" s="158"/>
      <c r="D503" s="96"/>
      <c r="E503" s="96"/>
      <c r="F503" s="96"/>
      <c r="G503" s="50"/>
      <c r="H503" s="96"/>
      <c r="I503" s="96"/>
      <c r="J503" s="96"/>
      <c r="K503" s="50"/>
      <c r="L503" s="96"/>
      <c r="M503" s="96"/>
      <c r="N503" s="14"/>
      <c r="O503" s="50"/>
      <c r="P503" s="50"/>
      <c r="Q503" s="50"/>
      <c r="R503" s="50"/>
      <c r="S503" s="50"/>
      <c r="T503" s="50"/>
      <c r="U503" s="50"/>
      <c r="V503" s="50"/>
      <c r="W503" s="14"/>
      <c r="X503" s="50"/>
      <c r="Y503" s="179"/>
      <c r="Z503" s="50"/>
      <c r="AA503" s="14"/>
    </row>
    <row r="504">
      <c r="A504" s="14"/>
      <c r="B504" s="14"/>
      <c r="C504" s="158"/>
      <c r="D504" s="96"/>
      <c r="E504" s="96"/>
      <c r="F504" s="96"/>
      <c r="G504" s="50"/>
      <c r="H504" s="96"/>
      <c r="I504" s="96"/>
      <c r="J504" s="96"/>
      <c r="K504" s="50"/>
      <c r="L504" s="96"/>
      <c r="M504" s="96"/>
      <c r="N504" s="14"/>
      <c r="O504" s="50"/>
      <c r="P504" s="50"/>
      <c r="Q504" s="50"/>
      <c r="R504" s="50"/>
      <c r="S504" s="50"/>
      <c r="T504" s="50"/>
      <c r="U504" s="50"/>
      <c r="V504" s="50"/>
      <c r="W504" s="14"/>
      <c r="X504" s="50"/>
      <c r="Y504" s="179"/>
      <c r="Z504" s="50"/>
      <c r="AA504" s="14"/>
    </row>
    <row r="505">
      <c r="A505" s="14"/>
      <c r="B505" s="14"/>
      <c r="C505" s="158"/>
      <c r="D505" s="96"/>
      <c r="E505" s="96"/>
      <c r="F505" s="96"/>
      <c r="G505" s="50"/>
      <c r="H505" s="96"/>
      <c r="I505" s="96"/>
      <c r="J505" s="96"/>
      <c r="K505" s="50"/>
      <c r="L505" s="96"/>
      <c r="M505" s="96"/>
      <c r="N505" s="14"/>
      <c r="O505" s="50"/>
      <c r="P505" s="50"/>
      <c r="Q505" s="50"/>
      <c r="R505" s="50"/>
      <c r="S505" s="50"/>
      <c r="T505" s="50"/>
      <c r="U505" s="50"/>
      <c r="V505" s="50"/>
      <c r="W505" s="14"/>
      <c r="X505" s="50"/>
      <c r="Y505" s="179"/>
      <c r="Z505" s="50"/>
      <c r="AA505" s="14"/>
    </row>
    <row r="506">
      <c r="A506" s="14"/>
      <c r="B506" s="14"/>
      <c r="C506" s="158"/>
      <c r="D506" s="96"/>
      <c r="E506" s="96"/>
      <c r="F506" s="96"/>
      <c r="G506" s="50"/>
      <c r="H506" s="96"/>
      <c r="I506" s="96"/>
      <c r="J506" s="96"/>
      <c r="K506" s="50"/>
      <c r="L506" s="96"/>
      <c r="M506" s="96"/>
      <c r="N506" s="14"/>
      <c r="O506" s="50"/>
      <c r="P506" s="50"/>
      <c r="Q506" s="50"/>
      <c r="R506" s="50"/>
      <c r="S506" s="50"/>
      <c r="T506" s="50"/>
      <c r="U506" s="50"/>
      <c r="V506" s="50"/>
      <c r="W506" s="14"/>
      <c r="X506" s="50"/>
      <c r="Y506" s="179"/>
      <c r="Z506" s="50"/>
      <c r="AA506" s="14"/>
    </row>
    <row r="507">
      <c r="A507" s="14"/>
      <c r="B507" s="14"/>
      <c r="C507" s="158"/>
      <c r="D507" s="96"/>
      <c r="E507" s="96"/>
      <c r="F507" s="96"/>
      <c r="G507" s="50"/>
      <c r="H507" s="96"/>
      <c r="I507" s="96"/>
      <c r="J507" s="96"/>
      <c r="K507" s="50"/>
      <c r="L507" s="96"/>
      <c r="M507" s="96"/>
      <c r="N507" s="14"/>
      <c r="O507" s="50"/>
      <c r="P507" s="50"/>
      <c r="Q507" s="50"/>
      <c r="R507" s="50"/>
      <c r="S507" s="50"/>
      <c r="T507" s="50"/>
      <c r="U507" s="50"/>
      <c r="V507" s="50"/>
      <c r="W507" s="14"/>
      <c r="X507" s="50"/>
      <c r="Y507" s="179"/>
      <c r="Z507" s="50"/>
      <c r="AA507" s="14"/>
    </row>
    <row r="508">
      <c r="A508" s="14"/>
      <c r="B508" s="14"/>
      <c r="C508" s="158"/>
      <c r="D508" s="96"/>
      <c r="E508" s="96"/>
      <c r="F508" s="96"/>
      <c r="G508" s="50"/>
      <c r="H508" s="96"/>
      <c r="I508" s="96"/>
      <c r="J508" s="96"/>
      <c r="K508" s="50"/>
      <c r="L508" s="96"/>
      <c r="M508" s="96"/>
      <c r="N508" s="14"/>
      <c r="O508" s="50"/>
      <c r="P508" s="50"/>
      <c r="Q508" s="50"/>
      <c r="R508" s="50"/>
      <c r="S508" s="50"/>
      <c r="T508" s="50"/>
      <c r="U508" s="50"/>
      <c r="V508" s="50"/>
      <c r="W508" s="14"/>
      <c r="X508" s="50"/>
      <c r="Y508" s="179"/>
      <c r="Z508" s="50"/>
      <c r="AA508" s="14"/>
    </row>
    <row r="509">
      <c r="A509" s="14"/>
      <c r="B509" s="14"/>
      <c r="C509" s="158"/>
      <c r="D509" s="96"/>
      <c r="E509" s="96"/>
      <c r="F509" s="96"/>
      <c r="G509" s="50"/>
      <c r="H509" s="96"/>
      <c r="I509" s="96"/>
      <c r="J509" s="96"/>
      <c r="K509" s="50"/>
      <c r="L509" s="96"/>
      <c r="M509" s="96"/>
      <c r="N509" s="14"/>
      <c r="O509" s="50"/>
      <c r="P509" s="50"/>
      <c r="Q509" s="50"/>
      <c r="R509" s="50"/>
      <c r="S509" s="50"/>
      <c r="T509" s="50"/>
      <c r="U509" s="50"/>
      <c r="V509" s="50"/>
      <c r="W509" s="14"/>
      <c r="X509" s="50"/>
      <c r="Y509" s="179"/>
      <c r="Z509" s="50"/>
      <c r="AA509" s="14"/>
    </row>
    <row r="510">
      <c r="A510" s="14"/>
      <c r="B510" s="14"/>
      <c r="C510" s="158"/>
      <c r="D510" s="96"/>
      <c r="E510" s="96"/>
      <c r="F510" s="96"/>
      <c r="G510" s="50"/>
      <c r="H510" s="96"/>
      <c r="I510" s="96"/>
      <c r="J510" s="96"/>
      <c r="K510" s="50"/>
      <c r="L510" s="96"/>
      <c r="M510" s="96"/>
      <c r="N510" s="14"/>
      <c r="O510" s="50"/>
      <c r="P510" s="50"/>
      <c r="Q510" s="50"/>
      <c r="R510" s="50"/>
      <c r="S510" s="50"/>
      <c r="T510" s="50"/>
      <c r="U510" s="50"/>
      <c r="V510" s="50"/>
      <c r="W510" s="14"/>
      <c r="X510" s="50"/>
      <c r="Y510" s="179"/>
      <c r="Z510" s="50"/>
      <c r="AA510" s="14"/>
    </row>
    <row r="511">
      <c r="A511" s="14"/>
      <c r="B511" s="14"/>
      <c r="C511" s="158"/>
      <c r="D511" s="96"/>
      <c r="E511" s="96"/>
      <c r="F511" s="96"/>
      <c r="G511" s="50"/>
      <c r="H511" s="96"/>
      <c r="I511" s="96"/>
      <c r="J511" s="96"/>
      <c r="K511" s="50"/>
      <c r="L511" s="96"/>
      <c r="M511" s="96"/>
      <c r="N511" s="14"/>
      <c r="O511" s="50"/>
      <c r="P511" s="50"/>
      <c r="Q511" s="50"/>
      <c r="R511" s="50"/>
      <c r="S511" s="50"/>
      <c r="T511" s="50"/>
      <c r="U511" s="50"/>
      <c r="V511" s="50"/>
      <c r="W511" s="14"/>
      <c r="X511" s="50"/>
      <c r="Y511" s="179"/>
      <c r="Z511" s="50"/>
      <c r="AA511" s="14"/>
    </row>
    <row r="512">
      <c r="A512" s="14"/>
      <c r="B512" s="14"/>
      <c r="C512" s="158"/>
      <c r="D512" s="96"/>
      <c r="E512" s="96"/>
      <c r="F512" s="96"/>
      <c r="G512" s="50"/>
      <c r="H512" s="96"/>
      <c r="I512" s="96"/>
      <c r="J512" s="96"/>
      <c r="K512" s="50"/>
      <c r="L512" s="96"/>
      <c r="M512" s="96"/>
      <c r="N512" s="14"/>
      <c r="O512" s="50"/>
      <c r="P512" s="50"/>
      <c r="Q512" s="50"/>
      <c r="R512" s="50"/>
      <c r="S512" s="50"/>
      <c r="T512" s="50"/>
      <c r="U512" s="50"/>
      <c r="V512" s="50"/>
      <c r="W512" s="14"/>
      <c r="X512" s="50"/>
      <c r="Y512" s="179"/>
      <c r="Z512" s="50"/>
      <c r="AA512" s="14"/>
    </row>
    <row r="513">
      <c r="A513" s="14"/>
      <c r="B513" s="14"/>
      <c r="C513" s="158"/>
      <c r="D513" s="96"/>
      <c r="E513" s="96"/>
      <c r="F513" s="96"/>
      <c r="G513" s="50"/>
      <c r="H513" s="96"/>
      <c r="I513" s="96"/>
      <c r="J513" s="96"/>
      <c r="K513" s="50"/>
      <c r="L513" s="96"/>
      <c r="M513" s="96"/>
      <c r="N513" s="14"/>
      <c r="O513" s="50"/>
      <c r="P513" s="50"/>
      <c r="Q513" s="50"/>
      <c r="R513" s="50"/>
      <c r="S513" s="50"/>
      <c r="T513" s="50"/>
      <c r="U513" s="50"/>
      <c r="V513" s="50"/>
      <c r="W513" s="14"/>
      <c r="X513" s="50"/>
      <c r="Y513" s="179"/>
      <c r="Z513" s="50"/>
      <c r="AA513" s="14"/>
    </row>
    <row r="514">
      <c r="A514" s="14"/>
      <c r="B514" s="14"/>
      <c r="C514" s="158"/>
      <c r="D514" s="96"/>
      <c r="E514" s="96"/>
      <c r="F514" s="96"/>
      <c r="G514" s="50"/>
      <c r="H514" s="96"/>
      <c r="I514" s="96"/>
      <c r="J514" s="96"/>
      <c r="K514" s="50"/>
      <c r="L514" s="96"/>
      <c r="M514" s="96"/>
      <c r="N514" s="14"/>
      <c r="O514" s="50"/>
      <c r="P514" s="50"/>
      <c r="Q514" s="50"/>
      <c r="R514" s="50"/>
      <c r="S514" s="50"/>
      <c r="T514" s="50"/>
      <c r="U514" s="50"/>
      <c r="V514" s="50"/>
      <c r="W514" s="14"/>
      <c r="X514" s="50"/>
      <c r="Y514" s="179"/>
      <c r="Z514" s="50"/>
      <c r="AA514" s="14"/>
    </row>
    <row r="515">
      <c r="A515" s="14"/>
      <c r="B515" s="14"/>
      <c r="C515" s="158"/>
      <c r="D515" s="96"/>
      <c r="E515" s="96"/>
      <c r="F515" s="96"/>
      <c r="G515" s="50"/>
      <c r="H515" s="96"/>
      <c r="I515" s="96"/>
      <c r="J515" s="96"/>
      <c r="K515" s="50"/>
      <c r="L515" s="96"/>
      <c r="M515" s="96"/>
      <c r="N515" s="14"/>
      <c r="O515" s="50"/>
      <c r="P515" s="50"/>
      <c r="Q515" s="50"/>
      <c r="R515" s="50"/>
      <c r="S515" s="50"/>
      <c r="T515" s="50"/>
      <c r="U515" s="50"/>
      <c r="V515" s="50"/>
      <c r="W515" s="14"/>
      <c r="X515" s="50"/>
      <c r="Y515" s="179"/>
      <c r="Z515" s="50"/>
      <c r="AA515" s="14"/>
    </row>
    <row r="516">
      <c r="A516" s="14"/>
      <c r="B516" s="14"/>
      <c r="C516" s="158"/>
      <c r="D516" s="96"/>
      <c r="E516" s="96"/>
      <c r="F516" s="96"/>
      <c r="G516" s="50"/>
      <c r="H516" s="96"/>
      <c r="I516" s="96"/>
      <c r="J516" s="96"/>
      <c r="K516" s="50"/>
      <c r="L516" s="96"/>
      <c r="M516" s="96"/>
      <c r="N516" s="14"/>
      <c r="O516" s="50"/>
      <c r="P516" s="50"/>
      <c r="Q516" s="50"/>
      <c r="R516" s="50"/>
      <c r="S516" s="50"/>
      <c r="T516" s="50"/>
      <c r="U516" s="50"/>
      <c r="V516" s="50"/>
      <c r="W516" s="14"/>
      <c r="X516" s="50"/>
      <c r="Y516" s="179"/>
      <c r="Z516" s="50"/>
      <c r="AA516" s="14"/>
    </row>
    <row r="517">
      <c r="A517" s="14"/>
      <c r="B517" s="14"/>
      <c r="C517" s="158"/>
      <c r="D517" s="96"/>
      <c r="E517" s="96"/>
      <c r="F517" s="96"/>
      <c r="G517" s="50"/>
      <c r="H517" s="96"/>
      <c r="I517" s="96"/>
      <c r="J517" s="96"/>
      <c r="K517" s="50"/>
      <c r="L517" s="96"/>
      <c r="M517" s="96"/>
      <c r="N517" s="14"/>
      <c r="O517" s="50"/>
      <c r="P517" s="50"/>
      <c r="Q517" s="50"/>
      <c r="R517" s="50"/>
      <c r="S517" s="50"/>
      <c r="T517" s="50"/>
      <c r="U517" s="50"/>
      <c r="V517" s="50"/>
      <c r="W517" s="14"/>
      <c r="X517" s="50"/>
      <c r="Y517" s="179"/>
      <c r="Z517" s="50"/>
      <c r="AA517" s="14"/>
    </row>
    <row r="518">
      <c r="A518" s="14"/>
      <c r="B518" s="14"/>
      <c r="C518" s="158"/>
      <c r="D518" s="96"/>
      <c r="E518" s="96"/>
      <c r="F518" s="96"/>
      <c r="G518" s="50"/>
      <c r="H518" s="96"/>
      <c r="I518" s="96"/>
      <c r="J518" s="96"/>
      <c r="K518" s="50"/>
      <c r="L518" s="96"/>
      <c r="M518" s="96"/>
      <c r="N518" s="14"/>
      <c r="O518" s="50"/>
      <c r="P518" s="50"/>
      <c r="Q518" s="50"/>
      <c r="R518" s="50"/>
      <c r="S518" s="50"/>
      <c r="T518" s="50"/>
      <c r="U518" s="50"/>
      <c r="V518" s="50"/>
      <c r="W518" s="14"/>
      <c r="X518" s="50"/>
      <c r="Y518" s="179"/>
      <c r="Z518" s="50"/>
      <c r="AA518" s="14"/>
    </row>
    <row r="519">
      <c r="A519" s="14"/>
      <c r="B519" s="14"/>
      <c r="C519" s="158"/>
      <c r="D519" s="96"/>
      <c r="E519" s="96"/>
      <c r="F519" s="96"/>
      <c r="G519" s="50"/>
      <c r="H519" s="96"/>
      <c r="I519" s="96"/>
      <c r="J519" s="96"/>
      <c r="K519" s="50"/>
      <c r="L519" s="96"/>
      <c r="M519" s="96"/>
      <c r="N519" s="14"/>
      <c r="O519" s="50"/>
      <c r="P519" s="50"/>
      <c r="Q519" s="50"/>
      <c r="R519" s="50"/>
      <c r="S519" s="50"/>
      <c r="T519" s="50"/>
      <c r="U519" s="50"/>
      <c r="V519" s="50"/>
      <c r="W519" s="14"/>
      <c r="X519" s="50"/>
      <c r="Y519" s="179"/>
      <c r="Z519" s="50"/>
      <c r="AA519" s="14"/>
    </row>
    <row r="520">
      <c r="A520" s="14"/>
      <c r="B520" s="14"/>
      <c r="C520" s="158"/>
      <c r="D520" s="96"/>
      <c r="E520" s="96"/>
      <c r="F520" s="96"/>
      <c r="G520" s="50"/>
      <c r="H520" s="96"/>
      <c r="I520" s="96"/>
      <c r="J520" s="96"/>
      <c r="K520" s="50"/>
      <c r="L520" s="96"/>
      <c r="M520" s="96"/>
      <c r="N520" s="14"/>
      <c r="O520" s="50"/>
      <c r="P520" s="50"/>
      <c r="Q520" s="50"/>
      <c r="R520" s="50"/>
      <c r="S520" s="50"/>
      <c r="T520" s="50"/>
      <c r="U520" s="50"/>
      <c r="V520" s="50"/>
      <c r="W520" s="14"/>
      <c r="X520" s="50"/>
      <c r="Y520" s="179"/>
      <c r="Z520" s="50"/>
      <c r="AA520" s="14"/>
    </row>
    <row r="521">
      <c r="A521" s="14"/>
      <c r="B521" s="14"/>
      <c r="C521" s="158"/>
      <c r="D521" s="96"/>
      <c r="E521" s="96"/>
      <c r="F521" s="96"/>
      <c r="G521" s="50"/>
      <c r="H521" s="96"/>
      <c r="I521" s="96"/>
      <c r="J521" s="96"/>
      <c r="K521" s="50"/>
      <c r="L521" s="96"/>
      <c r="M521" s="96"/>
      <c r="N521" s="14"/>
      <c r="O521" s="50"/>
      <c r="P521" s="50"/>
      <c r="Q521" s="50"/>
      <c r="R521" s="50"/>
      <c r="S521" s="50"/>
      <c r="T521" s="50"/>
      <c r="U521" s="50"/>
      <c r="V521" s="50"/>
      <c r="W521" s="14"/>
      <c r="X521" s="50"/>
      <c r="Y521" s="179"/>
      <c r="Z521" s="50"/>
      <c r="AA521" s="14"/>
    </row>
    <row r="522">
      <c r="A522" s="14"/>
      <c r="B522" s="14"/>
      <c r="C522" s="158"/>
      <c r="D522" s="96"/>
      <c r="E522" s="96"/>
      <c r="F522" s="96"/>
      <c r="G522" s="50"/>
      <c r="H522" s="96"/>
      <c r="I522" s="96"/>
      <c r="J522" s="96"/>
      <c r="K522" s="50"/>
      <c r="L522" s="96"/>
      <c r="M522" s="96"/>
      <c r="N522" s="14"/>
      <c r="O522" s="50"/>
      <c r="P522" s="50"/>
      <c r="Q522" s="50"/>
      <c r="R522" s="50"/>
      <c r="S522" s="50"/>
      <c r="T522" s="50"/>
      <c r="U522" s="50"/>
      <c r="V522" s="50"/>
      <c r="W522" s="14"/>
      <c r="X522" s="50"/>
      <c r="Y522" s="179"/>
      <c r="Z522" s="50"/>
      <c r="AA522" s="14"/>
    </row>
    <row r="523">
      <c r="A523" s="14"/>
      <c r="B523" s="14"/>
      <c r="C523" s="158"/>
      <c r="D523" s="96"/>
      <c r="E523" s="96"/>
      <c r="F523" s="96"/>
      <c r="G523" s="50"/>
      <c r="H523" s="96"/>
      <c r="I523" s="96"/>
      <c r="J523" s="96"/>
      <c r="K523" s="50"/>
      <c r="L523" s="96"/>
      <c r="M523" s="96"/>
      <c r="N523" s="14"/>
      <c r="O523" s="50"/>
      <c r="P523" s="50"/>
      <c r="Q523" s="50"/>
      <c r="R523" s="50"/>
      <c r="S523" s="50"/>
      <c r="T523" s="50"/>
      <c r="U523" s="50"/>
      <c r="V523" s="50"/>
      <c r="W523" s="14"/>
      <c r="X523" s="50"/>
      <c r="Y523" s="179"/>
      <c r="Z523" s="50"/>
      <c r="AA523" s="14"/>
    </row>
    <row r="524">
      <c r="A524" s="14"/>
      <c r="B524" s="14"/>
      <c r="C524" s="158"/>
      <c r="D524" s="96"/>
      <c r="E524" s="96"/>
      <c r="F524" s="96"/>
      <c r="G524" s="50"/>
      <c r="H524" s="96"/>
      <c r="I524" s="96"/>
      <c r="J524" s="96"/>
      <c r="K524" s="50"/>
      <c r="L524" s="96"/>
      <c r="M524" s="96"/>
      <c r="N524" s="14"/>
      <c r="O524" s="50"/>
      <c r="P524" s="50"/>
      <c r="Q524" s="50"/>
      <c r="R524" s="50"/>
      <c r="S524" s="50"/>
      <c r="T524" s="50"/>
      <c r="U524" s="50"/>
      <c r="V524" s="50"/>
      <c r="W524" s="14"/>
      <c r="X524" s="50"/>
      <c r="Y524" s="179"/>
      <c r="Z524" s="50"/>
      <c r="AA524" s="14"/>
    </row>
    <row r="525">
      <c r="A525" s="14"/>
      <c r="B525" s="14"/>
      <c r="C525" s="158"/>
      <c r="D525" s="96"/>
      <c r="E525" s="96"/>
      <c r="F525" s="96"/>
      <c r="G525" s="50"/>
      <c r="H525" s="96"/>
      <c r="I525" s="96"/>
      <c r="J525" s="96"/>
      <c r="K525" s="50"/>
      <c r="L525" s="96"/>
      <c r="M525" s="96"/>
      <c r="N525" s="14"/>
      <c r="O525" s="50"/>
      <c r="P525" s="50"/>
      <c r="Q525" s="50"/>
      <c r="R525" s="50"/>
      <c r="S525" s="50"/>
      <c r="T525" s="50"/>
      <c r="U525" s="50"/>
      <c r="V525" s="50"/>
      <c r="W525" s="14"/>
      <c r="X525" s="50"/>
      <c r="Y525" s="179"/>
      <c r="Z525" s="50"/>
      <c r="AA525" s="14"/>
    </row>
    <row r="526">
      <c r="A526" s="14"/>
      <c r="B526" s="14"/>
      <c r="C526" s="158"/>
      <c r="D526" s="96"/>
      <c r="E526" s="96"/>
      <c r="F526" s="96"/>
      <c r="G526" s="50"/>
      <c r="H526" s="96"/>
      <c r="I526" s="96"/>
      <c r="J526" s="96"/>
      <c r="K526" s="50"/>
      <c r="L526" s="96"/>
      <c r="M526" s="96"/>
      <c r="N526" s="14"/>
      <c r="O526" s="50"/>
      <c r="P526" s="50"/>
      <c r="Q526" s="50"/>
      <c r="R526" s="50"/>
      <c r="S526" s="50"/>
      <c r="T526" s="50"/>
      <c r="U526" s="50"/>
      <c r="V526" s="50"/>
      <c r="W526" s="14"/>
      <c r="X526" s="50"/>
      <c r="Y526" s="179"/>
      <c r="Z526" s="50"/>
      <c r="AA526" s="14"/>
    </row>
    <row r="527">
      <c r="A527" s="14"/>
      <c r="B527" s="14"/>
      <c r="C527" s="158"/>
      <c r="D527" s="96"/>
      <c r="E527" s="96"/>
      <c r="F527" s="96"/>
      <c r="G527" s="50"/>
      <c r="H527" s="96"/>
      <c r="I527" s="96"/>
      <c r="J527" s="96"/>
      <c r="K527" s="50"/>
      <c r="L527" s="96"/>
      <c r="M527" s="96"/>
      <c r="N527" s="14"/>
      <c r="O527" s="50"/>
      <c r="P527" s="50"/>
      <c r="Q527" s="50"/>
      <c r="R527" s="50"/>
      <c r="S527" s="50"/>
      <c r="T527" s="50"/>
      <c r="U527" s="50"/>
      <c r="V527" s="50"/>
      <c r="W527" s="14"/>
      <c r="X527" s="50"/>
      <c r="Y527" s="179"/>
      <c r="Z527" s="50"/>
      <c r="AA527" s="14"/>
    </row>
    <row r="528">
      <c r="A528" s="14"/>
      <c r="B528" s="14"/>
      <c r="C528" s="158"/>
      <c r="D528" s="96"/>
      <c r="E528" s="96"/>
      <c r="F528" s="96"/>
      <c r="G528" s="50"/>
      <c r="H528" s="96"/>
      <c r="I528" s="96"/>
      <c r="J528" s="96"/>
      <c r="K528" s="50"/>
      <c r="L528" s="96"/>
      <c r="M528" s="96"/>
      <c r="N528" s="14"/>
      <c r="O528" s="50"/>
      <c r="P528" s="50"/>
      <c r="Q528" s="50"/>
      <c r="R528" s="50"/>
      <c r="S528" s="50"/>
      <c r="T528" s="50"/>
      <c r="U528" s="50"/>
      <c r="V528" s="50"/>
      <c r="W528" s="14"/>
      <c r="X528" s="50"/>
      <c r="Y528" s="179"/>
      <c r="Z528" s="50"/>
      <c r="AA528" s="14"/>
    </row>
    <row r="529">
      <c r="A529" s="14"/>
      <c r="B529" s="14"/>
      <c r="C529" s="158"/>
      <c r="D529" s="96"/>
      <c r="E529" s="96"/>
      <c r="F529" s="96"/>
      <c r="G529" s="50"/>
      <c r="H529" s="96"/>
      <c r="I529" s="96"/>
      <c r="J529" s="96"/>
      <c r="K529" s="50"/>
      <c r="L529" s="96"/>
      <c r="M529" s="96"/>
      <c r="N529" s="14"/>
      <c r="O529" s="50"/>
      <c r="P529" s="50"/>
      <c r="Q529" s="50"/>
      <c r="R529" s="50"/>
      <c r="S529" s="50"/>
      <c r="T529" s="50"/>
      <c r="U529" s="50"/>
      <c r="V529" s="50"/>
      <c r="W529" s="14"/>
      <c r="X529" s="50"/>
      <c r="Y529" s="179"/>
      <c r="Z529" s="50"/>
      <c r="AA529" s="14"/>
    </row>
    <row r="530">
      <c r="A530" s="14"/>
      <c r="B530" s="14"/>
      <c r="C530" s="158"/>
      <c r="D530" s="96"/>
      <c r="E530" s="96"/>
      <c r="F530" s="96"/>
      <c r="G530" s="50"/>
      <c r="H530" s="96"/>
      <c r="I530" s="96"/>
      <c r="J530" s="96"/>
      <c r="K530" s="50"/>
      <c r="L530" s="96"/>
      <c r="M530" s="96"/>
      <c r="N530" s="14"/>
      <c r="O530" s="50"/>
      <c r="P530" s="50"/>
      <c r="Q530" s="50"/>
      <c r="R530" s="50"/>
      <c r="S530" s="50"/>
      <c r="T530" s="50"/>
      <c r="U530" s="50"/>
      <c r="V530" s="50"/>
      <c r="W530" s="14"/>
      <c r="X530" s="50"/>
      <c r="Y530" s="179"/>
      <c r="Z530" s="50"/>
      <c r="AA530" s="14"/>
    </row>
    <row r="531">
      <c r="A531" s="14"/>
      <c r="B531" s="14"/>
      <c r="C531" s="158"/>
      <c r="D531" s="96"/>
      <c r="E531" s="96"/>
      <c r="F531" s="96"/>
      <c r="G531" s="50"/>
      <c r="H531" s="96"/>
      <c r="I531" s="96"/>
      <c r="J531" s="96"/>
      <c r="K531" s="50"/>
      <c r="L531" s="96"/>
      <c r="M531" s="96"/>
      <c r="N531" s="14"/>
      <c r="O531" s="50"/>
      <c r="P531" s="50"/>
      <c r="Q531" s="50"/>
      <c r="R531" s="50"/>
      <c r="S531" s="50"/>
      <c r="T531" s="50"/>
      <c r="U531" s="50"/>
      <c r="V531" s="50"/>
      <c r="W531" s="14"/>
      <c r="X531" s="50"/>
      <c r="Y531" s="179"/>
      <c r="Z531" s="50"/>
      <c r="AA531" s="14"/>
    </row>
    <row r="532">
      <c r="A532" s="14"/>
      <c r="B532" s="14"/>
      <c r="C532" s="158"/>
      <c r="D532" s="96"/>
      <c r="E532" s="96"/>
      <c r="F532" s="96"/>
      <c r="G532" s="50"/>
      <c r="H532" s="96"/>
      <c r="I532" s="96"/>
      <c r="J532" s="96"/>
      <c r="K532" s="50"/>
      <c r="L532" s="96"/>
      <c r="M532" s="96"/>
      <c r="N532" s="14"/>
      <c r="O532" s="50"/>
      <c r="P532" s="50"/>
      <c r="Q532" s="50"/>
      <c r="R532" s="50"/>
      <c r="S532" s="50"/>
      <c r="T532" s="50"/>
      <c r="U532" s="50"/>
      <c r="V532" s="50"/>
      <c r="W532" s="14"/>
      <c r="X532" s="50"/>
      <c r="Y532" s="179"/>
      <c r="Z532" s="50"/>
      <c r="AA532" s="14"/>
    </row>
    <row r="533">
      <c r="A533" s="14"/>
      <c r="B533" s="14"/>
      <c r="C533" s="158"/>
      <c r="D533" s="96"/>
      <c r="E533" s="96"/>
      <c r="F533" s="96"/>
      <c r="G533" s="50"/>
      <c r="H533" s="96"/>
      <c r="I533" s="96"/>
      <c r="J533" s="96"/>
      <c r="K533" s="50"/>
      <c r="L533" s="96"/>
      <c r="M533" s="96"/>
      <c r="N533" s="14"/>
      <c r="O533" s="50"/>
      <c r="P533" s="50"/>
      <c r="Q533" s="50"/>
      <c r="R533" s="50"/>
      <c r="S533" s="50"/>
      <c r="T533" s="50"/>
      <c r="U533" s="50"/>
      <c r="V533" s="50"/>
      <c r="W533" s="14"/>
      <c r="X533" s="50"/>
      <c r="Y533" s="179"/>
      <c r="Z533" s="50"/>
      <c r="AA533" s="14"/>
    </row>
    <row r="534">
      <c r="A534" s="14"/>
      <c r="B534" s="14"/>
      <c r="C534" s="158"/>
      <c r="D534" s="96"/>
      <c r="E534" s="96"/>
      <c r="F534" s="96"/>
      <c r="G534" s="50"/>
      <c r="H534" s="96"/>
      <c r="I534" s="96"/>
      <c r="J534" s="96"/>
      <c r="K534" s="50"/>
      <c r="L534" s="96"/>
      <c r="M534" s="96"/>
      <c r="N534" s="14"/>
      <c r="O534" s="50"/>
      <c r="P534" s="50"/>
      <c r="Q534" s="50"/>
      <c r="R534" s="50"/>
      <c r="S534" s="50"/>
      <c r="T534" s="50"/>
      <c r="U534" s="50"/>
      <c r="V534" s="50"/>
      <c r="W534" s="14"/>
      <c r="X534" s="50"/>
      <c r="Y534" s="179"/>
      <c r="Z534" s="50"/>
      <c r="AA534" s="14"/>
    </row>
    <row r="535">
      <c r="A535" s="14"/>
      <c r="B535" s="14"/>
      <c r="C535" s="158"/>
      <c r="D535" s="96"/>
      <c r="E535" s="96"/>
      <c r="F535" s="96"/>
      <c r="G535" s="50"/>
      <c r="H535" s="96"/>
      <c r="I535" s="96"/>
      <c r="J535" s="96"/>
      <c r="K535" s="50"/>
      <c r="L535" s="96"/>
      <c r="M535" s="96"/>
      <c r="N535" s="14"/>
      <c r="O535" s="50"/>
      <c r="P535" s="50"/>
      <c r="Q535" s="50"/>
      <c r="R535" s="50"/>
      <c r="S535" s="50"/>
      <c r="T535" s="50"/>
      <c r="U535" s="50"/>
      <c r="V535" s="50"/>
      <c r="W535" s="14"/>
      <c r="X535" s="50"/>
      <c r="Y535" s="179"/>
      <c r="Z535" s="50"/>
      <c r="AA535" s="14"/>
    </row>
    <row r="536">
      <c r="A536" s="14"/>
      <c r="B536" s="14"/>
      <c r="C536" s="158"/>
      <c r="D536" s="96"/>
      <c r="E536" s="96"/>
      <c r="F536" s="96"/>
      <c r="G536" s="50"/>
      <c r="H536" s="96"/>
      <c r="I536" s="96"/>
      <c r="J536" s="96"/>
      <c r="K536" s="50"/>
      <c r="L536" s="96"/>
      <c r="M536" s="96"/>
      <c r="N536" s="14"/>
      <c r="O536" s="50"/>
      <c r="P536" s="50"/>
      <c r="Q536" s="50"/>
      <c r="R536" s="50"/>
      <c r="S536" s="50"/>
      <c r="T536" s="50"/>
      <c r="U536" s="50"/>
      <c r="V536" s="50"/>
      <c r="W536" s="14"/>
      <c r="X536" s="50"/>
      <c r="Y536" s="179"/>
      <c r="Z536" s="50"/>
      <c r="AA536" s="14"/>
    </row>
    <row r="537">
      <c r="A537" s="14"/>
      <c r="B537" s="14"/>
      <c r="C537" s="158"/>
      <c r="D537" s="96"/>
      <c r="E537" s="96"/>
      <c r="F537" s="96"/>
      <c r="G537" s="50"/>
      <c r="H537" s="96"/>
      <c r="I537" s="96"/>
      <c r="J537" s="96"/>
      <c r="K537" s="50"/>
      <c r="L537" s="96"/>
      <c r="M537" s="96"/>
      <c r="N537" s="14"/>
      <c r="O537" s="50"/>
      <c r="P537" s="50"/>
      <c r="Q537" s="50"/>
      <c r="R537" s="50"/>
      <c r="S537" s="50"/>
      <c r="T537" s="50"/>
      <c r="U537" s="50"/>
      <c r="V537" s="50"/>
      <c r="W537" s="14"/>
      <c r="X537" s="50"/>
      <c r="Y537" s="179"/>
      <c r="Z537" s="50"/>
      <c r="AA537" s="14"/>
    </row>
    <row r="538">
      <c r="A538" s="14"/>
      <c r="B538" s="14"/>
      <c r="C538" s="158"/>
      <c r="D538" s="96"/>
      <c r="E538" s="96"/>
      <c r="F538" s="96"/>
      <c r="G538" s="50"/>
      <c r="H538" s="96"/>
      <c r="I538" s="96"/>
      <c r="J538" s="96"/>
      <c r="K538" s="50"/>
      <c r="L538" s="96"/>
      <c r="M538" s="96"/>
      <c r="N538" s="14"/>
      <c r="O538" s="50"/>
      <c r="P538" s="50"/>
      <c r="Q538" s="50"/>
      <c r="R538" s="50"/>
      <c r="S538" s="50"/>
      <c r="T538" s="50"/>
      <c r="U538" s="50"/>
      <c r="V538" s="50"/>
      <c r="W538" s="14"/>
      <c r="X538" s="50"/>
      <c r="Y538" s="179"/>
      <c r="Z538" s="50"/>
      <c r="AA538" s="14"/>
    </row>
    <row r="539">
      <c r="A539" s="14"/>
      <c r="B539" s="14"/>
      <c r="C539" s="158"/>
      <c r="D539" s="96"/>
      <c r="E539" s="96"/>
      <c r="F539" s="96"/>
      <c r="G539" s="50"/>
      <c r="H539" s="96"/>
      <c r="I539" s="96"/>
      <c r="J539" s="96"/>
      <c r="K539" s="50"/>
      <c r="L539" s="96"/>
      <c r="M539" s="96"/>
      <c r="N539" s="14"/>
      <c r="O539" s="50"/>
      <c r="P539" s="50"/>
      <c r="Q539" s="50"/>
      <c r="R539" s="50"/>
      <c r="S539" s="50"/>
      <c r="T539" s="50"/>
      <c r="U539" s="50"/>
      <c r="V539" s="50"/>
      <c r="W539" s="14"/>
      <c r="X539" s="50"/>
      <c r="Y539" s="179"/>
      <c r="Z539" s="50"/>
      <c r="AA539" s="14"/>
    </row>
    <row r="540">
      <c r="A540" s="14"/>
      <c r="B540" s="14"/>
      <c r="C540" s="158"/>
      <c r="D540" s="96"/>
      <c r="E540" s="96"/>
      <c r="F540" s="96"/>
      <c r="G540" s="50"/>
      <c r="H540" s="96"/>
      <c r="I540" s="96"/>
      <c r="J540" s="96"/>
      <c r="K540" s="50"/>
      <c r="L540" s="96"/>
      <c r="M540" s="96"/>
      <c r="N540" s="14"/>
      <c r="O540" s="50"/>
      <c r="P540" s="50"/>
      <c r="Q540" s="50"/>
      <c r="R540" s="50"/>
      <c r="S540" s="50"/>
      <c r="T540" s="50"/>
      <c r="U540" s="50"/>
      <c r="V540" s="50"/>
      <c r="W540" s="14"/>
      <c r="X540" s="50"/>
      <c r="Y540" s="179"/>
      <c r="Z540" s="50"/>
      <c r="AA540" s="14"/>
    </row>
    <row r="541">
      <c r="A541" s="14"/>
      <c r="B541" s="14"/>
      <c r="C541" s="158"/>
      <c r="D541" s="96"/>
      <c r="E541" s="96"/>
      <c r="F541" s="96"/>
      <c r="G541" s="50"/>
      <c r="H541" s="96"/>
      <c r="I541" s="96"/>
      <c r="J541" s="96"/>
      <c r="K541" s="50"/>
      <c r="L541" s="96"/>
      <c r="M541" s="96"/>
      <c r="N541" s="14"/>
      <c r="O541" s="50"/>
      <c r="P541" s="50"/>
      <c r="Q541" s="50"/>
      <c r="R541" s="50"/>
      <c r="S541" s="50"/>
      <c r="T541" s="50"/>
      <c r="U541" s="50"/>
      <c r="V541" s="50"/>
      <c r="W541" s="14"/>
      <c r="X541" s="50"/>
      <c r="Y541" s="179"/>
      <c r="Z541" s="50"/>
      <c r="AA541" s="14"/>
    </row>
    <row r="542">
      <c r="A542" s="14"/>
      <c r="B542" s="14"/>
      <c r="C542" s="158"/>
      <c r="D542" s="96"/>
      <c r="E542" s="96"/>
      <c r="F542" s="96"/>
      <c r="G542" s="50"/>
      <c r="H542" s="96"/>
      <c r="I542" s="96"/>
      <c r="J542" s="96"/>
      <c r="K542" s="50"/>
      <c r="L542" s="96"/>
      <c r="M542" s="96"/>
      <c r="N542" s="14"/>
      <c r="O542" s="50"/>
      <c r="P542" s="50"/>
      <c r="Q542" s="50"/>
      <c r="R542" s="50"/>
      <c r="S542" s="50"/>
      <c r="T542" s="50"/>
      <c r="U542" s="50"/>
      <c r="V542" s="50"/>
      <c r="W542" s="14"/>
      <c r="X542" s="50"/>
      <c r="Y542" s="179"/>
      <c r="Z542" s="50"/>
      <c r="AA542" s="14"/>
    </row>
    <row r="543">
      <c r="A543" s="14"/>
      <c r="B543" s="14"/>
      <c r="C543" s="158"/>
      <c r="D543" s="96"/>
      <c r="E543" s="96"/>
      <c r="F543" s="96"/>
      <c r="G543" s="50"/>
      <c r="H543" s="96"/>
      <c r="I543" s="96"/>
      <c r="J543" s="96"/>
      <c r="K543" s="50"/>
      <c r="L543" s="96"/>
      <c r="M543" s="96"/>
      <c r="N543" s="14"/>
      <c r="O543" s="50"/>
      <c r="P543" s="50"/>
      <c r="Q543" s="50"/>
      <c r="R543" s="50"/>
      <c r="S543" s="50"/>
      <c r="T543" s="50"/>
      <c r="U543" s="50"/>
      <c r="V543" s="50"/>
      <c r="W543" s="14"/>
      <c r="X543" s="50"/>
      <c r="Y543" s="179"/>
      <c r="Z543" s="50"/>
      <c r="AA543" s="14"/>
    </row>
    <row r="544">
      <c r="A544" s="14"/>
      <c r="B544" s="14"/>
      <c r="C544" s="158"/>
      <c r="D544" s="96"/>
      <c r="E544" s="96"/>
      <c r="F544" s="96"/>
      <c r="G544" s="50"/>
      <c r="H544" s="96"/>
      <c r="I544" s="96"/>
      <c r="J544" s="96"/>
      <c r="K544" s="50"/>
      <c r="L544" s="96"/>
      <c r="M544" s="96"/>
      <c r="N544" s="14"/>
      <c r="O544" s="50"/>
      <c r="P544" s="50"/>
      <c r="Q544" s="50"/>
      <c r="R544" s="50"/>
      <c r="S544" s="50"/>
      <c r="T544" s="50"/>
      <c r="U544" s="50"/>
      <c r="V544" s="50"/>
      <c r="W544" s="14"/>
      <c r="X544" s="50"/>
      <c r="Y544" s="179"/>
      <c r="Z544" s="50"/>
      <c r="AA544" s="14"/>
    </row>
    <row r="545">
      <c r="A545" s="14"/>
      <c r="B545" s="14"/>
      <c r="C545" s="158"/>
      <c r="D545" s="96"/>
      <c r="E545" s="96"/>
      <c r="F545" s="96"/>
      <c r="G545" s="50"/>
      <c r="H545" s="96"/>
      <c r="I545" s="96"/>
      <c r="J545" s="96"/>
      <c r="K545" s="50"/>
      <c r="L545" s="96"/>
      <c r="M545" s="96"/>
      <c r="N545" s="14"/>
      <c r="O545" s="50"/>
      <c r="P545" s="50"/>
      <c r="Q545" s="50"/>
      <c r="R545" s="50"/>
      <c r="S545" s="50"/>
      <c r="T545" s="50"/>
      <c r="U545" s="50"/>
      <c r="V545" s="50"/>
      <c r="W545" s="14"/>
      <c r="X545" s="50"/>
      <c r="Y545" s="179"/>
      <c r="Z545" s="50"/>
      <c r="AA545" s="14"/>
    </row>
    <row r="546">
      <c r="A546" s="14"/>
      <c r="B546" s="14"/>
      <c r="C546" s="158"/>
      <c r="D546" s="96"/>
      <c r="E546" s="96"/>
      <c r="F546" s="96"/>
      <c r="G546" s="50"/>
      <c r="H546" s="96"/>
      <c r="I546" s="96"/>
      <c r="J546" s="96"/>
      <c r="K546" s="50"/>
      <c r="L546" s="96"/>
      <c r="M546" s="96"/>
      <c r="N546" s="14"/>
      <c r="O546" s="50"/>
      <c r="P546" s="50"/>
      <c r="Q546" s="50"/>
      <c r="R546" s="50"/>
      <c r="S546" s="50"/>
      <c r="T546" s="50"/>
      <c r="U546" s="50"/>
      <c r="V546" s="50"/>
      <c r="W546" s="14"/>
      <c r="X546" s="50"/>
      <c r="Y546" s="179"/>
      <c r="Z546" s="50"/>
      <c r="AA546" s="14"/>
    </row>
    <row r="547">
      <c r="A547" s="14"/>
      <c r="B547" s="14"/>
      <c r="C547" s="158"/>
      <c r="D547" s="96"/>
      <c r="E547" s="96"/>
      <c r="F547" s="96"/>
      <c r="G547" s="50"/>
      <c r="H547" s="96"/>
      <c r="I547" s="96"/>
      <c r="J547" s="96"/>
      <c r="K547" s="50"/>
      <c r="L547" s="96"/>
      <c r="M547" s="96"/>
      <c r="N547" s="14"/>
      <c r="O547" s="50"/>
      <c r="P547" s="50"/>
      <c r="Q547" s="50"/>
      <c r="R547" s="50"/>
      <c r="S547" s="50"/>
      <c r="T547" s="50"/>
      <c r="U547" s="50"/>
      <c r="V547" s="50"/>
      <c r="W547" s="14"/>
      <c r="X547" s="50"/>
      <c r="Y547" s="179"/>
      <c r="Z547" s="50"/>
      <c r="AA547" s="14"/>
    </row>
    <row r="548">
      <c r="A548" s="14"/>
      <c r="B548" s="14"/>
      <c r="C548" s="158"/>
      <c r="D548" s="96"/>
      <c r="E548" s="96"/>
      <c r="F548" s="96"/>
      <c r="G548" s="50"/>
      <c r="H548" s="96"/>
      <c r="I548" s="96"/>
      <c r="J548" s="96"/>
      <c r="K548" s="50"/>
      <c r="L548" s="96"/>
      <c r="M548" s="96"/>
      <c r="N548" s="14"/>
      <c r="O548" s="50"/>
      <c r="P548" s="50"/>
      <c r="Q548" s="50"/>
      <c r="R548" s="50"/>
      <c r="S548" s="50"/>
      <c r="T548" s="50"/>
      <c r="U548" s="50"/>
      <c r="V548" s="50"/>
      <c r="W548" s="14"/>
      <c r="X548" s="50"/>
      <c r="Y548" s="179"/>
      <c r="Z548" s="50"/>
      <c r="AA548" s="14"/>
    </row>
    <row r="549">
      <c r="A549" s="14"/>
      <c r="B549" s="14"/>
      <c r="C549" s="158"/>
      <c r="D549" s="96"/>
      <c r="E549" s="96"/>
      <c r="F549" s="96"/>
      <c r="G549" s="50"/>
      <c r="H549" s="96"/>
      <c r="I549" s="96"/>
      <c r="J549" s="96"/>
      <c r="K549" s="50"/>
      <c r="L549" s="96"/>
      <c r="M549" s="96"/>
      <c r="N549" s="14"/>
      <c r="O549" s="50"/>
      <c r="P549" s="50"/>
      <c r="Q549" s="50"/>
      <c r="R549" s="50"/>
      <c r="S549" s="50"/>
      <c r="T549" s="50"/>
      <c r="U549" s="50"/>
      <c r="V549" s="50"/>
      <c r="W549" s="14"/>
      <c r="X549" s="50"/>
      <c r="Y549" s="179"/>
      <c r="Z549" s="50"/>
      <c r="AA549" s="14"/>
    </row>
    <row r="550">
      <c r="A550" s="14"/>
      <c r="B550" s="14"/>
      <c r="C550" s="158"/>
      <c r="D550" s="96"/>
      <c r="E550" s="96"/>
      <c r="F550" s="96"/>
      <c r="G550" s="50"/>
      <c r="H550" s="96"/>
      <c r="I550" s="96"/>
      <c r="J550" s="96"/>
      <c r="K550" s="50"/>
      <c r="L550" s="96"/>
      <c r="M550" s="96"/>
      <c r="N550" s="14"/>
      <c r="O550" s="50"/>
      <c r="P550" s="50"/>
      <c r="Q550" s="50"/>
      <c r="R550" s="50"/>
      <c r="S550" s="50"/>
      <c r="T550" s="50"/>
      <c r="U550" s="50"/>
      <c r="V550" s="50"/>
      <c r="W550" s="14"/>
      <c r="X550" s="50"/>
      <c r="Y550" s="179"/>
      <c r="Z550" s="50"/>
      <c r="AA550" s="14"/>
    </row>
    <row r="551">
      <c r="A551" s="14"/>
      <c r="B551" s="14"/>
      <c r="C551" s="158"/>
      <c r="D551" s="96"/>
      <c r="E551" s="96"/>
      <c r="F551" s="96"/>
      <c r="G551" s="50"/>
      <c r="H551" s="96"/>
      <c r="I551" s="96"/>
      <c r="J551" s="96"/>
      <c r="K551" s="50"/>
      <c r="L551" s="96"/>
      <c r="M551" s="96"/>
      <c r="N551" s="14"/>
      <c r="O551" s="50"/>
      <c r="P551" s="50"/>
      <c r="Q551" s="50"/>
      <c r="R551" s="50"/>
      <c r="S551" s="50"/>
      <c r="T551" s="50"/>
      <c r="U551" s="50"/>
      <c r="V551" s="50"/>
      <c r="W551" s="14"/>
      <c r="X551" s="50"/>
      <c r="Y551" s="179"/>
      <c r="Z551" s="50"/>
      <c r="AA551" s="14"/>
    </row>
    <row r="552">
      <c r="A552" s="14"/>
      <c r="B552" s="14"/>
      <c r="C552" s="158"/>
      <c r="D552" s="96"/>
      <c r="E552" s="96"/>
      <c r="F552" s="96"/>
      <c r="G552" s="50"/>
      <c r="H552" s="96"/>
      <c r="I552" s="96"/>
      <c r="J552" s="96"/>
      <c r="K552" s="50"/>
      <c r="L552" s="96"/>
      <c r="M552" s="96"/>
      <c r="N552" s="14"/>
      <c r="O552" s="50"/>
      <c r="P552" s="50"/>
      <c r="Q552" s="50"/>
      <c r="R552" s="50"/>
      <c r="S552" s="50"/>
      <c r="T552" s="50"/>
      <c r="U552" s="50"/>
      <c r="V552" s="50"/>
      <c r="W552" s="14"/>
      <c r="X552" s="50"/>
      <c r="Y552" s="179"/>
      <c r="Z552" s="50"/>
      <c r="AA552" s="14"/>
    </row>
    <row r="553">
      <c r="A553" s="14"/>
      <c r="B553" s="14"/>
      <c r="C553" s="158"/>
      <c r="D553" s="96"/>
      <c r="E553" s="96"/>
      <c r="F553" s="96"/>
      <c r="G553" s="50"/>
      <c r="H553" s="96"/>
      <c r="I553" s="96"/>
      <c r="J553" s="96"/>
      <c r="K553" s="50"/>
      <c r="L553" s="96"/>
      <c r="M553" s="96"/>
      <c r="N553" s="14"/>
      <c r="O553" s="50"/>
      <c r="P553" s="50"/>
      <c r="Q553" s="50"/>
      <c r="R553" s="50"/>
      <c r="S553" s="50"/>
      <c r="T553" s="50"/>
      <c r="U553" s="50"/>
      <c r="V553" s="50"/>
      <c r="W553" s="14"/>
      <c r="X553" s="50"/>
      <c r="Y553" s="179"/>
      <c r="Z553" s="50"/>
      <c r="AA553" s="14"/>
    </row>
    <row r="554">
      <c r="A554" s="14"/>
      <c r="B554" s="14"/>
      <c r="C554" s="158"/>
      <c r="D554" s="96"/>
      <c r="E554" s="96"/>
      <c r="F554" s="96"/>
      <c r="G554" s="50"/>
      <c r="H554" s="96"/>
      <c r="I554" s="96"/>
      <c r="J554" s="96"/>
      <c r="K554" s="50"/>
      <c r="L554" s="96"/>
      <c r="M554" s="96"/>
      <c r="N554" s="14"/>
      <c r="O554" s="50"/>
      <c r="P554" s="50"/>
      <c r="Q554" s="50"/>
      <c r="R554" s="50"/>
      <c r="S554" s="50"/>
      <c r="T554" s="50"/>
      <c r="U554" s="50"/>
      <c r="V554" s="50"/>
      <c r="W554" s="14"/>
      <c r="X554" s="50"/>
      <c r="Y554" s="179"/>
      <c r="Z554" s="50"/>
      <c r="AA554" s="14"/>
    </row>
    <row r="555">
      <c r="A555" s="14"/>
      <c r="B555" s="14"/>
      <c r="C555" s="158"/>
      <c r="D555" s="96"/>
      <c r="E555" s="96"/>
      <c r="F555" s="96"/>
      <c r="G555" s="50"/>
      <c r="H555" s="96"/>
      <c r="I555" s="96"/>
      <c r="J555" s="96"/>
      <c r="K555" s="50"/>
      <c r="L555" s="96"/>
      <c r="M555" s="96"/>
      <c r="N555" s="14"/>
      <c r="O555" s="50"/>
      <c r="P555" s="50"/>
      <c r="Q555" s="50"/>
      <c r="R555" s="50"/>
      <c r="S555" s="50"/>
      <c r="T555" s="50"/>
      <c r="U555" s="50"/>
      <c r="V555" s="50"/>
      <c r="W555" s="14"/>
      <c r="X555" s="50"/>
      <c r="Y555" s="179"/>
      <c r="Z555" s="50"/>
      <c r="AA555" s="14"/>
    </row>
    <row r="556">
      <c r="A556" s="14"/>
      <c r="B556" s="14"/>
      <c r="C556" s="158"/>
      <c r="D556" s="96"/>
      <c r="E556" s="96"/>
      <c r="F556" s="96"/>
      <c r="G556" s="50"/>
      <c r="H556" s="96"/>
      <c r="I556" s="96"/>
      <c r="J556" s="96"/>
      <c r="K556" s="50"/>
      <c r="L556" s="96"/>
      <c r="M556" s="96"/>
      <c r="N556" s="14"/>
      <c r="O556" s="50"/>
      <c r="P556" s="50"/>
      <c r="Q556" s="50"/>
      <c r="R556" s="50"/>
      <c r="S556" s="50"/>
      <c r="T556" s="50"/>
      <c r="U556" s="50"/>
      <c r="V556" s="50"/>
      <c r="W556" s="14"/>
      <c r="X556" s="50"/>
      <c r="Y556" s="179"/>
      <c r="Z556" s="50"/>
      <c r="AA556" s="14"/>
    </row>
    <row r="557">
      <c r="A557" s="14"/>
      <c r="B557" s="14"/>
      <c r="C557" s="158"/>
      <c r="D557" s="96"/>
      <c r="E557" s="96"/>
      <c r="F557" s="96"/>
      <c r="G557" s="50"/>
      <c r="H557" s="96"/>
      <c r="I557" s="96"/>
      <c r="J557" s="96"/>
      <c r="K557" s="50"/>
      <c r="L557" s="96"/>
      <c r="M557" s="96"/>
      <c r="N557" s="14"/>
      <c r="O557" s="50"/>
      <c r="P557" s="50"/>
      <c r="Q557" s="50"/>
      <c r="R557" s="50"/>
      <c r="S557" s="50"/>
      <c r="T557" s="50"/>
      <c r="U557" s="50"/>
      <c r="V557" s="50"/>
      <c r="W557" s="14"/>
      <c r="X557" s="50"/>
      <c r="Y557" s="179"/>
      <c r="Z557" s="50"/>
      <c r="AA557" s="14"/>
    </row>
    <row r="558">
      <c r="A558" s="14"/>
      <c r="B558" s="14"/>
      <c r="C558" s="158"/>
      <c r="D558" s="96"/>
      <c r="E558" s="96"/>
      <c r="F558" s="96"/>
      <c r="G558" s="50"/>
      <c r="H558" s="96"/>
      <c r="I558" s="96"/>
      <c r="J558" s="96"/>
      <c r="K558" s="50"/>
      <c r="L558" s="96"/>
      <c r="M558" s="96"/>
      <c r="N558" s="14"/>
      <c r="O558" s="50"/>
      <c r="P558" s="50"/>
      <c r="Q558" s="50"/>
      <c r="R558" s="50"/>
      <c r="S558" s="50"/>
      <c r="T558" s="50"/>
      <c r="U558" s="50"/>
      <c r="V558" s="50"/>
      <c r="W558" s="14"/>
      <c r="X558" s="50"/>
      <c r="Y558" s="179"/>
      <c r="Z558" s="50"/>
      <c r="AA558" s="14"/>
    </row>
    <row r="559">
      <c r="A559" s="14"/>
      <c r="B559" s="14"/>
      <c r="C559" s="158"/>
      <c r="D559" s="96"/>
      <c r="E559" s="96"/>
      <c r="F559" s="96"/>
      <c r="G559" s="50"/>
      <c r="H559" s="96"/>
      <c r="I559" s="96"/>
      <c r="J559" s="96"/>
      <c r="K559" s="50"/>
      <c r="L559" s="96"/>
      <c r="M559" s="96"/>
      <c r="N559" s="14"/>
      <c r="O559" s="50"/>
      <c r="P559" s="50"/>
      <c r="Q559" s="50"/>
      <c r="R559" s="50"/>
      <c r="S559" s="50"/>
      <c r="T559" s="50"/>
      <c r="U559" s="50"/>
      <c r="V559" s="50"/>
      <c r="W559" s="14"/>
      <c r="X559" s="50"/>
      <c r="Y559" s="179"/>
      <c r="Z559" s="50"/>
      <c r="AA559" s="14"/>
    </row>
    <row r="560">
      <c r="A560" s="14"/>
      <c r="B560" s="14"/>
      <c r="C560" s="158"/>
      <c r="D560" s="96"/>
      <c r="E560" s="96"/>
      <c r="F560" s="96"/>
      <c r="G560" s="50"/>
      <c r="H560" s="96"/>
      <c r="I560" s="96"/>
      <c r="J560" s="96"/>
      <c r="K560" s="50"/>
      <c r="L560" s="96"/>
      <c r="M560" s="96"/>
      <c r="N560" s="14"/>
      <c r="O560" s="50"/>
      <c r="P560" s="50"/>
      <c r="Q560" s="50"/>
      <c r="R560" s="50"/>
      <c r="S560" s="50"/>
      <c r="T560" s="50"/>
      <c r="U560" s="50"/>
      <c r="V560" s="50"/>
      <c r="W560" s="14"/>
      <c r="X560" s="50"/>
      <c r="Y560" s="179"/>
      <c r="Z560" s="50"/>
      <c r="AA560" s="14"/>
    </row>
    <row r="561">
      <c r="A561" s="14"/>
      <c r="B561" s="14"/>
      <c r="C561" s="158"/>
      <c r="D561" s="96"/>
      <c r="E561" s="96"/>
      <c r="F561" s="96"/>
      <c r="G561" s="50"/>
      <c r="H561" s="96"/>
      <c r="I561" s="96"/>
      <c r="J561" s="96"/>
      <c r="K561" s="50"/>
      <c r="L561" s="96"/>
      <c r="M561" s="96"/>
      <c r="N561" s="14"/>
      <c r="O561" s="50"/>
      <c r="P561" s="50"/>
      <c r="Q561" s="50"/>
      <c r="R561" s="50"/>
      <c r="S561" s="50"/>
      <c r="T561" s="50"/>
      <c r="U561" s="50"/>
      <c r="V561" s="50"/>
      <c r="W561" s="14"/>
      <c r="X561" s="50"/>
      <c r="Y561" s="179"/>
      <c r="Z561" s="50"/>
      <c r="AA561" s="14"/>
    </row>
    <row r="562">
      <c r="A562" s="14"/>
      <c r="B562" s="14"/>
      <c r="C562" s="158"/>
      <c r="D562" s="96"/>
      <c r="E562" s="96"/>
      <c r="F562" s="96"/>
      <c r="G562" s="50"/>
      <c r="H562" s="96"/>
      <c r="I562" s="96"/>
      <c r="J562" s="96"/>
      <c r="K562" s="50"/>
      <c r="L562" s="96"/>
      <c r="M562" s="96"/>
      <c r="N562" s="14"/>
      <c r="O562" s="50"/>
      <c r="P562" s="50"/>
      <c r="Q562" s="50"/>
      <c r="R562" s="50"/>
      <c r="S562" s="50"/>
      <c r="T562" s="50"/>
      <c r="U562" s="50"/>
      <c r="V562" s="50"/>
      <c r="W562" s="14"/>
      <c r="X562" s="50"/>
      <c r="Y562" s="179"/>
      <c r="Z562" s="50"/>
      <c r="AA562" s="14"/>
    </row>
    <row r="563">
      <c r="A563" s="14"/>
      <c r="B563" s="14"/>
      <c r="C563" s="158"/>
      <c r="D563" s="96"/>
      <c r="E563" s="96"/>
      <c r="F563" s="96"/>
      <c r="G563" s="50"/>
      <c r="H563" s="96"/>
      <c r="I563" s="96"/>
      <c r="J563" s="96"/>
      <c r="K563" s="50"/>
      <c r="L563" s="96"/>
      <c r="M563" s="96"/>
      <c r="N563" s="14"/>
      <c r="O563" s="50"/>
      <c r="P563" s="50"/>
      <c r="Q563" s="50"/>
      <c r="R563" s="50"/>
      <c r="S563" s="50"/>
      <c r="T563" s="50"/>
      <c r="U563" s="50"/>
      <c r="V563" s="50"/>
      <c r="W563" s="14"/>
      <c r="X563" s="50"/>
      <c r="Y563" s="179"/>
      <c r="Z563" s="50"/>
      <c r="AA563" s="14"/>
    </row>
    <row r="564">
      <c r="A564" s="14"/>
      <c r="B564" s="14"/>
      <c r="C564" s="158"/>
      <c r="D564" s="96"/>
      <c r="E564" s="96"/>
      <c r="F564" s="96"/>
      <c r="G564" s="50"/>
      <c r="H564" s="96"/>
      <c r="I564" s="96"/>
      <c r="J564" s="96"/>
      <c r="K564" s="50"/>
      <c r="L564" s="96"/>
      <c r="M564" s="96"/>
      <c r="N564" s="14"/>
      <c r="O564" s="50"/>
      <c r="P564" s="50"/>
      <c r="Q564" s="50"/>
      <c r="R564" s="50"/>
      <c r="S564" s="50"/>
      <c r="T564" s="50"/>
      <c r="U564" s="50"/>
      <c r="V564" s="50"/>
      <c r="W564" s="14"/>
      <c r="X564" s="50"/>
      <c r="Y564" s="179"/>
      <c r="Z564" s="50"/>
      <c r="AA564" s="14"/>
    </row>
    <row r="565">
      <c r="A565" s="14"/>
      <c r="B565" s="14"/>
      <c r="C565" s="158"/>
      <c r="D565" s="96"/>
      <c r="E565" s="96"/>
      <c r="F565" s="96"/>
      <c r="G565" s="50"/>
      <c r="H565" s="96"/>
      <c r="I565" s="96"/>
      <c r="J565" s="96"/>
      <c r="K565" s="50"/>
      <c r="L565" s="96"/>
      <c r="M565" s="96"/>
      <c r="N565" s="14"/>
      <c r="O565" s="50"/>
      <c r="P565" s="50"/>
      <c r="Q565" s="50"/>
      <c r="R565" s="50"/>
      <c r="S565" s="50"/>
      <c r="T565" s="50"/>
      <c r="U565" s="50"/>
      <c r="V565" s="50"/>
      <c r="W565" s="14"/>
      <c r="X565" s="50"/>
      <c r="Y565" s="179"/>
      <c r="Z565" s="50"/>
      <c r="AA565" s="14"/>
    </row>
    <row r="566">
      <c r="A566" s="14"/>
      <c r="B566" s="14"/>
      <c r="C566" s="158"/>
      <c r="D566" s="96"/>
      <c r="E566" s="96"/>
      <c r="F566" s="96"/>
      <c r="G566" s="50"/>
      <c r="H566" s="96"/>
      <c r="I566" s="96"/>
      <c r="J566" s="96"/>
      <c r="K566" s="50"/>
      <c r="L566" s="96"/>
      <c r="M566" s="96"/>
      <c r="N566" s="14"/>
      <c r="O566" s="50"/>
      <c r="P566" s="50"/>
      <c r="Q566" s="50"/>
      <c r="R566" s="50"/>
      <c r="S566" s="50"/>
      <c r="T566" s="50"/>
      <c r="U566" s="50"/>
      <c r="V566" s="50"/>
      <c r="W566" s="14"/>
      <c r="X566" s="50"/>
      <c r="Y566" s="179"/>
      <c r="Z566" s="50"/>
      <c r="AA566" s="14"/>
    </row>
    <row r="567">
      <c r="A567" s="14"/>
      <c r="B567" s="14"/>
      <c r="C567" s="158"/>
      <c r="D567" s="96"/>
      <c r="E567" s="96"/>
      <c r="F567" s="96"/>
      <c r="G567" s="50"/>
      <c r="H567" s="96"/>
      <c r="I567" s="96"/>
      <c r="J567" s="96"/>
      <c r="K567" s="50"/>
      <c r="L567" s="96"/>
      <c r="M567" s="96"/>
      <c r="N567" s="14"/>
      <c r="O567" s="50"/>
      <c r="P567" s="50"/>
      <c r="Q567" s="50"/>
      <c r="R567" s="50"/>
      <c r="S567" s="50"/>
      <c r="T567" s="50"/>
      <c r="U567" s="50"/>
      <c r="V567" s="50"/>
      <c r="W567" s="14"/>
      <c r="X567" s="50"/>
      <c r="Y567" s="179"/>
      <c r="Z567" s="50"/>
      <c r="AA567" s="14"/>
    </row>
    <row r="568">
      <c r="A568" s="14"/>
      <c r="B568" s="14"/>
      <c r="C568" s="158"/>
      <c r="D568" s="96"/>
      <c r="E568" s="96"/>
      <c r="F568" s="96"/>
      <c r="G568" s="50"/>
      <c r="H568" s="96"/>
      <c r="I568" s="96"/>
      <c r="J568" s="96"/>
      <c r="K568" s="50"/>
      <c r="L568" s="96"/>
      <c r="M568" s="96"/>
      <c r="N568" s="14"/>
      <c r="O568" s="50"/>
      <c r="P568" s="50"/>
      <c r="Q568" s="50"/>
      <c r="R568" s="50"/>
      <c r="S568" s="50"/>
      <c r="T568" s="50"/>
      <c r="U568" s="50"/>
      <c r="V568" s="50"/>
      <c r="W568" s="14"/>
      <c r="X568" s="50"/>
      <c r="Y568" s="179"/>
      <c r="Z568" s="50"/>
      <c r="AA568" s="14"/>
    </row>
    <row r="569">
      <c r="A569" s="14"/>
      <c r="B569" s="14"/>
      <c r="C569" s="158"/>
      <c r="D569" s="96"/>
      <c r="E569" s="96"/>
      <c r="F569" s="96"/>
      <c r="G569" s="50"/>
      <c r="H569" s="96"/>
      <c r="I569" s="96"/>
      <c r="J569" s="96"/>
      <c r="K569" s="50"/>
      <c r="L569" s="96"/>
      <c r="M569" s="96"/>
      <c r="N569" s="14"/>
      <c r="O569" s="50"/>
      <c r="P569" s="50"/>
      <c r="Q569" s="50"/>
      <c r="R569" s="50"/>
      <c r="S569" s="50"/>
      <c r="T569" s="50"/>
      <c r="U569" s="50"/>
      <c r="V569" s="50"/>
      <c r="W569" s="14"/>
      <c r="X569" s="50"/>
      <c r="Y569" s="179"/>
      <c r="Z569" s="50"/>
      <c r="AA569" s="14"/>
    </row>
    <row r="570">
      <c r="A570" s="14"/>
      <c r="B570" s="14"/>
      <c r="C570" s="158"/>
      <c r="D570" s="96"/>
      <c r="E570" s="96"/>
      <c r="F570" s="96"/>
      <c r="G570" s="50"/>
      <c r="H570" s="96"/>
      <c r="I570" s="96"/>
      <c r="J570" s="96"/>
      <c r="K570" s="50"/>
      <c r="L570" s="96"/>
      <c r="M570" s="96"/>
      <c r="N570" s="14"/>
      <c r="O570" s="50"/>
      <c r="P570" s="50"/>
      <c r="Q570" s="50"/>
      <c r="R570" s="50"/>
      <c r="S570" s="50"/>
      <c r="T570" s="50"/>
      <c r="U570" s="50"/>
      <c r="V570" s="50"/>
      <c r="W570" s="14"/>
      <c r="X570" s="50"/>
      <c r="Y570" s="179"/>
      <c r="Z570" s="50"/>
      <c r="AA570" s="14"/>
    </row>
    <row r="571">
      <c r="A571" s="14"/>
      <c r="B571" s="14"/>
      <c r="C571" s="158"/>
      <c r="D571" s="96"/>
      <c r="E571" s="96"/>
      <c r="F571" s="96"/>
      <c r="G571" s="50"/>
      <c r="H571" s="96"/>
      <c r="I571" s="96"/>
      <c r="J571" s="96"/>
      <c r="K571" s="50"/>
      <c r="L571" s="96"/>
      <c r="M571" s="96"/>
      <c r="N571" s="14"/>
      <c r="O571" s="50"/>
      <c r="P571" s="50"/>
      <c r="Q571" s="50"/>
      <c r="R571" s="50"/>
      <c r="S571" s="50"/>
      <c r="T571" s="50"/>
      <c r="U571" s="50"/>
      <c r="V571" s="50"/>
      <c r="W571" s="14"/>
      <c r="X571" s="50"/>
      <c r="Y571" s="179"/>
      <c r="Z571" s="50"/>
      <c r="AA571" s="14"/>
    </row>
    <row r="572">
      <c r="A572" s="14"/>
      <c r="B572" s="14"/>
      <c r="C572" s="158"/>
      <c r="D572" s="96"/>
      <c r="E572" s="96"/>
      <c r="F572" s="96"/>
      <c r="G572" s="50"/>
      <c r="H572" s="96"/>
      <c r="I572" s="96"/>
      <c r="J572" s="96"/>
      <c r="K572" s="50"/>
      <c r="L572" s="96"/>
      <c r="M572" s="96"/>
      <c r="N572" s="14"/>
      <c r="O572" s="50"/>
      <c r="P572" s="50"/>
      <c r="Q572" s="50"/>
      <c r="R572" s="50"/>
      <c r="S572" s="50"/>
      <c r="T572" s="50"/>
      <c r="U572" s="50"/>
      <c r="V572" s="50"/>
      <c r="W572" s="14"/>
      <c r="X572" s="50"/>
      <c r="Y572" s="179"/>
      <c r="Z572" s="50"/>
      <c r="AA572" s="14"/>
    </row>
    <row r="573">
      <c r="A573" s="14"/>
      <c r="B573" s="14"/>
      <c r="C573" s="158"/>
      <c r="D573" s="96"/>
      <c r="E573" s="96"/>
      <c r="F573" s="96"/>
      <c r="G573" s="50"/>
      <c r="H573" s="96"/>
      <c r="I573" s="96"/>
      <c r="J573" s="96"/>
      <c r="K573" s="50"/>
      <c r="L573" s="96"/>
      <c r="M573" s="96"/>
      <c r="N573" s="14"/>
      <c r="O573" s="50"/>
      <c r="P573" s="50"/>
      <c r="Q573" s="50"/>
      <c r="R573" s="50"/>
      <c r="S573" s="50"/>
      <c r="T573" s="50"/>
      <c r="U573" s="50"/>
      <c r="V573" s="50"/>
      <c r="W573" s="14"/>
      <c r="X573" s="50"/>
      <c r="Y573" s="179"/>
      <c r="Z573" s="50"/>
      <c r="AA573" s="14"/>
    </row>
    <row r="574">
      <c r="A574" s="14"/>
      <c r="B574" s="14"/>
      <c r="C574" s="158"/>
      <c r="D574" s="96"/>
      <c r="E574" s="96"/>
      <c r="F574" s="96"/>
      <c r="G574" s="50"/>
      <c r="H574" s="96"/>
      <c r="I574" s="96"/>
      <c r="J574" s="96"/>
      <c r="K574" s="50"/>
      <c r="L574" s="96"/>
      <c r="M574" s="96"/>
      <c r="N574" s="14"/>
      <c r="O574" s="50"/>
      <c r="P574" s="50"/>
      <c r="Q574" s="50"/>
      <c r="R574" s="50"/>
      <c r="S574" s="50"/>
      <c r="T574" s="50"/>
      <c r="U574" s="50"/>
      <c r="V574" s="50"/>
      <c r="W574" s="14"/>
      <c r="X574" s="50"/>
      <c r="Y574" s="179"/>
      <c r="Z574" s="50"/>
      <c r="AA574" s="14"/>
    </row>
    <row r="575">
      <c r="A575" s="14"/>
      <c r="B575" s="14"/>
      <c r="C575" s="158"/>
      <c r="D575" s="96"/>
      <c r="E575" s="96"/>
      <c r="F575" s="96"/>
      <c r="G575" s="50"/>
      <c r="H575" s="96"/>
      <c r="I575" s="96"/>
      <c r="J575" s="96"/>
      <c r="K575" s="50"/>
      <c r="L575" s="96"/>
      <c r="M575" s="96"/>
      <c r="N575" s="14"/>
      <c r="O575" s="50"/>
      <c r="P575" s="50"/>
      <c r="Q575" s="50"/>
      <c r="R575" s="50"/>
      <c r="S575" s="50"/>
      <c r="T575" s="50"/>
      <c r="U575" s="50"/>
      <c r="V575" s="50"/>
      <c r="W575" s="14"/>
      <c r="X575" s="50"/>
      <c r="Y575" s="179"/>
      <c r="Z575" s="50"/>
      <c r="AA575" s="14"/>
    </row>
    <row r="576">
      <c r="A576" s="14"/>
      <c r="B576" s="14"/>
      <c r="C576" s="158"/>
      <c r="D576" s="96"/>
      <c r="E576" s="96"/>
      <c r="F576" s="96"/>
      <c r="G576" s="50"/>
      <c r="H576" s="96"/>
      <c r="I576" s="96"/>
      <c r="J576" s="96"/>
      <c r="K576" s="50"/>
      <c r="L576" s="96"/>
      <c r="M576" s="96"/>
      <c r="N576" s="14"/>
      <c r="O576" s="50"/>
      <c r="P576" s="50"/>
      <c r="Q576" s="50"/>
      <c r="R576" s="50"/>
      <c r="S576" s="50"/>
      <c r="T576" s="50"/>
      <c r="U576" s="50"/>
      <c r="V576" s="50"/>
      <c r="W576" s="14"/>
      <c r="X576" s="50"/>
      <c r="Y576" s="179"/>
      <c r="Z576" s="50"/>
      <c r="AA576" s="14"/>
    </row>
    <row r="577">
      <c r="A577" s="14"/>
      <c r="B577" s="14"/>
      <c r="C577" s="158"/>
      <c r="D577" s="96"/>
      <c r="E577" s="96"/>
      <c r="F577" s="96"/>
      <c r="G577" s="50"/>
      <c r="H577" s="96"/>
      <c r="I577" s="96"/>
      <c r="J577" s="96"/>
      <c r="K577" s="50"/>
      <c r="L577" s="96"/>
      <c r="M577" s="96"/>
      <c r="N577" s="14"/>
      <c r="O577" s="50"/>
      <c r="P577" s="50"/>
      <c r="Q577" s="50"/>
      <c r="R577" s="50"/>
      <c r="S577" s="50"/>
      <c r="T577" s="50"/>
      <c r="U577" s="50"/>
      <c r="V577" s="50"/>
      <c r="W577" s="14"/>
      <c r="X577" s="50"/>
      <c r="Y577" s="179"/>
      <c r="Z577" s="50"/>
      <c r="AA577" s="14"/>
    </row>
    <row r="578">
      <c r="A578" s="14"/>
      <c r="B578" s="14"/>
      <c r="C578" s="158"/>
      <c r="D578" s="96"/>
      <c r="E578" s="96"/>
      <c r="F578" s="96"/>
      <c r="G578" s="50"/>
      <c r="H578" s="96"/>
      <c r="I578" s="96"/>
      <c r="J578" s="96"/>
      <c r="K578" s="50"/>
      <c r="L578" s="96"/>
      <c r="M578" s="96"/>
      <c r="N578" s="14"/>
      <c r="O578" s="50"/>
      <c r="P578" s="50"/>
      <c r="Q578" s="50"/>
      <c r="R578" s="50"/>
      <c r="S578" s="50"/>
      <c r="T578" s="50"/>
      <c r="U578" s="50"/>
      <c r="V578" s="50"/>
      <c r="W578" s="14"/>
      <c r="X578" s="50"/>
      <c r="Y578" s="179"/>
      <c r="Z578" s="50"/>
      <c r="AA578" s="14"/>
    </row>
    <row r="579">
      <c r="A579" s="14"/>
      <c r="B579" s="14"/>
      <c r="C579" s="158"/>
      <c r="D579" s="96"/>
      <c r="E579" s="96"/>
      <c r="F579" s="96"/>
      <c r="G579" s="50"/>
      <c r="H579" s="96"/>
      <c r="I579" s="96"/>
      <c r="J579" s="96"/>
      <c r="K579" s="50"/>
      <c r="L579" s="96"/>
      <c r="M579" s="96"/>
      <c r="N579" s="14"/>
      <c r="O579" s="50"/>
      <c r="P579" s="50"/>
      <c r="Q579" s="50"/>
      <c r="R579" s="50"/>
      <c r="S579" s="50"/>
      <c r="T579" s="50"/>
      <c r="U579" s="50"/>
      <c r="V579" s="50"/>
      <c r="W579" s="14"/>
      <c r="X579" s="50"/>
      <c r="Y579" s="179"/>
      <c r="Z579" s="50"/>
      <c r="AA579" s="14"/>
    </row>
    <row r="580">
      <c r="A580" s="14"/>
      <c r="B580" s="14"/>
      <c r="C580" s="158"/>
      <c r="D580" s="96"/>
      <c r="E580" s="96"/>
      <c r="F580" s="96"/>
      <c r="G580" s="50"/>
      <c r="H580" s="96"/>
      <c r="I580" s="96"/>
      <c r="J580" s="96"/>
      <c r="K580" s="50"/>
      <c r="L580" s="96"/>
      <c r="M580" s="96"/>
      <c r="N580" s="14"/>
      <c r="O580" s="50"/>
      <c r="P580" s="50"/>
      <c r="Q580" s="50"/>
      <c r="R580" s="50"/>
      <c r="S580" s="50"/>
      <c r="T580" s="50"/>
      <c r="U580" s="50"/>
      <c r="V580" s="50"/>
      <c r="W580" s="14"/>
      <c r="X580" s="50"/>
      <c r="Y580" s="179"/>
      <c r="Z580" s="50"/>
      <c r="AA580" s="14"/>
    </row>
    <row r="581">
      <c r="A581" s="14"/>
      <c r="B581" s="14"/>
      <c r="C581" s="158"/>
      <c r="D581" s="96"/>
      <c r="E581" s="96"/>
      <c r="F581" s="96"/>
      <c r="G581" s="50"/>
      <c r="H581" s="96"/>
      <c r="I581" s="96"/>
      <c r="J581" s="96"/>
      <c r="K581" s="50"/>
      <c r="L581" s="96"/>
      <c r="M581" s="96"/>
      <c r="N581" s="14"/>
      <c r="O581" s="50"/>
      <c r="P581" s="50"/>
      <c r="Q581" s="50"/>
      <c r="R581" s="50"/>
      <c r="S581" s="50"/>
      <c r="T581" s="50"/>
      <c r="U581" s="50"/>
      <c r="V581" s="50"/>
      <c r="W581" s="14"/>
      <c r="X581" s="50"/>
      <c r="Y581" s="179"/>
      <c r="Z581" s="50"/>
      <c r="AA581" s="14"/>
    </row>
    <row r="582">
      <c r="A582" s="14"/>
      <c r="B582" s="14"/>
      <c r="C582" s="158"/>
      <c r="D582" s="96"/>
      <c r="E582" s="96"/>
      <c r="F582" s="96"/>
      <c r="G582" s="50"/>
      <c r="H582" s="96"/>
      <c r="I582" s="96"/>
      <c r="J582" s="96"/>
      <c r="K582" s="50"/>
      <c r="L582" s="96"/>
      <c r="M582" s="96"/>
      <c r="N582" s="14"/>
      <c r="O582" s="50"/>
      <c r="P582" s="50"/>
      <c r="Q582" s="50"/>
      <c r="R582" s="50"/>
      <c r="S582" s="50"/>
      <c r="T582" s="50"/>
      <c r="U582" s="50"/>
      <c r="V582" s="50"/>
      <c r="W582" s="14"/>
      <c r="X582" s="50"/>
      <c r="Y582" s="179"/>
      <c r="Z582" s="50"/>
      <c r="AA582" s="14"/>
    </row>
    <row r="583">
      <c r="A583" s="14"/>
      <c r="B583" s="14"/>
      <c r="C583" s="158"/>
      <c r="D583" s="96"/>
      <c r="E583" s="96"/>
      <c r="F583" s="96"/>
      <c r="G583" s="50"/>
      <c r="H583" s="96"/>
      <c r="I583" s="96"/>
      <c r="J583" s="96"/>
      <c r="K583" s="50"/>
      <c r="L583" s="96"/>
      <c r="M583" s="96"/>
      <c r="N583" s="14"/>
      <c r="O583" s="50"/>
      <c r="P583" s="50"/>
      <c r="Q583" s="50"/>
      <c r="R583" s="50"/>
      <c r="S583" s="50"/>
      <c r="T583" s="50"/>
      <c r="U583" s="50"/>
      <c r="V583" s="50"/>
      <c r="W583" s="14"/>
      <c r="X583" s="50"/>
      <c r="Y583" s="179"/>
      <c r="Z583" s="50"/>
      <c r="AA583" s="14"/>
    </row>
    <row r="584">
      <c r="A584" s="14"/>
      <c r="B584" s="14"/>
      <c r="C584" s="158"/>
      <c r="D584" s="96"/>
      <c r="E584" s="96"/>
      <c r="F584" s="96"/>
      <c r="G584" s="50"/>
      <c r="H584" s="96"/>
      <c r="I584" s="96"/>
      <c r="J584" s="96"/>
      <c r="K584" s="50"/>
      <c r="L584" s="96"/>
      <c r="M584" s="96"/>
      <c r="N584" s="14"/>
      <c r="O584" s="50"/>
      <c r="P584" s="50"/>
      <c r="Q584" s="50"/>
      <c r="R584" s="50"/>
      <c r="S584" s="50"/>
      <c r="T584" s="50"/>
      <c r="U584" s="50"/>
      <c r="V584" s="50"/>
      <c r="W584" s="14"/>
      <c r="X584" s="50"/>
      <c r="Y584" s="179"/>
      <c r="Z584" s="50"/>
      <c r="AA584" s="14"/>
    </row>
    <row r="585">
      <c r="A585" s="14"/>
      <c r="B585" s="14"/>
      <c r="C585" s="158"/>
      <c r="D585" s="96"/>
      <c r="E585" s="96"/>
      <c r="F585" s="96"/>
      <c r="G585" s="50"/>
      <c r="H585" s="96"/>
      <c r="I585" s="96"/>
      <c r="J585" s="96"/>
      <c r="K585" s="50"/>
      <c r="L585" s="96"/>
      <c r="M585" s="96"/>
      <c r="N585" s="14"/>
      <c r="O585" s="50"/>
      <c r="P585" s="50"/>
      <c r="Q585" s="50"/>
      <c r="R585" s="50"/>
      <c r="S585" s="50"/>
      <c r="T585" s="50"/>
      <c r="U585" s="50"/>
      <c r="V585" s="50"/>
      <c r="W585" s="14"/>
      <c r="X585" s="50"/>
      <c r="Y585" s="179"/>
      <c r="Z585" s="50"/>
      <c r="AA585" s="14"/>
    </row>
    <row r="586">
      <c r="A586" s="14"/>
      <c r="B586" s="14"/>
      <c r="C586" s="158"/>
      <c r="D586" s="96"/>
      <c r="E586" s="96"/>
      <c r="F586" s="96"/>
      <c r="G586" s="50"/>
      <c r="H586" s="96"/>
      <c r="I586" s="96"/>
      <c r="J586" s="96"/>
      <c r="K586" s="50"/>
      <c r="L586" s="96"/>
      <c r="M586" s="96"/>
      <c r="N586" s="14"/>
      <c r="O586" s="50"/>
      <c r="P586" s="50"/>
      <c r="Q586" s="50"/>
      <c r="R586" s="50"/>
      <c r="S586" s="50"/>
      <c r="T586" s="50"/>
      <c r="U586" s="50"/>
      <c r="V586" s="50"/>
      <c r="W586" s="14"/>
      <c r="X586" s="50"/>
      <c r="Y586" s="179"/>
      <c r="Z586" s="50"/>
      <c r="AA586" s="14"/>
    </row>
    <row r="587">
      <c r="A587" s="14"/>
      <c r="B587" s="14"/>
      <c r="C587" s="158"/>
      <c r="D587" s="96"/>
      <c r="E587" s="96"/>
      <c r="F587" s="96"/>
      <c r="G587" s="50"/>
      <c r="H587" s="96"/>
      <c r="I587" s="96"/>
      <c r="J587" s="96"/>
      <c r="K587" s="50"/>
      <c r="L587" s="96"/>
      <c r="M587" s="96"/>
      <c r="N587" s="14"/>
      <c r="O587" s="50"/>
      <c r="P587" s="50"/>
      <c r="Q587" s="50"/>
      <c r="R587" s="50"/>
      <c r="S587" s="50"/>
      <c r="T587" s="50"/>
      <c r="U587" s="50"/>
      <c r="V587" s="50"/>
      <c r="W587" s="14"/>
      <c r="X587" s="50"/>
      <c r="Y587" s="179"/>
      <c r="Z587" s="50"/>
      <c r="AA587" s="14"/>
    </row>
    <row r="588">
      <c r="A588" s="14"/>
      <c r="B588" s="14"/>
      <c r="C588" s="158"/>
      <c r="D588" s="96"/>
      <c r="E588" s="96"/>
      <c r="F588" s="96"/>
      <c r="G588" s="50"/>
      <c r="H588" s="96"/>
      <c r="I588" s="96"/>
      <c r="J588" s="96"/>
      <c r="K588" s="50"/>
      <c r="L588" s="96"/>
      <c r="M588" s="96"/>
      <c r="N588" s="14"/>
      <c r="O588" s="50"/>
      <c r="P588" s="50"/>
      <c r="Q588" s="50"/>
      <c r="R588" s="50"/>
      <c r="S588" s="50"/>
      <c r="T588" s="50"/>
      <c r="U588" s="50"/>
      <c r="V588" s="50"/>
      <c r="W588" s="14"/>
      <c r="X588" s="50"/>
      <c r="Y588" s="179"/>
      <c r="Z588" s="50"/>
      <c r="AA588" s="14"/>
    </row>
    <row r="589">
      <c r="A589" s="14"/>
      <c r="B589" s="14"/>
      <c r="C589" s="158"/>
      <c r="D589" s="96"/>
      <c r="E589" s="96"/>
      <c r="F589" s="96"/>
      <c r="G589" s="50"/>
      <c r="H589" s="96"/>
      <c r="I589" s="96"/>
      <c r="J589" s="96"/>
      <c r="K589" s="50"/>
      <c r="L589" s="96"/>
      <c r="M589" s="96"/>
      <c r="N589" s="14"/>
      <c r="O589" s="50"/>
      <c r="P589" s="50"/>
      <c r="Q589" s="50"/>
      <c r="R589" s="50"/>
      <c r="S589" s="50"/>
      <c r="T589" s="50"/>
      <c r="U589" s="50"/>
      <c r="V589" s="50"/>
      <c r="W589" s="14"/>
      <c r="X589" s="50"/>
      <c r="Y589" s="179"/>
      <c r="Z589" s="50"/>
      <c r="AA589" s="14"/>
    </row>
    <row r="590">
      <c r="A590" s="14"/>
      <c r="B590" s="14"/>
      <c r="C590" s="158"/>
      <c r="D590" s="96"/>
      <c r="E590" s="96"/>
      <c r="F590" s="96"/>
      <c r="G590" s="50"/>
      <c r="H590" s="96"/>
      <c r="I590" s="96"/>
      <c r="J590" s="96"/>
      <c r="K590" s="50"/>
      <c r="L590" s="96"/>
      <c r="M590" s="96"/>
      <c r="N590" s="14"/>
      <c r="O590" s="50"/>
      <c r="P590" s="50"/>
      <c r="Q590" s="50"/>
      <c r="R590" s="50"/>
      <c r="S590" s="50"/>
      <c r="T590" s="50"/>
      <c r="U590" s="50"/>
      <c r="V590" s="50"/>
      <c r="W590" s="14"/>
      <c r="X590" s="50"/>
      <c r="Y590" s="179"/>
      <c r="Z590" s="50"/>
      <c r="AA590" s="14"/>
    </row>
    <row r="591">
      <c r="A591" s="14"/>
      <c r="B591" s="14"/>
      <c r="C591" s="158"/>
      <c r="D591" s="96"/>
      <c r="E591" s="96"/>
      <c r="F591" s="96"/>
      <c r="G591" s="50"/>
      <c r="H591" s="96"/>
      <c r="I591" s="96"/>
      <c r="J591" s="96"/>
      <c r="K591" s="50"/>
      <c r="L591" s="96"/>
      <c r="M591" s="96"/>
      <c r="N591" s="14"/>
      <c r="O591" s="50"/>
      <c r="P591" s="50"/>
      <c r="Q591" s="50"/>
      <c r="R591" s="50"/>
      <c r="S591" s="50"/>
      <c r="T591" s="50"/>
      <c r="U591" s="50"/>
      <c r="V591" s="50"/>
      <c r="W591" s="14"/>
      <c r="X591" s="50"/>
      <c r="Y591" s="179"/>
      <c r="Z591" s="50"/>
      <c r="AA591" s="14"/>
    </row>
    <row r="592">
      <c r="A592" s="14"/>
      <c r="B592" s="14"/>
      <c r="C592" s="158"/>
      <c r="D592" s="96"/>
      <c r="E592" s="96"/>
      <c r="F592" s="96"/>
      <c r="G592" s="50"/>
      <c r="H592" s="96"/>
      <c r="I592" s="96"/>
      <c r="J592" s="96"/>
      <c r="K592" s="50"/>
      <c r="L592" s="96"/>
      <c r="M592" s="96"/>
      <c r="N592" s="14"/>
      <c r="O592" s="50"/>
      <c r="P592" s="50"/>
      <c r="Q592" s="50"/>
      <c r="R592" s="50"/>
      <c r="S592" s="50"/>
      <c r="T592" s="50"/>
      <c r="U592" s="50"/>
      <c r="V592" s="50"/>
      <c r="W592" s="14"/>
      <c r="X592" s="50"/>
      <c r="Y592" s="179"/>
      <c r="Z592" s="50"/>
      <c r="AA592" s="14"/>
    </row>
    <row r="593">
      <c r="A593" s="14"/>
      <c r="B593" s="14"/>
      <c r="C593" s="158"/>
      <c r="D593" s="96"/>
      <c r="E593" s="96"/>
      <c r="F593" s="96"/>
      <c r="G593" s="50"/>
      <c r="H593" s="96"/>
      <c r="I593" s="96"/>
      <c r="J593" s="96"/>
      <c r="K593" s="50"/>
      <c r="L593" s="96"/>
      <c r="M593" s="96"/>
      <c r="N593" s="14"/>
      <c r="O593" s="50"/>
      <c r="P593" s="50"/>
      <c r="Q593" s="50"/>
      <c r="R593" s="50"/>
      <c r="S593" s="50"/>
      <c r="T593" s="50"/>
      <c r="U593" s="50"/>
      <c r="V593" s="50"/>
      <c r="W593" s="14"/>
      <c r="X593" s="50"/>
      <c r="Y593" s="179"/>
      <c r="Z593" s="50"/>
      <c r="AA593" s="14"/>
    </row>
    <row r="594">
      <c r="A594" s="14"/>
      <c r="B594" s="14"/>
      <c r="C594" s="158"/>
      <c r="D594" s="96"/>
      <c r="E594" s="96"/>
      <c r="F594" s="96"/>
      <c r="G594" s="50"/>
      <c r="H594" s="96"/>
      <c r="I594" s="96"/>
      <c r="J594" s="96"/>
      <c r="K594" s="50"/>
      <c r="L594" s="96"/>
      <c r="M594" s="96"/>
      <c r="N594" s="14"/>
      <c r="O594" s="50"/>
      <c r="P594" s="50"/>
      <c r="Q594" s="50"/>
      <c r="R594" s="50"/>
      <c r="S594" s="50"/>
      <c r="T594" s="50"/>
      <c r="U594" s="50"/>
      <c r="V594" s="50"/>
      <c r="W594" s="14"/>
      <c r="X594" s="50"/>
      <c r="Y594" s="179"/>
      <c r="Z594" s="50"/>
      <c r="AA594" s="14"/>
    </row>
    <row r="595">
      <c r="A595" s="14"/>
      <c r="B595" s="14"/>
      <c r="C595" s="158"/>
      <c r="D595" s="96"/>
      <c r="E595" s="96"/>
      <c r="F595" s="96"/>
      <c r="G595" s="50"/>
      <c r="H595" s="96"/>
      <c r="I595" s="96"/>
      <c r="J595" s="96"/>
      <c r="K595" s="50"/>
      <c r="L595" s="96"/>
      <c r="M595" s="96"/>
      <c r="N595" s="14"/>
      <c r="O595" s="50"/>
      <c r="P595" s="50"/>
      <c r="Q595" s="50"/>
      <c r="R595" s="50"/>
      <c r="S595" s="50"/>
      <c r="T595" s="50"/>
      <c r="U595" s="50"/>
      <c r="V595" s="50"/>
      <c r="W595" s="14"/>
      <c r="X595" s="50"/>
      <c r="Y595" s="179"/>
      <c r="Z595" s="50"/>
      <c r="AA595" s="14"/>
    </row>
    <row r="596">
      <c r="A596" s="14"/>
      <c r="B596" s="14"/>
      <c r="C596" s="158"/>
      <c r="D596" s="96"/>
      <c r="E596" s="96"/>
      <c r="F596" s="96"/>
      <c r="G596" s="50"/>
      <c r="H596" s="96"/>
      <c r="I596" s="96"/>
      <c r="J596" s="96"/>
      <c r="K596" s="50"/>
      <c r="L596" s="96"/>
      <c r="M596" s="96"/>
      <c r="N596" s="14"/>
      <c r="O596" s="50"/>
      <c r="P596" s="50"/>
      <c r="Q596" s="50"/>
      <c r="R596" s="50"/>
      <c r="S596" s="50"/>
      <c r="T596" s="50"/>
      <c r="U596" s="50"/>
      <c r="V596" s="50"/>
      <c r="W596" s="14"/>
      <c r="X596" s="50"/>
      <c r="Y596" s="179"/>
      <c r="Z596" s="50"/>
      <c r="AA596" s="14"/>
    </row>
    <row r="597">
      <c r="A597" s="14"/>
      <c r="B597" s="14"/>
      <c r="C597" s="158"/>
      <c r="D597" s="96"/>
      <c r="E597" s="96"/>
      <c r="F597" s="96"/>
      <c r="G597" s="50"/>
      <c r="H597" s="96"/>
      <c r="I597" s="96"/>
      <c r="J597" s="96"/>
      <c r="K597" s="50"/>
      <c r="L597" s="96"/>
      <c r="M597" s="96"/>
      <c r="N597" s="14"/>
      <c r="O597" s="50"/>
      <c r="P597" s="50"/>
      <c r="Q597" s="50"/>
      <c r="R597" s="50"/>
      <c r="S597" s="50"/>
      <c r="T597" s="50"/>
      <c r="U597" s="50"/>
      <c r="V597" s="50"/>
      <c r="W597" s="14"/>
      <c r="X597" s="50"/>
      <c r="Y597" s="179"/>
      <c r="Z597" s="50"/>
      <c r="AA597" s="14"/>
    </row>
    <row r="598">
      <c r="A598" s="14"/>
      <c r="B598" s="14"/>
      <c r="C598" s="158"/>
      <c r="D598" s="96"/>
      <c r="E598" s="96"/>
      <c r="F598" s="96"/>
      <c r="G598" s="50"/>
      <c r="H598" s="96"/>
      <c r="I598" s="96"/>
      <c r="J598" s="96"/>
      <c r="K598" s="50"/>
      <c r="L598" s="96"/>
      <c r="M598" s="96"/>
      <c r="N598" s="14"/>
      <c r="O598" s="50"/>
      <c r="P598" s="50"/>
      <c r="Q598" s="50"/>
      <c r="R598" s="50"/>
      <c r="S598" s="50"/>
      <c r="T598" s="50"/>
      <c r="U598" s="50"/>
      <c r="V598" s="50"/>
      <c r="W598" s="14"/>
      <c r="X598" s="50"/>
      <c r="Y598" s="179"/>
      <c r="Z598" s="50"/>
      <c r="AA598" s="14"/>
    </row>
    <row r="599">
      <c r="A599" s="14"/>
      <c r="B599" s="14"/>
      <c r="C599" s="158"/>
      <c r="D599" s="96"/>
      <c r="E599" s="96"/>
      <c r="F599" s="96"/>
      <c r="G599" s="50"/>
      <c r="H599" s="96"/>
      <c r="I599" s="96"/>
      <c r="J599" s="96"/>
      <c r="K599" s="50"/>
      <c r="L599" s="96"/>
      <c r="M599" s="96"/>
      <c r="N599" s="14"/>
      <c r="O599" s="50"/>
      <c r="P599" s="50"/>
      <c r="Q599" s="50"/>
      <c r="R599" s="50"/>
      <c r="S599" s="50"/>
      <c r="T599" s="50"/>
      <c r="U599" s="50"/>
      <c r="V599" s="50"/>
      <c r="W599" s="14"/>
      <c r="X599" s="50"/>
      <c r="Y599" s="179"/>
      <c r="Z599" s="50"/>
      <c r="AA599" s="14"/>
    </row>
    <row r="600">
      <c r="A600" s="14"/>
      <c r="B600" s="14"/>
      <c r="C600" s="158"/>
      <c r="D600" s="96"/>
      <c r="E600" s="96"/>
      <c r="F600" s="96"/>
      <c r="G600" s="50"/>
      <c r="H600" s="96"/>
      <c r="I600" s="96"/>
      <c r="J600" s="96"/>
      <c r="K600" s="50"/>
      <c r="L600" s="96"/>
      <c r="M600" s="96"/>
      <c r="N600" s="14"/>
      <c r="O600" s="50"/>
      <c r="P600" s="50"/>
      <c r="Q600" s="50"/>
      <c r="R600" s="50"/>
      <c r="S600" s="50"/>
      <c r="T600" s="50"/>
      <c r="U600" s="50"/>
      <c r="V600" s="50"/>
      <c r="W600" s="14"/>
      <c r="X600" s="50"/>
      <c r="Y600" s="179"/>
      <c r="Z600" s="50"/>
      <c r="AA600" s="14"/>
    </row>
    <row r="601">
      <c r="A601" s="14"/>
      <c r="B601" s="14"/>
      <c r="C601" s="158"/>
      <c r="D601" s="96"/>
      <c r="E601" s="96"/>
      <c r="F601" s="96"/>
      <c r="G601" s="50"/>
      <c r="H601" s="96"/>
      <c r="I601" s="96"/>
      <c r="J601" s="96"/>
      <c r="K601" s="50"/>
      <c r="L601" s="96"/>
      <c r="M601" s="96"/>
      <c r="N601" s="14"/>
      <c r="O601" s="50"/>
      <c r="P601" s="50"/>
      <c r="Q601" s="50"/>
      <c r="R601" s="50"/>
      <c r="S601" s="50"/>
      <c r="T601" s="50"/>
      <c r="U601" s="50"/>
      <c r="V601" s="50"/>
      <c r="W601" s="14"/>
      <c r="X601" s="50"/>
      <c r="Y601" s="179"/>
      <c r="Z601" s="50"/>
      <c r="AA601" s="14"/>
    </row>
    <row r="602">
      <c r="A602" s="14"/>
      <c r="B602" s="14"/>
      <c r="C602" s="158"/>
      <c r="D602" s="96"/>
      <c r="E602" s="96"/>
      <c r="F602" s="96"/>
      <c r="G602" s="50"/>
      <c r="H602" s="96"/>
      <c r="I602" s="96"/>
      <c r="J602" s="96"/>
      <c r="K602" s="50"/>
      <c r="L602" s="96"/>
      <c r="M602" s="96"/>
      <c r="N602" s="14"/>
      <c r="O602" s="50"/>
      <c r="P602" s="50"/>
      <c r="Q602" s="50"/>
      <c r="R602" s="50"/>
      <c r="S602" s="50"/>
      <c r="T602" s="50"/>
      <c r="U602" s="50"/>
      <c r="V602" s="50"/>
      <c r="W602" s="14"/>
      <c r="X602" s="50"/>
      <c r="Y602" s="179"/>
      <c r="Z602" s="50"/>
      <c r="AA602" s="14"/>
    </row>
    <row r="603">
      <c r="A603" s="14"/>
      <c r="B603" s="14"/>
      <c r="C603" s="158"/>
      <c r="D603" s="96"/>
      <c r="E603" s="96"/>
      <c r="F603" s="96"/>
      <c r="G603" s="50"/>
      <c r="H603" s="96"/>
      <c r="I603" s="96"/>
      <c r="J603" s="96"/>
      <c r="K603" s="50"/>
      <c r="L603" s="96"/>
      <c r="M603" s="96"/>
      <c r="N603" s="14"/>
      <c r="O603" s="50"/>
      <c r="P603" s="50"/>
      <c r="Q603" s="50"/>
      <c r="R603" s="50"/>
      <c r="S603" s="50"/>
      <c r="T603" s="50"/>
      <c r="U603" s="50"/>
      <c r="V603" s="50"/>
      <c r="W603" s="14"/>
      <c r="X603" s="50"/>
      <c r="Y603" s="179"/>
      <c r="Z603" s="50"/>
      <c r="AA603" s="14"/>
    </row>
    <row r="604">
      <c r="A604" s="14"/>
      <c r="B604" s="14"/>
      <c r="C604" s="158"/>
      <c r="D604" s="96"/>
      <c r="E604" s="96"/>
      <c r="F604" s="96"/>
      <c r="G604" s="50"/>
      <c r="H604" s="96"/>
      <c r="I604" s="96"/>
      <c r="J604" s="96"/>
      <c r="K604" s="50"/>
      <c r="L604" s="96"/>
      <c r="M604" s="96"/>
      <c r="N604" s="14"/>
      <c r="O604" s="50"/>
      <c r="P604" s="50"/>
      <c r="Q604" s="50"/>
      <c r="R604" s="50"/>
      <c r="S604" s="50"/>
      <c r="T604" s="50"/>
      <c r="U604" s="50"/>
      <c r="V604" s="50"/>
      <c r="W604" s="14"/>
      <c r="X604" s="50"/>
      <c r="Y604" s="179"/>
      <c r="Z604" s="50"/>
      <c r="AA604" s="14"/>
    </row>
    <row r="605">
      <c r="A605" s="14"/>
      <c r="B605" s="14"/>
      <c r="C605" s="158"/>
      <c r="D605" s="96"/>
      <c r="E605" s="96"/>
      <c r="F605" s="96"/>
      <c r="G605" s="50"/>
      <c r="H605" s="96"/>
      <c r="I605" s="96"/>
      <c r="J605" s="96"/>
      <c r="K605" s="50"/>
      <c r="L605" s="96"/>
      <c r="M605" s="96"/>
      <c r="N605" s="14"/>
      <c r="O605" s="50"/>
      <c r="P605" s="50"/>
      <c r="Q605" s="50"/>
      <c r="R605" s="50"/>
      <c r="S605" s="50"/>
      <c r="T605" s="50"/>
      <c r="U605" s="50"/>
      <c r="V605" s="50"/>
      <c r="W605" s="14"/>
      <c r="X605" s="50"/>
      <c r="Y605" s="179"/>
      <c r="Z605" s="50"/>
      <c r="AA605" s="14"/>
    </row>
    <row r="606">
      <c r="A606" s="14"/>
      <c r="B606" s="14"/>
      <c r="C606" s="158"/>
      <c r="D606" s="96"/>
      <c r="E606" s="96"/>
      <c r="F606" s="96"/>
      <c r="G606" s="50"/>
      <c r="H606" s="96"/>
      <c r="I606" s="96"/>
      <c r="J606" s="96"/>
      <c r="K606" s="50"/>
      <c r="L606" s="96"/>
      <c r="M606" s="96"/>
      <c r="N606" s="14"/>
      <c r="O606" s="50"/>
      <c r="P606" s="50"/>
      <c r="Q606" s="50"/>
      <c r="R606" s="50"/>
      <c r="S606" s="50"/>
      <c r="T606" s="50"/>
      <c r="U606" s="50"/>
      <c r="V606" s="50"/>
      <c r="W606" s="14"/>
      <c r="X606" s="50"/>
      <c r="Y606" s="179"/>
      <c r="Z606" s="50"/>
      <c r="AA606" s="14"/>
    </row>
    <row r="607">
      <c r="A607" s="14"/>
      <c r="B607" s="14"/>
      <c r="C607" s="158"/>
      <c r="D607" s="96"/>
      <c r="E607" s="96"/>
      <c r="F607" s="96"/>
      <c r="G607" s="50"/>
      <c r="H607" s="96"/>
      <c r="I607" s="96"/>
      <c r="J607" s="96"/>
      <c r="K607" s="50"/>
      <c r="L607" s="96"/>
      <c r="M607" s="96"/>
      <c r="N607" s="14"/>
      <c r="O607" s="50"/>
      <c r="P607" s="50"/>
      <c r="Q607" s="50"/>
      <c r="R607" s="50"/>
      <c r="S607" s="50"/>
      <c r="T607" s="50"/>
      <c r="U607" s="50"/>
      <c r="V607" s="50"/>
      <c r="W607" s="14"/>
      <c r="X607" s="50"/>
      <c r="Y607" s="179"/>
      <c r="Z607" s="50"/>
      <c r="AA607" s="14"/>
    </row>
    <row r="608">
      <c r="A608" s="14"/>
      <c r="B608" s="14"/>
      <c r="C608" s="158"/>
      <c r="D608" s="96"/>
      <c r="E608" s="96"/>
      <c r="F608" s="96"/>
      <c r="G608" s="50"/>
      <c r="H608" s="96"/>
      <c r="I608" s="96"/>
      <c r="J608" s="96"/>
      <c r="K608" s="50"/>
      <c r="L608" s="96"/>
      <c r="M608" s="96"/>
      <c r="N608" s="14"/>
      <c r="O608" s="50"/>
      <c r="P608" s="50"/>
      <c r="Q608" s="50"/>
      <c r="R608" s="50"/>
      <c r="S608" s="50"/>
      <c r="T608" s="50"/>
      <c r="U608" s="50"/>
      <c r="V608" s="50"/>
      <c r="W608" s="14"/>
      <c r="X608" s="50"/>
      <c r="Y608" s="179"/>
      <c r="Z608" s="50"/>
      <c r="AA608" s="14"/>
    </row>
    <row r="609">
      <c r="A609" s="14"/>
      <c r="B609" s="14"/>
      <c r="C609" s="158"/>
      <c r="D609" s="96"/>
      <c r="E609" s="96"/>
      <c r="F609" s="96"/>
      <c r="G609" s="50"/>
      <c r="H609" s="96"/>
      <c r="I609" s="96"/>
      <c r="J609" s="96"/>
      <c r="K609" s="50"/>
      <c r="L609" s="96"/>
      <c r="M609" s="96"/>
      <c r="N609" s="14"/>
      <c r="O609" s="50"/>
      <c r="P609" s="50"/>
      <c r="Q609" s="50"/>
      <c r="R609" s="50"/>
      <c r="S609" s="50"/>
      <c r="T609" s="50"/>
      <c r="U609" s="50"/>
      <c r="V609" s="50"/>
      <c r="W609" s="14"/>
      <c r="X609" s="50"/>
      <c r="Y609" s="179"/>
      <c r="Z609" s="50"/>
      <c r="AA609" s="14"/>
    </row>
    <row r="610">
      <c r="A610" s="14"/>
      <c r="B610" s="14"/>
      <c r="C610" s="158"/>
      <c r="D610" s="96"/>
      <c r="E610" s="96"/>
      <c r="F610" s="96"/>
      <c r="G610" s="50"/>
      <c r="H610" s="96"/>
      <c r="I610" s="96"/>
      <c r="J610" s="96"/>
      <c r="K610" s="50"/>
      <c r="L610" s="96"/>
      <c r="M610" s="96"/>
      <c r="N610" s="14"/>
      <c r="O610" s="50"/>
      <c r="P610" s="50"/>
      <c r="Q610" s="50"/>
      <c r="R610" s="50"/>
      <c r="S610" s="50"/>
      <c r="T610" s="50"/>
      <c r="U610" s="50"/>
      <c r="V610" s="50"/>
      <c r="W610" s="14"/>
      <c r="X610" s="50"/>
      <c r="Y610" s="179"/>
      <c r="Z610" s="50"/>
      <c r="AA610" s="14"/>
    </row>
    <row r="611">
      <c r="A611" s="14"/>
      <c r="B611" s="14"/>
      <c r="C611" s="158"/>
      <c r="D611" s="96"/>
      <c r="E611" s="96"/>
      <c r="F611" s="96"/>
      <c r="G611" s="50"/>
      <c r="H611" s="96"/>
      <c r="I611" s="96"/>
      <c r="J611" s="96"/>
      <c r="K611" s="50"/>
      <c r="L611" s="96"/>
      <c r="M611" s="96"/>
      <c r="N611" s="14"/>
      <c r="O611" s="50"/>
      <c r="P611" s="50"/>
      <c r="Q611" s="50"/>
      <c r="R611" s="50"/>
      <c r="S611" s="50"/>
      <c r="T611" s="50"/>
      <c r="U611" s="50"/>
      <c r="V611" s="50"/>
      <c r="W611" s="14"/>
      <c r="X611" s="50"/>
      <c r="Y611" s="179"/>
      <c r="Z611" s="50"/>
      <c r="AA611" s="14"/>
    </row>
    <row r="612">
      <c r="A612" s="14"/>
      <c r="B612" s="14"/>
      <c r="C612" s="158"/>
      <c r="D612" s="96"/>
      <c r="E612" s="96"/>
      <c r="F612" s="96"/>
      <c r="G612" s="50"/>
      <c r="H612" s="96"/>
      <c r="I612" s="96"/>
      <c r="J612" s="96"/>
      <c r="K612" s="50"/>
      <c r="L612" s="96"/>
      <c r="M612" s="96"/>
      <c r="N612" s="14"/>
      <c r="O612" s="50"/>
      <c r="P612" s="50"/>
      <c r="Q612" s="50"/>
      <c r="R612" s="50"/>
      <c r="S612" s="50"/>
      <c r="T612" s="50"/>
      <c r="U612" s="50"/>
      <c r="V612" s="50"/>
      <c r="W612" s="14"/>
      <c r="X612" s="50"/>
      <c r="Y612" s="179"/>
      <c r="Z612" s="50"/>
      <c r="AA612" s="14"/>
    </row>
    <row r="613">
      <c r="A613" s="14"/>
      <c r="B613" s="14"/>
      <c r="C613" s="158"/>
      <c r="D613" s="96"/>
      <c r="E613" s="96"/>
      <c r="F613" s="96"/>
      <c r="G613" s="50"/>
      <c r="H613" s="96"/>
      <c r="I613" s="96"/>
      <c r="J613" s="96"/>
      <c r="K613" s="50"/>
      <c r="L613" s="96"/>
      <c r="M613" s="96"/>
      <c r="N613" s="14"/>
      <c r="O613" s="50"/>
      <c r="P613" s="50"/>
      <c r="Q613" s="50"/>
      <c r="R613" s="50"/>
      <c r="S613" s="50"/>
      <c r="T613" s="50"/>
      <c r="U613" s="50"/>
      <c r="V613" s="50"/>
      <c r="W613" s="14"/>
      <c r="X613" s="50"/>
      <c r="Y613" s="179"/>
      <c r="Z613" s="50"/>
      <c r="AA613" s="14"/>
    </row>
    <row r="614">
      <c r="A614" s="14"/>
      <c r="B614" s="14"/>
      <c r="C614" s="158"/>
      <c r="D614" s="96"/>
      <c r="E614" s="96"/>
      <c r="F614" s="96"/>
      <c r="G614" s="50"/>
      <c r="H614" s="96"/>
      <c r="I614" s="96"/>
      <c r="J614" s="96"/>
      <c r="K614" s="50"/>
      <c r="L614" s="96"/>
      <c r="M614" s="96"/>
      <c r="N614" s="14"/>
      <c r="O614" s="50"/>
      <c r="P614" s="50"/>
      <c r="Q614" s="50"/>
      <c r="R614" s="50"/>
      <c r="S614" s="50"/>
      <c r="T614" s="50"/>
      <c r="U614" s="50"/>
      <c r="V614" s="50"/>
      <c r="W614" s="14"/>
      <c r="X614" s="50"/>
      <c r="Y614" s="179"/>
      <c r="Z614" s="50"/>
      <c r="AA614" s="14"/>
    </row>
    <row r="615">
      <c r="A615" s="14"/>
      <c r="B615" s="14"/>
      <c r="C615" s="158"/>
      <c r="D615" s="96"/>
      <c r="E615" s="96"/>
      <c r="F615" s="96"/>
      <c r="G615" s="50"/>
      <c r="H615" s="96"/>
      <c r="I615" s="96"/>
      <c r="J615" s="96"/>
      <c r="K615" s="50"/>
      <c r="L615" s="96"/>
      <c r="M615" s="96"/>
      <c r="N615" s="14"/>
      <c r="O615" s="50"/>
      <c r="P615" s="50"/>
      <c r="Q615" s="50"/>
      <c r="R615" s="50"/>
      <c r="S615" s="50"/>
      <c r="T615" s="50"/>
      <c r="U615" s="50"/>
      <c r="V615" s="50"/>
      <c r="W615" s="14"/>
      <c r="X615" s="50"/>
      <c r="Y615" s="179"/>
      <c r="Z615" s="50"/>
      <c r="AA615" s="14"/>
    </row>
    <row r="616">
      <c r="A616" s="14"/>
      <c r="B616" s="14"/>
      <c r="C616" s="158"/>
      <c r="D616" s="96"/>
      <c r="E616" s="96"/>
      <c r="F616" s="96"/>
      <c r="G616" s="50"/>
      <c r="H616" s="96"/>
      <c r="I616" s="96"/>
      <c r="J616" s="96"/>
      <c r="K616" s="50"/>
      <c r="L616" s="96"/>
      <c r="M616" s="96"/>
      <c r="N616" s="14"/>
      <c r="O616" s="50"/>
      <c r="P616" s="50"/>
      <c r="Q616" s="50"/>
      <c r="R616" s="50"/>
      <c r="S616" s="50"/>
      <c r="T616" s="50"/>
      <c r="U616" s="50"/>
      <c r="V616" s="50"/>
      <c r="W616" s="14"/>
      <c r="X616" s="50"/>
      <c r="Y616" s="179"/>
      <c r="Z616" s="50"/>
      <c r="AA616" s="14"/>
    </row>
    <row r="617">
      <c r="A617" s="14"/>
      <c r="B617" s="14"/>
      <c r="C617" s="158"/>
      <c r="D617" s="96"/>
      <c r="E617" s="96"/>
      <c r="F617" s="96"/>
      <c r="G617" s="50"/>
      <c r="H617" s="96"/>
      <c r="I617" s="96"/>
      <c r="J617" s="96"/>
      <c r="K617" s="50"/>
      <c r="L617" s="96"/>
      <c r="M617" s="96"/>
      <c r="N617" s="14"/>
      <c r="O617" s="50"/>
      <c r="P617" s="50"/>
      <c r="Q617" s="50"/>
      <c r="R617" s="50"/>
      <c r="S617" s="50"/>
      <c r="T617" s="50"/>
      <c r="U617" s="50"/>
      <c r="V617" s="50"/>
      <c r="W617" s="14"/>
      <c r="X617" s="50"/>
      <c r="Y617" s="179"/>
      <c r="Z617" s="50"/>
      <c r="AA617" s="14"/>
    </row>
    <row r="618">
      <c r="A618" s="14"/>
      <c r="B618" s="14"/>
      <c r="C618" s="158"/>
      <c r="D618" s="96"/>
      <c r="E618" s="96"/>
      <c r="F618" s="96"/>
      <c r="G618" s="50"/>
      <c r="H618" s="96"/>
      <c r="I618" s="96"/>
      <c r="J618" s="96"/>
      <c r="K618" s="50"/>
      <c r="L618" s="96"/>
      <c r="M618" s="96"/>
      <c r="N618" s="14"/>
      <c r="O618" s="50"/>
      <c r="P618" s="50"/>
      <c r="Q618" s="50"/>
      <c r="R618" s="50"/>
      <c r="S618" s="50"/>
      <c r="T618" s="50"/>
      <c r="U618" s="50"/>
      <c r="V618" s="50"/>
      <c r="W618" s="14"/>
      <c r="X618" s="50"/>
      <c r="Y618" s="179"/>
      <c r="Z618" s="50"/>
      <c r="AA618" s="14"/>
    </row>
    <row r="619">
      <c r="A619" s="14"/>
      <c r="B619" s="14"/>
      <c r="C619" s="158"/>
      <c r="D619" s="96"/>
      <c r="E619" s="96"/>
      <c r="F619" s="96"/>
      <c r="G619" s="50"/>
      <c r="H619" s="96"/>
      <c r="I619" s="96"/>
      <c r="J619" s="96"/>
      <c r="K619" s="50"/>
      <c r="L619" s="96"/>
      <c r="M619" s="96"/>
      <c r="N619" s="14"/>
      <c r="O619" s="50"/>
      <c r="P619" s="50"/>
      <c r="Q619" s="50"/>
      <c r="R619" s="50"/>
      <c r="S619" s="50"/>
      <c r="T619" s="50"/>
      <c r="U619" s="50"/>
      <c r="V619" s="50"/>
      <c r="W619" s="14"/>
      <c r="X619" s="50"/>
      <c r="Y619" s="179"/>
      <c r="Z619" s="50"/>
      <c r="AA619" s="14"/>
    </row>
    <row r="620">
      <c r="A620" s="14"/>
      <c r="B620" s="14"/>
      <c r="C620" s="158"/>
      <c r="D620" s="96"/>
      <c r="E620" s="96"/>
      <c r="F620" s="96"/>
      <c r="G620" s="50"/>
      <c r="H620" s="96"/>
      <c r="I620" s="96"/>
      <c r="J620" s="96"/>
      <c r="K620" s="50"/>
      <c r="L620" s="96"/>
      <c r="M620" s="96"/>
      <c r="N620" s="14"/>
      <c r="O620" s="50"/>
      <c r="P620" s="50"/>
      <c r="Q620" s="50"/>
      <c r="R620" s="50"/>
      <c r="S620" s="50"/>
      <c r="T620" s="50"/>
      <c r="U620" s="50"/>
      <c r="V620" s="50"/>
      <c r="W620" s="14"/>
      <c r="X620" s="50"/>
      <c r="Y620" s="179"/>
      <c r="Z620" s="50"/>
      <c r="AA620" s="14"/>
    </row>
    <row r="621">
      <c r="A621" s="14"/>
      <c r="B621" s="14"/>
      <c r="C621" s="158"/>
      <c r="D621" s="96"/>
      <c r="E621" s="96"/>
      <c r="F621" s="96"/>
      <c r="G621" s="50"/>
      <c r="H621" s="96"/>
      <c r="I621" s="96"/>
      <c r="J621" s="96"/>
      <c r="K621" s="50"/>
      <c r="L621" s="96"/>
      <c r="M621" s="96"/>
      <c r="N621" s="14"/>
      <c r="O621" s="50"/>
      <c r="P621" s="50"/>
      <c r="Q621" s="50"/>
      <c r="R621" s="50"/>
      <c r="S621" s="50"/>
      <c r="T621" s="50"/>
      <c r="U621" s="50"/>
      <c r="V621" s="50"/>
      <c r="W621" s="14"/>
      <c r="X621" s="50"/>
      <c r="Y621" s="179"/>
      <c r="Z621" s="50"/>
      <c r="AA621" s="14"/>
    </row>
    <row r="622">
      <c r="A622" s="14"/>
      <c r="B622" s="14"/>
      <c r="C622" s="158"/>
      <c r="D622" s="96"/>
      <c r="E622" s="96"/>
      <c r="F622" s="96"/>
      <c r="G622" s="50"/>
      <c r="H622" s="96"/>
      <c r="I622" s="96"/>
      <c r="J622" s="96"/>
      <c r="K622" s="50"/>
      <c r="L622" s="96"/>
      <c r="M622" s="96"/>
      <c r="N622" s="14"/>
      <c r="O622" s="50"/>
      <c r="P622" s="50"/>
      <c r="Q622" s="50"/>
      <c r="R622" s="50"/>
      <c r="S622" s="50"/>
      <c r="T622" s="50"/>
      <c r="U622" s="50"/>
      <c r="V622" s="50"/>
      <c r="W622" s="14"/>
      <c r="X622" s="50"/>
      <c r="Y622" s="179"/>
      <c r="Z622" s="50"/>
      <c r="AA622" s="14"/>
    </row>
    <row r="623">
      <c r="A623" s="14"/>
      <c r="B623" s="14"/>
      <c r="C623" s="158"/>
      <c r="D623" s="96"/>
      <c r="E623" s="96"/>
      <c r="F623" s="96"/>
      <c r="G623" s="50"/>
      <c r="H623" s="96"/>
      <c r="I623" s="96"/>
      <c r="J623" s="96"/>
      <c r="K623" s="50"/>
      <c r="L623" s="96"/>
      <c r="M623" s="96"/>
      <c r="N623" s="14"/>
      <c r="O623" s="50"/>
      <c r="P623" s="50"/>
      <c r="Q623" s="50"/>
      <c r="R623" s="50"/>
      <c r="S623" s="50"/>
      <c r="T623" s="50"/>
      <c r="U623" s="50"/>
      <c r="V623" s="50"/>
      <c r="W623" s="14"/>
      <c r="X623" s="50"/>
      <c r="Y623" s="179"/>
      <c r="Z623" s="50"/>
      <c r="AA623" s="14"/>
    </row>
    <row r="624">
      <c r="A624" s="14"/>
      <c r="B624" s="14"/>
      <c r="C624" s="158"/>
      <c r="D624" s="96"/>
      <c r="E624" s="96"/>
      <c r="F624" s="96"/>
      <c r="G624" s="50"/>
      <c r="H624" s="96"/>
      <c r="I624" s="96"/>
      <c r="J624" s="96"/>
      <c r="K624" s="50"/>
      <c r="L624" s="96"/>
      <c r="M624" s="96"/>
      <c r="N624" s="14"/>
      <c r="O624" s="50"/>
      <c r="P624" s="50"/>
      <c r="Q624" s="50"/>
      <c r="R624" s="50"/>
      <c r="S624" s="50"/>
      <c r="T624" s="50"/>
      <c r="U624" s="50"/>
      <c r="V624" s="50"/>
      <c r="W624" s="14"/>
      <c r="X624" s="50"/>
      <c r="Y624" s="179"/>
      <c r="Z624" s="50"/>
      <c r="AA624" s="14"/>
    </row>
    <row r="625">
      <c r="A625" s="14"/>
      <c r="B625" s="14"/>
      <c r="C625" s="158"/>
      <c r="D625" s="96"/>
      <c r="E625" s="96"/>
      <c r="F625" s="96"/>
      <c r="G625" s="50"/>
      <c r="H625" s="96"/>
      <c r="I625" s="96"/>
      <c r="J625" s="96"/>
      <c r="K625" s="50"/>
      <c r="L625" s="96"/>
      <c r="M625" s="96"/>
      <c r="N625" s="14"/>
      <c r="O625" s="50"/>
      <c r="P625" s="50"/>
      <c r="Q625" s="50"/>
      <c r="R625" s="50"/>
      <c r="S625" s="50"/>
      <c r="T625" s="50"/>
      <c r="U625" s="50"/>
      <c r="V625" s="50"/>
      <c r="W625" s="14"/>
      <c r="X625" s="50"/>
      <c r="Y625" s="179"/>
      <c r="Z625" s="50"/>
      <c r="AA625" s="14"/>
    </row>
    <row r="626">
      <c r="A626" s="14"/>
      <c r="B626" s="14"/>
      <c r="C626" s="158"/>
      <c r="D626" s="96"/>
      <c r="E626" s="96"/>
      <c r="F626" s="96"/>
      <c r="G626" s="50"/>
      <c r="H626" s="96"/>
      <c r="I626" s="96"/>
      <c r="J626" s="96"/>
      <c r="K626" s="50"/>
      <c r="L626" s="96"/>
      <c r="M626" s="96"/>
      <c r="N626" s="14"/>
      <c r="O626" s="50"/>
      <c r="P626" s="50"/>
      <c r="Q626" s="50"/>
      <c r="R626" s="50"/>
      <c r="S626" s="50"/>
      <c r="T626" s="50"/>
      <c r="U626" s="50"/>
      <c r="V626" s="50"/>
      <c r="W626" s="14"/>
      <c r="X626" s="50"/>
      <c r="Y626" s="179"/>
      <c r="Z626" s="50"/>
      <c r="AA626" s="14"/>
    </row>
    <row r="627">
      <c r="A627" s="14"/>
      <c r="B627" s="14"/>
      <c r="C627" s="158"/>
      <c r="D627" s="96"/>
      <c r="E627" s="96"/>
      <c r="F627" s="96"/>
      <c r="G627" s="50"/>
      <c r="H627" s="96"/>
      <c r="I627" s="96"/>
      <c r="J627" s="96"/>
      <c r="K627" s="50"/>
      <c r="L627" s="96"/>
      <c r="M627" s="96"/>
      <c r="N627" s="14"/>
      <c r="O627" s="50"/>
      <c r="P627" s="50"/>
      <c r="Q627" s="50"/>
      <c r="R627" s="50"/>
      <c r="S627" s="50"/>
      <c r="T627" s="50"/>
      <c r="U627" s="50"/>
      <c r="V627" s="50"/>
      <c r="W627" s="14"/>
      <c r="X627" s="50"/>
      <c r="Y627" s="179"/>
      <c r="Z627" s="50"/>
      <c r="AA627" s="14"/>
    </row>
    <row r="628">
      <c r="A628" s="14"/>
      <c r="B628" s="14"/>
      <c r="C628" s="158"/>
      <c r="D628" s="96"/>
      <c r="E628" s="96"/>
      <c r="F628" s="96"/>
      <c r="G628" s="50"/>
      <c r="H628" s="96"/>
      <c r="I628" s="96"/>
      <c r="J628" s="96"/>
      <c r="K628" s="50"/>
      <c r="L628" s="96"/>
      <c r="M628" s="96"/>
      <c r="N628" s="14"/>
      <c r="O628" s="50"/>
      <c r="P628" s="50"/>
      <c r="Q628" s="50"/>
      <c r="R628" s="50"/>
      <c r="S628" s="50"/>
      <c r="T628" s="50"/>
      <c r="U628" s="50"/>
      <c r="V628" s="50"/>
      <c r="W628" s="14"/>
      <c r="X628" s="50"/>
      <c r="Y628" s="179"/>
      <c r="Z628" s="50"/>
      <c r="AA628" s="14"/>
    </row>
    <row r="629">
      <c r="A629" s="14"/>
      <c r="B629" s="14"/>
      <c r="C629" s="158"/>
      <c r="D629" s="96"/>
      <c r="E629" s="96"/>
      <c r="F629" s="96"/>
      <c r="G629" s="50"/>
      <c r="H629" s="96"/>
      <c r="I629" s="96"/>
      <c r="J629" s="96"/>
      <c r="K629" s="50"/>
      <c r="L629" s="96"/>
      <c r="M629" s="96"/>
      <c r="N629" s="14"/>
      <c r="O629" s="50"/>
      <c r="P629" s="50"/>
      <c r="Q629" s="50"/>
      <c r="R629" s="50"/>
      <c r="S629" s="50"/>
      <c r="T629" s="50"/>
      <c r="U629" s="50"/>
      <c r="V629" s="50"/>
      <c r="W629" s="14"/>
      <c r="X629" s="50"/>
      <c r="Y629" s="179"/>
      <c r="Z629" s="50"/>
      <c r="AA629" s="14"/>
    </row>
    <row r="630">
      <c r="A630" s="14"/>
      <c r="B630" s="14"/>
      <c r="C630" s="158"/>
      <c r="D630" s="96"/>
      <c r="E630" s="96"/>
      <c r="F630" s="96"/>
      <c r="G630" s="50"/>
      <c r="H630" s="96"/>
      <c r="I630" s="96"/>
      <c r="J630" s="96"/>
      <c r="K630" s="50"/>
      <c r="L630" s="96"/>
      <c r="M630" s="96"/>
      <c r="N630" s="14"/>
      <c r="O630" s="50"/>
      <c r="P630" s="50"/>
      <c r="Q630" s="50"/>
      <c r="R630" s="50"/>
      <c r="S630" s="50"/>
      <c r="T630" s="50"/>
      <c r="U630" s="50"/>
      <c r="V630" s="50"/>
      <c r="W630" s="14"/>
      <c r="X630" s="50"/>
      <c r="Y630" s="179"/>
      <c r="Z630" s="50"/>
      <c r="AA630" s="14"/>
    </row>
    <row r="631">
      <c r="A631" s="14"/>
      <c r="B631" s="14"/>
      <c r="C631" s="158"/>
      <c r="D631" s="96"/>
      <c r="E631" s="96"/>
      <c r="F631" s="96"/>
      <c r="G631" s="50"/>
      <c r="H631" s="96"/>
      <c r="I631" s="96"/>
      <c r="J631" s="96"/>
      <c r="K631" s="50"/>
      <c r="L631" s="96"/>
      <c r="M631" s="96"/>
      <c r="N631" s="14"/>
      <c r="O631" s="50"/>
      <c r="P631" s="50"/>
      <c r="Q631" s="50"/>
      <c r="R631" s="50"/>
      <c r="S631" s="50"/>
      <c r="T631" s="50"/>
      <c r="U631" s="50"/>
      <c r="V631" s="50"/>
      <c r="W631" s="14"/>
      <c r="X631" s="50"/>
      <c r="Y631" s="179"/>
      <c r="Z631" s="50"/>
      <c r="AA631" s="14"/>
    </row>
    <row r="632">
      <c r="A632" s="14"/>
      <c r="B632" s="14"/>
      <c r="C632" s="158"/>
      <c r="D632" s="96"/>
      <c r="E632" s="96"/>
      <c r="F632" s="96"/>
      <c r="G632" s="50"/>
      <c r="H632" s="96"/>
      <c r="I632" s="96"/>
      <c r="J632" s="96"/>
      <c r="K632" s="50"/>
      <c r="L632" s="96"/>
      <c r="M632" s="96"/>
      <c r="N632" s="14"/>
      <c r="O632" s="50"/>
      <c r="P632" s="50"/>
      <c r="Q632" s="50"/>
      <c r="R632" s="50"/>
      <c r="S632" s="50"/>
      <c r="T632" s="50"/>
      <c r="U632" s="50"/>
      <c r="V632" s="50"/>
      <c r="W632" s="14"/>
      <c r="X632" s="50"/>
      <c r="Y632" s="179"/>
      <c r="Z632" s="50"/>
      <c r="AA632" s="14"/>
    </row>
    <row r="633">
      <c r="A633" s="14"/>
      <c r="B633" s="14"/>
      <c r="C633" s="158"/>
      <c r="D633" s="96"/>
      <c r="E633" s="96"/>
      <c r="F633" s="96"/>
      <c r="G633" s="50"/>
      <c r="H633" s="96"/>
      <c r="I633" s="96"/>
      <c r="J633" s="96"/>
      <c r="K633" s="50"/>
      <c r="L633" s="96"/>
      <c r="M633" s="96"/>
      <c r="N633" s="14"/>
      <c r="O633" s="50"/>
      <c r="P633" s="50"/>
      <c r="Q633" s="50"/>
      <c r="R633" s="50"/>
      <c r="S633" s="50"/>
      <c r="T633" s="50"/>
      <c r="U633" s="50"/>
      <c r="V633" s="50"/>
      <c r="W633" s="14"/>
      <c r="X633" s="50"/>
      <c r="Y633" s="179"/>
      <c r="Z633" s="50"/>
      <c r="AA633" s="14"/>
    </row>
    <row r="634">
      <c r="A634" s="14"/>
      <c r="B634" s="14"/>
      <c r="C634" s="158"/>
      <c r="D634" s="96"/>
      <c r="E634" s="96"/>
      <c r="F634" s="96"/>
      <c r="G634" s="50"/>
      <c r="H634" s="96"/>
      <c r="I634" s="96"/>
      <c r="J634" s="96"/>
      <c r="K634" s="50"/>
      <c r="L634" s="96"/>
      <c r="M634" s="96"/>
      <c r="N634" s="14"/>
      <c r="O634" s="50"/>
      <c r="P634" s="50"/>
      <c r="Q634" s="50"/>
      <c r="R634" s="50"/>
      <c r="S634" s="50"/>
      <c r="T634" s="50"/>
      <c r="U634" s="50"/>
      <c r="V634" s="50"/>
      <c r="W634" s="14"/>
      <c r="X634" s="50"/>
      <c r="Y634" s="179"/>
      <c r="Z634" s="50"/>
      <c r="AA634" s="14"/>
    </row>
    <row r="635">
      <c r="A635" s="14"/>
      <c r="B635" s="14"/>
      <c r="C635" s="158"/>
      <c r="D635" s="96"/>
      <c r="E635" s="96"/>
      <c r="F635" s="96"/>
      <c r="G635" s="50"/>
      <c r="H635" s="96"/>
      <c r="I635" s="96"/>
      <c r="J635" s="96"/>
      <c r="K635" s="50"/>
      <c r="L635" s="96"/>
      <c r="M635" s="96"/>
      <c r="N635" s="14"/>
      <c r="O635" s="50"/>
      <c r="P635" s="50"/>
      <c r="Q635" s="50"/>
      <c r="R635" s="50"/>
      <c r="S635" s="50"/>
      <c r="T635" s="50"/>
      <c r="U635" s="50"/>
      <c r="V635" s="50"/>
      <c r="W635" s="14"/>
      <c r="X635" s="50"/>
      <c r="Y635" s="179"/>
      <c r="Z635" s="50"/>
      <c r="AA635" s="14"/>
    </row>
    <row r="636">
      <c r="A636" s="14"/>
      <c r="B636" s="14"/>
      <c r="C636" s="158"/>
      <c r="D636" s="96"/>
      <c r="E636" s="96"/>
      <c r="F636" s="96"/>
      <c r="G636" s="50"/>
      <c r="H636" s="96"/>
      <c r="I636" s="96"/>
      <c r="J636" s="96"/>
      <c r="K636" s="50"/>
      <c r="L636" s="96"/>
      <c r="M636" s="96"/>
      <c r="N636" s="14"/>
      <c r="O636" s="50"/>
      <c r="P636" s="50"/>
      <c r="Q636" s="50"/>
      <c r="R636" s="50"/>
      <c r="S636" s="50"/>
      <c r="T636" s="50"/>
      <c r="U636" s="50"/>
      <c r="V636" s="50"/>
      <c r="W636" s="14"/>
      <c r="X636" s="50"/>
      <c r="Y636" s="179"/>
      <c r="Z636" s="50"/>
      <c r="AA636" s="14"/>
    </row>
    <row r="637">
      <c r="A637" s="14"/>
      <c r="B637" s="14"/>
      <c r="C637" s="158"/>
      <c r="D637" s="96"/>
      <c r="E637" s="96"/>
      <c r="F637" s="96"/>
      <c r="G637" s="50"/>
      <c r="H637" s="96"/>
      <c r="I637" s="96"/>
      <c r="J637" s="96"/>
      <c r="K637" s="50"/>
      <c r="L637" s="96"/>
      <c r="M637" s="96"/>
      <c r="N637" s="14"/>
      <c r="O637" s="50"/>
      <c r="P637" s="50"/>
      <c r="Q637" s="50"/>
      <c r="R637" s="50"/>
      <c r="S637" s="50"/>
      <c r="T637" s="50"/>
      <c r="U637" s="50"/>
      <c r="V637" s="50"/>
      <c r="W637" s="14"/>
      <c r="X637" s="50"/>
      <c r="Y637" s="179"/>
      <c r="Z637" s="50"/>
      <c r="AA637" s="14"/>
    </row>
    <row r="638">
      <c r="A638" s="14"/>
      <c r="B638" s="14"/>
      <c r="C638" s="158"/>
      <c r="D638" s="96"/>
      <c r="E638" s="96"/>
      <c r="F638" s="96"/>
      <c r="G638" s="50"/>
      <c r="H638" s="96"/>
      <c r="I638" s="96"/>
      <c r="J638" s="96"/>
      <c r="K638" s="50"/>
      <c r="L638" s="96"/>
      <c r="M638" s="96"/>
      <c r="N638" s="14"/>
      <c r="O638" s="50"/>
      <c r="P638" s="50"/>
      <c r="Q638" s="50"/>
      <c r="R638" s="50"/>
      <c r="S638" s="50"/>
      <c r="T638" s="50"/>
      <c r="U638" s="50"/>
      <c r="V638" s="50"/>
      <c r="W638" s="14"/>
      <c r="X638" s="50"/>
      <c r="Y638" s="179"/>
      <c r="Z638" s="50"/>
      <c r="AA638" s="14"/>
    </row>
    <row r="639">
      <c r="A639" s="14"/>
      <c r="B639" s="14"/>
      <c r="C639" s="158"/>
      <c r="D639" s="96"/>
      <c r="E639" s="96"/>
      <c r="F639" s="96"/>
      <c r="G639" s="50"/>
      <c r="H639" s="96"/>
      <c r="I639" s="96"/>
      <c r="J639" s="96"/>
      <c r="K639" s="50"/>
      <c r="L639" s="96"/>
      <c r="M639" s="96"/>
      <c r="N639" s="14"/>
      <c r="O639" s="50"/>
      <c r="P639" s="50"/>
      <c r="Q639" s="50"/>
      <c r="R639" s="50"/>
      <c r="S639" s="50"/>
      <c r="T639" s="50"/>
      <c r="U639" s="50"/>
      <c r="V639" s="50"/>
      <c r="W639" s="14"/>
      <c r="X639" s="50"/>
      <c r="Y639" s="179"/>
      <c r="Z639" s="50"/>
      <c r="AA639" s="14"/>
    </row>
    <row r="640">
      <c r="A640" s="14"/>
      <c r="B640" s="14"/>
      <c r="C640" s="158"/>
      <c r="D640" s="96"/>
      <c r="E640" s="96"/>
      <c r="F640" s="96"/>
      <c r="G640" s="50"/>
      <c r="H640" s="96"/>
      <c r="I640" s="96"/>
      <c r="J640" s="96"/>
      <c r="K640" s="50"/>
      <c r="L640" s="96"/>
      <c r="M640" s="96"/>
      <c r="N640" s="14"/>
      <c r="O640" s="50"/>
      <c r="P640" s="50"/>
      <c r="Q640" s="50"/>
      <c r="R640" s="50"/>
      <c r="S640" s="50"/>
      <c r="T640" s="50"/>
      <c r="U640" s="50"/>
      <c r="V640" s="50"/>
      <c r="W640" s="14"/>
      <c r="X640" s="50"/>
      <c r="Y640" s="179"/>
      <c r="Z640" s="50"/>
      <c r="AA640" s="14"/>
    </row>
    <row r="641">
      <c r="A641" s="14"/>
      <c r="B641" s="14"/>
      <c r="C641" s="158"/>
      <c r="D641" s="96"/>
      <c r="E641" s="96"/>
      <c r="F641" s="96"/>
      <c r="G641" s="50"/>
      <c r="H641" s="96"/>
      <c r="I641" s="96"/>
      <c r="J641" s="96"/>
      <c r="K641" s="50"/>
      <c r="L641" s="96"/>
      <c r="M641" s="96"/>
      <c r="N641" s="14"/>
      <c r="O641" s="50"/>
      <c r="P641" s="50"/>
      <c r="Q641" s="50"/>
      <c r="R641" s="50"/>
      <c r="S641" s="50"/>
      <c r="T641" s="50"/>
      <c r="U641" s="50"/>
      <c r="V641" s="50"/>
      <c r="W641" s="14"/>
      <c r="X641" s="50"/>
      <c r="Y641" s="179"/>
      <c r="Z641" s="50"/>
      <c r="AA641" s="14"/>
    </row>
    <row r="642">
      <c r="A642" s="14"/>
      <c r="B642" s="14"/>
      <c r="C642" s="158"/>
      <c r="D642" s="96"/>
      <c r="E642" s="96"/>
      <c r="F642" s="96"/>
      <c r="G642" s="50"/>
      <c r="H642" s="96"/>
      <c r="I642" s="96"/>
      <c r="J642" s="96"/>
      <c r="K642" s="50"/>
      <c r="L642" s="96"/>
      <c r="M642" s="96"/>
      <c r="N642" s="14"/>
      <c r="O642" s="50"/>
      <c r="P642" s="50"/>
      <c r="Q642" s="50"/>
      <c r="R642" s="50"/>
      <c r="S642" s="50"/>
      <c r="T642" s="50"/>
      <c r="U642" s="50"/>
      <c r="V642" s="50"/>
      <c r="W642" s="14"/>
      <c r="X642" s="50"/>
      <c r="Y642" s="179"/>
      <c r="Z642" s="50"/>
      <c r="AA642" s="14"/>
    </row>
    <row r="643">
      <c r="A643" s="14"/>
      <c r="B643" s="14"/>
      <c r="C643" s="158"/>
      <c r="D643" s="96"/>
      <c r="E643" s="96"/>
      <c r="F643" s="96"/>
      <c r="G643" s="50"/>
      <c r="H643" s="96"/>
      <c r="I643" s="96"/>
      <c r="J643" s="96"/>
      <c r="K643" s="50"/>
      <c r="L643" s="96"/>
      <c r="M643" s="96"/>
      <c r="N643" s="14"/>
      <c r="O643" s="50"/>
      <c r="P643" s="50"/>
      <c r="Q643" s="50"/>
      <c r="R643" s="50"/>
      <c r="S643" s="50"/>
      <c r="T643" s="50"/>
      <c r="U643" s="50"/>
      <c r="V643" s="50"/>
      <c r="W643" s="14"/>
      <c r="X643" s="50"/>
      <c r="Y643" s="179"/>
      <c r="Z643" s="50"/>
      <c r="AA643" s="14"/>
    </row>
    <row r="644">
      <c r="A644" s="14"/>
      <c r="B644" s="14"/>
      <c r="C644" s="158"/>
      <c r="D644" s="96"/>
      <c r="E644" s="96"/>
      <c r="F644" s="96"/>
      <c r="G644" s="50"/>
      <c r="H644" s="96"/>
      <c r="I644" s="96"/>
      <c r="J644" s="96"/>
      <c r="K644" s="50"/>
      <c r="L644" s="96"/>
      <c r="M644" s="96"/>
      <c r="N644" s="14"/>
      <c r="O644" s="50"/>
      <c r="P644" s="50"/>
      <c r="Q644" s="50"/>
      <c r="R644" s="50"/>
      <c r="S644" s="50"/>
      <c r="T644" s="50"/>
      <c r="U644" s="50"/>
      <c r="V644" s="50"/>
      <c r="W644" s="14"/>
      <c r="X644" s="50"/>
      <c r="Y644" s="179"/>
      <c r="Z644" s="50"/>
      <c r="AA644" s="14"/>
    </row>
    <row r="645">
      <c r="A645" s="14"/>
      <c r="B645" s="14"/>
      <c r="C645" s="158"/>
      <c r="D645" s="96"/>
      <c r="E645" s="96"/>
      <c r="F645" s="96"/>
      <c r="G645" s="50"/>
      <c r="H645" s="96"/>
      <c r="I645" s="96"/>
      <c r="J645" s="96"/>
      <c r="K645" s="50"/>
      <c r="L645" s="96"/>
      <c r="M645" s="96"/>
      <c r="N645" s="14"/>
      <c r="O645" s="50"/>
      <c r="P645" s="50"/>
      <c r="Q645" s="50"/>
      <c r="R645" s="50"/>
      <c r="S645" s="50"/>
      <c r="T645" s="50"/>
      <c r="U645" s="50"/>
      <c r="V645" s="50"/>
      <c r="W645" s="14"/>
      <c r="X645" s="50"/>
      <c r="Y645" s="179"/>
      <c r="Z645" s="50"/>
      <c r="AA645" s="14"/>
    </row>
    <row r="646">
      <c r="A646" s="14"/>
      <c r="B646" s="14"/>
      <c r="C646" s="158"/>
      <c r="D646" s="96"/>
      <c r="E646" s="96"/>
      <c r="F646" s="96"/>
      <c r="G646" s="50"/>
      <c r="H646" s="96"/>
      <c r="I646" s="96"/>
      <c r="J646" s="96"/>
      <c r="K646" s="50"/>
      <c r="L646" s="96"/>
      <c r="M646" s="96"/>
      <c r="N646" s="14"/>
      <c r="O646" s="50"/>
      <c r="P646" s="50"/>
      <c r="Q646" s="50"/>
      <c r="R646" s="50"/>
      <c r="S646" s="50"/>
      <c r="T646" s="50"/>
      <c r="U646" s="50"/>
      <c r="V646" s="50"/>
      <c r="W646" s="14"/>
      <c r="X646" s="50"/>
      <c r="Y646" s="179"/>
      <c r="Z646" s="50"/>
      <c r="AA646" s="14"/>
    </row>
    <row r="647">
      <c r="A647" s="14"/>
      <c r="B647" s="14"/>
      <c r="C647" s="158"/>
      <c r="D647" s="96"/>
      <c r="E647" s="96"/>
      <c r="F647" s="96"/>
      <c r="G647" s="50"/>
      <c r="H647" s="96"/>
      <c r="I647" s="96"/>
      <c r="J647" s="96"/>
      <c r="K647" s="50"/>
      <c r="L647" s="96"/>
      <c r="M647" s="96"/>
      <c r="N647" s="14"/>
      <c r="O647" s="50"/>
      <c r="P647" s="50"/>
      <c r="Q647" s="50"/>
      <c r="R647" s="50"/>
      <c r="S647" s="50"/>
      <c r="T647" s="50"/>
      <c r="U647" s="50"/>
      <c r="V647" s="50"/>
      <c r="W647" s="14"/>
      <c r="X647" s="50"/>
      <c r="Y647" s="179"/>
      <c r="Z647" s="50"/>
      <c r="AA647" s="14"/>
    </row>
    <row r="648">
      <c r="A648" s="14"/>
      <c r="B648" s="14"/>
      <c r="C648" s="158"/>
      <c r="D648" s="96"/>
      <c r="E648" s="96"/>
      <c r="F648" s="96"/>
      <c r="G648" s="50"/>
      <c r="H648" s="96"/>
      <c r="I648" s="96"/>
      <c r="J648" s="96"/>
      <c r="K648" s="50"/>
      <c r="L648" s="96"/>
      <c r="M648" s="96"/>
      <c r="N648" s="14"/>
      <c r="O648" s="50"/>
      <c r="P648" s="50"/>
      <c r="Q648" s="50"/>
      <c r="R648" s="50"/>
      <c r="S648" s="50"/>
      <c r="T648" s="50"/>
      <c r="U648" s="50"/>
      <c r="V648" s="50"/>
      <c r="W648" s="14"/>
      <c r="X648" s="50"/>
      <c r="Y648" s="179"/>
      <c r="Z648" s="50"/>
      <c r="AA648" s="14"/>
    </row>
    <row r="649">
      <c r="A649" s="14"/>
      <c r="B649" s="14"/>
      <c r="C649" s="158"/>
      <c r="D649" s="96"/>
      <c r="E649" s="96"/>
      <c r="F649" s="96"/>
      <c r="G649" s="50"/>
      <c r="H649" s="96"/>
      <c r="I649" s="96"/>
      <c r="J649" s="96"/>
      <c r="K649" s="50"/>
      <c r="L649" s="96"/>
      <c r="M649" s="96"/>
      <c r="N649" s="14"/>
      <c r="O649" s="50"/>
      <c r="P649" s="50"/>
      <c r="Q649" s="50"/>
      <c r="R649" s="50"/>
      <c r="S649" s="50"/>
      <c r="T649" s="50"/>
      <c r="U649" s="50"/>
      <c r="V649" s="50"/>
      <c r="W649" s="14"/>
      <c r="X649" s="50"/>
      <c r="Y649" s="179"/>
      <c r="Z649" s="50"/>
      <c r="AA649" s="14"/>
    </row>
    <row r="650">
      <c r="A650" s="14"/>
      <c r="B650" s="14"/>
      <c r="C650" s="158"/>
      <c r="D650" s="96"/>
      <c r="E650" s="96"/>
      <c r="F650" s="96"/>
      <c r="G650" s="50"/>
      <c r="H650" s="96"/>
      <c r="I650" s="96"/>
      <c r="J650" s="96"/>
      <c r="K650" s="50"/>
      <c r="L650" s="96"/>
      <c r="M650" s="96"/>
      <c r="N650" s="14"/>
      <c r="O650" s="50"/>
      <c r="P650" s="50"/>
      <c r="Q650" s="50"/>
      <c r="R650" s="50"/>
      <c r="S650" s="50"/>
      <c r="T650" s="50"/>
      <c r="U650" s="50"/>
      <c r="V650" s="50"/>
      <c r="W650" s="14"/>
      <c r="X650" s="50"/>
      <c r="Y650" s="179"/>
      <c r="Z650" s="50"/>
      <c r="AA650" s="14"/>
    </row>
    <row r="651">
      <c r="A651" s="14"/>
      <c r="B651" s="14"/>
      <c r="C651" s="158"/>
      <c r="D651" s="96"/>
      <c r="E651" s="96"/>
      <c r="F651" s="96"/>
      <c r="G651" s="50"/>
      <c r="H651" s="96"/>
      <c r="I651" s="96"/>
      <c r="J651" s="96"/>
      <c r="K651" s="50"/>
      <c r="L651" s="96"/>
      <c r="M651" s="96"/>
      <c r="N651" s="14"/>
      <c r="O651" s="50"/>
      <c r="P651" s="50"/>
      <c r="Q651" s="50"/>
      <c r="R651" s="50"/>
      <c r="S651" s="50"/>
      <c r="T651" s="50"/>
      <c r="U651" s="50"/>
      <c r="V651" s="50"/>
      <c r="W651" s="14"/>
      <c r="X651" s="50"/>
      <c r="Y651" s="179"/>
      <c r="Z651" s="50"/>
      <c r="AA651" s="14"/>
    </row>
    <row r="652">
      <c r="A652" s="14"/>
      <c r="B652" s="14"/>
      <c r="C652" s="158"/>
      <c r="D652" s="96"/>
      <c r="E652" s="96"/>
      <c r="F652" s="96"/>
      <c r="G652" s="50"/>
      <c r="H652" s="96"/>
      <c r="I652" s="96"/>
      <c r="J652" s="96"/>
      <c r="K652" s="50"/>
      <c r="L652" s="96"/>
      <c r="M652" s="96"/>
      <c r="N652" s="14"/>
      <c r="O652" s="50"/>
      <c r="P652" s="50"/>
      <c r="Q652" s="50"/>
      <c r="R652" s="50"/>
      <c r="S652" s="50"/>
      <c r="T652" s="50"/>
      <c r="U652" s="50"/>
      <c r="V652" s="50"/>
      <c r="W652" s="14"/>
      <c r="X652" s="50"/>
      <c r="Y652" s="179"/>
      <c r="Z652" s="50"/>
      <c r="AA652" s="14"/>
    </row>
    <row r="653">
      <c r="A653" s="14"/>
      <c r="B653" s="14"/>
      <c r="C653" s="158"/>
      <c r="D653" s="96"/>
      <c r="E653" s="96"/>
      <c r="F653" s="96"/>
      <c r="G653" s="50"/>
      <c r="H653" s="96"/>
      <c r="I653" s="96"/>
      <c r="J653" s="96"/>
      <c r="K653" s="50"/>
      <c r="L653" s="96"/>
      <c r="M653" s="96"/>
      <c r="N653" s="14"/>
      <c r="O653" s="50"/>
      <c r="P653" s="50"/>
      <c r="Q653" s="50"/>
      <c r="R653" s="50"/>
      <c r="S653" s="50"/>
      <c r="T653" s="50"/>
      <c r="U653" s="50"/>
      <c r="V653" s="50"/>
      <c r="W653" s="14"/>
      <c r="X653" s="50"/>
      <c r="Y653" s="179"/>
      <c r="Z653" s="50"/>
      <c r="AA653" s="14"/>
    </row>
    <row r="654">
      <c r="A654" s="14"/>
      <c r="B654" s="14"/>
      <c r="C654" s="158"/>
      <c r="D654" s="96"/>
      <c r="E654" s="96"/>
      <c r="F654" s="96"/>
      <c r="G654" s="50"/>
      <c r="H654" s="96"/>
      <c r="I654" s="96"/>
      <c r="J654" s="96"/>
      <c r="K654" s="50"/>
      <c r="L654" s="96"/>
      <c r="M654" s="96"/>
      <c r="N654" s="14"/>
      <c r="O654" s="50"/>
      <c r="P654" s="50"/>
      <c r="Q654" s="50"/>
      <c r="R654" s="50"/>
      <c r="S654" s="50"/>
      <c r="T654" s="50"/>
      <c r="U654" s="50"/>
      <c r="V654" s="50"/>
      <c r="W654" s="14"/>
      <c r="X654" s="50"/>
      <c r="Y654" s="179"/>
      <c r="Z654" s="50"/>
      <c r="AA654" s="14"/>
    </row>
    <row r="655">
      <c r="A655" s="14"/>
      <c r="B655" s="14"/>
      <c r="C655" s="158"/>
      <c r="D655" s="96"/>
      <c r="E655" s="96"/>
      <c r="F655" s="96"/>
      <c r="G655" s="50"/>
      <c r="H655" s="96"/>
      <c r="I655" s="96"/>
      <c r="J655" s="96"/>
      <c r="K655" s="50"/>
      <c r="L655" s="96"/>
      <c r="M655" s="96"/>
      <c r="N655" s="14"/>
      <c r="O655" s="50"/>
      <c r="P655" s="50"/>
      <c r="Q655" s="50"/>
      <c r="R655" s="50"/>
      <c r="S655" s="50"/>
      <c r="T655" s="50"/>
      <c r="U655" s="50"/>
      <c r="V655" s="50"/>
      <c r="W655" s="14"/>
      <c r="X655" s="50"/>
      <c r="Y655" s="179"/>
      <c r="Z655" s="50"/>
      <c r="AA655" s="14"/>
    </row>
    <row r="656">
      <c r="A656" s="14"/>
      <c r="B656" s="14"/>
      <c r="C656" s="158"/>
      <c r="D656" s="96"/>
      <c r="E656" s="96"/>
      <c r="F656" s="96"/>
      <c r="G656" s="50"/>
      <c r="H656" s="96"/>
      <c r="I656" s="96"/>
      <c r="J656" s="96"/>
      <c r="K656" s="50"/>
      <c r="L656" s="96"/>
      <c r="M656" s="96"/>
      <c r="N656" s="14"/>
      <c r="O656" s="50"/>
      <c r="P656" s="50"/>
      <c r="Q656" s="50"/>
      <c r="R656" s="50"/>
      <c r="S656" s="50"/>
      <c r="T656" s="50"/>
      <c r="U656" s="50"/>
      <c r="V656" s="50"/>
      <c r="W656" s="14"/>
      <c r="X656" s="50"/>
      <c r="Y656" s="179"/>
      <c r="Z656" s="50"/>
      <c r="AA656" s="14"/>
    </row>
    <row r="657">
      <c r="A657" s="14"/>
      <c r="B657" s="14"/>
      <c r="C657" s="158"/>
      <c r="D657" s="96"/>
      <c r="E657" s="96"/>
      <c r="F657" s="96"/>
      <c r="G657" s="50"/>
      <c r="H657" s="96"/>
      <c r="I657" s="96"/>
      <c r="J657" s="96"/>
      <c r="K657" s="50"/>
      <c r="L657" s="96"/>
      <c r="M657" s="96"/>
      <c r="N657" s="14"/>
      <c r="O657" s="50"/>
      <c r="P657" s="50"/>
      <c r="Q657" s="50"/>
      <c r="R657" s="50"/>
      <c r="S657" s="50"/>
      <c r="T657" s="50"/>
      <c r="U657" s="50"/>
      <c r="V657" s="50"/>
      <c r="W657" s="14"/>
      <c r="X657" s="50"/>
      <c r="Y657" s="179"/>
      <c r="Z657" s="50"/>
      <c r="AA657" s="14"/>
    </row>
    <row r="658">
      <c r="A658" s="14"/>
      <c r="B658" s="14"/>
      <c r="C658" s="158"/>
      <c r="D658" s="96"/>
      <c r="E658" s="96"/>
      <c r="F658" s="96"/>
      <c r="G658" s="50"/>
      <c r="H658" s="96"/>
      <c r="I658" s="96"/>
      <c r="J658" s="96"/>
      <c r="K658" s="50"/>
      <c r="L658" s="96"/>
      <c r="M658" s="96"/>
      <c r="N658" s="14"/>
      <c r="O658" s="50"/>
      <c r="P658" s="50"/>
      <c r="Q658" s="50"/>
      <c r="R658" s="50"/>
      <c r="S658" s="50"/>
      <c r="T658" s="50"/>
      <c r="U658" s="50"/>
      <c r="V658" s="50"/>
      <c r="W658" s="14"/>
      <c r="X658" s="50"/>
      <c r="Y658" s="179"/>
      <c r="Z658" s="50"/>
      <c r="AA658" s="14"/>
    </row>
    <row r="659">
      <c r="A659" s="14"/>
      <c r="B659" s="14"/>
      <c r="C659" s="158"/>
      <c r="D659" s="96"/>
      <c r="E659" s="96"/>
      <c r="F659" s="96"/>
      <c r="G659" s="50"/>
      <c r="H659" s="96"/>
      <c r="I659" s="96"/>
      <c r="J659" s="96"/>
      <c r="K659" s="50"/>
      <c r="L659" s="96"/>
      <c r="M659" s="96"/>
      <c r="N659" s="14"/>
      <c r="O659" s="50"/>
      <c r="P659" s="50"/>
      <c r="Q659" s="50"/>
      <c r="R659" s="50"/>
      <c r="S659" s="50"/>
      <c r="T659" s="50"/>
      <c r="U659" s="50"/>
      <c r="V659" s="50"/>
      <c r="W659" s="14"/>
      <c r="X659" s="50"/>
      <c r="Y659" s="179"/>
      <c r="Z659" s="50"/>
      <c r="AA659" s="14"/>
    </row>
    <row r="660">
      <c r="A660" s="14"/>
      <c r="B660" s="14"/>
      <c r="C660" s="158"/>
      <c r="D660" s="96"/>
      <c r="E660" s="96"/>
      <c r="F660" s="96"/>
      <c r="G660" s="50"/>
      <c r="H660" s="96"/>
      <c r="I660" s="96"/>
      <c r="J660" s="96"/>
      <c r="K660" s="50"/>
      <c r="L660" s="96"/>
      <c r="M660" s="96"/>
      <c r="N660" s="14"/>
      <c r="O660" s="50"/>
      <c r="P660" s="50"/>
      <c r="Q660" s="50"/>
      <c r="R660" s="50"/>
      <c r="S660" s="50"/>
      <c r="T660" s="50"/>
      <c r="U660" s="50"/>
      <c r="V660" s="50"/>
      <c r="W660" s="14"/>
      <c r="X660" s="50"/>
      <c r="Y660" s="179"/>
      <c r="Z660" s="50"/>
      <c r="AA660" s="14"/>
    </row>
    <row r="661">
      <c r="A661" s="14"/>
      <c r="B661" s="14"/>
      <c r="C661" s="158"/>
      <c r="D661" s="96"/>
      <c r="E661" s="96"/>
      <c r="F661" s="96"/>
      <c r="G661" s="50"/>
      <c r="H661" s="96"/>
      <c r="I661" s="96"/>
      <c r="J661" s="96"/>
      <c r="K661" s="50"/>
      <c r="L661" s="96"/>
      <c r="M661" s="96"/>
      <c r="N661" s="14"/>
      <c r="O661" s="50"/>
      <c r="P661" s="50"/>
      <c r="Q661" s="50"/>
      <c r="R661" s="50"/>
      <c r="S661" s="50"/>
      <c r="T661" s="50"/>
      <c r="U661" s="50"/>
      <c r="V661" s="50"/>
      <c r="W661" s="14"/>
      <c r="X661" s="50"/>
      <c r="Y661" s="179"/>
      <c r="Z661" s="50"/>
      <c r="AA661" s="14"/>
    </row>
    <row r="662">
      <c r="A662" s="14"/>
      <c r="B662" s="14"/>
      <c r="C662" s="158"/>
      <c r="D662" s="96"/>
      <c r="E662" s="96"/>
      <c r="F662" s="96"/>
      <c r="G662" s="50"/>
      <c r="H662" s="96"/>
      <c r="I662" s="96"/>
      <c r="J662" s="96"/>
      <c r="K662" s="50"/>
      <c r="L662" s="96"/>
      <c r="M662" s="96"/>
      <c r="N662" s="14"/>
      <c r="O662" s="50"/>
      <c r="P662" s="50"/>
      <c r="Q662" s="50"/>
      <c r="R662" s="50"/>
      <c r="S662" s="50"/>
      <c r="T662" s="50"/>
      <c r="U662" s="50"/>
      <c r="V662" s="50"/>
      <c r="W662" s="14"/>
      <c r="X662" s="50"/>
      <c r="Y662" s="179"/>
      <c r="Z662" s="50"/>
      <c r="AA662" s="14"/>
    </row>
    <row r="663">
      <c r="A663" s="14"/>
      <c r="B663" s="14"/>
      <c r="C663" s="158"/>
      <c r="D663" s="96"/>
      <c r="E663" s="96"/>
      <c r="F663" s="96"/>
      <c r="G663" s="50"/>
      <c r="H663" s="96"/>
      <c r="I663" s="96"/>
      <c r="J663" s="96"/>
      <c r="K663" s="50"/>
      <c r="L663" s="96"/>
      <c r="M663" s="96"/>
      <c r="N663" s="14"/>
      <c r="O663" s="50"/>
      <c r="P663" s="50"/>
      <c r="Q663" s="50"/>
      <c r="R663" s="50"/>
      <c r="S663" s="50"/>
      <c r="T663" s="50"/>
      <c r="U663" s="50"/>
      <c r="V663" s="50"/>
      <c r="W663" s="14"/>
      <c r="X663" s="50"/>
      <c r="Y663" s="179"/>
      <c r="Z663" s="50"/>
      <c r="AA663" s="14"/>
    </row>
    <row r="664">
      <c r="A664" s="14"/>
      <c r="B664" s="14"/>
      <c r="C664" s="158"/>
      <c r="D664" s="96"/>
      <c r="E664" s="96"/>
      <c r="F664" s="96"/>
      <c r="G664" s="50"/>
      <c r="H664" s="96"/>
      <c r="I664" s="96"/>
      <c r="J664" s="96"/>
      <c r="K664" s="50"/>
      <c r="L664" s="96"/>
      <c r="M664" s="96"/>
      <c r="N664" s="14"/>
      <c r="O664" s="50"/>
      <c r="P664" s="50"/>
      <c r="Q664" s="50"/>
      <c r="R664" s="50"/>
      <c r="S664" s="50"/>
      <c r="T664" s="50"/>
      <c r="U664" s="50"/>
      <c r="V664" s="50"/>
      <c r="W664" s="14"/>
      <c r="X664" s="50"/>
      <c r="Y664" s="179"/>
      <c r="Z664" s="50"/>
      <c r="AA664" s="14"/>
    </row>
    <row r="665">
      <c r="A665" s="14"/>
      <c r="B665" s="14"/>
      <c r="C665" s="158"/>
      <c r="D665" s="96"/>
      <c r="E665" s="96"/>
      <c r="F665" s="96"/>
      <c r="G665" s="50"/>
      <c r="H665" s="96"/>
      <c r="I665" s="96"/>
      <c r="J665" s="96"/>
      <c r="K665" s="50"/>
      <c r="L665" s="96"/>
      <c r="M665" s="96"/>
      <c r="N665" s="14"/>
      <c r="O665" s="50"/>
      <c r="P665" s="50"/>
      <c r="Q665" s="50"/>
      <c r="R665" s="50"/>
      <c r="S665" s="50"/>
      <c r="T665" s="50"/>
      <c r="U665" s="50"/>
      <c r="V665" s="50"/>
      <c r="W665" s="14"/>
      <c r="X665" s="50"/>
      <c r="Y665" s="179"/>
      <c r="Z665" s="50"/>
      <c r="AA665" s="14"/>
    </row>
    <row r="666">
      <c r="A666" s="14"/>
      <c r="B666" s="14"/>
      <c r="C666" s="158"/>
      <c r="D666" s="96"/>
      <c r="E666" s="96"/>
      <c r="F666" s="96"/>
      <c r="G666" s="50"/>
      <c r="H666" s="96"/>
      <c r="I666" s="96"/>
      <c r="J666" s="96"/>
      <c r="K666" s="50"/>
      <c r="L666" s="96"/>
      <c r="M666" s="96"/>
      <c r="N666" s="14"/>
      <c r="O666" s="50"/>
      <c r="P666" s="50"/>
      <c r="Q666" s="50"/>
      <c r="R666" s="50"/>
      <c r="S666" s="50"/>
      <c r="T666" s="50"/>
      <c r="U666" s="50"/>
      <c r="V666" s="50"/>
      <c r="W666" s="14"/>
      <c r="X666" s="50"/>
      <c r="Y666" s="179"/>
      <c r="Z666" s="50"/>
      <c r="AA666" s="14"/>
    </row>
    <row r="667">
      <c r="A667" s="14"/>
      <c r="B667" s="14"/>
      <c r="C667" s="158"/>
      <c r="D667" s="96"/>
      <c r="E667" s="96"/>
      <c r="F667" s="96"/>
      <c r="G667" s="50"/>
      <c r="H667" s="96"/>
      <c r="I667" s="96"/>
      <c r="J667" s="96"/>
      <c r="K667" s="50"/>
      <c r="L667" s="96"/>
      <c r="M667" s="96"/>
      <c r="N667" s="14"/>
      <c r="O667" s="50"/>
      <c r="P667" s="50"/>
      <c r="Q667" s="50"/>
      <c r="R667" s="50"/>
      <c r="S667" s="50"/>
      <c r="T667" s="50"/>
      <c r="U667" s="50"/>
      <c r="V667" s="50"/>
      <c r="W667" s="14"/>
      <c r="X667" s="50"/>
      <c r="Y667" s="179"/>
      <c r="Z667" s="50"/>
      <c r="AA667" s="14"/>
    </row>
    <row r="668">
      <c r="A668" s="14"/>
      <c r="B668" s="14"/>
      <c r="C668" s="158"/>
      <c r="D668" s="96"/>
      <c r="E668" s="96"/>
      <c r="F668" s="96"/>
      <c r="G668" s="50"/>
      <c r="H668" s="96"/>
      <c r="I668" s="96"/>
      <c r="J668" s="96"/>
      <c r="K668" s="50"/>
      <c r="L668" s="96"/>
      <c r="M668" s="96"/>
      <c r="N668" s="14"/>
      <c r="O668" s="50"/>
      <c r="P668" s="50"/>
      <c r="Q668" s="50"/>
      <c r="R668" s="50"/>
      <c r="S668" s="50"/>
      <c r="T668" s="50"/>
      <c r="U668" s="50"/>
      <c r="V668" s="50"/>
      <c r="W668" s="14"/>
      <c r="X668" s="50"/>
      <c r="Y668" s="179"/>
      <c r="Z668" s="50"/>
      <c r="AA668" s="14"/>
    </row>
    <row r="669">
      <c r="A669" s="14"/>
      <c r="B669" s="14"/>
      <c r="C669" s="158"/>
      <c r="D669" s="96"/>
      <c r="E669" s="96"/>
      <c r="F669" s="96"/>
      <c r="G669" s="50"/>
      <c r="H669" s="96"/>
      <c r="I669" s="96"/>
      <c r="J669" s="96"/>
      <c r="K669" s="50"/>
      <c r="L669" s="96"/>
      <c r="M669" s="96"/>
      <c r="N669" s="14"/>
      <c r="O669" s="50"/>
      <c r="P669" s="50"/>
      <c r="Q669" s="50"/>
      <c r="R669" s="50"/>
      <c r="S669" s="50"/>
      <c r="T669" s="50"/>
      <c r="U669" s="50"/>
      <c r="V669" s="50"/>
      <c r="W669" s="14"/>
      <c r="X669" s="50"/>
      <c r="Y669" s="179"/>
      <c r="Z669" s="50"/>
      <c r="AA669" s="14"/>
    </row>
    <row r="670">
      <c r="A670" s="14"/>
      <c r="B670" s="14"/>
      <c r="C670" s="158"/>
      <c r="D670" s="96"/>
      <c r="E670" s="96"/>
      <c r="F670" s="96"/>
      <c r="G670" s="50"/>
      <c r="H670" s="96"/>
      <c r="I670" s="96"/>
      <c r="J670" s="96"/>
      <c r="K670" s="50"/>
      <c r="L670" s="96"/>
      <c r="M670" s="96"/>
      <c r="N670" s="14"/>
      <c r="O670" s="50"/>
      <c r="P670" s="50"/>
      <c r="Q670" s="50"/>
      <c r="R670" s="50"/>
      <c r="S670" s="50"/>
      <c r="T670" s="50"/>
      <c r="U670" s="50"/>
      <c r="V670" s="50"/>
      <c r="W670" s="14"/>
      <c r="X670" s="50"/>
      <c r="Y670" s="179"/>
      <c r="Z670" s="50"/>
      <c r="AA670" s="14"/>
    </row>
    <row r="671">
      <c r="A671" s="14"/>
      <c r="B671" s="14"/>
      <c r="C671" s="158"/>
      <c r="D671" s="96"/>
      <c r="E671" s="96"/>
      <c r="F671" s="96"/>
      <c r="G671" s="50"/>
      <c r="H671" s="96"/>
      <c r="I671" s="96"/>
      <c r="J671" s="96"/>
      <c r="K671" s="50"/>
      <c r="L671" s="96"/>
      <c r="M671" s="96"/>
      <c r="N671" s="14"/>
      <c r="O671" s="50"/>
      <c r="P671" s="50"/>
      <c r="Q671" s="50"/>
      <c r="R671" s="50"/>
      <c r="S671" s="50"/>
      <c r="T671" s="50"/>
      <c r="U671" s="50"/>
      <c r="V671" s="50"/>
      <c r="W671" s="14"/>
      <c r="X671" s="50"/>
      <c r="Y671" s="179"/>
      <c r="Z671" s="50"/>
      <c r="AA671" s="14"/>
    </row>
    <row r="672">
      <c r="A672" s="14"/>
      <c r="B672" s="14"/>
      <c r="C672" s="158"/>
      <c r="D672" s="96"/>
      <c r="E672" s="96"/>
      <c r="F672" s="96"/>
      <c r="G672" s="50"/>
      <c r="H672" s="96"/>
      <c r="I672" s="96"/>
      <c r="J672" s="96"/>
      <c r="K672" s="50"/>
      <c r="L672" s="96"/>
      <c r="M672" s="96"/>
      <c r="N672" s="14"/>
      <c r="O672" s="50"/>
      <c r="P672" s="50"/>
      <c r="Q672" s="50"/>
      <c r="R672" s="50"/>
      <c r="S672" s="50"/>
      <c r="T672" s="50"/>
      <c r="U672" s="50"/>
      <c r="V672" s="50"/>
      <c r="W672" s="14"/>
      <c r="X672" s="50"/>
      <c r="Y672" s="179"/>
      <c r="Z672" s="50"/>
      <c r="AA672" s="14"/>
    </row>
    <row r="673">
      <c r="A673" s="14"/>
      <c r="B673" s="14"/>
      <c r="C673" s="158"/>
      <c r="D673" s="96"/>
      <c r="E673" s="96"/>
      <c r="F673" s="96"/>
      <c r="G673" s="50"/>
      <c r="H673" s="96"/>
      <c r="I673" s="96"/>
      <c r="J673" s="96"/>
      <c r="K673" s="50"/>
      <c r="L673" s="96"/>
      <c r="M673" s="96"/>
      <c r="N673" s="14"/>
      <c r="O673" s="50"/>
      <c r="P673" s="50"/>
      <c r="Q673" s="50"/>
      <c r="R673" s="50"/>
      <c r="S673" s="50"/>
      <c r="T673" s="50"/>
      <c r="U673" s="50"/>
      <c r="V673" s="50"/>
      <c r="W673" s="14"/>
      <c r="X673" s="50"/>
      <c r="Y673" s="179"/>
      <c r="Z673" s="50"/>
      <c r="AA673" s="14"/>
    </row>
    <row r="674">
      <c r="A674" s="14"/>
      <c r="B674" s="14"/>
      <c r="C674" s="158"/>
      <c r="D674" s="96"/>
      <c r="E674" s="96"/>
      <c r="F674" s="96"/>
      <c r="G674" s="50"/>
      <c r="H674" s="96"/>
      <c r="I674" s="96"/>
      <c r="J674" s="96"/>
      <c r="K674" s="50"/>
      <c r="L674" s="96"/>
      <c r="M674" s="96"/>
      <c r="N674" s="14"/>
      <c r="O674" s="50"/>
      <c r="P674" s="50"/>
      <c r="Q674" s="50"/>
      <c r="R674" s="50"/>
      <c r="S674" s="50"/>
      <c r="T674" s="50"/>
      <c r="U674" s="50"/>
      <c r="V674" s="50"/>
      <c r="W674" s="14"/>
      <c r="X674" s="50"/>
      <c r="Y674" s="179"/>
      <c r="Z674" s="50"/>
      <c r="AA674" s="14"/>
    </row>
    <row r="675">
      <c r="A675" s="14"/>
      <c r="B675" s="14"/>
      <c r="C675" s="158"/>
      <c r="D675" s="96"/>
      <c r="E675" s="96"/>
      <c r="F675" s="96"/>
      <c r="G675" s="50"/>
      <c r="H675" s="96"/>
      <c r="I675" s="96"/>
      <c r="J675" s="96"/>
      <c r="K675" s="50"/>
      <c r="L675" s="96"/>
      <c r="M675" s="96"/>
      <c r="N675" s="14"/>
      <c r="O675" s="50"/>
      <c r="P675" s="50"/>
      <c r="Q675" s="50"/>
      <c r="R675" s="50"/>
      <c r="S675" s="50"/>
      <c r="T675" s="50"/>
      <c r="U675" s="50"/>
      <c r="V675" s="50"/>
      <c r="W675" s="14"/>
      <c r="X675" s="50"/>
      <c r="Y675" s="179"/>
      <c r="Z675" s="50"/>
      <c r="AA675" s="14"/>
    </row>
    <row r="676">
      <c r="A676" s="14"/>
      <c r="B676" s="14"/>
      <c r="C676" s="158"/>
      <c r="D676" s="96"/>
      <c r="E676" s="96"/>
      <c r="F676" s="96"/>
      <c r="G676" s="50"/>
      <c r="H676" s="96"/>
      <c r="I676" s="96"/>
      <c r="J676" s="96"/>
      <c r="K676" s="50"/>
      <c r="L676" s="96"/>
      <c r="M676" s="96"/>
      <c r="N676" s="14"/>
      <c r="O676" s="50"/>
      <c r="P676" s="50"/>
      <c r="Q676" s="50"/>
      <c r="R676" s="50"/>
      <c r="S676" s="50"/>
      <c r="T676" s="50"/>
      <c r="U676" s="50"/>
      <c r="V676" s="50"/>
      <c r="W676" s="14"/>
      <c r="X676" s="50"/>
      <c r="Y676" s="179"/>
      <c r="Z676" s="50"/>
      <c r="AA676" s="14"/>
    </row>
    <row r="677">
      <c r="A677" s="14"/>
      <c r="B677" s="14"/>
      <c r="C677" s="158"/>
      <c r="D677" s="96"/>
      <c r="E677" s="96"/>
      <c r="F677" s="96"/>
      <c r="G677" s="50"/>
      <c r="H677" s="96"/>
      <c r="I677" s="96"/>
      <c r="J677" s="96"/>
      <c r="K677" s="50"/>
      <c r="L677" s="96"/>
      <c r="M677" s="96"/>
      <c r="N677" s="14"/>
      <c r="O677" s="50"/>
      <c r="P677" s="50"/>
      <c r="Q677" s="50"/>
      <c r="R677" s="50"/>
      <c r="S677" s="50"/>
      <c r="T677" s="50"/>
      <c r="U677" s="50"/>
      <c r="V677" s="50"/>
      <c r="W677" s="14"/>
      <c r="X677" s="50"/>
      <c r="Y677" s="179"/>
      <c r="Z677" s="50"/>
      <c r="AA677" s="14"/>
    </row>
    <row r="678">
      <c r="A678" s="14"/>
      <c r="B678" s="14"/>
      <c r="C678" s="158"/>
      <c r="D678" s="96"/>
      <c r="E678" s="96"/>
      <c r="F678" s="96"/>
      <c r="G678" s="50"/>
      <c r="H678" s="96"/>
      <c r="I678" s="96"/>
      <c r="J678" s="96"/>
      <c r="K678" s="50"/>
      <c r="L678" s="96"/>
      <c r="M678" s="96"/>
      <c r="N678" s="14"/>
      <c r="O678" s="50"/>
      <c r="P678" s="50"/>
      <c r="Q678" s="50"/>
      <c r="R678" s="50"/>
      <c r="S678" s="50"/>
      <c r="T678" s="50"/>
      <c r="U678" s="50"/>
      <c r="V678" s="50"/>
      <c r="W678" s="14"/>
      <c r="X678" s="50"/>
      <c r="Y678" s="179"/>
      <c r="Z678" s="50"/>
      <c r="AA678" s="14"/>
    </row>
    <row r="679">
      <c r="A679" s="14"/>
      <c r="B679" s="14"/>
      <c r="C679" s="158"/>
      <c r="D679" s="96"/>
      <c r="E679" s="96"/>
      <c r="F679" s="96"/>
      <c r="G679" s="50"/>
      <c r="H679" s="96"/>
      <c r="I679" s="96"/>
      <c r="J679" s="96"/>
      <c r="K679" s="50"/>
      <c r="L679" s="96"/>
      <c r="M679" s="96"/>
      <c r="N679" s="14"/>
      <c r="O679" s="50"/>
      <c r="P679" s="50"/>
      <c r="Q679" s="50"/>
      <c r="R679" s="50"/>
      <c r="S679" s="50"/>
      <c r="T679" s="50"/>
      <c r="U679" s="50"/>
      <c r="V679" s="50"/>
      <c r="W679" s="14"/>
      <c r="X679" s="50"/>
      <c r="Y679" s="179"/>
      <c r="Z679" s="50"/>
      <c r="AA679" s="14"/>
    </row>
    <row r="680">
      <c r="A680" s="14"/>
      <c r="B680" s="14"/>
      <c r="C680" s="158"/>
      <c r="D680" s="96"/>
      <c r="E680" s="96"/>
      <c r="F680" s="96"/>
      <c r="G680" s="50"/>
      <c r="H680" s="96"/>
      <c r="I680" s="96"/>
      <c r="J680" s="96"/>
      <c r="K680" s="50"/>
      <c r="L680" s="96"/>
      <c r="M680" s="96"/>
      <c r="N680" s="14"/>
      <c r="O680" s="50"/>
      <c r="P680" s="50"/>
      <c r="Q680" s="50"/>
      <c r="R680" s="50"/>
      <c r="S680" s="50"/>
      <c r="T680" s="50"/>
      <c r="U680" s="50"/>
      <c r="V680" s="50"/>
      <c r="W680" s="14"/>
      <c r="X680" s="50"/>
      <c r="Y680" s="179"/>
      <c r="Z680" s="50"/>
      <c r="AA680" s="14"/>
    </row>
    <row r="681">
      <c r="A681" s="14"/>
      <c r="B681" s="14"/>
      <c r="C681" s="158"/>
      <c r="D681" s="96"/>
      <c r="E681" s="96"/>
      <c r="F681" s="96"/>
      <c r="G681" s="50"/>
      <c r="H681" s="96"/>
      <c r="I681" s="96"/>
      <c r="J681" s="96"/>
      <c r="K681" s="50"/>
      <c r="L681" s="96"/>
      <c r="M681" s="96"/>
      <c r="N681" s="14"/>
      <c r="O681" s="50"/>
      <c r="P681" s="50"/>
      <c r="Q681" s="50"/>
      <c r="R681" s="50"/>
      <c r="S681" s="50"/>
      <c r="T681" s="50"/>
      <c r="U681" s="50"/>
      <c r="V681" s="50"/>
      <c r="W681" s="14"/>
      <c r="X681" s="50"/>
      <c r="Y681" s="179"/>
      <c r="Z681" s="50"/>
      <c r="AA681" s="14"/>
    </row>
    <row r="682">
      <c r="A682" s="14"/>
      <c r="B682" s="14"/>
      <c r="C682" s="158"/>
      <c r="D682" s="96"/>
      <c r="E682" s="96"/>
      <c r="F682" s="96"/>
      <c r="G682" s="50"/>
      <c r="H682" s="96"/>
      <c r="I682" s="96"/>
      <c r="J682" s="96"/>
      <c r="K682" s="50"/>
      <c r="L682" s="96"/>
      <c r="M682" s="96"/>
      <c r="N682" s="14"/>
      <c r="O682" s="50"/>
      <c r="P682" s="50"/>
      <c r="Q682" s="50"/>
      <c r="R682" s="50"/>
      <c r="S682" s="50"/>
      <c r="T682" s="50"/>
      <c r="U682" s="50"/>
      <c r="V682" s="50"/>
      <c r="W682" s="14"/>
      <c r="X682" s="50"/>
      <c r="Y682" s="179"/>
      <c r="Z682" s="50"/>
      <c r="AA682" s="14"/>
    </row>
    <row r="683">
      <c r="A683" s="14"/>
      <c r="B683" s="14"/>
      <c r="C683" s="158"/>
      <c r="D683" s="96"/>
      <c r="E683" s="96"/>
      <c r="F683" s="96"/>
      <c r="G683" s="50"/>
      <c r="H683" s="96"/>
      <c r="I683" s="96"/>
      <c r="J683" s="96"/>
      <c r="K683" s="50"/>
      <c r="L683" s="96"/>
      <c r="M683" s="96"/>
      <c r="N683" s="14"/>
      <c r="O683" s="50"/>
      <c r="P683" s="50"/>
      <c r="Q683" s="50"/>
      <c r="R683" s="50"/>
      <c r="S683" s="50"/>
      <c r="T683" s="50"/>
      <c r="U683" s="50"/>
      <c r="V683" s="50"/>
      <c r="W683" s="14"/>
      <c r="X683" s="50"/>
      <c r="Y683" s="179"/>
      <c r="Z683" s="50"/>
      <c r="AA683" s="14"/>
    </row>
    <row r="684">
      <c r="A684" s="14"/>
      <c r="B684" s="14"/>
      <c r="C684" s="158"/>
      <c r="D684" s="96"/>
      <c r="E684" s="96"/>
      <c r="F684" s="96"/>
      <c r="G684" s="50"/>
      <c r="H684" s="96"/>
      <c r="I684" s="96"/>
      <c r="J684" s="96"/>
      <c r="K684" s="50"/>
      <c r="L684" s="96"/>
      <c r="M684" s="96"/>
      <c r="N684" s="14"/>
      <c r="O684" s="50"/>
      <c r="P684" s="50"/>
      <c r="Q684" s="50"/>
      <c r="R684" s="50"/>
      <c r="S684" s="50"/>
      <c r="T684" s="50"/>
      <c r="U684" s="50"/>
      <c r="V684" s="50"/>
      <c r="W684" s="14"/>
      <c r="X684" s="50"/>
      <c r="Y684" s="179"/>
      <c r="Z684" s="50"/>
      <c r="AA684" s="14"/>
    </row>
    <row r="685">
      <c r="A685" s="14"/>
      <c r="B685" s="14"/>
      <c r="C685" s="158"/>
      <c r="D685" s="96"/>
      <c r="E685" s="96"/>
      <c r="F685" s="96"/>
      <c r="G685" s="50"/>
      <c r="H685" s="96"/>
      <c r="I685" s="96"/>
      <c r="J685" s="96"/>
      <c r="K685" s="50"/>
      <c r="L685" s="96"/>
      <c r="M685" s="96"/>
      <c r="N685" s="14"/>
      <c r="O685" s="50"/>
      <c r="P685" s="50"/>
      <c r="Q685" s="50"/>
      <c r="R685" s="50"/>
      <c r="S685" s="50"/>
      <c r="T685" s="50"/>
      <c r="U685" s="50"/>
      <c r="V685" s="50"/>
      <c r="W685" s="14"/>
      <c r="X685" s="50"/>
      <c r="Y685" s="179"/>
      <c r="Z685" s="50"/>
      <c r="AA685" s="14"/>
    </row>
    <row r="686">
      <c r="A686" s="14"/>
      <c r="B686" s="14"/>
      <c r="C686" s="158"/>
      <c r="D686" s="96"/>
      <c r="E686" s="96"/>
      <c r="F686" s="96"/>
      <c r="G686" s="50"/>
      <c r="H686" s="96"/>
      <c r="I686" s="96"/>
      <c r="J686" s="96"/>
      <c r="K686" s="50"/>
      <c r="L686" s="96"/>
      <c r="M686" s="96"/>
      <c r="N686" s="14"/>
      <c r="O686" s="50"/>
      <c r="P686" s="50"/>
      <c r="Q686" s="50"/>
      <c r="R686" s="50"/>
      <c r="S686" s="50"/>
      <c r="T686" s="50"/>
      <c r="U686" s="50"/>
      <c r="V686" s="50"/>
      <c r="W686" s="14"/>
      <c r="X686" s="50"/>
      <c r="Y686" s="179"/>
      <c r="Z686" s="50"/>
      <c r="AA686" s="14"/>
    </row>
    <row r="687">
      <c r="A687" s="14"/>
      <c r="B687" s="14"/>
      <c r="C687" s="158"/>
      <c r="D687" s="96"/>
      <c r="E687" s="96"/>
      <c r="F687" s="96"/>
      <c r="G687" s="50"/>
      <c r="H687" s="96"/>
      <c r="I687" s="96"/>
      <c r="J687" s="96"/>
      <c r="K687" s="50"/>
      <c r="L687" s="96"/>
      <c r="M687" s="96"/>
      <c r="N687" s="14"/>
      <c r="O687" s="50"/>
      <c r="P687" s="50"/>
      <c r="Q687" s="50"/>
      <c r="R687" s="50"/>
      <c r="S687" s="50"/>
      <c r="T687" s="50"/>
      <c r="U687" s="50"/>
      <c r="V687" s="50"/>
      <c r="W687" s="14"/>
      <c r="X687" s="50"/>
      <c r="Y687" s="179"/>
      <c r="Z687" s="50"/>
      <c r="AA687" s="14"/>
    </row>
    <row r="688">
      <c r="A688" s="14"/>
      <c r="B688" s="14"/>
      <c r="C688" s="158"/>
      <c r="D688" s="96"/>
      <c r="E688" s="96"/>
      <c r="F688" s="96"/>
      <c r="G688" s="50"/>
      <c r="H688" s="96"/>
      <c r="I688" s="96"/>
      <c r="J688" s="96"/>
      <c r="K688" s="50"/>
      <c r="L688" s="96"/>
      <c r="M688" s="96"/>
      <c r="N688" s="14"/>
      <c r="O688" s="50"/>
      <c r="P688" s="50"/>
      <c r="Q688" s="50"/>
      <c r="R688" s="50"/>
      <c r="S688" s="50"/>
      <c r="T688" s="50"/>
      <c r="U688" s="50"/>
      <c r="V688" s="50"/>
      <c r="W688" s="14"/>
      <c r="X688" s="50"/>
      <c r="Y688" s="179"/>
      <c r="Z688" s="50"/>
      <c r="AA688" s="14"/>
    </row>
    <row r="689">
      <c r="A689" s="14"/>
      <c r="B689" s="14"/>
      <c r="C689" s="158"/>
      <c r="D689" s="96"/>
      <c r="E689" s="96"/>
      <c r="F689" s="96"/>
      <c r="G689" s="50"/>
      <c r="H689" s="96"/>
      <c r="I689" s="96"/>
      <c r="J689" s="96"/>
      <c r="K689" s="50"/>
      <c r="L689" s="96"/>
      <c r="M689" s="96"/>
      <c r="N689" s="14"/>
      <c r="O689" s="50"/>
      <c r="P689" s="50"/>
      <c r="Q689" s="50"/>
      <c r="R689" s="50"/>
      <c r="S689" s="50"/>
      <c r="T689" s="50"/>
      <c r="U689" s="50"/>
      <c r="V689" s="50"/>
      <c r="W689" s="14"/>
      <c r="X689" s="50"/>
      <c r="Y689" s="179"/>
      <c r="Z689" s="50"/>
      <c r="AA689" s="14"/>
    </row>
    <row r="690">
      <c r="A690" s="14"/>
      <c r="B690" s="14"/>
      <c r="C690" s="158"/>
      <c r="D690" s="96"/>
      <c r="E690" s="96"/>
      <c r="F690" s="96"/>
      <c r="G690" s="50"/>
      <c r="H690" s="96"/>
      <c r="I690" s="96"/>
      <c r="J690" s="96"/>
      <c r="K690" s="50"/>
      <c r="L690" s="96"/>
      <c r="M690" s="96"/>
      <c r="N690" s="14"/>
      <c r="O690" s="50"/>
      <c r="P690" s="50"/>
      <c r="Q690" s="50"/>
      <c r="R690" s="50"/>
      <c r="S690" s="50"/>
      <c r="T690" s="50"/>
      <c r="U690" s="50"/>
      <c r="V690" s="50"/>
      <c r="W690" s="14"/>
      <c r="X690" s="50"/>
      <c r="Y690" s="179"/>
      <c r="Z690" s="50"/>
      <c r="AA690" s="14"/>
    </row>
    <row r="691">
      <c r="A691" s="14"/>
      <c r="B691" s="14"/>
      <c r="C691" s="158"/>
      <c r="D691" s="96"/>
      <c r="E691" s="96"/>
      <c r="F691" s="96"/>
      <c r="G691" s="50"/>
      <c r="H691" s="96"/>
      <c r="I691" s="96"/>
      <c r="J691" s="96"/>
      <c r="K691" s="50"/>
      <c r="L691" s="96"/>
      <c r="M691" s="96"/>
      <c r="N691" s="14"/>
      <c r="O691" s="50"/>
      <c r="P691" s="50"/>
      <c r="Q691" s="50"/>
      <c r="R691" s="50"/>
      <c r="S691" s="50"/>
      <c r="T691" s="50"/>
      <c r="U691" s="50"/>
      <c r="V691" s="50"/>
      <c r="W691" s="14"/>
      <c r="X691" s="50"/>
      <c r="Y691" s="179"/>
      <c r="Z691" s="50"/>
      <c r="AA691" s="14"/>
    </row>
    <row r="692">
      <c r="A692" s="14"/>
      <c r="B692" s="14"/>
      <c r="C692" s="158"/>
      <c r="D692" s="96"/>
      <c r="E692" s="96"/>
      <c r="F692" s="96"/>
      <c r="G692" s="50"/>
      <c r="H692" s="96"/>
      <c r="I692" s="96"/>
      <c r="J692" s="96"/>
      <c r="K692" s="50"/>
      <c r="L692" s="96"/>
      <c r="M692" s="96"/>
      <c r="N692" s="14"/>
      <c r="O692" s="50"/>
      <c r="P692" s="50"/>
      <c r="Q692" s="50"/>
      <c r="R692" s="50"/>
      <c r="S692" s="50"/>
      <c r="T692" s="50"/>
      <c r="U692" s="50"/>
      <c r="V692" s="50"/>
      <c r="W692" s="14"/>
      <c r="X692" s="50"/>
      <c r="Y692" s="179"/>
      <c r="Z692" s="50"/>
      <c r="AA692" s="14"/>
    </row>
    <row r="693">
      <c r="A693" s="14"/>
      <c r="B693" s="14"/>
      <c r="C693" s="158"/>
      <c r="D693" s="96"/>
      <c r="E693" s="96"/>
      <c r="F693" s="96"/>
      <c r="G693" s="50"/>
      <c r="H693" s="96"/>
      <c r="I693" s="96"/>
      <c r="J693" s="96"/>
      <c r="K693" s="50"/>
      <c r="L693" s="96"/>
      <c r="M693" s="96"/>
      <c r="N693" s="14"/>
      <c r="O693" s="50"/>
      <c r="P693" s="50"/>
      <c r="Q693" s="50"/>
      <c r="R693" s="50"/>
      <c r="S693" s="50"/>
      <c r="T693" s="50"/>
      <c r="U693" s="50"/>
      <c r="V693" s="50"/>
      <c r="W693" s="14"/>
      <c r="X693" s="50"/>
      <c r="Y693" s="179"/>
      <c r="Z693" s="50"/>
      <c r="AA693" s="14"/>
    </row>
    <row r="694">
      <c r="A694" s="14"/>
      <c r="B694" s="14"/>
      <c r="C694" s="158"/>
      <c r="D694" s="96"/>
      <c r="E694" s="96"/>
      <c r="F694" s="96"/>
      <c r="G694" s="50"/>
      <c r="H694" s="96"/>
      <c r="I694" s="96"/>
      <c r="J694" s="96"/>
      <c r="K694" s="50"/>
      <c r="L694" s="96"/>
      <c r="M694" s="96"/>
      <c r="N694" s="14"/>
      <c r="O694" s="50"/>
      <c r="P694" s="50"/>
      <c r="Q694" s="50"/>
      <c r="R694" s="50"/>
      <c r="S694" s="50"/>
      <c r="T694" s="50"/>
      <c r="U694" s="50"/>
      <c r="V694" s="50"/>
      <c r="W694" s="14"/>
      <c r="X694" s="50"/>
      <c r="Y694" s="179"/>
      <c r="Z694" s="50"/>
      <c r="AA694" s="14"/>
    </row>
    <row r="695">
      <c r="A695" s="14"/>
      <c r="B695" s="14"/>
      <c r="C695" s="158"/>
      <c r="D695" s="96"/>
      <c r="E695" s="96"/>
      <c r="F695" s="96"/>
      <c r="G695" s="50"/>
      <c r="H695" s="96"/>
      <c r="I695" s="96"/>
      <c r="J695" s="96"/>
      <c r="K695" s="50"/>
      <c r="L695" s="96"/>
      <c r="M695" s="96"/>
      <c r="N695" s="14"/>
      <c r="O695" s="50"/>
      <c r="P695" s="50"/>
      <c r="Q695" s="50"/>
      <c r="R695" s="50"/>
      <c r="S695" s="50"/>
      <c r="T695" s="50"/>
      <c r="U695" s="50"/>
      <c r="V695" s="50"/>
      <c r="W695" s="14"/>
      <c r="X695" s="50"/>
      <c r="Y695" s="179"/>
      <c r="Z695" s="50"/>
      <c r="AA695" s="14"/>
    </row>
    <row r="696">
      <c r="A696" s="14"/>
      <c r="B696" s="14"/>
      <c r="C696" s="158"/>
      <c r="D696" s="96"/>
      <c r="E696" s="96"/>
      <c r="F696" s="96"/>
      <c r="G696" s="50"/>
      <c r="H696" s="96"/>
      <c r="I696" s="96"/>
      <c r="J696" s="96"/>
      <c r="K696" s="50"/>
      <c r="L696" s="96"/>
      <c r="M696" s="96"/>
      <c r="N696" s="14"/>
      <c r="O696" s="50"/>
      <c r="P696" s="50"/>
      <c r="Q696" s="50"/>
      <c r="R696" s="50"/>
      <c r="S696" s="50"/>
      <c r="T696" s="50"/>
      <c r="U696" s="50"/>
      <c r="V696" s="50"/>
      <c r="W696" s="14"/>
      <c r="X696" s="50"/>
      <c r="Y696" s="179"/>
      <c r="Z696" s="50"/>
      <c r="AA696" s="14"/>
    </row>
    <row r="697">
      <c r="A697" s="14"/>
      <c r="B697" s="14"/>
      <c r="C697" s="158"/>
      <c r="D697" s="96"/>
      <c r="E697" s="96"/>
      <c r="F697" s="96"/>
      <c r="G697" s="50"/>
      <c r="H697" s="96"/>
      <c r="I697" s="96"/>
      <c r="J697" s="96"/>
      <c r="K697" s="50"/>
      <c r="L697" s="96"/>
      <c r="M697" s="96"/>
      <c r="N697" s="14"/>
      <c r="O697" s="50"/>
      <c r="P697" s="50"/>
      <c r="Q697" s="50"/>
      <c r="R697" s="50"/>
      <c r="S697" s="50"/>
      <c r="T697" s="50"/>
      <c r="U697" s="50"/>
      <c r="V697" s="50"/>
      <c r="W697" s="14"/>
      <c r="X697" s="50"/>
      <c r="Y697" s="179"/>
      <c r="Z697" s="50"/>
      <c r="AA697" s="14"/>
    </row>
    <row r="698">
      <c r="A698" s="14"/>
      <c r="B698" s="14"/>
      <c r="C698" s="158"/>
      <c r="D698" s="96"/>
      <c r="E698" s="96"/>
      <c r="F698" s="96"/>
      <c r="G698" s="50"/>
      <c r="H698" s="96"/>
      <c r="I698" s="96"/>
      <c r="J698" s="96"/>
      <c r="K698" s="50"/>
      <c r="L698" s="96"/>
      <c r="M698" s="96"/>
      <c r="N698" s="14"/>
      <c r="O698" s="50"/>
      <c r="P698" s="50"/>
      <c r="Q698" s="50"/>
      <c r="R698" s="50"/>
      <c r="S698" s="50"/>
      <c r="T698" s="50"/>
      <c r="U698" s="50"/>
      <c r="V698" s="50"/>
      <c r="W698" s="14"/>
      <c r="X698" s="50"/>
      <c r="Y698" s="179"/>
      <c r="Z698" s="50"/>
      <c r="AA698" s="14"/>
    </row>
    <row r="699">
      <c r="A699" s="14"/>
      <c r="B699" s="14"/>
      <c r="C699" s="158"/>
      <c r="D699" s="96"/>
      <c r="E699" s="96"/>
      <c r="F699" s="96"/>
      <c r="G699" s="50"/>
      <c r="H699" s="96"/>
      <c r="I699" s="96"/>
      <c r="J699" s="96"/>
      <c r="K699" s="50"/>
      <c r="L699" s="96"/>
      <c r="M699" s="96"/>
      <c r="N699" s="14"/>
      <c r="O699" s="50"/>
      <c r="P699" s="50"/>
      <c r="Q699" s="50"/>
      <c r="R699" s="50"/>
      <c r="S699" s="50"/>
      <c r="T699" s="50"/>
      <c r="U699" s="50"/>
      <c r="V699" s="50"/>
      <c r="W699" s="14"/>
      <c r="X699" s="50"/>
      <c r="Y699" s="179"/>
      <c r="Z699" s="50"/>
      <c r="AA699" s="14"/>
    </row>
    <row r="700">
      <c r="A700" s="14"/>
      <c r="B700" s="14"/>
      <c r="C700" s="158"/>
      <c r="D700" s="96"/>
      <c r="E700" s="96"/>
      <c r="F700" s="96"/>
      <c r="G700" s="50"/>
      <c r="H700" s="96"/>
      <c r="I700" s="96"/>
      <c r="J700" s="96"/>
      <c r="K700" s="50"/>
      <c r="L700" s="96"/>
      <c r="M700" s="96"/>
      <c r="N700" s="14"/>
      <c r="O700" s="50"/>
      <c r="P700" s="50"/>
      <c r="Q700" s="50"/>
      <c r="R700" s="50"/>
      <c r="S700" s="50"/>
      <c r="T700" s="50"/>
      <c r="U700" s="50"/>
      <c r="V700" s="50"/>
      <c r="W700" s="14"/>
      <c r="X700" s="50"/>
      <c r="Y700" s="179"/>
      <c r="Z700" s="50"/>
      <c r="AA700" s="14"/>
    </row>
    <row r="701">
      <c r="A701" s="14"/>
      <c r="B701" s="14"/>
      <c r="C701" s="158"/>
      <c r="D701" s="96"/>
      <c r="E701" s="96"/>
      <c r="F701" s="96"/>
      <c r="G701" s="50"/>
      <c r="H701" s="96"/>
      <c r="I701" s="96"/>
      <c r="J701" s="96"/>
      <c r="K701" s="50"/>
      <c r="L701" s="96"/>
      <c r="M701" s="96"/>
      <c r="N701" s="14"/>
      <c r="O701" s="50"/>
      <c r="P701" s="50"/>
      <c r="Q701" s="50"/>
      <c r="R701" s="50"/>
      <c r="S701" s="50"/>
      <c r="T701" s="50"/>
      <c r="U701" s="50"/>
      <c r="V701" s="50"/>
      <c r="W701" s="14"/>
      <c r="X701" s="50"/>
      <c r="Y701" s="179"/>
      <c r="Z701" s="50"/>
      <c r="AA701" s="14"/>
    </row>
    <row r="702">
      <c r="A702" s="14"/>
      <c r="B702" s="14"/>
      <c r="C702" s="158"/>
      <c r="D702" s="96"/>
      <c r="E702" s="96"/>
      <c r="F702" s="96"/>
      <c r="G702" s="50"/>
      <c r="H702" s="96"/>
      <c r="I702" s="96"/>
      <c r="J702" s="96"/>
      <c r="K702" s="50"/>
      <c r="L702" s="96"/>
      <c r="M702" s="96"/>
      <c r="N702" s="14"/>
      <c r="O702" s="50"/>
      <c r="P702" s="50"/>
      <c r="Q702" s="50"/>
      <c r="R702" s="50"/>
      <c r="S702" s="50"/>
      <c r="T702" s="50"/>
      <c r="U702" s="50"/>
      <c r="V702" s="50"/>
      <c r="W702" s="14"/>
      <c r="X702" s="50"/>
      <c r="Y702" s="179"/>
      <c r="Z702" s="50"/>
      <c r="AA702" s="14"/>
    </row>
    <row r="703">
      <c r="A703" s="14"/>
      <c r="B703" s="14"/>
      <c r="C703" s="158"/>
      <c r="D703" s="96"/>
      <c r="E703" s="96"/>
      <c r="F703" s="96"/>
      <c r="G703" s="50"/>
      <c r="H703" s="96"/>
      <c r="I703" s="96"/>
      <c r="J703" s="96"/>
      <c r="K703" s="50"/>
      <c r="L703" s="96"/>
      <c r="M703" s="96"/>
      <c r="N703" s="14"/>
      <c r="O703" s="50"/>
      <c r="P703" s="50"/>
      <c r="Q703" s="50"/>
      <c r="R703" s="50"/>
      <c r="S703" s="50"/>
      <c r="T703" s="50"/>
      <c r="U703" s="50"/>
      <c r="V703" s="50"/>
      <c r="W703" s="14"/>
      <c r="X703" s="50"/>
      <c r="Y703" s="179"/>
      <c r="Z703" s="50"/>
      <c r="AA703" s="14"/>
    </row>
    <row r="704">
      <c r="A704" s="14"/>
      <c r="B704" s="14"/>
      <c r="C704" s="158"/>
      <c r="D704" s="96"/>
      <c r="E704" s="96"/>
      <c r="F704" s="96"/>
      <c r="G704" s="50"/>
      <c r="H704" s="96"/>
      <c r="I704" s="96"/>
      <c r="J704" s="96"/>
      <c r="K704" s="50"/>
      <c r="L704" s="96"/>
      <c r="M704" s="96"/>
      <c r="N704" s="14"/>
      <c r="O704" s="50"/>
      <c r="P704" s="50"/>
      <c r="Q704" s="50"/>
      <c r="R704" s="50"/>
      <c r="S704" s="50"/>
      <c r="T704" s="50"/>
      <c r="U704" s="50"/>
      <c r="V704" s="50"/>
      <c r="W704" s="14"/>
      <c r="X704" s="50"/>
      <c r="Y704" s="179"/>
      <c r="Z704" s="50"/>
      <c r="AA704" s="14"/>
    </row>
    <row r="705">
      <c r="A705" s="14"/>
      <c r="B705" s="14"/>
      <c r="C705" s="158"/>
      <c r="D705" s="96"/>
      <c r="E705" s="96"/>
      <c r="F705" s="96"/>
      <c r="G705" s="50"/>
      <c r="H705" s="96"/>
      <c r="I705" s="96"/>
      <c r="J705" s="96"/>
      <c r="K705" s="50"/>
      <c r="L705" s="96"/>
      <c r="M705" s="96"/>
      <c r="N705" s="14"/>
      <c r="O705" s="50"/>
      <c r="P705" s="50"/>
      <c r="Q705" s="50"/>
      <c r="R705" s="50"/>
      <c r="S705" s="50"/>
      <c r="T705" s="50"/>
      <c r="U705" s="50"/>
      <c r="V705" s="50"/>
      <c r="W705" s="14"/>
      <c r="X705" s="50"/>
      <c r="Y705" s="179"/>
      <c r="Z705" s="50"/>
      <c r="AA705" s="14"/>
    </row>
    <row r="706">
      <c r="A706" s="14"/>
      <c r="B706" s="14"/>
      <c r="C706" s="158"/>
      <c r="D706" s="96"/>
      <c r="E706" s="96"/>
      <c r="F706" s="96"/>
      <c r="G706" s="50"/>
      <c r="H706" s="96"/>
      <c r="I706" s="96"/>
      <c r="J706" s="96"/>
      <c r="K706" s="50"/>
      <c r="L706" s="96"/>
      <c r="M706" s="96"/>
      <c r="N706" s="14"/>
      <c r="O706" s="50"/>
      <c r="P706" s="50"/>
      <c r="Q706" s="50"/>
      <c r="R706" s="50"/>
      <c r="S706" s="50"/>
      <c r="T706" s="50"/>
      <c r="U706" s="50"/>
      <c r="V706" s="50"/>
      <c r="W706" s="14"/>
      <c r="X706" s="50"/>
      <c r="Y706" s="179"/>
      <c r="Z706" s="50"/>
      <c r="AA706" s="14"/>
    </row>
    <row r="707">
      <c r="A707" s="14"/>
      <c r="B707" s="14"/>
      <c r="C707" s="158"/>
      <c r="D707" s="96"/>
      <c r="E707" s="96"/>
      <c r="F707" s="96"/>
      <c r="G707" s="50"/>
      <c r="H707" s="96"/>
      <c r="I707" s="96"/>
      <c r="J707" s="96"/>
      <c r="K707" s="50"/>
      <c r="L707" s="96"/>
      <c r="M707" s="96"/>
      <c r="N707" s="14"/>
      <c r="O707" s="50"/>
      <c r="P707" s="50"/>
      <c r="Q707" s="50"/>
      <c r="R707" s="50"/>
      <c r="S707" s="50"/>
      <c r="T707" s="50"/>
      <c r="U707" s="50"/>
      <c r="V707" s="50"/>
      <c r="W707" s="14"/>
      <c r="X707" s="50"/>
      <c r="Y707" s="179"/>
      <c r="Z707" s="50"/>
      <c r="AA707" s="14"/>
    </row>
    <row r="708">
      <c r="A708" s="14"/>
      <c r="B708" s="14"/>
      <c r="C708" s="158"/>
      <c r="D708" s="96"/>
      <c r="E708" s="96"/>
      <c r="F708" s="96"/>
      <c r="G708" s="50"/>
      <c r="H708" s="96"/>
      <c r="I708" s="96"/>
      <c r="J708" s="96"/>
      <c r="K708" s="50"/>
      <c r="L708" s="96"/>
      <c r="M708" s="96"/>
      <c r="N708" s="14"/>
      <c r="O708" s="50"/>
      <c r="P708" s="50"/>
      <c r="Q708" s="50"/>
      <c r="R708" s="50"/>
      <c r="S708" s="50"/>
      <c r="T708" s="50"/>
      <c r="U708" s="50"/>
      <c r="V708" s="50"/>
      <c r="W708" s="14"/>
      <c r="X708" s="50"/>
      <c r="Y708" s="179"/>
      <c r="Z708" s="50"/>
      <c r="AA708" s="14"/>
    </row>
    <row r="709">
      <c r="A709" s="14"/>
      <c r="B709" s="14"/>
      <c r="C709" s="158"/>
      <c r="D709" s="96"/>
      <c r="E709" s="96"/>
      <c r="F709" s="96"/>
      <c r="G709" s="50"/>
      <c r="H709" s="96"/>
      <c r="I709" s="96"/>
      <c r="J709" s="96"/>
      <c r="K709" s="50"/>
      <c r="L709" s="96"/>
      <c r="M709" s="96"/>
      <c r="N709" s="14"/>
      <c r="O709" s="50"/>
      <c r="P709" s="50"/>
      <c r="Q709" s="50"/>
      <c r="R709" s="50"/>
      <c r="S709" s="50"/>
      <c r="T709" s="50"/>
      <c r="U709" s="50"/>
      <c r="V709" s="50"/>
      <c r="W709" s="14"/>
      <c r="X709" s="50"/>
      <c r="Y709" s="179"/>
      <c r="Z709" s="50"/>
      <c r="AA709" s="14"/>
    </row>
    <row r="710">
      <c r="A710" s="14"/>
      <c r="B710" s="14"/>
      <c r="C710" s="158"/>
      <c r="D710" s="96"/>
      <c r="E710" s="96"/>
      <c r="F710" s="96"/>
      <c r="G710" s="50"/>
      <c r="H710" s="96"/>
      <c r="I710" s="96"/>
      <c r="J710" s="96"/>
      <c r="K710" s="50"/>
      <c r="L710" s="96"/>
      <c r="M710" s="96"/>
      <c r="N710" s="14"/>
      <c r="O710" s="50"/>
      <c r="P710" s="50"/>
      <c r="Q710" s="50"/>
      <c r="R710" s="50"/>
      <c r="S710" s="50"/>
      <c r="T710" s="50"/>
      <c r="U710" s="50"/>
      <c r="V710" s="50"/>
      <c r="W710" s="14"/>
      <c r="X710" s="50"/>
      <c r="Y710" s="179"/>
      <c r="Z710" s="50"/>
      <c r="AA710" s="14"/>
    </row>
    <row r="711">
      <c r="A711" s="14"/>
      <c r="B711" s="14"/>
      <c r="C711" s="158"/>
      <c r="D711" s="96"/>
      <c r="E711" s="96"/>
      <c r="F711" s="96"/>
      <c r="G711" s="50"/>
      <c r="H711" s="96"/>
      <c r="I711" s="96"/>
      <c r="J711" s="96"/>
      <c r="K711" s="50"/>
      <c r="L711" s="96"/>
      <c r="M711" s="96"/>
      <c r="N711" s="14"/>
      <c r="O711" s="50"/>
      <c r="P711" s="50"/>
      <c r="Q711" s="50"/>
      <c r="R711" s="50"/>
      <c r="S711" s="50"/>
      <c r="T711" s="50"/>
      <c r="U711" s="50"/>
      <c r="V711" s="50"/>
      <c r="W711" s="14"/>
      <c r="X711" s="50"/>
      <c r="Y711" s="179"/>
      <c r="Z711" s="50"/>
      <c r="AA711" s="14"/>
    </row>
    <row r="712">
      <c r="A712" s="14"/>
      <c r="B712" s="14"/>
      <c r="C712" s="158"/>
      <c r="D712" s="96"/>
      <c r="E712" s="96"/>
      <c r="F712" s="96"/>
      <c r="G712" s="50"/>
      <c r="H712" s="96"/>
      <c r="I712" s="96"/>
      <c r="J712" s="96"/>
      <c r="K712" s="50"/>
      <c r="L712" s="96"/>
      <c r="M712" s="96"/>
      <c r="N712" s="14"/>
      <c r="O712" s="50"/>
      <c r="P712" s="50"/>
      <c r="Q712" s="50"/>
      <c r="R712" s="50"/>
      <c r="S712" s="50"/>
      <c r="T712" s="50"/>
      <c r="U712" s="50"/>
      <c r="V712" s="50"/>
      <c r="W712" s="14"/>
      <c r="X712" s="50"/>
      <c r="Y712" s="179"/>
      <c r="Z712" s="50"/>
      <c r="AA712" s="14"/>
    </row>
    <row r="713">
      <c r="A713" s="14"/>
      <c r="B713" s="14"/>
      <c r="C713" s="158"/>
      <c r="D713" s="96"/>
      <c r="E713" s="96"/>
      <c r="F713" s="96"/>
      <c r="G713" s="50"/>
      <c r="H713" s="96"/>
      <c r="I713" s="96"/>
      <c r="J713" s="96"/>
      <c r="K713" s="50"/>
      <c r="L713" s="96"/>
      <c r="M713" s="96"/>
      <c r="N713" s="14"/>
      <c r="O713" s="50"/>
      <c r="P713" s="50"/>
      <c r="Q713" s="50"/>
      <c r="R713" s="50"/>
      <c r="S713" s="50"/>
      <c r="T713" s="50"/>
      <c r="U713" s="50"/>
      <c r="V713" s="50"/>
      <c r="W713" s="14"/>
      <c r="X713" s="50"/>
      <c r="Y713" s="179"/>
      <c r="Z713" s="50"/>
      <c r="AA713" s="14"/>
    </row>
    <row r="714">
      <c r="A714" s="14"/>
      <c r="B714" s="14"/>
      <c r="C714" s="158"/>
      <c r="D714" s="96"/>
      <c r="E714" s="96"/>
      <c r="F714" s="96"/>
      <c r="G714" s="50"/>
      <c r="H714" s="96"/>
      <c r="I714" s="96"/>
      <c r="J714" s="96"/>
      <c r="K714" s="50"/>
      <c r="L714" s="96"/>
      <c r="M714" s="96"/>
      <c r="N714" s="14"/>
      <c r="O714" s="50"/>
      <c r="P714" s="50"/>
      <c r="Q714" s="50"/>
      <c r="R714" s="50"/>
      <c r="S714" s="50"/>
      <c r="T714" s="50"/>
      <c r="U714" s="50"/>
      <c r="V714" s="50"/>
      <c r="W714" s="14"/>
      <c r="X714" s="50"/>
      <c r="Y714" s="179"/>
      <c r="Z714" s="50"/>
      <c r="AA714" s="14"/>
    </row>
    <row r="715">
      <c r="A715" s="14"/>
      <c r="B715" s="14"/>
      <c r="C715" s="158"/>
      <c r="D715" s="96"/>
      <c r="E715" s="96"/>
      <c r="F715" s="96"/>
      <c r="G715" s="50"/>
      <c r="H715" s="96"/>
      <c r="I715" s="96"/>
      <c r="J715" s="96"/>
      <c r="K715" s="50"/>
      <c r="L715" s="96"/>
      <c r="M715" s="96"/>
      <c r="N715" s="14"/>
      <c r="O715" s="50"/>
      <c r="P715" s="50"/>
      <c r="Q715" s="50"/>
      <c r="R715" s="50"/>
      <c r="S715" s="50"/>
      <c r="T715" s="50"/>
      <c r="U715" s="50"/>
      <c r="V715" s="50"/>
      <c r="W715" s="14"/>
      <c r="X715" s="50"/>
      <c r="Y715" s="179"/>
      <c r="Z715" s="50"/>
      <c r="AA715" s="14"/>
    </row>
    <row r="716">
      <c r="A716" s="14"/>
      <c r="B716" s="14"/>
      <c r="C716" s="158"/>
      <c r="D716" s="96"/>
      <c r="E716" s="96"/>
      <c r="F716" s="96"/>
      <c r="G716" s="50"/>
      <c r="H716" s="96"/>
      <c r="I716" s="96"/>
      <c r="J716" s="96"/>
      <c r="K716" s="50"/>
      <c r="L716" s="96"/>
      <c r="M716" s="96"/>
      <c r="N716" s="14"/>
      <c r="O716" s="50"/>
      <c r="P716" s="50"/>
      <c r="Q716" s="50"/>
      <c r="R716" s="50"/>
      <c r="S716" s="50"/>
      <c r="T716" s="50"/>
      <c r="U716" s="50"/>
      <c r="V716" s="50"/>
      <c r="W716" s="14"/>
      <c r="X716" s="50"/>
      <c r="Y716" s="179"/>
      <c r="Z716" s="50"/>
      <c r="AA716" s="14"/>
    </row>
    <row r="717">
      <c r="A717" s="14"/>
      <c r="B717" s="14"/>
      <c r="C717" s="158"/>
      <c r="D717" s="96"/>
      <c r="E717" s="96"/>
      <c r="F717" s="96"/>
      <c r="G717" s="50"/>
      <c r="H717" s="96"/>
      <c r="I717" s="96"/>
      <c r="J717" s="96"/>
      <c r="K717" s="50"/>
      <c r="L717" s="96"/>
      <c r="M717" s="96"/>
      <c r="N717" s="14"/>
      <c r="O717" s="50"/>
      <c r="P717" s="50"/>
      <c r="Q717" s="50"/>
      <c r="R717" s="50"/>
      <c r="S717" s="50"/>
      <c r="T717" s="50"/>
      <c r="U717" s="50"/>
      <c r="V717" s="50"/>
      <c r="W717" s="14"/>
      <c r="X717" s="50"/>
      <c r="Y717" s="179"/>
      <c r="Z717" s="50"/>
      <c r="AA717" s="14"/>
    </row>
    <row r="718">
      <c r="A718" s="14"/>
      <c r="B718" s="14"/>
      <c r="C718" s="158"/>
      <c r="D718" s="96"/>
      <c r="E718" s="96"/>
      <c r="F718" s="96"/>
      <c r="G718" s="50"/>
      <c r="H718" s="96"/>
      <c r="I718" s="96"/>
      <c r="J718" s="96"/>
      <c r="K718" s="50"/>
      <c r="L718" s="96"/>
      <c r="M718" s="96"/>
      <c r="N718" s="14"/>
      <c r="O718" s="50"/>
      <c r="P718" s="50"/>
      <c r="Q718" s="50"/>
      <c r="R718" s="50"/>
      <c r="S718" s="50"/>
      <c r="T718" s="50"/>
      <c r="U718" s="50"/>
      <c r="V718" s="50"/>
      <c r="W718" s="14"/>
      <c r="X718" s="50"/>
      <c r="Y718" s="179"/>
      <c r="Z718" s="50"/>
      <c r="AA718" s="14"/>
    </row>
    <row r="719">
      <c r="A719" s="14"/>
      <c r="B719" s="14"/>
      <c r="C719" s="158"/>
      <c r="D719" s="96"/>
      <c r="E719" s="96"/>
      <c r="F719" s="96"/>
      <c r="G719" s="50"/>
      <c r="H719" s="96"/>
      <c r="I719" s="96"/>
      <c r="J719" s="96"/>
      <c r="K719" s="50"/>
      <c r="L719" s="96"/>
      <c r="M719" s="96"/>
      <c r="N719" s="14"/>
      <c r="O719" s="50"/>
      <c r="P719" s="50"/>
      <c r="Q719" s="50"/>
      <c r="R719" s="50"/>
      <c r="S719" s="50"/>
      <c r="T719" s="50"/>
      <c r="U719" s="50"/>
      <c r="V719" s="50"/>
      <c r="W719" s="14"/>
      <c r="X719" s="50"/>
      <c r="Y719" s="179"/>
      <c r="Z719" s="50"/>
      <c r="AA719" s="14"/>
    </row>
    <row r="720">
      <c r="A720" s="14"/>
      <c r="B720" s="14"/>
      <c r="C720" s="158"/>
      <c r="D720" s="96"/>
      <c r="E720" s="96"/>
      <c r="F720" s="96"/>
      <c r="G720" s="50"/>
      <c r="H720" s="96"/>
      <c r="I720" s="96"/>
      <c r="J720" s="96"/>
      <c r="K720" s="50"/>
      <c r="L720" s="96"/>
      <c r="M720" s="96"/>
      <c r="N720" s="14"/>
      <c r="O720" s="50"/>
      <c r="P720" s="50"/>
      <c r="Q720" s="50"/>
      <c r="R720" s="50"/>
      <c r="S720" s="50"/>
      <c r="T720" s="50"/>
      <c r="U720" s="50"/>
      <c r="V720" s="50"/>
      <c r="W720" s="14"/>
      <c r="X720" s="50"/>
      <c r="Y720" s="179"/>
      <c r="Z720" s="50"/>
      <c r="AA720" s="14"/>
    </row>
    <row r="721">
      <c r="A721" s="14"/>
      <c r="B721" s="14"/>
      <c r="C721" s="158"/>
      <c r="D721" s="96"/>
      <c r="E721" s="96"/>
      <c r="F721" s="96"/>
      <c r="G721" s="50"/>
      <c r="H721" s="96"/>
      <c r="I721" s="96"/>
      <c r="J721" s="96"/>
      <c r="K721" s="50"/>
      <c r="L721" s="96"/>
      <c r="M721" s="96"/>
      <c r="N721" s="14"/>
      <c r="O721" s="50"/>
      <c r="P721" s="50"/>
      <c r="Q721" s="50"/>
      <c r="R721" s="50"/>
      <c r="S721" s="50"/>
      <c r="T721" s="50"/>
      <c r="U721" s="50"/>
      <c r="V721" s="50"/>
      <c r="W721" s="14"/>
      <c r="X721" s="50"/>
      <c r="Y721" s="179"/>
      <c r="Z721" s="50"/>
      <c r="AA721" s="14"/>
    </row>
    <row r="722">
      <c r="A722" s="14"/>
      <c r="B722" s="14"/>
      <c r="C722" s="158"/>
      <c r="D722" s="96"/>
      <c r="E722" s="96"/>
      <c r="F722" s="96"/>
      <c r="G722" s="50"/>
      <c r="H722" s="96"/>
      <c r="I722" s="96"/>
      <c r="J722" s="96"/>
      <c r="K722" s="50"/>
      <c r="L722" s="96"/>
      <c r="M722" s="96"/>
      <c r="N722" s="14"/>
      <c r="O722" s="50"/>
      <c r="P722" s="50"/>
      <c r="Q722" s="50"/>
      <c r="R722" s="50"/>
      <c r="S722" s="50"/>
      <c r="T722" s="50"/>
      <c r="U722" s="50"/>
      <c r="V722" s="50"/>
      <c r="W722" s="14"/>
      <c r="X722" s="50"/>
      <c r="Y722" s="179"/>
      <c r="Z722" s="50"/>
      <c r="AA722" s="14"/>
    </row>
    <row r="723">
      <c r="A723" s="14"/>
      <c r="B723" s="14"/>
      <c r="C723" s="158"/>
      <c r="D723" s="96"/>
      <c r="E723" s="96"/>
      <c r="F723" s="96"/>
      <c r="G723" s="50"/>
      <c r="H723" s="96"/>
      <c r="I723" s="96"/>
      <c r="J723" s="96"/>
      <c r="K723" s="50"/>
      <c r="L723" s="96"/>
      <c r="M723" s="96"/>
      <c r="N723" s="14"/>
      <c r="O723" s="50"/>
      <c r="P723" s="50"/>
      <c r="Q723" s="50"/>
      <c r="R723" s="50"/>
      <c r="S723" s="50"/>
      <c r="T723" s="50"/>
      <c r="U723" s="50"/>
      <c r="V723" s="50"/>
      <c r="W723" s="14"/>
      <c r="X723" s="50"/>
      <c r="Y723" s="179"/>
      <c r="Z723" s="50"/>
      <c r="AA723" s="14"/>
    </row>
    <row r="724">
      <c r="A724" s="14"/>
      <c r="B724" s="14"/>
      <c r="C724" s="158"/>
      <c r="D724" s="96"/>
      <c r="E724" s="96"/>
      <c r="F724" s="96"/>
      <c r="G724" s="50"/>
      <c r="H724" s="96"/>
      <c r="I724" s="96"/>
      <c r="J724" s="96"/>
      <c r="K724" s="50"/>
      <c r="L724" s="96"/>
      <c r="M724" s="96"/>
      <c r="N724" s="14"/>
      <c r="O724" s="50"/>
      <c r="P724" s="50"/>
      <c r="Q724" s="50"/>
      <c r="R724" s="50"/>
      <c r="S724" s="50"/>
      <c r="T724" s="50"/>
      <c r="U724" s="50"/>
      <c r="V724" s="50"/>
      <c r="W724" s="14"/>
      <c r="X724" s="50"/>
      <c r="Y724" s="179"/>
      <c r="Z724" s="50"/>
      <c r="AA724" s="14"/>
    </row>
    <row r="725">
      <c r="A725" s="14"/>
      <c r="B725" s="14"/>
      <c r="C725" s="158"/>
      <c r="D725" s="96"/>
      <c r="E725" s="96"/>
      <c r="F725" s="96"/>
      <c r="G725" s="50"/>
      <c r="H725" s="96"/>
      <c r="I725" s="96"/>
      <c r="J725" s="96"/>
      <c r="K725" s="50"/>
      <c r="L725" s="96"/>
      <c r="M725" s="96"/>
      <c r="N725" s="14"/>
      <c r="O725" s="50"/>
      <c r="P725" s="50"/>
      <c r="Q725" s="50"/>
      <c r="R725" s="50"/>
      <c r="S725" s="50"/>
      <c r="T725" s="50"/>
      <c r="U725" s="50"/>
      <c r="V725" s="50"/>
      <c r="W725" s="14"/>
      <c r="X725" s="50"/>
      <c r="Y725" s="179"/>
      <c r="Z725" s="50"/>
      <c r="AA725" s="14"/>
    </row>
    <row r="726">
      <c r="A726" s="14"/>
      <c r="B726" s="14"/>
      <c r="C726" s="158"/>
      <c r="D726" s="96"/>
      <c r="E726" s="96"/>
      <c r="F726" s="96"/>
      <c r="G726" s="50"/>
      <c r="H726" s="96"/>
      <c r="I726" s="96"/>
      <c r="J726" s="96"/>
      <c r="K726" s="50"/>
      <c r="L726" s="96"/>
      <c r="M726" s="96"/>
      <c r="N726" s="14"/>
      <c r="O726" s="50"/>
      <c r="P726" s="50"/>
      <c r="Q726" s="50"/>
      <c r="R726" s="50"/>
      <c r="S726" s="50"/>
      <c r="T726" s="50"/>
      <c r="U726" s="50"/>
      <c r="V726" s="50"/>
      <c r="W726" s="14"/>
      <c r="X726" s="50"/>
      <c r="Y726" s="179"/>
      <c r="Z726" s="50"/>
      <c r="AA726" s="14"/>
    </row>
    <row r="727">
      <c r="A727" s="14"/>
      <c r="B727" s="14"/>
      <c r="C727" s="158"/>
      <c r="D727" s="96"/>
      <c r="E727" s="96"/>
      <c r="F727" s="96"/>
      <c r="G727" s="50"/>
      <c r="H727" s="96"/>
      <c r="I727" s="96"/>
      <c r="J727" s="96"/>
      <c r="K727" s="50"/>
      <c r="L727" s="96"/>
      <c r="M727" s="96"/>
      <c r="N727" s="14"/>
      <c r="O727" s="50"/>
      <c r="P727" s="50"/>
      <c r="Q727" s="50"/>
      <c r="R727" s="50"/>
      <c r="S727" s="50"/>
      <c r="T727" s="50"/>
      <c r="U727" s="50"/>
      <c r="V727" s="50"/>
      <c r="W727" s="14"/>
      <c r="X727" s="50"/>
      <c r="Y727" s="179"/>
      <c r="Z727" s="50"/>
      <c r="AA727" s="14"/>
    </row>
    <row r="728">
      <c r="A728" s="14"/>
      <c r="B728" s="14"/>
      <c r="C728" s="158"/>
      <c r="D728" s="96"/>
      <c r="E728" s="96"/>
      <c r="F728" s="96"/>
      <c r="G728" s="50"/>
      <c r="H728" s="96"/>
      <c r="I728" s="96"/>
      <c r="J728" s="96"/>
      <c r="K728" s="50"/>
      <c r="L728" s="96"/>
      <c r="M728" s="96"/>
      <c r="N728" s="14"/>
      <c r="O728" s="50"/>
      <c r="P728" s="50"/>
      <c r="Q728" s="50"/>
      <c r="R728" s="50"/>
      <c r="S728" s="50"/>
      <c r="T728" s="50"/>
      <c r="U728" s="50"/>
      <c r="V728" s="50"/>
      <c r="W728" s="14"/>
      <c r="X728" s="50"/>
      <c r="Y728" s="179"/>
      <c r="Z728" s="50"/>
      <c r="AA728" s="14"/>
    </row>
    <row r="729">
      <c r="A729" s="14"/>
      <c r="B729" s="14"/>
      <c r="C729" s="158"/>
      <c r="D729" s="96"/>
      <c r="E729" s="96"/>
      <c r="F729" s="96"/>
      <c r="G729" s="50"/>
      <c r="H729" s="96"/>
      <c r="I729" s="96"/>
      <c r="J729" s="96"/>
      <c r="K729" s="50"/>
      <c r="L729" s="96"/>
      <c r="M729" s="96"/>
      <c r="N729" s="14"/>
      <c r="O729" s="50"/>
      <c r="P729" s="50"/>
      <c r="Q729" s="50"/>
      <c r="R729" s="50"/>
      <c r="S729" s="50"/>
      <c r="T729" s="50"/>
      <c r="U729" s="50"/>
      <c r="V729" s="50"/>
      <c r="W729" s="14"/>
      <c r="X729" s="50"/>
      <c r="Y729" s="179"/>
      <c r="Z729" s="50"/>
      <c r="AA729" s="14"/>
    </row>
    <row r="730">
      <c r="A730" s="14"/>
      <c r="B730" s="14"/>
      <c r="C730" s="158"/>
      <c r="D730" s="96"/>
      <c r="E730" s="96"/>
      <c r="F730" s="96"/>
      <c r="G730" s="50"/>
      <c r="H730" s="96"/>
      <c r="I730" s="96"/>
      <c r="J730" s="96"/>
      <c r="K730" s="50"/>
      <c r="L730" s="96"/>
      <c r="M730" s="96"/>
      <c r="N730" s="14"/>
      <c r="O730" s="50"/>
      <c r="P730" s="50"/>
      <c r="Q730" s="50"/>
      <c r="R730" s="50"/>
      <c r="S730" s="50"/>
      <c r="T730" s="50"/>
      <c r="U730" s="50"/>
      <c r="V730" s="50"/>
      <c r="W730" s="14"/>
      <c r="X730" s="50"/>
      <c r="Y730" s="179"/>
      <c r="Z730" s="50"/>
      <c r="AA730" s="14"/>
    </row>
    <row r="731">
      <c r="A731" s="14"/>
      <c r="B731" s="14"/>
      <c r="C731" s="158"/>
      <c r="D731" s="96"/>
      <c r="E731" s="96"/>
      <c r="F731" s="96"/>
      <c r="G731" s="50"/>
      <c r="H731" s="96"/>
      <c r="I731" s="96"/>
      <c r="J731" s="96"/>
      <c r="K731" s="50"/>
      <c r="L731" s="96"/>
      <c r="M731" s="96"/>
      <c r="N731" s="14"/>
      <c r="O731" s="50"/>
      <c r="P731" s="50"/>
      <c r="Q731" s="50"/>
      <c r="R731" s="50"/>
      <c r="S731" s="50"/>
      <c r="T731" s="50"/>
      <c r="U731" s="50"/>
      <c r="V731" s="50"/>
      <c r="W731" s="14"/>
      <c r="X731" s="50"/>
      <c r="Y731" s="179"/>
      <c r="Z731" s="50"/>
      <c r="AA731" s="14"/>
    </row>
    <row r="732">
      <c r="A732" s="14"/>
      <c r="B732" s="14"/>
      <c r="C732" s="158"/>
      <c r="D732" s="96"/>
      <c r="E732" s="96"/>
      <c r="F732" s="96"/>
      <c r="G732" s="50"/>
      <c r="H732" s="96"/>
      <c r="I732" s="96"/>
      <c r="J732" s="96"/>
      <c r="K732" s="50"/>
      <c r="L732" s="96"/>
      <c r="M732" s="96"/>
      <c r="N732" s="14"/>
      <c r="O732" s="50"/>
      <c r="P732" s="50"/>
      <c r="Q732" s="50"/>
      <c r="R732" s="50"/>
      <c r="S732" s="50"/>
      <c r="T732" s="50"/>
      <c r="U732" s="50"/>
      <c r="V732" s="50"/>
      <c r="W732" s="14"/>
      <c r="X732" s="50"/>
      <c r="Y732" s="179"/>
      <c r="Z732" s="50"/>
      <c r="AA732" s="14"/>
    </row>
    <row r="733">
      <c r="A733" s="14"/>
      <c r="B733" s="14"/>
      <c r="C733" s="158"/>
      <c r="D733" s="96"/>
      <c r="E733" s="96"/>
      <c r="F733" s="96"/>
      <c r="G733" s="50"/>
      <c r="H733" s="96"/>
      <c r="I733" s="96"/>
      <c r="J733" s="96"/>
      <c r="K733" s="50"/>
      <c r="L733" s="96"/>
      <c r="M733" s="96"/>
      <c r="N733" s="14"/>
      <c r="O733" s="50"/>
      <c r="P733" s="50"/>
      <c r="Q733" s="50"/>
      <c r="R733" s="50"/>
      <c r="S733" s="50"/>
      <c r="T733" s="50"/>
      <c r="U733" s="50"/>
      <c r="V733" s="50"/>
      <c r="W733" s="14"/>
      <c r="X733" s="50"/>
      <c r="Y733" s="179"/>
      <c r="Z733" s="50"/>
      <c r="AA733" s="14"/>
    </row>
    <row r="734">
      <c r="A734" s="14"/>
      <c r="B734" s="14"/>
      <c r="C734" s="158"/>
      <c r="D734" s="96"/>
      <c r="E734" s="96"/>
      <c r="F734" s="96"/>
      <c r="G734" s="50"/>
      <c r="H734" s="96"/>
      <c r="I734" s="96"/>
      <c r="J734" s="96"/>
      <c r="K734" s="50"/>
      <c r="L734" s="96"/>
      <c r="M734" s="96"/>
      <c r="N734" s="14"/>
      <c r="O734" s="50"/>
      <c r="P734" s="50"/>
      <c r="Q734" s="50"/>
      <c r="R734" s="50"/>
      <c r="S734" s="50"/>
      <c r="T734" s="50"/>
      <c r="U734" s="50"/>
      <c r="V734" s="50"/>
      <c r="W734" s="14"/>
      <c r="X734" s="50"/>
      <c r="Y734" s="179"/>
      <c r="Z734" s="50"/>
      <c r="AA734" s="14"/>
    </row>
    <row r="735">
      <c r="A735" s="14"/>
      <c r="B735" s="14"/>
      <c r="C735" s="158"/>
      <c r="D735" s="96"/>
      <c r="E735" s="96"/>
      <c r="F735" s="96"/>
      <c r="G735" s="50"/>
      <c r="H735" s="96"/>
      <c r="I735" s="96"/>
      <c r="J735" s="96"/>
      <c r="K735" s="50"/>
      <c r="L735" s="96"/>
      <c r="M735" s="96"/>
      <c r="N735" s="14"/>
      <c r="O735" s="50"/>
      <c r="P735" s="50"/>
      <c r="Q735" s="50"/>
      <c r="R735" s="50"/>
      <c r="S735" s="50"/>
      <c r="T735" s="50"/>
      <c r="U735" s="50"/>
      <c r="V735" s="50"/>
      <c r="W735" s="14"/>
      <c r="X735" s="50"/>
      <c r="Y735" s="179"/>
      <c r="Z735" s="50"/>
      <c r="AA735" s="14"/>
    </row>
    <row r="736">
      <c r="A736" s="14"/>
      <c r="B736" s="14"/>
      <c r="C736" s="158"/>
      <c r="D736" s="96"/>
      <c r="E736" s="96"/>
      <c r="F736" s="96"/>
      <c r="G736" s="50"/>
      <c r="H736" s="96"/>
      <c r="I736" s="96"/>
      <c r="J736" s="96"/>
      <c r="K736" s="50"/>
      <c r="L736" s="96"/>
      <c r="M736" s="96"/>
      <c r="N736" s="14"/>
      <c r="O736" s="50"/>
      <c r="P736" s="50"/>
      <c r="Q736" s="50"/>
      <c r="R736" s="50"/>
      <c r="S736" s="50"/>
      <c r="T736" s="50"/>
      <c r="U736" s="50"/>
      <c r="V736" s="50"/>
      <c r="W736" s="14"/>
      <c r="X736" s="50"/>
      <c r="Y736" s="179"/>
      <c r="Z736" s="50"/>
      <c r="AA736" s="14"/>
    </row>
    <row r="737">
      <c r="A737" s="14"/>
      <c r="B737" s="14"/>
      <c r="C737" s="158"/>
      <c r="D737" s="96"/>
      <c r="E737" s="96"/>
      <c r="F737" s="96"/>
      <c r="G737" s="50"/>
      <c r="H737" s="96"/>
      <c r="I737" s="96"/>
      <c r="J737" s="96"/>
      <c r="K737" s="50"/>
      <c r="L737" s="96"/>
      <c r="M737" s="96"/>
      <c r="N737" s="14"/>
      <c r="O737" s="50"/>
      <c r="P737" s="50"/>
      <c r="Q737" s="50"/>
      <c r="R737" s="50"/>
      <c r="S737" s="50"/>
      <c r="T737" s="50"/>
      <c r="U737" s="50"/>
      <c r="V737" s="50"/>
      <c r="W737" s="14"/>
      <c r="X737" s="50"/>
      <c r="Y737" s="179"/>
      <c r="Z737" s="50"/>
      <c r="AA737" s="14"/>
    </row>
    <row r="738">
      <c r="A738" s="14"/>
      <c r="B738" s="14"/>
      <c r="C738" s="158"/>
      <c r="D738" s="96"/>
      <c r="E738" s="96"/>
      <c r="F738" s="96"/>
      <c r="G738" s="50"/>
      <c r="H738" s="96"/>
      <c r="I738" s="96"/>
      <c r="J738" s="96"/>
      <c r="K738" s="50"/>
      <c r="L738" s="96"/>
      <c r="M738" s="96"/>
      <c r="N738" s="14"/>
      <c r="O738" s="50"/>
      <c r="P738" s="50"/>
      <c r="Q738" s="50"/>
      <c r="R738" s="50"/>
      <c r="S738" s="50"/>
      <c r="T738" s="50"/>
      <c r="U738" s="50"/>
      <c r="V738" s="50"/>
      <c r="W738" s="14"/>
      <c r="X738" s="50"/>
      <c r="Y738" s="179"/>
      <c r="Z738" s="50"/>
      <c r="AA738" s="14"/>
    </row>
    <row r="739">
      <c r="A739" s="14"/>
      <c r="B739" s="14"/>
      <c r="C739" s="158"/>
      <c r="D739" s="96"/>
      <c r="E739" s="96"/>
      <c r="F739" s="96"/>
      <c r="G739" s="50"/>
      <c r="H739" s="96"/>
      <c r="I739" s="96"/>
      <c r="J739" s="96"/>
      <c r="K739" s="50"/>
      <c r="L739" s="96"/>
      <c r="M739" s="96"/>
      <c r="N739" s="14"/>
      <c r="O739" s="50"/>
      <c r="P739" s="50"/>
      <c r="Q739" s="50"/>
      <c r="R739" s="50"/>
      <c r="S739" s="50"/>
      <c r="T739" s="50"/>
      <c r="U739" s="50"/>
      <c r="V739" s="50"/>
      <c r="W739" s="14"/>
      <c r="X739" s="50"/>
      <c r="Y739" s="179"/>
      <c r="Z739" s="50"/>
      <c r="AA739" s="14"/>
    </row>
    <row r="740">
      <c r="A740" s="14"/>
      <c r="B740" s="14"/>
      <c r="C740" s="158"/>
      <c r="D740" s="96"/>
      <c r="E740" s="96"/>
      <c r="F740" s="96"/>
      <c r="G740" s="50"/>
      <c r="H740" s="96"/>
      <c r="I740" s="96"/>
      <c r="J740" s="96"/>
      <c r="K740" s="50"/>
      <c r="L740" s="96"/>
      <c r="M740" s="96"/>
      <c r="N740" s="14"/>
      <c r="O740" s="50"/>
      <c r="P740" s="50"/>
      <c r="Q740" s="50"/>
      <c r="R740" s="50"/>
      <c r="S740" s="50"/>
      <c r="T740" s="50"/>
      <c r="U740" s="50"/>
      <c r="V740" s="50"/>
      <c r="W740" s="14"/>
      <c r="X740" s="50"/>
      <c r="Y740" s="179"/>
      <c r="Z740" s="50"/>
      <c r="AA740" s="14"/>
    </row>
    <row r="741">
      <c r="A741" s="14"/>
      <c r="B741" s="14"/>
      <c r="C741" s="158"/>
      <c r="D741" s="96"/>
      <c r="E741" s="96"/>
      <c r="F741" s="96"/>
      <c r="G741" s="50"/>
      <c r="H741" s="96"/>
      <c r="I741" s="96"/>
      <c r="J741" s="96"/>
      <c r="K741" s="50"/>
      <c r="L741" s="96"/>
      <c r="M741" s="96"/>
      <c r="N741" s="14"/>
      <c r="O741" s="50"/>
      <c r="P741" s="50"/>
      <c r="Q741" s="50"/>
      <c r="R741" s="50"/>
      <c r="S741" s="50"/>
      <c r="T741" s="50"/>
      <c r="U741" s="50"/>
      <c r="V741" s="50"/>
      <c r="W741" s="14"/>
      <c r="X741" s="50"/>
      <c r="Y741" s="179"/>
      <c r="Z741" s="50"/>
      <c r="AA741" s="14"/>
    </row>
    <row r="742">
      <c r="A742" s="14"/>
      <c r="B742" s="14"/>
      <c r="C742" s="158"/>
      <c r="D742" s="96"/>
      <c r="E742" s="96"/>
      <c r="F742" s="96"/>
      <c r="G742" s="50"/>
      <c r="H742" s="96"/>
      <c r="I742" s="96"/>
      <c r="J742" s="96"/>
      <c r="K742" s="50"/>
      <c r="L742" s="96"/>
      <c r="M742" s="96"/>
      <c r="N742" s="14"/>
      <c r="O742" s="50"/>
      <c r="P742" s="50"/>
      <c r="Q742" s="50"/>
      <c r="R742" s="50"/>
      <c r="S742" s="50"/>
      <c r="T742" s="50"/>
      <c r="U742" s="50"/>
      <c r="V742" s="50"/>
      <c r="W742" s="14"/>
      <c r="X742" s="50"/>
      <c r="Y742" s="179"/>
      <c r="Z742" s="50"/>
      <c r="AA742" s="14"/>
    </row>
    <row r="743">
      <c r="A743" s="14"/>
      <c r="B743" s="14"/>
      <c r="C743" s="158"/>
      <c r="D743" s="96"/>
      <c r="E743" s="96"/>
      <c r="F743" s="96"/>
      <c r="G743" s="50"/>
      <c r="H743" s="96"/>
      <c r="I743" s="96"/>
      <c r="J743" s="96"/>
      <c r="K743" s="50"/>
      <c r="L743" s="96"/>
      <c r="M743" s="96"/>
      <c r="N743" s="14"/>
      <c r="O743" s="50"/>
      <c r="P743" s="50"/>
      <c r="Q743" s="50"/>
      <c r="R743" s="50"/>
      <c r="S743" s="50"/>
      <c r="T743" s="50"/>
      <c r="U743" s="50"/>
      <c r="V743" s="50"/>
      <c r="W743" s="14"/>
      <c r="X743" s="50"/>
      <c r="Y743" s="179"/>
      <c r="Z743" s="50"/>
      <c r="AA743" s="14"/>
    </row>
    <row r="744">
      <c r="A744" s="14"/>
      <c r="B744" s="14"/>
      <c r="C744" s="158"/>
      <c r="D744" s="96"/>
      <c r="E744" s="96"/>
      <c r="F744" s="96"/>
      <c r="G744" s="50"/>
      <c r="H744" s="96"/>
      <c r="I744" s="96"/>
      <c r="J744" s="96"/>
      <c r="K744" s="50"/>
      <c r="L744" s="96"/>
      <c r="M744" s="96"/>
      <c r="N744" s="14"/>
      <c r="O744" s="50"/>
      <c r="P744" s="50"/>
      <c r="Q744" s="50"/>
      <c r="R744" s="50"/>
      <c r="S744" s="50"/>
      <c r="T744" s="50"/>
      <c r="U744" s="50"/>
      <c r="V744" s="50"/>
      <c r="W744" s="14"/>
      <c r="X744" s="50"/>
      <c r="Y744" s="179"/>
      <c r="Z744" s="50"/>
      <c r="AA744" s="14"/>
    </row>
    <row r="745">
      <c r="A745" s="14"/>
      <c r="B745" s="14"/>
      <c r="C745" s="158"/>
      <c r="D745" s="96"/>
      <c r="E745" s="96"/>
      <c r="F745" s="96"/>
      <c r="G745" s="50"/>
      <c r="H745" s="96"/>
      <c r="I745" s="96"/>
      <c r="J745" s="96"/>
      <c r="K745" s="50"/>
      <c r="L745" s="96"/>
      <c r="M745" s="96"/>
      <c r="N745" s="14"/>
      <c r="O745" s="50"/>
      <c r="P745" s="50"/>
      <c r="Q745" s="50"/>
      <c r="R745" s="50"/>
      <c r="S745" s="50"/>
      <c r="T745" s="50"/>
      <c r="U745" s="50"/>
      <c r="V745" s="50"/>
      <c r="W745" s="14"/>
      <c r="X745" s="50"/>
      <c r="Y745" s="179"/>
      <c r="Z745" s="50"/>
      <c r="AA745" s="14"/>
    </row>
    <row r="746">
      <c r="A746" s="14"/>
      <c r="B746" s="14"/>
      <c r="C746" s="158"/>
      <c r="D746" s="96"/>
      <c r="E746" s="96"/>
      <c r="F746" s="96"/>
      <c r="G746" s="50"/>
      <c r="H746" s="96"/>
      <c r="I746" s="96"/>
      <c r="J746" s="96"/>
      <c r="K746" s="50"/>
      <c r="L746" s="96"/>
      <c r="M746" s="96"/>
      <c r="N746" s="14"/>
      <c r="O746" s="50"/>
      <c r="P746" s="50"/>
      <c r="Q746" s="50"/>
      <c r="R746" s="50"/>
      <c r="S746" s="50"/>
      <c r="T746" s="50"/>
      <c r="U746" s="50"/>
      <c r="V746" s="50"/>
      <c r="W746" s="14"/>
      <c r="X746" s="50"/>
      <c r="Y746" s="179"/>
      <c r="Z746" s="50"/>
      <c r="AA746" s="14"/>
    </row>
    <row r="747">
      <c r="A747" s="14"/>
      <c r="B747" s="14"/>
      <c r="C747" s="158"/>
      <c r="D747" s="96"/>
      <c r="E747" s="96"/>
      <c r="F747" s="96"/>
      <c r="G747" s="50"/>
      <c r="H747" s="96"/>
      <c r="I747" s="96"/>
      <c r="J747" s="96"/>
      <c r="K747" s="50"/>
      <c r="L747" s="96"/>
      <c r="M747" s="96"/>
      <c r="N747" s="14"/>
      <c r="O747" s="50"/>
      <c r="P747" s="50"/>
      <c r="Q747" s="50"/>
      <c r="R747" s="50"/>
      <c r="S747" s="50"/>
      <c r="T747" s="50"/>
      <c r="U747" s="50"/>
      <c r="V747" s="50"/>
      <c r="W747" s="14"/>
      <c r="X747" s="50"/>
      <c r="Y747" s="179"/>
      <c r="Z747" s="50"/>
      <c r="AA747" s="14"/>
    </row>
    <row r="748">
      <c r="A748" s="14"/>
      <c r="B748" s="14"/>
      <c r="C748" s="158"/>
      <c r="D748" s="96"/>
      <c r="E748" s="96"/>
      <c r="F748" s="96"/>
      <c r="G748" s="50"/>
      <c r="H748" s="96"/>
      <c r="I748" s="96"/>
      <c r="J748" s="96"/>
      <c r="K748" s="50"/>
      <c r="L748" s="96"/>
      <c r="M748" s="96"/>
      <c r="N748" s="14"/>
      <c r="O748" s="50"/>
      <c r="P748" s="50"/>
      <c r="Q748" s="50"/>
      <c r="R748" s="50"/>
      <c r="S748" s="50"/>
      <c r="T748" s="50"/>
      <c r="U748" s="50"/>
      <c r="V748" s="50"/>
      <c r="W748" s="14"/>
      <c r="X748" s="50"/>
      <c r="Y748" s="179"/>
      <c r="Z748" s="50"/>
      <c r="AA748" s="14"/>
    </row>
    <row r="749">
      <c r="A749" s="14"/>
      <c r="B749" s="14"/>
      <c r="C749" s="158"/>
      <c r="D749" s="96"/>
      <c r="E749" s="96"/>
      <c r="F749" s="96"/>
      <c r="G749" s="50"/>
      <c r="H749" s="96"/>
      <c r="I749" s="96"/>
      <c r="J749" s="96"/>
      <c r="K749" s="50"/>
      <c r="L749" s="96"/>
      <c r="M749" s="96"/>
      <c r="N749" s="14"/>
      <c r="O749" s="50"/>
      <c r="P749" s="50"/>
      <c r="Q749" s="50"/>
      <c r="R749" s="50"/>
      <c r="S749" s="50"/>
      <c r="T749" s="50"/>
      <c r="U749" s="50"/>
      <c r="V749" s="50"/>
      <c r="W749" s="14"/>
      <c r="X749" s="50"/>
      <c r="Y749" s="179"/>
      <c r="Z749" s="50"/>
      <c r="AA749" s="14"/>
    </row>
    <row r="750">
      <c r="A750" s="14"/>
      <c r="B750" s="14"/>
      <c r="C750" s="158"/>
      <c r="D750" s="96"/>
      <c r="E750" s="96"/>
      <c r="F750" s="96"/>
      <c r="G750" s="50"/>
      <c r="H750" s="96"/>
      <c r="I750" s="96"/>
      <c r="J750" s="96"/>
      <c r="K750" s="50"/>
      <c r="L750" s="96"/>
      <c r="M750" s="96"/>
      <c r="N750" s="14"/>
      <c r="O750" s="50"/>
      <c r="P750" s="50"/>
      <c r="Q750" s="50"/>
      <c r="R750" s="50"/>
      <c r="S750" s="50"/>
      <c r="T750" s="50"/>
      <c r="U750" s="50"/>
      <c r="V750" s="50"/>
      <c r="W750" s="14"/>
      <c r="X750" s="50"/>
      <c r="Y750" s="179"/>
      <c r="Z750" s="50"/>
      <c r="AA750" s="14"/>
    </row>
    <row r="751">
      <c r="A751" s="14"/>
      <c r="B751" s="14"/>
      <c r="C751" s="158"/>
      <c r="D751" s="96"/>
      <c r="E751" s="96"/>
      <c r="F751" s="96"/>
      <c r="G751" s="50"/>
      <c r="H751" s="96"/>
      <c r="I751" s="96"/>
      <c r="J751" s="96"/>
      <c r="K751" s="50"/>
      <c r="L751" s="96"/>
      <c r="M751" s="96"/>
      <c r="N751" s="14"/>
      <c r="O751" s="50"/>
      <c r="P751" s="50"/>
      <c r="Q751" s="50"/>
      <c r="R751" s="50"/>
      <c r="S751" s="50"/>
      <c r="T751" s="50"/>
      <c r="U751" s="50"/>
      <c r="V751" s="50"/>
      <c r="W751" s="14"/>
      <c r="X751" s="50"/>
      <c r="Y751" s="179"/>
      <c r="Z751" s="50"/>
      <c r="AA751" s="14"/>
    </row>
    <row r="752">
      <c r="A752" s="14"/>
      <c r="B752" s="14"/>
      <c r="C752" s="158"/>
      <c r="D752" s="96"/>
      <c r="E752" s="96"/>
      <c r="F752" s="96"/>
      <c r="G752" s="50"/>
      <c r="H752" s="96"/>
      <c r="I752" s="96"/>
      <c r="J752" s="96"/>
      <c r="K752" s="50"/>
      <c r="L752" s="96"/>
      <c r="M752" s="96"/>
      <c r="N752" s="14"/>
      <c r="O752" s="50"/>
      <c r="P752" s="50"/>
      <c r="Q752" s="50"/>
      <c r="R752" s="50"/>
      <c r="S752" s="50"/>
      <c r="T752" s="50"/>
      <c r="U752" s="50"/>
      <c r="V752" s="50"/>
      <c r="W752" s="14"/>
      <c r="X752" s="50"/>
      <c r="Y752" s="179"/>
      <c r="Z752" s="50"/>
      <c r="AA752" s="14"/>
    </row>
    <row r="753">
      <c r="A753" s="14"/>
      <c r="B753" s="14"/>
      <c r="C753" s="158"/>
      <c r="D753" s="96"/>
      <c r="E753" s="96"/>
      <c r="F753" s="96"/>
      <c r="G753" s="50"/>
      <c r="H753" s="96"/>
      <c r="I753" s="96"/>
      <c r="J753" s="96"/>
      <c r="K753" s="50"/>
      <c r="L753" s="96"/>
      <c r="M753" s="96"/>
      <c r="N753" s="14"/>
      <c r="O753" s="50"/>
      <c r="P753" s="50"/>
      <c r="Q753" s="50"/>
      <c r="R753" s="50"/>
      <c r="S753" s="50"/>
      <c r="T753" s="50"/>
      <c r="U753" s="50"/>
      <c r="V753" s="50"/>
      <c r="W753" s="14"/>
      <c r="X753" s="50"/>
      <c r="Y753" s="179"/>
      <c r="Z753" s="50"/>
      <c r="AA753" s="14"/>
    </row>
    <row r="754">
      <c r="A754" s="14"/>
      <c r="B754" s="14"/>
      <c r="C754" s="158"/>
      <c r="D754" s="96"/>
      <c r="E754" s="96"/>
      <c r="F754" s="96"/>
      <c r="G754" s="50"/>
      <c r="H754" s="96"/>
      <c r="I754" s="96"/>
      <c r="J754" s="96"/>
      <c r="K754" s="50"/>
      <c r="L754" s="96"/>
      <c r="M754" s="96"/>
      <c r="N754" s="14"/>
      <c r="O754" s="50"/>
      <c r="P754" s="50"/>
      <c r="Q754" s="50"/>
      <c r="R754" s="50"/>
      <c r="S754" s="50"/>
      <c r="T754" s="50"/>
      <c r="U754" s="50"/>
      <c r="V754" s="50"/>
      <c r="W754" s="14"/>
      <c r="X754" s="50"/>
      <c r="Y754" s="179"/>
      <c r="Z754" s="50"/>
      <c r="AA754" s="14"/>
    </row>
    <row r="755">
      <c r="A755" s="14"/>
      <c r="B755" s="14"/>
      <c r="C755" s="158"/>
      <c r="D755" s="96"/>
      <c r="E755" s="96"/>
      <c r="F755" s="96"/>
      <c r="G755" s="50"/>
      <c r="H755" s="96"/>
      <c r="I755" s="96"/>
      <c r="J755" s="96"/>
      <c r="K755" s="50"/>
      <c r="L755" s="96"/>
      <c r="M755" s="96"/>
      <c r="N755" s="14"/>
      <c r="O755" s="50"/>
      <c r="P755" s="50"/>
      <c r="Q755" s="50"/>
      <c r="R755" s="50"/>
      <c r="S755" s="50"/>
      <c r="T755" s="50"/>
      <c r="U755" s="50"/>
      <c r="V755" s="50"/>
      <c r="W755" s="14"/>
      <c r="X755" s="50"/>
      <c r="Y755" s="179"/>
      <c r="Z755" s="50"/>
      <c r="AA755" s="14"/>
    </row>
    <row r="756">
      <c r="A756" s="14"/>
      <c r="B756" s="14"/>
      <c r="C756" s="158"/>
      <c r="D756" s="96"/>
      <c r="E756" s="96"/>
      <c r="F756" s="96"/>
      <c r="G756" s="50"/>
      <c r="H756" s="96"/>
      <c r="I756" s="96"/>
      <c r="J756" s="96"/>
      <c r="K756" s="50"/>
      <c r="L756" s="96"/>
      <c r="M756" s="96"/>
      <c r="N756" s="14"/>
      <c r="O756" s="50"/>
      <c r="P756" s="50"/>
      <c r="Q756" s="50"/>
      <c r="R756" s="50"/>
      <c r="S756" s="50"/>
      <c r="T756" s="50"/>
      <c r="U756" s="50"/>
      <c r="V756" s="50"/>
      <c r="W756" s="14"/>
      <c r="X756" s="50"/>
      <c r="Y756" s="179"/>
      <c r="Z756" s="50"/>
      <c r="AA756" s="14"/>
    </row>
    <row r="757">
      <c r="A757" s="14"/>
      <c r="B757" s="14"/>
      <c r="C757" s="158"/>
      <c r="D757" s="96"/>
      <c r="E757" s="96"/>
      <c r="F757" s="96"/>
      <c r="G757" s="50"/>
      <c r="H757" s="96"/>
      <c r="I757" s="96"/>
      <c r="J757" s="96"/>
      <c r="K757" s="50"/>
      <c r="L757" s="96"/>
      <c r="M757" s="96"/>
      <c r="N757" s="14"/>
      <c r="O757" s="50"/>
      <c r="P757" s="50"/>
      <c r="Q757" s="50"/>
      <c r="R757" s="50"/>
      <c r="S757" s="50"/>
      <c r="T757" s="50"/>
      <c r="U757" s="50"/>
      <c r="V757" s="50"/>
      <c r="W757" s="14"/>
      <c r="X757" s="50"/>
      <c r="Y757" s="179"/>
      <c r="Z757" s="50"/>
      <c r="AA757" s="14"/>
    </row>
    <row r="758">
      <c r="A758" s="14"/>
      <c r="B758" s="14"/>
      <c r="C758" s="158"/>
      <c r="D758" s="96"/>
      <c r="E758" s="96"/>
      <c r="F758" s="96"/>
      <c r="G758" s="50"/>
      <c r="H758" s="96"/>
      <c r="I758" s="96"/>
      <c r="J758" s="96"/>
      <c r="K758" s="50"/>
      <c r="L758" s="96"/>
      <c r="M758" s="96"/>
      <c r="N758" s="14"/>
      <c r="O758" s="50"/>
      <c r="P758" s="50"/>
      <c r="Q758" s="50"/>
      <c r="R758" s="50"/>
      <c r="S758" s="50"/>
      <c r="T758" s="50"/>
      <c r="U758" s="50"/>
      <c r="V758" s="50"/>
      <c r="W758" s="14"/>
      <c r="X758" s="50"/>
      <c r="Y758" s="179"/>
      <c r="Z758" s="50"/>
      <c r="AA758" s="14"/>
    </row>
    <row r="759">
      <c r="A759" s="14"/>
      <c r="B759" s="14"/>
      <c r="C759" s="158"/>
      <c r="D759" s="96"/>
      <c r="E759" s="96"/>
      <c r="F759" s="96"/>
      <c r="G759" s="50"/>
      <c r="H759" s="96"/>
      <c r="I759" s="96"/>
      <c r="J759" s="96"/>
      <c r="K759" s="50"/>
      <c r="L759" s="96"/>
      <c r="M759" s="96"/>
      <c r="N759" s="14"/>
      <c r="O759" s="50"/>
      <c r="P759" s="50"/>
      <c r="Q759" s="50"/>
      <c r="R759" s="50"/>
      <c r="S759" s="50"/>
      <c r="T759" s="50"/>
      <c r="U759" s="50"/>
      <c r="V759" s="50"/>
      <c r="W759" s="14"/>
      <c r="X759" s="50"/>
      <c r="Y759" s="179"/>
      <c r="Z759" s="50"/>
      <c r="AA759" s="14"/>
    </row>
    <row r="760">
      <c r="A760" s="14"/>
      <c r="B760" s="14"/>
      <c r="C760" s="158"/>
      <c r="D760" s="96"/>
      <c r="E760" s="96"/>
      <c r="F760" s="96"/>
      <c r="G760" s="50"/>
      <c r="H760" s="96"/>
      <c r="I760" s="96"/>
      <c r="J760" s="96"/>
      <c r="K760" s="50"/>
      <c r="L760" s="96"/>
      <c r="M760" s="96"/>
      <c r="N760" s="14"/>
      <c r="O760" s="50"/>
      <c r="P760" s="50"/>
      <c r="Q760" s="50"/>
      <c r="R760" s="50"/>
      <c r="S760" s="50"/>
      <c r="T760" s="50"/>
      <c r="U760" s="50"/>
      <c r="V760" s="50"/>
      <c r="W760" s="14"/>
      <c r="X760" s="50"/>
      <c r="Y760" s="179"/>
      <c r="Z760" s="50"/>
      <c r="AA760" s="14"/>
    </row>
    <row r="761">
      <c r="A761" s="14"/>
      <c r="B761" s="14"/>
      <c r="C761" s="158"/>
      <c r="D761" s="96"/>
      <c r="E761" s="96"/>
      <c r="F761" s="96"/>
      <c r="G761" s="50"/>
      <c r="H761" s="96"/>
      <c r="I761" s="96"/>
      <c r="J761" s="96"/>
      <c r="K761" s="50"/>
      <c r="L761" s="96"/>
      <c r="M761" s="96"/>
      <c r="N761" s="14"/>
      <c r="O761" s="50"/>
      <c r="P761" s="50"/>
      <c r="Q761" s="50"/>
      <c r="R761" s="50"/>
      <c r="S761" s="50"/>
      <c r="T761" s="50"/>
      <c r="U761" s="50"/>
      <c r="V761" s="50"/>
      <c r="W761" s="14"/>
      <c r="X761" s="50"/>
      <c r="Y761" s="179"/>
      <c r="Z761" s="50"/>
      <c r="AA761" s="14"/>
    </row>
    <row r="762">
      <c r="A762" s="14"/>
      <c r="B762" s="14"/>
      <c r="C762" s="158"/>
      <c r="D762" s="96"/>
      <c r="E762" s="96"/>
      <c r="F762" s="96"/>
      <c r="G762" s="50"/>
      <c r="H762" s="96"/>
      <c r="I762" s="96"/>
      <c r="J762" s="96"/>
      <c r="K762" s="50"/>
      <c r="L762" s="96"/>
      <c r="M762" s="96"/>
      <c r="N762" s="14"/>
      <c r="O762" s="50"/>
      <c r="P762" s="50"/>
      <c r="Q762" s="50"/>
      <c r="R762" s="50"/>
      <c r="S762" s="50"/>
      <c r="T762" s="50"/>
      <c r="U762" s="50"/>
      <c r="V762" s="50"/>
      <c r="W762" s="14"/>
      <c r="X762" s="50"/>
      <c r="Y762" s="179"/>
      <c r="Z762" s="50"/>
      <c r="AA762" s="14"/>
    </row>
    <row r="763">
      <c r="A763" s="14"/>
      <c r="B763" s="14"/>
      <c r="C763" s="158"/>
      <c r="D763" s="96"/>
      <c r="E763" s="96"/>
      <c r="F763" s="96"/>
      <c r="G763" s="50"/>
      <c r="H763" s="96"/>
      <c r="I763" s="96"/>
      <c r="J763" s="96"/>
      <c r="K763" s="50"/>
      <c r="L763" s="96"/>
      <c r="M763" s="96"/>
      <c r="N763" s="14"/>
      <c r="O763" s="50"/>
      <c r="P763" s="50"/>
      <c r="Q763" s="50"/>
      <c r="R763" s="50"/>
      <c r="S763" s="50"/>
      <c r="T763" s="50"/>
      <c r="U763" s="50"/>
      <c r="V763" s="50"/>
      <c r="W763" s="14"/>
      <c r="X763" s="50"/>
      <c r="Y763" s="179"/>
      <c r="Z763" s="50"/>
      <c r="AA763" s="14"/>
    </row>
    <row r="764">
      <c r="A764" s="14"/>
      <c r="B764" s="14"/>
      <c r="C764" s="158"/>
      <c r="D764" s="96"/>
      <c r="E764" s="96"/>
      <c r="F764" s="96"/>
      <c r="G764" s="50"/>
      <c r="H764" s="96"/>
      <c r="I764" s="96"/>
      <c r="J764" s="96"/>
      <c r="K764" s="50"/>
      <c r="L764" s="96"/>
      <c r="M764" s="96"/>
      <c r="N764" s="14"/>
      <c r="O764" s="50"/>
      <c r="P764" s="50"/>
      <c r="Q764" s="50"/>
      <c r="R764" s="50"/>
      <c r="S764" s="50"/>
      <c r="T764" s="50"/>
      <c r="U764" s="50"/>
      <c r="V764" s="50"/>
      <c r="W764" s="14"/>
      <c r="X764" s="50"/>
      <c r="Y764" s="179"/>
      <c r="Z764" s="50"/>
      <c r="AA764" s="14"/>
    </row>
    <row r="765">
      <c r="A765" s="14"/>
      <c r="B765" s="14"/>
      <c r="C765" s="158"/>
      <c r="D765" s="96"/>
      <c r="E765" s="96"/>
      <c r="F765" s="96"/>
      <c r="G765" s="50"/>
      <c r="H765" s="96"/>
      <c r="I765" s="96"/>
      <c r="J765" s="96"/>
      <c r="K765" s="50"/>
      <c r="L765" s="96"/>
      <c r="M765" s="96"/>
      <c r="N765" s="14"/>
      <c r="O765" s="50"/>
      <c r="P765" s="50"/>
      <c r="Q765" s="50"/>
      <c r="R765" s="50"/>
      <c r="S765" s="50"/>
      <c r="T765" s="50"/>
      <c r="U765" s="50"/>
      <c r="V765" s="50"/>
      <c r="W765" s="14"/>
      <c r="X765" s="50"/>
      <c r="Y765" s="179"/>
      <c r="Z765" s="50"/>
      <c r="AA765" s="14"/>
    </row>
    <row r="766">
      <c r="A766" s="14"/>
      <c r="B766" s="14"/>
      <c r="C766" s="158"/>
      <c r="D766" s="96"/>
      <c r="E766" s="96"/>
      <c r="F766" s="96"/>
      <c r="G766" s="50"/>
      <c r="H766" s="96"/>
      <c r="I766" s="96"/>
      <c r="J766" s="96"/>
      <c r="K766" s="50"/>
      <c r="L766" s="96"/>
      <c r="M766" s="96"/>
      <c r="N766" s="14"/>
      <c r="O766" s="50"/>
      <c r="P766" s="50"/>
      <c r="Q766" s="50"/>
      <c r="R766" s="50"/>
      <c r="S766" s="50"/>
      <c r="T766" s="50"/>
      <c r="U766" s="50"/>
      <c r="V766" s="50"/>
      <c r="W766" s="14"/>
      <c r="X766" s="50"/>
      <c r="Y766" s="179"/>
      <c r="Z766" s="50"/>
      <c r="AA766" s="14"/>
    </row>
    <row r="767">
      <c r="A767" s="14"/>
      <c r="B767" s="14"/>
      <c r="C767" s="158"/>
      <c r="D767" s="96"/>
      <c r="E767" s="96"/>
      <c r="F767" s="96"/>
      <c r="G767" s="50"/>
      <c r="H767" s="96"/>
      <c r="I767" s="96"/>
      <c r="J767" s="96"/>
      <c r="K767" s="50"/>
      <c r="L767" s="96"/>
      <c r="M767" s="96"/>
      <c r="N767" s="14"/>
      <c r="O767" s="50"/>
      <c r="P767" s="50"/>
      <c r="Q767" s="50"/>
      <c r="R767" s="50"/>
      <c r="S767" s="50"/>
      <c r="T767" s="50"/>
      <c r="U767" s="50"/>
      <c r="V767" s="50"/>
      <c r="W767" s="14"/>
      <c r="X767" s="50"/>
      <c r="Y767" s="179"/>
      <c r="Z767" s="50"/>
      <c r="AA767" s="14"/>
    </row>
    <row r="768">
      <c r="A768" s="14"/>
      <c r="B768" s="14"/>
      <c r="C768" s="158"/>
      <c r="D768" s="96"/>
      <c r="E768" s="96"/>
      <c r="F768" s="96"/>
      <c r="G768" s="50"/>
      <c r="H768" s="96"/>
      <c r="I768" s="96"/>
      <c r="J768" s="96"/>
      <c r="K768" s="50"/>
      <c r="L768" s="96"/>
      <c r="M768" s="96"/>
      <c r="N768" s="14"/>
      <c r="O768" s="50"/>
      <c r="P768" s="50"/>
      <c r="Q768" s="50"/>
      <c r="R768" s="50"/>
      <c r="S768" s="50"/>
      <c r="T768" s="50"/>
      <c r="U768" s="50"/>
      <c r="V768" s="50"/>
      <c r="W768" s="14"/>
      <c r="X768" s="50"/>
      <c r="Y768" s="179"/>
      <c r="Z768" s="50"/>
      <c r="AA768" s="14"/>
    </row>
    <row r="769">
      <c r="A769" s="14"/>
      <c r="B769" s="14"/>
      <c r="C769" s="158"/>
      <c r="D769" s="96"/>
      <c r="E769" s="96"/>
      <c r="F769" s="96"/>
      <c r="G769" s="50"/>
      <c r="H769" s="96"/>
      <c r="I769" s="96"/>
      <c r="J769" s="96"/>
      <c r="K769" s="50"/>
      <c r="L769" s="96"/>
      <c r="M769" s="96"/>
      <c r="N769" s="14"/>
      <c r="O769" s="50"/>
      <c r="P769" s="50"/>
      <c r="Q769" s="50"/>
      <c r="R769" s="50"/>
      <c r="S769" s="50"/>
      <c r="T769" s="50"/>
      <c r="U769" s="50"/>
      <c r="V769" s="50"/>
      <c r="W769" s="14"/>
      <c r="X769" s="50"/>
      <c r="Y769" s="179"/>
      <c r="Z769" s="50"/>
      <c r="AA769" s="14"/>
    </row>
    <row r="770">
      <c r="A770" s="14"/>
      <c r="B770" s="14"/>
      <c r="C770" s="158"/>
      <c r="D770" s="96"/>
      <c r="E770" s="96"/>
      <c r="F770" s="96"/>
      <c r="G770" s="50"/>
      <c r="H770" s="96"/>
      <c r="I770" s="96"/>
      <c r="J770" s="96"/>
      <c r="K770" s="50"/>
      <c r="L770" s="96"/>
      <c r="M770" s="96"/>
      <c r="N770" s="14"/>
      <c r="O770" s="50"/>
      <c r="P770" s="50"/>
      <c r="Q770" s="50"/>
      <c r="R770" s="50"/>
      <c r="S770" s="50"/>
      <c r="T770" s="50"/>
      <c r="U770" s="50"/>
      <c r="V770" s="50"/>
      <c r="W770" s="14"/>
      <c r="X770" s="50"/>
      <c r="Y770" s="179"/>
      <c r="Z770" s="50"/>
      <c r="AA770" s="14"/>
    </row>
    <row r="771">
      <c r="A771" s="14"/>
      <c r="B771" s="14"/>
      <c r="C771" s="158"/>
      <c r="D771" s="96"/>
      <c r="E771" s="96"/>
      <c r="F771" s="96"/>
      <c r="G771" s="50"/>
      <c r="H771" s="96"/>
      <c r="I771" s="96"/>
      <c r="J771" s="96"/>
      <c r="K771" s="50"/>
      <c r="L771" s="96"/>
      <c r="M771" s="96"/>
      <c r="N771" s="14"/>
      <c r="O771" s="50"/>
      <c r="P771" s="50"/>
      <c r="Q771" s="50"/>
      <c r="R771" s="50"/>
      <c r="S771" s="50"/>
      <c r="T771" s="50"/>
      <c r="U771" s="50"/>
      <c r="V771" s="50"/>
      <c r="W771" s="14"/>
      <c r="X771" s="50"/>
      <c r="Y771" s="179"/>
      <c r="Z771" s="50"/>
      <c r="AA771" s="14"/>
    </row>
    <row r="772">
      <c r="A772" s="14"/>
      <c r="B772" s="14"/>
      <c r="C772" s="158"/>
      <c r="D772" s="96"/>
      <c r="E772" s="96"/>
      <c r="F772" s="96"/>
      <c r="G772" s="50"/>
      <c r="H772" s="96"/>
      <c r="I772" s="96"/>
      <c r="J772" s="96"/>
      <c r="K772" s="50"/>
      <c r="L772" s="96"/>
      <c r="M772" s="96"/>
      <c r="N772" s="14"/>
      <c r="O772" s="50"/>
      <c r="P772" s="50"/>
      <c r="Q772" s="50"/>
      <c r="R772" s="50"/>
      <c r="S772" s="50"/>
      <c r="T772" s="50"/>
      <c r="U772" s="50"/>
      <c r="V772" s="50"/>
      <c r="W772" s="14"/>
      <c r="X772" s="50"/>
      <c r="Y772" s="179"/>
      <c r="Z772" s="50"/>
      <c r="AA772" s="14"/>
    </row>
    <row r="773">
      <c r="A773" s="14"/>
      <c r="B773" s="14"/>
      <c r="C773" s="158"/>
      <c r="D773" s="96"/>
      <c r="E773" s="96"/>
      <c r="F773" s="96"/>
      <c r="G773" s="50"/>
      <c r="H773" s="96"/>
      <c r="I773" s="96"/>
      <c r="J773" s="96"/>
      <c r="K773" s="50"/>
      <c r="L773" s="96"/>
      <c r="M773" s="96"/>
      <c r="N773" s="14"/>
      <c r="O773" s="50"/>
      <c r="P773" s="50"/>
      <c r="Q773" s="50"/>
      <c r="R773" s="50"/>
      <c r="S773" s="50"/>
      <c r="T773" s="50"/>
      <c r="U773" s="50"/>
      <c r="V773" s="50"/>
      <c r="W773" s="14"/>
      <c r="X773" s="50"/>
      <c r="Y773" s="179"/>
      <c r="Z773" s="50"/>
      <c r="AA773" s="14"/>
    </row>
    <row r="774">
      <c r="A774" s="14"/>
      <c r="B774" s="14"/>
      <c r="C774" s="158"/>
      <c r="D774" s="96"/>
      <c r="E774" s="96"/>
      <c r="F774" s="96"/>
      <c r="G774" s="50"/>
      <c r="H774" s="96"/>
      <c r="I774" s="96"/>
      <c r="J774" s="96"/>
      <c r="K774" s="50"/>
      <c r="L774" s="96"/>
      <c r="M774" s="96"/>
      <c r="N774" s="14"/>
      <c r="O774" s="50"/>
      <c r="P774" s="50"/>
      <c r="Q774" s="50"/>
      <c r="R774" s="50"/>
      <c r="S774" s="50"/>
      <c r="T774" s="50"/>
      <c r="U774" s="50"/>
      <c r="V774" s="50"/>
      <c r="W774" s="14"/>
      <c r="X774" s="50"/>
      <c r="Y774" s="179"/>
      <c r="Z774" s="50"/>
      <c r="AA774" s="14"/>
    </row>
    <row r="775">
      <c r="A775" s="14"/>
      <c r="B775" s="14"/>
      <c r="C775" s="158"/>
      <c r="D775" s="96"/>
      <c r="E775" s="96"/>
      <c r="F775" s="96"/>
      <c r="G775" s="50"/>
      <c r="H775" s="96"/>
      <c r="I775" s="96"/>
      <c r="J775" s="96"/>
      <c r="K775" s="50"/>
      <c r="L775" s="96"/>
      <c r="M775" s="96"/>
      <c r="N775" s="14"/>
      <c r="O775" s="50"/>
      <c r="P775" s="50"/>
      <c r="Q775" s="50"/>
      <c r="R775" s="50"/>
      <c r="S775" s="50"/>
      <c r="T775" s="50"/>
      <c r="U775" s="50"/>
      <c r="V775" s="50"/>
      <c r="W775" s="14"/>
      <c r="X775" s="50"/>
      <c r="Y775" s="179"/>
      <c r="Z775" s="50"/>
      <c r="AA775" s="14"/>
    </row>
    <row r="776">
      <c r="A776" s="14"/>
      <c r="B776" s="14"/>
      <c r="C776" s="158"/>
      <c r="D776" s="96"/>
      <c r="E776" s="96"/>
      <c r="F776" s="96"/>
      <c r="G776" s="50"/>
      <c r="H776" s="96"/>
      <c r="I776" s="96"/>
      <c r="J776" s="96"/>
      <c r="K776" s="50"/>
      <c r="L776" s="96"/>
      <c r="M776" s="96"/>
      <c r="N776" s="14"/>
      <c r="O776" s="50"/>
      <c r="P776" s="50"/>
      <c r="Q776" s="50"/>
      <c r="R776" s="50"/>
      <c r="S776" s="50"/>
      <c r="T776" s="50"/>
      <c r="U776" s="50"/>
      <c r="V776" s="50"/>
      <c r="W776" s="14"/>
      <c r="X776" s="50"/>
      <c r="Y776" s="179"/>
      <c r="Z776" s="50"/>
      <c r="AA776" s="14"/>
    </row>
    <row r="777">
      <c r="A777" s="14"/>
      <c r="B777" s="14"/>
      <c r="C777" s="158"/>
      <c r="D777" s="96"/>
      <c r="E777" s="96"/>
      <c r="F777" s="96"/>
      <c r="G777" s="50"/>
      <c r="H777" s="96"/>
      <c r="I777" s="96"/>
      <c r="J777" s="96"/>
      <c r="K777" s="50"/>
      <c r="L777" s="96"/>
      <c r="M777" s="96"/>
      <c r="N777" s="14"/>
      <c r="O777" s="50"/>
      <c r="P777" s="50"/>
      <c r="Q777" s="50"/>
      <c r="R777" s="50"/>
      <c r="S777" s="50"/>
      <c r="T777" s="50"/>
      <c r="U777" s="50"/>
      <c r="V777" s="50"/>
      <c r="W777" s="14"/>
      <c r="X777" s="50"/>
      <c r="Y777" s="179"/>
      <c r="Z777" s="50"/>
      <c r="AA777" s="14"/>
    </row>
    <row r="778">
      <c r="A778" s="14"/>
      <c r="B778" s="14"/>
      <c r="C778" s="158"/>
      <c r="D778" s="96"/>
      <c r="E778" s="96"/>
      <c r="F778" s="96"/>
      <c r="G778" s="50"/>
      <c r="H778" s="96"/>
      <c r="I778" s="96"/>
      <c r="J778" s="96"/>
      <c r="K778" s="50"/>
      <c r="L778" s="96"/>
      <c r="M778" s="96"/>
      <c r="N778" s="14"/>
      <c r="O778" s="50"/>
      <c r="P778" s="50"/>
      <c r="Q778" s="50"/>
      <c r="R778" s="50"/>
      <c r="S778" s="50"/>
      <c r="T778" s="50"/>
      <c r="U778" s="50"/>
      <c r="V778" s="50"/>
      <c r="W778" s="14"/>
      <c r="X778" s="50"/>
      <c r="Y778" s="179"/>
      <c r="Z778" s="50"/>
      <c r="AA778" s="14"/>
    </row>
    <row r="779">
      <c r="A779" s="14"/>
      <c r="B779" s="14"/>
      <c r="C779" s="158"/>
      <c r="D779" s="96"/>
      <c r="E779" s="96"/>
      <c r="F779" s="96"/>
      <c r="G779" s="50"/>
      <c r="H779" s="96"/>
      <c r="I779" s="96"/>
      <c r="J779" s="96"/>
      <c r="K779" s="50"/>
      <c r="L779" s="96"/>
      <c r="M779" s="96"/>
      <c r="N779" s="14"/>
      <c r="O779" s="50"/>
      <c r="P779" s="50"/>
      <c r="Q779" s="50"/>
      <c r="R779" s="50"/>
      <c r="S779" s="50"/>
      <c r="T779" s="50"/>
      <c r="U779" s="50"/>
      <c r="V779" s="50"/>
      <c r="W779" s="14"/>
      <c r="X779" s="50"/>
      <c r="Y779" s="179"/>
      <c r="Z779" s="50"/>
      <c r="AA779" s="14"/>
    </row>
    <row r="780">
      <c r="A780" s="14"/>
      <c r="B780" s="14"/>
      <c r="C780" s="158"/>
      <c r="D780" s="96"/>
      <c r="E780" s="96"/>
      <c r="F780" s="96"/>
      <c r="G780" s="50"/>
      <c r="H780" s="96"/>
      <c r="I780" s="96"/>
      <c r="J780" s="96"/>
      <c r="K780" s="50"/>
      <c r="L780" s="96"/>
      <c r="M780" s="96"/>
      <c r="N780" s="14"/>
      <c r="O780" s="50"/>
      <c r="P780" s="50"/>
      <c r="Q780" s="50"/>
      <c r="R780" s="50"/>
      <c r="S780" s="50"/>
      <c r="T780" s="50"/>
      <c r="U780" s="50"/>
      <c r="V780" s="50"/>
      <c r="W780" s="14"/>
      <c r="X780" s="50"/>
      <c r="Y780" s="179"/>
      <c r="Z780" s="50"/>
      <c r="AA780" s="14"/>
    </row>
    <row r="781">
      <c r="A781" s="14"/>
      <c r="B781" s="14"/>
      <c r="C781" s="158"/>
      <c r="D781" s="96"/>
      <c r="E781" s="96"/>
      <c r="F781" s="96"/>
      <c r="G781" s="50"/>
      <c r="H781" s="96"/>
      <c r="I781" s="96"/>
      <c r="J781" s="96"/>
      <c r="K781" s="50"/>
      <c r="L781" s="96"/>
      <c r="M781" s="96"/>
      <c r="N781" s="14"/>
      <c r="O781" s="50"/>
      <c r="P781" s="50"/>
      <c r="Q781" s="50"/>
      <c r="R781" s="50"/>
      <c r="S781" s="50"/>
      <c r="T781" s="50"/>
      <c r="U781" s="50"/>
      <c r="V781" s="50"/>
      <c r="W781" s="14"/>
      <c r="X781" s="50"/>
      <c r="Y781" s="179"/>
      <c r="Z781" s="50"/>
      <c r="AA781" s="14"/>
    </row>
    <row r="782">
      <c r="A782" s="14"/>
      <c r="B782" s="14"/>
      <c r="C782" s="158"/>
      <c r="D782" s="96"/>
      <c r="E782" s="96"/>
      <c r="F782" s="96"/>
      <c r="G782" s="50"/>
      <c r="H782" s="96"/>
      <c r="I782" s="96"/>
      <c r="J782" s="96"/>
      <c r="K782" s="50"/>
      <c r="L782" s="96"/>
      <c r="M782" s="96"/>
      <c r="N782" s="14"/>
      <c r="O782" s="50"/>
      <c r="P782" s="50"/>
      <c r="Q782" s="50"/>
      <c r="R782" s="50"/>
      <c r="S782" s="50"/>
      <c r="T782" s="50"/>
      <c r="U782" s="50"/>
      <c r="V782" s="50"/>
      <c r="W782" s="14"/>
      <c r="X782" s="50"/>
      <c r="Y782" s="179"/>
      <c r="Z782" s="50"/>
      <c r="AA782" s="14"/>
    </row>
    <row r="783">
      <c r="A783" s="14"/>
      <c r="B783" s="14"/>
      <c r="C783" s="158"/>
      <c r="D783" s="96"/>
      <c r="E783" s="96"/>
      <c r="F783" s="96"/>
      <c r="G783" s="50"/>
      <c r="H783" s="96"/>
      <c r="I783" s="96"/>
      <c r="J783" s="96"/>
      <c r="K783" s="50"/>
      <c r="L783" s="96"/>
      <c r="M783" s="96"/>
      <c r="N783" s="14"/>
      <c r="O783" s="50"/>
      <c r="P783" s="50"/>
      <c r="Q783" s="50"/>
      <c r="R783" s="50"/>
      <c r="S783" s="50"/>
      <c r="T783" s="50"/>
      <c r="U783" s="50"/>
      <c r="V783" s="50"/>
      <c r="W783" s="14"/>
      <c r="X783" s="50"/>
      <c r="Y783" s="179"/>
      <c r="Z783" s="50"/>
      <c r="AA783" s="14"/>
    </row>
    <row r="784">
      <c r="A784" s="14"/>
      <c r="B784" s="14"/>
      <c r="C784" s="158"/>
      <c r="D784" s="96"/>
      <c r="E784" s="96"/>
      <c r="F784" s="96"/>
      <c r="G784" s="50"/>
      <c r="H784" s="96"/>
      <c r="I784" s="96"/>
      <c r="J784" s="96"/>
      <c r="K784" s="50"/>
      <c r="L784" s="96"/>
      <c r="M784" s="96"/>
      <c r="N784" s="14"/>
      <c r="O784" s="50"/>
      <c r="P784" s="50"/>
      <c r="Q784" s="50"/>
      <c r="R784" s="50"/>
      <c r="S784" s="50"/>
      <c r="T784" s="50"/>
      <c r="U784" s="50"/>
      <c r="V784" s="50"/>
      <c r="W784" s="14"/>
      <c r="X784" s="50"/>
      <c r="Y784" s="179"/>
      <c r="Z784" s="50"/>
      <c r="AA784" s="14"/>
    </row>
    <row r="785">
      <c r="A785" s="14"/>
      <c r="B785" s="14"/>
      <c r="C785" s="158"/>
      <c r="D785" s="96"/>
      <c r="E785" s="96"/>
      <c r="F785" s="96"/>
      <c r="G785" s="50"/>
      <c r="H785" s="96"/>
      <c r="I785" s="96"/>
      <c r="J785" s="96"/>
      <c r="K785" s="50"/>
      <c r="L785" s="96"/>
      <c r="M785" s="96"/>
      <c r="N785" s="14"/>
      <c r="O785" s="50"/>
      <c r="P785" s="50"/>
      <c r="Q785" s="50"/>
      <c r="R785" s="50"/>
      <c r="S785" s="50"/>
      <c r="T785" s="50"/>
      <c r="U785" s="50"/>
      <c r="V785" s="50"/>
      <c r="W785" s="14"/>
      <c r="X785" s="50"/>
      <c r="Y785" s="179"/>
      <c r="Z785" s="50"/>
      <c r="AA785" s="14"/>
    </row>
    <row r="786">
      <c r="A786" s="14"/>
      <c r="B786" s="14"/>
      <c r="C786" s="158"/>
      <c r="D786" s="96"/>
      <c r="E786" s="96"/>
      <c r="F786" s="96"/>
      <c r="G786" s="50"/>
      <c r="H786" s="96"/>
      <c r="I786" s="96"/>
      <c r="J786" s="96"/>
      <c r="K786" s="50"/>
      <c r="L786" s="96"/>
      <c r="M786" s="96"/>
      <c r="N786" s="14"/>
      <c r="O786" s="50"/>
      <c r="P786" s="50"/>
      <c r="Q786" s="50"/>
      <c r="R786" s="50"/>
      <c r="S786" s="50"/>
      <c r="T786" s="50"/>
      <c r="U786" s="50"/>
      <c r="V786" s="50"/>
      <c r="W786" s="14"/>
      <c r="X786" s="50"/>
      <c r="Y786" s="179"/>
      <c r="Z786" s="50"/>
      <c r="AA786" s="14"/>
    </row>
    <row r="787">
      <c r="A787" s="14"/>
      <c r="B787" s="14"/>
      <c r="C787" s="158"/>
      <c r="D787" s="96"/>
      <c r="E787" s="96"/>
      <c r="F787" s="96"/>
      <c r="G787" s="50"/>
      <c r="H787" s="96"/>
      <c r="I787" s="96"/>
      <c r="J787" s="96"/>
      <c r="K787" s="50"/>
      <c r="L787" s="96"/>
      <c r="M787" s="96"/>
      <c r="N787" s="14"/>
      <c r="O787" s="50"/>
      <c r="P787" s="50"/>
      <c r="Q787" s="50"/>
      <c r="R787" s="50"/>
      <c r="S787" s="50"/>
      <c r="T787" s="50"/>
      <c r="U787" s="50"/>
      <c r="V787" s="50"/>
      <c r="W787" s="14"/>
      <c r="X787" s="50"/>
      <c r="Y787" s="179"/>
      <c r="Z787" s="50"/>
      <c r="AA787" s="14"/>
    </row>
    <row r="788">
      <c r="A788" s="14"/>
      <c r="B788" s="14"/>
      <c r="C788" s="158"/>
      <c r="D788" s="96"/>
      <c r="E788" s="96"/>
      <c r="F788" s="96"/>
      <c r="G788" s="50"/>
      <c r="H788" s="96"/>
      <c r="I788" s="96"/>
      <c r="J788" s="96"/>
      <c r="K788" s="50"/>
      <c r="L788" s="96"/>
      <c r="M788" s="96"/>
      <c r="N788" s="14"/>
      <c r="O788" s="50"/>
      <c r="P788" s="50"/>
      <c r="Q788" s="50"/>
      <c r="R788" s="50"/>
      <c r="S788" s="50"/>
      <c r="T788" s="50"/>
      <c r="U788" s="50"/>
      <c r="V788" s="50"/>
      <c r="W788" s="14"/>
      <c r="X788" s="50"/>
      <c r="Y788" s="179"/>
      <c r="Z788" s="50"/>
      <c r="AA788" s="14"/>
    </row>
    <row r="789">
      <c r="A789" s="14"/>
      <c r="B789" s="14"/>
      <c r="C789" s="158"/>
      <c r="D789" s="96"/>
      <c r="E789" s="96"/>
      <c r="F789" s="96"/>
      <c r="G789" s="50"/>
      <c r="H789" s="96"/>
      <c r="I789" s="96"/>
      <c r="J789" s="96"/>
      <c r="K789" s="50"/>
      <c r="L789" s="96"/>
      <c r="M789" s="96"/>
      <c r="N789" s="14"/>
      <c r="O789" s="50"/>
      <c r="P789" s="50"/>
      <c r="Q789" s="50"/>
      <c r="R789" s="50"/>
      <c r="S789" s="50"/>
      <c r="T789" s="50"/>
      <c r="U789" s="50"/>
      <c r="V789" s="50"/>
      <c r="W789" s="14"/>
      <c r="X789" s="50"/>
      <c r="Y789" s="179"/>
      <c r="Z789" s="50"/>
      <c r="AA789" s="14"/>
    </row>
    <row r="790">
      <c r="A790" s="14"/>
      <c r="B790" s="14"/>
      <c r="C790" s="158"/>
      <c r="D790" s="96"/>
      <c r="E790" s="96"/>
      <c r="F790" s="96"/>
      <c r="G790" s="50"/>
      <c r="H790" s="96"/>
      <c r="I790" s="96"/>
      <c r="J790" s="96"/>
      <c r="K790" s="50"/>
      <c r="L790" s="96"/>
      <c r="M790" s="96"/>
      <c r="N790" s="14"/>
      <c r="O790" s="50"/>
      <c r="P790" s="50"/>
      <c r="Q790" s="50"/>
      <c r="R790" s="50"/>
      <c r="S790" s="50"/>
      <c r="T790" s="50"/>
      <c r="U790" s="50"/>
      <c r="V790" s="50"/>
      <c r="W790" s="14"/>
      <c r="X790" s="50"/>
      <c r="Y790" s="179"/>
      <c r="Z790" s="50"/>
      <c r="AA790" s="14"/>
    </row>
    <row r="791">
      <c r="A791" s="14"/>
      <c r="B791" s="14"/>
      <c r="C791" s="158"/>
      <c r="D791" s="96"/>
      <c r="E791" s="96"/>
      <c r="F791" s="96"/>
      <c r="G791" s="50"/>
      <c r="H791" s="96"/>
      <c r="I791" s="96"/>
      <c r="J791" s="96"/>
      <c r="K791" s="50"/>
      <c r="L791" s="96"/>
      <c r="M791" s="96"/>
      <c r="N791" s="14"/>
      <c r="O791" s="50"/>
      <c r="P791" s="50"/>
      <c r="Q791" s="50"/>
      <c r="R791" s="50"/>
      <c r="S791" s="50"/>
      <c r="T791" s="50"/>
      <c r="U791" s="50"/>
      <c r="V791" s="50"/>
      <c r="W791" s="14"/>
      <c r="X791" s="50"/>
      <c r="Y791" s="179"/>
      <c r="Z791" s="50"/>
      <c r="AA791" s="14"/>
    </row>
    <row r="792">
      <c r="A792" s="14"/>
      <c r="B792" s="14"/>
      <c r="C792" s="158"/>
      <c r="D792" s="96"/>
      <c r="E792" s="96"/>
      <c r="F792" s="96"/>
      <c r="G792" s="50"/>
      <c r="H792" s="96"/>
      <c r="I792" s="96"/>
      <c r="J792" s="96"/>
      <c r="K792" s="50"/>
      <c r="L792" s="96"/>
      <c r="M792" s="96"/>
      <c r="N792" s="14"/>
      <c r="O792" s="50"/>
      <c r="P792" s="50"/>
      <c r="Q792" s="50"/>
      <c r="R792" s="50"/>
      <c r="S792" s="50"/>
      <c r="T792" s="50"/>
      <c r="U792" s="50"/>
      <c r="V792" s="50"/>
      <c r="W792" s="14"/>
      <c r="X792" s="50"/>
      <c r="Y792" s="179"/>
      <c r="Z792" s="50"/>
      <c r="AA792" s="14"/>
    </row>
    <row r="793">
      <c r="A793" s="14"/>
      <c r="B793" s="14"/>
      <c r="C793" s="158"/>
      <c r="D793" s="96"/>
      <c r="E793" s="96"/>
      <c r="F793" s="96"/>
      <c r="G793" s="50"/>
      <c r="H793" s="96"/>
      <c r="I793" s="96"/>
      <c r="J793" s="96"/>
      <c r="K793" s="50"/>
      <c r="L793" s="96"/>
      <c r="M793" s="96"/>
      <c r="N793" s="14"/>
      <c r="O793" s="50"/>
      <c r="P793" s="50"/>
      <c r="Q793" s="50"/>
      <c r="R793" s="50"/>
      <c r="S793" s="50"/>
      <c r="T793" s="50"/>
      <c r="U793" s="50"/>
      <c r="V793" s="50"/>
      <c r="W793" s="14"/>
      <c r="X793" s="50"/>
      <c r="Y793" s="179"/>
      <c r="Z793" s="50"/>
      <c r="AA793" s="14"/>
    </row>
    <row r="794">
      <c r="A794" s="14"/>
      <c r="B794" s="14"/>
      <c r="C794" s="158"/>
      <c r="D794" s="96"/>
      <c r="E794" s="96"/>
      <c r="F794" s="96"/>
      <c r="G794" s="50"/>
      <c r="H794" s="96"/>
      <c r="I794" s="96"/>
      <c r="J794" s="96"/>
      <c r="K794" s="50"/>
      <c r="L794" s="96"/>
      <c r="M794" s="96"/>
      <c r="N794" s="14"/>
      <c r="O794" s="50"/>
      <c r="P794" s="50"/>
      <c r="Q794" s="50"/>
      <c r="R794" s="50"/>
      <c r="S794" s="50"/>
      <c r="T794" s="50"/>
      <c r="U794" s="50"/>
      <c r="V794" s="50"/>
      <c r="W794" s="14"/>
      <c r="X794" s="50"/>
      <c r="Y794" s="179"/>
      <c r="Z794" s="50"/>
      <c r="AA794" s="14"/>
    </row>
    <row r="795">
      <c r="A795" s="14"/>
      <c r="B795" s="14"/>
      <c r="C795" s="158"/>
      <c r="D795" s="96"/>
      <c r="E795" s="96"/>
      <c r="F795" s="96"/>
      <c r="G795" s="50"/>
      <c r="H795" s="96"/>
      <c r="I795" s="96"/>
      <c r="J795" s="96"/>
      <c r="K795" s="50"/>
      <c r="L795" s="96"/>
      <c r="M795" s="96"/>
      <c r="N795" s="14"/>
      <c r="O795" s="50"/>
      <c r="P795" s="50"/>
      <c r="Q795" s="50"/>
      <c r="R795" s="50"/>
      <c r="S795" s="50"/>
      <c r="T795" s="50"/>
      <c r="U795" s="50"/>
      <c r="V795" s="50"/>
      <c r="W795" s="14"/>
      <c r="X795" s="50"/>
      <c r="Y795" s="179"/>
      <c r="Z795" s="50"/>
      <c r="AA795" s="14"/>
    </row>
    <row r="796">
      <c r="A796" s="14"/>
      <c r="B796" s="14"/>
      <c r="C796" s="158"/>
      <c r="D796" s="96"/>
      <c r="E796" s="96"/>
      <c r="F796" s="96"/>
      <c r="G796" s="50"/>
      <c r="H796" s="96"/>
      <c r="I796" s="96"/>
      <c r="J796" s="96"/>
      <c r="K796" s="50"/>
      <c r="L796" s="96"/>
      <c r="M796" s="96"/>
      <c r="N796" s="14"/>
      <c r="O796" s="50"/>
      <c r="P796" s="50"/>
      <c r="Q796" s="50"/>
      <c r="R796" s="50"/>
      <c r="S796" s="50"/>
      <c r="T796" s="50"/>
      <c r="U796" s="50"/>
      <c r="V796" s="50"/>
      <c r="W796" s="14"/>
      <c r="X796" s="50"/>
      <c r="Y796" s="179"/>
      <c r="Z796" s="50"/>
      <c r="AA796" s="14"/>
    </row>
    <row r="797">
      <c r="A797" s="14"/>
      <c r="B797" s="14"/>
      <c r="C797" s="158"/>
      <c r="D797" s="96"/>
      <c r="E797" s="96"/>
      <c r="F797" s="96"/>
      <c r="G797" s="50"/>
      <c r="H797" s="96"/>
      <c r="I797" s="96"/>
      <c r="J797" s="96"/>
      <c r="K797" s="50"/>
      <c r="L797" s="96"/>
      <c r="M797" s="96"/>
      <c r="N797" s="14"/>
      <c r="O797" s="50"/>
      <c r="P797" s="50"/>
      <c r="Q797" s="50"/>
      <c r="R797" s="50"/>
      <c r="S797" s="50"/>
      <c r="T797" s="50"/>
      <c r="U797" s="50"/>
      <c r="V797" s="50"/>
      <c r="W797" s="14"/>
      <c r="X797" s="50"/>
      <c r="Y797" s="179"/>
      <c r="Z797" s="50"/>
      <c r="AA797" s="14"/>
    </row>
    <row r="798">
      <c r="A798" s="14"/>
      <c r="B798" s="14"/>
      <c r="C798" s="158"/>
      <c r="D798" s="96"/>
      <c r="E798" s="96"/>
      <c r="F798" s="96"/>
      <c r="G798" s="50"/>
      <c r="H798" s="96"/>
      <c r="I798" s="96"/>
      <c r="J798" s="96"/>
      <c r="K798" s="50"/>
      <c r="L798" s="96"/>
      <c r="M798" s="96"/>
      <c r="N798" s="14"/>
      <c r="O798" s="50"/>
      <c r="P798" s="50"/>
      <c r="Q798" s="50"/>
      <c r="R798" s="50"/>
      <c r="S798" s="50"/>
      <c r="T798" s="50"/>
      <c r="U798" s="50"/>
      <c r="V798" s="50"/>
      <c r="W798" s="14"/>
      <c r="X798" s="50"/>
      <c r="Y798" s="179"/>
      <c r="Z798" s="50"/>
      <c r="AA798" s="14"/>
    </row>
    <row r="799">
      <c r="A799" s="14"/>
      <c r="B799" s="14"/>
      <c r="C799" s="158"/>
      <c r="D799" s="96"/>
      <c r="E799" s="96"/>
      <c r="F799" s="96"/>
      <c r="G799" s="50"/>
      <c r="H799" s="96"/>
      <c r="I799" s="96"/>
      <c r="J799" s="96"/>
      <c r="K799" s="50"/>
      <c r="L799" s="96"/>
      <c r="M799" s="96"/>
      <c r="N799" s="14"/>
      <c r="O799" s="50"/>
      <c r="P799" s="50"/>
      <c r="Q799" s="50"/>
      <c r="R799" s="50"/>
      <c r="S799" s="50"/>
      <c r="T799" s="50"/>
      <c r="U799" s="50"/>
      <c r="V799" s="50"/>
      <c r="W799" s="14"/>
      <c r="X799" s="50"/>
      <c r="Y799" s="179"/>
      <c r="Z799" s="50"/>
      <c r="AA799" s="14"/>
    </row>
    <row r="800">
      <c r="A800" s="14"/>
      <c r="B800" s="14"/>
      <c r="C800" s="158"/>
      <c r="D800" s="96"/>
      <c r="E800" s="96"/>
      <c r="F800" s="96"/>
      <c r="G800" s="50"/>
      <c r="H800" s="96"/>
      <c r="I800" s="96"/>
      <c r="J800" s="96"/>
      <c r="K800" s="50"/>
      <c r="L800" s="96"/>
      <c r="M800" s="96"/>
      <c r="N800" s="14"/>
      <c r="O800" s="50"/>
      <c r="P800" s="50"/>
      <c r="Q800" s="50"/>
      <c r="R800" s="50"/>
      <c r="S800" s="50"/>
      <c r="T800" s="50"/>
      <c r="U800" s="50"/>
      <c r="V800" s="50"/>
      <c r="W800" s="14"/>
      <c r="X800" s="50"/>
      <c r="Y800" s="179"/>
      <c r="Z800" s="50"/>
      <c r="AA800" s="14"/>
    </row>
    <row r="801">
      <c r="A801" s="14"/>
      <c r="B801" s="14"/>
      <c r="C801" s="158"/>
      <c r="D801" s="96"/>
      <c r="E801" s="96"/>
      <c r="F801" s="96"/>
      <c r="G801" s="50"/>
      <c r="H801" s="96"/>
      <c r="I801" s="96"/>
      <c r="J801" s="96"/>
      <c r="K801" s="50"/>
      <c r="L801" s="96"/>
      <c r="M801" s="96"/>
      <c r="N801" s="14"/>
      <c r="O801" s="50"/>
      <c r="P801" s="50"/>
      <c r="Q801" s="50"/>
      <c r="R801" s="50"/>
      <c r="S801" s="50"/>
      <c r="T801" s="50"/>
      <c r="U801" s="50"/>
      <c r="V801" s="50"/>
      <c r="W801" s="14"/>
      <c r="X801" s="50"/>
      <c r="Y801" s="179"/>
      <c r="Z801" s="50"/>
      <c r="AA801" s="14"/>
    </row>
    <row r="802">
      <c r="A802" s="14"/>
      <c r="B802" s="14"/>
      <c r="C802" s="158"/>
      <c r="D802" s="96"/>
      <c r="E802" s="96"/>
      <c r="F802" s="96"/>
      <c r="G802" s="50"/>
      <c r="H802" s="96"/>
      <c r="I802" s="96"/>
      <c r="J802" s="96"/>
      <c r="K802" s="50"/>
      <c r="L802" s="96"/>
      <c r="M802" s="96"/>
      <c r="N802" s="14"/>
      <c r="O802" s="50"/>
      <c r="P802" s="50"/>
      <c r="Q802" s="50"/>
      <c r="R802" s="50"/>
      <c r="S802" s="50"/>
      <c r="T802" s="50"/>
      <c r="U802" s="50"/>
      <c r="V802" s="50"/>
      <c r="W802" s="14"/>
      <c r="X802" s="50"/>
      <c r="Y802" s="179"/>
      <c r="Z802" s="50"/>
      <c r="AA802" s="14"/>
    </row>
    <row r="803">
      <c r="A803" s="14"/>
      <c r="B803" s="14"/>
      <c r="C803" s="158"/>
      <c r="D803" s="96"/>
      <c r="E803" s="96"/>
      <c r="F803" s="96"/>
      <c r="G803" s="50"/>
      <c r="H803" s="96"/>
      <c r="I803" s="96"/>
      <c r="J803" s="96"/>
      <c r="K803" s="50"/>
      <c r="L803" s="96"/>
      <c r="M803" s="96"/>
      <c r="N803" s="14"/>
      <c r="O803" s="50"/>
      <c r="P803" s="50"/>
      <c r="Q803" s="50"/>
      <c r="R803" s="50"/>
      <c r="S803" s="50"/>
      <c r="T803" s="50"/>
      <c r="U803" s="50"/>
      <c r="V803" s="50"/>
      <c r="W803" s="14"/>
      <c r="X803" s="50"/>
      <c r="Y803" s="179"/>
      <c r="Z803" s="50"/>
      <c r="AA803" s="14"/>
    </row>
    <row r="804">
      <c r="A804" s="14"/>
      <c r="B804" s="14"/>
      <c r="C804" s="158"/>
      <c r="D804" s="96"/>
      <c r="E804" s="96"/>
      <c r="F804" s="96"/>
      <c r="G804" s="50"/>
      <c r="H804" s="96"/>
      <c r="I804" s="96"/>
      <c r="J804" s="96"/>
      <c r="K804" s="50"/>
      <c r="L804" s="96"/>
      <c r="M804" s="96"/>
      <c r="N804" s="14"/>
      <c r="O804" s="50"/>
      <c r="P804" s="50"/>
      <c r="Q804" s="50"/>
      <c r="R804" s="50"/>
      <c r="S804" s="50"/>
      <c r="T804" s="50"/>
      <c r="U804" s="50"/>
      <c r="V804" s="50"/>
      <c r="W804" s="14"/>
      <c r="X804" s="50"/>
      <c r="Y804" s="179"/>
      <c r="Z804" s="50"/>
      <c r="AA804" s="14"/>
    </row>
    <row r="805">
      <c r="A805" s="14"/>
      <c r="B805" s="14"/>
      <c r="C805" s="158"/>
      <c r="D805" s="96"/>
      <c r="E805" s="96"/>
      <c r="F805" s="96"/>
      <c r="G805" s="50"/>
      <c r="H805" s="96"/>
      <c r="I805" s="96"/>
      <c r="J805" s="96"/>
      <c r="K805" s="50"/>
      <c r="L805" s="96"/>
      <c r="M805" s="96"/>
      <c r="N805" s="14"/>
      <c r="O805" s="50"/>
      <c r="P805" s="50"/>
      <c r="Q805" s="50"/>
      <c r="R805" s="50"/>
      <c r="S805" s="50"/>
      <c r="T805" s="50"/>
      <c r="U805" s="50"/>
      <c r="V805" s="50"/>
      <c r="W805" s="14"/>
      <c r="X805" s="50"/>
      <c r="Y805" s="179"/>
      <c r="Z805" s="50"/>
      <c r="AA805" s="14"/>
    </row>
    <row r="806">
      <c r="A806" s="14"/>
      <c r="B806" s="14"/>
      <c r="C806" s="158"/>
      <c r="D806" s="96"/>
      <c r="E806" s="96"/>
      <c r="F806" s="96"/>
      <c r="G806" s="50"/>
      <c r="H806" s="96"/>
      <c r="I806" s="96"/>
      <c r="J806" s="96"/>
      <c r="K806" s="50"/>
      <c r="L806" s="96"/>
      <c r="M806" s="96"/>
      <c r="N806" s="14"/>
      <c r="O806" s="50"/>
      <c r="P806" s="50"/>
      <c r="Q806" s="50"/>
      <c r="R806" s="50"/>
      <c r="S806" s="50"/>
      <c r="T806" s="50"/>
      <c r="U806" s="50"/>
      <c r="V806" s="50"/>
      <c r="W806" s="14"/>
      <c r="X806" s="50"/>
      <c r="Y806" s="179"/>
      <c r="Z806" s="50"/>
      <c r="AA806" s="14"/>
    </row>
    <row r="807">
      <c r="A807" s="14"/>
      <c r="B807" s="14"/>
      <c r="C807" s="158"/>
      <c r="D807" s="96"/>
      <c r="E807" s="96"/>
      <c r="F807" s="96"/>
      <c r="G807" s="50"/>
      <c r="H807" s="96"/>
      <c r="I807" s="96"/>
      <c r="J807" s="96"/>
      <c r="K807" s="50"/>
      <c r="L807" s="96"/>
      <c r="M807" s="96"/>
      <c r="N807" s="14"/>
      <c r="O807" s="50"/>
      <c r="P807" s="50"/>
      <c r="Q807" s="50"/>
      <c r="R807" s="50"/>
      <c r="S807" s="50"/>
      <c r="T807" s="50"/>
      <c r="U807" s="50"/>
      <c r="V807" s="50"/>
      <c r="W807" s="14"/>
      <c r="X807" s="50"/>
      <c r="Y807" s="179"/>
      <c r="Z807" s="50"/>
      <c r="AA807" s="14"/>
    </row>
    <row r="808">
      <c r="A808" s="14"/>
      <c r="B808" s="14"/>
      <c r="C808" s="158"/>
      <c r="D808" s="96"/>
      <c r="E808" s="96"/>
      <c r="F808" s="96"/>
      <c r="G808" s="50"/>
      <c r="H808" s="96"/>
      <c r="I808" s="96"/>
      <c r="J808" s="96"/>
      <c r="K808" s="50"/>
      <c r="L808" s="96"/>
      <c r="M808" s="96"/>
      <c r="N808" s="14"/>
      <c r="O808" s="50"/>
      <c r="P808" s="50"/>
      <c r="Q808" s="50"/>
      <c r="R808" s="50"/>
      <c r="S808" s="50"/>
      <c r="T808" s="50"/>
      <c r="U808" s="50"/>
      <c r="V808" s="50"/>
      <c r="W808" s="14"/>
      <c r="X808" s="50"/>
      <c r="Y808" s="179"/>
      <c r="Z808" s="50"/>
      <c r="AA808" s="14"/>
    </row>
    <row r="809">
      <c r="A809" s="14"/>
      <c r="B809" s="14"/>
      <c r="C809" s="158"/>
      <c r="D809" s="96"/>
      <c r="E809" s="96"/>
      <c r="F809" s="96"/>
      <c r="G809" s="50"/>
      <c r="H809" s="96"/>
      <c r="I809" s="96"/>
      <c r="J809" s="96"/>
      <c r="K809" s="50"/>
      <c r="L809" s="96"/>
      <c r="M809" s="96"/>
      <c r="N809" s="14"/>
      <c r="O809" s="50"/>
      <c r="P809" s="50"/>
      <c r="Q809" s="50"/>
      <c r="R809" s="50"/>
      <c r="S809" s="50"/>
      <c r="T809" s="50"/>
      <c r="U809" s="50"/>
      <c r="V809" s="50"/>
      <c r="W809" s="14"/>
      <c r="X809" s="50"/>
      <c r="Y809" s="179"/>
      <c r="Z809" s="50"/>
      <c r="AA809" s="14"/>
    </row>
    <row r="810">
      <c r="A810" s="14"/>
      <c r="B810" s="14"/>
      <c r="C810" s="158"/>
      <c r="D810" s="96"/>
      <c r="E810" s="96"/>
      <c r="F810" s="96"/>
      <c r="G810" s="50"/>
      <c r="H810" s="96"/>
      <c r="I810" s="96"/>
      <c r="J810" s="96"/>
      <c r="K810" s="50"/>
      <c r="L810" s="96"/>
      <c r="M810" s="96"/>
      <c r="N810" s="14"/>
      <c r="O810" s="50"/>
      <c r="P810" s="50"/>
      <c r="Q810" s="50"/>
      <c r="R810" s="50"/>
      <c r="S810" s="50"/>
      <c r="T810" s="50"/>
      <c r="U810" s="50"/>
      <c r="V810" s="50"/>
      <c r="W810" s="14"/>
      <c r="X810" s="50"/>
      <c r="Y810" s="179"/>
      <c r="Z810" s="50"/>
      <c r="AA810" s="14"/>
    </row>
    <row r="811">
      <c r="A811" s="14"/>
      <c r="B811" s="14"/>
      <c r="C811" s="158"/>
      <c r="D811" s="96"/>
      <c r="E811" s="96"/>
      <c r="F811" s="96"/>
      <c r="G811" s="50"/>
      <c r="H811" s="96"/>
      <c r="I811" s="96"/>
      <c r="J811" s="96"/>
      <c r="K811" s="50"/>
      <c r="L811" s="96"/>
      <c r="M811" s="96"/>
      <c r="N811" s="14"/>
      <c r="O811" s="50"/>
      <c r="P811" s="50"/>
      <c r="Q811" s="50"/>
      <c r="R811" s="50"/>
      <c r="S811" s="50"/>
      <c r="T811" s="50"/>
      <c r="U811" s="50"/>
      <c r="V811" s="50"/>
      <c r="W811" s="14"/>
      <c r="X811" s="50"/>
      <c r="Y811" s="179"/>
      <c r="Z811" s="50"/>
      <c r="AA811" s="14"/>
    </row>
    <row r="812">
      <c r="A812" s="14"/>
      <c r="B812" s="14"/>
      <c r="C812" s="158"/>
      <c r="D812" s="96"/>
      <c r="E812" s="96"/>
      <c r="F812" s="96"/>
      <c r="G812" s="50"/>
      <c r="H812" s="96"/>
      <c r="I812" s="96"/>
      <c r="J812" s="96"/>
      <c r="K812" s="50"/>
      <c r="L812" s="96"/>
      <c r="M812" s="96"/>
      <c r="N812" s="14"/>
      <c r="O812" s="50"/>
      <c r="P812" s="50"/>
      <c r="Q812" s="50"/>
      <c r="R812" s="50"/>
      <c r="S812" s="50"/>
      <c r="T812" s="50"/>
      <c r="U812" s="50"/>
      <c r="V812" s="50"/>
      <c r="W812" s="14"/>
      <c r="X812" s="50"/>
      <c r="Y812" s="179"/>
      <c r="Z812" s="50"/>
      <c r="AA812" s="14"/>
    </row>
    <row r="813">
      <c r="A813" s="14"/>
      <c r="B813" s="14"/>
      <c r="C813" s="158"/>
      <c r="D813" s="96"/>
      <c r="E813" s="96"/>
      <c r="F813" s="96"/>
      <c r="G813" s="50"/>
      <c r="H813" s="96"/>
      <c r="I813" s="96"/>
      <c r="J813" s="96"/>
      <c r="K813" s="50"/>
      <c r="L813" s="96"/>
      <c r="M813" s="96"/>
      <c r="N813" s="14"/>
      <c r="O813" s="50"/>
      <c r="P813" s="50"/>
      <c r="Q813" s="50"/>
      <c r="R813" s="50"/>
      <c r="S813" s="50"/>
      <c r="T813" s="50"/>
      <c r="U813" s="50"/>
      <c r="V813" s="50"/>
      <c r="W813" s="14"/>
      <c r="X813" s="50"/>
      <c r="Y813" s="179"/>
      <c r="Z813" s="50"/>
      <c r="AA813" s="14"/>
    </row>
    <row r="814">
      <c r="A814" s="14"/>
      <c r="B814" s="14"/>
      <c r="C814" s="158"/>
      <c r="D814" s="96"/>
      <c r="E814" s="96"/>
      <c r="F814" s="96"/>
      <c r="G814" s="50"/>
      <c r="H814" s="96"/>
      <c r="I814" s="96"/>
      <c r="J814" s="96"/>
      <c r="K814" s="50"/>
      <c r="L814" s="96"/>
      <c r="M814" s="96"/>
      <c r="N814" s="14"/>
      <c r="O814" s="50"/>
      <c r="P814" s="50"/>
      <c r="Q814" s="50"/>
      <c r="R814" s="50"/>
      <c r="S814" s="50"/>
      <c r="T814" s="50"/>
      <c r="U814" s="50"/>
      <c r="V814" s="50"/>
      <c r="W814" s="14"/>
      <c r="X814" s="50"/>
      <c r="Y814" s="179"/>
      <c r="Z814" s="50"/>
      <c r="AA814" s="14"/>
    </row>
    <row r="815">
      <c r="A815" s="14"/>
      <c r="B815" s="14"/>
      <c r="C815" s="158"/>
      <c r="D815" s="96"/>
      <c r="E815" s="96"/>
      <c r="F815" s="96"/>
      <c r="G815" s="50"/>
      <c r="H815" s="96"/>
      <c r="I815" s="96"/>
      <c r="J815" s="96"/>
      <c r="K815" s="50"/>
      <c r="L815" s="96"/>
      <c r="M815" s="96"/>
      <c r="N815" s="14"/>
      <c r="O815" s="50"/>
      <c r="P815" s="50"/>
      <c r="Q815" s="50"/>
      <c r="R815" s="50"/>
      <c r="S815" s="50"/>
      <c r="T815" s="50"/>
      <c r="U815" s="50"/>
      <c r="V815" s="50"/>
      <c r="W815" s="14"/>
      <c r="X815" s="50"/>
      <c r="Y815" s="179"/>
      <c r="Z815" s="50"/>
      <c r="AA815" s="14"/>
    </row>
    <row r="816">
      <c r="A816" s="14"/>
      <c r="B816" s="14"/>
      <c r="C816" s="158"/>
      <c r="D816" s="96"/>
      <c r="E816" s="96"/>
      <c r="F816" s="96"/>
      <c r="G816" s="50"/>
      <c r="H816" s="96"/>
      <c r="I816" s="96"/>
      <c r="J816" s="96"/>
      <c r="K816" s="50"/>
      <c r="L816" s="96"/>
      <c r="M816" s="96"/>
      <c r="N816" s="14"/>
      <c r="O816" s="50"/>
      <c r="P816" s="50"/>
      <c r="Q816" s="50"/>
      <c r="R816" s="50"/>
      <c r="S816" s="50"/>
      <c r="T816" s="50"/>
      <c r="U816" s="50"/>
      <c r="V816" s="50"/>
      <c r="W816" s="14"/>
      <c r="X816" s="50"/>
      <c r="Y816" s="179"/>
      <c r="Z816" s="50"/>
      <c r="AA816" s="14"/>
    </row>
    <row r="817">
      <c r="A817" s="14"/>
      <c r="B817" s="14"/>
      <c r="C817" s="158"/>
      <c r="D817" s="96"/>
      <c r="E817" s="96"/>
      <c r="F817" s="96"/>
      <c r="G817" s="50"/>
      <c r="H817" s="96"/>
      <c r="I817" s="96"/>
      <c r="J817" s="96"/>
      <c r="K817" s="50"/>
      <c r="L817" s="96"/>
      <c r="M817" s="96"/>
      <c r="N817" s="14"/>
      <c r="O817" s="50"/>
      <c r="P817" s="50"/>
      <c r="Q817" s="50"/>
      <c r="R817" s="50"/>
      <c r="S817" s="50"/>
      <c r="T817" s="50"/>
      <c r="U817" s="50"/>
      <c r="V817" s="50"/>
      <c r="W817" s="14"/>
      <c r="X817" s="50"/>
      <c r="Y817" s="179"/>
      <c r="Z817" s="50"/>
      <c r="AA817" s="14"/>
    </row>
    <row r="818">
      <c r="A818" s="14"/>
      <c r="B818" s="14"/>
      <c r="C818" s="158"/>
      <c r="D818" s="96"/>
      <c r="E818" s="96"/>
      <c r="F818" s="96"/>
      <c r="G818" s="50"/>
      <c r="H818" s="96"/>
      <c r="I818" s="96"/>
      <c r="J818" s="96"/>
      <c r="K818" s="50"/>
      <c r="L818" s="96"/>
      <c r="M818" s="96"/>
      <c r="N818" s="14"/>
      <c r="O818" s="50"/>
      <c r="P818" s="50"/>
      <c r="Q818" s="50"/>
      <c r="R818" s="50"/>
      <c r="S818" s="50"/>
      <c r="T818" s="50"/>
      <c r="U818" s="50"/>
      <c r="V818" s="50"/>
      <c r="W818" s="14"/>
      <c r="X818" s="50"/>
      <c r="Y818" s="179"/>
      <c r="Z818" s="50"/>
      <c r="AA818" s="14"/>
    </row>
    <row r="819">
      <c r="A819" s="14"/>
      <c r="B819" s="14"/>
      <c r="C819" s="158"/>
      <c r="D819" s="96"/>
      <c r="E819" s="96"/>
      <c r="F819" s="96"/>
      <c r="G819" s="50"/>
      <c r="H819" s="96"/>
      <c r="I819" s="96"/>
      <c r="J819" s="96"/>
      <c r="K819" s="50"/>
      <c r="L819" s="96"/>
      <c r="M819" s="96"/>
      <c r="N819" s="14"/>
      <c r="O819" s="50"/>
      <c r="P819" s="50"/>
      <c r="Q819" s="50"/>
      <c r="R819" s="50"/>
      <c r="S819" s="50"/>
      <c r="T819" s="50"/>
      <c r="U819" s="50"/>
      <c r="V819" s="50"/>
      <c r="W819" s="14"/>
      <c r="X819" s="50"/>
      <c r="Y819" s="179"/>
      <c r="Z819" s="50"/>
      <c r="AA819" s="14"/>
    </row>
    <row r="820">
      <c r="A820" s="14"/>
      <c r="B820" s="14"/>
      <c r="C820" s="158"/>
      <c r="D820" s="96"/>
      <c r="E820" s="96"/>
      <c r="F820" s="96"/>
      <c r="G820" s="50"/>
      <c r="H820" s="96"/>
      <c r="I820" s="96"/>
      <c r="J820" s="96"/>
      <c r="K820" s="50"/>
      <c r="L820" s="96"/>
      <c r="M820" s="96"/>
      <c r="N820" s="14"/>
      <c r="O820" s="50"/>
      <c r="P820" s="50"/>
      <c r="Q820" s="50"/>
      <c r="R820" s="50"/>
      <c r="S820" s="50"/>
      <c r="T820" s="50"/>
      <c r="U820" s="50"/>
      <c r="V820" s="50"/>
      <c r="W820" s="14"/>
      <c r="X820" s="50"/>
      <c r="Y820" s="179"/>
      <c r="Z820" s="50"/>
      <c r="AA820" s="14"/>
    </row>
    <row r="821">
      <c r="A821" s="14"/>
      <c r="B821" s="14"/>
      <c r="C821" s="158"/>
      <c r="D821" s="96"/>
      <c r="E821" s="96"/>
      <c r="F821" s="96"/>
      <c r="G821" s="50"/>
      <c r="H821" s="96"/>
      <c r="I821" s="96"/>
      <c r="J821" s="96"/>
      <c r="K821" s="50"/>
      <c r="L821" s="96"/>
      <c r="M821" s="96"/>
      <c r="N821" s="14"/>
      <c r="O821" s="50"/>
      <c r="P821" s="50"/>
      <c r="Q821" s="50"/>
      <c r="R821" s="50"/>
      <c r="S821" s="50"/>
      <c r="T821" s="50"/>
      <c r="U821" s="50"/>
      <c r="V821" s="50"/>
      <c r="W821" s="14"/>
      <c r="X821" s="50"/>
      <c r="Y821" s="179"/>
      <c r="Z821" s="50"/>
      <c r="AA821" s="14"/>
    </row>
    <row r="822">
      <c r="A822" s="14"/>
      <c r="B822" s="14"/>
      <c r="C822" s="158"/>
      <c r="D822" s="96"/>
      <c r="E822" s="96"/>
      <c r="F822" s="96"/>
      <c r="G822" s="50"/>
      <c r="H822" s="96"/>
      <c r="I822" s="96"/>
      <c r="J822" s="96"/>
      <c r="K822" s="50"/>
      <c r="L822" s="96"/>
      <c r="M822" s="96"/>
      <c r="N822" s="14"/>
      <c r="O822" s="50"/>
      <c r="P822" s="50"/>
      <c r="Q822" s="50"/>
      <c r="R822" s="50"/>
      <c r="S822" s="50"/>
      <c r="T822" s="50"/>
      <c r="U822" s="50"/>
      <c r="V822" s="50"/>
      <c r="W822" s="14"/>
      <c r="X822" s="50"/>
      <c r="Y822" s="179"/>
      <c r="Z822" s="50"/>
      <c r="AA822" s="14"/>
    </row>
    <row r="823">
      <c r="A823" s="14"/>
      <c r="B823" s="14"/>
      <c r="C823" s="158"/>
      <c r="D823" s="96"/>
      <c r="E823" s="96"/>
      <c r="F823" s="96"/>
      <c r="G823" s="50"/>
      <c r="H823" s="96"/>
      <c r="I823" s="96"/>
      <c r="J823" s="96"/>
      <c r="K823" s="50"/>
      <c r="L823" s="96"/>
      <c r="M823" s="96"/>
      <c r="N823" s="14"/>
      <c r="O823" s="50"/>
      <c r="P823" s="50"/>
      <c r="Q823" s="50"/>
      <c r="R823" s="50"/>
      <c r="S823" s="50"/>
      <c r="T823" s="50"/>
      <c r="U823" s="50"/>
      <c r="V823" s="50"/>
      <c r="W823" s="14"/>
      <c r="X823" s="50"/>
      <c r="Y823" s="179"/>
      <c r="Z823" s="50"/>
      <c r="AA823" s="14"/>
    </row>
    <row r="824">
      <c r="A824" s="14"/>
      <c r="B824" s="14"/>
      <c r="C824" s="158"/>
      <c r="D824" s="96"/>
      <c r="E824" s="96"/>
      <c r="F824" s="96"/>
      <c r="G824" s="50"/>
      <c r="H824" s="96"/>
      <c r="I824" s="96"/>
      <c r="J824" s="96"/>
      <c r="K824" s="50"/>
      <c r="L824" s="96"/>
      <c r="M824" s="96"/>
      <c r="N824" s="14"/>
      <c r="O824" s="50"/>
      <c r="P824" s="50"/>
      <c r="Q824" s="50"/>
      <c r="R824" s="50"/>
      <c r="S824" s="50"/>
      <c r="T824" s="50"/>
      <c r="U824" s="50"/>
      <c r="V824" s="50"/>
      <c r="W824" s="14"/>
      <c r="X824" s="50"/>
      <c r="Y824" s="179"/>
      <c r="Z824" s="50"/>
      <c r="AA824" s="14"/>
    </row>
    <row r="825">
      <c r="A825" s="14"/>
      <c r="B825" s="14"/>
      <c r="C825" s="158"/>
      <c r="D825" s="96"/>
      <c r="E825" s="96"/>
      <c r="F825" s="96"/>
      <c r="G825" s="50"/>
      <c r="H825" s="96"/>
      <c r="I825" s="96"/>
      <c r="J825" s="96"/>
      <c r="K825" s="50"/>
      <c r="L825" s="96"/>
      <c r="M825" s="96"/>
      <c r="N825" s="14"/>
      <c r="O825" s="50"/>
      <c r="P825" s="50"/>
      <c r="Q825" s="50"/>
      <c r="R825" s="50"/>
      <c r="S825" s="50"/>
      <c r="T825" s="50"/>
      <c r="U825" s="50"/>
      <c r="V825" s="50"/>
      <c r="W825" s="14"/>
      <c r="X825" s="50"/>
      <c r="Y825" s="179"/>
      <c r="Z825" s="50"/>
      <c r="AA825" s="14"/>
    </row>
    <row r="826">
      <c r="A826" s="14"/>
      <c r="B826" s="14"/>
      <c r="C826" s="158"/>
      <c r="D826" s="96"/>
      <c r="E826" s="96"/>
      <c r="F826" s="96"/>
      <c r="G826" s="50"/>
      <c r="H826" s="96"/>
      <c r="I826" s="96"/>
      <c r="J826" s="96"/>
      <c r="K826" s="50"/>
      <c r="L826" s="96"/>
      <c r="M826" s="96"/>
      <c r="N826" s="14"/>
      <c r="O826" s="50"/>
      <c r="P826" s="50"/>
      <c r="Q826" s="50"/>
      <c r="R826" s="50"/>
      <c r="S826" s="50"/>
      <c r="T826" s="50"/>
      <c r="U826" s="50"/>
      <c r="V826" s="50"/>
      <c r="W826" s="14"/>
      <c r="X826" s="50"/>
      <c r="Y826" s="179"/>
      <c r="Z826" s="50"/>
      <c r="AA826" s="14"/>
    </row>
    <row r="827">
      <c r="A827" s="14"/>
      <c r="B827" s="14"/>
      <c r="C827" s="158"/>
      <c r="D827" s="96"/>
      <c r="E827" s="96"/>
      <c r="F827" s="96"/>
      <c r="G827" s="50"/>
      <c r="H827" s="96"/>
      <c r="I827" s="96"/>
      <c r="J827" s="96"/>
      <c r="K827" s="50"/>
      <c r="L827" s="96"/>
      <c r="M827" s="96"/>
      <c r="N827" s="14"/>
      <c r="O827" s="50"/>
      <c r="P827" s="50"/>
      <c r="Q827" s="50"/>
      <c r="R827" s="50"/>
      <c r="S827" s="50"/>
      <c r="T827" s="50"/>
      <c r="U827" s="50"/>
      <c r="V827" s="50"/>
      <c r="W827" s="14"/>
      <c r="X827" s="50"/>
      <c r="Y827" s="179"/>
      <c r="Z827" s="50"/>
      <c r="AA827" s="14"/>
    </row>
    <row r="828">
      <c r="A828" s="14"/>
      <c r="B828" s="14"/>
      <c r="C828" s="158"/>
      <c r="D828" s="96"/>
      <c r="E828" s="96"/>
      <c r="F828" s="96"/>
      <c r="G828" s="50"/>
      <c r="H828" s="96"/>
      <c r="I828" s="96"/>
      <c r="J828" s="96"/>
      <c r="K828" s="50"/>
      <c r="L828" s="96"/>
      <c r="M828" s="96"/>
      <c r="N828" s="14"/>
      <c r="O828" s="50"/>
      <c r="P828" s="50"/>
      <c r="Q828" s="50"/>
      <c r="R828" s="50"/>
      <c r="S828" s="50"/>
      <c r="T828" s="50"/>
      <c r="U828" s="50"/>
      <c r="V828" s="50"/>
      <c r="W828" s="14"/>
      <c r="X828" s="50"/>
      <c r="Y828" s="179"/>
      <c r="Z828" s="50"/>
      <c r="AA828" s="14"/>
    </row>
    <row r="829">
      <c r="A829" s="14"/>
      <c r="B829" s="14"/>
      <c r="C829" s="158"/>
      <c r="D829" s="96"/>
      <c r="E829" s="96"/>
      <c r="F829" s="96"/>
      <c r="G829" s="50"/>
      <c r="H829" s="96"/>
      <c r="I829" s="96"/>
      <c r="J829" s="96"/>
      <c r="K829" s="50"/>
      <c r="L829" s="96"/>
      <c r="M829" s="96"/>
      <c r="N829" s="14"/>
      <c r="O829" s="50"/>
      <c r="P829" s="50"/>
      <c r="Q829" s="50"/>
      <c r="R829" s="50"/>
      <c r="S829" s="50"/>
      <c r="T829" s="50"/>
      <c r="U829" s="50"/>
      <c r="V829" s="50"/>
      <c r="W829" s="14"/>
      <c r="X829" s="50"/>
      <c r="Y829" s="179"/>
      <c r="Z829" s="50"/>
      <c r="AA829" s="14"/>
    </row>
    <row r="830">
      <c r="A830" s="14"/>
      <c r="B830" s="14"/>
      <c r="C830" s="158"/>
      <c r="D830" s="96"/>
      <c r="E830" s="96"/>
      <c r="F830" s="96"/>
      <c r="G830" s="50"/>
      <c r="H830" s="96"/>
      <c r="I830" s="96"/>
      <c r="J830" s="96"/>
      <c r="K830" s="50"/>
      <c r="L830" s="96"/>
      <c r="M830" s="96"/>
      <c r="N830" s="14"/>
      <c r="O830" s="50"/>
      <c r="P830" s="50"/>
      <c r="Q830" s="50"/>
      <c r="R830" s="50"/>
      <c r="S830" s="50"/>
      <c r="T830" s="50"/>
      <c r="U830" s="50"/>
      <c r="V830" s="50"/>
      <c r="W830" s="14"/>
      <c r="X830" s="50"/>
      <c r="Y830" s="179"/>
      <c r="Z830" s="50"/>
      <c r="AA830" s="14"/>
    </row>
    <row r="831">
      <c r="A831" s="14"/>
      <c r="B831" s="14"/>
      <c r="C831" s="158"/>
      <c r="D831" s="96"/>
      <c r="E831" s="96"/>
      <c r="F831" s="96"/>
      <c r="G831" s="50"/>
      <c r="H831" s="96"/>
      <c r="I831" s="96"/>
      <c r="J831" s="96"/>
      <c r="K831" s="50"/>
      <c r="L831" s="96"/>
      <c r="M831" s="96"/>
      <c r="N831" s="14"/>
      <c r="O831" s="50"/>
      <c r="P831" s="50"/>
      <c r="Q831" s="50"/>
      <c r="R831" s="50"/>
      <c r="S831" s="50"/>
      <c r="T831" s="50"/>
      <c r="U831" s="50"/>
      <c r="V831" s="50"/>
      <c r="W831" s="14"/>
      <c r="X831" s="50"/>
      <c r="Y831" s="179"/>
      <c r="Z831" s="50"/>
      <c r="AA831" s="14"/>
    </row>
    <row r="832">
      <c r="A832" s="14"/>
      <c r="B832" s="14"/>
      <c r="C832" s="158"/>
      <c r="D832" s="96"/>
      <c r="E832" s="96"/>
      <c r="F832" s="96"/>
      <c r="G832" s="50"/>
      <c r="H832" s="96"/>
      <c r="I832" s="96"/>
      <c r="J832" s="96"/>
      <c r="K832" s="50"/>
      <c r="L832" s="96"/>
      <c r="M832" s="96"/>
      <c r="N832" s="14"/>
      <c r="O832" s="50"/>
      <c r="P832" s="50"/>
      <c r="Q832" s="50"/>
      <c r="R832" s="50"/>
      <c r="S832" s="50"/>
      <c r="T832" s="50"/>
      <c r="U832" s="50"/>
      <c r="V832" s="50"/>
      <c r="W832" s="14"/>
      <c r="X832" s="50"/>
      <c r="Y832" s="179"/>
      <c r="Z832" s="50"/>
      <c r="AA832" s="14"/>
    </row>
    <row r="833">
      <c r="A833" s="14"/>
      <c r="B833" s="14"/>
      <c r="C833" s="158"/>
      <c r="D833" s="96"/>
      <c r="E833" s="96"/>
      <c r="F833" s="96"/>
      <c r="G833" s="50"/>
      <c r="H833" s="96"/>
      <c r="I833" s="96"/>
      <c r="J833" s="96"/>
      <c r="K833" s="50"/>
      <c r="L833" s="96"/>
      <c r="M833" s="96"/>
      <c r="N833" s="14"/>
      <c r="O833" s="50"/>
      <c r="P833" s="50"/>
      <c r="Q833" s="50"/>
      <c r="R833" s="50"/>
      <c r="S833" s="50"/>
      <c r="T833" s="50"/>
      <c r="U833" s="50"/>
      <c r="V833" s="50"/>
      <c r="W833" s="14"/>
      <c r="X833" s="50"/>
      <c r="Y833" s="179"/>
      <c r="Z833" s="50"/>
      <c r="AA833" s="14"/>
    </row>
    <row r="834">
      <c r="A834" s="14"/>
      <c r="B834" s="14"/>
      <c r="C834" s="158"/>
      <c r="D834" s="96"/>
      <c r="E834" s="96"/>
      <c r="F834" s="96"/>
      <c r="G834" s="50"/>
      <c r="H834" s="96"/>
      <c r="I834" s="96"/>
      <c r="J834" s="96"/>
      <c r="K834" s="50"/>
      <c r="L834" s="96"/>
      <c r="M834" s="96"/>
      <c r="N834" s="14"/>
      <c r="O834" s="50"/>
      <c r="P834" s="50"/>
      <c r="Q834" s="50"/>
      <c r="R834" s="50"/>
      <c r="S834" s="50"/>
      <c r="T834" s="50"/>
      <c r="U834" s="50"/>
      <c r="V834" s="50"/>
      <c r="W834" s="14"/>
      <c r="X834" s="50"/>
      <c r="Y834" s="179"/>
      <c r="Z834" s="50"/>
      <c r="AA834" s="14"/>
    </row>
    <row r="835">
      <c r="A835" s="14"/>
      <c r="B835" s="14"/>
      <c r="C835" s="158"/>
      <c r="D835" s="96"/>
      <c r="E835" s="96"/>
      <c r="F835" s="96"/>
      <c r="G835" s="50"/>
      <c r="H835" s="96"/>
      <c r="I835" s="96"/>
      <c r="J835" s="96"/>
      <c r="K835" s="50"/>
      <c r="L835" s="96"/>
      <c r="M835" s="96"/>
      <c r="N835" s="14"/>
      <c r="O835" s="50"/>
      <c r="P835" s="50"/>
      <c r="Q835" s="50"/>
      <c r="R835" s="50"/>
      <c r="S835" s="50"/>
      <c r="T835" s="50"/>
      <c r="U835" s="50"/>
      <c r="V835" s="50"/>
      <c r="W835" s="14"/>
      <c r="X835" s="50"/>
      <c r="Y835" s="179"/>
      <c r="Z835" s="50"/>
      <c r="AA835" s="14"/>
    </row>
    <row r="836">
      <c r="A836" s="14"/>
      <c r="B836" s="14"/>
      <c r="C836" s="158"/>
      <c r="D836" s="96"/>
      <c r="E836" s="96"/>
      <c r="F836" s="96"/>
      <c r="G836" s="50"/>
      <c r="H836" s="96"/>
      <c r="I836" s="96"/>
      <c r="J836" s="96"/>
      <c r="K836" s="50"/>
      <c r="L836" s="96"/>
      <c r="M836" s="96"/>
      <c r="N836" s="14"/>
      <c r="O836" s="50"/>
      <c r="P836" s="50"/>
      <c r="Q836" s="50"/>
      <c r="R836" s="50"/>
      <c r="S836" s="50"/>
      <c r="T836" s="50"/>
      <c r="U836" s="50"/>
      <c r="V836" s="50"/>
      <c r="W836" s="14"/>
      <c r="X836" s="50"/>
      <c r="Y836" s="179"/>
      <c r="Z836" s="50"/>
      <c r="AA836" s="14"/>
    </row>
    <row r="837">
      <c r="A837" s="14"/>
      <c r="B837" s="14"/>
      <c r="C837" s="158"/>
      <c r="D837" s="96"/>
      <c r="E837" s="96"/>
      <c r="F837" s="96"/>
      <c r="G837" s="50"/>
      <c r="H837" s="96"/>
      <c r="I837" s="96"/>
      <c r="J837" s="96"/>
      <c r="K837" s="50"/>
      <c r="L837" s="96"/>
      <c r="M837" s="96"/>
      <c r="N837" s="14"/>
      <c r="O837" s="50"/>
      <c r="P837" s="50"/>
      <c r="Q837" s="50"/>
      <c r="R837" s="50"/>
      <c r="S837" s="50"/>
      <c r="T837" s="50"/>
      <c r="U837" s="50"/>
      <c r="V837" s="50"/>
      <c r="W837" s="14"/>
      <c r="X837" s="50"/>
      <c r="Y837" s="179"/>
      <c r="Z837" s="50"/>
      <c r="AA837" s="14"/>
    </row>
    <row r="838">
      <c r="A838" s="14"/>
      <c r="B838" s="14"/>
      <c r="C838" s="158"/>
      <c r="D838" s="96"/>
      <c r="E838" s="96"/>
      <c r="F838" s="96"/>
      <c r="G838" s="50"/>
      <c r="H838" s="96"/>
      <c r="I838" s="96"/>
      <c r="J838" s="96"/>
      <c r="K838" s="50"/>
      <c r="L838" s="96"/>
      <c r="M838" s="96"/>
      <c r="N838" s="14"/>
      <c r="O838" s="50"/>
      <c r="P838" s="50"/>
      <c r="Q838" s="50"/>
      <c r="R838" s="50"/>
      <c r="S838" s="50"/>
      <c r="T838" s="50"/>
      <c r="U838" s="50"/>
      <c r="V838" s="50"/>
      <c r="W838" s="14"/>
      <c r="X838" s="50"/>
      <c r="Y838" s="179"/>
      <c r="Z838" s="50"/>
      <c r="AA838" s="14"/>
    </row>
    <row r="839">
      <c r="A839" s="14"/>
      <c r="B839" s="14"/>
      <c r="C839" s="158"/>
      <c r="D839" s="96"/>
      <c r="E839" s="96"/>
      <c r="F839" s="96"/>
      <c r="G839" s="50"/>
      <c r="H839" s="96"/>
      <c r="I839" s="96"/>
      <c r="J839" s="96"/>
      <c r="K839" s="50"/>
      <c r="L839" s="96"/>
      <c r="M839" s="96"/>
      <c r="N839" s="14"/>
      <c r="O839" s="50"/>
      <c r="P839" s="50"/>
      <c r="Q839" s="50"/>
      <c r="R839" s="50"/>
      <c r="S839" s="50"/>
      <c r="T839" s="50"/>
      <c r="U839" s="50"/>
      <c r="V839" s="50"/>
      <c r="W839" s="14"/>
      <c r="X839" s="50"/>
      <c r="Y839" s="179"/>
      <c r="Z839" s="50"/>
      <c r="AA839" s="14"/>
    </row>
    <row r="840">
      <c r="A840" s="14"/>
      <c r="B840" s="14"/>
      <c r="C840" s="158"/>
      <c r="D840" s="96"/>
      <c r="E840" s="96"/>
      <c r="F840" s="96"/>
      <c r="G840" s="50"/>
      <c r="H840" s="96"/>
      <c r="I840" s="96"/>
      <c r="J840" s="96"/>
      <c r="K840" s="50"/>
      <c r="L840" s="96"/>
      <c r="M840" s="96"/>
      <c r="N840" s="14"/>
      <c r="O840" s="50"/>
      <c r="P840" s="50"/>
      <c r="Q840" s="50"/>
      <c r="R840" s="50"/>
      <c r="S840" s="50"/>
      <c r="T840" s="50"/>
      <c r="U840" s="50"/>
      <c r="V840" s="50"/>
      <c r="W840" s="14"/>
      <c r="X840" s="50"/>
      <c r="Y840" s="179"/>
      <c r="Z840" s="50"/>
      <c r="AA840" s="14"/>
    </row>
    <row r="841">
      <c r="A841" s="14"/>
      <c r="B841" s="14"/>
      <c r="C841" s="158"/>
      <c r="D841" s="96"/>
      <c r="E841" s="96"/>
      <c r="F841" s="96"/>
      <c r="G841" s="50"/>
      <c r="H841" s="96"/>
      <c r="I841" s="96"/>
      <c r="J841" s="96"/>
      <c r="K841" s="50"/>
      <c r="L841" s="96"/>
      <c r="M841" s="96"/>
      <c r="N841" s="14"/>
      <c r="O841" s="50"/>
      <c r="P841" s="50"/>
      <c r="Q841" s="50"/>
      <c r="R841" s="50"/>
      <c r="S841" s="50"/>
      <c r="T841" s="50"/>
      <c r="U841" s="50"/>
      <c r="V841" s="50"/>
      <c r="W841" s="14"/>
      <c r="X841" s="50"/>
      <c r="Y841" s="179"/>
      <c r="Z841" s="50"/>
      <c r="AA841" s="14"/>
    </row>
    <row r="842">
      <c r="A842" s="14"/>
      <c r="B842" s="14"/>
      <c r="C842" s="158"/>
      <c r="D842" s="96"/>
      <c r="E842" s="96"/>
      <c r="F842" s="96"/>
      <c r="G842" s="50"/>
      <c r="H842" s="96"/>
      <c r="I842" s="96"/>
      <c r="J842" s="96"/>
      <c r="K842" s="50"/>
      <c r="L842" s="96"/>
      <c r="M842" s="96"/>
      <c r="N842" s="14"/>
      <c r="O842" s="50"/>
      <c r="P842" s="50"/>
      <c r="Q842" s="50"/>
      <c r="R842" s="50"/>
      <c r="S842" s="50"/>
      <c r="T842" s="50"/>
      <c r="U842" s="50"/>
      <c r="V842" s="50"/>
      <c r="W842" s="14"/>
      <c r="X842" s="50"/>
      <c r="Y842" s="179"/>
      <c r="Z842" s="50"/>
      <c r="AA842" s="14"/>
    </row>
    <row r="843">
      <c r="A843" s="14"/>
      <c r="B843" s="14"/>
      <c r="C843" s="158"/>
      <c r="D843" s="96"/>
      <c r="E843" s="96"/>
      <c r="F843" s="96"/>
      <c r="G843" s="50"/>
      <c r="H843" s="96"/>
      <c r="I843" s="96"/>
      <c r="J843" s="96"/>
      <c r="K843" s="50"/>
      <c r="L843" s="96"/>
      <c r="M843" s="96"/>
      <c r="N843" s="14"/>
      <c r="O843" s="50"/>
      <c r="P843" s="50"/>
      <c r="Q843" s="50"/>
      <c r="R843" s="50"/>
      <c r="S843" s="50"/>
      <c r="T843" s="50"/>
      <c r="U843" s="50"/>
      <c r="V843" s="50"/>
      <c r="W843" s="14"/>
      <c r="X843" s="50"/>
      <c r="Y843" s="179"/>
      <c r="Z843" s="50"/>
      <c r="AA843" s="14"/>
    </row>
    <row r="844">
      <c r="A844" s="14"/>
      <c r="B844" s="14"/>
      <c r="C844" s="158"/>
      <c r="D844" s="96"/>
      <c r="E844" s="96"/>
      <c r="F844" s="96"/>
      <c r="G844" s="50"/>
      <c r="H844" s="96"/>
      <c r="I844" s="96"/>
      <c r="J844" s="96"/>
      <c r="K844" s="50"/>
      <c r="L844" s="96"/>
      <c r="M844" s="96"/>
      <c r="N844" s="14"/>
      <c r="O844" s="50"/>
      <c r="P844" s="50"/>
      <c r="Q844" s="50"/>
      <c r="R844" s="50"/>
      <c r="S844" s="50"/>
      <c r="T844" s="50"/>
      <c r="U844" s="50"/>
      <c r="V844" s="50"/>
      <c r="W844" s="14"/>
      <c r="X844" s="50"/>
      <c r="Y844" s="179"/>
      <c r="Z844" s="50"/>
      <c r="AA844" s="14"/>
    </row>
    <row r="845">
      <c r="A845" s="14"/>
      <c r="B845" s="14"/>
      <c r="C845" s="158"/>
      <c r="D845" s="96"/>
      <c r="E845" s="96"/>
      <c r="F845" s="96"/>
      <c r="G845" s="50"/>
      <c r="H845" s="96"/>
      <c r="I845" s="96"/>
      <c r="J845" s="96"/>
      <c r="K845" s="50"/>
      <c r="L845" s="96"/>
      <c r="M845" s="96"/>
      <c r="N845" s="14"/>
      <c r="O845" s="50"/>
      <c r="P845" s="50"/>
      <c r="Q845" s="50"/>
      <c r="R845" s="50"/>
      <c r="S845" s="50"/>
      <c r="T845" s="50"/>
      <c r="U845" s="50"/>
      <c r="V845" s="50"/>
      <c r="W845" s="14"/>
      <c r="X845" s="50"/>
      <c r="Y845" s="179"/>
      <c r="Z845" s="50"/>
      <c r="AA845" s="14"/>
    </row>
    <row r="846">
      <c r="A846" s="14"/>
      <c r="B846" s="14"/>
      <c r="C846" s="158"/>
      <c r="D846" s="96"/>
      <c r="E846" s="96"/>
      <c r="F846" s="96"/>
      <c r="G846" s="50"/>
      <c r="H846" s="96"/>
      <c r="I846" s="96"/>
      <c r="J846" s="96"/>
      <c r="K846" s="50"/>
      <c r="L846" s="96"/>
      <c r="M846" s="96"/>
      <c r="N846" s="14"/>
      <c r="O846" s="50"/>
      <c r="P846" s="50"/>
      <c r="Q846" s="50"/>
      <c r="R846" s="50"/>
      <c r="S846" s="50"/>
      <c r="T846" s="50"/>
      <c r="U846" s="50"/>
      <c r="V846" s="50"/>
      <c r="W846" s="14"/>
      <c r="X846" s="50"/>
      <c r="Y846" s="179"/>
      <c r="Z846" s="50"/>
      <c r="AA846" s="14"/>
    </row>
    <row r="847">
      <c r="A847" s="14"/>
      <c r="B847" s="14"/>
      <c r="C847" s="158"/>
      <c r="D847" s="96"/>
      <c r="E847" s="96"/>
      <c r="F847" s="96"/>
      <c r="G847" s="50"/>
      <c r="H847" s="96"/>
      <c r="I847" s="96"/>
      <c r="J847" s="96"/>
      <c r="K847" s="50"/>
      <c r="L847" s="96"/>
      <c r="M847" s="96"/>
      <c r="N847" s="14"/>
      <c r="O847" s="50"/>
      <c r="P847" s="50"/>
      <c r="Q847" s="50"/>
      <c r="R847" s="50"/>
      <c r="S847" s="50"/>
      <c r="T847" s="50"/>
      <c r="U847" s="50"/>
      <c r="V847" s="50"/>
      <c r="W847" s="14"/>
      <c r="X847" s="50"/>
      <c r="Y847" s="179"/>
      <c r="Z847" s="50"/>
      <c r="AA847" s="14"/>
    </row>
    <row r="848">
      <c r="A848" s="14"/>
      <c r="B848" s="14"/>
      <c r="C848" s="158"/>
      <c r="D848" s="96"/>
      <c r="E848" s="96"/>
      <c r="F848" s="96"/>
      <c r="G848" s="50"/>
      <c r="H848" s="96"/>
      <c r="I848" s="96"/>
      <c r="J848" s="96"/>
      <c r="K848" s="50"/>
      <c r="L848" s="96"/>
      <c r="M848" s="96"/>
      <c r="N848" s="14"/>
      <c r="O848" s="50"/>
      <c r="P848" s="50"/>
      <c r="Q848" s="50"/>
      <c r="R848" s="50"/>
      <c r="S848" s="50"/>
      <c r="T848" s="50"/>
      <c r="U848" s="50"/>
      <c r="V848" s="50"/>
      <c r="W848" s="14"/>
      <c r="X848" s="50"/>
      <c r="Y848" s="179"/>
      <c r="Z848" s="50"/>
      <c r="AA848" s="14"/>
    </row>
    <row r="849">
      <c r="A849" s="14"/>
      <c r="B849" s="14"/>
      <c r="C849" s="158"/>
      <c r="D849" s="96"/>
      <c r="E849" s="96"/>
      <c r="F849" s="96"/>
      <c r="G849" s="50"/>
      <c r="H849" s="96"/>
      <c r="I849" s="96"/>
      <c r="J849" s="96"/>
      <c r="K849" s="50"/>
      <c r="L849" s="96"/>
      <c r="M849" s="96"/>
      <c r="N849" s="14"/>
      <c r="O849" s="50"/>
      <c r="P849" s="50"/>
      <c r="Q849" s="50"/>
      <c r="R849" s="50"/>
      <c r="S849" s="50"/>
      <c r="T849" s="50"/>
      <c r="U849" s="50"/>
      <c r="V849" s="50"/>
      <c r="W849" s="14"/>
      <c r="X849" s="50"/>
      <c r="Y849" s="179"/>
      <c r="Z849" s="50"/>
      <c r="AA849" s="14"/>
    </row>
    <row r="850">
      <c r="A850" s="14"/>
      <c r="B850" s="14"/>
      <c r="C850" s="158"/>
      <c r="D850" s="96"/>
      <c r="E850" s="96"/>
      <c r="F850" s="96"/>
      <c r="G850" s="50"/>
      <c r="H850" s="96"/>
      <c r="I850" s="96"/>
      <c r="J850" s="96"/>
      <c r="K850" s="50"/>
      <c r="L850" s="96"/>
      <c r="M850" s="96"/>
      <c r="N850" s="14"/>
      <c r="O850" s="50"/>
      <c r="P850" s="50"/>
      <c r="Q850" s="50"/>
      <c r="R850" s="50"/>
      <c r="S850" s="50"/>
      <c r="T850" s="50"/>
      <c r="U850" s="50"/>
      <c r="V850" s="50"/>
      <c r="W850" s="14"/>
      <c r="X850" s="50"/>
      <c r="Y850" s="179"/>
      <c r="Z850" s="50"/>
      <c r="AA850" s="14"/>
    </row>
    <row r="851">
      <c r="A851" s="14"/>
      <c r="B851" s="14"/>
      <c r="C851" s="158"/>
      <c r="D851" s="96"/>
      <c r="E851" s="96"/>
      <c r="F851" s="96"/>
      <c r="G851" s="50"/>
      <c r="H851" s="96"/>
      <c r="I851" s="96"/>
      <c r="J851" s="96"/>
      <c r="K851" s="50"/>
      <c r="L851" s="96"/>
      <c r="M851" s="96"/>
      <c r="N851" s="14"/>
      <c r="O851" s="50"/>
      <c r="P851" s="50"/>
      <c r="Q851" s="50"/>
      <c r="R851" s="50"/>
      <c r="S851" s="50"/>
      <c r="T851" s="50"/>
      <c r="U851" s="50"/>
      <c r="V851" s="50"/>
      <c r="W851" s="14"/>
      <c r="X851" s="50"/>
      <c r="Y851" s="179"/>
      <c r="Z851" s="50"/>
      <c r="AA851" s="14"/>
    </row>
    <row r="852">
      <c r="A852" s="14"/>
      <c r="B852" s="14"/>
      <c r="C852" s="158"/>
      <c r="D852" s="96"/>
      <c r="E852" s="96"/>
      <c r="F852" s="96"/>
      <c r="G852" s="50"/>
      <c r="H852" s="96"/>
      <c r="I852" s="96"/>
      <c r="J852" s="96"/>
      <c r="K852" s="50"/>
      <c r="L852" s="96"/>
      <c r="M852" s="96"/>
      <c r="N852" s="14"/>
      <c r="O852" s="50"/>
      <c r="P852" s="50"/>
      <c r="Q852" s="50"/>
      <c r="R852" s="50"/>
      <c r="S852" s="50"/>
      <c r="T852" s="50"/>
      <c r="U852" s="50"/>
      <c r="V852" s="50"/>
      <c r="W852" s="14"/>
      <c r="X852" s="50"/>
      <c r="Y852" s="179"/>
      <c r="Z852" s="50"/>
      <c r="AA852" s="14"/>
    </row>
    <row r="853">
      <c r="A853" s="14"/>
      <c r="B853" s="14"/>
      <c r="C853" s="158"/>
      <c r="D853" s="96"/>
      <c r="E853" s="96"/>
      <c r="F853" s="96"/>
      <c r="G853" s="50"/>
      <c r="H853" s="96"/>
      <c r="I853" s="96"/>
      <c r="J853" s="96"/>
      <c r="K853" s="50"/>
      <c r="L853" s="96"/>
      <c r="M853" s="96"/>
      <c r="N853" s="14"/>
      <c r="O853" s="50"/>
      <c r="P853" s="50"/>
      <c r="Q853" s="50"/>
      <c r="R853" s="50"/>
      <c r="S853" s="50"/>
      <c r="T853" s="50"/>
      <c r="U853" s="50"/>
      <c r="V853" s="50"/>
      <c r="W853" s="14"/>
      <c r="X853" s="50"/>
      <c r="Y853" s="179"/>
      <c r="Z853" s="50"/>
      <c r="AA853" s="14"/>
    </row>
    <row r="854">
      <c r="A854" s="14"/>
      <c r="B854" s="14"/>
      <c r="C854" s="158"/>
      <c r="D854" s="96"/>
      <c r="E854" s="96"/>
      <c r="F854" s="96"/>
      <c r="G854" s="50"/>
      <c r="H854" s="96"/>
      <c r="I854" s="96"/>
      <c r="J854" s="96"/>
      <c r="K854" s="50"/>
      <c r="L854" s="96"/>
      <c r="M854" s="96"/>
      <c r="N854" s="14"/>
      <c r="O854" s="50"/>
      <c r="P854" s="50"/>
      <c r="Q854" s="50"/>
      <c r="R854" s="50"/>
      <c r="S854" s="50"/>
      <c r="T854" s="50"/>
      <c r="U854" s="50"/>
      <c r="V854" s="50"/>
      <c r="W854" s="14"/>
      <c r="X854" s="50"/>
      <c r="Y854" s="179"/>
      <c r="Z854" s="50"/>
      <c r="AA854" s="14"/>
    </row>
    <row r="855">
      <c r="A855" s="14"/>
      <c r="B855" s="14"/>
      <c r="C855" s="158"/>
      <c r="D855" s="96"/>
      <c r="E855" s="96"/>
      <c r="F855" s="96"/>
      <c r="G855" s="50"/>
      <c r="H855" s="96"/>
      <c r="I855" s="96"/>
      <c r="J855" s="96"/>
      <c r="K855" s="50"/>
      <c r="L855" s="96"/>
      <c r="M855" s="96"/>
      <c r="N855" s="14"/>
      <c r="O855" s="50"/>
      <c r="P855" s="50"/>
      <c r="Q855" s="50"/>
      <c r="R855" s="50"/>
      <c r="S855" s="50"/>
      <c r="T855" s="50"/>
      <c r="U855" s="50"/>
      <c r="V855" s="50"/>
      <c r="W855" s="14"/>
      <c r="X855" s="50"/>
      <c r="Y855" s="179"/>
      <c r="Z855" s="50"/>
      <c r="AA855" s="14"/>
    </row>
    <row r="856">
      <c r="A856" s="14"/>
      <c r="B856" s="14"/>
      <c r="C856" s="158"/>
      <c r="D856" s="96"/>
      <c r="E856" s="96"/>
      <c r="F856" s="96"/>
      <c r="G856" s="50"/>
      <c r="H856" s="96"/>
      <c r="I856" s="96"/>
      <c r="J856" s="96"/>
      <c r="K856" s="50"/>
      <c r="L856" s="96"/>
      <c r="M856" s="96"/>
      <c r="N856" s="14"/>
      <c r="O856" s="50"/>
      <c r="P856" s="50"/>
      <c r="Q856" s="50"/>
      <c r="R856" s="50"/>
      <c r="S856" s="50"/>
      <c r="T856" s="50"/>
      <c r="U856" s="50"/>
      <c r="V856" s="50"/>
      <c r="W856" s="14"/>
      <c r="X856" s="50"/>
      <c r="Y856" s="179"/>
      <c r="Z856" s="50"/>
      <c r="AA856" s="14"/>
    </row>
    <row r="857">
      <c r="A857" s="14"/>
      <c r="B857" s="14"/>
      <c r="C857" s="158"/>
      <c r="D857" s="96"/>
      <c r="E857" s="96"/>
      <c r="F857" s="96"/>
      <c r="G857" s="50"/>
      <c r="H857" s="96"/>
      <c r="I857" s="96"/>
      <c r="J857" s="96"/>
      <c r="K857" s="50"/>
      <c r="L857" s="96"/>
      <c r="M857" s="96"/>
      <c r="N857" s="14"/>
      <c r="O857" s="50"/>
      <c r="P857" s="50"/>
      <c r="Q857" s="50"/>
      <c r="R857" s="50"/>
      <c r="S857" s="50"/>
      <c r="T857" s="50"/>
      <c r="U857" s="50"/>
      <c r="V857" s="50"/>
      <c r="W857" s="14"/>
      <c r="X857" s="50"/>
      <c r="Y857" s="179"/>
      <c r="Z857" s="50"/>
      <c r="AA857" s="14"/>
    </row>
    <row r="858">
      <c r="A858" s="14"/>
      <c r="B858" s="14"/>
      <c r="C858" s="158"/>
      <c r="D858" s="96"/>
      <c r="E858" s="96"/>
      <c r="F858" s="96"/>
      <c r="G858" s="50"/>
      <c r="H858" s="96"/>
      <c r="I858" s="96"/>
      <c r="J858" s="96"/>
      <c r="K858" s="50"/>
      <c r="L858" s="96"/>
      <c r="M858" s="96"/>
      <c r="N858" s="14"/>
      <c r="O858" s="50"/>
      <c r="P858" s="50"/>
      <c r="Q858" s="50"/>
      <c r="R858" s="50"/>
      <c r="S858" s="50"/>
      <c r="T858" s="50"/>
      <c r="U858" s="50"/>
      <c r="V858" s="50"/>
      <c r="W858" s="14"/>
      <c r="X858" s="50"/>
      <c r="Y858" s="179"/>
      <c r="Z858" s="50"/>
      <c r="AA858" s="14"/>
    </row>
    <row r="859">
      <c r="A859" s="14"/>
      <c r="B859" s="14"/>
      <c r="C859" s="158"/>
      <c r="D859" s="96"/>
      <c r="E859" s="96"/>
      <c r="F859" s="96"/>
      <c r="G859" s="50"/>
      <c r="H859" s="96"/>
      <c r="I859" s="96"/>
      <c r="J859" s="96"/>
      <c r="K859" s="50"/>
      <c r="L859" s="96"/>
      <c r="M859" s="96"/>
      <c r="N859" s="14"/>
      <c r="O859" s="50"/>
      <c r="P859" s="50"/>
      <c r="Q859" s="50"/>
      <c r="R859" s="50"/>
      <c r="S859" s="50"/>
      <c r="T859" s="50"/>
      <c r="U859" s="50"/>
      <c r="V859" s="50"/>
      <c r="W859" s="14"/>
      <c r="X859" s="50"/>
      <c r="Y859" s="179"/>
      <c r="Z859" s="50"/>
      <c r="AA859" s="14"/>
    </row>
    <row r="860">
      <c r="A860" s="14"/>
      <c r="B860" s="14"/>
      <c r="C860" s="158"/>
      <c r="D860" s="96"/>
      <c r="E860" s="96"/>
      <c r="F860" s="96"/>
      <c r="G860" s="50"/>
      <c r="H860" s="96"/>
      <c r="I860" s="96"/>
      <c r="J860" s="96"/>
      <c r="K860" s="50"/>
      <c r="L860" s="96"/>
      <c r="M860" s="96"/>
      <c r="N860" s="14"/>
      <c r="O860" s="50"/>
      <c r="P860" s="50"/>
      <c r="Q860" s="50"/>
      <c r="R860" s="50"/>
      <c r="S860" s="50"/>
      <c r="T860" s="50"/>
      <c r="U860" s="50"/>
      <c r="V860" s="50"/>
      <c r="W860" s="14"/>
      <c r="X860" s="50"/>
      <c r="Y860" s="179"/>
      <c r="Z860" s="50"/>
      <c r="AA860" s="14"/>
    </row>
    <row r="861">
      <c r="A861" s="14"/>
      <c r="B861" s="14"/>
      <c r="C861" s="158"/>
      <c r="D861" s="96"/>
      <c r="E861" s="96"/>
      <c r="F861" s="96"/>
      <c r="G861" s="50"/>
      <c r="H861" s="96"/>
      <c r="I861" s="96"/>
      <c r="J861" s="96"/>
      <c r="K861" s="50"/>
      <c r="L861" s="96"/>
      <c r="M861" s="96"/>
      <c r="N861" s="14"/>
      <c r="O861" s="50"/>
      <c r="P861" s="50"/>
      <c r="Q861" s="50"/>
      <c r="R861" s="50"/>
      <c r="S861" s="50"/>
      <c r="T861" s="50"/>
      <c r="U861" s="50"/>
      <c r="V861" s="50"/>
      <c r="W861" s="14"/>
      <c r="X861" s="50"/>
      <c r="Y861" s="179"/>
      <c r="Z861" s="50"/>
      <c r="AA861" s="14"/>
    </row>
    <row r="862">
      <c r="A862" s="14"/>
      <c r="B862" s="14"/>
      <c r="C862" s="158"/>
      <c r="D862" s="96"/>
      <c r="E862" s="96"/>
      <c r="F862" s="96"/>
      <c r="G862" s="50"/>
      <c r="H862" s="96"/>
      <c r="I862" s="96"/>
      <c r="J862" s="96"/>
      <c r="K862" s="50"/>
      <c r="L862" s="96"/>
      <c r="M862" s="96"/>
      <c r="N862" s="14"/>
      <c r="O862" s="50"/>
      <c r="P862" s="50"/>
      <c r="Q862" s="50"/>
      <c r="R862" s="50"/>
      <c r="S862" s="50"/>
      <c r="T862" s="50"/>
      <c r="U862" s="50"/>
      <c r="V862" s="50"/>
      <c r="W862" s="14"/>
      <c r="X862" s="50"/>
      <c r="Y862" s="179"/>
      <c r="Z862" s="50"/>
      <c r="AA862" s="14"/>
    </row>
    <row r="863">
      <c r="A863" s="14"/>
      <c r="B863" s="14"/>
      <c r="C863" s="158"/>
      <c r="D863" s="96"/>
      <c r="E863" s="96"/>
      <c r="F863" s="96"/>
      <c r="G863" s="50"/>
      <c r="H863" s="96"/>
      <c r="I863" s="96"/>
      <c r="J863" s="96"/>
      <c r="K863" s="50"/>
      <c r="L863" s="96"/>
      <c r="M863" s="96"/>
      <c r="N863" s="14"/>
      <c r="O863" s="50"/>
      <c r="P863" s="50"/>
      <c r="Q863" s="50"/>
      <c r="R863" s="50"/>
      <c r="S863" s="50"/>
      <c r="T863" s="50"/>
      <c r="U863" s="50"/>
      <c r="V863" s="50"/>
      <c r="W863" s="14"/>
      <c r="X863" s="50"/>
      <c r="Y863" s="179"/>
      <c r="Z863" s="50"/>
      <c r="AA863" s="14"/>
    </row>
    <row r="864">
      <c r="A864" s="14"/>
      <c r="B864" s="14"/>
      <c r="C864" s="158"/>
      <c r="D864" s="96"/>
      <c r="E864" s="96"/>
      <c r="F864" s="96"/>
      <c r="G864" s="50"/>
      <c r="H864" s="96"/>
      <c r="I864" s="96"/>
      <c r="J864" s="96"/>
      <c r="K864" s="50"/>
      <c r="L864" s="96"/>
      <c r="M864" s="96"/>
      <c r="N864" s="14"/>
      <c r="O864" s="50"/>
      <c r="P864" s="50"/>
      <c r="Q864" s="50"/>
      <c r="R864" s="50"/>
      <c r="S864" s="50"/>
      <c r="T864" s="50"/>
      <c r="U864" s="50"/>
      <c r="V864" s="50"/>
      <c r="W864" s="14"/>
      <c r="X864" s="50"/>
      <c r="Y864" s="179"/>
      <c r="Z864" s="50"/>
      <c r="AA864" s="14"/>
    </row>
    <row r="865">
      <c r="A865" s="14"/>
      <c r="B865" s="14"/>
      <c r="C865" s="158"/>
      <c r="D865" s="96"/>
      <c r="E865" s="96"/>
      <c r="F865" s="96"/>
      <c r="G865" s="50"/>
      <c r="H865" s="96"/>
      <c r="I865" s="96"/>
      <c r="J865" s="96"/>
      <c r="K865" s="50"/>
      <c r="L865" s="96"/>
      <c r="M865" s="96"/>
      <c r="N865" s="14"/>
      <c r="O865" s="50"/>
      <c r="P865" s="50"/>
      <c r="Q865" s="50"/>
      <c r="R865" s="50"/>
      <c r="S865" s="50"/>
      <c r="T865" s="50"/>
      <c r="U865" s="50"/>
      <c r="V865" s="50"/>
      <c r="W865" s="14"/>
      <c r="X865" s="50"/>
      <c r="Y865" s="179"/>
      <c r="Z865" s="50"/>
      <c r="AA865" s="14"/>
    </row>
    <row r="866">
      <c r="A866" s="14"/>
      <c r="B866" s="14"/>
      <c r="C866" s="158"/>
      <c r="D866" s="96"/>
      <c r="E866" s="96"/>
      <c r="F866" s="96"/>
      <c r="G866" s="50"/>
      <c r="H866" s="96"/>
      <c r="I866" s="96"/>
      <c r="J866" s="96"/>
      <c r="K866" s="50"/>
      <c r="L866" s="96"/>
      <c r="M866" s="96"/>
      <c r="N866" s="14"/>
      <c r="O866" s="50"/>
      <c r="P866" s="50"/>
      <c r="Q866" s="50"/>
      <c r="R866" s="50"/>
      <c r="S866" s="50"/>
      <c r="T866" s="50"/>
      <c r="U866" s="50"/>
      <c r="V866" s="50"/>
      <c r="W866" s="14"/>
      <c r="X866" s="50"/>
      <c r="Y866" s="179"/>
      <c r="Z866" s="50"/>
      <c r="AA866" s="14"/>
    </row>
    <row r="867">
      <c r="A867" s="14"/>
      <c r="B867" s="14"/>
      <c r="C867" s="158"/>
      <c r="D867" s="96"/>
      <c r="E867" s="96"/>
      <c r="F867" s="96"/>
      <c r="G867" s="50"/>
      <c r="H867" s="96"/>
      <c r="I867" s="96"/>
      <c r="J867" s="96"/>
      <c r="K867" s="50"/>
      <c r="L867" s="96"/>
      <c r="M867" s="96"/>
      <c r="N867" s="14"/>
      <c r="O867" s="50"/>
      <c r="P867" s="50"/>
      <c r="Q867" s="50"/>
      <c r="R867" s="50"/>
      <c r="S867" s="50"/>
      <c r="T867" s="50"/>
      <c r="U867" s="50"/>
      <c r="V867" s="50"/>
      <c r="W867" s="14"/>
      <c r="X867" s="50"/>
      <c r="Y867" s="179"/>
      <c r="Z867" s="50"/>
      <c r="AA867" s="14"/>
    </row>
    <row r="868">
      <c r="A868" s="14"/>
      <c r="B868" s="14"/>
      <c r="C868" s="158"/>
      <c r="D868" s="96"/>
      <c r="E868" s="96"/>
      <c r="F868" s="96"/>
      <c r="G868" s="50"/>
      <c r="H868" s="96"/>
      <c r="I868" s="96"/>
      <c r="J868" s="96"/>
      <c r="K868" s="50"/>
      <c r="L868" s="96"/>
      <c r="M868" s="96"/>
      <c r="N868" s="14"/>
      <c r="O868" s="50"/>
      <c r="P868" s="50"/>
      <c r="Q868" s="50"/>
      <c r="R868" s="50"/>
      <c r="S868" s="50"/>
      <c r="T868" s="50"/>
      <c r="U868" s="50"/>
      <c r="V868" s="50"/>
      <c r="W868" s="14"/>
      <c r="X868" s="50"/>
      <c r="Y868" s="179"/>
      <c r="Z868" s="50"/>
      <c r="AA868" s="14"/>
    </row>
    <row r="869">
      <c r="A869" s="14"/>
      <c r="B869" s="14"/>
      <c r="C869" s="158"/>
      <c r="D869" s="96"/>
      <c r="E869" s="96"/>
      <c r="F869" s="96"/>
      <c r="G869" s="50"/>
      <c r="H869" s="96"/>
      <c r="I869" s="96"/>
      <c r="J869" s="96"/>
      <c r="K869" s="50"/>
      <c r="L869" s="96"/>
      <c r="M869" s="96"/>
      <c r="N869" s="14"/>
      <c r="O869" s="50"/>
      <c r="P869" s="50"/>
      <c r="Q869" s="50"/>
      <c r="R869" s="50"/>
      <c r="S869" s="50"/>
      <c r="T869" s="50"/>
      <c r="U869" s="50"/>
      <c r="V869" s="50"/>
      <c r="W869" s="14"/>
      <c r="X869" s="50"/>
      <c r="Y869" s="179"/>
      <c r="Z869" s="50"/>
      <c r="AA869" s="14"/>
    </row>
    <row r="870">
      <c r="A870" s="14"/>
      <c r="B870" s="14"/>
      <c r="C870" s="158"/>
      <c r="D870" s="96"/>
      <c r="E870" s="96"/>
      <c r="F870" s="96"/>
      <c r="G870" s="50"/>
      <c r="H870" s="96"/>
      <c r="I870" s="96"/>
      <c r="J870" s="96"/>
      <c r="K870" s="50"/>
      <c r="L870" s="96"/>
      <c r="M870" s="96"/>
      <c r="N870" s="14"/>
      <c r="O870" s="50"/>
      <c r="P870" s="50"/>
      <c r="Q870" s="50"/>
      <c r="R870" s="50"/>
      <c r="S870" s="50"/>
      <c r="T870" s="50"/>
      <c r="U870" s="50"/>
      <c r="V870" s="50"/>
      <c r="W870" s="14"/>
      <c r="X870" s="50"/>
      <c r="Y870" s="179"/>
      <c r="Z870" s="50"/>
      <c r="AA870" s="14"/>
    </row>
    <row r="871">
      <c r="A871" s="14"/>
      <c r="B871" s="14"/>
      <c r="C871" s="158"/>
      <c r="D871" s="96"/>
      <c r="E871" s="96"/>
      <c r="F871" s="96"/>
      <c r="G871" s="50"/>
      <c r="H871" s="96"/>
      <c r="I871" s="96"/>
      <c r="J871" s="96"/>
      <c r="K871" s="50"/>
      <c r="L871" s="96"/>
      <c r="M871" s="96"/>
      <c r="N871" s="14"/>
      <c r="O871" s="50"/>
      <c r="P871" s="50"/>
      <c r="Q871" s="50"/>
      <c r="R871" s="50"/>
      <c r="S871" s="50"/>
      <c r="T871" s="50"/>
      <c r="U871" s="50"/>
      <c r="V871" s="50"/>
      <c r="W871" s="14"/>
      <c r="X871" s="50"/>
      <c r="Y871" s="179"/>
      <c r="Z871" s="50"/>
      <c r="AA871" s="14"/>
    </row>
    <row r="872">
      <c r="A872" s="14"/>
      <c r="B872" s="14"/>
      <c r="C872" s="158"/>
      <c r="D872" s="96"/>
      <c r="E872" s="96"/>
      <c r="F872" s="96"/>
      <c r="G872" s="50"/>
      <c r="H872" s="96"/>
      <c r="I872" s="96"/>
      <c r="J872" s="96"/>
      <c r="K872" s="50"/>
      <c r="L872" s="96"/>
      <c r="M872" s="96"/>
      <c r="N872" s="14"/>
      <c r="O872" s="50"/>
      <c r="P872" s="50"/>
      <c r="Q872" s="50"/>
      <c r="R872" s="50"/>
      <c r="S872" s="50"/>
      <c r="T872" s="50"/>
      <c r="U872" s="50"/>
      <c r="V872" s="50"/>
      <c r="W872" s="14"/>
      <c r="X872" s="50"/>
      <c r="Y872" s="179"/>
      <c r="Z872" s="50"/>
      <c r="AA872" s="14"/>
    </row>
    <row r="873">
      <c r="A873" s="14"/>
      <c r="B873" s="14"/>
      <c r="C873" s="158"/>
      <c r="D873" s="96"/>
      <c r="E873" s="96"/>
      <c r="F873" s="96"/>
      <c r="G873" s="50"/>
      <c r="H873" s="96"/>
      <c r="I873" s="96"/>
      <c r="J873" s="96"/>
      <c r="K873" s="50"/>
      <c r="L873" s="96"/>
      <c r="M873" s="96"/>
      <c r="N873" s="14"/>
      <c r="O873" s="50"/>
      <c r="P873" s="50"/>
      <c r="Q873" s="50"/>
      <c r="R873" s="50"/>
      <c r="S873" s="50"/>
      <c r="T873" s="50"/>
      <c r="U873" s="50"/>
      <c r="V873" s="50"/>
      <c r="W873" s="14"/>
      <c r="X873" s="50"/>
      <c r="Y873" s="179"/>
      <c r="Z873" s="50"/>
      <c r="AA873" s="14"/>
    </row>
    <row r="874">
      <c r="A874" s="14"/>
      <c r="B874" s="14"/>
      <c r="C874" s="158"/>
      <c r="D874" s="96"/>
      <c r="E874" s="96"/>
      <c r="F874" s="96"/>
      <c r="G874" s="50"/>
      <c r="H874" s="96"/>
      <c r="I874" s="96"/>
      <c r="J874" s="96"/>
      <c r="K874" s="50"/>
      <c r="L874" s="96"/>
      <c r="M874" s="96"/>
      <c r="N874" s="14"/>
      <c r="O874" s="50"/>
      <c r="P874" s="50"/>
      <c r="Q874" s="50"/>
      <c r="R874" s="50"/>
      <c r="S874" s="50"/>
      <c r="T874" s="50"/>
      <c r="U874" s="50"/>
      <c r="V874" s="50"/>
      <c r="W874" s="14"/>
      <c r="X874" s="50"/>
      <c r="Y874" s="179"/>
      <c r="Z874" s="50"/>
      <c r="AA874" s="14"/>
    </row>
    <row r="875">
      <c r="A875" s="14"/>
      <c r="B875" s="14"/>
      <c r="C875" s="158"/>
      <c r="D875" s="96"/>
      <c r="E875" s="96"/>
      <c r="F875" s="96"/>
      <c r="G875" s="50"/>
      <c r="H875" s="96"/>
      <c r="I875" s="96"/>
      <c r="J875" s="96"/>
      <c r="K875" s="50"/>
      <c r="L875" s="96"/>
      <c r="M875" s="96"/>
      <c r="N875" s="14"/>
      <c r="O875" s="50"/>
      <c r="P875" s="50"/>
      <c r="Q875" s="50"/>
      <c r="R875" s="50"/>
      <c r="S875" s="50"/>
      <c r="T875" s="50"/>
      <c r="U875" s="50"/>
      <c r="V875" s="50"/>
      <c r="W875" s="14"/>
      <c r="X875" s="50"/>
      <c r="Y875" s="179"/>
      <c r="Z875" s="50"/>
      <c r="AA875" s="14"/>
    </row>
    <row r="876">
      <c r="A876" s="14"/>
      <c r="B876" s="14"/>
      <c r="C876" s="158"/>
      <c r="D876" s="96"/>
      <c r="E876" s="96"/>
      <c r="F876" s="96"/>
      <c r="G876" s="50"/>
      <c r="H876" s="96"/>
      <c r="I876" s="96"/>
      <c r="J876" s="96"/>
      <c r="K876" s="50"/>
      <c r="L876" s="96"/>
      <c r="M876" s="96"/>
      <c r="N876" s="14"/>
      <c r="O876" s="50"/>
      <c r="P876" s="50"/>
      <c r="Q876" s="50"/>
      <c r="R876" s="50"/>
      <c r="S876" s="50"/>
      <c r="T876" s="50"/>
      <c r="U876" s="50"/>
      <c r="V876" s="50"/>
      <c r="W876" s="14"/>
      <c r="X876" s="50"/>
      <c r="Y876" s="179"/>
      <c r="Z876" s="50"/>
      <c r="AA876" s="14"/>
    </row>
    <row r="877">
      <c r="A877" s="14"/>
      <c r="B877" s="14"/>
      <c r="C877" s="158"/>
      <c r="D877" s="96"/>
      <c r="E877" s="96"/>
      <c r="F877" s="96"/>
      <c r="G877" s="50"/>
      <c r="H877" s="96"/>
      <c r="I877" s="96"/>
      <c r="J877" s="96"/>
      <c r="K877" s="50"/>
      <c r="L877" s="96"/>
      <c r="M877" s="96"/>
      <c r="N877" s="14"/>
      <c r="O877" s="50"/>
      <c r="P877" s="50"/>
      <c r="Q877" s="50"/>
      <c r="R877" s="50"/>
      <c r="S877" s="50"/>
      <c r="T877" s="50"/>
      <c r="U877" s="50"/>
      <c r="V877" s="50"/>
      <c r="W877" s="14"/>
      <c r="X877" s="50"/>
      <c r="Y877" s="179"/>
      <c r="Z877" s="50"/>
      <c r="AA877" s="14"/>
    </row>
    <row r="878">
      <c r="A878" s="14"/>
      <c r="B878" s="14"/>
      <c r="C878" s="158"/>
      <c r="D878" s="96"/>
      <c r="E878" s="96"/>
      <c r="F878" s="96"/>
      <c r="G878" s="50"/>
      <c r="H878" s="96"/>
      <c r="I878" s="96"/>
      <c r="J878" s="96"/>
      <c r="K878" s="50"/>
      <c r="L878" s="96"/>
      <c r="M878" s="96"/>
      <c r="N878" s="14"/>
      <c r="O878" s="50"/>
      <c r="P878" s="50"/>
      <c r="Q878" s="50"/>
      <c r="R878" s="50"/>
      <c r="S878" s="50"/>
      <c r="T878" s="50"/>
      <c r="U878" s="50"/>
      <c r="V878" s="50"/>
      <c r="W878" s="14"/>
      <c r="X878" s="50"/>
      <c r="Y878" s="179"/>
      <c r="Z878" s="50"/>
      <c r="AA878" s="14"/>
    </row>
    <row r="879">
      <c r="A879" s="14"/>
      <c r="B879" s="14"/>
      <c r="C879" s="158"/>
      <c r="D879" s="96"/>
      <c r="E879" s="96"/>
      <c r="F879" s="96"/>
      <c r="G879" s="50"/>
      <c r="H879" s="96"/>
      <c r="I879" s="96"/>
      <c r="J879" s="96"/>
      <c r="K879" s="50"/>
      <c r="L879" s="96"/>
      <c r="M879" s="96"/>
      <c r="N879" s="14"/>
      <c r="O879" s="50"/>
      <c r="P879" s="50"/>
      <c r="Q879" s="50"/>
      <c r="R879" s="50"/>
      <c r="S879" s="50"/>
      <c r="T879" s="50"/>
      <c r="U879" s="50"/>
      <c r="V879" s="50"/>
      <c r="W879" s="14"/>
      <c r="X879" s="50"/>
      <c r="Y879" s="179"/>
      <c r="Z879" s="50"/>
      <c r="AA879" s="14"/>
    </row>
    <row r="880">
      <c r="A880" s="14"/>
      <c r="B880" s="14"/>
      <c r="C880" s="158"/>
      <c r="D880" s="96"/>
      <c r="E880" s="96"/>
      <c r="F880" s="96"/>
      <c r="G880" s="50"/>
      <c r="H880" s="96"/>
      <c r="I880" s="96"/>
      <c r="J880" s="96"/>
      <c r="K880" s="50"/>
      <c r="L880" s="96"/>
      <c r="M880" s="96"/>
      <c r="N880" s="14"/>
      <c r="O880" s="50"/>
      <c r="P880" s="50"/>
      <c r="Q880" s="50"/>
      <c r="R880" s="50"/>
      <c r="S880" s="50"/>
      <c r="T880" s="50"/>
      <c r="U880" s="50"/>
      <c r="V880" s="50"/>
      <c r="W880" s="14"/>
      <c r="X880" s="50"/>
      <c r="Y880" s="179"/>
      <c r="Z880" s="50"/>
      <c r="AA880" s="14"/>
    </row>
    <row r="881">
      <c r="A881" s="14"/>
      <c r="B881" s="14"/>
      <c r="C881" s="158"/>
      <c r="D881" s="96"/>
      <c r="E881" s="96"/>
      <c r="F881" s="96"/>
      <c r="G881" s="50"/>
      <c r="H881" s="96"/>
      <c r="I881" s="96"/>
      <c r="J881" s="96"/>
      <c r="K881" s="50"/>
      <c r="L881" s="96"/>
      <c r="M881" s="96"/>
      <c r="N881" s="14"/>
      <c r="O881" s="50"/>
      <c r="P881" s="50"/>
      <c r="Q881" s="50"/>
      <c r="R881" s="50"/>
      <c r="S881" s="50"/>
      <c r="T881" s="50"/>
      <c r="U881" s="50"/>
      <c r="V881" s="50"/>
      <c r="W881" s="14"/>
      <c r="X881" s="50"/>
      <c r="Y881" s="179"/>
      <c r="Z881" s="50"/>
      <c r="AA881" s="14"/>
    </row>
    <row r="882">
      <c r="A882" s="14"/>
      <c r="B882" s="14"/>
      <c r="C882" s="158"/>
      <c r="D882" s="96"/>
      <c r="E882" s="96"/>
      <c r="F882" s="96"/>
      <c r="G882" s="50"/>
      <c r="H882" s="96"/>
      <c r="I882" s="96"/>
      <c r="J882" s="96"/>
      <c r="K882" s="50"/>
      <c r="L882" s="96"/>
      <c r="M882" s="96"/>
      <c r="N882" s="14"/>
      <c r="O882" s="50"/>
      <c r="P882" s="50"/>
      <c r="Q882" s="50"/>
      <c r="R882" s="50"/>
      <c r="S882" s="50"/>
      <c r="T882" s="50"/>
      <c r="U882" s="50"/>
      <c r="V882" s="50"/>
      <c r="W882" s="14"/>
      <c r="X882" s="50"/>
      <c r="Y882" s="179"/>
      <c r="Z882" s="50"/>
      <c r="AA882" s="14"/>
    </row>
    <row r="883">
      <c r="A883" s="14"/>
      <c r="B883" s="14"/>
      <c r="C883" s="158"/>
      <c r="D883" s="96"/>
      <c r="E883" s="96"/>
      <c r="F883" s="96"/>
      <c r="G883" s="50"/>
      <c r="H883" s="96"/>
      <c r="I883" s="96"/>
      <c r="J883" s="96"/>
      <c r="K883" s="50"/>
      <c r="L883" s="96"/>
      <c r="M883" s="96"/>
      <c r="N883" s="14"/>
      <c r="O883" s="50"/>
      <c r="P883" s="50"/>
      <c r="Q883" s="50"/>
      <c r="R883" s="50"/>
      <c r="S883" s="50"/>
      <c r="T883" s="50"/>
      <c r="U883" s="50"/>
      <c r="V883" s="50"/>
      <c r="W883" s="14"/>
      <c r="X883" s="50"/>
      <c r="Y883" s="179"/>
      <c r="Z883" s="50"/>
      <c r="AA883" s="14"/>
    </row>
    <row r="884">
      <c r="A884" s="14"/>
      <c r="B884" s="14"/>
      <c r="C884" s="158"/>
      <c r="D884" s="96"/>
      <c r="E884" s="96"/>
      <c r="F884" s="96"/>
      <c r="G884" s="50"/>
      <c r="H884" s="96"/>
      <c r="I884" s="96"/>
      <c r="J884" s="96"/>
      <c r="K884" s="50"/>
      <c r="L884" s="96"/>
      <c r="M884" s="96"/>
      <c r="N884" s="14"/>
      <c r="O884" s="50"/>
      <c r="P884" s="50"/>
      <c r="Q884" s="50"/>
      <c r="R884" s="50"/>
      <c r="S884" s="50"/>
      <c r="T884" s="50"/>
      <c r="U884" s="50"/>
      <c r="V884" s="50"/>
      <c r="W884" s="14"/>
      <c r="X884" s="50"/>
      <c r="Y884" s="179"/>
      <c r="Z884" s="50"/>
      <c r="AA884" s="14"/>
    </row>
    <row r="885">
      <c r="A885" s="14"/>
      <c r="B885" s="14"/>
      <c r="C885" s="158"/>
      <c r="D885" s="96"/>
      <c r="E885" s="96"/>
      <c r="F885" s="96"/>
      <c r="G885" s="50"/>
      <c r="H885" s="96"/>
      <c r="I885" s="96"/>
      <c r="J885" s="96"/>
      <c r="K885" s="50"/>
      <c r="L885" s="96"/>
      <c r="M885" s="96"/>
      <c r="N885" s="14"/>
      <c r="O885" s="50"/>
      <c r="P885" s="50"/>
      <c r="Q885" s="50"/>
      <c r="R885" s="50"/>
      <c r="S885" s="50"/>
      <c r="T885" s="50"/>
      <c r="U885" s="50"/>
      <c r="V885" s="50"/>
      <c r="W885" s="14"/>
      <c r="X885" s="50"/>
      <c r="Y885" s="179"/>
      <c r="Z885" s="50"/>
      <c r="AA885" s="14"/>
    </row>
    <row r="886">
      <c r="A886" s="14"/>
      <c r="B886" s="14"/>
      <c r="C886" s="158"/>
      <c r="D886" s="96"/>
      <c r="E886" s="96"/>
      <c r="F886" s="96"/>
      <c r="G886" s="50"/>
      <c r="H886" s="96"/>
      <c r="I886" s="96"/>
      <c r="J886" s="96"/>
      <c r="K886" s="50"/>
      <c r="L886" s="96"/>
      <c r="M886" s="96"/>
      <c r="N886" s="14"/>
      <c r="O886" s="50"/>
      <c r="P886" s="50"/>
      <c r="Q886" s="50"/>
      <c r="R886" s="50"/>
      <c r="S886" s="50"/>
      <c r="T886" s="50"/>
      <c r="U886" s="50"/>
      <c r="V886" s="50"/>
      <c r="W886" s="14"/>
      <c r="X886" s="50"/>
      <c r="Y886" s="179"/>
      <c r="Z886" s="50"/>
      <c r="AA886" s="14"/>
    </row>
    <row r="887">
      <c r="A887" s="14"/>
      <c r="B887" s="14"/>
      <c r="C887" s="158"/>
      <c r="D887" s="96"/>
      <c r="E887" s="96"/>
      <c r="F887" s="96"/>
      <c r="G887" s="50"/>
      <c r="H887" s="96"/>
      <c r="I887" s="96"/>
      <c r="J887" s="96"/>
      <c r="K887" s="50"/>
      <c r="L887" s="96"/>
      <c r="M887" s="96"/>
      <c r="N887" s="14"/>
      <c r="O887" s="50"/>
      <c r="P887" s="50"/>
      <c r="Q887" s="50"/>
      <c r="R887" s="50"/>
      <c r="S887" s="50"/>
      <c r="T887" s="50"/>
      <c r="U887" s="50"/>
      <c r="V887" s="50"/>
      <c r="W887" s="14"/>
      <c r="X887" s="50"/>
      <c r="Y887" s="179"/>
      <c r="Z887" s="50"/>
      <c r="AA887" s="14"/>
    </row>
    <row r="888">
      <c r="A888" s="14"/>
      <c r="B888" s="14"/>
      <c r="C888" s="158"/>
      <c r="D888" s="96"/>
      <c r="E888" s="96"/>
      <c r="F888" s="96"/>
      <c r="G888" s="50"/>
      <c r="H888" s="96"/>
      <c r="I888" s="96"/>
      <c r="J888" s="96"/>
      <c r="K888" s="50"/>
      <c r="L888" s="96"/>
      <c r="M888" s="96"/>
      <c r="N888" s="14"/>
      <c r="O888" s="50"/>
      <c r="P888" s="50"/>
      <c r="Q888" s="50"/>
      <c r="R888" s="50"/>
      <c r="S888" s="50"/>
      <c r="T888" s="50"/>
      <c r="U888" s="50"/>
      <c r="V888" s="50"/>
      <c r="W888" s="14"/>
      <c r="X888" s="50"/>
      <c r="Y888" s="179"/>
      <c r="Z888" s="50"/>
      <c r="AA888" s="14"/>
    </row>
    <row r="889">
      <c r="A889" s="14"/>
      <c r="B889" s="14"/>
      <c r="C889" s="158"/>
      <c r="D889" s="96"/>
      <c r="E889" s="96"/>
      <c r="F889" s="96"/>
      <c r="G889" s="50"/>
      <c r="H889" s="96"/>
      <c r="I889" s="96"/>
      <c r="J889" s="96"/>
      <c r="K889" s="50"/>
      <c r="L889" s="96"/>
      <c r="M889" s="96"/>
      <c r="N889" s="14"/>
      <c r="O889" s="50"/>
      <c r="P889" s="50"/>
      <c r="Q889" s="50"/>
      <c r="R889" s="50"/>
      <c r="S889" s="50"/>
      <c r="T889" s="50"/>
      <c r="U889" s="50"/>
      <c r="V889" s="50"/>
      <c r="W889" s="14"/>
      <c r="X889" s="50"/>
      <c r="Y889" s="179"/>
      <c r="Z889" s="50"/>
      <c r="AA889" s="14"/>
    </row>
    <row r="890">
      <c r="A890" s="14"/>
      <c r="B890" s="14"/>
      <c r="C890" s="158"/>
      <c r="D890" s="96"/>
      <c r="E890" s="96"/>
      <c r="F890" s="96"/>
      <c r="G890" s="50"/>
      <c r="H890" s="96"/>
      <c r="I890" s="96"/>
      <c r="J890" s="96"/>
      <c r="K890" s="50"/>
      <c r="L890" s="96"/>
      <c r="M890" s="96"/>
      <c r="N890" s="14"/>
      <c r="O890" s="50"/>
      <c r="P890" s="50"/>
      <c r="Q890" s="50"/>
      <c r="R890" s="50"/>
      <c r="S890" s="50"/>
      <c r="T890" s="50"/>
      <c r="U890" s="50"/>
      <c r="V890" s="50"/>
      <c r="W890" s="14"/>
      <c r="X890" s="50"/>
      <c r="Y890" s="179"/>
      <c r="Z890" s="50"/>
      <c r="AA890" s="14"/>
    </row>
    <row r="891">
      <c r="A891" s="14"/>
      <c r="B891" s="14"/>
      <c r="C891" s="158"/>
      <c r="D891" s="96"/>
      <c r="E891" s="96"/>
      <c r="F891" s="96"/>
      <c r="G891" s="50"/>
      <c r="H891" s="96"/>
      <c r="I891" s="96"/>
      <c r="J891" s="96"/>
      <c r="K891" s="50"/>
      <c r="L891" s="96"/>
      <c r="M891" s="96"/>
      <c r="N891" s="14"/>
      <c r="O891" s="50"/>
      <c r="P891" s="50"/>
      <c r="Q891" s="50"/>
      <c r="R891" s="50"/>
      <c r="S891" s="50"/>
      <c r="T891" s="50"/>
      <c r="U891" s="50"/>
      <c r="V891" s="50"/>
      <c r="W891" s="14"/>
      <c r="X891" s="50"/>
      <c r="Y891" s="179"/>
      <c r="Z891" s="50"/>
      <c r="AA891" s="14"/>
    </row>
    <row r="892">
      <c r="A892" s="14"/>
      <c r="B892" s="14"/>
      <c r="C892" s="158"/>
      <c r="D892" s="96"/>
      <c r="E892" s="96"/>
      <c r="F892" s="96"/>
      <c r="G892" s="50"/>
      <c r="H892" s="96"/>
      <c r="I892" s="96"/>
      <c r="J892" s="96"/>
      <c r="K892" s="50"/>
      <c r="L892" s="96"/>
      <c r="M892" s="96"/>
      <c r="N892" s="14"/>
      <c r="O892" s="50"/>
      <c r="P892" s="50"/>
      <c r="Q892" s="50"/>
      <c r="R892" s="50"/>
      <c r="S892" s="50"/>
      <c r="T892" s="50"/>
      <c r="U892" s="50"/>
      <c r="V892" s="50"/>
      <c r="W892" s="14"/>
      <c r="X892" s="50"/>
      <c r="Y892" s="179"/>
      <c r="Z892" s="50"/>
      <c r="AA892" s="14"/>
    </row>
    <row r="893">
      <c r="A893" s="14"/>
      <c r="B893" s="14"/>
      <c r="C893" s="158"/>
      <c r="D893" s="96"/>
      <c r="E893" s="96"/>
      <c r="F893" s="96"/>
      <c r="G893" s="50"/>
      <c r="H893" s="96"/>
      <c r="I893" s="96"/>
      <c r="J893" s="96"/>
      <c r="K893" s="50"/>
      <c r="L893" s="96"/>
      <c r="M893" s="96"/>
      <c r="N893" s="14"/>
      <c r="O893" s="50"/>
      <c r="P893" s="50"/>
      <c r="Q893" s="50"/>
      <c r="R893" s="50"/>
      <c r="S893" s="50"/>
      <c r="T893" s="50"/>
      <c r="U893" s="50"/>
      <c r="V893" s="50"/>
      <c r="W893" s="14"/>
      <c r="X893" s="50"/>
      <c r="Y893" s="179"/>
      <c r="Z893" s="50"/>
      <c r="AA893" s="14"/>
    </row>
    <row r="894">
      <c r="A894" s="14"/>
      <c r="B894" s="14"/>
      <c r="C894" s="158"/>
      <c r="D894" s="96"/>
      <c r="E894" s="96"/>
      <c r="F894" s="96"/>
      <c r="G894" s="50"/>
      <c r="H894" s="96"/>
      <c r="I894" s="96"/>
      <c r="J894" s="96"/>
      <c r="K894" s="50"/>
      <c r="L894" s="96"/>
      <c r="M894" s="96"/>
      <c r="N894" s="14"/>
      <c r="O894" s="50"/>
      <c r="P894" s="50"/>
      <c r="Q894" s="50"/>
      <c r="R894" s="50"/>
      <c r="S894" s="50"/>
      <c r="T894" s="50"/>
      <c r="U894" s="50"/>
      <c r="V894" s="50"/>
      <c r="W894" s="14"/>
      <c r="X894" s="50"/>
      <c r="Y894" s="179"/>
      <c r="Z894" s="50"/>
      <c r="AA894" s="14"/>
    </row>
    <row r="895">
      <c r="A895" s="14"/>
      <c r="B895" s="14"/>
      <c r="C895" s="158"/>
      <c r="D895" s="96"/>
      <c r="E895" s="96"/>
      <c r="F895" s="96"/>
      <c r="G895" s="50"/>
      <c r="H895" s="96"/>
      <c r="I895" s="96"/>
      <c r="J895" s="96"/>
      <c r="K895" s="50"/>
      <c r="L895" s="96"/>
      <c r="M895" s="96"/>
      <c r="N895" s="14"/>
      <c r="O895" s="50"/>
      <c r="P895" s="50"/>
      <c r="Q895" s="50"/>
      <c r="R895" s="50"/>
      <c r="S895" s="50"/>
      <c r="T895" s="50"/>
      <c r="U895" s="50"/>
      <c r="V895" s="50"/>
      <c r="W895" s="14"/>
      <c r="X895" s="50"/>
      <c r="Y895" s="179"/>
      <c r="Z895" s="50"/>
      <c r="AA895" s="14"/>
    </row>
    <row r="896">
      <c r="A896" s="14"/>
      <c r="B896" s="14"/>
      <c r="C896" s="158"/>
      <c r="D896" s="96"/>
      <c r="E896" s="96"/>
      <c r="F896" s="96"/>
      <c r="G896" s="50"/>
      <c r="H896" s="96"/>
      <c r="I896" s="96"/>
      <c r="J896" s="96"/>
      <c r="K896" s="50"/>
      <c r="L896" s="96"/>
      <c r="M896" s="96"/>
      <c r="N896" s="14"/>
      <c r="O896" s="50"/>
      <c r="P896" s="50"/>
      <c r="Q896" s="50"/>
      <c r="R896" s="50"/>
      <c r="S896" s="50"/>
      <c r="T896" s="50"/>
      <c r="U896" s="50"/>
      <c r="V896" s="50"/>
      <c r="W896" s="14"/>
      <c r="X896" s="50"/>
      <c r="Y896" s="179"/>
      <c r="Z896" s="50"/>
      <c r="AA896" s="14"/>
    </row>
    <row r="897">
      <c r="A897" s="14"/>
      <c r="B897" s="14"/>
      <c r="C897" s="158"/>
      <c r="D897" s="96"/>
      <c r="E897" s="96"/>
      <c r="F897" s="96"/>
      <c r="G897" s="50"/>
      <c r="H897" s="96"/>
      <c r="I897" s="96"/>
      <c r="J897" s="96"/>
      <c r="K897" s="50"/>
      <c r="L897" s="96"/>
      <c r="M897" s="96"/>
      <c r="N897" s="14"/>
      <c r="O897" s="50"/>
      <c r="P897" s="50"/>
      <c r="Q897" s="50"/>
      <c r="R897" s="50"/>
      <c r="S897" s="50"/>
      <c r="T897" s="50"/>
      <c r="U897" s="50"/>
      <c r="V897" s="50"/>
      <c r="W897" s="14"/>
      <c r="X897" s="50"/>
      <c r="Y897" s="179"/>
      <c r="Z897" s="50"/>
      <c r="AA897" s="14"/>
    </row>
    <row r="898">
      <c r="A898" s="14"/>
      <c r="B898" s="14"/>
      <c r="C898" s="158"/>
      <c r="D898" s="96"/>
      <c r="E898" s="96"/>
      <c r="F898" s="96"/>
      <c r="G898" s="50"/>
      <c r="H898" s="96"/>
      <c r="I898" s="96"/>
      <c r="J898" s="96"/>
      <c r="K898" s="50"/>
      <c r="L898" s="96"/>
      <c r="M898" s="96"/>
      <c r="N898" s="14"/>
      <c r="O898" s="50"/>
      <c r="P898" s="50"/>
      <c r="Q898" s="50"/>
      <c r="R898" s="50"/>
      <c r="S898" s="50"/>
      <c r="T898" s="50"/>
      <c r="U898" s="50"/>
      <c r="V898" s="50"/>
      <c r="W898" s="14"/>
      <c r="X898" s="50"/>
      <c r="Y898" s="179"/>
      <c r="Z898" s="50"/>
      <c r="AA898" s="14"/>
    </row>
    <row r="899">
      <c r="A899" s="14"/>
      <c r="B899" s="14"/>
      <c r="C899" s="158"/>
      <c r="D899" s="96"/>
      <c r="E899" s="96"/>
      <c r="F899" s="96"/>
      <c r="G899" s="50"/>
      <c r="H899" s="96"/>
      <c r="I899" s="96"/>
      <c r="J899" s="96"/>
      <c r="K899" s="50"/>
      <c r="L899" s="96"/>
      <c r="M899" s="96"/>
      <c r="N899" s="14"/>
      <c r="O899" s="50"/>
      <c r="P899" s="50"/>
      <c r="Q899" s="50"/>
      <c r="R899" s="50"/>
      <c r="S899" s="50"/>
      <c r="T899" s="50"/>
      <c r="U899" s="50"/>
      <c r="V899" s="50"/>
      <c r="W899" s="14"/>
      <c r="X899" s="50"/>
      <c r="Y899" s="179"/>
      <c r="Z899" s="50"/>
      <c r="AA899" s="14"/>
    </row>
    <row r="900">
      <c r="A900" s="14"/>
      <c r="B900" s="14"/>
      <c r="C900" s="158"/>
      <c r="D900" s="96"/>
      <c r="E900" s="96"/>
      <c r="F900" s="96"/>
      <c r="G900" s="50"/>
      <c r="H900" s="96"/>
      <c r="I900" s="96"/>
      <c r="J900" s="96"/>
      <c r="K900" s="50"/>
      <c r="L900" s="96"/>
      <c r="M900" s="96"/>
      <c r="N900" s="14"/>
      <c r="O900" s="50"/>
      <c r="P900" s="50"/>
      <c r="Q900" s="50"/>
      <c r="R900" s="50"/>
      <c r="S900" s="50"/>
      <c r="T900" s="50"/>
      <c r="U900" s="50"/>
      <c r="V900" s="50"/>
      <c r="W900" s="14"/>
      <c r="X900" s="50"/>
      <c r="Y900" s="179"/>
      <c r="Z900" s="50"/>
      <c r="AA900" s="14"/>
    </row>
    <row r="901">
      <c r="A901" s="14"/>
      <c r="B901" s="14"/>
      <c r="C901" s="158"/>
      <c r="D901" s="96"/>
      <c r="E901" s="96"/>
      <c r="F901" s="96"/>
      <c r="G901" s="50"/>
      <c r="H901" s="96"/>
      <c r="I901" s="96"/>
      <c r="J901" s="96"/>
      <c r="K901" s="50"/>
      <c r="L901" s="96"/>
      <c r="M901" s="96"/>
      <c r="N901" s="14"/>
      <c r="O901" s="50"/>
      <c r="P901" s="50"/>
      <c r="Q901" s="50"/>
      <c r="R901" s="50"/>
      <c r="S901" s="50"/>
      <c r="T901" s="50"/>
      <c r="U901" s="50"/>
      <c r="V901" s="50"/>
      <c r="W901" s="14"/>
      <c r="X901" s="50"/>
      <c r="Y901" s="179"/>
      <c r="Z901" s="50"/>
      <c r="AA901" s="14"/>
    </row>
    <row r="902">
      <c r="A902" s="14"/>
      <c r="B902" s="14"/>
      <c r="C902" s="158"/>
      <c r="D902" s="96"/>
      <c r="E902" s="96"/>
      <c r="F902" s="96"/>
      <c r="G902" s="50"/>
      <c r="H902" s="96"/>
      <c r="I902" s="96"/>
      <c r="J902" s="96"/>
      <c r="K902" s="50"/>
      <c r="L902" s="96"/>
      <c r="M902" s="96"/>
      <c r="N902" s="14"/>
      <c r="O902" s="50"/>
      <c r="P902" s="50"/>
      <c r="Q902" s="50"/>
      <c r="R902" s="50"/>
      <c r="S902" s="50"/>
      <c r="T902" s="50"/>
      <c r="U902" s="50"/>
      <c r="V902" s="50"/>
      <c r="W902" s="14"/>
      <c r="X902" s="50"/>
      <c r="Y902" s="179"/>
      <c r="Z902" s="50"/>
      <c r="AA902" s="14"/>
    </row>
    <row r="903">
      <c r="A903" s="14"/>
      <c r="B903" s="14"/>
      <c r="C903" s="158"/>
      <c r="D903" s="96"/>
      <c r="E903" s="96"/>
      <c r="F903" s="96"/>
      <c r="G903" s="50"/>
      <c r="H903" s="96"/>
      <c r="I903" s="96"/>
      <c r="J903" s="96"/>
      <c r="K903" s="50"/>
      <c r="L903" s="96"/>
      <c r="M903" s="96"/>
      <c r="N903" s="14"/>
      <c r="O903" s="50"/>
      <c r="P903" s="50"/>
      <c r="Q903" s="50"/>
      <c r="R903" s="50"/>
      <c r="S903" s="50"/>
      <c r="T903" s="50"/>
      <c r="U903" s="50"/>
      <c r="V903" s="50"/>
      <c r="W903" s="14"/>
      <c r="X903" s="50"/>
      <c r="Y903" s="179"/>
      <c r="Z903" s="50"/>
      <c r="AA903" s="14"/>
    </row>
    <row r="904">
      <c r="A904" s="14"/>
      <c r="B904" s="14"/>
      <c r="C904" s="158"/>
      <c r="D904" s="96"/>
      <c r="E904" s="96"/>
      <c r="F904" s="96"/>
      <c r="G904" s="50"/>
      <c r="H904" s="96"/>
      <c r="I904" s="96"/>
      <c r="J904" s="96"/>
      <c r="K904" s="50"/>
      <c r="L904" s="96"/>
      <c r="M904" s="96"/>
      <c r="N904" s="14"/>
      <c r="O904" s="50"/>
      <c r="P904" s="50"/>
      <c r="Q904" s="50"/>
      <c r="R904" s="50"/>
      <c r="S904" s="50"/>
      <c r="T904" s="50"/>
      <c r="U904" s="50"/>
      <c r="V904" s="50"/>
      <c r="W904" s="14"/>
      <c r="X904" s="50"/>
      <c r="Y904" s="179"/>
      <c r="Z904" s="50"/>
      <c r="AA904" s="14"/>
    </row>
    <row r="905">
      <c r="A905" s="14"/>
      <c r="B905" s="14"/>
      <c r="C905" s="158"/>
      <c r="D905" s="96"/>
      <c r="E905" s="96"/>
      <c r="F905" s="96"/>
      <c r="G905" s="50"/>
      <c r="H905" s="96"/>
      <c r="I905" s="96"/>
      <c r="J905" s="96"/>
      <c r="K905" s="50"/>
      <c r="L905" s="96"/>
      <c r="M905" s="96"/>
      <c r="N905" s="14"/>
      <c r="O905" s="50"/>
      <c r="P905" s="50"/>
      <c r="Q905" s="50"/>
      <c r="R905" s="50"/>
      <c r="S905" s="50"/>
      <c r="T905" s="50"/>
      <c r="U905" s="50"/>
      <c r="V905" s="50"/>
      <c r="W905" s="14"/>
      <c r="X905" s="50"/>
      <c r="Y905" s="179"/>
      <c r="Z905" s="50"/>
      <c r="AA905" s="14"/>
    </row>
    <row r="906">
      <c r="A906" s="14"/>
      <c r="B906" s="14"/>
      <c r="C906" s="158"/>
      <c r="D906" s="96"/>
      <c r="E906" s="96"/>
      <c r="F906" s="96"/>
      <c r="G906" s="50"/>
      <c r="H906" s="96"/>
      <c r="I906" s="96"/>
      <c r="J906" s="96"/>
      <c r="K906" s="50"/>
      <c r="L906" s="96"/>
      <c r="M906" s="96"/>
      <c r="N906" s="14"/>
      <c r="O906" s="50"/>
      <c r="P906" s="50"/>
      <c r="Q906" s="50"/>
      <c r="R906" s="50"/>
      <c r="S906" s="50"/>
      <c r="T906" s="50"/>
      <c r="U906" s="50"/>
      <c r="V906" s="50"/>
      <c r="W906" s="14"/>
      <c r="X906" s="50"/>
      <c r="Y906" s="179"/>
      <c r="Z906" s="50"/>
      <c r="AA906" s="14"/>
    </row>
    <row r="907">
      <c r="A907" s="14"/>
      <c r="B907" s="14"/>
      <c r="C907" s="158"/>
      <c r="D907" s="96"/>
      <c r="E907" s="96"/>
      <c r="F907" s="96"/>
      <c r="G907" s="50"/>
      <c r="H907" s="96"/>
      <c r="I907" s="96"/>
      <c r="J907" s="96"/>
      <c r="K907" s="50"/>
      <c r="L907" s="96"/>
      <c r="M907" s="96"/>
      <c r="N907" s="14"/>
      <c r="O907" s="50"/>
      <c r="P907" s="50"/>
      <c r="Q907" s="50"/>
      <c r="R907" s="50"/>
      <c r="S907" s="50"/>
      <c r="T907" s="50"/>
      <c r="U907" s="50"/>
      <c r="V907" s="50"/>
      <c r="W907" s="14"/>
      <c r="X907" s="50"/>
      <c r="Y907" s="179"/>
      <c r="Z907" s="50"/>
      <c r="AA907" s="14"/>
    </row>
    <row r="908">
      <c r="A908" s="14"/>
      <c r="B908" s="14"/>
      <c r="C908" s="158"/>
      <c r="D908" s="96"/>
      <c r="E908" s="96"/>
      <c r="F908" s="96"/>
      <c r="G908" s="50"/>
      <c r="H908" s="96"/>
      <c r="I908" s="96"/>
      <c r="J908" s="96"/>
      <c r="K908" s="50"/>
      <c r="L908" s="96"/>
      <c r="M908" s="96"/>
      <c r="N908" s="14"/>
      <c r="O908" s="50"/>
      <c r="P908" s="50"/>
      <c r="Q908" s="50"/>
      <c r="R908" s="50"/>
      <c r="S908" s="50"/>
      <c r="T908" s="50"/>
      <c r="U908" s="50"/>
      <c r="V908" s="50"/>
      <c r="W908" s="14"/>
      <c r="X908" s="50"/>
      <c r="Y908" s="179"/>
      <c r="Z908" s="50"/>
      <c r="AA908" s="14"/>
    </row>
    <row r="909">
      <c r="A909" s="14"/>
      <c r="B909" s="14"/>
      <c r="C909" s="158"/>
      <c r="D909" s="96"/>
      <c r="E909" s="96"/>
      <c r="F909" s="96"/>
      <c r="G909" s="50"/>
      <c r="H909" s="96"/>
      <c r="I909" s="96"/>
      <c r="J909" s="96"/>
      <c r="K909" s="50"/>
      <c r="L909" s="96"/>
      <c r="M909" s="96"/>
      <c r="N909" s="14"/>
      <c r="O909" s="50"/>
      <c r="P909" s="50"/>
      <c r="Q909" s="50"/>
      <c r="R909" s="50"/>
      <c r="S909" s="50"/>
      <c r="T909" s="50"/>
      <c r="U909" s="50"/>
      <c r="V909" s="50"/>
      <c r="W909" s="14"/>
      <c r="X909" s="50"/>
      <c r="Y909" s="179"/>
      <c r="Z909" s="50"/>
      <c r="AA909" s="14"/>
    </row>
    <row r="910">
      <c r="A910" s="14"/>
      <c r="B910" s="14"/>
      <c r="C910" s="158"/>
      <c r="D910" s="96"/>
      <c r="E910" s="96"/>
      <c r="F910" s="96"/>
      <c r="G910" s="50"/>
      <c r="H910" s="96"/>
      <c r="I910" s="96"/>
      <c r="J910" s="96"/>
      <c r="K910" s="50"/>
      <c r="L910" s="96"/>
      <c r="M910" s="96"/>
      <c r="N910" s="14"/>
      <c r="O910" s="50"/>
      <c r="P910" s="50"/>
      <c r="Q910" s="50"/>
      <c r="R910" s="50"/>
      <c r="S910" s="50"/>
      <c r="T910" s="50"/>
      <c r="U910" s="50"/>
      <c r="V910" s="50"/>
      <c r="W910" s="14"/>
      <c r="X910" s="50"/>
      <c r="Y910" s="179"/>
      <c r="Z910" s="50"/>
      <c r="AA910" s="14"/>
    </row>
    <row r="911">
      <c r="A911" s="14"/>
      <c r="B911" s="14"/>
      <c r="C911" s="158"/>
      <c r="D911" s="96"/>
      <c r="E911" s="96"/>
      <c r="F911" s="96"/>
      <c r="G911" s="50"/>
      <c r="H911" s="96"/>
      <c r="I911" s="96"/>
      <c r="J911" s="96"/>
      <c r="K911" s="50"/>
      <c r="L911" s="96"/>
      <c r="M911" s="96"/>
      <c r="N911" s="14"/>
      <c r="O911" s="50"/>
      <c r="P911" s="50"/>
      <c r="Q911" s="50"/>
      <c r="R911" s="50"/>
      <c r="S911" s="50"/>
      <c r="T911" s="50"/>
      <c r="U911" s="50"/>
      <c r="V911" s="50"/>
      <c r="W911" s="14"/>
      <c r="X911" s="50"/>
      <c r="Y911" s="179"/>
      <c r="Z911" s="50"/>
      <c r="AA911" s="14"/>
    </row>
    <row r="912">
      <c r="A912" s="14"/>
      <c r="B912" s="14"/>
      <c r="C912" s="158"/>
      <c r="D912" s="96"/>
      <c r="E912" s="96"/>
      <c r="F912" s="96"/>
      <c r="G912" s="50"/>
      <c r="H912" s="96"/>
      <c r="I912" s="96"/>
      <c r="J912" s="96"/>
      <c r="K912" s="50"/>
      <c r="L912" s="96"/>
      <c r="M912" s="96"/>
      <c r="N912" s="14"/>
      <c r="O912" s="50"/>
      <c r="P912" s="50"/>
      <c r="Q912" s="50"/>
      <c r="R912" s="50"/>
      <c r="S912" s="50"/>
      <c r="T912" s="50"/>
      <c r="U912" s="50"/>
      <c r="V912" s="50"/>
      <c r="W912" s="14"/>
      <c r="X912" s="50"/>
      <c r="Y912" s="179"/>
      <c r="Z912" s="50"/>
      <c r="AA912" s="14"/>
    </row>
    <row r="913">
      <c r="A913" s="14"/>
      <c r="B913" s="14"/>
      <c r="C913" s="158"/>
      <c r="D913" s="96"/>
      <c r="E913" s="96"/>
      <c r="F913" s="96"/>
      <c r="G913" s="50"/>
      <c r="H913" s="96"/>
      <c r="I913" s="96"/>
      <c r="J913" s="96"/>
      <c r="K913" s="50"/>
      <c r="L913" s="96"/>
      <c r="M913" s="96"/>
      <c r="N913" s="14"/>
      <c r="O913" s="50"/>
      <c r="P913" s="50"/>
      <c r="Q913" s="50"/>
      <c r="R913" s="50"/>
      <c r="S913" s="50"/>
      <c r="T913" s="50"/>
      <c r="U913" s="50"/>
      <c r="V913" s="50"/>
      <c r="W913" s="14"/>
      <c r="X913" s="50"/>
      <c r="Y913" s="179"/>
      <c r="Z913" s="50"/>
      <c r="AA913" s="14"/>
    </row>
    <row r="914">
      <c r="A914" s="14"/>
      <c r="B914" s="14"/>
      <c r="C914" s="158"/>
      <c r="D914" s="96"/>
      <c r="E914" s="96"/>
      <c r="F914" s="96"/>
      <c r="G914" s="50"/>
      <c r="H914" s="96"/>
      <c r="I914" s="96"/>
      <c r="J914" s="96"/>
      <c r="K914" s="50"/>
      <c r="L914" s="96"/>
      <c r="M914" s="96"/>
      <c r="N914" s="14"/>
      <c r="O914" s="50"/>
      <c r="P914" s="50"/>
      <c r="Q914" s="50"/>
      <c r="R914" s="50"/>
      <c r="S914" s="50"/>
      <c r="T914" s="50"/>
      <c r="U914" s="50"/>
      <c r="V914" s="50"/>
      <c r="W914" s="14"/>
      <c r="X914" s="50"/>
      <c r="Y914" s="179"/>
      <c r="Z914" s="50"/>
      <c r="AA914" s="14"/>
    </row>
    <row r="915">
      <c r="A915" s="14"/>
      <c r="B915" s="14"/>
      <c r="C915" s="158"/>
      <c r="D915" s="96"/>
      <c r="E915" s="96"/>
      <c r="F915" s="96"/>
      <c r="G915" s="50"/>
      <c r="H915" s="96"/>
      <c r="I915" s="96"/>
      <c r="J915" s="96"/>
      <c r="K915" s="50"/>
      <c r="L915" s="96"/>
      <c r="M915" s="96"/>
      <c r="N915" s="14"/>
      <c r="O915" s="50"/>
      <c r="P915" s="50"/>
      <c r="Q915" s="50"/>
      <c r="R915" s="50"/>
      <c r="S915" s="50"/>
      <c r="T915" s="50"/>
      <c r="U915" s="50"/>
      <c r="V915" s="50"/>
      <c r="W915" s="14"/>
      <c r="X915" s="50"/>
      <c r="Y915" s="179"/>
      <c r="Z915" s="50"/>
      <c r="AA915" s="14"/>
    </row>
    <row r="916">
      <c r="A916" s="14"/>
      <c r="B916" s="14"/>
      <c r="C916" s="158"/>
      <c r="D916" s="96"/>
      <c r="E916" s="96"/>
      <c r="F916" s="96"/>
      <c r="G916" s="50"/>
      <c r="H916" s="96"/>
      <c r="I916" s="96"/>
      <c r="J916" s="96"/>
      <c r="K916" s="50"/>
      <c r="L916" s="96"/>
      <c r="M916" s="96"/>
      <c r="N916" s="14"/>
      <c r="O916" s="50"/>
      <c r="P916" s="50"/>
      <c r="Q916" s="50"/>
      <c r="R916" s="50"/>
      <c r="S916" s="50"/>
      <c r="T916" s="50"/>
      <c r="U916" s="50"/>
      <c r="V916" s="50"/>
      <c r="W916" s="14"/>
      <c r="X916" s="50"/>
      <c r="Y916" s="179"/>
      <c r="Z916" s="50"/>
      <c r="AA916" s="14"/>
    </row>
    <row r="917">
      <c r="A917" s="14"/>
      <c r="B917" s="14"/>
      <c r="C917" s="158"/>
      <c r="D917" s="96"/>
      <c r="E917" s="96"/>
      <c r="F917" s="96"/>
      <c r="G917" s="50"/>
      <c r="H917" s="96"/>
      <c r="I917" s="96"/>
      <c r="J917" s="96"/>
      <c r="K917" s="50"/>
      <c r="L917" s="96"/>
      <c r="M917" s="96"/>
      <c r="N917" s="14"/>
      <c r="O917" s="50"/>
      <c r="P917" s="50"/>
      <c r="Q917" s="50"/>
      <c r="R917" s="50"/>
      <c r="S917" s="50"/>
      <c r="T917" s="50"/>
      <c r="U917" s="50"/>
      <c r="V917" s="50"/>
      <c r="W917" s="14"/>
      <c r="X917" s="50"/>
      <c r="Y917" s="179"/>
      <c r="Z917" s="50"/>
      <c r="AA917" s="14"/>
    </row>
    <row r="918">
      <c r="A918" s="14"/>
      <c r="B918" s="14"/>
      <c r="C918" s="158"/>
      <c r="D918" s="96"/>
      <c r="E918" s="96"/>
      <c r="F918" s="96"/>
      <c r="G918" s="50"/>
      <c r="H918" s="96"/>
      <c r="I918" s="96"/>
      <c r="J918" s="96"/>
      <c r="K918" s="50"/>
      <c r="L918" s="96"/>
      <c r="M918" s="96"/>
      <c r="N918" s="14"/>
      <c r="O918" s="50"/>
      <c r="P918" s="50"/>
      <c r="Q918" s="50"/>
      <c r="R918" s="50"/>
      <c r="S918" s="50"/>
      <c r="T918" s="50"/>
      <c r="U918" s="50"/>
      <c r="V918" s="50"/>
      <c r="W918" s="14"/>
      <c r="X918" s="50"/>
      <c r="Y918" s="179"/>
      <c r="Z918" s="50"/>
      <c r="AA918" s="14"/>
    </row>
    <row r="919">
      <c r="A919" s="14"/>
      <c r="B919" s="14"/>
      <c r="C919" s="158"/>
      <c r="D919" s="96"/>
      <c r="E919" s="96"/>
      <c r="F919" s="96"/>
      <c r="G919" s="50"/>
      <c r="H919" s="96"/>
      <c r="I919" s="96"/>
      <c r="J919" s="96"/>
      <c r="K919" s="50"/>
      <c r="L919" s="96"/>
      <c r="M919" s="96"/>
      <c r="N919" s="14"/>
      <c r="O919" s="50"/>
      <c r="P919" s="50"/>
      <c r="Q919" s="50"/>
      <c r="R919" s="50"/>
      <c r="S919" s="50"/>
      <c r="T919" s="50"/>
      <c r="U919" s="50"/>
      <c r="V919" s="50"/>
      <c r="W919" s="14"/>
      <c r="X919" s="50"/>
      <c r="Y919" s="179"/>
      <c r="Z919" s="50"/>
      <c r="AA919" s="14"/>
    </row>
    <row r="920">
      <c r="A920" s="14"/>
      <c r="B920" s="14"/>
      <c r="C920" s="158"/>
      <c r="D920" s="96"/>
      <c r="E920" s="96"/>
      <c r="F920" s="96"/>
      <c r="G920" s="50"/>
      <c r="H920" s="96"/>
      <c r="I920" s="96"/>
      <c r="J920" s="96"/>
      <c r="K920" s="50"/>
      <c r="L920" s="96"/>
      <c r="M920" s="96"/>
      <c r="N920" s="14"/>
      <c r="O920" s="50"/>
      <c r="P920" s="50"/>
      <c r="Q920" s="50"/>
      <c r="R920" s="50"/>
      <c r="S920" s="50"/>
      <c r="T920" s="50"/>
      <c r="U920" s="50"/>
      <c r="V920" s="50"/>
      <c r="W920" s="14"/>
      <c r="X920" s="50"/>
      <c r="Y920" s="179"/>
      <c r="Z920" s="50"/>
      <c r="AA920" s="14"/>
    </row>
    <row r="921">
      <c r="A921" s="14"/>
      <c r="B921" s="14"/>
      <c r="C921" s="158"/>
      <c r="D921" s="96"/>
      <c r="E921" s="96"/>
      <c r="F921" s="96"/>
      <c r="G921" s="50"/>
      <c r="H921" s="96"/>
      <c r="I921" s="96"/>
      <c r="J921" s="96"/>
      <c r="K921" s="50"/>
      <c r="L921" s="96"/>
      <c r="M921" s="96"/>
      <c r="N921" s="14"/>
      <c r="O921" s="50"/>
      <c r="P921" s="50"/>
      <c r="Q921" s="50"/>
      <c r="R921" s="50"/>
      <c r="S921" s="50"/>
      <c r="T921" s="50"/>
      <c r="U921" s="50"/>
      <c r="V921" s="50"/>
      <c r="W921" s="14"/>
      <c r="X921" s="50"/>
      <c r="Y921" s="179"/>
      <c r="Z921" s="50"/>
      <c r="AA921" s="14"/>
    </row>
    <row r="922">
      <c r="A922" s="14"/>
      <c r="B922" s="14"/>
      <c r="C922" s="158"/>
      <c r="D922" s="96"/>
      <c r="E922" s="96"/>
      <c r="F922" s="96"/>
      <c r="G922" s="50"/>
      <c r="H922" s="96"/>
      <c r="I922" s="96"/>
      <c r="J922" s="96"/>
      <c r="K922" s="50"/>
      <c r="L922" s="96"/>
      <c r="M922" s="96"/>
      <c r="N922" s="14"/>
      <c r="O922" s="50"/>
      <c r="P922" s="50"/>
      <c r="Q922" s="50"/>
      <c r="R922" s="50"/>
      <c r="S922" s="50"/>
      <c r="T922" s="50"/>
      <c r="U922" s="50"/>
      <c r="V922" s="50"/>
      <c r="W922" s="14"/>
      <c r="X922" s="50"/>
      <c r="Y922" s="179"/>
      <c r="Z922" s="50"/>
      <c r="AA922" s="14"/>
    </row>
    <row r="923">
      <c r="A923" s="14"/>
      <c r="B923" s="14"/>
      <c r="C923" s="158"/>
      <c r="D923" s="96"/>
      <c r="E923" s="96"/>
      <c r="F923" s="96"/>
      <c r="G923" s="50"/>
      <c r="H923" s="96"/>
      <c r="I923" s="96"/>
      <c r="J923" s="96"/>
      <c r="K923" s="50"/>
      <c r="L923" s="96"/>
      <c r="M923" s="96"/>
      <c r="N923" s="14"/>
      <c r="O923" s="50"/>
      <c r="P923" s="50"/>
      <c r="Q923" s="50"/>
      <c r="R923" s="50"/>
      <c r="S923" s="50"/>
      <c r="T923" s="50"/>
      <c r="U923" s="50"/>
      <c r="V923" s="50"/>
      <c r="W923" s="14"/>
      <c r="X923" s="50"/>
      <c r="Y923" s="179"/>
      <c r="Z923" s="50"/>
      <c r="AA923" s="14"/>
    </row>
    <row r="924">
      <c r="A924" s="14"/>
      <c r="B924" s="14"/>
      <c r="C924" s="158"/>
      <c r="D924" s="96"/>
      <c r="E924" s="96"/>
      <c r="F924" s="96"/>
      <c r="G924" s="50"/>
      <c r="H924" s="96"/>
      <c r="I924" s="96"/>
      <c r="J924" s="96"/>
      <c r="K924" s="50"/>
      <c r="L924" s="96"/>
      <c r="M924" s="96"/>
      <c r="N924" s="14"/>
      <c r="O924" s="50"/>
      <c r="P924" s="50"/>
      <c r="Q924" s="50"/>
      <c r="R924" s="50"/>
      <c r="S924" s="50"/>
      <c r="T924" s="50"/>
      <c r="U924" s="50"/>
      <c r="V924" s="50"/>
      <c r="W924" s="14"/>
      <c r="X924" s="50"/>
      <c r="Y924" s="179"/>
      <c r="Z924" s="50"/>
      <c r="AA924" s="14"/>
    </row>
    <row r="925">
      <c r="A925" s="14"/>
      <c r="B925" s="14"/>
      <c r="C925" s="158"/>
      <c r="D925" s="96"/>
      <c r="E925" s="96"/>
      <c r="F925" s="96"/>
      <c r="G925" s="50"/>
      <c r="H925" s="96"/>
      <c r="I925" s="96"/>
      <c r="J925" s="96"/>
      <c r="K925" s="50"/>
      <c r="L925" s="96"/>
      <c r="M925" s="96"/>
      <c r="N925" s="14"/>
      <c r="O925" s="50"/>
      <c r="P925" s="50"/>
      <c r="Q925" s="50"/>
      <c r="R925" s="50"/>
      <c r="S925" s="50"/>
      <c r="T925" s="50"/>
      <c r="U925" s="50"/>
      <c r="V925" s="50"/>
      <c r="W925" s="14"/>
      <c r="X925" s="50"/>
      <c r="Y925" s="179"/>
      <c r="Z925" s="50"/>
      <c r="AA925" s="14"/>
    </row>
    <row r="926">
      <c r="A926" s="14"/>
      <c r="B926" s="14"/>
      <c r="C926" s="158"/>
      <c r="D926" s="96"/>
      <c r="E926" s="96"/>
      <c r="F926" s="96"/>
      <c r="G926" s="50"/>
      <c r="H926" s="96"/>
      <c r="I926" s="96"/>
      <c r="J926" s="96"/>
      <c r="K926" s="50"/>
      <c r="L926" s="96"/>
      <c r="M926" s="96"/>
      <c r="N926" s="14"/>
      <c r="O926" s="50"/>
      <c r="P926" s="50"/>
      <c r="Q926" s="50"/>
      <c r="R926" s="50"/>
      <c r="S926" s="50"/>
      <c r="T926" s="50"/>
      <c r="U926" s="50"/>
      <c r="V926" s="50"/>
      <c r="W926" s="14"/>
      <c r="X926" s="50"/>
      <c r="Y926" s="179"/>
      <c r="Z926" s="50"/>
      <c r="AA926" s="14"/>
    </row>
    <row r="927">
      <c r="A927" s="14"/>
      <c r="B927" s="14"/>
      <c r="C927" s="158"/>
      <c r="D927" s="96"/>
      <c r="E927" s="96"/>
      <c r="F927" s="96"/>
      <c r="G927" s="50"/>
      <c r="H927" s="96"/>
      <c r="I927" s="96"/>
      <c r="J927" s="96"/>
      <c r="K927" s="50"/>
      <c r="L927" s="96"/>
      <c r="M927" s="96"/>
      <c r="N927" s="14"/>
      <c r="O927" s="50"/>
      <c r="P927" s="50"/>
      <c r="Q927" s="50"/>
      <c r="R927" s="50"/>
      <c r="S927" s="50"/>
      <c r="T927" s="50"/>
      <c r="U927" s="50"/>
      <c r="V927" s="50"/>
      <c r="W927" s="14"/>
      <c r="X927" s="50"/>
      <c r="Y927" s="179"/>
      <c r="Z927" s="50"/>
      <c r="AA927" s="14"/>
    </row>
    <row r="928">
      <c r="A928" s="14"/>
      <c r="B928" s="14"/>
      <c r="C928" s="158"/>
      <c r="D928" s="96"/>
      <c r="E928" s="96"/>
      <c r="F928" s="96"/>
      <c r="G928" s="50"/>
      <c r="H928" s="96"/>
      <c r="I928" s="96"/>
      <c r="J928" s="96"/>
      <c r="K928" s="50"/>
      <c r="L928" s="96"/>
      <c r="M928" s="96"/>
      <c r="N928" s="14"/>
      <c r="O928" s="50"/>
      <c r="P928" s="50"/>
      <c r="Q928" s="50"/>
      <c r="R928" s="50"/>
      <c r="S928" s="50"/>
      <c r="T928" s="50"/>
      <c r="U928" s="50"/>
      <c r="V928" s="50"/>
      <c r="W928" s="14"/>
      <c r="X928" s="50"/>
      <c r="Y928" s="179"/>
      <c r="Z928" s="50"/>
      <c r="AA928" s="14"/>
    </row>
    <row r="929">
      <c r="A929" s="14"/>
      <c r="B929" s="14"/>
      <c r="C929" s="158"/>
      <c r="D929" s="96"/>
      <c r="E929" s="96"/>
      <c r="F929" s="96"/>
      <c r="G929" s="50"/>
      <c r="H929" s="96"/>
      <c r="I929" s="96"/>
      <c r="J929" s="96"/>
      <c r="K929" s="50"/>
      <c r="L929" s="96"/>
      <c r="M929" s="96"/>
      <c r="N929" s="14"/>
      <c r="O929" s="50"/>
      <c r="P929" s="50"/>
      <c r="Q929" s="50"/>
      <c r="R929" s="50"/>
      <c r="S929" s="50"/>
      <c r="T929" s="50"/>
      <c r="U929" s="50"/>
      <c r="V929" s="50"/>
      <c r="W929" s="14"/>
      <c r="X929" s="50"/>
      <c r="Y929" s="179"/>
      <c r="Z929" s="50"/>
      <c r="AA929" s="14"/>
    </row>
    <row r="930">
      <c r="A930" s="14"/>
      <c r="B930" s="14"/>
      <c r="C930" s="158"/>
      <c r="D930" s="96"/>
      <c r="E930" s="96"/>
      <c r="F930" s="96"/>
      <c r="G930" s="50"/>
      <c r="H930" s="96"/>
      <c r="I930" s="96"/>
      <c r="J930" s="96"/>
      <c r="K930" s="50"/>
      <c r="L930" s="96"/>
      <c r="M930" s="96"/>
      <c r="N930" s="14"/>
      <c r="O930" s="50"/>
      <c r="P930" s="50"/>
      <c r="Q930" s="50"/>
      <c r="R930" s="50"/>
      <c r="S930" s="50"/>
      <c r="T930" s="50"/>
      <c r="U930" s="50"/>
      <c r="V930" s="50"/>
      <c r="W930" s="14"/>
      <c r="X930" s="50"/>
      <c r="Y930" s="179"/>
      <c r="Z930" s="50"/>
      <c r="AA930" s="14"/>
    </row>
    <row r="931">
      <c r="A931" s="14"/>
      <c r="B931" s="14"/>
      <c r="C931" s="158"/>
      <c r="D931" s="96"/>
      <c r="E931" s="96"/>
      <c r="F931" s="96"/>
      <c r="G931" s="50"/>
      <c r="H931" s="96"/>
      <c r="I931" s="96"/>
      <c r="J931" s="96"/>
      <c r="K931" s="50"/>
      <c r="L931" s="96"/>
      <c r="M931" s="96"/>
      <c r="N931" s="14"/>
      <c r="O931" s="50"/>
      <c r="P931" s="50"/>
      <c r="Q931" s="50"/>
      <c r="R931" s="50"/>
      <c r="S931" s="50"/>
      <c r="T931" s="50"/>
      <c r="U931" s="50"/>
      <c r="V931" s="50"/>
      <c r="W931" s="14"/>
      <c r="X931" s="50"/>
      <c r="Y931" s="179"/>
      <c r="Z931" s="50"/>
      <c r="AA931" s="14"/>
    </row>
    <row r="932">
      <c r="A932" s="14"/>
      <c r="B932" s="14"/>
      <c r="C932" s="158"/>
      <c r="D932" s="96"/>
      <c r="E932" s="96"/>
      <c r="F932" s="96"/>
      <c r="G932" s="50"/>
      <c r="H932" s="96"/>
      <c r="I932" s="96"/>
      <c r="J932" s="96"/>
      <c r="K932" s="50"/>
      <c r="L932" s="96"/>
      <c r="M932" s="96"/>
      <c r="N932" s="14"/>
      <c r="O932" s="50"/>
      <c r="P932" s="50"/>
      <c r="Q932" s="50"/>
      <c r="R932" s="50"/>
      <c r="S932" s="50"/>
      <c r="T932" s="50"/>
      <c r="U932" s="50"/>
      <c r="V932" s="50"/>
      <c r="W932" s="14"/>
      <c r="X932" s="50"/>
      <c r="Y932" s="179"/>
      <c r="Z932" s="50"/>
      <c r="AA932" s="14"/>
    </row>
    <row r="933">
      <c r="A933" s="14"/>
      <c r="B933" s="14"/>
      <c r="C933" s="158"/>
      <c r="D933" s="96"/>
      <c r="E933" s="96"/>
      <c r="F933" s="96"/>
      <c r="G933" s="50"/>
      <c r="H933" s="96"/>
      <c r="I933" s="96"/>
      <c r="J933" s="96"/>
      <c r="K933" s="50"/>
      <c r="L933" s="96"/>
      <c r="M933" s="96"/>
      <c r="N933" s="14"/>
      <c r="O933" s="50"/>
      <c r="P933" s="50"/>
      <c r="Q933" s="50"/>
      <c r="R933" s="50"/>
      <c r="S933" s="50"/>
      <c r="T933" s="50"/>
      <c r="U933" s="50"/>
      <c r="V933" s="50"/>
      <c r="W933" s="14"/>
      <c r="X933" s="50"/>
      <c r="Y933" s="179"/>
      <c r="Z933" s="50"/>
      <c r="AA933" s="14"/>
    </row>
    <row r="934">
      <c r="A934" s="14"/>
      <c r="B934" s="14"/>
      <c r="C934" s="158"/>
      <c r="D934" s="96"/>
      <c r="E934" s="96"/>
      <c r="F934" s="96"/>
      <c r="G934" s="50"/>
      <c r="H934" s="96"/>
      <c r="I934" s="96"/>
      <c r="J934" s="96"/>
      <c r="K934" s="50"/>
      <c r="L934" s="96"/>
      <c r="M934" s="96"/>
      <c r="N934" s="14"/>
      <c r="O934" s="50"/>
      <c r="P934" s="50"/>
      <c r="Q934" s="50"/>
      <c r="R934" s="50"/>
      <c r="S934" s="50"/>
      <c r="T934" s="50"/>
      <c r="U934" s="50"/>
      <c r="V934" s="50"/>
      <c r="W934" s="14"/>
      <c r="X934" s="50"/>
      <c r="Y934" s="179"/>
      <c r="Z934" s="50"/>
      <c r="AA934" s="14"/>
    </row>
    <row r="935">
      <c r="A935" s="14"/>
      <c r="B935" s="14"/>
      <c r="C935" s="158"/>
      <c r="D935" s="96"/>
      <c r="E935" s="96"/>
      <c r="F935" s="96"/>
      <c r="G935" s="50"/>
      <c r="H935" s="96"/>
      <c r="I935" s="96"/>
      <c r="J935" s="96"/>
      <c r="K935" s="50"/>
      <c r="L935" s="96"/>
      <c r="M935" s="96"/>
      <c r="N935" s="14"/>
      <c r="O935" s="50"/>
      <c r="P935" s="50"/>
      <c r="Q935" s="50"/>
      <c r="R935" s="50"/>
      <c r="S935" s="50"/>
      <c r="T935" s="50"/>
      <c r="U935" s="50"/>
      <c r="V935" s="50"/>
      <c r="W935" s="14"/>
      <c r="X935" s="50"/>
      <c r="Y935" s="179"/>
      <c r="Z935" s="50"/>
      <c r="AA935" s="14"/>
    </row>
    <row r="936">
      <c r="A936" s="14"/>
      <c r="B936" s="14"/>
      <c r="C936" s="158"/>
      <c r="D936" s="96"/>
      <c r="E936" s="96"/>
      <c r="F936" s="96"/>
      <c r="G936" s="50"/>
      <c r="H936" s="96"/>
      <c r="I936" s="96"/>
      <c r="J936" s="96"/>
      <c r="K936" s="50"/>
      <c r="L936" s="96"/>
      <c r="M936" s="96"/>
      <c r="N936" s="14"/>
      <c r="O936" s="50"/>
      <c r="P936" s="50"/>
      <c r="Q936" s="50"/>
      <c r="R936" s="50"/>
      <c r="S936" s="50"/>
      <c r="T936" s="50"/>
      <c r="U936" s="50"/>
      <c r="V936" s="50"/>
      <c r="W936" s="14"/>
      <c r="X936" s="50"/>
      <c r="Y936" s="179"/>
      <c r="Z936" s="50"/>
      <c r="AA936" s="14"/>
    </row>
    <row r="937">
      <c r="A937" s="14"/>
      <c r="B937" s="14"/>
      <c r="C937" s="158"/>
      <c r="D937" s="96"/>
      <c r="E937" s="96"/>
      <c r="F937" s="96"/>
      <c r="G937" s="50"/>
      <c r="H937" s="96"/>
      <c r="I937" s="96"/>
      <c r="J937" s="96"/>
      <c r="K937" s="50"/>
      <c r="L937" s="96"/>
      <c r="M937" s="96"/>
      <c r="N937" s="14"/>
      <c r="O937" s="50"/>
      <c r="P937" s="50"/>
      <c r="Q937" s="50"/>
      <c r="R937" s="50"/>
      <c r="S937" s="50"/>
      <c r="T937" s="50"/>
      <c r="U937" s="50"/>
      <c r="V937" s="50"/>
      <c r="W937" s="14"/>
      <c r="X937" s="50"/>
      <c r="Y937" s="179"/>
      <c r="Z937" s="50"/>
      <c r="AA937" s="14"/>
    </row>
    <row r="938">
      <c r="A938" s="14"/>
      <c r="B938" s="14"/>
      <c r="C938" s="158"/>
      <c r="D938" s="96"/>
      <c r="E938" s="96"/>
      <c r="F938" s="96"/>
      <c r="G938" s="50"/>
      <c r="H938" s="96"/>
      <c r="I938" s="96"/>
      <c r="J938" s="96"/>
      <c r="K938" s="50"/>
      <c r="L938" s="96"/>
      <c r="M938" s="96"/>
      <c r="N938" s="14"/>
      <c r="O938" s="50"/>
      <c r="P938" s="50"/>
      <c r="Q938" s="50"/>
      <c r="R938" s="50"/>
      <c r="S938" s="50"/>
      <c r="T938" s="50"/>
      <c r="U938" s="50"/>
      <c r="V938" s="50"/>
      <c r="W938" s="14"/>
      <c r="X938" s="50"/>
      <c r="Y938" s="179"/>
      <c r="Z938" s="50"/>
      <c r="AA938" s="14"/>
    </row>
    <row r="939">
      <c r="A939" s="14"/>
      <c r="B939" s="14"/>
      <c r="C939" s="158"/>
      <c r="D939" s="96"/>
      <c r="E939" s="96"/>
      <c r="F939" s="96"/>
      <c r="G939" s="50"/>
      <c r="H939" s="96"/>
      <c r="I939" s="96"/>
      <c r="J939" s="96"/>
      <c r="K939" s="50"/>
      <c r="L939" s="96"/>
      <c r="M939" s="96"/>
      <c r="N939" s="14"/>
      <c r="O939" s="50"/>
      <c r="P939" s="50"/>
      <c r="Q939" s="50"/>
      <c r="R939" s="50"/>
      <c r="S939" s="50"/>
      <c r="T939" s="50"/>
      <c r="U939" s="50"/>
      <c r="V939" s="50"/>
      <c r="W939" s="14"/>
      <c r="X939" s="50"/>
      <c r="Y939" s="179"/>
      <c r="Z939" s="50"/>
      <c r="AA939" s="14"/>
    </row>
    <row r="940">
      <c r="A940" s="14"/>
      <c r="B940" s="14"/>
      <c r="C940" s="158"/>
      <c r="D940" s="96"/>
      <c r="E940" s="96"/>
      <c r="F940" s="96"/>
      <c r="G940" s="50"/>
      <c r="H940" s="96"/>
      <c r="I940" s="96"/>
      <c r="J940" s="96"/>
      <c r="K940" s="50"/>
      <c r="L940" s="96"/>
      <c r="M940" s="96"/>
      <c r="N940" s="14"/>
      <c r="O940" s="50"/>
      <c r="P940" s="50"/>
      <c r="Q940" s="50"/>
      <c r="R940" s="50"/>
      <c r="S940" s="50"/>
      <c r="T940" s="50"/>
      <c r="U940" s="50"/>
      <c r="V940" s="50"/>
      <c r="W940" s="14"/>
      <c r="X940" s="50"/>
      <c r="Y940" s="179"/>
      <c r="Z940" s="50"/>
      <c r="AA940" s="14"/>
    </row>
    <row r="941">
      <c r="A941" s="14"/>
      <c r="B941" s="14"/>
      <c r="C941" s="158"/>
      <c r="D941" s="96"/>
      <c r="E941" s="96"/>
      <c r="F941" s="96"/>
      <c r="G941" s="50"/>
      <c r="H941" s="96"/>
      <c r="I941" s="96"/>
      <c r="J941" s="96"/>
      <c r="K941" s="50"/>
      <c r="L941" s="96"/>
      <c r="M941" s="96"/>
      <c r="N941" s="14"/>
      <c r="O941" s="50"/>
      <c r="P941" s="50"/>
      <c r="Q941" s="50"/>
      <c r="R941" s="50"/>
      <c r="S941" s="50"/>
      <c r="T941" s="50"/>
      <c r="U941" s="50"/>
      <c r="V941" s="50"/>
      <c r="W941" s="14"/>
      <c r="X941" s="50"/>
      <c r="Y941" s="179"/>
      <c r="Z941" s="50"/>
      <c r="AA941" s="14"/>
    </row>
    <row r="942">
      <c r="A942" s="14"/>
      <c r="B942" s="14"/>
      <c r="C942" s="158"/>
      <c r="D942" s="96"/>
      <c r="E942" s="96"/>
      <c r="F942" s="96"/>
      <c r="G942" s="50"/>
      <c r="H942" s="96"/>
      <c r="I942" s="96"/>
      <c r="J942" s="96"/>
      <c r="K942" s="50"/>
      <c r="L942" s="96"/>
      <c r="M942" s="96"/>
      <c r="N942" s="14"/>
      <c r="O942" s="50"/>
      <c r="P942" s="50"/>
      <c r="Q942" s="50"/>
      <c r="R942" s="50"/>
      <c r="S942" s="50"/>
      <c r="T942" s="50"/>
      <c r="U942" s="50"/>
      <c r="V942" s="50"/>
      <c r="W942" s="14"/>
      <c r="X942" s="50"/>
      <c r="Y942" s="179"/>
      <c r="Z942" s="50"/>
      <c r="AA942" s="14"/>
    </row>
    <row r="943">
      <c r="A943" s="14"/>
      <c r="B943" s="14"/>
      <c r="C943" s="158"/>
      <c r="D943" s="96"/>
      <c r="E943" s="96"/>
      <c r="F943" s="96"/>
      <c r="G943" s="50"/>
      <c r="H943" s="96"/>
      <c r="I943" s="96"/>
      <c r="J943" s="96"/>
      <c r="K943" s="50"/>
      <c r="L943" s="96"/>
      <c r="M943" s="96"/>
      <c r="N943" s="14"/>
      <c r="O943" s="50"/>
      <c r="P943" s="50"/>
      <c r="Q943" s="50"/>
      <c r="R943" s="50"/>
      <c r="S943" s="50"/>
      <c r="T943" s="50"/>
      <c r="U943" s="50"/>
      <c r="V943" s="50"/>
      <c r="W943" s="14"/>
      <c r="X943" s="50"/>
      <c r="Y943" s="179"/>
      <c r="Z943" s="50"/>
      <c r="AA943" s="14"/>
    </row>
    <row r="944">
      <c r="A944" s="14"/>
      <c r="B944" s="14"/>
      <c r="C944" s="158"/>
      <c r="D944" s="96"/>
      <c r="E944" s="96"/>
      <c r="F944" s="96"/>
      <c r="G944" s="50"/>
      <c r="H944" s="96"/>
      <c r="I944" s="96"/>
      <c r="J944" s="96"/>
      <c r="K944" s="50"/>
      <c r="L944" s="96"/>
      <c r="M944" s="96"/>
      <c r="N944" s="14"/>
      <c r="O944" s="50"/>
      <c r="P944" s="50"/>
      <c r="Q944" s="50"/>
      <c r="R944" s="50"/>
      <c r="S944" s="50"/>
      <c r="T944" s="50"/>
      <c r="U944" s="50"/>
      <c r="V944" s="50"/>
      <c r="W944" s="14"/>
      <c r="X944" s="50"/>
      <c r="Y944" s="179"/>
      <c r="Z944" s="50"/>
      <c r="AA944" s="14"/>
    </row>
    <row r="945">
      <c r="A945" s="14"/>
      <c r="B945" s="14"/>
      <c r="C945" s="158"/>
      <c r="D945" s="96"/>
      <c r="E945" s="96"/>
      <c r="F945" s="96"/>
      <c r="G945" s="50"/>
      <c r="H945" s="96"/>
      <c r="I945" s="96"/>
      <c r="J945" s="96"/>
      <c r="K945" s="50"/>
      <c r="L945" s="96"/>
      <c r="M945" s="96"/>
      <c r="N945" s="14"/>
      <c r="O945" s="50"/>
      <c r="P945" s="50"/>
      <c r="Q945" s="50"/>
      <c r="R945" s="50"/>
      <c r="S945" s="50"/>
      <c r="T945" s="50"/>
      <c r="U945" s="50"/>
      <c r="V945" s="50"/>
      <c r="W945" s="14"/>
      <c r="X945" s="50"/>
      <c r="Y945" s="179"/>
      <c r="Z945" s="50"/>
      <c r="AA945" s="14"/>
    </row>
    <row r="946">
      <c r="A946" s="14"/>
      <c r="B946" s="14"/>
      <c r="C946" s="158"/>
      <c r="D946" s="96"/>
      <c r="E946" s="96"/>
      <c r="F946" s="96"/>
      <c r="G946" s="50"/>
      <c r="H946" s="96"/>
      <c r="I946" s="96"/>
      <c r="J946" s="96"/>
      <c r="K946" s="50"/>
      <c r="L946" s="96"/>
      <c r="M946" s="96"/>
      <c r="N946" s="14"/>
      <c r="O946" s="50"/>
      <c r="P946" s="50"/>
      <c r="Q946" s="50"/>
      <c r="R946" s="50"/>
      <c r="S946" s="50"/>
      <c r="T946" s="50"/>
      <c r="U946" s="50"/>
      <c r="V946" s="50"/>
      <c r="W946" s="14"/>
      <c r="X946" s="50"/>
      <c r="Y946" s="179"/>
      <c r="Z946" s="50"/>
      <c r="AA946" s="14"/>
    </row>
    <row r="947">
      <c r="A947" s="14"/>
      <c r="B947" s="14"/>
      <c r="C947" s="158"/>
      <c r="D947" s="96"/>
      <c r="E947" s="96"/>
      <c r="F947" s="96"/>
      <c r="G947" s="50"/>
      <c r="H947" s="96"/>
      <c r="I947" s="96"/>
      <c r="J947" s="96"/>
      <c r="K947" s="50"/>
      <c r="L947" s="96"/>
      <c r="M947" s="96"/>
      <c r="N947" s="14"/>
      <c r="O947" s="50"/>
      <c r="P947" s="50"/>
      <c r="Q947" s="50"/>
      <c r="R947" s="50"/>
      <c r="S947" s="50"/>
      <c r="T947" s="50"/>
      <c r="U947" s="50"/>
      <c r="V947" s="50"/>
      <c r="W947" s="14"/>
      <c r="X947" s="50"/>
      <c r="Y947" s="179"/>
      <c r="Z947" s="50"/>
      <c r="AA947" s="14"/>
    </row>
    <row r="948">
      <c r="A948" s="14"/>
      <c r="B948" s="14"/>
      <c r="C948" s="158"/>
      <c r="D948" s="96"/>
      <c r="E948" s="96"/>
      <c r="F948" s="96"/>
      <c r="G948" s="50"/>
      <c r="H948" s="96"/>
      <c r="I948" s="96"/>
      <c r="J948" s="96"/>
      <c r="K948" s="50"/>
      <c r="L948" s="96"/>
      <c r="M948" s="96"/>
      <c r="N948" s="14"/>
      <c r="O948" s="50"/>
      <c r="P948" s="50"/>
      <c r="Q948" s="50"/>
      <c r="R948" s="50"/>
      <c r="S948" s="50"/>
      <c r="T948" s="50"/>
      <c r="U948" s="50"/>
      <c r="V948" s="50"/>
      <c r="W948" s="14"/>
      <c r="X948" s="50"/>
      <c r="Y948" s="179"/>
      <c r="Z948" s="50"/>
      <c r="AA948" s="14"/>
    </row>
    <row r="949">
      <c r="A949" s="14"/>
      <c r="B949" s="14"/>
      <c r="C949" s="158"/>
      <c r="D949" s="96"/>
      <c r="E949" s="96"/>
      <c r="F949" s="96"/>
      <c r="G949" s="50"/>
      <c r="H949" s="96"/>
      <c r="I949" s="96"/>
      <c r="J949" s="96"/>
      <c r="K949" s="50"/>
      <c r="L949" s="96"/>
      <c r="M949" s="96"/>
      <c r="N949" s="14"/>
      <c r="O949" s="50"/>
      <c r="P949" s="50"/>
      <c r="Q949" s="50"/>
      <c r="R949" s="50"/>
      <c r="S949" s="50"/>
      <c r="T949" s="50"/>
      <c r="U949" s="50"/>
      <c r="V949" s="50"/>
      <c r="W949" s="14"/>
      <c r="X949" s="50"/>
      <c r="Y949" s="179"/>
      <c r="Z949" s="50"/>
      <c r="AA949" s="14"/>
    </row>
    <row r="950">
      <c r="A950" s="14"/>
      <c r="B950" s="14"/>
      <c r="C950" s="158"/>
      <c r="D950" s="96"/>
      <c r="E950" s="96"/>
      <c r="F950" s="96"/>
      <c r="G950" s="50"/>
      <c r="H950" s="96"/>
      <c r="I950" s="96"/>
      <c r="J950" s="96"/>
      <c r="K950" s="50"/>
      <c r="L950" s="96"/>
      <c r="M950" s="96"/>
      <c r="N950" s="14"/>
      <c r="O950" s="50"/>
      <c r="P950" s="50"/>
      <c r="Q950" s="50"/>
      <c r="R950" s="50"/>
      <c r="S950" s="50"/>
      <c r="T950" s="50"/>
      <c r="U950" s="50"/>
      <c r="V950" s="50"/>
      <c r="W950" s="14"/>
      <c r="X950" s="50"/>
      <c r="Y950" s="179"/>
      <c r="Z950" s="50"/>
      <c r="AA950" s="14"/>
    </row>
    <row r="951">
      <c r="A951" s="14"/>
      <c r="B951" s="14"/>
      <c r="C951" s="158"/>
      <c r="D951" s="96"/>
      <c r="E951" s="96"/>
      <c r="F951" s="96"/>
      <c r="G951" s="50"/>
      <c r="H951" s="96"/>
      <c r="I951" s="96"/>
      <c r="J951" s="96"/>
      <c r="K951" s="50"/>
      <c r="L951" s="96"/>
      <c r="M951" s="96"/>
      <c r="N951" s="14"/>
      <c r="O951" s="50"/>
      <c r="P951" s="50"/>
      <c r="Q951" s="50"/>
      <c r="R951" s="50"/>
      <c r="S951" s="50"/>
      <c r="T951" s="50"/>
      <c r="U951" s="50"/>
      <c r="V951" s="50"/>
      <c r="W951" s="14"/>
      <c r="X951" s="50"/>
      <c r="Y951" s="179"/>
      <c r="Z951" s="50"/>
      <c r="AA951" s="14"/>
    </row>
    <row r="952">
      <c r="A952" s="14"/>
      <c r="B952" s="14"/>
      <c r="C952" s="158"/>
      <c r="D952" s="96"/>
      <c r="E952" s="96"/>
      <c r="F952" s="96"/>
      <c r="G952" s="50"/>
      <c r="H952" s="96"/>
      <c r="I952" s="96"/>
      <c r="J952" s="96"/>
      <c r="K952" s="50"/>
      <c r="L952" s="96"/>
      <c r="M952" s="96"/>
      <c r="N952" s="14"/>
      <c r="O952" s="50"/>
      <c r="P952" s="50"/>
      <c r="Q952" s="50"/>
      <c r="R952" s="50"/>
      <c r="S952" s="50"/>
      <c r="T952" s="50"/>
      <c r="U952" s="50"/>
      <c r="V952" s="50"/>
      <c r="W952" s="14"/>
      <c r="X952" s="50"/>
      <c r="Y952" s="179"/>
      <c r="Z952" s="50"/>
      <c r="AA952" s="14"/>
    </row>
    <row r="953">
      <c r="A953" s="14"/>
      <c r="B953" s="14"/>
      <c r="C953" s="158"/>
      <c r="D953" s="96"/>
      <c r="E953" s="96"/>
      <c r="F953" s="96"/>
      <c r="G953" s="50"/>
      <c r="H953" s="96"/>
      <c r="I953" s="96"/>
      <c r="J953" s="96"/>
      <c r="K953" s="50"/>
      <c r="L953" s="96"/>
      <c r="M953" s="96"/>
      <c r="N953" s="14"/>
      <c r="O953" s="50"/>
      <c r="P953" s="50"/>
      <c r="Q953" s="50"/>
      <c r="R953" s="50"/>
      <c r="S953" s="50"/>
      <c r="T953" s="50"/>
      <c r="U953" s="50"/>
      <c r="V953" s="50"/>
      <c r="W953" s="14"/>
      <c r="X953" s="50"/>
      <c r="Y953" s="179"/>
      <c r="Z953" s="50"/>
      <c r="AA953" s="14"/>
    </row>
    <row r="954">
      <c r="A954" s="14"/>
      <c r="B954" s="14"/>
      <c r="C954" s="158"/>
      <c r="D954" s="96"/>
      <c r="E954" s="96"/>
      <c r="F954" s="96"/>
      <c r="G954" s="50"/>
      <c r="H954" s="96"/>
      <c r="I954" s="96"/>
      <c r="J954" s="96"/>
      <c r="K954" s="50"/>
      <c r="L954" s="96"/>
      <c r="M954" s="96"/>
      <c r="N954" s="14"/>
      <c r="O954" s="50"/>
      <c r="P954" s="50"/>
      <c r="Q954" s="50"/>
      <c r="R954" s="50"/>
      <c r="S954" s="50"/>
      <c r="T954" s="50"/>
      <c r="U954" s="50"/>
      <c r="V954" s="50"/>
      <c r="W954" s="14"/>
      <c r="X954" s="50"/>
      <c r="Y954" s="179"/>
      <c r="Z954" s="50"/>
      <c r="AA954" s="14"/>
    </row>
    <row r="955">
      <c r="A955" s="14"/>
      <c r="B955" s="14"/>
      <c r="C955" s="158"/>
      <c r="D955" s="96"/>
      <c r="E955" s="96"/>
      <c r="F955" s="96"/>
      <c r="G955" s="50"/>
      <c r="H955" s="96"/>
      <c r="I955" s="96"/>
      <c r="J955" s="96"/>
      <c r="K955" s="50"/>
      <c r="L955" s="96"/>
      <c r="M955" s="96"/>
      <c r="N955" s="14"/>
      <c r="O955" s="50"/>
      <c r="P955" s="50"/>
      <c r="Q955" s="50"/>
      <c r="R955" s="50"/>
      <c r="S955" s="50"/>
      <c r="T955" s="50"/>
      <c r="U955" s="50"/>
      <c r="V955" s="50"/>
      <c r="W955" s="14"/>
      <c r="X955" s="50"/>
      <c r="Y955" s="179"/>
      <c r="Z955" s="50"/>
      <c r="AA955" s="14"/>
    </row>
    <row r="956">
      <c r="A956" s="14"/>
      <c r="B956" s="14"/>
      <c r="C956" s="158"/>
      <c r="D956" s="96"/>
      <c r="E956" s="96"/>
      <c r="F956" s="96"/>
      <c r="G956" s="50"/>
      <c r="H956" s="96"/>
      <c r="I956" s="96"/>
      <c r="J956" s="96"/>
      <c r="K956" s="50"/>
      <c r="L956" s="96"/>
      <c r="M956" s="96"/>
      <c r="N956" s="14"/>
      <c r="O956" s="50"/>
      <c r="P956" s="50"/>
      <c r="Q956" s="50"/>
      <c r="R956" s="50"/>
      <c r="S956" s="50"/>
      <c r="T956" s="50"/>
      <c r="U956" s="50"/>
      <c r="V956" s="50"/>
      <c r="W956" s="14"/>
      <c r="X956" s="50"/>
      <c r="Y956" s="179"/>
      <c r="Z956" s="50"/>
      <c r="AA956" s="14"/>
    </row>
    <row r="957">
      <c r="A957" s="14"/>
      <c r="B957" s="14"/>
      <c r="C957" s="158"/>
      <c r="D957" s="96"/>
      <c r="E957" s="96"/>
      <c r="F957" s="96"/>
      <c r="G957" s="50"/>
      <c r="H957" s="96"/>
      <c r="I957" s="96"/>
      <c r="J957" s="96"/>
      <c r="K957" s="50"/>
      <c r="L957" s="96"/>
      <c r="M957" s="96"/>
      <c r="N957" s="14"/>
      <c r="O957" s="50"/>
      <c r="P957" s="50"/>
      <c r="Q957" s="50"/>
      <c r="R957" s="50"/>
      <c r="S957" s="50"/>
      <c r="T957" s="50"/>
      <c r="U957" s="50"/>
      <c r="V957" s="50"/>
      <c r="W957" s="14"/>
      <c r="X957" s="50"/>
      <c r="Y957" s="179"/>
      <c r="Z957" s="50"/>
      <c r="AA957" s="14"/>
    </row>
    <row r="958">
      <c r="A958" s="14"/>
      <c r="B958" s="14"/>
      <c r="C958" s="158"/>
      <c r="D958" s="96"/>
      <c r="E958" s="96"/>
      <c r="F958" s="96"/>
      <c r="G958" s="50"/>
      <c r="H958" s="96"/>
      <c r="I958" s="96"/>
      <c r="J958" s="96"/>
      <c r="K958" s="50"/>
      <c r="L958" s="96"/>
      <c r="M958" s="96"/>
      <c r="N958" s="14"/>
      <c r="O958" s="50"/>
      <c r="P958" s="50"/>
      <c r="Q958" s="50"/>
      <c r="R958" s="50"/>
      <c r="S958" s="50"/>
      <c r="T958" s="50"/>
      <c r="U958" s="50"/>
      <c r="V958" s="50"/>
      <c r="W958" s="14"/>
      <c r="X958" s="50"/>
      <c r="Y958" s="179"/>
      <c r="Z958" s="50"/>
      <c r="AA958" s="14"/>
    </row>
    <row r="959">
      <c r="A959" s="14"/>
      <c r="B959" s="14"/>
      <c r="C959" s="158"/>
      <c r="D959" s="96"/>
      <c r="E959" s="96"/>
      <c r="F959" s="96"/>
      <c r="G959" s="50"/>
      <c r="H959" s="96"/>
      <c r="I959" s="96"/>
      <c r="J959" s="96"/>
      <c r="K959" s="50"/>
      <c r="L959" s="96"/>
      <c r="M959" s="96"/>
      <c r="N959" s="14"/>
      <c r="O959" s="50"/>
      <c r="P959" s="50"/>
      <c r="Q959" s="50"/>
      <c r="R959" s="50"/>
      <c r="S959" s="50"/>
      <c r="T959" s="50"/>
      <c r="U959" s="50"/>
      <c r="V959" s="50"/>
      <c r="W959" s="14"/>
      <c r="X959" s="50"/>
      <c r="Y959" s="179"/>
      <c r="Z959" s="50"/>
      <c r="AA959" s="14"/>
    </row>
    <row r="960">
      <c r="A960" s="14"/>
      <c r="B960" s="14"/>
      <c r="C960" s="158"/>
      <c r="D960" s="96"/>
      <c r="E960" s="96"/>
      <c r="F960" s="96"/>
      <c r="G960" s="50"/>
      <c r="H960" s="96"/>
      <c r="I960" s="96"/>
      <c r="J960" s="96"/>
      <c r="K960" s="50"/>
      <c r="L960" s="96"/>
      <c r="M960" s="96"/>
      <c r="N960" s="14"/>
      <c r="O960" s="50"/>
      <c r="P960" s="50"/>
      <c r="Q960" s="50"/>
      <c r="R960" s="50"/>
      <c r="S960" s="50"/>
      <c r="T960" s="50"/>
      <c r="U960" s="50"/>
      <c r="V960" s="50"/>
      <c r="W960" s="14"/>
      <c r="X960" s="50"/>
      <c r="Y960" s="179"/>
      <c r="Z960" s="50"/>
      <c r="AA960" s="14"/>
    </row>
    <row r="961">
      <c r="A961" s="14"/>
      <c r="B961" s="14"/>
      <c r="C961" s="158"/>
      <c r="D961" s="96"/>
      <c r="E961" s="96"/>
      <c r="F961" s="96"/>
      <c r="G961" s="50"/>
      <c r="H961" s="96"/>
      <c r="I961" s="96"/>
      <c r="J961" s="96"/>
      <c r="K961" s="50"/>
      <c r="L961" s="96"/>
      <c r="M961" s="96"/>
      <c r="N961" s="14"/>
      <c r="O961" s="50"/>
      <c r="P961" s="50"/>
      <c r="Q961" s="50"/>
      <c r="R961" s="50"/>
      <c r="S961" s="50"/>
      <c r="T961" s="50"/>
      <c r="U961" s="50"/>
      <c r="V961" s="50"/>
      <c r="W961" s="14"/>
      <c r="X961" s="50"/>
      <c r="Y961" s="179"/>
      <c r="Z961" s="50"/>
      <c r="AA961" s="14"/>
    </row>
    <row r="962">
      <c r="A962" s="14"/>
      <c r="B962" s="14"/>
      <c r="C962" s="158"/>
      <c r="D962" s="96"/>
      <c r="E962" s="96"/>
      <c r="F962" s="96"/>
      <c r="G962" s="50"/>
      <c r="H962" s="96"/>
      <c r="I962" s="96"/>
      <c r="J962" s="96"/>
      <c r="K962" s="50"/>
      <c r="L962" s="96"/>
      <c r="M962" s="96"/>
      <c r="N962" s="14"/>
      <c r="O962" s="50"/>
      <c r="P962" s="50"/>
      <c r="Q962" s="50"/>
      <c r="R962" s="50"/>
      <c r="S962" s="50"/>
      <c r="T962" s="50"/>
      <c r="U962" s="50"/>
      <c r="V962" s="50"/>
      <c r="W962" s="14"/>
      <c r="X962" s="50"/>
      <c r="Y962" s="179"/>
      <c r="Z962" s="50"/>
      <c r="AA962" s="14"/>
    </row>
    <row r="963">
      <c r="A963" s="14"/>
      <c r="B963" s="14"/>
      <c r="C963" s="158"/>
      <c r="D963" s="96"/>
      <c r="E963" s="96"/>
      <c r="F963" s="96"/>
      <c r="G963" s="50"/>
      <c r="H963" s="96"/>
      <c r="I963" s="96"/>
      <c r="J963" s="96"/>
      <c r="K963" s="50"/>
      <c r="L963" s="96"/>
      <c r="M963" s="96"/>
      <c r="N963" s="14"/>
      <c r="O963" s="50"/>
      <c r="P963" s="50"/>
      <c r="Q963" s="50"/>
      <c r="R963" s="50"/>
      <c r="S963" s="50"/>
      <c r="T963" s="50"/>
      <c r="U963" s="50"/>
      <c r="V963" s="50"/>
      <c r="W963" s="14"/>
      <c r="X963" s="50"/>
      <c r="Y963" s="179"/>
      <c r="Z963" s="50"/>
      <c r="AA963" s="14"/>
    </row>
    <row r="964">
      <c r="A964" s="14"/>
      <c r="B964" s="14"/>
      <c r="C964" s="158"/>
      <c r="D964" s="96"/>
      <c r="E964" s="96"/>
      <c r="F964" s="96"/>
      <c r="G964" s="50"/>
      <c r="H964" s="96"/>
      <c r="I964" s="96"/>
      <c r="J964" s="96"/>
      <c r="K964" s="50"/>
      <c r="L964" s="96"/>
      <c r="M964" s="96"/>
      <c r="N964" s="14"/>
      <c r="O964" s="50"/>
      <c r="P964" s="50"/>
      <c r="Q964" s="50"/>
      <c r="R964" s="50"/>
      <c r="S964" s="50"/>
      <c r="T964" s="50"/>
      <c r="U964" s="50"/>
      <c r="V964" s="50"/>
      <c r="W964" s="14"/>
      <c r="X964" s="50"/>
      <c r="Y964" s="179"/>
      <c r="Z964" s="50"/>
      <c r="AA964" s="14"/>
    </row>
    <row r="965">
      <c r="A965" s="14"/>
      <c r="B965" s="14"/>
      <c r="C965" s="158"/>
      <c r="D965" s="96"/>
      <c r="E965" s="96"/>
      <c r="F965" s="96"/>
      <c r="G965" s="50"/>
      <c r="H965" s="96"/>
      <c r="I965" s="96"/>
      <c r="J965" s="96"/>
      <c r="K965" s="50"/>
      <c r="L965" s="96"/>
      <c r="M965" s="96"/>
      <c r="N965" s="14"/>
      <c r="O965" s="50"/>
      <c r="P965" s="50"/>
      <c r="Q965" s="50"/>
      <c r="R965" s="50"/>
      <c r="S965" s="50"/>
      <c r="T965" s="50"/>
      <c r="U965" s="50"/>
      <c r="V965" s="50"/>
      <c r="W965" s="14"/>
      <c r="X965" s="50"/>
      <c r="Y965" s="179"/>
      <c r="Z965" s="50"/>
      <c r="AA965" s="14"/>
    </row>
    <row r="966">
      <c r="A966" s="14"/>
      <c r="B966" s="14"/>
      <c r="C966" s="158"/>
      <c r="D966" s="96"/>
      <c r="E966" s="96"/>
      <c r="F966" s="96"/>
      <c r="G966" s="50"/>
      <c r="H966" s="96"/>
      <c r="I966" s="96"/>
      <c r="J966" s="96"/>
      <c r="K966" s="50"/>
      <c r="L966" s="96"/>
      <c r="M966" s="96"/>
      <c r="N966" s="14"/>
      <c r="O966" s="50"/>
      <c r="P966" s="50"/>
      <c r="Q966" s="50"/>
      <c r="R966" s="50"/>
      <c r="S966" s="50"/>
      <c r="T966" s="50"/>
      <c r="U966" s="50"/>
      <c r="V966" s="50"/>
      <c r="W966" s="14"/>
      <c r="X966" s="50"/>
      <c r="Y966" s="179"/>
      <c r="Z966" s="50"/>
      <c r="AA966" s="14"/>
    </row>
    <row r="967">
      <c r="A967" s="14"/>
      <c r="B967" s="14"/>
      <c r="C967" s="158"/>
      <c r="D967" s="96"/>
      <c r="E967" s="96"/>
      <c r="F967" s="96"/>
      <c r="G967" s="50"/>
      <c r="H967" s="96"/>
      <c r="I967" s="96"/>
      <c r="J967" s="96"/>
      <c r="K967" s="50"/>
      <c r="L967" s="96"/>
      <c r="M967" s="96"/>
      <c r="N967" s="14"/>
      <c r="O967" s="50"/>
      <c r="P967" s="50"/>
      <c r="Q967" s="50"/>
      <c r="R967" s="50"/>
      <c r="S967" s="50"/>
      <c r="T967" s="50"/>
      <c r="U967" s="50"/>
      <c r="V967" s="50"/>
      <c r="W967" s="14"/>
      <c r="X967" s="50"/>
      <c r="Y967" s="179"/>
      <c r="Z967" s="50"/>
      <c r="AA967" s="14"/>
    </row>
    <row r="968">
      <c r="A968" s="14"/>
      <c r="B968" s="14"/>
      <c r="C968" s="158"/>
      <c r="D968" s="96"/>
      <c r="E968" s="96"/>
      <c r="F968" s="96"/>
      <c r="G968" s="50"/>
      <c r="H968" s="96"/>
      <c r="I968" s="96"/>
      <c r="J968" s="96"/>
      <c r="K968" s="50"/>
      <c r="L968" s="96"/>
      <c r="M968" s="96"/>
      <c r="N968" s="14"/>
      <c r="O968" s="50"/>
      <c r="P968" s="50"/>
      <c r="Q968" s="50"/>
      <c r="R968" s="50"/>
      <c r="S968" s="50"/>
      <c r="T968" s="50"/>
      <c r="U968" s="50"/>
      <c r="V968" s="50"/>
      <c r="W968" s="14"/>
      <c r="X968" s="50"/>
      <c r="Y968" s="179"/>
      <c r="Z968" s="50"/>
      <c r="AA968" s="14"/>
    </row>
    <row r="969">
      <c r="A969" s="14"/>
      <c r="B969" s="14"/>
      <c r="C969" s="158"/>
      <c r="D969" s="96"/>
      <c r="E969" s="96"/>
      <c r="F969" s="96"/>
      <c r="G969" s="50"/>
      <c r="H969" s="96"/>
      <c r="I969" s="96"/>
      <c r="J969" s="96"/>
      <c r="K969" s="50"/>
      <c r="L969" s="96"/>
      <c r="M969" s="96"/>
      <c r="N969" s="14"/>
      <c r="O969" s="50"/>
      <c r="P969" s="50"/>
      <c r="Q969" s="50"/>
      <c r="R969" s="50"/>
      <c r="S969" s="50"/>
      <c r="T969" s="50"/>
      <c r="U969" s="50"/>
      <c r="V969" s="50"/>
      <c r="W969" s="14"/>
      <c r="X969" s="50"/>
      <c r="Y969" s="179"/>
      <c r="Z969" s="50"/>
      <c r="AA969" s="14"/>
    </row>
    <row r="970">
      <c r="A970" s="14"/>
      <c r="B970" s="14"/>
      <c r="C970" s="158"/>
      <c r="D970" s="96"/>
      <c r="E970" s="96"/>
      <c r="F970" s="96"/>
      <c r="G970" s="50"/>
      <c r="H970" s="96"/>
      <c r="I970" s="96"/>
      <c r="J970" s="96"/>
      <c r="K970" s="50"/>
      <c r="L970" s="96"/>
      <c r="M970" s="96"/>
      <c r="N970" s="14"/>
      <c r="O970" s="50"/>
      <c r="P970" s="50"/>
      <c r="Q970" s="50"/>
      <c r="R970" s="50"/>
      <c r="S970" s="50"/>
      <c r="T970" s="50"/>
      <c r="U970" s="50"/>
      <c r="V970" s="50"/>
      <c r="W970" s="14"/>
      <c r="X970" s="50"/>
      <c r="Y970" s="179"/>
      <c r="Z970" s="50"/>
      <c r="AA970" s="14"/>
    </row>
    <row r="971">
      <c r="A971" s="14"/>
      <c r="B971" s="14"/>
      <c r="C971" s="158"/>
      <c r="D971" s="96"/>
      <c r="E971" s="96"/>
      <c r="F971" s="96"/>
      <c r="G971" s="50"/>
      <c r="H971" s="96"/>
      <c r="I971" s="96"/>
      <c r="J971" s="96"/>
      <c r="K971" s="50"/>
      <c r="L971" s="96"/>
      <c r="M971" s="96"/>
      <c r="N971" s="14"/>
      <c r="O971" s="50"/>
      <c r="P971" s="50"/>
      <c r="Q971" s="50"/>
      <c r="R971" s="50"/>
      <c r="S971" s="50"/>
      <c r="T971" s="50"/>
      <c r="U971" s="50"/>
      <c r="V971" s="50"/>
      <c r="W971" s="14"/>
      <c r="X971" s="50"/>
      <c r="Y971" s="179"/>
      <c r="Z971" s="50"/>
      <c r="AA971" s="14"/>
    </row>
    <row r="972">
      <c r="A972" s="14"/>
      <c r="B972" s="14"/>
      <c r="C972" s="158"/>
      <c r="D972" s="96"/>
      <c r="E972" s="96"/>
      <c r="F972" s="96"/>
      <c r="G972" s="50"/>
      <c r="H972" s="96"/>
      <c r="I972" s="96"/>
      <c r="J972" s="96"/>
      <c r="K972" s="50"/>
      <c r="L972" s="96"/>
      <c r="M972" s="96"/>
      <c r="N972" s="14"/>
      <c r="O972" s="50"/>
      <c r="P972" s="50"/>
      <c r="Q972" s="50"/>
      <c r="R972" s="50"/>
      <c r="S972" s="50"/>
      <c r="T972" s="50"/>
      <c r="U972" s="50"/>
      <c r="V972" s="50"/>
      <c r="W972" s="14"/>
      <c r="X972" s="50"/>
      <c r="Y972" s="179"/>
      <c r="Z972" s="50"/>
      <c r="AA972" s="14"/>
    </row>
    <row r="973">
      <c r="A973" s="14"/>
      <c r="B973" s="14"/>
      <c r="C973" s="158"/>
      <c r="D973" s="96"/>
      <c r="E973" s="96"/>
      <c r="F973" s="96"/>
      <c r="G973" s="50"/>
      <c r="H973" s="96"/>
      <c r="I973" s="96"/>
      <c r="J973" s="96"/>
      <c r="K973" s="50"/>
      <c r="L973" s="96"/>
      <c r="M973" s="96"/>
      <c r="N973" s="14"/>
      <c r="O973" s="50"/>
      <c r="P973" s="50"/>
      <c r="Q973" s="50"/>
      <c r="R973" s="50"/>
      <c r="S973" s="50"/>
      <c r="T973" s="50"/>
      <c r="U973" s="50"/>
      <c r="V973" s="50"/>
      <c r="W973" s="14"/>
      <c r="X973" s="50"/>
      <c r="Y973" s="179"/>
      <c r="Z973" s="50"/>
      <c r="AA973" s="14"/>
    </row>
    <row r="974">
      <c r="A974" s="14"/>
      <c r="B974" s="14"/>
      <c r="C974" s="158"/>
      <c r="D974" s="96"/>
      <c r="E974" s="96"/>
      <c r="F974" s="96"/>
      <c r="G974" s="50"/>
      <c r="H974" s="96"/>
      <c r="I974" s="96"/>
      <c r="J974" s="96"/>
      <c r="K974" s="50"/>
      <c r="L974" s="96"/>
      <c r="M974" s="96"/>
      <c r="N974" s="14"/>
      <c r="O974" s="50"/>
      <c r="P974" s="50"/>
      <c r="Q974" s="50"/>
      <c r="R974" s="50"/>
      <c r="S974" s="50"/>
      <c r="T974" s="50"/>
      <c r="U974" s="50"/>
      <c r="V974" s="50"/>
      <c r="W974" s="14"/>
      <c r="X974" s="50"/>
      <c r="Y974" s="179"/>
      <c r="Z974" s="50"/>
      <c r="AA974" s="14"/>
    </row>
    <row r="975">
      <c r="A975" s="14"/>
      <c r="B975" s="14"/>
      <c r="C975" s="158"/>
      <c r="D975" s="96"/>
      <c r="E975" s="96"/>
      <c r="F975" s="96"/>
      <c r="G975" s="50"/>
      <c r="H975" s="96"/>
      <c r="I975" s="96"/>
      <c r="J975" s="96"/>
      <c r="K975" s="50"/>
      <c r="L975" s="96"/>
      <c r="M975" s="96"/>
      <c r="N975" s="14"/>
      <c r="O975" s="50"/>
      <c r="P975" s="50"/>
      <c r="Q975" s="50"/>
      <c r="R975" s="50"/>
      <c r="S975" s="50"/>
      <c r="T975" s="50"/>
      <c r="U975" s="50"/>
      <c r="V975" s="50"/>
      <c r="W975" s="14"/>
      <c r="X975" s="50"/>
      <c r="Y975" s="179"/>
      <c r="Z975" s="50"/>
      <c r="AA975" s="14"/>
    </row>
    <row r="976">
      <c r="A976" s="14"/>
      <c r="B976" s="14"/>
      <c r="C976" s="158"/>
      <c r="D976" s="96"/>
      <c r="E976" s="96"/>
      <c r="F976" s="96"/>
      <c r="G976" s="50"/>
      <c r="H976" s="96"/>
      <c r="I976" s="96"/>
      <c r="J976" s="96"/>
      <c r="K976" s="50"/>
      <c r="L976" s="96"/>
      <c r="M976" s="96"/>
      <c r="N976" s="14"/>
      <c r="O976" s="50"/>
      <c r="P976" s="50"/>
      <c r="Q976" s="50"/>
      <c r="R976" s="50"/>
      <c r="S976" s="50"/>
      <c r="T976" s="50"/>
      <c r="U976" s="50"/>
      <c r="V976" s="50"/>
      <c r="W976" s="14"/>
      <c r="X976" s="50"/>
      <c r="Y976" s="179"/>
      <c r="Z976" s="50"/>
      <c r="AA976" s="14"/>
    </row>
    <row r="977">
      <c r="A977" s="14"/>
      <c r="B977" s="14"/>
      <c r="C977" s="158"/>
      <c r="D977" s="96"/>
      <c r="E977" s="96"/>
      <c r="F977" s="96"/>
      <c r="G977" s="50"/>
      <c r="H977" s="96"/>
      <c r="I977" s="96"/>
      <c r="J977" s="96"/>
      <c r="K977" s="50"/>
      <c r="L977" s="96"/>
      <c r="M977" s="96"/>
      <c r="N977" s="14"/>
      <c r="O977" s="50"/>
      <c r="P977" s="50"/>
      <c r="Q977" s="50"/>
      <c r="R977" s="50"/>
      <c r="S977" s="50"/>
      <c r="T977" s="50"/>
      <c r="U977" s="50"/>
      <c r="V977" s="50"/>
      <c r="W977" s="14"/>
      <c r="X977" s="50"/>
      <c r="Y977" s="179"/>
      <c r="Z977" s="50"/>
      <c r="AA977" s="14"/>
    </row>
    <row r="978">
      <c r="A978" s="14"/>
      <c r="B978" s="14"/>
      <c r="C978" s="158"/>
      <c r="D978" s="96"/>
      <c r="E978" s="96"/>
      <c r="F978" s="96"/>
      <c r="G978" s="50"/>
      <c r="H978" s="96"/>
      <c r="I978" s="96"/>
      <c r="J978" s="96"/>
      <c r="K978" s="50"/>
      <c r="L978" s="96"/>
      <c r="M978" s="96"/>
      <c r="N978" s="14"/>
      <c r="O978" s="50"/>
      <c r="P978" s="50"/>
      <c r="Q978" s="50"/>
      <c r="R978" s="50"/>
      <c r="S978" s="50"/>
      <c r="T978" s="50"/>
      <c r="U978" s="50"/>
      <c r="V978" s="50"/>
      <c r="W978" s="14"/>
      <c r="X978" s="50"/>
      <c r="Y978" s="179"/>
      <c r="Z978" s="50"/>
      <c r="AA978" s="14"/>
    </row>
    <row r="979">
      <c r="A979" s="14"/>
      <c r="B979" s="14"/>
      <c r="C979" s="158"/>
      <c r="D979" s="96"/>
      <c r="E979" s="96"/>
      <c r="F979" s="96"/>
      <c r="G979" s="50"/>
      <c r="H979" s="96"/>
      <c r="I979" s="96"/>
      <c r="J979" s="96"/>
      <c r="K979" s="50"/>
      <c r="L979" s="96"/>
      <c r="M979" s="96"/>
      <c r="N979" s="14"/>
      <c r="O979" s="50"/>
      <c r="P979" s="50"/>
      <c r="Q979" s="50"/>
      <c r="R979" s="50"/>
      <c r="S979" s="50"/>
      <c r="T979" s="50"/>
      <c r="U979" s="50"/>
      <c r="V979" s="50"/>
      <c r="W979" s="14"/>
      <c r="X979" s="50"/>
      <c r="Y979" s="179"/>
      <c r="Z979" s="50"/>
      <c r="AA979" s="14"/>
    </row>
    <row r="980">
      <c r="A980" s="14"/>
      <c r="B980" s="14"/>
      <c r="C980" s="158"/>
      <c r="D980" s="96"/>
      <c r="E980" s="96"/>
      <c r="F980" s="96"/>
      <c r="G980" s="50"/>
      <c r="H980" s="96"/>
      <c r="I980" s="96"/>
      <c r="J980" s="96"/>
      <c r="K980" s="50"/>
      <c r="L980" s="96"/>
      <c r="M980" s="96"/>
      <c r="N980" s="14"/>
      <c r="O980" s="50"/>
      <c r="P980" s="50"/>
      <c r="Q980" s="50"/>
      <c r="R980" s="50"/>
      <c r="S980" s="50"/>
      <c r="T980" s="50"/>
      <c r="U980" s="50"/>
      <c r="V980" s="50"/>
      <c r="W980" s="14"/>
      <c r="X980" s="50"/>
      <c r="Y980" s="179"/>
      <c r="Z980" s="50"/>
      <c r="AA980" s="14"/>
    </row>
    <row r="981">
      <c r="A981" s="14"/>
      <c r="B981" s="14"/>
      <c r="C981" s="158"/>
      <c r="D981" s="96"/>
      <c r="E981" s="96"/>
      <c r="F981" s="96"/>
      <c r="G981" s="50"/>
      <c r="H981" s="96"/>
      <c r="I981" s="96"/>
      <c r="J981" s="96"/>
      <c r="K981" s="50"/>
      <c r="L981" s="96"/>
      <c r="M981" s="96"/>
      <c r="N981" s="14"/>
      <c r="O981" s="50"/>
      <c r="P981" s="50"/>
      <c r="Q981" s="50"/>
      <c r="R981" s="50"/>
      <c r="S981" s="50"/>
      <c r="T981" s="50"/>
      <c r="U981" s="50"/>
      <c r="V981" s="50"/>
      <c r="W981" s="14"/>
      <c r="X981" s="50"/>
      <c r="Y981" s="179"/>
      <c r="Z981" s="50"/>
      <c r="AA981" s="14"/>
    </row>
    <row r="982">
      <c r="A982" s="14"/>
      <c r="B982" s="14"/>
      <c r="C982" s="158"/>
      <c r="D982" s="96"/>
      <c r="E982" s="96"/>
      <c r="F982" s="96"/>
      <c r="G982" s="50"/>
      <c r="H982" s="96"/>
      <c r="I982" s="96"/>
      <c r="J982" s="96"/>
      <c r="K982" s="50"/>
      <c r="L982" s="96"/>
      <c r="M982" s="96"/>
      <c r="N982" s="14"/>
      <c r="O982" s="50"/>
      <c r="P982" s="50"/>
      <c r="Q982" s="50"/>
      <c r="R982" s="50"/>
      <c r="S982" s="50"/>
      <c r="T982" s="50"/>
      <c r="U982" s="50"/>
      <c r="V982" s="50"/>
      <c r="W982" s="14"/>
      <c r="X982" s="50"/>
      <c r="Y982" s="179"/>
      <c r="Z982" s="50"/>
      <c r="AA982" s="14"/>
    </row>
    <row r="983">
      <c r="A983" s="14"/>
      <c r="B983" s="14"/>
      <c r="C983" s="158"/>
      <c r="D983" s="96"/>
      <c r="E983" s="96"/>
      <c r="F983" s="96"/>
      <c r="G983" s="50"/>
      <c r="H983" s="96"/>
      <c r="I983" s="96"/>
      <c r="J983" s="96"/>
      <c r="K983" s="50"/>
      <c r="L983" s="96"/>
      <c r="M983" s="96"/>
      <c r="N983" s="14"/>
      <c r="O983" s="50"/>
      <c r="P983" s="50"/>
      <c r="Q983" s="50"/>
      <c r="R983" s="50"/>
      <c r="S983" s="50"/>
      <c r="T983" s="50"/>
      <c r="U983" s="50"/>
      <c r="V983" s="50"/>
      <c r="W983" s="14"/>
      <c r="X983" s="50"/>
      <c r="Y983" s="179"/>
      <c r="Z983" s="50"/>
      <c r="AA983" s="14"/>
    </row>
    <row r="984">
      <c r="A984" s="14"/>
      <c r="B984" s="14"/>
      <c r="C984" s="158"/>
      <c r="D984" s="96"/>
      <c r="E984" s="96"/>
      <c r="F984" s="96"/>
      <c r="G984" s="50"/>
      <c r="H984" s="96"/>
      <c r="I984" s="96"/>
      <c r="J984" s="96"/>
      <c r="K984" s="50"/>
      <c r="L984" s="96"/>
      <c r="M984" s="96"/>
      <c r="N984" s="14"/>
      <c r="O984" s="50"/>
      <c r="P984" s="50"/>
      <c r="Q984" s="50"/>
      <c r="R984" s="50"/>
      <c r="S984" s="50"/>
      <c r="T984" s="50"/>
      <c r="U984" s="50"/>
      <c r="V984" s="50"/>
      <c r="W984" s="14"/>
      <c r="X984" s="50"/>
      <c r="Y984" s="179"/>
      <c r="Z984" s="50"/>
      <c r="AA984" s="14"/>
    </row>
    <row r="985">
      <c r="A985" s="14"/>
      <c r="B985" s="14"/>
      <c r="C985" s="158"/>
      <c r="D985" s="96"/>
      <c r="E985" s="96"/>
      <c r="F985" s="96"/>
      <c r="G985" s="50"/>
      <c r="H985" s="96"/>
      <c r="I985" s="96"/>
      <c r="J985" s="96"/>
      <c r="K985" s="50"/>
      <c r="L985" s="96"/>
      <c r="M985" s="96"/>
      <c r="N985" s="14"/>
      <c r="O985" s="50"/>
      <c r="P985" s="50"/>
      <c r="Q985" s="50"/>
      <c r="R985" s="50"/>
      <c r="S985" s="50"/>
      <c r="T985" s="50"/>
      <c r="U985" s="50"/>
      <c r="V985" s="50"/>
      <c r="W985" s="14"/>
      <c r="X985" s="50"/>
      <c r="Y985" s="179"/>
      <c r="Z985" s="50"/>
      <c r="AA985" s="14"/>
    </row>
    <row r="986">
      <c r="A986" s="14"/>
      <c r="B986" s="14"/>
      <c r="C986" s="158"/>
      <c r="D986" s="96"/>
      <c r="E986" s="96"/>
      <c r="F986" s="96"/>
      <c r="G986" s="50"/>
      <c r="H986" s="96"/>
      <c r="I986" s="96"/>
      <c r="J986" s="96"/>
      <c r="K986" s="50"/>
      <c r="L986" s="96"/>
      <c r="M986" s="96"/>
      <c r="N986" s="14"/>
      <c r="O986" s="50"/>
      <c r="P986" s="50"/>
      <c r="Q986" s="50"/>
      <c r="R986" s="50"/>
      <c r="S986" s="50"/>
      <c r="T986" s="50"/>
      <c r="U986" s="50"/>
      <c r="V986" s="50"/>
      <c r="W986" s="14"/>
      <c r="X986" s="50"/>
      <c r="Y986" s="179"/>
      <c r="Z986" s="50"/>
      <c r="AA986" s="14"/>
    </row>
    <row r="987">
      <c r="A987" s="14"/>
      <c r="B987" s="14"/>
      <c r="C987" s="158"/>
      <c r="D987" s="96"/>
      <c r="E987" s="96"/>
      <c r="F987" s="96"/>
      <c r="G987" s="50"/>
      <c r="H987" s="96"/>
      <c r="I987" s="96"/>
      <c r="J987" s="96"/>
      <c r="K987" s="50"/>
      <c r="L987" s="96"/>
      <c r="M987" s="96"/>
      <c r="N987" s="14"/>
      <c r="O987" s="50"/>
      <c r="P987" s="50"/>
      <c r="Q987" s="50"/>
      <c r="R987" s="50"/>
      <c r="S987" s="50"/>
      <c r="T987" s="50"/>
      <c r="U987" s="50"/>
      <c r="V987" s="50"/>
      <c r="W987" s="14"/>
      <c r="X987" s="50"/>
      <c r="Y987" s="179"/>
      <c r="Z987" s="50"/>
      <c r="AA987" s="14"/>
    </row>
    <row r="988">
      <c r="A988" s="14"/>
      <c r="B988" s="14"/>
      <c r="C988" s="158"/>
      <c r="D988" s="96"/>
      <c r="E988" s="96"/>
      <c r="F988" s="96"/>
      <c r="G988" s="50"/>
      <c r="H988" s="96"/>
      <c r="I988" s="96"/>
      <c r="J988" s="96"/>
      <c r="K988" s="50"/>
      <c r="L988" s="96"/>
      <c r="M988" s="96"/>
      <c r="N988" s="14"/>
      <c r="O988" s="50"/>
      <c r="P988" s="50"/>
      <c r="Q988" s="50"/>
      <c r="R988" s="50"/>
      <c r="S988" s="50"/>
      <c r="T988" s="50"/>
      <c r="U988" s="50"/>
      <c r="V988" s="50"/>
      <c r="W988" s="14"/>
      <c r="X988" s="50"/>
      <c r="Y988" s="179"/>
      <c r="Z988" s="50"/>
      <c r="AA988" s="14"/>
    </row>
    <row r="989">
      <c r="A989" s="14"/>
      <c r="B989" s="14"/>
      <c r="C989" s="158"/>
      <c r="D989" s="96"/>
      <c r="E989" s="96"/>
      <c r="F989" s="96"/>
      <c r="G989" s="50"/>
      <c r="H989" s="96"/>
      <c r="I989" s="96"/>
      <c r="J989" s="96"/>
      <c r="K989" s="50"/>
      <c r="L989" s="96"/>
      <c r="M989" s="96"/>
      <c r="N989" s="14"/>
      <c r="O989" s="50"/>
      <c r="P989" s="50"/>
      <c r="Q989" s="50"/>
      <c r="R989" s="50"/>
      <c r="S989" s="50"/>
      <c r="T989" s="50"/>
      <c r="U989" s="50"/>
      <c r="V989" s="50"/>
      <c r="W989" s="14"/>
      <c r="X989" s="50"/>
      <c r="Y989" s="179"/>
      <c r="Z989" s="50"/>
      <c r="AA989" s="14"/>
    </row>
    <row r="990">
      <c r="A990" s="14"/>
      <c r="B990" s="14"/>
      <c r="C990" s="158"/>
      <c r="D990" s="96"/>
      <c r="E990" s="96"/>
      <c r="F990" s="96"/>
      <c r="G990" s="50"/>
      <c r="H990" s="96"/>
      <c r="I990" s="96"/>
      <c r="J990" s="96"/>
      <c r="K990" s="50"/>
      <c r="L990" s="96"/>
      <c r="M990" s="96"/>
      <c r="N990" s="14"/>
      <c r="O990" s="50"/>
      <c r="P990" s="50"/>
      <c r="Q990" s="50"/>
      <c r="R990" s="50"/>
      <c r="S990" s="50"/>
      <c r="T990" s="50"/>
      <c r="U990" s="50"/>
      <c r="V990" s="50"/>
      <c r="W990" s="14"/>
      <c r="X990" s="50"/>
      <c r="Y990" s="179"/>
      <c r="Z990" s="50"/>
      <c r="AA990" s="14"/>
    </row>
    <row r="991">
      <c r="A991" s="14"/>
      <c r="B991" s="14"/>
      <c r="C991" s="158"/>
      <c r="D991" s="96"/>
      <c r="E991" s="96"/>
      <c r="F991" s="96"/>
      <c r="G991" s="50"/>
      <c r="H991" s="96"/>
      <c r="I991" s="96"/>
      <c r="J991" s="96"/>
      <c r="K991" s="50"/>
      <c r="L991" s="96"/>
      <c r="M991" s="96"/>
      <c r="N991" s="14"/>
      <c r="O991" s="50"/>
      <c r="P991" s="50"/>
      <c r="Q991" s="50"/>
      <c r="R991" s="50"/>
      <c r="S991" s="50"/>
      <c r="T991" s="50"/>
      <c r="U991" s="50"/>
      <c r="V991" s="50"/>
      <c r="W991" s="14"/>
      <c r="X991" s="50"/>
      <c r="Y991" s="179"/>
      <c r="Z991" s="50"/>
      <c r="AA991" s="14"/>
    </row>
    <row r="992">
      <c r="A992" s="14"/>
      <c r="B992" s="14"/>
      <c r="C992" s="158"/>
      <c r="D992" s="96"/>
      <c r="E992" s="96"/>
      <c r="F992" s="96"/>
      <c r="G992" s="50"/>
      <c r="H992" s="96"/>
      <c r="I992" s="96"/>
      <c r="J992" s="96"/>
      <c r="K992" s="50"/>
      <c r="L992" s="96"/>
      <c r="M992" s="96"/>
      <c r="N992" s="14"/>
      <c r="O992" s="50"/>
      <c r="P992" s="50"/>
      <c r="Q992" s="50"/>
      <c r="R992" s="50"/>
      <c r="S992" s="50"/>
      <c r="T992" s="50"/>
      <c r="U992" s="50"/>
      <c r="V992" s="50"/>
      <c r="W992" s="14"/>
      <c r="X992" s="50"/>
      <c r="Y992" s="179"/>
      <c r="Z992" s="50"/>
      <c r="AA992" s="14"/>
    </row>
    <row r="993">
      <c r="A993" s="14"/>
      <c r="B993" s="14"/>
      <c r="C993" s="158"/>
      <c r="D993" s="96"/>
      <c r="E993" s="96"/>
      <c r="F993" s="96"/>
      <c r="G993" s="50"/>
      <c r="H993" s="96"/>
      <c r="I993" s="96"/>
      <c r="J993" s="96"/>
      <c r="K993" s="50"/>
      <c r="L993" s="96"/>
      <c r="M993" s="96"/>
      <c r="N993" s="14"/>
      <c r="O993" s="50"/>
      <c r="P993" s="50"/>
      <c r="Q993" s="50"/>
      <c r="R993" s="50"/>
      <c r="S993" s="50"/>
      <c r="T993" s="50"/>
      <c r="U993" s="50"/>
      <c r="V993" s="50"/>
      <c r="W993" s="14"/>
      <c r="X993" s="50"/>
      <c r="Y993" s="179"/>
      <c r="Z993" s="50"/>
      <c r="AA993" s="14"/>
    </row>
    <row r="994">
      <c r="A994" s="14"/>
      <c r="B994" s="14"/>
      <c r="C994" s="158"/>
      <c r="D994" s="96"/>
      <c r="E994" s="96"/>
      <c r="F994" s="96"/>
      <c r="G994" s="50"/>
      <c r="H994" s="96"/>
      <c r="I994" s="96"/>
      <c r="J994" s="96"/>
      <c r="K994" s="50"/>
      <c r="L994" s="96"/>
      <c r="M994" s="96"/>
      <c r="N994" s="14"/>
      <c r="O994" s="50"/>
      <c r="P994" s="50"/>
      <c r="Q994" s="50"/>
      <c r="R994" s="50"/>
      <c r="S994" s="50"/>
      <c r="T994" s="50"/>
      <c r="U994" s="50"/>
      <c r="V994" s="50"/>
      <c r="W994" s="14"/>
      <c r="X994" s="50"/>
      <c r="Y994" s="179"/>
      <c r="Z994" s="50"/>
      <c r="AA994" s="14"/>
    </row>
    <row r="995">
      <c r="A995" s="14"/>
      <c r="B995" s="14"/>
      <c r="C995" s="158"/>
      <c r="D995" s="96"/>
      <c r="E995" s="96"/>
      <c r="F995" s="96"/>
      <c r="G995" s="50"/>
      <c r="H995" s="96"/>
      <c r="I995" s="96"/>
      <c r="J995" s="96"/>
      <c r="K995" s="50"/>
      <c r="L995" s="96"/>
      <c r="M995" s="96"/>
      <c r="N995" s="14"/>
      <c r="O995" s="50"/>
      <c r="P995" s="50"/>
      <c r="Q995" s="50"/>
      <c r="R995" s="50"/>
      <c r="S995" s="50"/>
      <c r="T995" s="50"/>
      <c r="U995" s="50"/>
      <c r="V995" s="50"/>
      <c r="W995" s="14"/>
      <c r="X995" s="50"/>
      <c r="Y995" s="179"/>
      <c r="Z995" s="50"/>
      <c r="AA995" s="14"/>
    </row>
    <row r="996">
      <c r="A996" s="14"/>
      <c r="B996" s="14"/>
      <c r="C996" s="158"/>
      <c r="D996" s="96"/>
      <c r="E996" s="96"/>
      <c r="F996" s="96"/>
      <c r="G996" s="50"/>
      <c r="H996" s="96"/>
      <c r="I996" s="96"/>
      <c r="J996" s="96"/>
      <c r="K996" s="50"/>
      <c r="L996" s="96"/>
      <c r="M996" s="96"/>
      <c r="N996" s="14"/>
      <c r="O996" s="50"/>
      <c r="P996" s="50"/>
      <c r="Q996" s="50"/>
      <c r="R996" s="50"/>
      <c r="S996" s="50"/>
      <c r="T996" s="50"/>
      <c r="U996" s="50"/>
      <c r="V996" s="50"/>
      <c r="W996" s="14"/>
      <c r="X996" s="50"/>
      <c r="Y996" s="179"/>
      <c r="Z996" s="50"/>
      <c r="AA996" s="14"/>
    </row>
    <row r="997">
      <c r="A997" s="14"/>
      <c r="B997" s="14"/>
      <c r="C997" s="158"/>
      <c r="D997" s="96"/>
      <c r="E997" s="96"/>
      <c r="F997" s="96"/>
      <c r="G997" s="50"/>
      <c r="H997" s="96"/>
      <c r="I997" s="96"/>
      <c r="J997" s="96"/>
      <c r="K997" s="50"/>
      <c r="L997" s="96"/>
      <c r="M997" s="96"/>
      <c r="N997" s="14"/>
      <c r="O997" s="50"/>
      <c r="P997" s="50"/>
      <c r="Q997" s="50"/>
      <c r="R997" s="50"/>
      <c r="S997" s="50"/>
      <c r="T997" s="50"/>
      <c r="U997" s="50"/>
      <c r="V997" s="50"/>
      <c r="W997" s="14"/>
      <c r="X997" s="50"/>
      <c r="Y997" s="179"/>
      <c r="Z997" s="50"/>
      <c r="AA997" s="14"/>
    </row>
    <row r="998">
      <c r="A998" s="14"/>
      <c r="B998" s="14"/>
      <c r="C998" s="158"/>
      <c r="D998" s="96"/>
      <c r="E998" s="96"/>
      <c r="F998" s="96"/>
      <c r="G998" s="50"/>
      <c r="H998" s="96"/>
      <c r="I998" s="96"/>
      <c r="J998" s="96"/>
      <c r="K998" s="50"/>
      <c r="L998" s="96"/>
      <c r="M998" s="96"/>
      <c r="N998" s="14"/>
      <c r="O998" s="50"/>
      <c r="P998" s="50"/>
      <c r="Q998" s="50"/>
      <c r="R998" s="50"/>
      <c r="S998" s="50"/>
      <c r="T998" s="50"/>
      <c r="U998" s="50"/>
      <c r="V998" s="50"/>
      <c r="W998" s="14"/>
      <c r="X998" s="50"/>
      <c r="Y998" s="179"/>
      <c r="Z998" s="50"/>
      <c r="AA998" s="14"/>
    </row>
    <row r="999">
      <c r="A999" s="14"/>
      <c r="B999" s="14"/>
      <c r="C999" s="158"/>
      <c r="D999" s="96"/>
      <c r="E999" s="96"/>
      <c r="F999" s="96"/>
      <c r="G999" s="50"/>
      <c r="H999" s="96"/>
      <c r="I999" s="96"/>
      <c r="J999" s="96"/>
      <c r="K999" s="50"/>
      <c r="L999" s="96"/>
      <c r="M999" s="96"/>
      <c r="N999" s="14"/>
      <c r="O999" s="50"/>
      <c r="P999" s="50"/>
      <c r="Q999" s="50"/>
      <c r="R999" s="50"/>
      <c r="S999" s="50"/>
      <c r="T999" s="50"/>
      <c r="U999" s="50"/>
      <c r="V999" s="50"/>
      <c r="W999" s="14"/>
      <c r="X999" s="50"/>
      <c r="Y999" s="179"/>
      <c r="Z999" s="50"/>
      <c r="AA999" s="14"/>
    </row>
    <row r="1000">
      <c r="A1000" s="14"/>
      <c r="B1000" s="14"/>
      <c r="C1000" s="158"/>
      <c r="D1000" s="96"/>
      <c r="E1000" s="96"/>
      <c r="F1000" s="96"/>
      <c r="G1000" s="50"/>
      <c r="H1000" s="96"/>
      <c r="I1000" s="96"/>
      <c r="J1000" s="96"/>
      <c r="K1000" s="50"/>
      <c r="L1000" s="96"/>
      <c r="M1000" s="96"/>
      <c r="N1000" s="14"/>
      <c r="O1000" s="50"/>
      <c r="P1000" s="50"/>
      <c r="Q1000" s="50"/>
      <c r="R1000" s="50"/>
      <c r="S1000" s="50"/>
      <c r="T1000" s="50"/>
      <c r="U1000" s="50"/>
      <c r="V1000" s="50"/>
      <c r="W1000" s="14"/>
      <c r="X1000" s="50"/>
      <c r="Y1000" s="179"/>
      <c r="Z1000" s="50"/>
      <c r="AA1000" s="14"/>
    </row>
    <row r="1001">
      <c r="A1001" s="14"/>
      <c r="B1001" s="14"/>
      <c r="C1001" s="158"/>
      <c r="D1001" s="96"/>
      <c r="E1001" s="96"/>
      <c r="F1001" s="96"/>
      <c r="G1001" s="50"/>
      <c r="H1001" s="96"/>
      <c r="I1001" s="96"/>
      <c r="J1001" s="96"/>
      <c r="K1001" s="50"/>
      <c r="L1001" s="96"/>
      <c r="M1001" s="96"/>
      <c r="N1001" s="14"/>
      <c r="O1001" s="50"/>
      <c r="P1001" s="50"/>
      <c r="Q1001" s="50"/>
      <c r="R1001" s="50"/>
      <c r="S1001" s="50"/>
      <c r="T1001" s="50"/>
      <c r="U1001" s="50"/>
      <c r="V1001" s="50"/>
      <c r="W1001" s="14"/>
      <c r="X1001" s="50"/>
      <c r="Y1001" s="179"/>
      <c r="Z1001" s="50"/>
      <c r="AA1001" s="14"/>
    </row>
    <row r="1002">
      <c r="A1002" s="14"/>
      <c r="B1002" s="14"/>
      <c r="C1002" s="158"/>
      <c r="D1002" s="96"/>
      <c r="E1002" s="96"/>
      <c r="F1002" s="96"/>
      <c r="G1002" s="50"/>
      <c r="H1002" s="96"/>
      <c r="I1002" s="96"/>
      <c r="J1002" s="96"/>
      <c r="K1002" s="50"/>
      <c r="L1002" s="96"/>
      <c r="M1002" s="96"/>
      <c r="N1002" s="14"/>
      <c r="O1002" s="50"/>
      <c r="P1002" s="50"/>
      <c r="Q1002" s="50"/>
      <c r="R1002" s="50"/>
      <c r="S1002" s="50"/>
      <c r="T1002" s="50"/>
      <c r="U1002" s="50"/>
      <c r="V1002" s="50"/>
      <c r="W1002" s="14"/>
      <c r="X1002" s="50"/>
      <c r="Y1002" s="179"/>
      <c r="Z1002" s="50"/>
      <c r="AA1002" s="14"/>
    </row>
    <row r="1003">
      <c r="A1003" s="14"/>
      <c r="B1003" s="14"/>
      <c r="C1003" s="158"/>
      <c r="D1003" s="96"/>
      <c r="E1003" s="96"/>
      <c r="F1003" s="96"/>
      <c r="G1003" s="50"/>
      <c r="H1003" s="96"/>
      <c r="I1003" s="96"/>
      <c r="J1003" s="96"/>
      <c r="K1003" s="50"/>
      <c r="L1003" s="96"/>
      <c r="M1003" s="96"/>
      <c r="N1003" s="14"/>
      <c r="O1003" s="50"/>
      <c r="P1003" s="50"/>
      <c r="Q1003" s="50"/>
      <c r="R1003" s="50"/>
      <c r="S1003" s="50"/>
      <c r="T1003" s="50"/>
      <c r="U1003" s="50"/>
      <c r="V1003" s="50"/>
      <c r="W1003" s="14"/>
      <c r="X1003" s="50"/>
      <c r="Y1003" s="179"/>
      <c r="Z1003" s="50"/>
      <c r="AA1003" s="14"/>
    </row>
    <row r="1004">
      <c r="A1004" s="14"/>
      <c r="B1004" s="14"/>
      <c r="C1004" s="158"/>
      <c r="D1004" s="96"/>
      <c r="E1004" s="96"/>
      <c r="F1004" s="96"/>
      <c r="G1004" s="50"/>
      <c r="H1004" s="96"/>
      <c r="I1004" s="96"/>
      <c r="J1004" s="96"/>
      <c r="K1004" s="50"/>
      <c r="L1004" s="96"/>
      <c r="M1004" s="96"/>
      <c r="N1004" s="14"/>
      <c r="O1004" s="50"/>
      <c r="P1004" s="50"/>
      <c r="Q1004" s="50"/>
      <c r="R1004" s="50"/>
      <c r="S1004" s="50"/>
      <c r="T1004" s="50"/>
      <c r="U1004" s="50"/>
      <c r="V1004" s="50"/>
      <c r="W1004" s="14"/>
      <c r="X1004" s="50"/>
      <c r="Y1004" s="179"/>
      <c r="Z1004" s="50"/>
      <c r="AA1004" s="14"/>
    </row>
    <row r="1005">
      <c r="A1005" s="14"/>
      <c r="B1005" s="14"/>
      <c r="C1005" s="158"/>
      <c r="D1005" s="96"/>
      <c r="E1005" s="96"/>
      <c r="F1005" s="96"/>
      <c r="G1005" s="50"/>
      <c r="H1005" s="96"/>
      <c r="I1005" s="96"/>
      <c r="J1005" s="96"/>
      <c r="K1005" s="50"/>
      <c r="L1005" s="96"/>
      <c r="M1005" s="96"/>
      <c r="N1005" s="14"/>
      <c r="O1005" s="50"/>
      <c r="P1005" s="50"/>
      <c r="Q1005" s="50"/>
      <c r="R1005" s="50"/>
      <c r="S1005" s="50"/>
      <c r="T1005" s="50"/>
      <c r="U1005" s="50"/>
      <c r="V1005" s="50"/>
      <c r="W1005" s="14"/>
      <c r="X1005" s="50"/>
      <c r="Y1005" s="179"/>
      <c r="Z1005" s="50"/>
      <c r="AA1005" s="14"/>
    </row>
    <row r="1006">
      <c r="A1006" s="14"/>
      <c r="B1006" s="14"/>
      <c r="C1006" s="158"/>
      <c r="D1006" s="96"/>
      <c r="E1006" s="96"/>
      <c r="F1006" s="96"/>
      <c r="G1006" s="50"/>
      <c r="H1006" s="96"/>
      <c r="I1006" s="96"/>
      <c r="J1006" s="96"/>
      <c r="K1006" s="50"/>
      <c r="L1006" s="96"/>
      <c r="M1006" s="96"/>
      <c r="N1006" s="14"/>
      <c r="O1006" s="50"/>
      <c r="P1006" s="50"/>
      <c r="Q1006" s="50"/>
      <c r="R1006" s="50"/>
      <c r="S1006" s="50"/>
      <c r="T1006" s="50"/>
      <c r="U1006" s="50"/>
      <c r="V1006" s="50"/>
      <c r="W1006" s="14"/>
      <c r="X1006" s="50"/>
      <c r="Y1006" s="179"/>
      <c r="Z1006" s="50"/>
      <c r="AA1006" s="14"/>
    </row>
    <row r="1007">
      <c r="A1007" s="14"/>
      <c r="B1007" s="14"/>
      <c r="C1007" s="158"/>
      <c r="D1007" s="96"/>
      <c r="E1007" s="96"/>
      <c r="F1007" s="96"/>
      <c r="G1007" s="50"/>
      <c r="H1007" s="96"/>
      <c r="I1007" s="96"/>
      <c r="J1007" s="96"/>
      <c r="K1007" s="50"/>
      <c r="L1007" s="96"/>
      <c r="M1007" s="96"/>
      <c r="N1007" s="14"/>
      <c r="O1007" s="50"/>
      <c r="P1007" s="50"/>
      <c r="Q1007" s="50"/>
      <c r="R1007" s="50"/>
      <c r="S1007" s="50"/>
      <c r="T1007" s="50"/>
      <c r="U1007" s="50"/>
      <c r="V1007" s="50"/>
      <c r="W1007" s="14"/>
      <c r="X1007" s="50"/>
      <c r="Y1007" s="179"/>
      <c r="Z1007" s="50"/>
      <c r="AA1007" s="14"/>
    </row>
    <row r="1008">
      <c r="A1008" s="14"/>
      <c r="B1008" s="14"/>
      <c r="C1008" s="158"/>
      <c r="D1008" s="96"/>
      <c r="E1008" s="96"/>
      <c r="F1008" s="96"/>
      <c r="G1008" s="50"/>
      <c r="H1008" s="96"/>
      <c r="I1008" s="96"/>
      <c r="J1008" s="96"/>
      <c r="K1008" s="50"/>
      <c r="L1008" s="96"/>
      <c r="M1008" s="96"/>
      <c r="N1008" s="14"/>
      <c r="O1008" s="50"/>
      <c r="P1008" s="50"/>
      <c r="Q1008" s="50"/>
      <c r="R1008" s="50"/>
      <c r="S1008" s="50"/>
      <c r="T1008" s="50"/>
      <c r="U1008" s="50"/>
      <c r="V1008" s="50"/>
      <c r="W1008" s="14"/>
      <c r="X1008" s="50"/>
      <c r="Y1008" s="179"/>
      <c r="Z1008" s="50"/>
      <c r="AA1008" s="14"/>
    </row>
    <row r="1009">
      <c r="A1009" s="14"/>
      <c r="B1009" s="14"/>
      <c r="C1009" s="158"/>
      <c r="D1009" s="96"/>
      <c r="E1009" s="96"/>
      <c r="F1009" s="96"/>
      <c r="G1009" s="50"/>
      <c r="H1009" s="96"/>
      <c r="I1009" s="96"/>
      <c r="J1009" s="96"/>
      <c r="K1009" s="50"/>
      <c r="L1009" s="96"/>
      <c r="M1009" s="96"/>
      <c r="N1009" s="14"/>
      <c r="O1009" s="50"/>
      <c r="P1009" s="50"/>
      <c r="Q1009" s="50"/>
      <c r="R1009" s="50"/>
      <c r="S1009" s="50"/>
      <c r="T1009" s="50"/>
      <c r="U1009" s="50"/>
      <c r="V1009" s="50"/>
      <c r="W1009" s="14"/>
      <c r="X1009" s="50"/>
      <c r="Y1009" s="179"/>
      <c r="Z1009" s="50"/>
      <c r="AA1009" s="14"/>
    </row>
    <row r="1010">
      <c r="A1010" s="14"/>
      <c r="B1010" s="14"/>
      <c r="C1010" s="158"/>
      <c r="D1010" s="96"/>
      <c r="E1010" s="96"/>
      <c r="F1010" s="96"/>
      <c r="G1010" s="50"/>
      <c r="H1010" s="96"/>
      <c r="I1010" s="96"/>
      <c r="J1010" s="96"/>
      <c r="K1010" s="50"/>
      <c r="L1010" s="96"/>
      <c r="M1010" s="96"/>
      <c r="N1010" s="14"/>
      <c r="O1010" s="50"/>
      <c r="P1010" s="50"/>
      <c r="Q1010" s="50"/>
      <c r="R1010" s="50"/>
      <c r="S1010" s="50"/>
      <c r="T1010" s="50"/>
      <c r="U1010" s="50"/>
      <c r="V1010" s="50"/>
      <c r="W1010" s="14"/>
      <c r="X1010" s="50"/>
      <c r="Y1010" s="179"/>
      <c r="Z1010" s="50"/>
      <c r="AA1010" s="14"/>
    </row>
    <row r="1011">
      <c r="A1011" s="14"/>
      <c r="B1011" s="14"/>
      <c r="C1011" s="158"/>
      <c r="D1011" s="96"/>
      <c r="E1011" s="96"/>
      <c r="F1011" s="96"/>
      <c r="G1011" s="50"/>
      <c r="H1011" s="96"/>
      <c r="I1011" s="96"/>
      <c r="J1011" s="96"/>
      <c r="K1011" s="50"/>
      <c r="L1011" s="96"/>
      <c r="M1011" s="96"/>
      <c r="N1011" s="14"/>
      <c r="O1011" s="50"/>
      <c r="P1011" s="50"/>
      <c r="Q1011" s="50"/>
      <c r="R1011" s="50"/>
      <c r="S1011" s="50"/>
      <c r="T1011" s="50"/>
      <c r="U1011" s="50"/>
      <c r="V1011" s="50"/>
      <c r="W1011" s="14"/>
      <c r="X1011" s="50"/>
      <c r="Y1011" s="179"/>
      <c r="Z1011" s="50"/>
      <c r="AA1011" s="14"/>
    </row>
    <row r="1012">
      <c r="A1012" s="14"/>
      <c r="B1012" s="14"/>
      <c r="C1012" s="158"/>
      <c r="D1012" s="96"/>
      <c r="E1012" s="96"/>
      <c r="F1012" s="96"/>
      <c r="G1012" s="50"/>
      <c r="H1012" s="96"/>
      <c r="I1012" s="96"/>
      <c r="J1012" s="96"/>
      <c r="K1012" s="50"/>
      <c r="L1012" s="96"/>
      <c r="M1012" s="96"/>
      <c r="N1012" s="14"/>
      <c r="O1012" s="50"/>
      <c r="P1012" s="50"/>
      <c r="Q1012" s="50"/>
      <c r="R1012" s="50"/>
      <c r="S1012" s="50"/>
      <c r="T1012" s="50"/>
      <c r="U1012" s="50"/>
      <c r="V1012" s="50"/>
      <c r="W1012" s="14"/>
      <c r="X1012" s="50"/>
      <c r="Y1012" s="179"/>
      <c r="Z1012" s="50"/>
      <c r="AA1012" s="14"/>
    </row>
    <row r="1013">
      <c r="A1013" s="14"/>
      <c r="B1013" s="14"/>
      <c r="C1013" s="158"/>
      <c r="D1013" s="96"/>
      <c r="E1013" s="96"/>
      <c r="F1013" s="96"/>
      <c r="G1013" s="50"/>
      <c r="H1013" s="96"/>
      <c r="I1013" s="96"/>
      <c r="J1013" s="96"/>
      <c r="K1013" s="50"/>
      <c r="L1013" s="96"/>
      <c r="M1013" s="96"/>
      <c r="N1013" s="14"/>
      <c r="O1013" s="50"/>
      <c r="P1013" s="50"/>
      <c r="Q1013" s="50"/>
      <c r="R1013" s="50"/>
      <c r="S1013" s="50"/>
      <c r="T1013" s="50"/>
      <c r="U1013" s="50"/>
      <c r="V1013" s="50"/>
      <c r="W1013" s="14"/>
      <c r="X1013" s="50"/>
      <c r="Y1013" s="179"/>
      <c r="Z1013" s="50"/>
      <c r="AA1013" s="14"/>
    </row>
    <row r="1014">
      <c r="A1014" s="14"/>
      <c r="B1014" s="14"/>
      <c r="C1014" s="158"/>
      <c r="D1014" s="96"/>
      <c r="E1014" s="96"/>
      <c r="F1014" s="96"/>
      <c r="G1014" s="50"/>
      <c r="H1014" s="96"/>
      <c r="I1014" s="96"/>
      <c r="J1014" s="96"/>
      <c r="K1014" s="50"/>
      <c r="L1014" s="96"/>
      <c r="M1014" s="96"/>
      <c r="N1014" s="14"/>
      <c r="O1014" s="50"/>
      <c r="P1014" s="50"/>
      <c r="Q1014" s="50"/>
      <c r="R1014" s="50"/>
      <c r="S1014" s="50"/>
      <c r="T1014" s="50"/>
      <c r="U1014" s="50"/>
      <c r="V1014" s="50"/>
      <c r="W1014" s="14"/>
      <c r="X1014" s="50"/>
      <c r="Y1014" s="179"/>
      <c r="Z1014" s="50"/>
      <c r="AA1014" s="14"/>
    </row>
    <row r="1015">
      <c r="A1015" s="14"/>
      <c r="B1015" s="14"/>
      <c r="C1015" s="158"/>
      <c r="D1015" s="96"/>
      <c r="E1015" s="96"/>
      <c r="F1015" s="96"/>
      <c r="G1015" s="50"/>
      <c r="H1015" s="96"/>
      <c r="I1015" s="96"/>
      <c r="J1015" s="96"/>
      <c r="K1015" s="50"/>
      <c r="L1015" s="96"/>
      <c r="M1015" s="96"/>
      <c r="N1015" s="14"/>
      <c r="O1015" s="50"/>
      <c r="P1015" s="50"/>
      <c r="Q1015" s="50"/>
      <c r="R1015" s="50"/>
      <c r="S1015" s="50"/>
      <c r="T1015" s="50"/>
      <c r="U1015" s="50"/>
      <c r="V1015" s="50"/>
      <c r="W1015" s="14"/>
      <c r="X1015" s="50"/>
      <c r="Y1015" s="179"/>
      <c r="Z1015" s="50"/>
      <c r="AA1015" s="14"/>
    </row>
    <row r="1016">
      <c r="A1016" s="14"/>
      <c r="B1016" s="14"/>
      <c r="C1016" s="158"/>
      <c r="D1016" s="96"/>
      <c r="E1016" s="96"/>
      <c r="F1016" s="96"/>
      <c r="G1016" s="50"/>
      <c r="H1016" s="96"/>
      <c r="I1016" s="96"/>
      <c r="J1016" s="96"/>
      <c r="K1016" s="50"/>
      <c r="L1016" s="96"/>
      <c r="M1016" s="96"/>
      <c r="N1016" s="14"/>
      <c r="O1016" s="50"/>
      <c r="P1016" s="50"/>
      <c r="Q1016" s="50"/>
      <c r="R1016" s="50"/>
      <c r="S1016" s="50"/>
      <c r="T1016" s="50"/>
      <c r="U1016" s="50"/>
      <c r="V1016" s="50"/>
      <c r="W1016" s="14"/>
      <c r="X1016" s="50"/>
      <c r="Y1016" s="179"/>
      <c r="Z1016" s="50"/>
      <c r="AA1016" s="14"/>
    </row>
    <row r="1017">
      <c r="A1017" s="14"/>
      <c r="B1017" s="14"/>
      <c r="C1017" s="158"/>
      <c r="D1017" s="96"/>
      <c r="E1017" s="96"/>
      <c r="F1017" s="96"/>
      <c r="G1017" s="50"/>
      <c r="H1017" s="96"/>
      <c r="I1017" s="96"/>
      <c r="J1017" s="96"/>
      <c r="K1017" s="50"/>
      <c r="L1017" s="96"/>
      <c r="M1017" s="96"/>
      <c r="N1017" s="14"/>
      <c r="O1017" s="50"/>
      <c r="P1017" s="50"/>
      <c r="Q1017" s="50"/>
      <c r="R1017" s="50"/>
      <c r="S1017" s="50"/>
      <c r="T1017" s="50"/>
      <c r="U1017" s="50"/>
      <c r="V1017" s="50"/>
      <c r="W1017" s="14"/>
      <c r="X1017" s="50"/>
      <c r="Y1017" s="179"/>
      <c r="Z1017" s="50"/>
      <c r="AA1017" s="14"/>
    </row>
    <row r="1018">
      <c r="A1018" s="14"/>
      <c r="B1018" s="14"/>
      <c r="C1018" s="158"/>
      <c r="D1018" s="96"/>
      <c r="E1018" s="96"/>
      <c r="F1018" s="96"/>
      <c r="G1018" s="50"/>
      <c r="H1018" s="96"/>
      <c r="I1018" s="96"/>
      <c r="J1018" s="96"/>
      <c r="K1018" s="50"/>
      <c r="L1018" s="96"/>
      <c r="M1018" s="96"/>
      <c r="N1018" s="14"/>
      <c r="O1018" s="50"/>
      <c r="P1018" s="50"/>
      <c r="Q1018" s="50"/>
      <c r="R1018" s="50"/>
      <c r="S1018" s="50"/>
      <c r="T1018" s="50"/>
      <c r="U1018" s="50"/>
      <c r="V1018" s="50"/>
      <c r="W1018" s="14"/>
      <c r="X1018" s="50"/>
      <c r="Y1018" s="179"/>
      <c r="Z1018" s="50"/>
      <c r="AA1018" s="14"/>
    </row>
    <row r="1019">
      <c r="A1019" s="14"/>
      <c r="B1019" s="14"/>
      <c r="C1019" s="158"/>
      <c r="D1019" s="96"/>
      <c r="E1019" s="96"/>
      <c r="F1019" s="96"/>
      <c r="G1019" s="50"/>
      <c r="H1019" s="96"/>
      <c r="I1019" s="96"/>
      <c r="J1019" s="96"/>
      <c r="K1019" s="50"/>
      <c r="L1019" s="96"/>
      <c r="M1019" s="96"/>
      <c r="N1019" s="14"/>
      <c r="O1019" s="50"/>
      <c r="P1019" s="50"/>
      <c r="Q1019" s="50"/>
      <c r="R1019" s="50"/>
      <c r="S1019" s="50"/>
      <c r="T1019" s="50"/>
      <c r="U1019" s="50"/>
      <c r="V1019" s="50"/>
      <c r="W1019" s="14"/>
      <c r="X1019" s="50"/>
      <c r="Y1019" s="179"/>
      <c r="Z1019" s="50"/>
      <c r="AA1019" s="14"/>
    </row>
    <row r="1020">
      <c r="A1020" s="14"/>
      <c r="B1020" s="14"/>
      <c r="C1020" s="158"/>
      <c r="D1020" s="96"/>
      <c r="E1020" s="96"/>
      <c r="F1020" s="96"/>
      <c r="G1020" s="50"/>
      <c r="H1020" s="96"/>
      <c r="I1020" s="96"/>
      <c r="J1020" s="96"/>
      <c r="K1020" s="50"/>
      <c r="L1020" s="96"/>
      <c r="M1020" s="96"/>
      <c r="N1020" s="14"/>
      <c r="O1020" s="50"/>
      <c r="P1020" s="50"/>
      <c r="Q1020" s="50"/>
      <c r="R1020" s="50"/>
      <c r="S1020" s="50"/>
      <c r="T1020" s="50"/>
      <c r="U1020" s="50"/>
      <c r="V1020" s="50"/>
      <c r="W1020" s="14"/>
      <c r="X1020" s="50"/>
      <c r="Y1020" s="179"/>
      <c r="Z1020" s="50"/>
      <c r="AA1020" s="14"/>
    </row>
    <row r="1021">
      <c r="A1021" s="14"/>
      <c r="B1021" s="14"/>
      <c r="C1021" s="158"/>
      <c r="D1021" s="96"/>
      <c r="E1021" s="96"/>
      <c r="F1021" s="96"/>
      <c r="G1021" s="50"/>
      <c r="H1021" s="96"/>
      <c r="I1021" s="96"/>
      <c r="J1021" s="96"/>
      <c r="K1021" s="50"/>
      <c r="L1021" s="96"/>
      <c r="M1021" s="96"/>
      <c r="N1021" s="14"/>
      <c r="O1021" s="50"/>
      <c r="P1021" s="50"/>
      <c r="Q1021" s="50"/>
      <c r="R1021" s="50"/>
      <c r="S1021" s="50"/>
      <c r="T1021" s="50"/>
      <c r="U1021" s="50"/>
      <c r="V1021" s="50"/>
      <c r="W1021" s="14"/>
      <c r="X1021" s="50"/>
      <c r="Y1021" s="179"/>
      <c r="Z1021" s="50"/>
      <c r="AA1021" s="14"/>
    </row>
    <row r="1022">
      <c r="A1022" s="14"/>
      <c r="B1022" s="14"/>
      <c r="C1022" s="158"/>
      <c r="D1022" s="96"/>
      <c r="E1022" s="96"/>
      <c r="F1022" s="96"/>
      <c r="G1022" s="50"/>
      <c r="H1022" s="96"/>
      <c r="I1022" s="96"/>
      <c r="J1022" s="96"/>
      <c r="K1022" s="50"/>
      <c r="L1022" s="96"/>
      <c r="M1022" s="96"/>
      <c r="N1022" s="14"/>
      <c r="O1022" s="50"/>
      <c r="P1022" s="50"/>
      <c r="Q1022" s="50"/>
      <c r="R1022" s="50"/>
      <c r="S1022" s="50"/>
      <c r="T1022" s="50"/>
      <c r="U1022" s="50"/>
      <c r="V1022" s="50"/>
      <c r="W1022" s="14"/>
      <c r="X1022" s="50"/>
      <c r="Y1022" s="179"/>
      <c r="Z1022" s="50"/>
      <c r="AA1022" s="14"/>
    </row>
    <row r="1023">
      <c r="A1023" s="14"/>
      <c r="B1023" s="14"/>
      <c r="C1023" s="158"/>
      <c r="D1023" s="96"/>
      <c r="E1023" s="96"/>
      <c r="F1023" s="96"/>
      <c r="G1023" s="50"/>
      <c r="H1023" s="96"/>
      <c r="I1023" s="96"/>
      <c r="J1023" s="96"/>
      <c r="K1023" s="50"/>
      <c r="L1023" s="96"/>
      <c r="M1023" s="96"/>
      <c r="N1023" s="14"/>
      <c r="O1023" s="50"/>
      <c r="P1023" s="50"/>
      <c r="Q1023" s="50"/>
      <c r="R1023" s="50"/>
      <c r="S1023" s="50"/>
      <c r="T1023" s="50"/>
      <c r="U1023" s="50"/>
      <c r="V1023" s="50"/>
      <c r="W1023" s="14"/>
      <c r="X1023" s="50"/>
      <c r="Y1023" s="179"/>
      <c r="Z1023" s="50"/>
      <c r="AA1023" s="14"/>
    </row>
    <row r="1024">
      <c r="A1024" s="14"/>
      <c r="B1024" s="14"/>
      <c r="C1024" s="158"/>
      <c r="D1024" s="96"/>
      <c r="E1024" s="96"/>
      <c r="F1024" s="96"/>
      <c r="G1024" s="50"/>
      <c r="H1024" s="96"/>
      <c r="I1024" s="96"/>
      <c r="J1024" s="96"/>
      <c r="K1024" s="50"/>
      <c r="L1024" s="96"/>
      <c r="M1024" s="96"/>
      <c r="N1024" s="14"/>
      <c r="O1024" s="50"/>
      <c r="P1024" s="50"/>
      <c r="Q1024" s="50"/>
      <c r="R1024" s="50"/>
      <c r="S1024" s="50"/>
      <c r="T1024" s="50"/>
      <c r="U1024" s="50"/>
      <c r="V1024" s="50"/>
      <c r="W1024" s="14"/>
      <c r="X1024" s="50"/>
      <c r="Y1024" s="179"/>
      <c r="Z1024" s="50"/>
      <c r="AA1024" s="14"/>
    </row>
    <row r="1025">
      <c r="A1025" s="14"/>
      <c r="B1025" s="14"/>
      <c r="C1025" s="158"/>
      <c r="D1025" s="96"/>
      <c r="E1025" s="96"/>
      <c r="F1025" s="96"/>
      <c r="G1025" s="50"/>
      <c r="H1025" s="96"/>
      <c r="I1025" s="96"/>
      <c r="J1025" s="96"/>
      <c r="K1025" s="50"/>
      <c r="L1025" s="96"/>
      <c r="M1025" s="96"/>
      <c r="N1025" s="14"/>
      <c r="O1025" s="50"/>
      <c r="P1025" s="50"/>
      <c r="Q1025" s="50"/>
      <c r="R1025" s="50"/>
      <c r="S1025" s="50"/>
      <c r="T1025" s="50"/>
      <c r="U1025" s="50"/>
      <c r="V1025" s="50"/>
      <c r="W1025" s="14"/>
      <c r="X1025" s="50"/>
      <c r="Y1025" s="179"/>
      <c r="Z1025" s="50"/>
      <c r="AA1025" s="14"/>
    </row>
    <row r="1026">
      <c r="A1026" s="14"/>
      <c r="B1026" s="14"/>
      <c r="C1026" s="158"/>
      <c r="D1026" s="96"/>
      <c r="E1026" s="96"/>
      <c r="F1026" s="96"/>
      <c r="G1026" s="50"/>
      <c r="H1026" s="96"/>
      <c r="I1026" s="96"/>
      <c r="J1026" s="96"/>
      <c r="K1026" s="50"/>
      <c r="L1026" s="96"/>
      <c r="M1026" s="96"/>
      <c r="N1026" s="14"/>
      <c r="O1026" s="50"/>
      <c r="P1026" s="50"/>
      <c r="Q1026" s="50"/>
      <c r="R1026" s="50"/>
      <c r="S1026" s="50"/>
      <c r="T1026" s="50"/>
      <c r="U1026" s="50"/>
      <c r="V1026" s="50"/>
      <c r="W1026" s="14"/>
      <c r="X1026" s="50"/>
      <c r="Y1026" s="179"/>
      <c r="Z1026" s="50"/>
      <c r="AA1026" s="14"/>
    </row>
    <row r="1027">
      <c r="A1027" s="14"/>
      <c r="B1027" s="14"/>
      <c r="C1027" s="158"/>
      <c r="D1027" s="96"/>
      <c r="E1027" s="96"/>
      <c r="F1027" s="96"/>
      <c r="G1027" s="50"/>
      <c r="H1027" s="96"/>
      <c r="I1027" s="96"/>
      <c r="J1027" s="96"/>
      <c r="K1027" s="50"/>
      <c r="L1027" s="96"/>
      <c r="M1027" s="96"/>
      <c r="N1027" s="14"/>
      <c r="O1027" s="50"/>
      <c r="P1027" s="50"/>
      <c r="Q1027" s="50"/>
      <c r="R1027" s="50"/>
      <c r="S1027" s="50"/>
      <c r="T1027" s="50"/>
      <c r="U1027" s="50"/>
      <c r="V1027" s="50"/>
      <c r="W1027" s="14"/>
      <c r="X1027" s="50"/>
      <c r="Y1027" s="179"/>
      <c r="Z1027" s="50"/>
      <c r="AA1027" s="14"/>
    </row>
    <row r="1028">
      <c r="A1028" s="14"/>
      <c r="B1028" s="14"/>
      <c r="C1028" s="158"/>
      <c r="D1028" s="96"/>
      <c r="E1028" s="96"/>
      <c r="F1028" s="96"/>
      <c r="G1028" s="50"/>
      <c r="H1028" s="96"/>
      <c r="I1028" s="96"/>
      <c r="J1028" s="96"/>
      <c r="K1028" s="50"/>
      <c r="L1028" s="96"/>
      <c r="M1028" s="96"/>
      <c r="N1028" s="14"/>
      <c r="O1028" s="50"/>
      <c r="P1028" s="50"/>
      <c r="Q1028" s="50"/>
      <c r="R1028" s="50"/>
      <c r="S1028" s="50"/>
      <c r="T1028" s="50"/>
      <c r="U1028" s="50"/>
      <c r="V1028" s="50"/>
      <c r="W1028" s="14"/>
      <c r="X1028" s="50"/>
      <c r="Y1028" s="179"/>
      <c r="Z1028" s="50"/>
      <c r="AA1028" s="14"/>
    </row>
    <row r="1029">
      <c r="A1029" s="14"/>
      <c r="B1029" s="14"/>
      <c r="C1029" s="158"/>
      <c r="D1029" s="96"/>
      <c r="E1029" s="96"/>
      <c r="F1029" s="96"/>
      <c r="G1029" s="50"/>
      <c r="H1029" s="96"/>
      <c r="I1029" s="96"/>
      <c r="J1029" s="96"/>
      <c r="K1029" s="50"/>
      <c r="L1029" s="96"/>
      <c r="M1029" s="96"/>
      <c r="N1029" s="14"/>
      <c r="O1029" s="50"/>
      <c r="P1029" s="50"/>
      <c r="Q1029" s="50"/>
      <c r="R1029" s="50"/>
      <c r="S1029" s="50"/>
      <c r="T1029" s="50"/>
      <c r="U1029" s="50"/>
      <c r="V1029" s="50"/>
      <c r="W1029" s="14"/>
      <c r="X1029" s="50"/>
      <c r="Y1029" s="179"/>
      <c r="Z1029" s="50"/>
      <c r="AA1029" s="14"/>
    </row>
    <row r="1030">
      <c r="A1030" s="14"/>
      <c r="B1030" s="14"/>
      <c r="C1030" s="158"/>
      <c r="D1030" s="96"/>
      <c r="E1030" s="96"/>
      <c r="F1030" s="96"/>
      <c r="G1030" s="50"/>
      <c r="H1030" s="96"/>
      <c r="I1030" s="96"/>
      <c r="J1030" s="96"/>
      <c r="K1030" s="50"/>
      <c r="L1030" s="96"/>
      <c r="M1030" s="96"/>
      <c r="N1030" s="14"/>
      <c r="O1030" s="50"/>
      <c r="P1030" s="50"/>
      <c r="Q1030" s="50"/>
      <c r="R1030" s="50"/>
      <c r="S1030" s="50"/>
      <c r="T1030" s="50"/>
      <c r="U1030" s="50"/>
      <c r="V1030" s="50"/>
      <c r="W1030" s="14"/>
      <c r="X1030" s="50"/>
      <c r="Y1030" s="179"/>
      <c r="Z1030" s="50"/>
      <c r="AA1030" s="14"/>
    </row>
    <row r="1031">
      <c r="A1031" s="14"/>
      <c r="B1031" s="14"/>
      <c r="C1031" s="158"/>
      <c r="D1031" s="96"/>
      <c r="E1031" s="96"/>
      <c r="F1031" s="96"/>
      <c r="G1031" s="50"/>
      <c r="H1031" s="96"/>
      <c r="I1031" s="96"/>
      <c r="J1031" s="96"/>
      <c r="K1031" s="50"/>
      <c r="L1031" s="96"/>
      <c r="M1031" s="96"/>
      <c r="N1031" s="14"/>
      <c r="O1031" s="50"/>
      <c r="P1031" s="50"/>
      <c r="Q1031" s="50"/>
      <c r="R1031" s="50"/>
      <c r="S1031" s="50"/>
      <c r="T1031" s="50"/>
      <c r="U1031" s="50"/>
      <c r="V1031" s="50"/>
      <c r="W1031" s="14"/>
      <c r="X1031" s="50"/>
      <c r="Y1031" s="179"/>
      <c r="Z1031" s="50"/>
      <c r="AA1031" s="14"/>
    </row>
    <row r="1032">
      <c r="A1032" s="14"/>
      <c r="B1032" s="14"/>
      <c r="C1032" s="158"/>
      <c r="D1032" s="96"/>
      <c r="E1032" s="96"/>
      <c r="F1032" s="96"/>
      <c r="G1032" s="50"/>
      <c r="H1032" s="96"/>
      <c r="I1032" s="96"/>
      <c r="J1032" s="96"/>
      <c r="K1032" s="50"/>
      <c r="L1032" s="96"/>
      <c r="M1032" s="96"/>
      <c r="N1032" s="14"/>
      <c r="O1032" s="50"/>
      <c r="P1032" s="50"/>
      <c r="Q1032" s="50"/>
      <c r="R1032" s="50"/>
      <c r="S1032" s="50"/>
      <c r="T1032" s="50"/>
      <c r="U1032" s="50"/>
      <c r="V1032" s="50"/>
      <c r="W1032" s="14"/>
      <c r="X1032" s="50"/>
      <c r="Y1032" s="179"/>
      <c r="Z1032" s="50"/>
      <c r="AA1032" s="14"/>
    </row>
    <row r="1033">
      <c r="A1033" s="14"/>
      <c r="B1033" s="14"/>
      <c r="C1033" s="158"/>
      <c r="D1033" s="96"/>
      <c r="E1033" s="96"/>
      <c r="F1033" s="96"/>
      <c r="G1033" s="50"/>
      <c r="H1033" s="96"/>
      <c r="I1033" s="96"/>
      <c r="J1033" s="96"/>
      <c r="K1033" s="50"/>
      <c r="L1033" s="96"/>
      <c r="M1033" s="96"/>
      <c r="N1033" s="14"/>
      <c r="O1033" s="50"/>
      <c r="P1033" s="50"/>
      <c r="Q1033" s="50"/>
      <c r="R1033" s="50"/>
      <c r="S1033" s="50"/>
      <c r="T1033" s="50"/>
      <c r="U1033" s="50"/>
      <c r="V1033" s="50"/>
      <c r="W1033" s="14"/>
      <c r="X1033" s="50"/>
      <c r="Y1033" s="179"/>
      <c r="Z1033" s="50"/>
      <c r="AA1033" s="14"/>
    </row>
    <row r="1034">
      <c r="A1034" s="14"/>
      <c r="B1034" s="14"/>
      <c r="C1034" s="158"/>
      <c r="D1034" s="96"/>
      <c r="E1034" s="96"/>
      <c r="F1034" s="96"/>
      <c r="G1034" s="50"/>
      <c r="H1034" s="96"/>
      <c r="I1034" s="96"/>
      <c r="J1034" s="96"/>
      <c r="K1034" s="50"/>
      <c r="L1034" s="96"/>
      <c r="M1034" s="96"/>
      <c r="N1034" s="14"/>
      <c r="O1034" s="50"/>
      <c r="P1034" s="50"/>
      <c r="Q1034" s="50"/>
      <c r="R1034" s="50"/>
      <c r="S1034" s="50"/>
      <c r="T1034" s="50"/>
      <c r="U1034" s="50"/>
      <c r="V1034" s="50"/>
      <c r="W1034" s="14"/>
      <c r="X1034" s="50"/>
      <c r="Y1034" s="179"/>
      <c r="Z1034" s="50"/>
      <c r="AA1034" s="14"/>
    </row>
    <row r="1035">
      <c r="A1035" s="14"/>
      <c r="B1035" s="14"/>
      <c r="C1035" s="158"/>
      <c r="D1035" s="96"/>
      <c r="E1035" s="96"/>
      <c r="F1035" s="96"/>
      <c r="G1035" s="50"/>
      <c r="H1035" s="96"/>
      <c r="I1035" s="96"/>
      <c r="J1035" s="96"/>
      <c r="K1035" s="50"/>
      <c r="L1035" s="96"/>
      <c r="M1035" s="96"/>
      <c r="N1035" s="14"/>
      <c r="O1035" s="50"/>
      <c r="P1035" s="50"/>
      <c r="Q1035" s="50"/>
      <c r="R1035" s="50"/>
      <c r="S1035" s="50"/>
      <c r="T1035" s="50"/>
      <c r="U1035" s="50"/>
      <c r="V1035" s="50"/>
      <c r="W1035" s="14"/>
      <c r="X1035" s="50"/>
      <c r="Y1035" s="179"/>
      <c r="Z1035" s="50"/>
      <c r="AA1035" s="14"/>
    </row>
    <row r="1036">
      <c r="A1036" s="14"/>
      <c r="B1036" s="14"/>
      <c r="C1036" s="158"/>
      <c r="D1036" s="96"/>
      <c r="E1036" s="96"/>
      <c r="F1036" s="96"/>
      <c r="G1036" s="50"/>
      <c r="H1036" s="96"/>
      <c r="I1036" s="96"/>
      <c r="J1036" s="96"/>
      <c r="K1036" s="50"/>
      <c r="L1036" s="96"/>
      <c r="M1036" s="96"/>
      <c r="N1036" s="14"/>
      <c r="O1036" s="50"/>
      <c r="P1036" s="50"/>
      <c r="Q1036" s="50"/>
      <c r="R1036" s="50"/>
      <c r="S1036" s="50"/>
      <c r="T1036" s="50"/>
      <c r="U1036" s="50"/>
      <c r="V1036" s="50"/>
      <c r="W1036" s="14"/>
      <c r="X1036" s="50"/>
      <c r="Y1036" s="179"/>
      <c r="Z1036" s="50"/>
      <c r="AA1036" s="14"/>
    </row>
    <row r="1037">
      <c r="A1037" s="14"/>
      <c r="B1037" s="14"/>
      <c r="C1037" s="158"/>
      <c r="D1037" s="96"/>
      <c r="E1037" s="96"/>
      <c r="F1037" s="96"/>
      <c r="G1037" s="50"/>
      <c r="H1037" s="96"/>
      <c r="I1037" s="96"/>
      <c r="J1037" s="96"/>
      <c r="K1037" s="50"/>
      <c r="L1037" s="96"/>
      <c r="M1037" s="96"/>
      <c r="N1037" s="14"/>
      <c r="O1037" s="50"/>
      <c r="P1037" s="50"/>
      <c r="Q1037" s="50"/>
      <c r="R1037" s="50"/>
      <c r="S1037" s="50"/>
      <c r="T1037" s="50"/>
      <c r="U1037" s="50"/>
      <c r="V1037" s="50"/>
      <c r="W1037" s="14"/>
      <c r="X1037" s="50"/>
      <c r="Y1037" s="179"/>
      <c r="Z1037" s="50"/>
      <c r="AA1037" s="14"/>
    </row>
    <row r="1038">
      <c r="A1038" s="14"/>
      <c r="B1038" s="14"/>
      <c r="C1038" s="158"/>
      <c r="D1038" s="96"/>
      <c r="E1038" s="96"/>
      <c r="F1038" s="96"/>
      <c r="G1038" s="50"/>
      <c r="H1038" s="96"/>
      <c r="I1038" s="96"/>
      <c r="J1038" s="96"/>
      <c r="K1038" s="50"/>
      <c r="L1038" s="96"/>
      <c r="M1038" s="96"/>
      <c r="N1038" s="14"/>
      <c r="O1038" s="50"/>
      <c r="P1038" s="50"/>
      <c r="Q1038" s="50"/>
      <c r="R1038" s="50"/>
      <c r="S1038" s="50"/>
      <c r="T1038" s="50"/>
      <c r="U1038" s="50"/>
      <c r="V1038" s="50"/>
      <c r="W1038" s="14"/>
      <c r="X1038" s="50"/>
      <c r="Y1038" s="179"/>
      <c r="Z1038" s="50"/>
      <c r="AA1038" s="14"/>
    </row>
    <row r="1039">
      <c r="A1039" s="14"/>
      <c r="B1039" s="14"/>
      <c r="C1039" s="158"/>
      <c r="D1039" s="96"/>
      <c r="E1039" s="96"/>
      <c r="F1039" s="96"/>
      <c r="G1039" s="50"/>
      <c r="H1039" s="96"/>
      <c r="I1039" s="96"/>
      <c r="J1039" s="96"/>
      <c r="K1039" s="50"/>
      <c r="L1039" s="96"/>
      <c r="M1039" s="96"/>
      <c r="N1039" s="14"/>
      <c r="O1039" s="50"/>
      <c r="P1039" s="50"/>
      <c r="Q1039" s="50"/>
      <c r="R1039" s="50"/>
      <c r="S1039" s="50"/>
      <c r="T1039" s="50"/>
      <c r="U1039" s="50"/>
      <c r="V1039" s="50"/>
      <c r="W1039" s="14"/>
      <c r="X1039" s="50"/>
      <c r="Y1039" s="179"/>
      <c r="Z1039" s="50"/>
      <c r="AA1039" s="14"/>
    </row>
    <row r="1040">
      <c r="A1040" s="14"/>
      <c r="B1040" s="14"/>
      <c r="C1040" s="158"/>
      <c r="D1040" s="96"/>
      <c r="E1040" s="96"/>
      <c r="F1040" s="96"/>
      <c r="G1040" s="50"/>
      <c r="H1040" s="96"/>
      <c r="I1040" s="96"/>
      <c r="J1040" s="96"/>
      <c r="K1040" s="50"/>
      <c r="L1040" s="96"/>
      <c r="M1040" s="96"/>
      <c r="N1040" s="14"/>
      <c r="O1040" s="50"/>
      <c r="P1040" s="50"/>
      <c r="Q1040" s="50"/>
      <c r="R1040" s="50"/>
      <c r="S1040" s="50"/>
      <c r="T1040" s="50"/>
      <c r="U1040" s="50"/>
      <c r="V1040" s="50"/>
      <c r="W1040" s="14"/>
      <c r="X1040" s="50"/>
      <c r="Y1040" s="179"/>
      <c r="Z1040" s="50"/>
      <c r="AA1040" s="14"/>
    </row>
    <row r="1041">
      <c r="A1041" s="14"/>
      <c r="B1041" s="14"/>
      <c r="C1041" s="158"/>
      <c r="D1041" s="96"/>
      <c r="E1041" s="96"/>
      <c r="F1041" s="96"/>
      <c r="G1041" s="50"/>
      <c r="H1041" s="96"/>
      <c r="I1041" s="96"/>
      <c r="J1041" s="96"/>
      <c r="K1041" s="50"/>
      <c r="L1041" s="96"/>
      <c r="M1041" s="96"/>
      <c r="N1041" s="14"/>
      <c r="O1041" s="50"/>
      <c r="P1041" s="50"/>
      <c r="Q1041" s="50"/>
      <c r="R1041" s="50"/>
      <c r="S1041" s="50"/>
      <c r="T1041" s="50"/>
      <c r="U1041" s="50"/>
      <c r="V1041" s="50"/>
      <c r="W1041" s="14"/>
      <c r="X1041" s="50"/>
      <c r="Y1041" s="179"/>
      <c r="Z1041" s="50"/>
      <c r="AA1041" s="14"/>
    </row>
    <row r="1042">
      <c r="A1042" s="14"/>
      <c r="B1042" s="14"/>
      <c r="C1042" s="158"/>
      <c r="D1042" s="96"/>
      <c r="E1042" s="96"/>
      <c r="F1042" s="96"/>
      <c r="G1042" s="50"/>
      <c r="H1042" s="96"/>
      <c r="I1042" s="96"/>
      <c r="J1042" s="96"/>
      <c r="K1042" s="50"/>
      <c r="L1042" s="96"/>
      <c r="M1042" s="96"/>
      <c r="N1042" s="14"/>
      <c r="O1042" s="50"/>
      <c r="P1042" s="50"/>
      <c r="Q1042" s="50"/>
      <c r="R1042" s="50"/>
      <c r="S1042" s="50"/>
      <c r="T1042" s="50"/>
      <c r="U1042" s="50"/>
      <c r="V1042" s="50"/>
      <c r="W1042" s="14"/>
      <c r="X1042" s="50"/>
      <c r="Y1042" s="179"/>
      <c r="Z1042" s="50"/>
      <c r="AA1042" s="14"/>
    </row>
    <row r="1043">
      <c r="A1043" s="14"/>
      <c r="B1043" s="14"/>
      <c r="C1043" s="158"/>
      <c r="D1043" s="96"/>
      <c r="E1043" s="96"/>
      <c r="F1043" s="96"/>
      <c r="G1043" s="50"/>
      <c r="H1043" s="96"/>
      <c r="I1043" s="96"/>
      <c r="J1043" s="96"/>
      <c r="K1043" s="50"/>
      <c r="L1043" s="96"/>
      <c r="M1043" s="96"/>
      <c r="N1043" s="14"/>
      <c r="O1043" s="50"/>
      <c r="P1043" s="50"/>
      <c r="Q1043" s="50"/>
      <c r="R1043" s="50"/>
      <c r="S1043" s="50"/>
      <c r="T1043" s="50"/>
      <c r="U1043" s="50"/>
      <c r="V1043" s="50"/>
      <c r="W1043" s="14"/>
      <c r="X1043" s="50"/>
      <c r="Y1043" s="179"/>
      <c r="Z1043" s="50"/>
      <c r="AA1043" s="14"/>
    </row>
    <row r="1044">
      <c r="A1044" s="14"/>
      <c r="B1044" s="14"/>
      <c r="C1044" s="158"/>
      <c r="D1044" s="96"/>
      <c r="E1044" s="96"/>
      <c r="F1044" s="96"/>
      <c r="G1044" s="50"/>
      <c r="H1044" s="96"/>
      <c r="I1044" s="96"/>
      <c r="J1044" s="96"/>
      <c r="K1044" s="50"/>
      <c r="L1044" s="96"/>
      <c r="M1044" s="96"/>
      <c r="N1044" s="14"/>
      <c r="O1044" s="50"/>
      <c r="P1044" s="50"/>
      <c r="Q1044" s="50"/>
      <c r="R1044" s="50"/>
      <c r="S1044" s="50"/>
      <c r="T1044" s="50"/>
      <c r="U1044" s="50"/>
      <c r="V1044" s="50"/>
      <c r="W1044" s="14"/>
      <c r="X1044" s="50"/>
      <c r="Y1044" s="179"/>
      <c r="Z1044" s="50"/>
      <c r="AA1044" s="14"/>
    </row>
    <row r="1045">
      <c r="A1045" s="14"/>
      <c r="B1045" s="14"/>
      <c r="C1045" s="158"/>
      <c r="D1045" s="96"/>
      <c r="E1045" s="96"/>
      <c r="F1045" s="96"/>
      <c r="G1045" s="50"/>
      <c r="H1045" s="96"/>
      <c r="I1045" s="96"/>
      <c r="J1045" s="96"/>
      <c r="K1045" s="50"/>
      <c r="L1045" s="96"/>
      <c r="M1045" s="96"/>
      <c r="N1045" s="14"/>
      <c r="O1045" s="50"/>
      <c r="P1045" s="50"/>
      <c r="Q1045" s="50"/>
      <c r="R1045" s="50"/>
      <c r="S1045" s="50"/>
      <c r="T1045" s="50"/>
      <c r="U1045" s="50"/>
      <c r="V1045" s="50"/>
      <c r="W1045" s="14"/>
      <c r="X1045" s="50"/>
      <c r="Y1045" s="179"/>
      <c r="Z1045" s="50"/>
      <c r="AA1045" s="14"/>
    </row>
    <row r="1046">
      <c r="A1046" s="14"/>
      <c r="B1046" s="14"/>
      <c r="C1046" s="158"/>
      <c r="D1046" s="96"/>
      <c r="E1046" s="96"/>
      <c r="F1046" s="96"/>
      <c r="G1046" s="50"/>
      <c r="H1046" s="96"/>
      <c r="I1046" s="96"/>
      <c r="J1046" s="96"/>
      <c r="K1046" s="50"/>
      <c r="L1046" s="96"/>
      <c r="M1046" s="96"/>
      <c r="N1046" s="14"/>
      <c r="O1046" s="50"/>
      <c r="P1046" s="50"/>
      <c r="Q1046" s="50"/>
      <c r="R1046" s="50"/>
      <c r="S1046" s="50"/>
      <c r="T1046" s="50"/>
      <c r="U1046" s="50"/>
      <c r="V1046" s="50"/>
      <c r="W1046" s="14"/>
      <c r="X1046" s="50"/>
      <c r="Y1046" s="179"/>
      <c r="Z1046" s="50"/>
      <c r="AA1046" s="14"/>
    </row>
    <row r="1047">
      <c r="A1047" s="14"/>
      <c r="B1047" s="14"/>
      <c r="C1047" s="158"/>
      <c r="D1047" s="96"/>
      <c r="E1047" s="96"/>
      <c r="F1047" s="96"/>
      <c r="G1047" s="50"/>
      <c r="H1047" s="96"/>
      <c r="I1047" s="96"/>
      <c r="J1047" s="96"/>
      <c r="K1047" s="50"/>
      <c r="L1047" s="96"/>
      <c r="M1047" s="96"/>
      <c r="N1047" s="14"/>
      <c r="O1047" s="50"/>
      <c r="P1047" s="50"/>
      <c r="Q1047" s="50"/>
      <c r="R1047" s="50"/>
      <c r="S1047" s="50"/>
      <c r="T1047" s="50"/>
      <c r="U1047" s="50"/>
      <c r="V1047" s="50"/>
      <c r="W1047" s="14"/>
      <c r="X1047" s="50"/>
      <c r="Y1047" s="179"/>
      <c r="Z1047" s="50"/>
      <c r="AA1047" s="14"/>
    </row>
    <row r="1048">
      <c r="A1048" s="14"/>
      <c r="B1048" s="14"/>
      <c r="C1048" s="158"/>
      <c r="D1048" s="96"/>
      <c r="E1048" s="96"/>
      <c r="F1048" s="96"/>
      <c r="G1048" s="50"/>
      <c r="H1048" s="96"/>
      <c r="I1048" s="96"/>
      <c r="J1048" s="96"/>
      <c r="K1048" s="50"/>
      <c r="L1048" s="96"/>
      <c r="M1048" s="96"/>
      <c r="N1048" s="14"/>
      <c r="O1048" s="50"/>
      <c r="P1048" s="50"/>
      <c r="Q1048" s="50"/>
      <c r="R1048" s="50"/>
      <c r="S1048" s="50"/>
      <c r="T1048" s="50"/>
      <c r="U1048" s="50"/>
      <c r="V1048" s="50"/>
      <c r="W1048" s="14"/>
      <c r="X1048" s="50"/>
      <c r="Y1048" s="179"/>
      <c r="Z1048" s="50"/>
      <c r="AA1048" s="14"/>
    </row>
    <row r="1049">
      <c r="A1049" s="14"/>
      <c r="B1049" s="14"/>
      <c r="C1049" s="158"/>
      <c r="D1049" s="96"/>
      <c r="E1049" s="96"/>
      <c r="F1049" s="96"/>
      <c r="G1049" s="50"/>
      <c r="H1049" s="96"/>
      <c r="I1049" s="96"/>
      <c r="J1049" s="96"/>
      <c r="K1049" s="50"/>
      <c r="L1049" s="96"/>
      <c r="M1049" s="96"/>
      <c r="N1049" s="14"/>
      <c r="O1049" s="50"/>
      <c r="P1049" s="50"/>
      <c r="Q1049" s="50"/>
      <c r="R1049" s="50"/>
      <c r="S1049" s="50"/>
      <c r="T1049" s="50"/>
      <c r="U1049" s="50"/>
      <c r="V1049" s="50"/>
      <c r="W1049" s="14"/>
      <c r="X1049" s="50"/>
      <c r="Y1049" s="179"/>
      <c r="Z1049" s="50"/>
      <c r="AA1049" s="14"/>
    </row>
    <row r="1050">
      <c r="A1050" s="14"/>
      <c r="B1050" s="14"/>
      <c r="C1050" s="158"/>
      <c r="D1050" s="96"/>
      <c r="E1050" s="96"/>
      <c r="F1050" s="96"/>
      <c r="G1050" s="50"/>
      <c r="H1050" s="96"/>
      <c r="I1050" s="96"/>
      <c r="J1050" s="96"/>
      <c r="K1050" s="50"/>
      <c r="L1050" s="96"/>
      <c r="M1050" s="96"/>
      <c r="N1050" s="14"/>
      <c r="O1050" s="50"/>
      <c r="P1050" s="50"/>
      <c r="Q1050" s="50"/>
      <c r="R1050" s="50"/>
      <c r="S1050" s="50"/>
      <c r="T1050" s="50"/>
      <c r="U1050" s="50"/>
      <c r="V1050" s="50"/>
      <c r="W1050" s="14"/>
      <c r="X1050" s="50"/>
      <c r="Y1050" s="179"/>
      <c r="Z1050" s="50"/>
      <c r="AA1050" s="14"/>
    </row>
    <row r="1051">
      <c r="A1051" s="14"/>
      <c r="B1051" s="14"/>
      <c r="C1051" s="158"/>
      <c r="D1051" s="96"/>
      <c r="E1051" s="96"/>
      <c r="F1051" s="96"/>
      <c r="G1051" s="50"/>
      <c r="H1051" s="96"/>
      <c r="I1051" s="96"/>
      <c r="J1051" s="96"/>
      <c r="K1051" s="50"/>
      <c r="L1051" s="96"/>
      <c r="M1051" s="96"/>
      <c r="N1051" s="14"/>
      <c r="O1051" s="50"/>
      <c r="P1051" s="50"/>
      <c r="Q1051" s="50"/>
      <c r="R1051" s="50"/>
      <c r="S1051" s="50"/>
      <c r="T1051" s="50"/>
      <c r="U1051" s="50"/>
      <c r="V1051" s="50"/>
      <c r="W1051" s="14"/>
      <c r="X1051" s="50"/>
      <c r="Y1051" s="179"/>
      <c r="Z1051" s="50"/>
      <c r="AA1051" s="14"/>
    </row>
    <row r="1052">
      <c r="A1052" s="14"/>
      <c r="B1052" s="14"/>
      <c r="C1052" s="158"/>
      <c r="D1052" s="96"/>
      <c r="E1052" s="96"/>
      <c r="F1052" s="96"/>
      <c r="G1052" s="50"/>
      <c r="H1052" s="96"/>
      <c r="I1052" s="96"/>
      <c r="J1052" s="96"/>
      <c r="K1052" s="50"/>
      <c r="L1052" s="96"/>
      <c r="M1052" s="96"/>
      <c r="N1052" s="14"/>
      <c r="O1052" s="50"/>
      <c r="P1052" s="50"/>
      <c r="Q1052" s="50"/>
      <c r="R1052" s="50"/>
      <c r="S1052" s="50"/>
      <c r="T1052" s="50"/>
      <c r="U1052" s="50"/>
      <c r="V1052" s="50"/>
      <c r="W1052" s="14"/>
      <c r="X1052" s="50"/>
      <c r="Y1052" s="179"/>
      <c r="Z1052" s="50"/>
      <c r="AA1052" s="14"/>
    </row>
    <row r="1053">
      <c r="A1053" s="14"/>
      <c r="B1053" s="14"/>
      <c r="C1053" s="158"/>
      <c r="D1053" s="96"/>
      <c r="E1053" s="96"/>
      <c r="F1053" s="96"/>
      <c r="G1053" s="50"/>
      <c r="H1053" s="96"/>
      <c r="I1053" s="96"/>
      <c r="J1053" s="96"/>
      <c r="K1053" s="50"/>
      <c r="L1053" s="96"/>
      <c r="M1053" s="96"/>
      <c r="N1053" s="14"/>
      <c r="O1053" s="50"/>
      <c r="P1053" s="50"/>
      <c r="Q1053" s="50"/>
      <c r="R1053" s="50"/>
      <c r="S1053" s="50"/>
      <c r="T1053" s="50"/>
      <c r="U1053" s="50"/>
      <c r="V1053" s="50"/>
      <c r="W1053" s="14"/>
      <c r="X1053" s="50"/>
      <c r="Y1053" s="179"/>
      <c r="Z1053" s="50"/>
      <c r="AA1053" s="14"/>
    </row>
    <row r="1054">
      <c r="A1054" s="14"/>
      <c r="B1054" s="14"/>
      <c r="C1054" s="158"/>
      <c r="D1054" s="96"/>
      <c r="E1054" s="96"/>
      <c r="F1054" s="96"/>
      <c r="G1054" s="50"/>
      <c r="H1054" s="96"/>
      <c r="I1054" s="96"/>
      <c r="J1054" s="96"/>
      <c r="K1054" s="50"/>
      <c r="L1054" s="96"/>
      <c r="M1054" s="96"/>
      <c r="N1054" s="14"/>
      <c r="O1054" s="50"/>
      <c r="P1054" s="50"/>
      <c r="Q1054" s="50"/>
      <c r="R1054" s="50"/>
      <c r="S1054" s="50"/>
      <c r="T1054" s="50"/>
      <c r="U1054" s="50"/>
      <c r="V1054" s="50"/>
      <c r="W1054" s="14"/>
      <c r="X1054" s="50"/>
      <c r="Y1054" s="179"/>
      <c r="Z1054" s="50"/>
      <c r="AA1054" s="14"/>
    </row>
    <row r="1055">
      <c r="A1055" s="14"/>
      <c r="B1055" s="14"/>
      <c r="C1055" s="158"/>
      <c r="D1055" s="96"/>
      <c r="E1055" s="96"/>
      <c r="F1055" s="96"/>
      <c r="G1055" s="50"/>
      <c r="H1055" s="96"/>
      <c r="I1055" s="96"/>
      <c r="J1055" s="96"/>
      <c r="K1055" s="50"/>
      <c r="L1055" s="96"/>
      <c r="M1055" s="96"/>
      <c r="N1055" s="14"/>
      <c r="O1055" s="50"/>
      <c r="P1055" s="50"/>
      <c r="Q1055" s="50"/>
      <c r="R1055" s="50"/>
      <c r="S1055" s="50"/>
      <c r="T1055" s="50"/>
      <c r="U1055" s="50"/>
      <c r="V1055" s="50"/>
      <c r="W1055" s="14"/>
      <c r="X1055" s="50"/>
      <c r="Y1055" s="179"/>
      <c r="Z1055" s="50"/>
      <c r="AA1055" s="14"/>
    </row>
    <row r="1056">
      <c r="A1056" s="14"/>
      <c r="B1056" s="14"/>
      <c r="C1056" s="158"/>
      <c r="D1056" s="96"/>
      <c r="E1056" s="96"/>
      <c r="F1056" s="96"/>
      <c r="G1056" s="50"/>
      <c r="H1056" s="96"/>
      <c r="I1056" s="96"/>
      <c r="J1056" s="96"/>
      <c r="K1056" s="50"/>
      <c r="L1056" s="96"/>
      <c r="M1056" s="96"/>
      <c r="N1056" s="14"/>
      <c r="O1056" s="50"/>
      <c r="P1056" s="50"/>
      <c r="Q1056" s="50"/>
      <c r="R1056" s="50"/>
      <c r="S1056" s="50"/>
      <c r="T1056" s="50"/>
      <c r="U1056" s="50"/>
      <c r="V1056" s="50"/>
      <c r="W1056" s="14"/>
      <c r="X1056" s="50"/>
      <c r="Y1056" s="179"/>
      <c r="Z1056" s="50"/>
      <c r="AA1056" s="14"/>
    </row>
    <row r="1057">
      <c r="A1057" s="14"/>
      <c r="B1057" s="14"/>
      <c r="C1057" s="158"/>
      <c r="D1057" s="96"/>
      <c r="E1057" s="96"/>
      <c r="F1057" s="96"/>
      <c r="G1057" s="50"/>
      <c r="H1057" s="96"/>
      <c r="I1057" s="96"/>
      <c r="J1057" s="96"/>
      <c r="K1057" s="50"/>
      <c r="L1057" s="96"/>
      <c r="M1057" s="96"/>
      <c r="N1057" s="14"/>
      <c r="O1057" s="50"/>
      <c r="P1057" s="50"/>
      <c r="Q1057" s="50"/>
      <c r="R1057" s="50"/>
      <c r="S1057" s="50"/>
      <c r="T1057" s="50"/>
      <c r="U1057" s="50"/>
      <c r="V1057" s="50"/>
      <c r="W1057" s="14"/>
      <c r="X1057" s="50"/>
      <c r="Y1057" s="179"/>
      <c r="Z1057" s="50"/>
      <c r="AA1057" s="14"/>
    </row>
    <row r="1058">
      <c r="A1058" s="14"/>
      <c r="B1058" s="14"/>
      <c r="C1058" s="158"/>
      <c r="D1058" s="96"/>
      <c r="E1058" s="96"/>
      <c r="F1058" s="96"/>
      <c r="G1058" s="50"/>
      <c r="H1058" s="96"/>
      <c r="I1058" s="96"/>
      <c r="J1058" s="96"/>
      <c r="K1058" s="50"/>
      <c r="L1058" s="96"/>
      <c r="M1058" s="96"/>
      <c r="N1058" s="14"/>
      <c r="O1058" s="50"/>
      <c r="P1058" s="50"/>
      <c r="Q1058" s="50"/>
      <c r="R1058" s="50"/>
      <c r="S1058" s="50"/>
      <c r="T1058" s="50"/>
      <c r="U1058" s="50"/>
      <c r="V1058" s="50"/>
      <c r="W1058" s="14"/>
      <c r="X1058" s="50"/>
      <c r="Y1058" s="179"/>
      <c r="Z1058" s="50"/>
      <c r="AA1058" s="14"/>
    </row>
    <row r="1059">
      <c r="A1059" s="14"/>
      <c r="B1059" s="14"/>
      <c r="C1059" s="158"/>
      <c r="D1059" s="96"/>
      <c r="E1059" s="96"/>
      <c r="F1059" s="96"/>
      <c r="G1059" s="50"/>
      <c r="H1059" s="96"/>
      <c r="I1059" s="96"/>
      <c r="J1059" s="96"/>
      <c r="K1059" s="50"/>
      <c r="L1059" s="96"/>
      <c r="M1059" s="96"/>
      <c r="N1059" s="14"/>
      <c r="O1059" s="50"/>
      <c r="P1059" s="50"/>
      <c r="Q1059" s="50"/>
      <c r="R1059" s="50"/>
      <c r="S1059" s="50"/>
      <c r="T1059" s="50"/>
      <c r="U1059" s="50"/>
      <c r="V1059" s="50"/>
      <c r="W1059" s="14"/>
      <c r="X1059" s="50"/>
      <c r="Y1059" s="179"/>
      <c r="Z1059" s="50"/>
      <c r="AA1059" s="14"/>
    </row>
    <row r="1060">
      <c r="A1060" s="14"/>
      <c r="B1060" s="14"/>
      <c r="C1060" s="158"/>
      <c r="D1060" s="96"/>
      <c r="E1060" s="96"/>
      <c r="F1060" s="96"/>
      <c r="G1060" s="50"/>
      <c r="H1060" s="96"/>
      <c r="I1060" s="96"/>
      <c r="J1060" s="96"/>
      <c r="K1060" s="50"/>
      <c r="L1060" s="96"/>
      <c r="M1060" s="96"/>
      <c r="N1060" s="14"/>
      <c r="O1060" s="50"/>
      <c r="P1060" s="50"/>
      <c r="Q1060" s="50"/>
      <c r="R1060" s="50"/>
      <c r="S1060" s="50"/>
      <c r="T1060" s="50"/>
      <c r="U1060" s="50"/>
      <c r="V1060" s="50"/>
      <c r="W1060" s="14"/>
      <c r="X1060" s="50"/>
      <c r="Y1060" s="179"/>
      <c r="Z1060" s="50"/>
      <c r="AA1060" s="14"/>
    </row>
    <row r="1061">
      <c r="A1061" s="14"/>
      <c r="B1061" s="14"/>
      <c r="C1061" s="158"/>
      <c r="D1061" s="96"/>
      <c r="E1061" s="96"/>
      <c r="F1061" s="96"/>
      <c r="G1061" s="50"/>
      <c r="H1061" s="96"/>
      <c r="I1061" s="96"/>
      <c r="J1061" s="96"/>
      <c r="K1061" s="50"/>
      <c r="L1061" s="96"/>
      <c r="M1061" s="96"/>
      <c r="N1061" s="14"/>
      <c r="O1061" s="50"/>
      <c r="P1061" s="50"/>
      <c r="Q1061" s="50"/>
      <c r="R1061" s="50"/>
      <c r="S1061" s="50"/>
      <c r="T1061" s="50"/>
      <c r="U1061" s="50"/>
      <c r="V1061" s="50"/>
      <c r="W1061" s="14"/>
      <c r="X1061" s="50"/>
      <c r="Y1061" s="179"/>
      <c r="Z1061" s="50"/>
      <c r="AA1061" s="14"/>
    </row>
    <row r="1062">
      <c r="A1062" s="14"/>
      <c r="B1062" s="14"/>
      <c r="C1062" s="158"/>
      <c r="D1062" s="96"/>
      <c r="E1062" s="96"/>
      <c r="F1062" s="96"/>
      <c r="G1062" s="50"/>
      <c r="H1062" s="96"/>
      <c r="I1062" s="96"/>
      <c r="J1062" s="96"/>
      <c r="K1062" s="50"/>
      <c r="L1062" s="96"/>
      <c r="M1062" s="96"/>
      <c r="N1062" s="14"/>
      <c r="O1062" s="50"/>
      <c r="P1062" s="50"/>
      <c r="Q1062" s="50"/>
      <c r="R1062" s="50"/>
      <c r="S1062" s="50"/>
      <c r="T1062" s="50"/>
      <c r="U1062" s="50"/>
      <c r="V1062" s="50"/>
      <c r="W1062" s="14"/>
      <c r="X1062" s="50"/>
      <c r="Y1062" s="179"/>
      <c r="Z1062" s="50"/>
      <c r="AA1062" s="14"/>
    </row>
    <row r="1063">
      <c r="A1063" s="14"/>
      <c r="B1063" s="14"/>
      <c r="C1063" s="158"/>
      <c r="D1063" s="96"/>
      <c r="E1063" s="96"/>
      <c r="F1063" s="96"/>
      <c r="G1063" s="50"/>
      <c r="H1063" s="96"/>
      <c r="I1063" s="96"/>
      <c r="J1063" s="96"/>
      <c r="K1063" s="50"/>
      <c r="L1063" s="96"/>
      <c r="M1063" s="96"/>
      <c r="N1063" s="14"/>
      <c r="O1063" s="50"/>
      <c r="P1063" s="50"/>
      <c r="Q1063" s="50"/>
      <c r="R1063" s="50"/>
      <c r="S1063" s="50"/>
      <c r="T1063" s="50"/>
      <c r="U1063" s="50"/>
      <c r="V1063" s="50"/>
      <c r="W1063" s="14"/>
      <c r="X1063" s="50"/>
      <c r="Y1063" s="179"/>
      <c r="Z1063" s="50"/>
      <c r="AA1063" s="14"/>
    </row>
    <row r="1064">
      <c r="A1064" s="14"/>
      <c r="B1064" s="14"/>
      <c r="C1064" s="158"/>
      <c r="D1064" s="96"/>
      <c r="E1064" s="96"/>
      <c r="F1064" s="96"/>
      <c r="G1064" s="50"/>
      <c r="H1064" s="96"/>
      <c r="I1064" s="96"/>
      <c r="J1064" s="96"/>
      <c r="K1064" s="50"/>
      <c r="L1064" s="96"/>
      <c r="M1064" s="96"/>
      <c r="N1064" s="14"/>
      <c r="O1064" s="50"/>
      <c r="P1064" s="50"/>
      <c r="Q1064" s="50"/>
      <c r="R1064" s="50"/>
      <c r="S1064" s="50"/>
      <c r="T1064" s="50"/>
      <c r="U1064" s="50"/>
      <c r="V1064" s="50"/>
      <c r="W1064" s="14"/>
      <c r="X1064" s="50"/>
      <c r="Y1064" s="179"/>
      <c r="Z1064" s="50"/>
      <c r="AA1064" s="14"/>
    </row>
    <row r="1065">
      <c r="A1065" s="14"/>
      <c r="B1065" s="14"/>
      <c r="C1065" s="158"/>
      <c r="D1065" s="96"/>
      <c r="E1065" s="96"/>
      <c r="F1065" s="96"/>
      <c r="G1065" s="50"/>
      <c r="H1065" s="96"/>
      <c r="I1065" s="96"/>
      <c r="J1065" s="96"/>
      <c r="K1065" s="50"/>
      <c r="L1065" s="96"/>
      <c r="M1065" s="96"/>
      <c r="N1065" s="14"/>
      <c r="O1065" s="50"/>
      <c r="P1065" s="50"/>
      <c r="Q1065" s="50"/>
      <c r="R1065" s="50"/>
      <c r="S1065" s="50"/>
      <c r="T1065" s="50"/>
      <c r="U1065" s="50"/>
      <c r="V1065" s="50"/>
      <c r="W1065" s="14"/>
      <c r="X1065" s="50"/>
      <c r="Y1065" s="179"/>
      <c r="Z1065" s="50"/>
      <c r="AA1065" s="14"/>
    </row>
    <row r="1066">
      <c r="A1066" s="14"/>
      <c r="B1066" s="14"/>
      <c r="C1066" s="158"/>
      <c r="D1066" s="96"/>
      <c r="E1066" s="96"/>
      <c r="F1066" s="96"/>
      <c r="G1066" s="50"/>
      <c r="H1066" s="96"/>
      <c r="I1066" s="96"/>
      <c r="J1066" s="96"/>
      <c r="K1066" s="50"/>
      <c r="L1066" s="96"/>
      <c r="M1066" s="96"/>
      <c r="N1066" s="14"/>
      <c r="O1066" s="50"/>
      <c r="P1066" s="50"/>
      <c r="Q1066" s="50"/>
      <c r="R1066" s="50"/>
      <c r="S1066" s="50"/>
      <c r="T1066" s="50"/>
      <c r="U1066" s="50"/>
      <c r="V1066" s="50"/>
      <c r="W1066" s="14"/>
      <c r="X1066" s="50"/>
      <c r="Y1066" s="179"/>
      <c r="Z1066" s="50"/>
      <c r="AA1066" s="14"/>
    </row>
    <row r="1067">
      <c r="A1067" s="14"/>
      <c r="B1067" s="14"/>
      <c r="C1067" s="158"/>
      <c r="D1067" s="96"/>
      <c r="E1067" s="96"/>
      <c r="F1067" s="96"/>
      <c r="G1067" s="50"/>
      <c r="H1067" s="96"/>
      <c r="I1067" s="96"/>
      <c r="J1067" s="96"/>
      <c r="K1067" s="50"/>
      <c r="L1067" s="96"/>
      <c r="M1067" s="96"/>
      <c r="N1067" s="14"/>
      <c r="O1067" s="50"/>
      <c r="P1067" s="50"/>
      <c r="Q1067" s="50"/>
      <c r="R1067" s="50"/>
      <c r="S1067" s="50"/>
      <c r="T1067" s="50"/>
      <c r="U1067" s="50"/>
      <c r="V1067" s="50"/>
      <c r="W1067" s="14"/>
      <c r="X1067" s="50"/>
      <c r="Y1067" s="179"/>
      <c r="Z1067" s="50"/>
      <c r="AA1067" s="14"/>
    </row>
    <row r="1068">
      <c r="A1068" s="14"/>
      <c r="B1068" s="14"/>
      <c r="C1068" s="158"/>
      <c r="D1068" s="96"/>
      <c r="E1068" s="96"/>
      <c r="F1068" s="96"/>
      <c r="G1068" s="50"/>
      <c r="H1068" s="96"/>
      <c r="I1068" s="96"/>
      <c r="J1068" s="96"/>
      <c r="K1068" s="50"/>
      <c r="L1068" s="96"/>
      <c r="M1068" s="96"/>
      <c r="N1068" s="14"/>
      <c r="O1068" s="50"/>
      <c r="P1068" s="50"/>
      <c r="Q1068" s="50"/>
      <c r="R1068" s="50"/>
      <c r="S1068" s="50"/>
      <c r="T1068" s="50"/>
      <c r="U1068" s="50"/>
      <c r="V1068" s="50"/>
      <c r="W1068" s="14"/>
      <c r="X1068" s="50"/>
      <c r="Y1068" s="179"/>
      <c r="Z1068" s="50"/>
      <c r="AA1068" s="14"/>
    </row>
    <row r="1069">
      <c r="A1069" s="14"/>
      <c r="B1069" s="14"/>
      <c r="C1069" s="158"/>
      <c r="D1069" s="96"/>
      <c r="E1069" s="96"/>
      <c r="F1069" s="96"/>
      <c r="G1069" s="50"/>
      <c r="H1069" s="96"/>
      <c r="I1069" s="96"/>
      <c r="J1069" s="96"/>
      <c r="K1069" s="50"/>
      <c r="L1069" s="96"/>
      <c r="M1069" s="96"/>
      <c r="N1069" s="14"/>
      <c r="O1069" s="50"/>
      <c r="P1069" s="50"/>
      <c r="Q1069" s="50"/>
      <c r="R1069" s="50"/>
      <c r="S1069" s="50"/>
      <c r="T1069" s="50"/>
      <c r="U1069" s="50"/>
      <c r="V1069" s="50"/>
      <c r="W1069" s="14"/>
      <c r="X1069" s="50"/>
      <c r="Y1069" s="179"/>
      <c r="Z1069" s="50"/>
      <c r="AA1069" s="14"/>
    </row>
    <row r="1070">
      <c r="A1070" s="14"/>
      <c r="B1070" s="14"/>
      <c r="C1070" s="158"/>
      <c r="D1070" s="96"/>
      <c r="E1070" s="96"/>
      <c r="F1070" s="96"/>
      <c r="G1070" s="50"/>
      <c r="H1070" s="96"/>
      <c r="I1070" s="96"/>
      <c r="J1070" s="96"/>
      <c r="K1070" s="50"/>
      <c r="L1070" s="96"/>
      <c r="M1070" s="96"/>
      <c r="N1070" s="14"/>
      <c r="O1070" s="50"/>
      <c r="P1070" s="50"/>
      <c r="Q1070" s="50"/>
      <c r="R1070" s="50"/>
      <c r="S1070" s="50"/>
      <c r="T1070" s="50"/>
      <c r="U1070" s="50"/>
      <c r="V1070" s="50"/>
      <c r="W1070" s="14"/>
      <c r="X1070" s="50"/>
      <c r="Y1070" s="179"/>
      <c r="Z1070" s="50"/>
      <c r="AA1070" s="14"/>
    </row>
    <row r="1071">
      <c r="A1071" s="14"/>
      <c r="B1071" s="14"/>
      <c r="C1071" s="158"/>
      <c r="D1071" s="96"/>
      <c r="E1071" s="96"/>
      <c r="F1071" s="96"/>
      <c r="G1071" s="50"/>
      <c r="H1071" s="96"/>
      <c r="I1071" s="96"/>
      <c r="J1071" s="96"/>
      <c r="K1071" s="50"/>
      <c r="L1071" s="96"/>
      <c r="M1071" s="96"/>
      <c r="N1071" s="14"/>
      <c r="O1071" s="50"/>
      <c r="P1071" s="50"/>
      <c r="Q1071" s="50"/>
      <c r="R1071" s="50"/>
      <c r="S1071" s="50"/>
      <c r="T1071" s="50"/>
      <c r="U1071" s="50"/>
      <c r="V1071" s="50"/>
      <c r="W1071" s="14"/>
      <c r="X1071" s="50"/>
      <c r="Y1071" s="179"/>
      <c r="Z1071" s="50"/>
      <c r="AA1071" s="14"/>
    </row>
    <row r="1072">
      <c r="A1072" s="14"/>
      <c r="B1072" s="14"/>
      <c r="C1072" s="158"/>
      <c r="D1072" s="96"/>
      <c r="E1072" s="96"/>
      <c r="F1072" s="96"/>
      <c r="G1072" s="50"/>
      <c r="H1072" s="96"/>
      <c r="I1072" s="96"/>
      <c r="J1072" s="96"/>
      <c r="K1072" s="50"/>
      <c r="L1072" s="96"/>
      <c r="M1072" s="96"/>
      <c r="N1072" s="14"/>
      <c r="O1072" s="50"/>
      <c r="P1072" s="50"/>
      <c r="Q1072" s="50"/>
      <c r="R1072" s="50"/>
      <c r="S1072" s="50"/>
      <c r="T1072" s="50"/>
      <c r="U1072" s="50"/>
      <c r="V1072" s="50"/>
      <c r="W1072" s="14"/>
      <c r="X1072" s="50"/>
      <c r="Y1072" s="179"/>
      <c r="Z1072" s="50"/>
      <c r="AA1072" s="14"/>
    </row>
    <row r="1073">
      <c r="A1073" s="14"/>
      <c r="B1073" s="14"/>
      <c r="C1073" s="158"/>
      <c r="D1073" s="96"/>
      <c r="E1073" s="96"/>
      <c r="F1073" s="96"/>
      <c r="G1073" s="50"/>
      <c r="H1073" s="96"/>
      <c r="I1073" s="96"/>
      <c r="J1073" s="96"/>
      <c r="K1073" s="50"/>
      <c r="L1073" s="96"/>
      <c r="M1073" s="96"/>
      <c r="N1073" s="14"/>
      <c r="O1073" s="50"/>
      <c r="P1073" s="50"/>
      <c r="Q1073" s="50"/>
      <c r="R1073" s="50"/>
      <c r="S1073" s="50"/>
      <c r="T1073" s="50"/>
      <c r="U1073" s="50"/>
      <c r="V1073" s="50"/>
      <c r="W1073" s="14"/>
      <c r="X1073" s="50"/>
      <c r="Y1073" s="179"/>
      <c r="Z1073" s="50"/>
      <c r="AA1073" s="14"/>
    </row>
    <row r="1074">
      <c r="A1074" s="14"/>
      <c r="B1074" s="14"/>
      <c r="C1074" s="158"/>
      <c r="D1074" s="96"/>
      <c r="E1074" s="96"/>
      <c r="F1074" s="96"/>
      <c r="G1074" s="50"/>
      <c r="H1074" s="96"/>
      <c r="I1074" s="96"/>
      <c r="J1074" s="96"/>
      <c r="K1074" s="50"/>
      <c r="L1074" s="96"/>
      <c r="M1074" s="96"/>
      <c r="N1074" s="14"/>
      <c r="O1074" s="50"/>
      <c r="P1074" s="50"/>
      <c r="Q1074" s="50"/>
      <c r="R1074" s="50"/>
      <c r="S1074" s="50"/>
      <c r="T1074" s="50"/>
      <c r="U1074" s="50"/>
      <c r="V1074" s="50"/>
      <c r="W1074" s="14"/>
      <c r="X1074" s="50"/>
      <c r="Y1074" s="179"/>
      <c r="Z1074" s="50"/>
      <c r="AA1074" s="14"/>
    </row>
    <row r="1075">
      <c r="A1075" s="14"/>
      <c r="B1075" s="14"/>
      <c r="C1075" s="158"/>
      <c r="D1075" s="96"/>
      <c r="E1075" s="96"/>
      <c r="F1075" s="96"/>
      <c r="G1075" s="50"/>
      <c r="H1075" s="96"/>
      <c r="I1075" s="96"/>
      <c r="J1075" s="96"/>
      <c r="K1075" s="50"/>
      <c r="L1075" s="96"/>
      <c r="M1075" s="96"/>
      <c r="N1075" s="14"/>
      <c r="O1075" s="50"/>
      <c r="P1075" s="50"/>
      <c r="Q1075" s="50"/>
      <c r="R1075" s="50"/>
      <c r="S1075" s="50"/>
      <c r="T1075" s="50"/>
      <c r="U1075" s="50"/>
      <c r="V1075" s="50"/>
      <c r="W1075" s="14"/>
      <c r="X1075" s="50"/>
      <c r="Y1075" s="179"/>
      <c r="Z1075" s="50"/>
      <c r="AA1075" s="14"/>
    </row>
    <row r="1076">
      <c r="A1076" s="14"/>
      <c r="B1076" s="14"/>
      <c r="C1076" s="158"/>
      <c r="D1076" s="96"/>
      <c r="E1076" s="96"/>
      <c r="F1076" s="96"/>
      <c r="G1076" s="50"/>
      <c r="H1076" s="96"/>
      <c r="I1076" s="96"/>
      <c r="J1076" s="96"/>
      <c r="K1076" s="50"/>
      <c r="L1076" s="96"/>
      <c r="M1076" s="96"/>
      <c r="N1076" s="14"/>
      <c r="O1076" s="50"/>
      <c r="P1076" s="50"/>
      <c r="Q1076" s="50"/>
      <c r="R1076" s="50"/>
      <c r="S1076" s="50"/>
      <c r="T1076" s="50"/>
      <c r="U1076" s="50"/>
      <c r="V1076" s="50"/>
      <c r="W1076" s="14"/>
      <c r="X1076" s="50"/>
      <c r="Y1076" s="179"/>
      <c r="Z1076" s="50"/>
      <c r="AA1076" s="14"/>
    </row>
    <row r="1077">
      <c r="A1077" s="14"/>
      <c r="B1077" s="14"/>
      <c r="C1077" s="158"/>
      <c r="D1077" s="96"/>
      <c r="E1077" s="96"/>
      <c r="F1077" s="96"/>
      <c r="G1077" s="50"/>
      <c r="H1077" s="96"/>
      <c r="I1077" s="96"/>
      <c r="J1077" s="96"/>
      <c r="K1077" s="50"/>
      <c r="L1077" s="96"/>
      <c r="M1077" s="96"/>
      <c r="N1077" s="14"/>
      <c r="O1077" s="50"/>
      <c r="P1077" s="50"/>
      <c r="Q1077" s="50"/>
      <c r="R1077" s="50"/>
      <c r="S1077" s="50"/>
      <c r="T1077" s="50"/>
      <c r="U1077" s="50"/>
      <c r="V1077" s="50"/>
      <c r="W1077" s="14"/>
      <c r="X1077" s="50"/>
      <c r="Y1077" s="179"/>
      <c r="Z1077" s="50"/>
      <c r="AA1077" s="14"/>
    </row>
    <row r="1078">
      <c r="A1078" s="14"/>
      <c r="B1078" s="14"/>
      <c r="C1078" s="158"/>
      <c r="D1078" s="96"/>
      <c r="E1078" s="96"/>
      <c r="F1078" s="96"/>
      <c r="G1078" s="50"/>
      <c r="H1078" s="96"/>
      <c r="I1078" s="96"/>
      <c r="J1078" s="96"/>
      <c r="K1078" s="50"/>
      <c r="L1078" s="96"/>
      <c r="M1078" s="96"/>
      <c r="N1078" s="14"/>
      <c r="O1078" s="50"/>
      <c r="P1078" s="50"/>
      <c r="Q1078" s="50"/>
      <c r="R1078" s="50"/>
      <c r="S1078" s="50"/>
      <c r="T1078" s="50"/>
      <c r="U1078" s="50"/>
      <c r="V1078" s="50"/>
      <c r="W1078" s="14"/>
      <c r="X1078" s="50"/>
      <c r="Y1078" s="179"/>
      <c r="Z1078" s="50"/>
      <c r="AA1078" s="14"/>
    </row>
    <row r="1079">
      <c r="A1079" s="14"/>
      <c r="B1079" s="14"/>
      <c r="C1079" s="158"/>
      <c r="D1079" s="96"/>
      <c r="E1079" s="96"/>
      <c r="F1079" s="96"/>
      <c r="G1079" s="50"/>
      <c r="H1079" s="96"/>
      <c r="I1079" s="96"/>
      <c r="J1079" s="96"/>
      <c r="K1079" s="50"/>
      <c r="L1079" s="96"/>
      <c r="M1079" s="96"/>
      <c r="N1079" s="14"/>
      <c r="O1079" s="50"/>
      <c r="P1079" s="50"/>
      <c r="Q1079" s="50"/>
      <c r="R1079" s="50"/>
      <c r="S1079" s="50"/>
      <c r="T1079" s="50"/>
      <c r="U1079" s="50"/>
      <c r="V1079" s="50"/>
      <c r="W1079" s="14"/>
      <c r="X1079" s="50"/>
      <c r="Y1079" s="179"/>
      <c r="Z1079" s="50"/>
      <c r="AA1079" s="14"/>
    </row>
    <row r="1080">
      <c r="A1080" s="14"/>
      <c r="B1080" s="14"/>
      <c r="C1080" s="158"/>
      <c r="D1080" s="96"/>
      <c r="E1080" s="96"/>
      <c r="F1080" s="96"/>
      <c r="G1080" s="50"/>
      <c r="H1080" s="96"/>
      <c r="I1080" s="96"/>
      <c r="J1080" s="96"/>
      <c r="K1080" s="50"/>
      <c r="L1080" s="96"/>
      <c r="M1080" s="96"/>
      <c r="N1080" s="14"/>
      <c r="O1080" s="50"/>
      <c r="P1080" s="50"/>
      <c r="Q1080" s="50"/>
      <c r="R1080" s="50"/>
      <c r="S1080" s="50"/>
      <c r="T1080" s="50"/>
      <c r="U1080" s="50"/>
      <c r="V1080" s="50"/>
      <c r="W1080" s="14"/>
      <c r="X1080" s="50"/>
      <c r="Y1080" s="179"/>
      <c r="Z1080" s="50"/>
      <c r="AA1080" s="14"/>
    </row>
    <row r="1081">
      <c r="A1081" s="14"/>
      <c r="B1081" s="14"/>
      <c r="C1081" s="158"/>
      <c r="D1081" s="96"/>
      <c r="E1081" s="96"/>
      <c r="F1081" s="96"/>
      <c r="G1081" s="50"/>
      <c r="H1081" s="96"/>
      <c r="I1081" s="96"/>
      <c r="J1081" s="96"/>
      <c r="K1081" s="50"/>
      <c r="L1081" s="96"/>
      <c r="M1081" s="96"/>
      <c r="N1081" s="14"/>
      <c r="O1081" s="50"/>
      <c r="P1081" s="50"/>
      <c r="Q1081" s="50"/>
      <c r="R1081" s="50"/>
      <c r="S1081" s="50"/>
      <c r="T1081" s="50"/>
      <c r="U1081" s="50"/>
      <c r="V1081" s="50"/>
      <c r="W1081" s="14"/>
      <c r="X1081" s="50"/>
      <c r="Y1081" s="179"/>
      <c r="Z1081" s="50"/>
      <c r="AA1081" s="14"/>
    </row>
    <row r="1082">
      <c r="A1082" s="14"/>
      <c r="B1082" s="14"/>
      <c r="C1082" s="158"/>
      <c r="D1082" s="96"/>
      <c r="E1082" s="96"/>
      <c r="F1082" s="96"/>
      <c r="G1082" s="50"/>
      <c r="H1082" s="96"/>
      <c r="I1082" s="96"/>
      <c r="J1082" s="96"/>
      <c r="K1082" s="50"/>
      <c r="L1082" s="96"/>
      <c r="M1082" s="96"/>
      <c r="N1082" s="14"/>
      <c r="O1082" s="50"/>
      <c r="P1082" s="50"/>
      <c r="Q1082" s="50"/>
      <c r="R1082" s="50"/>
      <c r="S1082" s="50"/>
      <c r="T1082" s="50"/>
      <c r="U1082" s="50"/>
      <c r="V1082" s="50"/>
      <c r="W1082" s="14"/>
      <c r="X1082" s="50"/>
      <c r="Y1082" s="179"/>
      <c r="Z1082" s="50"/>
      <c r="AA1082" s="14"/>
    </row>
    <row r="1083">
      <c r="A1083" s="14"/>
      <c r="B1083" s="14"/>
      <c r="C1083" s="158"/>
      <c r="D1083" s="96"/>
      <c r="E1083" s="96"/>
      <c r="F1083" s="96"/>
      <c r="G1083" s="50"/>
      <c r="H1083" s="96"/>
      <c r="I1083" s="96"/>
      <c r="J1083" s="96"/>
      <c r="K1083" s="50"/>
      <c r="L1083" s="96"/>
      <c r="M1083" s="96"/>
      <c r="N1083" s="14"/>
      <c r="O1083" s="50"/>
      <c r="P1083" s="50"/>
      <c r="Q1083" s="50"/>
      <c r="R1083" s="50"/>
      <c r="S1083" s="50"/>
      <c r="T1083" s="50"/>
      <c r="U1083" s="50"/>
      <c r="V1083" s="50"/>
      <c r="W1083" s="14"/>
      <c r="X1083" s="50"/>
      <c r="Y1083" s="179"/>
      <c r="Z1083" s="50"/>
      <c r="AA1083" s="14"/>
    </row>
    <row r="1084">
      <c r="A1084" s="14"/>
      <c r="B1084" s="14"/>
      <c r="C1084" s="158"/>
      <c r="D1084" s="96"/>
      <c r="E1084" s="96"/>
      <c r="F1084" s="96"/>
      <c r="G1084" s="50"/>
      <c r="H1084" s="96"/>
      <c r="I1084" s="96"/>
      <c r="J1084" s="96"/>
      <c r="K1084" s="50"/>
      <c r="L1084" s="96"/>
      <c r="M1084" s="96"/>
      <c r="N1084" s="14"/>
      <c r="O1084" s="50"/>
      <c r="P1084" s="50"/>
      <c r="Q1084" s="50"/>
      <c r="R1084" s="50"/>
      <c r="S1084" s="50"/>
      <c r="T1084" s="50"/>
      <c r="U1084" s="50"/>
      <c r="V1084" s="50"/>
      <c r="W1084" s="14"/>
      <c r="X1084" s="50"/>
      <c r="Y1084" s="179"/>
      <c r="Z1084" s="50"/>
      <c r="AA1084" s="14"/>
    </row>
    <row r="1085">
      <c r="A1085" s="14"/>
      <c r="B1085" s="14"/>
      <c r="C1085" s="158"/>
      <c r="D1085" s="96"/>
      <c r="E1085" s="96"/>
      <c r="F1085" s="96"/>
      <c r="G1085" s="50"/>
      <c r="H1085" s="96"/>
      <c r="I1085" s="96"/>
      <c r="J1085" s="96"/>
      <c r="K1085" s="50"/>
      <c r="L1085" s="96"/>
      <c r="M1085" s="96"/>
      <c r="N1085" s="14"/>
      <c r="O1085" s="50"/>
      <c r="P1085" s="50"/>
      <c r="Q1085" s="50"/>
      <c r="R1085" s="50"/>
      <c r="S1085" s="50"/>
      <c r="T1085" s="50"/>
      <c r="U1085" s="50"/>
      <c r="V1085" s="50"/>
      <c r="W1085" s="14"/>
      <c r="X1085" s="50"/>
      <c r="Y1085" s="179"/>
      <c r="Z1085" s="50"/>
      <c r="AA1085" s="14"/>
    </row>
    <row r="1086">
      <c r="A1086" s="14"/>
      <c r="B1086" s="14"/>
      <c r="C1086" s="158"/>
      <c r="D1086" s="96"/>
      <c r="E1086" s="96"/>
      <c r="F1086" s="96"/>
      <c r="G1086" s="50"/>
      <c r="H1086" s="96"/>
      <c r="I1086" s="96"/>
      <c r="J1086" s="96"/>
      <c r="K1086" s="50"/>
      <c r="L1086" s="96"/>
      <c r="M1086" s="96"/>
      <c r="N1086" s="14"/>
      <c r="O1086" s="50"/>
      <c r="P1086" s="50"/>
      <c r="Q1086" s="50"/>
      <c r="R1086" s="50"/>
      <c r="S1086" s="50"/>
      <c r="T1086" s="50"/>
      <c r="U1086" s="50"/>
      <c r="V1086" s="50"/>
      <c r="W1086" s="14"/>
      <c r="X1086" s="50"/>
      <c r="Y1086" s="179"/>
      <c r="Z1086" s="50"/>
      <c r="AA1086" s="14"/>
    </row>
    <row r="1087">
      <c r="A1087" s="14"/>
      <c r="B1087" s="14"/>
      <c r="C1087" s="158"/>
      <c r="D1087" s="96"/>
      <c r="E1087" s="96"/>
      <c r="F1087" s="96"/>
      <c r="G1087" s="50"/>
      <c r="H1087" s="96"/>
      <c r="I1087" s="96"/>
      <c r="J1087" s="96"/>
      <c r="K1087" s="50"/>
      <c r="L1087" s="96"/>
      <c r="M1087" s="96"/>
      <c r="N1087" s="14"/>
      <c r="O1087" s="50"/>
      <c r="P1087" s="50"/>
      <c r="Q1087" s="50"/>
      <c r="R1087" s="50"/>
      <c r="S1087" s="50"/>
      <c r="T1087" s="50"/>
      <c r="U1087" s="50"/>
      <c r="V1087" s="50"/>
      <c r="W1087" s="14"/>
      <c r="X1087" s="50"/>
      <c r="Y1087" s="179"/>
      <c r="Z1087" s="50"/>
      <c r="AA1087" s="14"/>
    </row>
    <row r="1088">
      <c r="A1088" s="14"/>
      <c r="B1088" s="14"/>
      <c r="C1088" s="158"/>
      <c r="D1088" s="96"/>
      <c r="E1088" s="96"/>
      <c r="F1088" s="96"/>
      <c r="G1088" s="50"/>
      <c r="H1088" s="96"/>
      <c r="I1088" s="96"/>
      <c r="J1088" s="96"/>
      <c r="K1088" s="50"/>
      <c r="L1088" s="96"/>
      <c r="M1088" s="96"/>
      <c r="N1088" s="14"/>
      <c r="O1088" s="50"/>
      <c r="P1088" s="50"/>
      <c r="Q1088" s="50"/>
      <c r="R1088" s="50"/>
      <c r="S1088" s="50"/>
      <c r="T1088" s="50"/>
      <c r="U1088" s="50"/>
      <c r="V1088" s="50"/>
      <c r="W1088" s="14"/>
      <c r="X1088" s="50"/>
      <c r="Y1088" s="179"/>
      <c r="Z1088" s="50"/>
      <c r="AA1088" s="14"/>
    </row>
    <row r="1089">
      <c r="A1089" s="14"/>
      <c r="B1089" s="14"/>
      <c r="C1089" s="158"/>
      <c r="D1089" s="96"/>
      <c r="E1089" s="96"/>
      <c r="F1089" s="96"/>
      <c r="G1089" s="50"/>
      <c r="H1089" s="96"/>
      <c r="I1089" s="96"/>
      <c r="J1089" s="96"/>
      <c r="K1089" s="50"/>
      <c r="L1089" s="96"/>
      <c r="M1089" s="96"/>
      <c r="N1089" s="14"/>
      <c r="O1089" s="50"/>
      <c r="P1089" s="50"/>
      <c r="Q1089" s="50"/>
      <c r="R1089" s="50"/>
      <c r="S1089" s="50"/>
      <c r="T1089" s="50"/>
      <c r="U1089" s="50"/>
      <c r="V1089" s="50"/>
      <c r="W1089" s="14"/>
      <c r="X1089" s="50"/>
      <c r="Y1089" s="179"/>
      <c r="Z1089" s="50"/>
      <c r="AA1089" s="14"/>
    </row>
    <row r="1090">
      <c r="A1090" s="14"/>
      <c r="B1090" s="14"/>
      <c r="C1090" s="158"/>
      <c r="D1090" s="96"/>
      <c r="E1090" s="96"/>
      <c r="F1090" s="96"/>
      <c r="G1090" s="50"/>
      <c r="H1090" s="96"/>
      <c r="I1090" s="96"/>
      <c r="J1090" s="96"/>
      <c r="K1090" s="50"/>
      <c r="L1090" s="96"/>
      <c r="M1090" s="96"/>
      <c r="N1090" s="14"/>
      <c r="O1090" s="50"/>
      <c r="P1090" s="50"/>
      <c r="Q1090" s="50"/>
      <c r="R1090" s="50"/>
      <c r="S1090" s="50"/>
      <c r="T1090" s="50"/>
      <c r="U1090" s="50"/>
      <c r="V1090" s="50"/>
      <c r="W1090" s="14"/>
      <c r="X1090" s="50"/>
      <c r="Y1090" s="179"/>
      <c r="Z1090" s="50"/>
      <c r="AA1090" s="14"/>
    </row>
    <row r="1091">
      <c r="A1091" s="14"/>
      <c r="B1091" s="14"/>
      <c r="C1091" s="158"/>
      <c r="D1091" s="96"/>
      <c r="E1091" s="96"/>
      <c r="F1091" s="96"/>
      <c r="G1091" s="50"/>
      <c r="H1091" s="96"/>
      <c r="I1091" s="96"/>
      <c r="J1091" s="96"/>
      <c r="K1091" s="50"/>
      <c r="L1091" s="96"/>
      <c r="M1091" s="96"/>
      <c r="N1091" s="14"/>
      <c r="O1091" s="50"/>
      <c r="P1091" s="50"/>
      <c r="Q1091" s="50"/>
      <c r="R1091" s="50"/>
      <c r="S1091" s="50"/>
      <c r="T1091" s="50"/>
      <c r="U1091" s="50"/>
      <c r="V1091" s="50"/>
      <c r="W1091" s="14"/>
      <c r="X1091" s="50"/>
      <c r="Y1091" s="179"/>
      <c r="Z1091" s="50"/>
      <c r="AA1091" s="14"/>
    </row>
    <row r="1092">
      <c r="A1092" s="14"/>
      <c r="B1092" s="14"/>
      <c r="C1092" s="158"/>
      <c r="D1092" s="96"/>
      <c r="E1092" s="96"/>
      <c r="F1092" s="96"/>
      <c r="G1092" s="50"/>
      <c r="H1092" s="96"/>
      <c r="I1092" s="96"/>
      <c r="J1092" s="96"/>
      <c r="K1092" s="50"/>
      <c r="L1092" s="96"/>
      <c r="M1092" s="96"/>
      <c r="N1092" s="14"/>
      <c r="O1092" s="50"/>
      <c r="P1092" s="50"/>
      <c r="Q1092" s="50"/>
      <c r="R1092" s="50"/>
      <c r="S1092" s="50"/>
      <c r="T1092" s="50"/>
      <c r="U1092" s="50"/>
      <c r="V1092" s="50"/>
      <c r="W1092" s="14"/>
      <c r="X1092" s="50"/>
      <c r="Y1092" s="179"/>
      <c r="Z1092" s="50"/>
      <c r="AA1092" s="14"/>
    </row>
    <row r="1093">
      <c r="A1093" s="14"/>
      <c r="B1093" s="14"/>
      <c r="C1093" s="158"/>
      <c r="D1093" s="96"/>
      <c r="E1093" s="96"/>
      <c r="F1093" s="96"/>
      <c r="G1093" s="50"/>
      <c r="H1093" s="96"/>
      <c r="I1093" s="96"/>
      <c r="J1093" s="96"/>
      <c r="K1093" s="50"/>
      <c r="L1093" s="96"/>
      <c r="M1093" s="96"/>
      <c r="N1093" s="14"/>
      <c r="O1093" s="50"/>
      <c r="P1093" s="50"/>
      <c r="Q1093" s="50"/>
      <c r="R1093" s="50"/>
      <c r="S1093" s="50"/>
      <c r="T1093" s="50"/>
      <c r="U1093" s="50"/>
      <c r="V1093" s="50"/>
      <c r="W1093" s="14"/>
      <c r="X1093" s="50"/>
      <c r="Y1093" s="179"/>
      <c r="Z1093" s="50"/>
      <c r="AA1093" s="14"/>
    </row>
    <row r="1094">
      <c r="A1094" s="14"/>
      <c r="B1094" s="14"/>
      <c r="C1094" s="158"/>
      <c r="D1094" s="96"/>
      <c r="E1094" s="96"/>
      <c r="F1094" s="96"/>
      <c r="G1094" s="50"/>
      <c r="H1094" s="96"/>
      <c r="I1094" s="96"/>
      <c r="J1094" s="96"/>
      <c r="K1094" s="50"/>
      <c r="L1094" s="96"/>
      <c r="M1094" s="96"/>
      <c r="N1094" s="14"/>
      <c r="O1094" s="50"/>
      <c r="P1094" s="50"/>
      <c r="Q1094" s="50"/>
      <c r="R1094" s="50"/>
      <c r="S1094" s="50"/>
      <c r="T1094" s="50"/>
      <c r="U1094" s="50"/>
      <c r="V1094" s="50"/>
      <c r="W1094" s="14"/>
      <c r="X1094" s="50"/>
      <c r="Y1094" s="179"/>
      <c r="Z1094" s="50"/>
      <c r="AA1094" s="14"/>
    </row>
    <row r="1095">
      <c r="A1095" s="14"/>
      <c r="B1095" s="14"/>
      <c r="C1095" s="158"/>
      <c r="D1095" s="96"/>
      <c r="E1095" s="96"/>
      <c r="F1095" s="96"/>
      <c r="G1095" s="50"/>
      <c r="H1095" s="96"/>
      <c r="I1095" s="96"/>
      <c r="J1095" s="96"/>
      <c r="K1095" s="50"/>
      <c r="L1095" s="96"/>
      <c r="M1095" s="96"/>
      <c r="N1095" s="14"/>
      <c r="O1095" s="50"/>
      <c r="P1095" s="50"/>
      <c r="Q1095" s="50"/>
      <c r="R1095" s="50"/>
      <c r="S1095" s="50"/>
      <c r="T1095" s="50"/>
      <c r="U1095" s="50"/>
      <c r="V1095" s="50"/>
      <c r="W1095" s="14"/>
      <c r="X1095" s="50"/>
      <c r="Y1095" s="179"/>
      <c r="Z1095" s="50"/>
      <c r="AA1095" s="14"/>
    </row>
    <row r="1096">
      <c r="A1096" s="14"/>
      <c r="B1096" s="14"/>
      <c r="C1096" s="158"/>
      <c r="D1096" s="96"/>
      <c r="E1096" s="96"/>
      <c r="F1096" s="96"/>
      <c r="G1096" s="50"/>
      <c r="H1096" s="96"/>
      <c r="I1096" s="96"/>
      <c r="J1096" s="96"/>
      <c r="K1096" s="50"/>
      <c r="L1096" s="96"/>
      <c r="M1096" s="96"/>
      <c r="N1096" s="14"/>
      <c r="O1096" s="50"/>
      <c r="P1096" s="50"/>
      <c r="Q1096" s="50"/>
      <c r="R1096" s="50"/>
      <c r="S1096" s="50"/>
      <c r="T1096" s="50"/>
      <c r="U1096" s="50"/>
      <c r="V1096" s="50"/>
      <c r="W1096" s="14"/>
      <c r="X1096" s="50"/>
      <c r="Y1096" s="179"/>
      <c r="Z1096" s="50"/>
      <c r="AA1096" s="14"/>
    </row>
    <row r="1097">
      <c r="A1097" s="14"/>
      <c r="B1097" s="14"/>
      <c r="C1097" s="158"/>
      <c r="D1097" s="96"/>
      <c r="E1097" s="96"/>
      <c r="F1097" s="96"/>
      <c r="G1097" s="50"/>
      <c r="H1097" s="96"/>
      <c r="I1097" s="96"/>
      <c r="J1097" s="96"/>
      <c r="K1097" s="50"/>
      <c r="L1097" s="96"/>
      <c r="M1097" s="96"/>
      <c r="N1097" s="14"/>
      <c r="O1097" s="50"/>
      <c r="P1097" s="50"/>
      <c r="Q1097" s="50"/>
      <c r="R1097" s="50"/>
      <c r="S1097" s="50"/>
      <c r="T1097" s="50"/>
      <c r="U1097" s="50"/>
      <c r="V1097" s="50"/>
      <c r="W1097" s="14"/>
      <c r="X1097" s="50"/>
      <c r="Y1097" s="179"/>
      <c r="Z1097" s="50"/>
      <c r="AA1097" s="14"/>
    </row>
    <row r="1098">
      <c r="A1098" s="14"/>
      <c r="B1098" s="14"/>
      <c r="C1098" s="158"/>
      <c r="D1098" s="96"/>
      <c r="E1098" s="96"/>
      <c r="F1098" s="96"/>
      <c r="G1098" s="50"/>
      <c r="H1098" s="96"/>
      <c r="I1098" s="96"/>
      <c r="J1098" s="96"/>
      <c r="K1098" s="50"/>
      <c r="L1098" s="96"/>
      <c r="M1098" s="96"/>
      <c r="N1098" s="14"/>
      <c r="O1098" s="50"/>
      <c r="P1098" s="50"/>
      <c r="Q1098" s="50"/>
      <c r="R1098" s="50"/>
      <c r="S1098" s="50"/>
      <c r="T1098" s="50"/>
      <c r="U1098" s="50"/>
      <c r="V1098" s="50"/>
      <c r="W1098" s="14"/>
      <c r="X1098" s="50"/>
      <c r="Y1098" s="179"/>
      <c r="Z1098" s="50"/>
      <c r="AA1098" s="14"/>
    </row>
    <row r="1099">
      <c r="A1099" s="14"/>
      <c r="B1099" s="14"/>
      <c r="C1099" s="158"/>
      <c r="D1099" s="96"/>
      <c r="E1099" s="96"/>
      <c r="F1099" s="96"/>
      <c r="G1099" s="50"/>
      <c r="H1099" s="96"/>
      <c r="I1099" s="96"/>
      <c r="J1099" s="96"/>
      <c r="K1099" s="50"/>
      <c r="L1099" s="96"/>
      <c r="M1099" s="96"/>
      <c r="N1099" s="14"/>
      <c r="O1099" s="50"/>
      <c r="P1099" s="50"/>
      <c r="Q1099" s="50"/>
      <c r="R1099" s="50"/>
      <c r="S1099" s="50"/>
      <c r="T1099" s="50"/>
      <c r="U1099" s="50"/>
      <c r="V1099" s="50"/>
      <c r="W1099" s="14"/>
      <c r="X1099" s="50"/>
      <c r="Y1099" s="179"/>
      <c r="Z1099" s="50"/>
      <c r="AA1099" s="14"/>
    </row>
    <row r="1100">
      <c r="A1100" s="14"/>
      <c r="B1100" s="14"/>
      <c r="C1100" s="158"/>
      <c r="D1100" s="96"/>
      <c r="E1100" s="96"/>
      <c r="F1100" s="96"/>
      <c r="G1100" s="50"/>
      <c r="H1100" s="96"/>
      <c r="I1100" s="96"/>
      <c r="J1100" s="96"/>
      <c r="K1100" s="50"/>
      <c r="L1100" s="96"/>
      <c r="M1100" s="96"/>
      <c r="N1100" s="14"/>
      <c r="O1100" s="50"/>
      <c r="P1100" s="50"/>
      <c r="Q1100" s="50"/>
      <c r="R1100" s="50"/>
      <c r="S1100" s="50"/>
      <c r="T1100" s="50"/>
      <c r="U1100" s="50"/>
      <c r="V1100" s="50"/>
      <c r="W1100" s="14"/>
      <c r="X1100" s="50"/>
      <c r="Y1100" s="179"/>
      <c r="Z1100" s="50"/>
      <c r="AA1100" s="14"/>
    </row>
    <row r="1101">
      <c r="A1101" s="14"/>
      <c r="B1101" s="14"/>
      <c r="C1101" s="158"/>
      <c r="D1101" s="96"/>
      <c r="E1101" s="96"/>
      <c r="F1101" s="96"/>
      <c r="G1101" s="50"/>
      <c r="H1101" s="96"/>
      <c r="I1101" s="96"/>
      <c r="J1101" s="96"/>
      <c r="K1101" s="50"/>
      <c r="L1101" s="96"/>
      <c r="M1101" s="96"/>
      <c r="N1101" s="14"/>
      <c r="O1101" s="50"/>
      <c r="P1101" s="50"/>
      <c r="Q1101" s="50"/>
      <c r="R1101" s="50"/>
      <c r="S1101" s="50"/>
      <c r="T1101" s="50"/>
      <c r="U1101" s="50"/>
      <c r="V1101" s="50"/>
      <c r="W1101" s="14"/>
      <c r="X1101" s="50"/>
      <c r="Y1101" s="179"/>
      <c r="Z1101" s="50"/>
      <c r="AA1101" s="14"/>
    </row>
    <row r="1102">
      <c r="A1102" s="14"/>
      <c r="B1102" s="14"/>
      <c r="C1102" s="158"/>
      <c r="D1102" s="96"/>
      <c r="E1102" s="96"/>
      <c r="F1102" s="96"/>
      <c r="G1102" s="50"/>
      <c r="H1102" s="96"/>
      <c r="I1102" s="96"/>
      <c r="J1102" s="96"/>
      <c r="K1102" s="50"/>
      <c r="L1102" s="96"/>
      <c r="M1102" s="96"/>
      <c r="N1102" s="14"/>
      <c r="O1102" s="50"/>
      <c r="P1102" s="50"/>
      <c r="Q1102" s="50"/>
      <c r="R1102" s="50"/>
      <c r="S1102" s="50"/>
      <c r="T1102" s="50"/>
      <c r="U1102" s="50"/>
      <c r="V1102" s="50"/>
      <c r="W1102" s="14"/>
      <c r="X1102" s="50"/>
      <c r="Y1102" s="179"/>
      <c r="Z1102" s="50"/>
      <c r="AA1102" s="14"/>
    </row>
    <row r="1103">
      <c r="A1103" s="14"/>
      <c r="B1103" s="14"/>
      <c r="C1103" s="158"/>
      <c r="D1103" s="96"/>
      <c r="E1103" s="96"/>
      <c r="F1103" s="96"/>
      <c r="G1103" s="50"/>
      <c r="H1103" s="96"/>
      <c r="I1103" s="96"/>
      <c r="J1103" s="96"/>
      <c r="K1103" s="50"/>
      <c r="L1103" s="96"/>
      <c r="M1103" s="96"/>
      <c r="N1103" s="14"/>
      <c r="O1103" s="50"/>
      <c r="P1103" s="50"/>
      <c r="Q1103" s="50"/>
      <c r="R1103" s="50"/>
      <c r="S1103" s="50"/>
      <c r="T1103" s="50"/>
      <c r="U1103" s="50"/>
      <c r="V1103" s="50"/>
      <c r="W1103" s="14"/>
      <c r="X1103" s="50"/>
      <c r="Y1103" s="179"/>
      <c r="Z1103" s="50"/>
      <c r="AA1103" s="14"/>
    </row>
    <row r="1104">
      <c r="A1104" s="14"/>
      <c r="B1104" s="14"/>
      <c r="C1104" s="158"/>
      <c r="D1104" s="96"/>
      <c r="E1104" s="96"/>
      <c r="F1104" s="96"/>
      <c r="G1104" s="50"/>
      <c r="H1104" s="96"/>
      <c r="I1104" s="96"/>
      <c r="J1104" s="96"/>
      <c r="K1104" s="50"/>
      <c r="L1104" s="96"/>
      <c r="M1104" s="96"/>
      <c r="N1104" s="14"/>
      <c r="O1104" s="50"/>
      <c r="P1104" s="50"/>
      <c r="Q1104" s="50"/>
      <c r="R1104" s="50"/>
      <c r="S1104" s="50"/>
      <c r="T1104" s="50"/>
      <c r="U1104" s="50"/>
      <c r="V1104" s="50"/>
      <c r="W1104" s="14"/>
      <c r="X1104" s="50"/>
      <c r="Y1104" s="179"/>
      <c r="Z1104" s="50"/>
      <c r="AA1104" s="14"/>
    </row>
    <row r="1105">
      <c r="A1105" s="14"/>
      <c r="B1105" s="14"/>
      <c r="C1105" s="158"/>
      <c r="D1105" s="96"/>
      <c r="E1105" s="96"/>
      <c r="F1105" s="96"/>
      <c r="G1105" s="50"/>
      <c r="H1105" s="96"/>
      <c r="I1105" s="96"/>
      <c r="J1105" s="96"/>
      <c r="K1105" s="50"/>
      <c r="L1105" s="96"/>
      <c r="M1105" s="96"/>
      <c r="N1105" s="14"/>
      <c r="O1105" s="50"/>
      <c r="P1105" s="50"/>
      <c r="Q1105" s="50"/>
      <c r="R1105" s="50"/>
      <c r="S1105" s="50"/>
      <c r="T1105" s="50"/>
      <c r="U1105" s="50"/>
      <c r="V1105" s="50"/>
      <c r="W1105" s="14"/>
      <c r="X1105" s="50"/>
      <c r="Y1105" s="179"/>
      <c r="Z1105" s="50"/>
      <c r="AA1105" s="14"/>
    </row>
    <row r="1106">
      <c r="A1106" s="14"/>
      <c r="B1106" s="14"/>
      <c r="C1106" s="158"/>
      <c r="D1106" s="96"/>
      <c r="E1106" s="96"/>
      <c r="F1106" s="96"/>
      <c r="G1106" s="50"/>
      <c r="H1106" s="96"/>
      <c r="I1106" s="96"/>
      <c r="J1106" s="96"/>
      <c r="K1106" s="50"/>
      <c r="L1106" s="96"/>
      <c r="M1106" s="96"/>
      <c r="N1106" s="14"/>
      <c r="O1106" s="50"/>
      <c r="P1106" s="50"/>
      <c r="Q1106" s="50"/>
      <c r="R1106" s="50"/>
      <c r="S1106" s="50"/>
      <c r="T1106" s="50"/>
      <c r="U1106" s="50"/>
      <c r="V1106" s="50"/>
      <c r="W1106" s="14"/>
      <c r="X1106" s="50"/>
      <c r="Y1106" s="179"/>
      <c r="Z1106" s="50"/>
      <c r="AA1106" s="14"/>
    </row>
    <row r="1107">
      <c r="A1107" s="14"/>
      <c r="B1107" s="14"/>
      <c r="C1107" s="158"/>
      <c r="D1107" s="96"/>
      <c r="E1107" s="96"/>
      <c r="F1107" s="96"/>
      <c r="G1107" s="50"/>
      <c r="H1107" s="96"/>
      <c r="I1107" s="96"/>
      <c r="J1107" s="96"/>
      <c r="K1107" s="50"/>
      <c r="L1107" s="96"/>
      <c r="M1107" s="96"/>
      <c r="N1107" s="14"/>
      <c r="O1107" s="50"/>
      <c r="P1107" s="50"/>
      <c r="Q1107" s="50"/>
      <c r="R1107" s="50"/>
      <c r="S1107" s="50"/>
      <c r="T1107" s="50"/>
      <c r="U1107" s="50"/>
      <c r="V1107" s="50"/>
      <c r="W1107" s="14"/>
      <c r="X1107" s="50"/>
      <c r="Y1107" s="179"/>
      <c r="Z1107" s="50"/>
      <c r="AA1107" s="14"/>
    </row>
    <row r="1108">
      <c r="A1108" s="14"/>
      <c r="B1108" s="14"/>
      <c r="C1108" s="158"/>
      <c r="D1108" s="96"/>
      <c r="E1108" s="96"/>
      <c r="F1108" s="96"/>
      <c r="G1108" s="50"/>
      <c r="H1108" s="96"/>
      <c r="I1108" s="96"/>
      <c r="J1108" s="96"/>
      <c r="K1108" s="50"/>
      <c r="L1108" s="96"/>
      <c r="M1108" s="96"/>
      <c r="N1108" s="14"/>
      <c r="O1108" s="50"/>
      <c r="P1108" s="50"/>
      <c r="Q1108" s="50"/>
      <c r="R1108" s="50"/>
      <c r="S1108" s="50"/>
      <c r="T1108" s="50"/>
      <c r="U1108" s="50"/>
      <c r="V1108" s="50"/>
      <c r="W1108" s="14"/>
      <c r="X1108" s="50"/>
      <c r="Y1108" s="179"/>
      <c r="Z1108" s="50"/>
      <c r="AA1108" s="14"/>
    </row>
    <row r="1109">
      <c r="A1109" s="14"/>
      <c r="B1109" s="14"/>
      <c r="C1109" s="158"/>
      <c r="D1109" s="96"/>
      <c r="E1109" s="96"/>
      <c r="F1109" s="96"/>
      <c r="G1109" s="50"/>
      <c r="H1109" s="96"/>
      <c r="I1109" s="96"/>
      <c r="J1109" s="96"/>
      <c r="K1109" s="50"/>
      <c r="L1109" s="96"/>
      <c r="M1109" s="96"/>
      <c r="N1109" s="14"/>
      <c r="O1109" s="50"/>
      <c r="P1109" s="50"/>
      <c r="Q1109" s="50"/>
      <c r="R1109" s="50"/>
      <c r="S1109" s="50"/>
      <c r="T1109" s="50"/>
      <c r="U1109" s="50"/>
      <c r="V1109" s="50"/>
      <c r="W1109" s="14"/>
      <c r="X1109" s="50"/>
      <c r="Y1109" s="179"/>
      <c r="Z1109" s="50"/>
      <c r="AA1109" s="14"/>
    </row>
    <row r="1110">
      <c r="A1110" s="14"/>
      <c r="B1110" s="14"/>
      <c r="C1110" s="158"/>
      <c r="D1110" s="96"/>
      <c r="E1110" s="96"/>
      <c r="F1110" s="96"/>
      <c r="G1110" s="50"/>
      <c r="H1110" s="96"/>
      <c r="I1110" s="96"/>
      <c r="J1110" s="96"/>
      <c r="K1110" s="50"/>
      <c r="L1110" s="96"/>
      <c r="M1110" s="96"/>
      <c r="N1110" s="14"/>
      <c r="O1110" s="50"/>
      <c r="P1110" s="50"/>
      <c r="Q1110" s="50"/>
      <c r="R1110" s="50"/>
      <c r="S1110" s="50"/>
      <c r="T1110" s="50"/>
      <c r="U1110" s="50"/>
      <c r="V1110" s="50"/>
      <c r="W1110" s="14"/>
      <c r="X1110" s="50"/>
      <c r="Y1110" s="179"/>
      <c r="Z1110" s="50"/>
      <c r="AA1110" s="14"/>
    </row>
    <row r="1111">
      <c r="A1111" s="14"/>
      <c r="B1111" s="14"/>
      <c r="C1111" s="158"/>
      <c r="D1111" s="96"/>
      <c r="E1111" s="96"/>
      <c r="F1111" s="96"/>
      <c r="G1111" s="50"/>
      <c r="H1111" s="96"/>
      <c r="I1111" s="96"/>
      <c r="J1111" s="96"/>
      <c r="K1111" s="50"/>
      <c r="L1111" s="96"/>
      <c r="M1111" s="96"/>
      <c r="N1111" s="14"/>
      <c r="O1111" s="50"/>
      <c r="P1111" s="50"/>
      <c r="Q1111" s="50"/>
      <c r="R1111" s="50"/>
      <c r="S1111" s="50"/>
      <c r="T1111" s="50"/>
      <c r="U1111" s="50"/>
      <c r="V1111" s="50"/>
      <c r="W1111" s="14"/>
      <c r="X1111" s="50"/>
      <c r="Y1111" s="179"/>
      <c r="Z1111" s="50"/>
      <c r="AA1111" s="14"/>
    </row>
    <row r="1112">
      <c r="A1112" s="14"/>
      <c r="B1112" s="14"/>
      <c r="C1112" s="158"/>
      <c r="D1112" s="96"/>
      <c r="E1112" s="96"/>
      <c r="F1112" s="96"/>
      <c r="G1112" s="50"/>
      <c r="H1112" s="96"/>
      <c r="I1112" s="96"/>
      <c r="J1112" s="96"/>
      <c r="K1112" s="50"/>
      <c r="L1112" s="96"/>
      <c r="M1112" s="96"/>
      <c r="N1112" s="14"/>
      <c r="O1112" s="50"/>
      <c r="P1112" s="50"/>
      <c r="Q1112" s="50"/>
      <c r="R1112" s="50"/>
      <c r="S1112" s="50"/>
      <c r="T1112" s="50"/>
      <c r="U1112" s="50"/>
      <c r="V1112" s="50"/>
      <c r="W1112" s="14"/>
      <c r="X1112" s="50"/>
      <c r="Y1112" s="179"/>
      <c r="Z1112" s="50"/>
      <c r="AA1112" s="14"/>
    </row>
    <row r="1113">
      <c r="A1113" s="14"/>
      <c r="B1113" s="14"/>
      <c r="C1113" s="158"/>
      <c r="D1113" s="96"/>
      <c r="E1113" s="96"/>
      <c r="F1113" s="96"/>
      <c r="G1113" s="50"/>
      <c r="H1113" s="96"/>
      <c r="I1113" s="96"/>
      <c r="J1113" s="96"/>
      <c r="K1113" s="50"/>
      <c r="L1113" s="96"/>
      <c r="M1113" s="96"/>
      <c r="N1113" s="14"/>
      <c r="O1113" s="50"/>
      <c r="P1113" s="50"/>
      <c r="Q1113" s="50"/>
      <c r="R1113" s="50"/>
      <c r="S1113" s="50"/>
      <c r="T1113" s="50"/>
      <c r="U1113" s="50"/>
      <c r="V1113" s="50"/>
      <c r="W1113" s="14"/>
      <c r="X1113" s="50"/>
      <c r="Y1113" s="179"/>
      <c r="Z1113" s="50"/>
      <c r="AA1113" s="14"/>
    </row>
    <row r="1114">
      <c r="A1114" s="14"/>
      <c r="B1114" s="14"/>
      <c r="C1114" s="158"/>
      <c r="D1114" s="96"/>
      <c r="E1114" s="96"/>
      <c r="F1114" s="96"/>
      <c r="G1114" s="50"/>
      <c r="H1114" s="96"/>
      <c r="I1114" s="96"/>
      <c r="J1114" s="96"/>
      <c r="K1114" s="50"/>
      <c r="L1114" s="96"/>
      <c r="M1114" s="96"/>
      <c r="N1114" s="14"/>
      <c r="O1114" s="50"/>
      <c r="P1114" s="50"/>
      <c r="Q1114" s="50"/>
      <c r="R1114" s="50"/>
      <c r="S1114" s="50"/>
      <c r="T1114" s="50"/>
      <c r="U1114" s="50"/>
      <c r="V1114" s="50"/>
      <c r="W1114" s="14"/>
      <c r="X1114" s="50"/>
      <c r="Y1114" s="179"/>
      <c r="Z1114" s="50"/>
      <c r="AA1114" s="14"/>
    </row>
    <row r="1115">
      <c r="A1115" s="14"/>
      <c r="B1115" s="14"/>
      <c r="C1115" s="158"/>
      <c r="D1115" s="96"/>
      <c r="E1115" s="96"/>
      <c r="F1115" s="96"/>
      <c r="G1115" s="50"/>
      <c r="H1115" s="96"/>
      <c r="I1115" s="96"/>
      <c r="J1115" s="96"/>
      <c r="K1115" s="50"/>
      <c r="L1115" s="96"/>
      <c r="M1115" s="96"/>
      <c r="N1115" s="14"/>
      <c r="O1115" s="50"/>
      <c r="P1115" s="50"/>
      <c r="Q1115" s="50"/>
      <c r="R1115" s="50"/>
      <c r="S1115" s="50"/>
      <c r="T1115" s="50"/>
      <c r="U1115" s="50"/>
      <c r="V1115" s="50"/>
      <c r="W1115" s="14"/>
      <c r="X1115" s="50"/>
      <c r="Y1115" s="179"/>
      <c r="Z1115" s="50"/>
      <c r="AA1115" s="14"/>
    </row>
    <row r="1116">
      <c r="A1116" s="14"/>
      <c r="B1116" s="14"/>
      <c r="C1116" s="158"/>
      <c r="D1116" s="96"/>
      <c r="E1116" s="96"/>
      <c r="F1116" s="96"/>
      <c r="G1116" s="50"/>
      <c r="H1116" s="96"/>
      <c r="I1116" s="96"/>
      <c r="J1116" s="96"/>
      <c r="K1116" s="50"/>
      <c r="L1116" s="96"/>
      <c r="M1116" s="96"/>
      <c r="N1116" s="14"/>
      <c r="O1116" s="50"/>
      <c r="P1116" s="50"/>
      <c r="Q1116" s="50"/>
      <c r="R1116" s="50"/>
      <c r="S1116" s="50"/>
      <c r="T1116" s="50"/>
      <c r="U1116" s="50"/>
      <c r="V1116" s="50"/>
      <c r="W1116" s="14"/>
      <c r="X1116" s="50"/>
      <c r="Y1116" s="179"/>
      <c r="Z1116" s="50"/>
      <c r="AA1116" s="14"/>
    </row>
    <row r="1117">
      <c r="A1117" s="14"/>
      <c r="B1117" s="14"/>
      <c r="C1117" s="158"/>
      <c r="D1117" s="96"/>
      <c r="E1117" s="96"/>
      <c r="F1117" s="96"/>
      <c r="G1117" s="50"/>
      <c r="H1117" s="96"/>
      <c r="I1117" s="96"/>
      <c r="J1117" s="96"/>
      <c r="K1117" s="50"/>
      <c r="L1117" s="96"/>
      <c r="M1117" s="96"/>
      <c r="N1117" s="14"/>
      <c r="O1117" s="50"/>
      <c r="P1117" s="50"/>
      <c r="Q1117" s="50"/>
      <c r="R1117" s="50"/>
      <c r="S1117" s="50"/>
      <c r="T1117" s="50"/>
      <c r="U1117" s="50"/>
      <c r="V1117" s="50"/>
      <c r="W1117" s="14"/>
      <c r="X1117" s="50"/>
      <c r="Y1117" s="179"/>
      <c r="Z1117" s="50"/>
      <c r="AA1117" s="14"/>
    </row>
    <row r="1118">
      <c r="A1118" s="14"/>
      <c r="B1118" s="14"/>
      <c r="C1118" s="158"/>
      <c r="D1118" s="96"/>
      <c r="E1118" s="96"/>
      <c r="F1118" s="96"/>
      <c r="G1118" s="50"/>
      <c r="H1118" s="96"/>
      <c r="I1118" s="96"/>
      <c r="J1118" s="96"/>
      <c r="K1118" s="50"/>
      <c r="L1118" s="96"/>
      <c r="M1118" s="96"/>
      <c r="N1118" s="14"/>
      <c r="O1118" s="50"/>
      <c r="P1118" s="50"/>
      <c r="Q1118" s="50"/>
      <c r="R1118" s="50"/>
      <c r="S1118" s="50"/>
      <c r="T1118" s="50"/>
      <c r="U1118" s="50"/>
      <c r="V1118" s="50"/>
      <c r="W1118" s="14"/>
      <c r="X1118" s="50"/>
      <c r="Y1118" s="179"/>
      <c r="Z1118" s="50"/>
      <c r="AA1118" s="14"/>
    </row>
    <row r="1119">
      <c r="A1119" s="14"/>
      <c r="B1119" s="14"/>
      <c r="C1119" s="158"/>
      <c r="D1119" s="96"/>
      <c r="E1119" s="96"/>
      <c r="F1119" s="96"/>
      <c r="G1119" s="50"/>
      <c r="H1119" s="96"/>
      <c r="I1119" s="96"/>
      <c r="J1119" s="96"/>
      <c r="K1119" s="50"/>
      <c r="L1119" s="96"/>
      <c r="M1119" s="96"/>
      <c r="N1119" s="14"/>
      <c r="O1119" s="50"/>
      <c r="P1119" s="50"/>
      <c r="Q1119" s="50"/>
      <c r="R1119" s="50"/>
      <c r="S1119" s="50"/>
      <c r="T1119" s="50"/>
      <c r="U1119" s="50"/>
      <c r="V1119" s="50"/>
      <c r="W1119" s="14"/>
      <c r="X1119" s="50"/>
      <c r="Y1119" s="179"/>
      <c r="Z1119" s="50"/>
      <c r="AA1119" s="14"/>
    </row>
    <row r="1120">
      <c r="A1120" s="14"/>
      <c r="B1120" s="14"/>
      <c r="C1120" s="158"/>
      <c r="D1120" s="96"/>
      <c r="E1120" s="96"/>
      <c r="F1120" s="96"/>
      <c r="G1120" s="50"/>
      <c r="H1120" s="96"/>
      <c r="I1120" s="96"/>
      <c r="J1120" s="96"/>
      <c r="K1120" s="50"/>
      <c r="L1120" s="96"/>
      <c r="M1120" s="96"/>
      <c r="N1120" s="14"/>
      <c r="O1120" s="50"/>
      <c r="P1120" s="50"/>
      <c r="Q1120" s="50"/>
      <c r="R1120" s="50"/>
      <c r="S1120" s="50"/>
      <c r="T1120" s="50"/>
      <c r="U1120" s="50"/>
      <c r="V1120" s="50"/>
      <c r="W1120" s="14"/>
      <c r="X1120" s="50"/>
      <c r="Y1120" s="179"/>
      <c r="Z1120" s="50"/>
      <c r="AA1120" s="14"/>
    </row>
    <row r="1121">
      <c r="A1121" s="14"/>
      <c r="B1121" s="14"/>
      <c r="C1121" s="158"/>
      <c r="D1121" s="96"/>
      <c r="E1121" s="96"/>
      <c r="F1121" s="96"/>
      <c r="G1121" s="50"/>
      <c r="H1121" s="96"/>
      <c r="I1121" s="96"/>
      <c r="J1121" s="96"/>
      <c r="K1121" s="50"/>
      <c r="L1121" s="96"/>
      <c r="M1121" s="96"/>
      <c r="N1121" s="14"/>
      <c r="O1121" s="50"/>
      <c r="P1121" s="50"/>
      <c r="Q1121" s="50"/>
      <c r="R1121" s="50"/>
      <c r="S1121" s="50"/>
      <c r="T1121" s="50"/>
      <c r="U1121" s="50"/>
      <c r="V1121" s="50"/>
      <c r="W1121" s="14"/>
      <c r="X1121" s="50"/>
      <c r="Y1121" s="179"/>
      <c r="Z1121" s="50"/>
      <c r="AA1121" s="14"/>
    </row>
    <row r="1122">
      <c r="A1122" s="14"/>
      <c r="B1122" s="14"/>
      <c r="C1122" s="158"/>
      <c r="D1122" s="96"/>
      <c r="E1122" s="96"/>
      <c r="F1122" s="96"/>
      <c r="G1122" s="50"/>
      <c r="H1122" s="96"/>
      <c r="I1122" s="96"/>
      <c r="J1122" s="96"/>
      <c r="K1122" s="50"/>
      <c r="L1122" s="96"/>
      <c r="M1122" s="96"/>
      <c r="N1122" s="14"/>
      <c r="O1122" s="50"/>
      <c r="P1122" s="50"/>
      <c r="Q1122" s="50"/>
      <c r="R1122" s="50"/>
      <c r="S1122" s="50"/>
      <c r="T1122" s="50"/>
      <c r="U1122" s="50"/>
      <c r="V1122" s="50"/>
      <c r="W1122" s="14"/>
      <c r="X1122" s="50"/>
      <c r="Y1122" s="179"/>
      <c r="Z1122" s="50"/>
      <c r="AA1122" s="14"/>
    </row>
    <row r="1123">
      <c r="A1123" s="14"/>
      <c r="B1123" s="14"/>
      <c r="C1123" s="158"/>
      <c r="D1123" s="96"/>
      <c r="E1123" s="96"/>
      <c r="F1123" s="96"/>
      <c r="G1123" s="50"/>
      <c r="H1123" s="96"/>
      <c r="I1123" s="96"/>
      <c r="J1123" s="96"/>
      <c r="K1123" s="50"/>
      <c r="L1123" s="96"/>
      <c r="M1123" s="96"/>
      <c r="N1123" s="14"/>
      <c r="O1123" s="50"/>
      <c r="P1123" s="50"/>
      <c r="Q1123" s="50"/>
      <c r="R1123" s="50"/>
      <c r="S1123" s="50"/>
      <c r="T1123" s="50"/>
      <c r="U1123" s="50"/>
      <c r="V1123" s="50"/>
      <c r="W1123" s="14"/>
      <c r="X1123" s="50"/>
      <c r="Y1123" s="179"/>
      <c r="Z1123" s="50"/>
      <c r="AA1123" s="14"/>
    </row>
    <row r="1124">
      <c r="A1124" s="14"/>
      <c r="B1124" s="14"/>
      <c r="C1124" s="158"/>
      <c r="D1124" s="96"/>
      <c r="E1124" s="96"/>
      <c r="F1124" s="96"/>
      <c r="G1124" s="50"/>
      <c r="H1124" s="96"/>
      <c r="I1124" s="96"/>
      <c r="J1124" s="96"/>
      <c r="K1124" s="50"/>
      <c r="L1124" s="96"/>
      <c r="M1124" s="96"/>
      <c r="N1124" s="14"/>
      <c r="O1124" s="50"/>
      <c r="P1124" s="50"/>
      <c r="Q1124" s="50"/>
      <c r="R1124" s="50"/>
      <c r="S1124" s="50"/>
      <c r="T1124" s="50"/>
      <c r="U1124" s="50"/>
      <c r="V1124" s="50"/>
      <c r="W1124" s="14"/>
      <c r="X1124" s="50"/>
      <c r="Y1124" s="179"/>
      <c r="Z1124" s="50"/>
      <c r="AA1124" s="14"/>
    </row>
    <row r="1125">
      <c r="A1125" s="14"/>
      <c r="B1125" s="14"/>
      <c r="C1125" s="158"/>
      <c r="D1125" s="96"/>
      <c r="E1125" s="96"/>
      <c r="F1125" s="96"/>
      <c r="G1125" s="50"/>
      <c r="H1125" s="96"/>
      <c r="I1125" s="96"/>
      <c r="J1125" s="96"/>
      <c r="K1125" s="50"/>
      <c r="L1125" s="96"/>
      <c r="M1125" s="96"/>
      <c r="N1125" s="14"/>
      <c r="O1125" s="50"/>
      <c r="P1125" s="50"/>
      <c r="Q1125" s="50"/>
      <c r="R1125" s="50"/>
      <c r="S1125" s="50"/>
      <c r="T1125" s="50"/>
      <c r="U1125" s="50"/>
      <c r="V1125" s="50"/>
      <c r="W1125" s="14"/>
      <c r="X1125" s="50"/>
      <c r="Y1125" s="179"/>
      <c r="Z1125" s="50"/>
      <c r="AA1125" s="14"/>
    </row>
    <row r="1126">
      <c r="A1126" s="14"/>
      <c r="B1126" s="14"/>
      <c r="C1126" s="158"/>
      <c r="D1126" s="96"/>
      <c r="E1126" s="96"/>
      <c r="F1126" s="96"/>
      <c r="G1126" s="50"/>
      <c r="H1126" s="96"/>
      <c r="I1126" s="96"/>
      <c r="J1126" s="96"/>
      <c r="K1126" s="50"/>
      <c r="L1126" s="96"/>
      <c r="M1126" s="96"/>
      <c r="N1126" s="14"/>
      <c r="O1126" s="50"/>
      <c r="P1126" s="50"/>
      <c r="Q1126" s="50"/>
      <c r="R1126" s="50"/>
      <c r="S1126" s="50"/>
      <c r="T1126" s="50"/>
      <c r="U1126" s="50"/>
      <c r="V1126" s="50"/>
      <c r="W1126" s="14"/>
      <c r="X1126" s="50"/>
      <c r="Y1126" s="179"/>
      <c r="Z1126" s="50"/>
      <c r="AA1126" s="14"/>
    </row>
    <row r="1127">
      <c r="A1127" s="14"/>
      <c r="B1127" s="14"/>
      <c r="C1127" s="158"/>
      <c r="D1127" s="96"/>
      <c r="E1127" s="96"/>
      <c r="F1127" s="96"/>
      <c r="G1127" s="50"/>
      <c r="H1127" s="96"/>
      <c r="I1127" s="96"/>
      <c r="J1127" s="96"/>
      <c r="K1127" s="50"/>
      <c r="L1127" s="96"/>
      <c r="M1127" s="96"/>
      <c r="N1127" s="14"/>
      <c r="O1127" s="50"/>
      <c r="P1127" s="50"/>
      <c r="Q1127" s="50"/>
      <c r="R1127" s="50"/>
      <c r="S1127" s="50"/>
      <c r="T1127" s="50"/>
      <c r="U1127" s="50"/>
      <c r="V1127" s="50"/>
      <c r="W1127" s="14"/>
      <c r="X1127" s="50"/>
      <c r="Y1127" s="179"/>
      <c r="Z1127" s="50"/>
      <c r="AA1127" s="14"/>
    </row>
    <row r="1128">
      <c r="A1128" s="14"/>
      <c r="B1128" s="14"/>
      <c r="C1128" s="158"/>
      <c r="D1128" s="96"/>
      <c r="E1128" s="96"/>
      <c r="F1128" s="96"/>
      <c r="G1128" s="50"/>
      <c r="H1128" s="96"/>
      <c r="I1128" s="96"/>
      <c r="J1128" s="96"/>
      <c r="K1128" s="50"/>
      <c r="L1128" s="96"/>
      <c r="M1128" s="96"/>
      <c r="N1128" s="14"/>
      <c r="O1128" s="50"/>
      <c r="P1128" s="50"/>
      <c r="Q1128" s="50"/>
      <c r="R1128" s="50"/>
      <c r="S1128" s="50"/>
      <c r="T1128" s="50"/>
      <c r="U1128" s="50"/>
      <c r="V1128" s="50"/>
      <c r="W1128" s="14"/>
      <c r="X1128" s="50"/>
      <c r="Y1128" s="179"/>
      <c r="Z1128" s="50"/>
      <c r="AA1128" s="14"/>
    </row>
    <row r="1129">
      <c r="A1129" s="14"/>
      <c r="B1129" s="14"/>
      <c r="C1129" s="158"/>
      <c r="D1129" s="96"/>
      <c r="E1129" s="96"/>
      <c r="F1129" s="96"/>
      <c r="G1129" s="50"/>
      <c r="H1129" s="96"/>
      <c r="I1129" s="96"/>
      <c r="J1129" s="96"/>
      <c r="K1129" s="50"/>
      <c r="L1129" s="96"/>
      <c r="M1129" s="96"/>
      <c r="N1129" s="14"/>
      <c r="O1129" s="50"/>
      <c r="P1129" s="50"/>
      <c r="Q1129" s="50"/>
      <c r="R1129" s="50"/>
      <c r="S1129" s="50"/>
      <c r="T1129" s="50"/>
      <c r="U1129" s="50"/>
      <c r="V1129" s="50"/>
      <c r="W1129" s="14"/>
      <c r="X1129" s="50"/>
      <c r="Y1129" s="179"/>
      <c r="Z1129" s="50"/>
      <c r="AA1129" s="14"/>
    </row>
    <row r="1130">
      <c r="A1130" s="14"/>
      <c r="B1130" s="14"/>
      <c r="C1130" s="158"/>
      <c r="D1130" s="96"/>
      <c r="E1130" s="96"/>
      <c r="F1130" s="96"/>
      <c r="G1130" s="50"/>
      <c r="H1130" s="96"/>
      <c r="I1130" s="96"/>
      <c r="J1130" s="96"/>
      <c r="K1130" s="50"/>
      <c r="L1130" s="96"/>
      <c r="M1130" s="96"/>
      <c r="N1130" s="14"/>
      <c r="O1130" s="50"/>
      <c r="P1130" s="50"/>
      <c r="Q1130" s="50"/>
      <c r="R1130" s="50"/>
      <c r="S1130" s="50"/>
      <c r="T1130" s="50"/>
      <c r="U1130" s="50"/>
      <c r="V1130" s="50"/>
      <c r="W1130" s="14"/>
      <c r="X1130" s="50"/>
      <c r="Y1130" s="179"/>
      <c r="Z1130" s="50"/>
      <c r="AA1130" s="14"/>
    </row>
    <row r="1131">
      <c r="A1131" s="14"/>
      <c r="B1131" s="14"/>
      <c r="C1131" s="158"/>
      <c r="D1131" s="96"/>
      <c r="E1131" s="96"/>
      <c r="F1131" s="96"/>
      <c r="G1131" s="50"/>
      <c r="H1131" s="96"/>
      <c r="I1131" s="96"/>
      <c r="J1131" s="96"/>
      <c r="K1131" s="50"/>
      <c r="L1131" s="96"/>
      <c r="M1131" s="96"/>
      <c r="N1131" s="14"/>
      <c r="O1131" s="50"/>
      <c r="P1131" s="50"/>
      <c r="Q1131" s="50"/>
      <c r="R1131" s="50"/>
      <c r="S1131" s="50"/>
      <c r="T1131" s="50"/>
      <c r="U1131" s="50"/>
      <c r="V1131" s="50"/>
      <c r="W1131" s="14"/>
      <c r="X1131" s="50"/>
      <c r="Y1131" s="179"/>
      <c r="Z1131" s="50"/>
      <c r="AA1131" s="14"/>
    </row>
    <row r="1132">
      <c r="A1132" s="14"/>
      <c r="B1132" s="14"/>
      <c r="C1132" s="158"/>
      <c r="D1132" s="96"/>
      <c r="E1132" s="96"/>
      <c r="F1132" s="96"/>
      <c r="G1132" s="50"/>
      <c r="H1132" s="96"/>
      <c r="I1132" s="96"/>
      <c r="J1132" s="96"/>
      <c r="K1132" s="50"/>
      <c r="L1132" s="96"/>
      <c r="M1132" s="96"/>
      <c r="N1132" s="14"/>
      <c r="O1132" s="50"/>
      <c r="P1132" s="50"/>
      <c r="Q1132" s="50"/>
      <c r="R1132" s="50"/>
      <c r="S1132" s="50"/>
      <c r="T1132" s="50"/>
      <c r="U1132" s="50"/>
      <c r="V1132" s="50"/>
      <c r="W1132" s="14"/>
      <c r="X1132" s="50"/>
      <c r="Y1132" s="179"/>
      <c r="Z1132" s="50"/>
      <c r="AA1132" s="14"/>
    </row>
    <row r="1133">
      <c r="A1133" s="14"/>
      <c r="B1133" s="14"/>
      <c r="C1133" s="158"/>
      <c r="D1133" s="96"/>
      <c r="E1133" s="96"/>
      <c r="F1133" s="96"/>
      <c r="G1133" s="50"/>
      <c r="H1133" s="96"/>
      <c r="I1133" s="96"/>
      <c r="J1133" s="96"/>
      <c r="K1133" s="50"/>
      <c r="L1133" s="96"/>
      <c r="M1133" s="96"/>
      <c r="N1133" s="14"/>
      <c r="O1133" s="50"/>
      <c r="P1133" s="50"/>
      <c r="Q1133" s="50"/>
      <c r="R1133" s="50"/>
      <c r="S1133" s="50"/>
      <c r="T1133" s="50"/>
      <c r="U1133" s="50"/>
      <c r="V1133" s="50"/>
      <c r="W1133" s="14"/>
      <c r="X1133" s="50"/>
      <c r="Y1133" s="179"/>
      <c r="Z1133" s="50"/>
      <c r="AA1133" s="14"/>
    </row>
    <row r="1134">
      <c r="A1134" s="14"/>
      <c r="B1134" s="14"/>
      <c r="C1134" s="158"/>
      <c r="D1134" s="96"/>
      <c r="E1134" s="96"/>
      <c r="F1134" s="96"/>
      <c r="G1134" s="50"/>
      <c r="H1134" s="96"/>
      <c r="I1134" s="96"/>
      <c r="J1134" s="96"/>
      <c r="K1134" s="50"/>
      <c r="L1134" s="96"/>
      <c r="M1134" s="96"/>
      <c r="N1134" s="14"/>
      <c r="O1134" s="50"/>
      <c r="P1134" s="50"/>
      <c r="Q1134" s="50"/>
      <c r="R1134" s="50"/>
      <c r="S1134" s="50"/>
      <c r="T1134" s="50"/>
      <c r="U1134" s="50"/>
      <c r="V1134" s="50"/>
      <c r="W1134" s="14"/>
      <c r="X1134" s="50"/>
      <c r="Y1134" s="179"/>
      <c r="Z1134" s="50"/>
      <c r="AA1134" s="14"/>
    </row>
    <row r="1135">
      <c r="A1135" s="14"/>
      <c r="B1135" s="14"/>
      <c r="C1135" s="158"/>
      <c r="D1135" s="96"/>
      <c r="E1135" s="96"/>
      <c r="F1135" s="96"/>
      <c r="G1135" s="50"/>
      <c r="H1135" s="96"/>
      <c r="I1135" s="96"/>
      <c r="J1135" s="96"/>
      <c r="K1135" s="50"/>
      <c r="L1135" s="96"/>
      <c r="M1135" s="96"/>
      <c r="N1135" s="14"/>
      <c r="O1135" s="50"/>
      <c r="P1135" s="50"/>
      <c r="Q1135" s="50"/>
      <c r="R1135" s="50"/>
      <c r="S1135" s="50"/>
      <c r="T1135" s="50"/>
      <c r="U1135" s="50"/>
      <c r="V1135" s="50"/>
      <c r="W1135" s="14"/>
      <c r="X1135" s="50"/>
      <c r="Y1135" s="179"/>
      <c r="Z1135" s="50"/>
      <c r="AA1135" s="14"/>
    </row>
    <row r="1136">
      <c r="A1136" s="14"/>
      <c r="B1136" s="14"/>
      <c r="C1136" s="158"/>
      <c r="D1136" s="96"/>
      <c r="E1136" s="96"/>
      <c r="F1136" s="96"/>
      <c r="G1136" s="50"/>
      <c r="H1136" s="96"/>
      <c r="I1136" s="96"/>
      <c r="J1136" s="96"/>
      <c r="K1136" s="50"/>
      <c r="L1136" s="96"/>
      <c r="M1136" s="96"/>
      <c r="N1136" s="14"/>
      <c r="O1136" s="50"/>
      <c r="P1136" s="50"/>
      <c r="Q1136" s="50"/>
      <c r="R1136" s="50"/>
      <c r="S1136" s="50"/>
      <c r="T1136" s="50"/>
      <c r="U1136" s="50"/>
      <c r="V1136" s="50"/>
      <c r="W1136" s="14"/>
      <c r="X1136" s="50"/>
      <c r="Y1136" s="179"/>
      <c r="Z1136" s="50"/>
      <c r="AA1136" s="14"/>
    </row>
    <row r="1137">
      <c r="A1137" s="14"/>
      <c r="B1137" s="14"/>
      <c r="C1137" s="158"/>
      <c r="D1137" s="96"/>
      <c r="E1137" s="96"/>
      <c r="F1137" s="96"/>
      <c r="G1137" s="50"/>
      <c r="H1137" s="96"/>
      <c r="I1137" s="96"/>
      <c r="J1137" s="96"/>
      <c r="K1137" s="50"/>
      <c r="L1137" s="96"/>
      <c r="M1137" s="96"/>
      <c r="N1137" s="14"/>
      <c r="O1137" s="50"/>
      <c r="P1137" s="50"/>
      <c r="Q1137" s="50"/>
      <c r="R1137" s="50"/>
      <c r="S1137" s="50"/>
      <c r="T1137" s="50"/>
      <c r="U1137" s="50"/>
      <c r="V1137" s="50"/>
      <c r="W1137" s="14"/>
      <c r="X1137" s="50"/>
      <c r="Y1137" s="179"/>
      <c r="Z1137" s="50"/>
      <c r="AA1137" s="14"/>
    </row>
    <row r="1138">
      <c r="A1138" s="14"/>
      <c r="B1138" s="14"/>
      <c r="C1138" s="158"/>
      <c r="D1138" s="96"/>
      <c r="E1138" s="96"/>
      <c r="F1138" s="96"/>
      <c r="G1138" s="50"/>
      <c r="H1138" s="96"/>
      <c r="I1138" s="96"/>
      <c r="J1138" s="96"/>
      <c r="K1138" s="50"/>
      <c r="L1138" s="96"/>
      <c r="M1138" s="96"/>
      <c r="N1138" s="14"/>
      <c r="O1138" s="50"/>
      <c r="P1138" s="50"/>
      <c r="Q1138" s="50"/>
      <c r="R1138" s="50"/>
      <c r="S1138" s="50"/>
      <c r="T1138" s="50"/>
      <c r="U1138" s="50"/>
      <c r="V1138" s="50"/>
      <c r="W1138" s="14"/>
      <c r="X1138" s="50"/>
      <c r="Y1138" s="179"/>
      <c r="Z1138" s="50"/>
      <c r="AA1138" s="14"/>
    </row>
    <row r="1139">
      <c r="A1139" s="14"/>
      <c r="B1139" s="14"/>
      <c r="C1139" s="158"/>
      <c r="D1139" s="96"/>
      <c r="E1139" s="96"/>
      <c r="F1139" s="96"/>
      <c r="G1139" s="50"/>
      <c r="H1139" s="96"/>
      <c r="I1139" s="96"/>
      <c r="J1139" s="96"/>
      <c r="K1139" s="50"/>
      <c r="L1139" s="96"/>
      <c r="M1139" s="96"/>
      <c r="N1139" s="14"/>
      <c r="O1139" s="50"/>
      <c r="P1139" s="50"/>
      <c r="Q1139" s="50"/>
      <c r="R1139" s="50"/>
      <c r="S1139" s="50"/>
      <c r="T1139" s="50"/>
      <c r="U1139" s="50"/>
      <c r="V1139" s="50"/>
      <c r="W1139" s="14"/>
      <c r="X1139" s="50"/>
      <c r="Y1139" s="179"/>
      <c r="Z1139" s="50"/>
      <c r="AA1139" s="14"/>
    </row>
    <row r="1140">
      <c r="A1140" s="14"/>
      <c r="B1140" s="14"/>
      <c r="C1140" s="158"/>
      <c r="D1140" s="96"/>
      <c r="E1140" s="96"/>
      <c r="F1140" s="96"/>
      <c r="G1140" s="50"/>
      <c r="H1140" s="96"/>
      <c r="I1140" s="96"/>
      <c r="J1140" s="96"/>
      <c r="K1140" s="50"/>
      <c r="L1140" s="96"/>
      <c r="M1140" s="96"/>
      <c r="N1140" s="14"/>
      <c r="O1140" s="50"/>
      <c r="P1140" s="50"/>
      <c r="Q1140" s="50"/>
      <c r="R1140" s="50"/>
      <c r="S1140" s="50"/>
      <c r="T1140" s="50"/>
      <c r="U1140" s="50"/>
      <c r="V1140" s="50"/>
      <c r="W1140" s="14"/>
      <c r="X1140" s="50"/>
      <c r="Y1140" s="179"/>
      <c r="Z1140" s="50"/>
      <c r="AA1140" s="14"/>
    </row>
    <row r="1141">
      <c r="A1141" s="14"/>
      <c r="B1141" s="14"/>
      <c r="C1141" s="158"/>
      <c r="D1141" s="96"/>
      <c r="E1141" s="96"/>
      <c r="F1141" s="96"/>
      <c r="G1141" s="50"/>
      <c r="H1141" s="96"/>
      <c r="I1141" s="96"/>
      <c r="J1141" s="96"/>
      <c r="K1141" s="50"/>
      <c r="L1141" s="96"/>
      <c r="M1141" s="96"/>
      <c r="N1141" s="14"/>
      <c r="O1141" s="50"/>
      <c r="P1141" s="50"/>
      <c r="Q1141" s="50"/>
      <c r="R1141" s="50"/>
      <c r="S1141" s="50"/>
      <c r="T1141" s="50"/>
      <c r="U1141" s="50"/>
      <c r="V1141" s="50"/>
      <c r="W1141" s="14"/>
      <c r="X1141" s="50"/>
      <c r="Y1141" s="179"/>
      <c r="Z1141" s="50"/>
      <c r="AA1141" s="14"/>
    </row>
    <row r="1142">
      <c r="A1142" s="14"/>
      <c r="B1142" s="14"/>
      <c r="C1142" s="158"/>
      <c r="D1142" s="96"/>
      <c r="E1142" s="96"/>
      <c r="F1142" s="96"/>
      <c r="G1142" s="50"/>
      <c r="H1142" s="96"/>
      <c r="I1142" s="96"/>
      <c r="J1142" s="96"/>
      <c r="K1142" s="50"/>
      <c r="L1142" s="96"/>
      <c r="M1142" s="96"/>
      <c r="N1142" s="14"/>
      <c r="O1142" s="50"/>
      <c r="P1142" s="50"/>
      <c r="Q1142" s="50"/>
      <c r="R1142" s="50"/>
      <c r="S1142" s="50"/>
      <c r="T1142" s="50"/>
      <c r="U1142" s="50"/>
      <c r="V1142" s="50"/>
      <c r="W1142" s="14"/>
      <c r="X1142" s="50"/>
      <c r="Y1142" s="179"/>
      <c r="Z1142" s="50"/>
      <c r="AA1142" s="14"/>
    </row>
    <row r="1143">
      <c r="A1143" s="14"/>
      <c r="B1143" s="14"/>
      <c r="C1143" s="158"/>
      <c r="D1143" s="96"/>
      <c r="E1143" s="96"/>
      <c r="F1143" s="96"/>
      <c r="G1143" s="50"/>
      <c r="H1143" s="96"/>
      <c r="I1143" s="96"/>
      <c r="J1143" s="96"/>
      <c r="K1143" s="50"/>
      <c r="L1143" s="96"/>
      <c r="M1143" s="96"/>
      <c r="N1143" s="14"/>
      <c r="O1143" s="50"/>
      <c r="P1143" s="50"/>
      <c r="Q1143" s="50"/>
      <c r="R1143" s="50"/>
      <c r="S1143" s="50"/>
      <c r="T1143" s="50"/>
      <c r="U1143" s="50"/>
      <c r="V1143" s="50"/>
      <c r="W1143" s="14"/>
      <c r="X1143" s="50"/>
      <c r="Y1143" s="179"/>
      <c r="Z1143" s="50"/>
      <c r="AA1143" s="14"/>
    </row>
    <row r="1144">
      <c r="A1144" s="14"/>
      <c r="B1144" s="14"/>
      <c r="C1144" s="158"/>
      <c r="D1144" s="96"/>
      <c r="E1144" s="96"/>
      <c r="F1144" s="96"/>
      <c r="G1144" s="50"/>
      <c r="H1144" s="96"/>
      <c r="I1144" s="96"/>
      <c r="J1144" s="96"/>
      <c r="K1144" s="50"/>
      <c r="L1144" s="96"/>
      <c r="M1144" s="96"/>
      <c r="N1144" s="14"/>
      <c r="O1144" s="50"/>
      <c r="P1144" s="50"/>
      <c r="Q1144" s="50"/>
      <c r="R1144" s="50"/>
      <c r="S1144" s="50"/>
      <c r="T1144" s="50"/>
      <c r="U1144" s="50"/>
      <c r="V1144" s="50"/>
      <c r="W1144" s="14"/>
      <c r="X1144" s="50"/>
      <c r="Y1144" s="179"/>
      <c r="Z1144" s="50"/>
      <c r="AA1144" s="14"/>
    </row>
    <row r="1145">
      <c r="A1145" s="14"/>
      <c r="B1145" s="14"/>
      <c r="C1145" s="158"/>
      <c r="D1145" s="96"/>
      <c r="E1145" s="96"/>
      <c r="F1145" s="96"/>
      <c r="G1145" s="50"/>
      <c r="H1145" s="96"/>
      <c r="I1145" s="96"/>
      <c r="J1145" s="96"/>
      <c r="K1145" s="50"/>
      <c r="L1145" s="96"/>
      <c r="M1145" s="96"/>
      <c r="N1145" s="14"/>
      <c r="O1145" s="50"/>
      <c r="P1145" s="50"/>
      <c r="Q1145" s="50"/>
      <c r="R1145" s="50"/>
      <c r="S1145" s="50"/>
      <c r="T1145" s="50"/>
      <c r="U1145" s="50"/>
      <c r="V1145" s="50"/>
      <c r="W1145" s="14"/>
      <c r="X1145" s="50"/>
      <c r="Y1145" s="179"/>
      <c r="Z1145" s="50"/>
      <c r="AA1145" s="14"/>
    </row>
    <row r="1146">
      <c r="A1146" s="14"/>
      <c r="B1146" s="14"/>
      <c r="C1146" s="158"/>
      <c r="D1146" s="96"/>
      <c r="E1146" s="96"/>
      <c r="F1146" s="96"/>
      <c r="G1146" s="50"/>
      <c r="H1146" s="96"/>
      <c r="I1146" s="96"/>
      <c r="J1146" s="96"/>
      <c r="K1146" s="50"/>
      <c r="L1146" s="96"/>
      <c r="M1146" s="96"/>
      <c r="N1146" s="14"/>
      <c r="O1146" s="50"/>
      <c r="P1146" s="50"/>
      <c r="Q1146" s="50"/>
      <c r="R1146" s="50"/>
      <c r="S1146" s="50"/>
      <c r="T1146" s="50"/>
      <c r="U1146" s="50"/>
      <c r="V1146" s="50"/>
      <c r="W1146" s="14"/>
      <c r="X1146" s="50"/>
      <c r="Y1146" s="179"/>
      <c r="Z1146" s="50"/>
      <c r="AA1146" s="14"/>
    </row>
    <row r="1147">
      <c r="A1147" s="14"/>
      <c r="B1147" s="14"/>
      <c r="C1147" s="158"/>
      <c r="D1147" s="96"/>
      <c r="E1147" s="96"/>
      <c r="F1147" s="96"/>
      <c r="G1147" s="50"/>
      <c r="H1147" s="96"/>
      <c r="I1147" s="96"/>
      <c r="J1147" s="96"/>
      <c r="K1147" s="50"/>
      <c r="L1147" s="96"/>
      <c r="M1147" s="96"/>
      <c r="N1147" s="14"/>
      <c r="O1147" s="50"/>
      <c r="P1147" s="50"/>
      <c r="Q1147" s="50"/>
      <c r="R1147" s="50"/>
      <c r="S1147" s="50"/>
      <c r="T1147" s="50"/>
      <c r="U1147" s="50"/>
      <c r="V1147" s="50"/>
      <c r="W1147" s="14"/>
      <c r="X1147" s="50"/>
      <c r="Y1147" s="179"/>
      <c r="Z1147" s="50"/>
      <c r="AA1147" s="14"/>
    </row>
    <row r="1148">
      <c r="A1148" s="14"/>
      <c r="B1148" s="14"/>
      <c r="C1148" s="158"/>
      <c r="D1148" s="96"/>
      <c r="E1148" s="96"/>
      <c r="F1148" s="96"/>
      <c r="G1148" s="50"/>
      <c r="H1148" s="96"/>
      <c r="I1148" s="96"/>
      <c r="J1148" s="96"/>
      <c r="K1148" s="50"/>
      <c r="L1148" s="96"/>
      <c r="M1148" s="96"/>
      <c r="N1148" s="14"/>
      <c r="O1148" s="50"/>
      <c r="P1148" s="50"/>
      <c r="Q1148" s="50"/>
      <c r="R1148" s="50"/>
      <c r="S1148" s="50"/>
      <c r="T1148" s="50"/>
      <c r="U1148" s="50"/>
      <c r="V1148" s="50"/>
      <c r="W1148" s="14"/>
      <c r="X1148" s="50"/>
      <c r="Y1148" s="179"/>
      <c r="Z1148" s="50"/>
      <c r="AA1148" s="14"/>
    </row>
    <row r="1149">
      <c r="A1149" s="14"/>
      <c r="B1149" s="14"/>
      <c r="C1149" s="158"/>
      <c r="D1149" s="96"/>
      <c r="E1149" s="96"/>
      <c r="F1149" s="96"/>
      <c r="G1149" s="50"/>
      <c r="H1149" s="96"/>
      <c r="I1149" s="96"/>
      <c r="J1149" s="96"/>
      <c r="K1149" s="50"/>
      <c r="L1149" s="96"/>
      <c r="M1149" s="96"/>
      <c r="N1149" s="14"/>
      <c r="O1149" s="50"/>
      <c r="P1149" s="50"/>
      <c r="Q1149" s="50"/>
      <c r="R1149" s="50"/>
      <c r="S1149" s="50"/>
      <c r="T1149" s="50"/>
      <c r="U1149" s="50"/>
      <c r="V1149" s="50"/>
      <c r="W1149" s="14"/>
      <c r="X1149" s="50"/>
      <c r="Y1149" s="179"/>
      <c r="Z1149" s="50"/>
      <c r="AA1149" s="14"/>
    </row>
    <row r="1150">
      <c r="A1150" s="14"/>
      <c r="B1150" s="14"/>
      <c r="C1150" s="158"/>
      <c r="D1150" s="96"/>
      <c r="E1150" s="96"/>
      <c r="F1150" s="96"/>
      <c r="G1150" s="50"/>
      <c r="H1150" s="96"/>
      <c r="I1150" s="96"/>
      <c r="J1150" s="96"/>
      <c r="K1150" s="50"/>
      <c r="L1150" s="96"/>
      <c r="M1150" s="96"/>
      <c r="N1150" s="14"/>
      <c r="O1150" s="50"/>
      <c r="P1150" s="50"/>
      <c r="Q1150" s="50"/>
      <c r="R1150" s="50"/>
      <c r="S1150" s="50"/>
      <c r="T1150" s="50"/>
      <c r="U1150" s="50"/>
      <c r="V1150" s="50"/>
      <c r="W1150" s="14"/>
      <c r="X1150" s="50"/>
      <c r="Y1150" s="179"/>
      <c r="Z1150" s="50"/>
      <c r="AA1150" s="14"/>
    </row>
    <row r="1151">
      <c r="A1151" s="14"/>
      <c r="B1151" s="14"/>
      <c r="C1151" s="158"/>
      <c r="D1151" s="96"/>
      <c r="E1151" s="96"/>
      <c r="F1151" s="96"/>
      <c r="G1151" s="50"/>
      <c r="H1151" s="96"/>
      <c r="I1151" s="96"/>
      <c r="J1151" s="96"/>
      <c r="K1151" s="50"/>
      <c r="L1151" s="96"/>
      <c r="M1151" s="96"/>
      <c r="N1151" s="14"/>
      <c r="O1151" s="50"/>
      <c r="P1151" s="50"/>
      <c r="Q1151" s="50"/>
      <c r="R1151" s="50"/>
      <c r="S1151" s="50"/>
      <c r="T1151" s="50"/>
      <c r="U1151" s="50"/>
      <c r="V1151" s="50"/>
      <c r="W1151" s="14"/>
      <c r="X1151" s="50"/>
      <c r="Y1151" s="179"/>
      <c r="Z1151" s="50"/>
      <c r="AA1151" s="14"/>
    </row>
    <row r="1152">
      <c r="A1152" s="14"/>
      <c r="B1152" s="14"/>
      <c r="C1152" s="158"/>
      <c r="D1152" s="96"/>
      <c r="E1152" s="96"/>
      <c r="F1152" s="96"/>
      <c r="G1152" s="50"/>
      <c r="H1152" s="96"/>
      <c r="I1152" s="96"/>
      <c r="J1152" s="96"/>
      <c r="K1152" s="50"/>
      <c r="L1152" s="96"/>
      <c r="M1152" s="96"/>
      <c r="N1152" s="14"/>
      <c r="O1152" s="50"/>
      <c r="P1152" s="50"/>
      <c r="Q1152" s="50"/>
      <c r="R1152" s="50"/>
      <c r="S1152" s="50"/>
      <c r="T1152" s="50"/>
      <c r="U1152" s="50"/>
      <c r="V1152" s="50"/>
      <c r="W1152" s="14"/>
      <c r="X1152" s="50"/>
      <c r="Y1152" s="179"/>
      <c r="Z1152" s="50"/>
      <c r="AA1152" s="14"/>
    </row>
    <row r="1153">
      <c r="A1153" s="14"/>
      <c r="B1153" s="14"/>
      <c r="C1153" s="158"/>
      <c r="D1153" s="96"/>
      <c r="E1153" s="96"/>
      <c r="F1153" s="96"/>
      <c r="G1153" s="50"/>
      <c r="H1153" s="96"/>
      <c r="I1153" s="96"/>
      <c r="J1153" s="96"/>
      <c r="K1153" s="50"/>
      <c r="L1153" s="96"/>
      <c r="M1153" s="96"/>
      <c r="N1153" s="14"/>
      <c r="O1153" s="50"/>
      <c r="P1153" s="50"/>
      <c r="Q1153" s="50"/>
      <c r="R1153" s="50"/>
      <c r="S1153" s="50"/>
      <c r="T1153" s="50"/>
      <c r="U1153" s="50"/>
      <c r="V1153" s="50"/>
      <c r="W1153" s="14"/>
      <c r="X1153" s="50"/>
      <c r="Y1153" s="179"/>
      <c r="Z1153" s="50"/>
      <c r="AA1153" s="14"/>
    </row>
    <row r="1154">
      <c r="A1154" s="14"/>
      <c r="B1154" s="14"/>
      <c r="C1154" s="158"/>
      <c r="D1154" s="96"/>
      <c r="E1154" s="96"/>
      <c r="F1154" s="96"/>
      <c r="G1154" s="50"/>
      <c r="H1154" s="96"/>
      <c r="I1154" s="96"/>
      <c r="J1154" s="96"/>
      <c r="K1154" s="50"/>
      <c r="L1154" s="96"/>
      <c r="M1154" s="96"/>
      <c r="N1154" s="14"/>
      <c r="O1154" s="50"/>
      <c r="P1154" s="50"/>
      <c r="Q1154" s="50"/>
      <c r="R1154" s="50"/>
      <c r="S1154" s="50"/>
      <c r="T1154" s="50"/>
      <c r="U1154" s="50"/>
      <c r="V1154" s="50"/>
      <c r="W1154" s="14"/>
      <c r="X1154" s="50"/>
      <c r="Y1154" s="179"/>
      <c r="Z1154" s="50"/>
      <c r="AA1154" s="14"/>
    </row>
    <row r="1155">
      <c r="A1155" s="14"/>
      <c r="B1155" s="14"/>
      <c r="C1155" s="158"/>
      <c r="D1155" s="96"/>
      <c r="E1155" s="96"/>
      <c r="F1155" s="96"/>
      <c r="G1155" s="50"/>
      <c r="H1155" s="96"/>
      <c r="I1155" s="96"/>
      <c r="J1155" s="96"/>
      <c r="K1155" s="50"/>
      <c r="L1155" s="96"/>
      <c r="M1155" s="96"/>
      <c r="N1155" s="14"/>
      <c r="O1155" s="50"/>
      <c r="P1155" s="50"/>
      <c r="Q1155" s="50"/>
      <c r="R1155" s="50"/>
      <c r="S1155" s="50"/>
      <c r="T1155" s="50"/>
      <c r="U1155" s="50"/>
      <c r="V1155" s="50"/>
      <c r="W1155" s="14"/>
      <c r="X1155" s="50"/>
      <c r="Y1155" s="179"/>
      <c r="Z1155" s="50"/>
      <c r="AA1155" s="14"/>
    </row>
    <row r="1156">
      <c r="A1156" s="14"/>
      <c r="B1156" s="14"/>
      <c r="C1156" s="158"/>
      <c r="D1156" s="96"/>
      <c r="E1156" s="96"/>
      <c r="F1156" s="96"/>
      <c r="G1156" s="50"/>
      <c r="H1156" s="96"/>
      <c r="I1156" s="96"/>
      <c r="J1156" s="96"/>
      <c r="K1156" s="50"/>
      <c r="L1156" s="96"/>
      <c r="M1156" s="96"/>
      <c r="N1156" s="14"/>
      <c r="O1156" s="50"/>
      <c r="P1156" s="50"/>
      <c r="Q1156" s="50"/>
      <c r="R1156" s="50"/>
      <c r="S1156" s="50"/>
      <c r="T1156" s="50"/>
      <c r="U1156" s="50"/>
      <c r="V1156" s="50"/>
      <c r="W1156" s="14"/>
      <c r="X1156" s="50"/>
      <c r="Y1156" s="179"/>
      <c r="Z1156" s="50"/>
      <c r="AA1156" s="14"/>
    </row>
    <row r="1157">
      <c r="A1157" s="14"/>
      <c r="B1157" s="14"/>
      <c r="C1157" s="158"/>
      <c r="D1157" s="96"/>
      <c r="E1157" s="96"/>
      <c r="F1157" s="96"/>
      <c r="G1157" s="50"/>
      <c r="H1157" s="96"/>
      <c r="I1157" s="96"/>
      <c r="J1157" s="96"/>
      <c r="K1157" s="50"/>
      <c r="L1157" s="96"/>
      <c r="M1157" s="96"/>
      <c r="N1157" s="14"/>
      <c r="O1157" s="50"/>
      <c r="P1157" s="50"/>
      <c r="Q1157" s="50"/>
      <c r="R1157" s="50"/>
      <c r="S1157" s="50"/>
      <c r="T1157" s="50"/>
      <c r="U1157" s="50"/>
      <c r="V1157" s="50"/>
      <c r="W1157" s="14"/>
      <c r="X1157" s="50"/>
      <c r="Y1157" s="179"/>
      <c r="Z1157" s="50"/>
      <c r="AA1157" s="14"/>
    </row>
    <row r="1158">
      <c r="A1158" s="14"/>
      <c r="B1158" s="14"/>
      <c r="C1158" s="158"/>
      <c r="D1158" s="96"/>
      <c r="E1158" s="96"/>
      <c r="F1158" s="96"/>
      <c r="G1158" s="50"/>
      <c r="H1158" s="96"/>
      <c r="I1158" s="96"/>
      <c r="J1158" s="96"/>
      <c r="K1158" s="50"/>
      <c r="L1158" s="96"/>
      <c r="M1158" s="96"/>
      <c r="N1158" s="14"/>
      <c r="O1158" s="50"/>
      <c r="P1158" s="50"/>
      <c r="Q1158" s="50"/>
      <c r="R1158" s="50"/>
      <c r="S1158" s="50"/>
      <c r="T1158" s="50"/>
      <c r="U1158" s="50"/>
      <c r="V1158" s="50"/>
      <c r="W1158" s="14"/>
      <c r="X1158" s="50"/>
      <c r="Y1158" s="179"/>
      <c r="Z1158" s="50"/>
      <c r="AA1158" s="14"/>
    </row>
    <row r="1159">
      <c r="A1159" s="14"/>
      <c r="B1159" s="14"/>
      <c r="C1159" s="158"/>
      <c r="D1159" s="96"/>
      <c r="E1159" s="96"/>
      <c r="F1159" s="96"/>
      <c r="G1159" s="50"/>
      <c r="H1159" s="96"/>
      <c r="I1159" s="96"/>
      <c r="J1159" s="96"/>
      <c r="K1159" s="50"/>
      <c r="L1159" s="96"/>
      <c r="M1159" s="96"/>
      <c r="N1159" s="14"/>
      <c r="O1159" s="50"/>
      <c r="P1159" s="50"/>
      <c r="Q1159" s="50"/>
      <c r="R1159" s="50"/>
      <c r="S1159" s="50"/>
      <c r="T1159" s="50"/>
      <c r="U1159" s="50"/>
      <c r="V1159" s="50"/>
      <c r="W1159" s="14"/>
      <c r="X1159" s="50"/>
      <c r="Y1159" s="179"/>
      <c r="Z1159" s="50"/>
      <c r="AA1159" s="14"/>
    </row>
    <row r="1160">
      <c r="A1160" s="14"/>
      <c r="B1160" s="14"/>
      <c r="C1160" s="158"/>
      <c r="D1160" s="96"/>
      <c r="E1160" s="96"/>
      <c r="F1160" s="96"/>
      <c r="G1160" s="50"/>
      <c r="H1160" s="96"/>
      <c r="I1160" s="96"/>
      <c r="J1160" s="96"/>
      <c r="K1160" s="50"/>
      <c r="L1160" s="96"/>
      <c r="M1160" s="96"/>
      <c r="N1160" s="14"/>
      <c r="O1160" s="50"/>
      <c r="P1160" s="50"/>
      <c r="Q1160" s="50"/>
      <c r="R1160" s="50"/>
      <c r="S1160" s="50"/>
      <c r="T1160" s="50"/>
      <c r="U1160" s="50"/>
      <c r="V1160" s="50"/>
      <c r="W1160" s="14"/>
      <c r="X1160" s="50"/>
      <c r="Y1160" s="179"/>
      <c r="Z1160" s="50"/>
      <c r="AA1160" s="14"/>
    </row>
    <row r="1161">
      <c r="A1161" s="14"/>
      <c r="B1161" s="14"/>
      <c r="C1161" s="158"/>
      <c r="D1161" s="96"/>
      <c r="E1161" s="96"/>
      <c r="F1161" s="96"/>
      <c r="G1161" s="50"/>
      <c r="H1161" s="96"/>
      <c r="I1161" s="96"/>
      <c r="J1161" s="96"/>
      <c r="K1161" s="50"/>
      <c r="L1161" s="96"/>
      <c r="M1161" s="96"/>
      <c r="N1161" s="14"/>
      <c r="O1161" s="50"/>
      <c r="P1161" s="50"/>
      <c r="Q1161" s="50"/>
      <c r="R1161" s="50"/>
      <c r="S1161" s="50"/>
      <c r="T1161" s="50"/>
      <c r="U1161" s="50"/>
      <c r="V1161" s="50"/>
      <c r="W1161" s="14"/>
      <c r="X1161" s="50"/>
      <c r="Y1161" s="179"/>
      <c r="Z1161" s="50"/>
      <c r="AA1161" s="14"/>
    </row>
    <row r="1162">
      <c r="A1162" s="14"/>
      <c r="B1162" s="14"/>
      <c r="C1162" s="158"/>
      <c r="D1162" s="96"/>
      <c r="E1162" s="96"/>
      <c r="F1162" s="96"/>
      <c r="G1162" s="50"/>
      <c r="H1162" s="96"/>
      <c r="I1162" s="96"/>
      <c r="J1162" s="96"/>
      <c r="K1162" s="50"/>
      <c r="L1162" s="96"/>
      <c r="M1162" s="96"/>
      <c r="N1162" s="14"/>
      <c r="O1162" s="50"/>
      <c r="P1162" s="50"/>
      <c r="Q1162" s="50"/>
      <c r="R1162" s="50"/>
      <c r="S1162" s="50"/>
      <c r="T1162" s="50"/>
      <c r="U1162" s="50"/>
      <c r="V1162" s="50"/>
      <c r="W1162" s="14"/>
      <c r="X1162" s="50"/>
      <c r="Y1162" s="179"/>
      <c r="Z1162" s="50"/>
      <c r="AA1162" s="14"/>
    </row>
    <row r="1163">
      <c r="A1163" s="14"/>
      <c r="B1163" s="14"/>
      <c r="C1163" s="158"/>
      <c r="D1163" s="96"/>
      <c r="E1163" s="96"/>
      <c r="F1163" s="96"/>
      <c r="G1163" s="50"/>
      <c r="H1163" s="96"/>
      <c r="I1163" s="96"/>
      <c r="J1163" s="96"/>
      <c r="K1163" s="50"/>
      <c r="L1163" s="96"/>
      <c r="M1163" s="96"/>
      <c r="N1163" s="14"/>
      <c r="O1163" s="50"/>
      <c r="P1163" s="50"/>
      <c r="Q1163" s="50"/>
      <c r="R1163" s="50"/>
      <c r="S1163" s="50"/>
      <c r="T1163" s="50"/>
      <c r="U1163" s="50"/>
      <c r="V1163" s="50"/>
      <c r="W1163" s="14"/>
      <c r="X1163" s="50"/>
      <c r="Y1163" s="179"/>
      <c r="Z1163" s="50"/>
      <c r="AA1163" s="14"/>
    </row>
    <row r="1164">
      <c r="A1164" s="14"/>
      <c r="B1164" s="14"/>
      <c r="C1164" s="158"/>
      <c r="D1164" s="96"/>
      <c r="E1164" s="96"/>
      <c r="F1164" s="96"/>
      <c r="G1164" s="50"/>
      <c r="H1164" s="96"/>
      <c r="I1164" s="96"/>
      <c r="J1164" s="96"/>
      <c r="K1164" s="50"/>
      <c r="L1164" s="96"/>
      <c r="M1164" s="96"/>
      <c r="N1164" s="14"/>
      <c r="O1164" s="50"/>
      <c r="P1164" s="50"/>
      <c r="Q1164" s="50"/>
      <c r="R1164" s="50"/>
      <c r="S1164" s="50"/>
      <c r="T1164" s="50"/>
      <c r="U1164" s="50"/>
      <c r="V1164" s="50"/>
      <c r="W1164" s="14"/>
      <c r="X1164" s="50"/>
      <c r="Y1164" s="179"/>
      <c r="Z1164" s="50"/>
      <c r="AA1164" s="14"/>
    </row>
    <row r="1165">
      <c r="A1165" s="14"/>
      <c r="B1165" s="14"/>
      <c r="C1165" s="158"/>
      <c r="D1165" s="96"/>
      <c r="E1165" s="96"/>
      <c r="F1165" s="96"/>
      <c r="G1165" s="50"/>
      <c r="H1165" s="96"/>
      <c r="I1165" s="96"/>
      <c r="J1165" s="96"/>
      <c r="K1165" s="50"/>
      <c r="L1165" s="96"/>
      <c r="M1165" s="96"/>
      <c r="N1165" s="14"/>
      <c r="O1165" s="50"/>
      <c r="P1165" s="50"/>
      <c r="Q1165" s="50"/>
      <c r="R1165" s="50"/>
      <c r="S1165" s="50"/>
      <c r="T1165" s="50"/>
      <c r="U1165" s="50"/>
      <c r="V1165" s="50"/>
      <c r="W1165" s="14"/>
      <c r="X1165" s="50"/>
      <c r="Y1165" s="179"/>
      <c r="Z1165" s="50"/>
      <c r="AA1165" s="14"/>
    </row>
    <row r="1166">
      <c r="A1166" s="14"/>
      <c r="B1166" s="14"/>
      <c r="C1166" s="158"/>
      <c r="D1166" s="96"/>
      <c r="E1166" s="96"/>
      <c r="F1166" s="96"/>
      <c r="G1166" s="50"/>
      <c r="H1166" s="96"/>
      <c r="I1166" s="96"/>
      <c r="J1166" s="96"/>
      <c r="K1166" s="50"/>
      <c r="L1166" s="96"/>
      <c r="M1166" s="96"/>
      <c r="N1166" s="14"/>
      <c r="O1166" s="50"/>
      <c r="P1166" s="50"/>
      <c r="Q1166" s="50"/>
      <c r="R1166" s="50"/>
      <c r="S1166" s="50"/>
      <c r="T1166" s="50"/>
      <c r="U1166" s="50"/>
      <c r="V1166" s="50"/>
      <c r="W1166" s="14"/>
      <c r="X1166" s="50"/>
      <c r="Y1166" s="179"/>
      <c r="Z1166" s="50"/>
      <c r="AA1166" s="14"/>
    </row>
    <row r="1167">
      <c r="A1167" s="14"/>
      <c r="B1167" s="14"/>
      <c r="C1167" s="158"/>
      <c r="D1167" s="96"/>
      <c r="E1167" s="96"/>
      <c r="F1167" s="96"/>
      <c r="G1167" s="50"/>
      <c r="H1167" s="96"/>
      <c r="I1167" s="96"/>
      <c r="J1167" s="96"/>
      <c r="K1167" s="50"/>
      <c r="L1167" s="96"/>
      <c r="M1167" s="96"/>
      <c r="N1167" s="14"/>
      <c r="O1167" s="50"/>
      <c r="P1167" s="50"/>
      <c r="Q1167" s="50"/>
      <c r="R1167" s="50"/>
      <c r="S1167" s="50"/>
      <c r="T1167" s="50"/>
      <c r="U1167" s="50"/>
      <c r="V1167" s="50"/>
      <c r="W1167" s="14"/>
      <c r="X1167" s="50"/>
      <c r="Y1167" s="179"/>
      <c r="Z1167" s="50"/>
      <c r="AA1167" s="14"/>
    </row>
    <row r="1168">
      <c r="A1168" s="14"/>
      <c r="B1168" s="14"/>
      <c r="C1168" s="158"/>
      <c r="D1168" s="96"/>
      <c r="E1168" s="96"/>
      <c r="F1168" s="96"/>
      <c r="G1168" s="50"/>
      <c r="H1168" s="96"/>
      <c r="I1168" s="96"/>
      <c r="J1168" s="96"/>
      <c r="K1168" s="50"/>
      <c r="L1168" s="96"/>
      <c r="M1168" s="96"/>
      <c r="N1168" s="14"/>
      <c r="O1168" s="50"/>
      <c r="P1168" s="50"/>
      <c r="Q1168" s="50"/>
      <c r="R1168" s="50"/>
      <c r="S1168" s="50"/>
      <c r="T1168" s="50"/>
      <c r="U1168" s="50"/>
      <c r="V1168" s="50"/>
      <c r="W1168" s="14"/>
      <c r="X1168" s="50"/>
      <c r="Y1168" s="179"/>
      <c r="Z1168" s="50"/>
      <c r="AA1168" s="14"/>
    </row>
    <row r="1169">
      <c r="A1169" s="14"/>
      <c r="B1169" s="14"/>
      <c r="C1169" s="158"/>
      <c r="D1169" s="96"/>
      <c r="E1169" s="96"/>
      <c r="F1169" s="96"/>
      <c r="G1169" s="50"/>
      <c r="H1169" s="96"/>
      <c r="I1169" s="96"/>
      <c r="J1169" s="96"/>
      <c r="K1169" s="50"/>
      <c r="L1169" s="96"/>
      <c r="M1169" s="96"/>
      <c r="N1169" s="14"/>
      <c r="O1169" s="50"/>
      <c r="P1169" s="50"/>
      <c r="Q1169" s="50"/>
      <c r="R1169" s="50"/>
      <c r="S1169" s="50"/>
      <c r="T1169" s="50"/>
      <c r="U1169" s="50"/>
      <c r="V1169" s="50"/>
      <c r="W1169" s="14"/>
      <c r="X1169" s="50"/>
      <c r="Y1169" s="179"/>
      <c r="Z1169" s="50"/>
      <c r="AA1169" s="14"/>
    </row>
    <row r="1170">
      <c r="A1170" s="14"/>
      <c r="B1170" s="14"/>
      <c r="C1170" s="158"/>
      <c r="D1170" s="96"/>
      <c r="E1170" s="96"/>
      <c r="F1170" s="96"/>
      <c r="G1170" s="50"/>
      <c r="H1170" s="96"/>
      <c r="I1170" s="96"/>
      <c r="J1170" s="96"/>
      <c r="K1170" s="50"/>
      <c r="L1170" s="96"/>
      <c r="M1170" s="96"/>
      <c r="N1170" s="14"/>
      <c r="O1170" s="50"/>
      <c r="P1170" s="50"/>
      <c r="Q1170" s="50"/>
      <c r="R1170" s="50"/>
      <c r="S1170" s="50"/>
      <c r="T1170" s="50"/>
      <c r="U1170" s="50"/>
      <c r="V1170" s="50"/>
      <c r="W1170" s="14"/>
      <c r="X1170" s="50"/>
      <c r="Y1170" s="179"/>
      <c r="Z1170" s="50"/>
      <c r="AA1170" s="14"/>
    </row>
    <row r="1171">
      <c r="A1171" s="14"/>
      <c r="B1171" s="14"/>
      <c r="C1171" s="158"/>
      <c r="D1171" s="96"/>
      <c r="E1171" s="96"/>
      <c r="F1171" s="96"/>
      <c r="G1171" s="50"/>
      <c r="H1171" s="96"/>
      <c r="I1171" s="96"/>
      <c r="J1171" s="96"/>
      <c r="K1171" s="50"/>
      <c r="L1171" s="96"/>
      <c r="M1171" s="96"/>
      <c r="N1171" s="14"/>
      <c r="O1171" s="50"/>
      <c r="P1171" s="50"/>
      <c r="Q1171" s="50"/>
      <c r="R1171" s="50"/>
      <c r="S1171" s="50"/>
      <c r="T1171" s="50"/>
      <c r="U1171" s="50"/>
      <c r="V1171" s="50"/>
      <c r="W1171" s="14"/>
      <c r="X1171" s="50"/>
      <c r="Y1171" s="179"/>
      <c r="Z1171" s="50"/>
      <c r="AA1171" s="14"/>
    </row>
    <row r="1172">
      <c r="A1172" s="14"/>
      <c r="B1172" s="14"/>
      <c r="C1172" s="158"/>
      <c r="D1172" s="96"/>
      <c r="E1172" s="96"/>
      <c r="F1172" s="96"/>
      <c r="G1172" s="50"/>
      <c r="H1172" s="96"/>
      <c r="I1172" s="96"/>
      <c r="J1172" s="96"/>
      <c r="K1172" s="50"/>
      <c r="L1172" s="96"/>
      <c r="M1172" s="96"/>
      <c r="N1172" s="14"/>
      <c r="O1172" s="50"/>
      <c r="P1172" s="50"/>
      <c r="Q1172" s="50"/>
      <c r="R1172" s="50"/>
      <c r="S1172" s="50"/>
      <c r="T1172" s="50"/>
      <c r="U1172" s="50"/>
      <c r="V1172" s="50"/>
      <c r="W1172" s="14"/>
      <c r="X1172" s="50"/>
      <c r="Y1172" s="179"/>
      <c r="Z1172" s="50"/>
      <c r="AA1172" s="14"/>
    </row>
    <row r="1173">
      <c r="A1173" s="14"/>
      <c r="B1173" s="14"/>
      <c r="C1173" s="158"/>
      <c r="D1173" s="96"/>
      <c r="E1173" s="96"/>
      <c r="F1173" s="96"/>
      <c r="G1173" s="50"/>
      <c r="H1173" s="96"/>
      <c r="I1173" s="96"/>
      <c r="J1173" s="96"/>
      <c r="K1173" s="50"/>
      <c r="L1173" s="96"/>
      <c r="M1173" s="96"/>
      <c r="N1173" s="14"/>
      <c r="O1173" s="50"/>
      <c r="P1173" s="50"/>
      <c r="Q1173" s="50"/>
      <c r="R1173" s="50"/>
      <c r="S1173" s="50"/>
      <c r="T1173" s="50"/>
      <c r="U1173" s="50"/>
      <c r="V1173" s="50"/>
      <c r="W1173" s="14"/>
      <c r="X1173" s="50"/>
      <c r="Y1173" s="179"/>
      <c r="Z1173" s="50"/>
      <c r="AA1173" s="14"/>
    </row>
    <row r="1174">
      <c r="A1174" s="14"/>
      <c r="B1174" s="14"/>
      <c r="C1174" s="158"/>
      <c r="D1174" s="96"/>
      <c r="E1174" s="96"/>
      <c r="F1174" s="96"/>
      <c r="G1174" s="50"/>
      <c r="H1174" s="96"/>
      <c r="I1174" s="96"/>
      <c r="J1174" s="96"/>
      <c r="K1174" s="50"/>
      <c r="L1174" s="96"/>
      <c r="M1174" s="96"/>
      <c r="N1174" s="14"/>
      <c r="O1174" s="50"/>
      <c r="P1174" s="50"/>
      <c r="Q1174" s="50"/>
      <c r="R1174" s="50"/>
      <c r="S1174" s="50"/>
      <c r="T1174" s="50"/>
      <c r="U1174" s="50"/>
      <c r="V1174" s="50"/>
      <c r="W1174" s="14"/>
      <c r="X1174" s="50"/>
      <c r="Y1174" s="179"/>
      <c r="Z1174" s="50"/>
      <c r="AA1174" s="14"/>
    </row>
    <row r="1175">
      <c r="A1175" s="14"/>
      <c r="B1175" s="14"/>
      <c r="C1175" s="158"/>
      <c r="D1175" s="96"/>
      <c r="E1175" s="96"/>
      <c r="F1175" s="96"/>
      <c r="G1175" s="50"/>
      <c r="H1175" s="96"/>
      <c r="I1175" s="96"/>
      <c r="J1175" s="96"/>
      <c r="K1175" s="50"/>
      <c r="L1175" s="96"/>
      <c r="M1175" s="96"/>
      <c r="N1175" s="14"/>
      <c r="O1175" s="50"/>
      <c r="P1175" s="50"/>
      <c r="Q1175" s="50"/>
      <c r="R1175" s="50"/>
      <c r="S1175" s="50"/>
      <c r="T1175" s="50"/>
      <c r="U1175" s="50"/>
      <c r="V1175" s="50"/>
      <c r="W1175" s="14"/>
      <c r="X1175" s="50"/>
      <c r="Y1175" s="179"/>
      <c r="Z1175" s="50"/>
      <c r="AA1175" s="14"/>
    </row>
    <row r="1176">
      <c r="A1176" s="14"/>
      <c r="B1176" s="14"/>
      <c r="C1176" s="158"/>
      <c r="D1176" s="96"/>
      <c r="E1176" s="96"/>
      <c r="F1176" s="96"/>
      <c r="G1176" s="50"/>
      <c r="H1176" s="96"/>
      <c r="I1176" s="96"/>
      <c r="J1176" s="96"/>
      <c r="K1176" s="50"/>
      <c r="L1176" s="96"/>
      <c r="M1176" s="96"/>
      <c r="N1176" s="14"/>
      <c r="O1176" s="50"/>
      <c r="P1176" s="50"/>
      <c r="Q1176" s="50"/>
      <c r="R1176" s="50"/>
      <c r="S1176" s="50"/>
      <c r="T1176" s="50"/>
      <c r="U1176" s="50"/>
      <c r="V1176" s="50"/>
      <c r="W1176" s="14"/>
      <c r="X1176" s="50"/>
      <c r="Y1176" s="179"/>
      <c r="Z1176" s="50"/>
      <c r="AA1176" s="14"/>
    </row>
    <row r="1177">
      <c r="A1177" s="14"/>
      <c r="B1177" s="14"/>
      <c r="C1177" s="158"/>
      <c r="D1177" s="96"/>
      <c r="E1177" s="96"/>
      <c r="F1177" s="96"/>
      <c r="G1177" s="50"/>
      <c r="H1177" s="96"/>
      <c r="I1177" s="96"/>
      <c r="J1177" s="96"/>
      <c r="K1177" s="50"/>
      <c r="L1177" s="96"/>
      <c r="M1177" s="96"/>
      <c r="N1177" s="14"/>
      <c r="O1177" s="50"/>
      <c r="P1177" s="50"/>
      <c r="Q1177" s="50"/>
      <c r="R1177" s="50"/>
      <c r="S1177" s="50"/>
      <c r="T1177" s="50"/>
      <c r="U1177" s="50"/>
      <c r="V1177" s="50"/>
      <c r="W1177" s="14"/>
      <c r="X1177" s="50"/>
      <c r="Y1177" s="179"/>
      <c r="Z1177" s="50"/>
      <c r="AA1177" s="14"/>
    </row>
    <row r="1178">
      <c r="A1178" s="14"/>
      <c r="B1178" s="14"/>
      <c r="C1178" s="158"/>
      <c r="D1178" s="96"/>
      <c r="E1178" s="96"/>
      <c r="F1178" s="96"/>
      <c r="G1178" s="50"/>
      <c r="H1178" s="96"/>
      <c r="I1178" s="96"/>
      <c r="J1178" s="96"/>
      <c r="K1178" s="50"/>
      <c r="L1178" s="96"/>
      <c r="M1178" s="96"/>
      <c r="N1178" s="14"/>
      <c r="O1178" s="50"/>
      <c r="P1178" s="50"/>
      <c r="Q1178" s="50"/>
      <c r="R1178" s="50"/>
      <c r="S1178" s="50"/>
      <c r="T1178" s="50"/>
      <c r="U1178" s="50"/>
      <c r="V1178" s="50"/>
      <c r="W1178" s="14"/>
      <c r="X1178" s="50"/>
      <c r="Y1178" s="179"/>
      <c r="Z1178" s="50"/>
      <c r="AA1178" s="14"/>
    </row>
    <row r="1179">
      <c r="A1179" s="14"/>
      <c r="B1179" s="14"/>
      <c r="C1179" s="158"/>
      <c r="D1179" s="96"/>
      <c r="E1179" s="96"/>
      <c r="F1179" s="96"/>
      <c r="G1179" s="50"/>
      <c r="H1179" s="96"/>
      <c r="I1179" s="96"/>
      <c r="J1179" s="96"/>
      <c r="K1179" s="50"/>
      <c r="L1179" s="96"/>
      <c r="M1179" s="96"/>
      <c r="N1179" s="14"/>
      <c r="O1179" s="50"/>
      <c r="P1179" s="50"/>
      <c r="Q1179" s="50"/>
      <c r="R1179" s="50"/>
      <c r="S1179" s="50"/>
      <c r="T1179" s="50"/>
      <c r="U1179" s="50"/>
      <c r="V1179" s="50"/>
      <c r="W1179" s="14"/>
      <c r="X1179" s="50"/>
      <c r="Y1179" s="179"/>
      <c r="Z1179" s="50"/>
      <c r="AA1179" s="14"/>
    </row>
    <row r="1180">
      <c r="A1180" s="14"/>
      <c r="B1180" s="14"/>
      <c r="C1180" s="158"/>
      <c r="D1180" s="96"/>
      <c r="E1180" s="96"/>
      <c r="F1180" s="96"/>
      <c r="G1180" s="50"/>
      <c r="H1180" s="96"/>
      <c r="I1180" s="96"/>
      <c r="J1180" s="96"/>
      <c r="K1180" s="50"/>
      <c r="L1180" s="96"/>
      <c r="M1180" s="96"/>
      <c r="N1180" s="14"/>
      <c r="O1180" s="50"/>
      <c r="P1180" s="50"/>
      <c r="Q1180" s="50"/>
      <c r="R1180" s="50"/>
      <c r="S1180" s="50"/>
      <c r="T1180" s="50"/>
      <c r="U1180" s="50"/>
      <c r="V1180" s="50"/>
      <c r="W1180" s="14"/>
      <c r="X1180" s="50"/>
      <c r="Y1180" s="179"/>
      <c r="Z1180" s="50"/>
      <c r="AA1180" s="14"/>
    </row>
    <row r="1181">
      <c r="A1181" s="14"/>
      <c r="B1181" s="14"/>
      <c r="C1181" s="158"/>
      <c r="D1181" s="96"/>
      <c r="E1181" s="96"/>
      <c r="F1181" s="96"/>
      <c r="G1181" s="50"/>
      <c r="H1181" s="96"/>
      <c r="I1181" s="96"/>
      <c r="J1181" s="96"/>
      <c r="K1181" s="50"/>
      <c r="L1181" s="96"/>
      <c r="M1181" s="96"/>
      <c r="N1181" s="14"/>
      <c r="O1181" s="50"/>
      <c r="P1181" s="50"/>
      <c r="Q1181" s="50"/>
      <c r="R1181" s="50"/>
      <c r="S1181" s="50"/>
      <c r="T1181" s="50"/>
      <c r="U1181" s="50"/>
      <c r="V1181" s="50"/>
      <c r="W1181" s="14"/>
      <c r="X1181" s="50"/>
      <c r="Y1181" s="179"/>
      <c r="Z1181" s="50"/>
      <c r="AA1181" s="14"/>
    </row>
    <row r="1182">
      <c r="A1182" s="14"/>
      <c r="B1182" s="14"/>
      <c r="C1182" s="158"/>
      <c r="D1182" s="96"/>
      <c r="E1182" s="96"/>
      <c r="F1182" s="96"/>
      <c r="G1182" s="50"/>
      <c r="H1182" s="96"/>
      <c r="I1182" s="96"/>
      <c r="J1182" s="96"/>
      <c r="K1182" s="50"/>
      <c r="L1182" s="96"/>
      <c r="M1182" s="96"/>
      <c r="N1182" s="14"/>
      <c r="O1182" s="50"/>
      <c r="P1182" s="50"/>
      <c r="Q1182" s="50"/>
      <c r="R1182" s="50"/>
      <c r="S1182" s="50"/>
      <c r="T1182" s="50"/>
      <c r="U1182" s="50"/>
      <c r="V1182" s="50"/>
      <c r="W1182" s="14"/>
      <c r="X1182" s="50"/>
      <c r="Y1182" s="179"/>
      <c r="Z1182" s="50"/>
      <c r="AA1182" s="14"/>
    </row>
    <row r="1183">
      <c r="A1183" s="14"/>
      <c r="B1183" s="14"/>
      <c r="C1183" s="158"/>
      <c r="D1183" s="96"/>
      <c r="E1183" s="96"/>
      <c r="F1183" s="96"/>
      <c r="G1183" s="50"/>
      <c r="H1183" s="96"/>
      <c r="I1183" s="96"/>
      <c r="J1183" s="96"/>
      <c r="K1183" s="50"/>
      <c r="L1183" s="96"/>
      <c r="M1183" s="96"/>
      <c r="N1183" s="14"/>
      <c r="O1183" s="50"/>
      <c r="P1183" s="50"/>
      <c r="Q1183" s="50"/>
      <c r="R1183" s="50"/>
      <c r="S1183" s="50"/>
      <c r="T1183" s="50"/>
      <c r="U1183" s="50"/>
      <c r="V1183" s="50"/>
      <c r="W1183" s="14"/>
      <c r="X1183" s="50"/>
      <c r="Y1183" s="179"/>
      <c r="Z1183" s="50"/>
      <c r="AA1183" s="14"/>
    </row>
    <row r="1184">
      <c r="A1184" s="14"/>
      <c r="B1184" s="14"/>
      <c r="C1184" s="158"/>
      <c r="D1184" s="96"/>
      <c r="E1184" s="96"/>
      <c r="F1184" s="96"/>
      <c r="G1184" s="50"/>
      <c r="H1184" s="96"/>
      <c r="I1184" s="96"/>
      <c r="J1184" s="96"/>
      <c r="K1184" s="50"/>
      <c r="L1184" s="96"/>
      <c r="M1184" s="96"/>
      <c r="N1184" s="14"/>
      <c r="O1184" s="50"/>
      <c r="P1184" s="50"/>
      <c r="Q1184" s="50"/>
      <c r="R1184" s="50"/>
      <c r="S1184" s="50"/>
      <c r="T1184" s="50"/>
      <c r="U1184" s="50"/>
      <c r="V1184" s="50"/>
      <c r="W1184" s="14"/>
      <c r="X1184" s="50"/>
      <c r="Y1184" s="179"/>
      <c r="Z1184" s="50"/>
      <c r="AA1184" s="14"/>
    </row>
    <row r="1185">
      <c r="A1185" s="14"/>
      <c r="B1185" s="14"/>
      <c r="C1185" s="158"/>
      <c r="D1185" s="96"/>
      <c r="E1185" s="96"/>
      <c r="F1185" s="96"/>
      <c r="G1185" s="50"/>
      <c r="H1185" s="96"/>
      <c r="I1185" s="96"/>
      <c r="J1185" s="96"/>
      <c r="K1185" s="50"/>
      <c r="L1185" s="96"/>
      <c r="M1185" s="96"/>
      <c r="N1185" s="14"/>
      <c r="O1185" s="50"/>
      <c r="P1185" s="50"/>
      <c r="Q1185" s="50"/>
      <c r="R1185" s="50"/>
      <c r="S1185" s="50"/>
      <c r="T1185" s="50"/>
      <c r="U1185" s="50"/>
      <c r="V1185" s="50"/>
      <c r="W1185" s="14"/>
      <c r="X1185" s="50"/>
      <c r="Y1185" s="179"/>
      <c r="Z1185" s="50"/>
      <c r="AA1185" s="14"/>
    </row>
    <row r="1186">
      <c r="A1186" s="14"/>
      <c r="B1186" s="14"/>
      <c r="C1186" s="158"/>
      <c r="D1186" s="96"/>
      <c r="E1186" s="96"/>
      <c r="F1186" s="96"/>
      <c r="G1186" s="50"/>
      <c r="H1186" s="96"/>
      <c r="I1186" s="96"/>
      <c r="J1186" s="96"/>
      <c r="K1186" s="50"/>
      <c r="L1186" s="96"/>
      <c r="M1186" s="96"/>
      <c r="N1186" s="14"/>
      <c r="O1186" s="50"/>
      <c r="P1186" s="50"/>
      <c r="Q1186" s="50"/>
      <c r="R1186" s="50"/>
      <c r="S1186" s="50"/>
      <c r="T1186" s="50"/>
      <c r="U1186" s="50"/>
      <c r="V1186" s="50"/>
      <c r="W1186" s="14"/>
      <c r="X1186" s="50"/>
      <c r="Y1186" s="179"/>
      <c r="Z1186" s="50"/>
      <c r="AA1186" s="14"/>
    </row>
    <row r="1187">
      <c r="A1187" s="14"/>
      <c r="B1187" s="14"/>
      <c r="C1187" s="158"/>
      <c r="D1187" s="96"/>
      <c r="E1187" s="96"/>
      <c r="F1187" s="96"/>
      <c r="G1187" s="50"/>
      <c r="H1187" s="96"/>
      <c r="I1187" s="96"/>
      <c r="J1187" s="96"/>
      <c r="K1187" s="50"/>
      <c r="L1187" s="96"/>
      <c r="M1187" s="96"/>
      <c r="N1187" s="14"/>
      <c r="O1187" s="50"/>
      <c r="P1187" s="50"/>
      <c r="Q1187" s="50"/>
      <c r="R1187" s="50"/>
      <c r="S1187" s="50"/>
      <c r="T1187" s="50"/>
      <c r="U1187" s="50"/>
      <c r="V1187" s="50"/>
      <c r="W1187" s="14"/>
      <c r="X1187" s="50"/>
      <c r="Y1187" s="179"/>
      <c r="Z1187" s="50"/>
      <c r="AA1187" s="14"/>
    </row>
    <row r="1188">
      <c r="A1188" s="14"/>
      <c r="B1188" s="14"/>
      <c r="C1188" s="158"/>
      <c r="D1188" s="96"/>
      <c r="E1188" s="96"/>
      <c r="F1188" s="96"/>
      <c r="G1188" s="50"/>
      <c r="H1188" s="96"/>
      <c r="I1188" s="96"/>
      <c r="J1188" s="96"/>
      <c r="K1188" s="50"/>
      <c r="L1188" s="96"/>
      <c r="M1188" s="96"/>
      <c r="N1188" s="14"/>
      <c r="O1188" s="50"/>
      <c r="P1188" s="50"/>
      <c r="Q1188" s="50"/>
      <c r="R1188" s="50"/>
      <c r="S1188" s="50"/>
      <c r="T1188" s="50"/>
      <c r="U1188" s="50"/>
      <c r="V1188" s="50"/>
      <c r="W1188" s="14"/>
      <c r="X1188" s="50"/>
      <c r="Y1188" s="179"/>
      <c r="Z1188" s="50"/>
      <c r="AA1188" s="14"/>
    </row>
    <row r="1189">
      <c r="A1189" s="14"/>
      <c r="B1189" s="14"/>
      <c r="C1189" s="158"/>
      <c r="D1189" s="96"/>
      <c r="E1189" s="96"/>
      <c r="F1189" s="96"/>
      <c r="G1189" s="50"/>
      <c r="H1189" s="96"/>
      <c r="I1189" s="96"/>
      <c r="J1189" s="96"/>
      <c r="K1189" s="50"/>
      <c r="L1189" s="96"/>
      <c r="M1189" s="96"/>
      <c r="N1189" s="14"/>
      <c r="O1189" s="50"/>
      <c r="P1189" s="50"/>
      <c r="Q1189" s="50"/>
      <c r="R1189" s="50"/>
      <c r="S1189" s="50"/>
      <c r="T1189" s="50"/>
      <c r="U1189" s="50"/>
      <c r="V1189" s="50"/>
      <c r="W1189" s="14"/>
      <c r="X1189" s="50"/>
      <c r="Y1189" s="179"/>
      <c r="Z1189" s="50"/>
      <c r="AA1189" s="14"/>
    </row>
    <row r="1190">
      <c r="A1190" s="14"/>
      <c r="B1190" s="14"/>
      <c r="C1190" s="158"/>
      <c r="D1190" s="96"/>
      <c r="E1190" s="96"/>
      <c r="F1190" s="96"/>
      <c r="G1190" s="50"/>
      <c r="H1190" s="96"/>
      <c r="I1190" s="96"/>
      <c r="J1190" s="96"/>
      <c r="K1190" s="50"/>
      <c r="L1190" s="96"/>
      <c r="M1190" s="96"/>
      <c r="N1190" s="14"/>
      <c r="O1190" s="50"/>
      <c r="P1190" s="50"/>
      <c r="Q1190" s="50"/>
      <c r="R1190" s="50"/>
      <c r="S1190" s="50"/>
      <c r="T1190" s="50"/>
      <c r="U1190" s="50"/>
      <c r="V1190" s="50"/>
      <c r="W1190" s="14"/>
      <c r="X1190" s="50"/>
      <c r="Y1190" s="179"/>
      <c r="Z1190" s="50"/>
      <c r="AA1190" s="14"/>
    </row>
    <row r="1191">
      <c r="A1191" s="14"/>
      <c r="B1191" s="14"/>
      <c r="C1191" s="158"/>
      <c r="D1191" s="96"/>
      <c r="E1191" s="96"/>
      <c r="F1191" s="96"/>
      <c r="G1191" s="50"/>
      <c r="H1191" s="96"/>
      <c r="I1191" s="96"/>
      <c r="J1191" s="96"/>
      <c r="K1191" s="50"/>
      <c r="L1191" s="96"/>
      <c r="M1191" s="96"/>
      <c r="N1191" s="14"/>
      <c r="O1191" s="50"/>
      <c r="P1191" s="50"/>
      <c r="Q1191" s="50"/>
      <c r="R1191" s="50"/>
      <c r="S1191" s="50"/>
      <c r="T1191" s="50"/>
      <c r="U1191" s="50"/>
      <c r="V1191" s="50"/>
      <c r="W1191" s="14"/>
      <c r="X1191" s="50"/>
      <c r="Y1191" s="179"/>
      <c r="Z1191" s="50"/>
      <c r="AA1191" s="14"/>
    </row>
    <row r="1192">
      <c r="A1192" s="14"/>
      <c r="B1192" s="14"/>
      <c r="C1192" s="158"/>
      <c r="D1192" s="96"/>
      <c r="E1192" s="96"/>
      <c r="F1192" s="96"/>
      <c r="G1192" s="50"/>
      <c r="H1192" s="96"/>
      <c r="I1192" s="96"/>
      <c r="J1192" s="96"/>
      <c r="K1192" s="50"/>
      <c r="L1192" s="96"/>
      <c r="M1192" s="96"/>
      <c r="N1192" s="14"/>
      <c r="O1192" s="50"/>
      <c r="P1192" s="50"/>
      <c r="Q1192" s="50"/>
      <c r="R1192" s="50"/>
      <c r="S1192" s="50"/>
      <c r="T1192" s="50"/>
      <c r="U1192" s="50"/>
      <c r="V1192" s="50"/>
      <c r="W1192" s="14"/>
      <c r="X1192" s="50"/>
      <c r="Y1192" s="179"/>
      <c r="Z1192" s="50"/>
      <c r="AA1192" s="14"/>
    </row>
    <row r="1193">
      <c r="A1193" s="14"/>
      <c r="B1193" s="14"/>
      <c r="C1193" s="158"/>
      <c r="D1193" s="96"/>
      <c r="E1193" s="96"/>
      <c r="F1193" s="96"/>
      <c r="G1193" s="50"/>
      <c r="H1193" s="96"/>
      <c r="I1193" s="96"/>
      <c r="J1193" s="96"/>
      <c r="K1193" s="50"/>
      <c r="L1193" s="96"/>
      <c r="M1193" s="96"/>
      <c r="N1193" s="14"/>
      <c r="O1193" s="50"/>
      <c r="P1193" s="50"/>
      <c r="Q1193" s="50"/>
      <c r="R1193" s="50"/>
      <c r="S1193" s="50"/>
      <c r="T1193" s="50"/>
      <c r="U1193" s="50"/>
      <c r="V1193" s="50"/>
      <c r="W1193" s="14"/>
      <c r="X1193" s="50"/>
      <c r="Y1193" s="179"/>
      <c r="Z1193" s="50"/>
      <c r="AA1193" s="14"/>
    </row>
    <row r="1194">
      <c r="A1194" s="14"/>
      <c r="B1194" s="14"/>
      <c r="C1194" s="158"/>
      <c r="D1194" s="96"/>
      <c r="E1194" s="96"/>
      <c r="F1194" s="96"/>
      <c r="G1194" s="50"/>
      <c r="H1194" s="96"/>
      <c r="I1194" s="96"/>
      <c r="J1194" s="96"/>
      <c r="K1194" s="50"/>
      <c r="L1194" s="96"/>
      <c r="M1194" s="96"/>
      <c r="N1194" s="14"/>
      <c r="O1194" s="50"/>
      <c r="P1194" s="50"/>
      <c r="Q1194" s="50"/>
      <c r="R1194" s="50"/>
      <c r="S1194" s="50"/>
      <c r="T1194" s="50"/>
      <c r="U1194" s="50"/>
      <c r="V1194" s="50"/>
      <c r="W1194" s="14"/>
      <c r="X1194" s="50"/>
      <c r="Y1194" s="179"/>
      <c r="Z1194" s="50"/>
      <c r="AA1194" s="14"/>
    </row>
    <row r="1195">
      <c r="A1195" s="14"/>
      <c r="B1195" s="14"/>
      <c r="C1195" s="158"/>
      <c r="D1195" s="96"/>
      <c r="E1195" s="96"/>
      <c r="F1195" s="96"/>
      <c r="G1195" s="50"/>
      <c r="H1195" s="96"/>
      <c r="I1195" s="96"/>
      <c r="J1195" s="96"/>
      <c r="K1195" s="50"/>
      <c r="L1195" s="96"/>
      <c r="M1195" s="96"/>
      <c r="N1195" s="14"/>
      <c r="O1195" s="50"/>
      <c r="P1195" s="50"/>
      <c r="Q1195" s="50"/>
      <c r="R1195" s="50"/>
      <c r="S1195" s="50"/>
      <c r="T1195" s="50"/>
      <c r="U1195" s="50"/>
      <c r="V1195" s="50"/>
      <c r="W1195" s="14"/>
      <c r="X1195" s="50"/>
      <c r="Y1195" s="179"/>
      <c r="Z1195" s="50"/>
      <c r="AA1195" s="14"/>
    </row>
    <row r="1196">
      <c r="A1196" s="14"/>
      <c r="B1196" s="14"/>
      <c r="C1196" s="158"/>
      <c r="D1196" s="96"/>
      <c r="E1196" s="96"/>
      <c r="F1196" s="96"/>
      <c r="G1196" s="50"/>
      <c r="H1196" s="96"/>
      <c r="I1196" s="96"/>
      <c r="J1196" s="96"/>
      <c r="K1196" s="50"/>
      <c r="L1196" s="96"/>
      <c r="M1196" s="96"/>
      <c r="N1196" s="14"/>
      <c r="O1196" s="50"/>
      <c r="P1196" s="50"/>
      <c r="Q1196" s="50"/>
      <c r="R1196" s="50"/>
      <c r="S1196" s="50"/>
      <c r="T1196" s="50"/>
      <c r="U1196" s="50"/>
      <c r="V1196" s="50"/>
      <c r="W1196" s="14"/>
      <c r="X1196" s="50"/>
      <c r="Y1196" s="179"/>
      <c r="Z1196" s="50"/>
      <c r="AA1196" s="14"/>
    </row>
    <row r="1197">
      <c r="A1197" s="14"/>
      <c r="B1197" s="14"/>
      <c r="C1197" s="158"/>
      <c r="D1197" s="96"/>
      <c r="E1197" s="96"/>
      <c r="F1197" s="96"/>
      <c r="G1197" s="50"/>
      <c r="H1197" s="96"/>
      <c r="I1197" s="96"/>
      <c r="J1197" s="96"/>
      <c r="K1197" s="50"/>
      <c r="L1197" s="96"/>
      <c r="M1197" s="96"/>
      <c r="N1197" s="14"/>
      <c r="O1197" s="50"/>
      <c r="P1197" s="50"/>
      <c r="Q1197" s="50"/>
      <c r="R1197" s="50"/>
      <c r="S1197" s="50"/>
      <c r="T1197" s="50"/>
      <c r="U1197" s="50"/>
      <c r="V1197" s="50"/>
      <c r="W1197" s="14"/>
      <c r="X1197" s="50"/>
      <c r="Y1197" s="179"/>
      <c r="Z1197" s="50"/>
      <c r="AA1197" s="14"/>
    </row>
    <row r="1198">
      <c r="A1198" s="14"/>
      <c r="B1198" s="14"/>
      <c r="C1198" s="158"/>
      <c r="D1198" s="96"/>
      <c r="E1198" s="96"/>
      <c r="F1198" s="96"/>
      <c r="G1198" s="50"/>
      <c r="H1198" s="96"/>
      <c r="I1198" s="96"/>
      <c r="J1198" s="96"/>
      <c r="K1198" s="50"/>
      <c r="L1198" s="96"/>
      <c r="M1198" s="96"/>
      <c r="N1198" s="14"/>
      <c r="O1198" s="50"/>
      <c r="P1198" s="50"/>
      <c r="Q1198" s="50"/>
      <c r="R1198" s="50"/>
      <c r="S1198" s="50"/>
      <c r="T1198" s="50"/>
      <c r="U1198" s="50"/>
      <c r="V1198" s="50"/>
      <c r="W1198" s="14"/>
      <c r="X1198" s="50"/>
      <c r="Y1198" s="179"/>
      <c r="Z1198" s="50"/>
      <c r="AA1198" s="14"/>
    </row>
    <row r="1199">
      <c r="A1199" s="14"/>
      <c r="B1199" s="14"/>
      <c r="C1199" s="158"/>
      <c r="D1199" s="96"/>
      <c r="E1199" s="96"/>
      <c r="F1199" s="96"/>
      <c r="G1199" s="50"/>
      <c r="H1199" s="96"/>
      <c r="I1199" s="96"/>
      <c r="J1199" s="96"/>
      <c r="K1199" s="50"/>
      <c r="L1199" s="96"/>
      <c r="M1199" s="96"/>
      <c r="N1199" s="14"/>
      <c r="O1199" s="50"/>
      <c r="P1199" s="50"/>
      <c r="Q1199" s="50"/>
      <c r="R1199" s="50"/>
      <c r="S1199" s="50"/>
      <c r="T1199" s="50"/>
      <c r="U1199" s="50"/>
      <c r="V1199" s="50"/>
      <c r="W1199" s="14"/>
      <c r="X1199" s="50"/>
      <c r="Y1199" s="179"/>
      <c r="Z1199" s="50"/>
      <c r="AA1199" s="14"/>
    </row>
    <row r="1200">
      <c r="A1200" s="14"/>
      <c r="B1200" s="14"/>
      <c r="C1200" s="158"/>
      <c r="D1200" s="96"/>
      <c r="E1200" s="96"/>
      <c r="F1200" s="96"/>
      <c r="G1200" s="50"/>
      <c r="H1200" s="96"/>
      <c r="I1200" s="96"/>
      <c r="J1200" s="96"/>
      <c r="K1200" s="50"/>
      <c r="L1200" s="96"/>
      <c r="M1200" s="96"/>
      <c r="N1200" s="14"/>
      <c r="O1200" s="50"/>
      <c r="P1200" s="50"/>
      <c r="Q1200" s="50"/>
      <c r="R1200" s="50"/>
      <c r="S1200" s="50"/>
      <c r="T1200" s="50"/>
      <c r="U1200" s="50"/>
      <c r="V1200" s="50"/>
      <c r="W1200" s="14"/>
      <c r="X1200" s="50"/>
      <c r="Y1200" s="179"/>
      <c r="Z1200" s="50"/>
      <c r="AA1200" s="14"/>
    </row>
    <row r="1201">
      <c r="A1201" s="14"/>
      <c r="B1201" s="14"/>
      <c r="C1201" s="158"/>
      <c r="D1201" s="96"/>
      <c r="E1201" s="96"/>
      <c r="F1201" s="96"/>
      <c r="G1201" s="50"/>
      <c r="H1201" s="96"/>
      <c r="I1201" s="96"/>
      <c r="J1201" s="96"/>
      <c r="K1201" s="50"/>
      <c r="L1201" s="96"/>
      <c r="M1201" s="96"/>
      <c r="N1201" s="14"/>
      <c r="O1201" s="50"/>
      <c r="P1201" s="50"/>
      <c r="Q1201" s="50"/>
      <c r="R1201" s="50"/>
      <c r="S1201" s="50"/>
      <c r="T1201" s="50"/>
      <c r="U1201" s="50"/>
      <c r="V1201" s="50"/>
      <c r="W1201" s="14"/>
      <c r="X1201" s="50"/>
      <c r="Y1201" s="179"/>
      <c r="Z1201" s="50"/>
      <c r="AA1201" s="14"/>
    </row>
    <row r="1202">
      <c r="A1202" s="14"/>
      <c r="B1202" s="14"/>
      <c r="C1202" s="158"/>
      <c r="D1202" s="96"/>
      <c r="E1202" s="96"/>
      <c r="F1202" s="96"/>
      <c r="G1202" s="50"/>
      <c r="H1202" s="96"/>
      <c r="I1202" s="96"/>
      <c r="J1202" s="96"/>
      <c r="K1202" s="50"/>
      <c r="L1202" s="96"/>
      <c r="M1202" s="96"/>
      <c r="N1202" s="14"/>
      <c r="O1202" s="50"/>
      <c r="P1202" s="50"/>
      <c r="Q1202" s="50"/>
      <c r="R1202" s="50"/>
      <c r="S1202" s="50"/>
      <c r="T1202" s="50"/>
      <c r="U1202" s="50"/>
      <c r="V1202" s="50"/>
      <c r="W1202" s="14"/>
      <c r="X1202" s="50"/>
      <c r="Y1202" s="179"/>
      <c r="Z1202" s="50"/>
      <c r="AA1202" s="14"/>
    </row>
    <row r="1203">
      <c r="A1203" s="14"/>
      <c r="B1203" s="14"/>
      <c r="C1203" s="158"/>
      <c r="D1203" s="96"/>
      <c r="E1203" s="96"/>
      <c r="F1203" s="96"/>
      <c r="G1203" s="50"/>
      <c r="H1203" s="96"/>
      <c r="I1203" s="96"/>
      <c r="J1203" s="96"/>
      <c r="K1203" s="50"/>
      <c r="L1203" s="96"/>
      <c r="M1203" s="96"/>
      <c r="N1203" s="14"/>
      <c r="O1203" s="50"/>
      <c r="P1203" s="50"/>
      <c r="Q1203" s="50"/>
      <c r="R1203" s="50"/>
      <c r="S1203" s="50"/>
      <c r="T1203" s="50"/>
      <c r="U1203" s="50"/>
      <c r="V1203" s="50"/>
      <c r="W1203" s="14"/>
      <c r="X1203" s="50"/>
      <c r="Y1203" s="179"/>
      <c r="Z1203" s="50"/>
      <c r="AA1203" s="14"/>
    </row>
    <row r="1204">
      <c r="A1204" s="14"/>
      <c r="B1204" s="14"/>
      <c r="C1204" s="158"/>
      <c r="D1204" s="96"/>
      <c r="E1204" s="96"/>
      <c r="F1204" s="96"/>
      <c r="G1204" s="50"/>
      <c r="H1204" s="96"/>
      <c r="I1204" s="96"/>
      <c r="J1204" s="96"/>
      <c r="K1204" s="50"/>
      <c r="L1204" s="96"/>
      <c r="M1204" s="96"/>
      <c r="N1204" s="14"/>
      <c r="O1204" s="50"/>
      <c r="P1204" s="50"/>
      <c r="Q1204" s="50"/>
      <c r="R1204" s="50"/>
      <c r="S1204" s="50"/>
      <c r="T1204" s="50"/>
      <c r="U1204" s="50"/>
      <c r="V1204" s="50"/>
      <c r="W1204" s="14"/>
      <c r="X1204" s="50"/>
      <c r="Y1204" s="179"/>
      <c r="Z1204" s="50"/>
      <c r="AA1204" s="14"/>
    </row>
    <row r="1205">
      <c r="A1205" s="14"/>
      <c r="B1205" s="14"/>
      <c r="C1205" s="158"/>
      <c r="D1205" s="96"/>
      <c r="E1205" s="96"/>
      <c r="F1205" s="96"/>
      <c r="G1205" s="50"/>
      <c r="H1205" s="96"/>
      <c r="I1205" s="96"/>
      <c r="J1205" s="96"/>
      <c r="K1205" s="50"/>
      <c r="L1205" s="96"/>
      <c r="M1205" s="96"/>
      <c r="N1205" s="14"/>
      <c r="O1205" s="50"/>
      <c r="P1205" s="50"/>
      <c r="Q1205" s="50"/>
      <c r="R1205" s="50"/>
      <c r="S1205" s="50"/>
      <c r="T1205" s="50"/>
      <c r="U1205" s="50"/>
      <c r="V1205" s="50"/>
      <c r="W1205" s="14"/>
      <c r="X1205" s="50"/>
      <c r="Y1205" s="179"/>
      <c r="Z1205" s="50"/>
      <c r="AA1205" s="14"/>
    </row>
    <row r="1206">
      <c r="A1206" s="14"/>
      <c r="B1206" s="14"/>
      <c r="C1206" s="158"/>
      <c r="D1206" s="96"/>
      <c r="E1206" s="96"/>
      <c r="F1206" s="96"/>
      <c r="G1206" s="50"/>
      <c r="H1206" s="96"/>
      <c r="I1206" s="96"/>
      <c r="J1206" s="96"/>
      <c r="K1206" s="50"/>
      <c r="L1206" s="96"/>
      <c r="M1206" s="96"/>
      <c r="N1206" s="14"/>
      <c r="O1206" s="50"/>
      <c r="P1206" s="50"/>
      <c r="Q1206" s="50"/>
      <c r="R1206" s="50"/>
      <c r="S1206" s="50"/>
      <c r="T1206" s="50"/>
      <c r="U1206" s="50"/>
      <c r="V1206" s="50"/>
      <c r="W1206" s="14"/>
      <c r="X1206" s="50"/>
      <c r="Y1206" s="179"/>
      <c r="Z1206" s="50"/>
      <c r="AA1206" s="14"/>
    </row>
    <row r="1207">
      <c r="A1207" s="14"/>
      <c r="B1207" s="14"/>
      <c r="C1207" s="158"/>
      <c r="D1207" s="96"/>
      <c r="E1207" s="96"/>
      <c r="F1207" s="96"/>
      <c r="G1207" s="50"/>
      <c r="H1207" s="96"/>
      <c r="I1207" s="96"/>
      <c r="J1207" s="96"/>
      <c r="K1207" s="50"/>
      <c r="L1207" s="96"/>
      <c r="M1207" s="96"/>
      <c r="N1207" s="14"/>
      <c r="O1207" s="50"/>
      <c r="P1207" s="50"/>
      <c r="Q1207" s="50"/>
      <c r="R1207" s="50"/>
      <c r="S1207" s="50"/>
      <c r="T1207" s="50"/>
      <c r="U1207" s="50"/>
      <c r="V1207" s="50"/>
      <c r="W1207" s="14"/>
      <c r="X1207" s="50"/>
      <c r="Y1207" s="179"/>
      <c r="Z1207" s="50"/>
      <c r="AA1207" s="14"/>
    </row>
    <row r="1208">
      <c r="A1208" s="14"/>
      <c r="B1208" s="14"/>
      <c r="C1208" s="158"/>
      <c r="D1208" s="96"/>
      <c r="E1208" s="96"/>
      <c r="F1208" s="96"/>
      <c r="G1208" s="50"/>
      <c r="H1208" s="96"/>
      <c r="I1208" s="96"/>
      <c r="J1208" s="96"/>
      <c r="K1208" s="50"/>
      <c r="L1208" s="96"/>
      <c r="M1208" s="96"/>
      <c r="N1208" s="14"/>
      <c r="O1208" s="50"/>
      <c r="P1208" s="50"/>
      <c r="Q1208" s="50"/>
      <c r="R1208" s="50"/>
      <c r="S1208" s="50"/>
      <c r="T1208" s="50"/>
      <c r="U1208" s="50"/>
      <c r="V1208" s="50"/>
      <c r="W1208" s="14"/>
      <c r="X1208" s="50"/>
      <c r="Y1208" s="179"/>
      <c r="Z1208" s="50"/>
      <c r="AA1208" s="14"/>
    </row>
    <row r="1209">
      <c r="A1209" s="14"/>
      <c r="B1209" s="14"/>
      <c r="C1209" s="158"/>
      <c r="D1209" s="96"/>
      <c r="E1209" s="96"/>
      <c r="F1209" s="96"/>
      <c r="G1209" s="50"/>
      <c r="H1209" s="96"/>
      <c r="I1209" s="96"/>
      <c r="J1209" s="96"/>
      <c r="K1209" s="50"/>
      <c r="L1209" s="96"/>
      <c r="M1209" s="96"/>
      <c r="N1209" s="14"/>
      <c r="O1209" s="50"/>
      <c r="P1209" s="50"/>
      <c r="Q1209" s="50"/>
      <c r="R1209" s="50"/>
      <c r="S1209" s="50"/>
      <c r="T1209" s="50"/>
      <c r="U1209" s="50"/>
      <c r="V1209" s="50"/>
      <c r="W1209" s="14"/>
      <c r="X1209" s="50"/>
      <c r="Y1209" s="179"/>
      <c r="Z1209" s="50"/>
      <c r="AA1209" s="14"/>
    </row>
    <row r="1210">
      <c r="A1210" s="14"/>
      <c r="B1210" s="14"/>
      <c r="C1210" s="158"/>
      <c r="D1210" s="96"/>
      <c r="E1210" s="96"/>
      <c r="F1210" s="96"/>
      <c r="G1210" s="50"/>
      <c r="H1210" s="96"/>
      <c r="I1210" s="96"/>
      <c r="J1210" s="96"/>
      <c r="K1210" s="50"/>
      <c r="L1210" s="96"/>
      <c r="M1210" s="96"/>
      <c r="N1210" s="14"/>
      <c r="O1210" s="50"/>
      <c r="P1210" s="50"/>
      <c r="Q1210" s="50"/>
      <c r="R1210" s="50"/>
      <c r="S1210" s="50"/>
      <c r="T1210" s="50"/>
      <c r="U1210" s="50"/>
      <c r="V1210" s="50"/>
      <c r="W1210" s="14"/>
      <c r="X1210" s="50"/>
      <c r="Y1210" s="179"/>
      <c r="Z1210" s="50"/>
      <c r="AA1210" s="14"/>
    </row>
    <row r="1211">
      <c r="A1211" s="14"/>
      <c r="B1211" s="14"/>
      <c r="C1211" s="158"/>
      <c r="D1211" s="96"/>
      <c r="E1211" s="96"/>
      <c r="F1211" s="96"/>
      <c r="G1211" s="50"/>
      <c r="H1211" s="96"/>
      <c r="I1211" s="96"/>
      <c r="J1211" s="96"/>
      <c r="K1211" s="50"/>
      <c r="L1211" s="96"/>
      <c r="M1211" s="96"/>
      <c r="N1211" s="14"/>
      <c r="O1211" s="50"/>
      <c r="P1211" s="50"/>
      <c r="Q1211" s="50"/>
      <c r="R1211" s="50"/>
      <c r="S1211" s="50"/>
      <c r="T1211" s="50"/>
      <c r="U1211" s="50"/>
      <c r="V1211" s="50"/>
      <c r="W1211" s="14"/>
      <c r="X1211" s="50"/>
      <c r="Y1211" s="179"/>
      <c r="Z1211" s="50"/>
      <c r="AA1211" s="14"/>
    </row>
    <row r="1212">
      <c r="A1212" s="14"/>
      <c r="B1212" s="14"/>
      <c r="C1212" s="158"/>
      <c r="D1212" s="96"/>
      <c r="E1212" s="96"/>
      <c r="F1212" s="96"/>
      <c r="G1212" s="50"/>
      <c r="H1212" s="96"/>
      <c r="I1212" s="96"/>
      <c r="J1212" s="96"/>
      <c r="K1212" s="50"/>
      <c r="L1212" s="96"/>
      <c r="M1212" s="96"/>
      <c r="N1212" s="14"/>
      <c r="O1212" s="50"/>
      <c r="P1212" s="50"/>
      <c r="Q1212" s="50"/>
      <c r="R1212" s="50"/>
      <c r="S1212" s="50"/>
      <c r="T1212" s="50"/>
      <c r="U1212" s="50"/>
      <c r="V1212" s="50"/>
      <c r="W1212" s="14"/>
      <c r="X1212" s="50"/>
      <c r="Y1212" s="179"/>
      <c r="Z1212" s="50"/>
      <c r="AA1212" s="14"/>
    </row>
    <row r="1213">
      <c r="A1213" s="14"/>
      <c r="B1213" s="14"/>
      <c r="C1213" s="158"/>
      <c r="D1213" s="96"/>
      <c r="E1213" s="96"/>
      <c r="F1213" s="96"/>
      <c r="G1213" s="50"/>
      <c r="H1213" s="96"/>
      <c r="I1213" s="96"/>
      <c r="J1213" s="96"/>
      <c r="K1213" s="50"/>
      <c r="L1213" s="96"/>
      <c r="M1213" s="96"/>
      <c r="N1213" s="14"/>
      <c r="O1213" s="50"/>
      <c r="P1213" s="50"/>
      <c r="Q1213" s="50"/>
      <c r="R1213" s="50"/>
      <c r="S1213" s="50"/>
      <c r="T1213" s="50"/>
      <c r="U1213" s="50"/>
      <c r="V1213" s="50"/>
      <c r="W1213" s="14"/>
      <c r="X1213" s="50"/>
      <c r="Y1213" s="179"/>
      <c r="Z1213" s="50"/>
      <c r="AA1213" s="14"/>
    </row>
    <row r="1214">
      <c r="A1214" s="14"/>
      <c r="B1214" s="14"/>
      <c r="C1214" s="158"/>
      <c r="D1214" s="96"/>
      <c r="E1214" s="96"/>
      <c r="F1214" s="96"/>
      <c r="G1214" s="50"/>
      <c r="H1214" s="96"/>
      <c r="I1214" s="96"/>
      <c r="J1214" s="96"/>
      <c r="K1214" s="50"/>
      <c r="L1214" s="96"/>
      <c r="M1214" s="96"/>
      <c r="N1214" s="14"/>
      <c r="O1214" s="50"/>
      <c r="P1214" s="50"/>
      <c r="Q1214" s="50"/>
      <c r="R1214" s="50"/>
      <c r="S1214" s="50"/>
      <c r="T1214" s="50"/>
      <c r="U1214" s="50"/>
      <c r="V1214" s="50"/>
      <c r="W1214" s="14"/>
      <c r="X1214" s="50"/>
      <c r="Y1214" s="179"/>
      <c r="Z1214" s="50"/>
      <c r="AA1214" s="14"/>
    </row>
    <row r="1215">
      <c r="A1215" s="14"/>
      <c r="B1215" s="14"/>
      <c r="C1215" s="158"/>
      <c r="D1215" s="96"/>
      <c r="E1215" s="96"/>
      <c r="F1215" s="96"/>
      <c r="G1215" s="50"/>
      <c r="H1215" s="96"/>
      <c r="I1215" s="96"/>
      <c r="J1215" s="96"/>
      <c r="K1215" s="50"/>
      <c r="L1215" s="96"/>
      <c r="M1215" s="96"/>
      <c r="N1215" s="14"/>
      <c r="O1215" s="50"/>
      <c r="P1215" s="50"/>
      <c r="Q1215" s="50"/>
      <c r="R1215" s="50"/>
      <c r="S1215" s="50"/>
      <c r="T1215" s="50"/>
      <c r="U1215" s="50"/>
      <c r="V1215" s="50"/>
      <c r="W1215" s="14"/>
      <c r="X1215" s="50"/>
      <c r="Y1215" s="179"/>
      <c r="Z1215" s="50"/>
      <c r="AA1215" s="14"/>
    </row>
    <row r="1216">
      <c r="A1216" s="14"/>
      <c r="B1216" s="14"/>
      <c r="C1216" s="158"/>
      <c r="D1216" s="96"/>
      <c r="E1216" s="96"/>
      <c r="F1216" s="96"/>
      <c r="G1216" s="50"/>
      <c r="H1216" s="96"/>
      <c r="I1216" s="96"/>
      <c r="J1216" s="96"/>
      <c r="K1216" s="50"/>
      <c r="L1216" s="96"/>
      <c r="M1216" s="96"/>
      <c r="N1216" s="14"/>
      <c r="O1216" s="50"/>
      <c r="P1216" s="50"/>
      <c r="Q1216" s="50"/>
      <c r="R1216" s="50"/>
      <c r="S1216" s="50"/>
      <c r="T1216" s="50"/>
      <c r="U1216" s="50"/>
      <c r="V1216" s="50"/>
      <c r="W1216" s="14"/>
      <c r="X1216" s="50"/>
      <c r="Y1216" s="179"/>
      <c r="Z1216" s="50"/>
      <c r="AA1216" s="14"/>
    </row>
    <row r="1217">
      <c r="A1217" s="14"/>
      <c r="B1217" s="14"/>
      <c r="C1217" s="158"/>
      <c r="D1217" s="96"/>
      <c r="E1217" s="96"/>
      <c r="F1217" s="96"/>
      <c r="G1217" s="50"/>
      <c r="H1217" s="96"/>
      <c r="I1217" s="96"/>
      <c r="J1217" s="96"/>
      <c r="K1217" s="50"/>
      <c r="L1217" s="96"/>
      <c r="M1217" s="96"/>
      <c r="N1217" s="14"/>
      <c r="O1217" s="50"/>
      <c r="P1217" s="50"/>
      <c r="Q1217" s="50"/>
      <c r="R1217" s="50"/>
      <c r="S1217" s="50"/>
      <c r="T1217" s="50"/>
      <c r="U1217" s="50"/>
      <c r="V1217" s="50"/>
      <c r="W1217" s="14"/>
      <c r="X1217" s="50"/>
      <c r="Y1217" s="179"/>
      <c r="Z1217" s="50"/>
      <c r="AA1217" s="14"/>
    </row>
    <row r="1218">
      <c r="A1218" s="14"/>
      <c r="B1218" s="14"/>
      <c r="C1218" s="158"/>
      <c r="D1218" s="96"/>
      <c r="E1218" s="96"/>
      <c r="F1218" s="96"/>
      <c r="G1218" s="50"/>
      <c r="H1218" s="96"/>
      <c r="I1218" s="96"/>
      <c r="J1218" s="96"/>
      <c r="K1218" s="50"/>
      <c r="L1218" s="96"/>
      <c r="M1218" s="96"/>
      <c r="N1218" s="14"/>
      <c r="O1218" s="50"/>
      <c r="P1218" s="50"/>
      <c r="Q1218" s="50"/>
      <c r="R1218" s="50"/>
      <c r="S1218" s="50"/>
      <c r="T1218" s="50"/>
      <c r="U1218" s="50"/>
      <c r="V1218" s="50"/>
      <c r="W1218" s="14"/>
      <c r="X1218" s="50"/>
      <c r="Y1218" s="179"/>
      <c r="Z1218" s="50"/>
      <c r="AA1218" s="14"/>
    </row>
    <row r="1219">
      <c r="A1219" s="14"/>
      <c r="B1219" s="14"/>
      <c r="C1219" s="158"/>
      <c r="D1219" s="96"/>
      <c r="E1219" s="96"/>
      <c r="F1219" s="96"/>
      <c r="G1219" s="50"/>
      <c r="H1219" s="96"/>
      <c r="I1219" s="96"/>
      <c r="J1219" s="96"/>
      <c r="K1219" s="50"/>
      <c r="L1219" s="96"/>
      <c r="M1219" s="96"/>
      <c r="N1219" s="14"/>
      <c r="O1219" s="50"/>
      <c r="P1219" s="50"/>
      <c r="Q1219" s="50"/>
      <c r="R1219" s="50"/>
      <c r="S1219" s="50"/>
      <c r="T1219" s="50"/>
      <c r="U1219" s="50"/>
      <c r="V1219" s="50"/>
      <c r="W1219" s="14"/>
      <c r="X1219" s="50"/>
      <c r="Y1219" s="179"/>
      <c r="Z1219" s="50"/>
      <c r="AA1219" s="14"/>
    </row>
    <row r="1220">
      <c r="A1220" s="14"/>
      <c r="B1220" s="14"/>
      <c r="C1220" s="158"/>
      <c r="D1220" s="96"/>
      <c r="E1220" s="96"/>
      <c r="F1220" s="96"/>
      <c r="G1220" s="50"/>
      <c r="H1220" s="96"/>
      <c r="I1220" s="96"/>
      <c r="J1220" s="96"/>
      <c r="K1220" s="50"/>
      <c r="L1220" s="96"/>
      <c r="M1220" s="96"/>
      <c r="N1220" s="14"/>
      <c r="O1220" s="50"/>
      <c r="P1220" s="50"/>
      <c r="Q1220" s="50"/>
      <c r="R1220" s="50"/>
      <c r="S1220" s="50"/>
      <c r="T1220" s="50"/>
      <c r="U1220" s="50"/>
      <c r="V1220" s="50"/>
      <c r="W1220" s="14"/>
      <c r="X1220" s="50"/>
      <c r="Y1220" s="179"/>
      <c r="Z1220" s="50"/>
      <c r="AA1220" s="14"/>
    </row>
    <row r="1221">
      <c r="A1221" s="14"/>
      <c r="B1221" s="14"/>
      <c r="C1221" s="158"/>
      <c r="D1221" s="96"/>
      <c r="E1221" s="96"/>
      <c r="F1221" s="96"/>
      <c r="G1221" s="50"/>
      <c r="H1221" s="96"/>
      <c r="I1221" s="96"/>
      <c r="J1221" s="96"/>
      <c r="K1221" s="50"/>
      <c r="L1221" s="96"/>
      <c r="M1221" s="96"/>
      <c r="N1221" s="14"/>
      <c r="O1221" s="50"/>
      <c r="P1221" s="50"/>
      <c r="Q1221" s="50"/>
      <c r="R1221" s="50"/>
      <c r="S1221" s="50"/>
      <c r="T1221" s="50"/>
      <c r="U1221" s="50"/>
      <c r="V1221" s="50"/>
      <c r="W1221" s="14"/>
      <c r="X1221" s="50"/>
      <c r="Y1221" s="179"/>
      <c r="Z1221" s="50"/>
      <c r="AA1221" s="14"/>
    </row>
    <row r="1222">
      <c r="A1222" s="14"/>
      <c r="B1222" s="14"/>
      <c r="C1222" s="158"/>
      <c r="D1222" s="96"/>
      <c r="E1222" s="96"/>
      <c r="F1222" s="96"/>
      <c r="G1222" s="50"/>
      <c r="H1222" s="96"/>
      <c r="I1222" s="96"/>
      <c r="J1222" s="96"/>
      <c r="K1222" s="50"/>
      <c r="L1222" s="96"/>
      <c r="M1222" s="96"/>
      <c r="N1222" s="14"/>
      <c r="O1222" s="50"/>
      <c r="P1222" s="50"/>
      <c r="Q1222" s="50"/>
      <c r="R1222" s="50"/>
      <c r="S1222" s="50"/>
      <c r="T1222" s="50"/>
      <c r="U1222" s="50"/>
      <c r="V1222" s="50"/>
      <c r="W1222" s="14"/>
      <c r="X1222" s="50"/>
      <c r="Y1222" s="179"/>
      <c r="Z1222" s="50"/>
      <c r="AA1222" s="14"/>
    </row>
    <row r="1223">
      <c r="A1223" s="14"/>
      <c r="B1223" s="14"/>
      <c r="C1223" s="158"/>
      <c r="D1223" s="96"/>
      <c r="E1223" s="96"/>
      <c r="F1223" s="96"/>
      <c r="G1223" s="50"/>
      <c r="H1223" s="96"/>
      <c r="I1223" s="96"/>
      <c r="J1223" s="96"/>
      <c r="K1223" s="50"/>
      <c r="L1223" s="96"/>
      <c r="M1223" s="96"/>
      <c r="N1223" s="14"/>
      <c r="O1223" s="50"/>
      <c r="P1223" s="50"/>
      <c r="Q1223" s="50"/>
      <c r="R1223" s="50"/>
      <c r="S1223" s="50"/>
      <c r="T1223" s="50"/>
      <c r="U1223" s="50"/>
      <c r="V1223" s="50"/>
      <c r="W1223" s="14"/>
      <c r="X1223" s="50"/>
      <c r="Y1223" s="179"/>
      <c r="Z1223" s="50"/>
      <c r="AA1223" s="14"/>
    </row>
    <row r="1224">
      <c r="A1224" s="14"/>
      <c r="B1224" s="14"/>
      <c r="C1224" s="158"/>
      <c r="D1224" s="96"/>
      <c r="E1224" s="96"/>
      <c r="F1224" s="96"/>
      <c r="G1224" s="50"/>
      <c r="H1224" s="96"/>
      <c r="I1224" s="96"/>
      <c r="J1224" s="96"/>
      <c r="K1224" s="50"/>
      <c r="L1224" s="96"/>
      <c r="M1224" s="96"/>
      <c r="N1224" s="14"/>
      <c r="O1224" s="50"/>
      <c r="P1224" s="50"/>
      <c r="Q1224" s="50"/>
      <c r="R1224" s="50"/>
      <c r="S1224" s="50"/>
      <c r="T1224" s="50"/>
      <c r="U1224" s="50"/>
      <c r="V1224" s="50"/>
      <c r="W1224" s="14"/>
      <c r="X1224" s="50"/>
      <c r="Y1224" s="179"/>
      <c r="Z1224" s="50"/>
      <c r="AA1224" s="14"/>
    </row>
    <row r="1225">
      <c r="A1225" s="14"/>
      <c r="B1225" s="14"/>
      <c r="C1225" s="158"/>
      <c r="D1225" s="96"/>
      <c r="E1225" s="96"/>
      <c r="F1225" s="96"/>
      <c r="G1225" s="50"/>
      <c r="H1225" s="96"/>
      <c r="I1225" s="96"/>
      <c r="J1225" s="96"/>
      <c r="K1225" s="50"/>
      <c r="L1225" s="96"/>
      <c r="M1225" s="96"/>
      <c r="N1225" s="14"/>
      <c r="O1225" s="50"/>
      <c r="P1225" s="50"/>
      <c r="Q1225" s="50"/>
      <c r="R1225" s="50"/>
      <c r="S1225" s="50"/>
      <c r="T1225" s="50"/>
      <c r="U1225" s="50"/>
      <c r="V1225" s="50"/>
      <c r="W1225" s="14"/>
      <c r="X1225" s="50"/>
      <c r="Y1225" s="179"/>
      <c r="Z1225" s="50"/>
      <c r="AA1225" s="14"/>
    </row>
    <row r="1226">
      <c r="A1226" s="14"/>
      <c r="B1226" s="14"/>
      <c r="C1226" s="158"/>
      <c r="D1226" s="96"/>
      <c r="E1226" s="96"/>
      <c r="F1226" s="96"/>
      <c r="G1226" s="50"/>
      <c r="H1226" s="96"/>
      <c r="I1226" s="96"/>
      <c r="J1226" s="96"/>
      <c r="K1226" s="50"/>
      <c r="L1226" s="96"/>
      <c r="M1226" s="96"/>
      <c r="N1226" s="14"/>
      <c r="O1226" s="50"/>
      <c r="P1226" s="50"/>
      <c r="Q1226" s="50"/>
      <c r="R1226" s="50"/>
      <c r="S1226" s="50"/>
      <c r="T1226" s="50"/>
      <c r="U1226" s="50"/>
      <c r="V1226" s="50"/>
      <c r="W1226" s="14"/>
      <c r="X1226" s="50"/>
      <c r="Y1226" s="179"/>
      <c r="Z1226" s="50"/>
      <c r="AA1226" s="14"/>
    </row>
    <row r="1227">
      <c r="A1227" s="14"/>
      <c r="B1227" s="14"/>
      <c r="C1227" s="158"/>
      <c r="D1227" s="96"/>
      <c r="E1227" s="96"/>
      <c r="F1227" s="96"/>
      <c r="G1227" s="50"/>
      <c r="H1227" s="96"/>
      <c r="I1227" s="96"/>
      <c r="J1227" s="96"/>
      <c r="K1227" s="50"/>
      <c r="L1227" s="96"/>
      <c r="M1227" s="96"/>
      <c r="N1227" s="14"/>
      <c r="O1227" s="50"/>
      <c r="P1227" s="50"/>
      <c r="Q1227" s="50"/>
      <c r="R1227" s="50"/>
      <c r="S1227" s="50"/>
      <c r="T1227" s="50"/>
      <c r="U1227" s="50"/>
      <c r="V1227" s="50"/>
      <c r="W1227" s="14"/>
      <c r="X1227" s="50"/>
      <c r="Y1227" s="179"/>
      <c r="Z1227" s="50"/>
      <c r="AA1227" s="14"/>
    </row>
    <row r="1228">
      <c r="A1228" s="14"/>
      <c r="B1228" s="14"/>
      <c r="C1228" s="158"/>
      <c r="D1228" s="96"/>
      <c r="E1228" s="96"/>
      <c r="F1228" s="96"/>
      <c r="G1228" s="50"/>
      <c r="H1228" s="96"/>
      <c r="I1228" s="96"/>
      <c r="J1228" s="96"/>
      <c r="K1228" s="50"/>
      <c r="L1228" s="96"/>
      <c r="M1228" s="96"/>
      <c r="N1228" s="14"/>
      <c r="O1228" s="50"/>
      <c r="P1228" s="50"/>
      <c r="Q1228" s="50"/>
      <c r="R1228" s="50"/>
      <c r="S1228" s="50"/>
      <c r="T1228" s="50"/>
      <c r="U1228" s="50"/>
      <c r="V1228" s="50"/>
      <c r="W1228" s="14"/>
      <c r="X1228" s="50"/>
      <c r="Y1228" s="179"/>
      <c r="Z1228" s="50"/>
      <c r="AA1228" s="14"/>
    </row>
    <row r="1229">
      <c r="A1229" s="14"/>
      <c r="B1229" s="14"/>
      <c r="C1229" s="158"/>
      <c r="D1229" s="96"/>
      <c r="E1229" s="96"/>
      <c r="F1229" s="96"/>
      <c r="G1229" s="50"/>
      <c r="H1229" s="96"/>
      <c r="I1229" s="96"/>
      <c r="J1229" s="96"/>
      <c r="K1229" s="50"/>
      <c r="L1229" s="96"/>
      <c r="M1229" s="96"/>
      <c r="N1229" s="14"/>
      <c r="O1229" s="50"/>
      <c r="P1229" s="50"/>
      <c r="Q1229" s="50"/>
      <c r="R1229" s="50"/>
      <c r="S1229" s="50"/>
      <c r="T1229" s="50"/>
      <c r="U1229" s="50"/>
      <c r="V1229" s="50"/>
      <c r="W1229" s="14"/>
      <c r="X1229" s="50"/>
      <c r="Y1229" s="179"/>
      <c r="Z1229" s="50"/>
      <c r="AA1229" s="14"/>
    </row>
    <row r="1230">
      <c r="A1230" s="14"/>
      <c r="B1230" s="14"/>
      <c r="C1230" s="158"/>
      <c r="D1230" s="96"/>
      <c r="E1230" s="96"/>
      <c r="F1230" s="96"/>
      <c r="G1230" s="50"/>
      <c r="H1230" s="96"/>
      <c r="I1230" s="96"/>
      <c r="J1230" s="96"/>
      <c r="K1230" s="50"/>
      <c r="L1230" s="96"/>
      <c r="M1230" s="96"/>
      <c r="N1230" s="14"/>
      <c r="O1230" s="50"/>
      <c r="P1230" s="50"/>
      <c r="Q1230" s="50"/>
      <c r="R1230" s="50"/>
      <c r="S1230" s="50"/>
      <c r="T1230" s="50"/>
      <c r="U1230" s="50"/>
      <c r="V1230" s="50"/>
      <c r="W1230" s="14"/>
      <c r="X1230" s="50"/>
      <c r="Y1230" s="179"/>
      <c r="Z1230" s="50"/>
      <c r="AA1230" s="14"/>
    </row>
    <row r="1231">
      <c r="A1231" s="14"/>
      <c r="B1231" s="14"/>
      <c r="C1231" s="158"/>
      <c r="D1231" s="96"/>
      <c r="E1231" s="96"/>
      <c r="F1231" s="96"/>
      <c r="G1231" s="50"/>
      <c r="H1231" s="96"/>
      <c r="I1231" s="96"/>
      <c r="J1231" s="96"/>
      <c r="K1231" s="50"/>
      <c r="L1231" s="96"/>
      <c r="M1231" s="96"/>
      <c r="N1231" s="14"/>
      <c r="O1231" s="50"/>
      <c r="P1231" s="50"/>
      <c r="Q1231" s="50"/>
      <c r="R1231" s="50"/>
      <c r="S1231" s="50"/>
      <c r="T1231" s="50"/>
      <c r="U1231" s="50"/>
      <c r="V1231" s="50"/>
      <c r="W1231" s="14"/>
      <c r="X1231" s="50"/>
      <c r="Y1231" s="179"/>
      <c r="Z1231" s="50"/>
      <c r="AA1231" s="14"/>
    </row>
    <row r="1232">
      <c r="A1232" s="14"/>
      <c r="B1232" s="14"/>
      <c r="C1232" s="158"/>
      <c r="D1232" s="96"/>
      <c r="E1232" s="96"/>
      <c r="F1232" s="96"/>
      <c r="G1232" s="50"/>
      <c r="H1232" s="96"/>
      <c r="I1232" s="96"/>
      <c r="J1232" s="96"/>
      <c r="K1232" s="50"/>
      <c r="L1232" s="96"/>
      <c r="M1232" s="96"/>
      <c r="N1232" s="14"/>
      <c r="O1232" s="50"/>
      <c r="P1232" s="50"/>
      <c r="Q1232" s="50"/>
      <c r="R1232" s="50"/>
      <c r="S1232" s="50"/>
      <c r="T1232" s="50"/>
      <c r="U1232" s="50"/>
      <c r="V1232" s="50"/>
      <c r="W1232" s="14"/>
      <c r="X1232" s="50"/>
      <c r="Y1232" s="179"/>
      <c r="Z1232" s="50"/>
      <c r="AA1232" s="14"/>
    </row>
    <row r="1233">
      <c r="A1233" s="14"/>
      <c r="B1233" s="14"/>
      <c r="C1233" s="158"/>
      <c r="D1233" s="96"/>
      <c r="E1233" s="96"/>
      <c r="F1233" s="96"/>
      <c r="G1233" s="50"/>
      <c r="H1233" s="96"/>
      <c r="I1233" s="96"/>
      <c r="J1233" s="96"/>
      <c r="K1233" s="50"/>
      <c r="L1233" s="96"/>
      <c r="M1233" s="96"/>
      <c r="N1233" s="14"/>
      <c r="O1233" s="50"/>
      <c r="P1233" s="50"/>
      <c r="Q1233" s="50"/>
      <c r="R1233" s="50"/>
      <c r="S1233" s="50"/>
      <c r="T1233" s="50"/>
      <c r="U1233" s="50"/>
      <c r="V1233" s="50"/>
      <c r="W1233" s="14"/>
      <c r="X1233" s="50"/>
      <c r="Y1233" s="179"/>
      <c r="Z1233" s="50"/>
      <c r="AA1233" s="14"/>
    </row>
    <row r="1234">
      <c r="A1234" s="14"/>
      <c r="B1234" s="14"/>
      <c r="C1234" s="158"/>
      <c r="D1234" s="96"/>
      <c r="E1234" s="96"/>
      <c r="F1234" s="96"/>
      <c r="G1234" s="50"/>
      <c r="H1234" s="96"/>
      <c r="I1234" s="96"/>
      <c r="J1234" s="96"/>
      <c r="K1234" s="50"/>
      <c r="L1234" s="96"/>
      <c r="M1234" s="96"/>
      <c r="N1234" s="14"/>
      <c r="O1234" s="50"/>
      <c r="P1234" s="50"/>
      <c r="Q1234" s="50"/>
      <c r="R1234" s="50"/>
      <c r="S1234" s="50"/>
      <c r="T1234" s="50"/>
      <c r="U1234" s="50"/>
      <c r="V1234" s="50"/>
      <c r="W1234" s="14"/>
      <c r="X1234" s="50"/>
      <c r="Y1234" s="179"/>
      <c r="Z1234" s="50"/>
      <c r="AA1234" s="14"/>
    </row>
    <row r="1235">
      <c r="A1235" s="14"/>
      <c r="B1235" s="14"/>
      <c r="C1235" s="158"/>
      <c r="D1235" s="96"/>
      <c r="E1235" s="96"/>
      <c r="F1235" s="96"/>
      <c r="G1235" s="50"/>
      <c r="H1235" s="96"/>
      <c r="I1235" s="96"/>
      <c r="J1235" s="96"/>
      <c r="K1235" s="50"/>
      <c r="L1235" s="96"/>
      <c r="M1235" s="96"/>
      <c r="N1235" s="14"/>
      <c r="O1235" s="50"/>
      <c r="P1235" s="50"/>
      <c r="Q1235" s="50"/>
      <c r="R1235" s="50"/>
      <c r="S1235" s="50"/>
      <c r="T1235" s="50"/>
      <c r="U1235" s="50"/>
      <c r="V1235" s="50"/>
      <c r="W1235" s="14"/>
      <c r="X1235" s="50"/>
      <c r="Y1235" s="179"/>
      <c r="Z1235" s="50"/>
      <c r="AA1235" s="14"/>
    </row>
    <row r="1236">
      <c r="A1236" s="14"/>
      <c r="B1236" s="14"/>
      <c r="C1236" s="158"/>
      <c r="D1236" s="96"/>
      <c r="E1236" s="96"/>
      <c r="F1236" s="96"/>
      <c r="G1236" s="50"/>
      <c r="H1236" s="96"/>
      <c r="I1236" s="96"/>
      <c r="J1236" s="96"/>
      <c r="K1236" s="50"/>
      <c r="L1236" s="96"/>
      <c r="M1236" s="96"/>
      <c r="N1236" s="14"/>
      <c r="O1236" s="50"/>
      <c r="P1236" s="50"/>
      <c r="Q1236" s="50"/>
      <c r="R1236" s="50"/>
      <c r="S1236" s="50"/>
      <c r="T1236" s="50"/>
      <c r="U1236" s="50"/>
      <c r="V1236" s="50"/>
      <c r="W1236" s="14"/>
      <c r="X1236" s="50"/>
      <c r="Y1236" s="179"/>
      <c r="Z1236" s="50"/>
      <c r="AA1236" s="14"/>
    </row>
    <row r="1237">
      <c r="A1237" s="14"/>
      <c r="B1237" s="14"/>
      <c r="C1237" s="158"/>
      <c r="D1237" s="96"/>
      <c r="E1237" s="96"/>
      <c r="F1237" s="96"/>
      <c r="G1237" s="50"/>
      <c r="H1237" s="96"/>
      <c r="I1237" s="96"/>
      <c r="J1237" s="96"/>
      <c r="K1237" s="50"/>
      <c r="L1237" s="96"/>
      <c r="M1237" s="96"/>
      <c r="N1237" s="14"/>
      <c r="O1237" s="50"/>
      <c r="P1237" s="50"/>
      <c r="Q1237" s="50"/>
      <c r="R1237" s="50"/>
      <c r="S1237" s="50"/>
      <c r="T1237" s="50"/>
      <c r="U1237" s="50"/>
      <c r="V1237" s="50"/>
      <c r="W1237" s="14"/>
      <c r="X1237" s="50"/>
      <c r="Y1237" s="179"/>
      <c r="Z1237" s="50"/>
      <c r="AA1237" s="14"/>
    </row>
    <row r="1238">
      <c r="A1238" s="14"/>
      <c r="B1238" s="14"/>
      <c r="C1238" s="158"/>
      <c r="D1238" s="96"/>
      <c r="E1238" s="96"/>
      <c r="F1238" s="96"/>
      <c r="G1238" s="50"/>
      <c r="H1238" s="96"/>
      <c r="I1238" s="96"/>
      <c r="J1238" s="96"/>
      <c r="K1238" s="50"/>
      <c r="L1238" s="96"/>
      <c r="M1238" s="96"/>
      <c r="N1238" s="14"/>
      <c r="O1238" s="50"/>
      <c r="P1238" s="50"/>
      <c r="Q1238" s="50"/>
      <c r="R1238" s="50"/>
      <c r="S1238" s="50"/>
      <c r="T1238" s="50"/>
      <c r="U1238" s="50"/>
      <c r="V1238" s="50"/>
      <c r="W1238" s="14"/>
      <c r="X1238" s="50"/>
      <c r="Y1238" s="179"/>
      <c r="Z1238" s="50"/>
      <c r="AA1238" s="14"/>
    </row>
    <row r="1239">
      <c r="A1239" s="14"/>
      <c r="B1239" s="14"/>
      <c r="C1239" s="158"/>
      <c r="D1239" s="96"/>
      <c r="E1239" s="96"/>
      <c r="F1239" s="96"/>
      <c r="G1239" s="50"/>
      <c r="H1239" s="96"/>
      <c r="I1239" s="96"/>
      <c r="J1239" s="96"/>
      <c r="K1239" s="50"/>
      <c r="L1239" s="96"/>
      <c r="M1239" s="96"/>
      <c r="N1239" s="14"/>
      <c r="O1239" s="50"/>
      <c r="P1239" s="50"/>
      <c r="Q1239" s="50"/>
      <c r="R1239" s="50"/>
      <c r="S1239" s="50"/>
      <c r="T1239" s="50"/>
      <c r="U1239" s="50"/>
      <c r="V1239" s="50"/>
      <c r="W1239" s="14"/>
      <c r="X1239" s="50"/>
      <c r="Y1239" s="179"/>
      <c r="Z1239" s="50"/>
      <c r="AA1239" s="14"/>
    </row>
    <row r="1240">
      <c r="A1240" s="14"/>
      <c r="B1240" s="14"/>
      <c r="C1240" s="158"/>
      <c r="D1240" s="96"/>
      <c r="E1240" s="96"/>
      <c r="F1240" s="96"/>
      <c r="G1240" s="50"/>
      <c r="H1240" s="96"/>
      <c r="I1240" s="96"/>
      <c r="J1240" s="96"/>
      <c r="K1240" s="50"/>
      <c r="L1240" s="96"/>
      <c r="M1240" s="96"/>
      <c r="N1240" s="14"/>
      <c r="O1240" s="50"/>
      <c r="P1240" s="50"/>
      <c r="Q1240" s="50"/>
      <c r="R1240" s="50"/>
      <c r="S1240" s="50"/>
      <c r="T1240" s="50"/>
      <c r="U1240" s="50"/>
      <c r="V1240" s="50"/>
      <c r="W1240" s="14"/>
      <c r="X1240" s="50"/>
      <c r="Y1240" s="179"/>
      <c r="Z1240" s="50"/>
      <c r="AA1240" s="14"/>
    </row>
    <row r="1241">
      <c r="A1241" s="14"/>
      <c r="B1241" s="14"/>
      <c r="C1241" s="158"/>
      <c r="D1241" s="96"/>
      <c r="E1241" s="96"/>
      <c r="F1241" s="96"/>
      <c r="G1241" s="50"/>
      <c r="H1241" s="96"/>
      <c r="I1241" s="96"/>
      <c r="J1241" s="96"/>
      <c r="K1241" s="50"/>
      <c r="L1241" s="96"/>
      <c r="M1241" s="96"/>
      <c r="N1241" s="14"/>
      <c r="O1241" s="50"/>
      <c r="P1241" s="50"/>
      <c r="Q1241" s="50"/>
      <c r="R1241" s="50"/>
      <c r="S1241" s="50"/>
      <c r="T1241" s="50"/>
      <c r="U1241" s="50"/>
      <c r="V1241" s="50"/>
      <c r="W1241" s="14"/>
      <c r="X1241" s="50"/>
      <c r="Y1241" s="179"/>
      <c r="Z1241" s="50"/>
      <c r="AA1241" s="14"/>
    </row>
    <row r="1242">
      <c r="A1242" s="14"/>
      <c r="B1242" s="14"/>
      <c r="C1242" s="158"/>
      <c r="D1242" s="96"/>
      <c r="E1242" s="96"/>
      <c r="F1242" s="96"/>
      <c r="G1242" s="50"/>
      <c r="H1242" s="96"/>
      <c r="I1242" s="96"/>
      <c r="J1242" s="96"/>
      <c r="K1242" s="50"/>
      <c r="L1242" s="96"/>
      <c r="M1242" s="96"/>
      <c r="N1242" s="14"/>
      <c r="O1242" s="50"/>
      <c r="P1242" s="50"/>
      <c r="Q1242" s="50"/>
      <c r="R1242" s="50"/>
      <c r="S1242" s="50"/>
      <c r="T1242" s="50"/>
      <c r="U1242" s="50"/>
      <c r="V1242" s="50"/>
      <c r="W1242" s="14"/>
      <c r="X1242" s="50"/>
      <c r="Y1242" s="179"/>
      <c r="Z1242" s="50"/>
      <c r="AA1242" s="14"/>
    </row>
    <row r="1243">
      <c r="A1243" s="14"/>
      <c r="B1243" s="14"/>
      <c r="C1243" s="158"/>
      <c r="D1243" s="96"/>
      <c r="E1243" s="96"/>
      <c r="F1243" s="96"/>
      <c r="G1243" s="50"/>
      <c r="H1243" s="96"/>
      <c r="I1243" s="96"/>
      <c r="J1243" s="96"/>
      <c r="K1243" s="50"/>
      <c r="L1243" s="96"/>
      <c r="M1243" s="96"/>
      <c r="N1243" s="14"/>
      <c r="O1243" s="50"/>
      <c r="P1243" s="50"/>
      <c r="Q1243" s="50"/>
      <c r="R1243" s="50"/>
      <c r="S1243" s="50"/>
      <c r="T1243" s="50"/>
      <c r="U1243" s="50"/>
      <c r="V1243" s="50"/>
      <c r="W1243" s="14"/>
      <c r="X1243" s="50"/>
      <c r="Y1243" s="179"/>
      <c r="Z1243" s="50"/>
      <c r="AA1243" s="14"/>
    </row>
    <row r="1244">
      <c r="A1244" s="14"/>
      <c r="B1244" s="14"/>
      <c r="C1244" s="158"/>
      <c r="D1244" s="96"/>
      <c r="E1244" s="96"/>
      <c r="F1244" s="96"/>
      <c r="G1244" s="50"/>
      <c r="H1244" s="96"/>
      <c r="I1244" s="96"/>
      <c r="J1244" s="96"/>
      <c r="K1244" s="50"/>
      <c r="L1244" s="96"/>
      <c r="M1244" s="96"/>
      <c r="N1244" s="14"/>
      <c r="O1244" s="50"/>
      <c r="P1244" s="50"/>
      <c r="Q1244" s="50"/>
      <c r="R1244" s="50"/>
      <c r="S1244" s="50"/>
      <c r="T1244" s="50"/>
      <c r="U1244" s="50"/>
      <c r="V1244" s="50"/>
      <c r="W1244" s="14"/>
      <c r="X1244" s="50"/>
      <c r="Y1244" s="179"/>
      <c r="Z1244" s="50"/>
      <c r="AA1244" s="14"/>
    </row>
    <row r="1245">
      <c r="A1245" s="14"/>
      <c r="B1245" s="14"/>
      <c r="C1245" s="158"/>
      <c r="D1245" s="96"/>
      <c r="E1245" s="96"/>
      <c r="F1245" s="96"/>
      <c r="G1245" s="50"/>
      <c r="H1245" s="96"/>
      <c r="I1245" s="96"/>
      <c r="J1245" s="96"/>
      <c r="K1245" s="50"/>
      <c r="L1245" s="96"/>
      <c r="M1245" s="96"/>
      <c r="N1245" s="14"/>
      <c r="O1245" s="50"/>
      <c r="P1245" s="50"/>
      <c r="Q1245" s="50"/>
      <c r="R1245" s="50"/>
      <c r="S1245" s="50"/>
      <c r="T1245" s="50"/>
      <c r="U1245" s="50"/>
      <c r="V1245" s="50"/>
      <c r="W1245" s="14"/>
      <c r="X1245" s="50"/>
      <c r="Y1245" s="179"/>
      <c r="Z1245" s="50"/>
      <c r="AA1245" s="14"/>
    </row>
    <row r="1246">
      <c r="A1246" s="14"/>
      <c r="B1246" s="14"/>
      <c r="C1246" s="158"/>
      <c r="D1246" s="96"/>
      <c r="E1246" s="96"/>
      <c r="F1246" s="96"/>
      <c r="G1246" s="50"/>
      <c r="H1246" s="96"/>
      <c r="I1246" s="96"/>
      <c r="J1246" s="96"/>
      <c r="K1246" s="50"/>
      <c r="L1246" s="96"/>
      <c r="M1246" s="96"/>
      <c r="N1246" s="14"/>
      <c r="O1246" s="50"/>
      <c r="P1246" s="50"/>
      <c r="Q1246" s="50"/>
      <c r="R1246" s="50"/>
      <c r="S1246" s="50"/>
      <c r="T1246" s="50"/>
      <c r="U1246" s="50"/>
      <c r="V1246" s="50"/>
      <c r="W1246" s="14"/>
      <c r="X1246" s="50"/>
      <c r="Y1246" s="179"/>
      <c r="Z1246" s="50"/>
      <c r="AA1246" s="14"/>
    </row>
    <row r="1247">
      <c r="A1247" s="14"/>
      <c r="B1247" s="14"/>
      <c r="C1247" s="158"/>
      <c r="D1247" s="96"/>
      <c r="E1247" s="96"/>
      <c r="F1247" s="96"/>
      <c r="G1247" s="50"/>
      <c r="H1247" s="96"/>
      <c r="I1247" s="96"/>
      <c r="J1247" s="96"/>
      <c r="K1247" s="50"/>
      <c r="L1247" s="96"/>
      <c r="M1247" s="96"/>
      <c r="N1247" s="14"/>
      <c r="O1247" s="50"/>
      <c r="P1247" s="50"/>
      <c r="Q1247" s="50"/>
      <c r="R1247" s="50"/>
      <c r="S1247" s="50"/>
      <c r="T1247" s="50"/>
      <c r="U1247" s="50"/>
      <c r="V1247" s="50"/>
      <c r="W1247" s="14"/>
      <c r="X1247" s="50"/>
      <c r="Y1247" s="179"/>
      <c r="Z1247" s="50"/>
      <c r="AA1247" s="14"/>
    </row>
    <row r="1248">
      <c r="A1248" s="14"/>
      <c r="B1248" s="14"/>
      <c r="C1248" s="158"/>
      <c r="D1248" s="96"/>
      <c r="E1248" s="96"/>
      <c r="F1248" s="96"/>
      <c r="G1248" s="50"/>
      <c r="H1248" s="96"/>
      <c r="I1248" s="96"/>
      <c r="J1248" s="96"/>
      <c r="K1248" s="50"/>
      <c r="L1248" s="96"/>
      <c r="M1248" s="96"/>
      <c r="N1248" s="14"/>
      <c r="O1248" s="50"/>
      <c r="P1248" s="50"/>
      <c r="Q1248" s="50"/>
      <c r="R1248" s="50"/>
      <c r="S1248" s="50"/>
      <c r="T1248" s="50"/>
      <c r="U1248" s="50"/>
      <c r="V1248" s="50"/>
      <c r="W1248" s="14"/>
      <c r="X1248" s="50"/>
      <c r="Y1248" s="179"/>
      <c r="Z1248" s="50"/>
      <c r="AA1248" s="14"/>
    </row>
    <row r="1249">
      <c r="A1249" s="14"/>
      <c r="B1249" s="14"/>
      <c r="C1249" s="158"/>
      <c r="D1249" s="96"/>
      <c r="E1249" s="96"/>
      <c r="F1249" s="96"/>
      <c r="G1249" s="50"/>
      <c r="H1249" s="96"/>
      <c r="I1249" s="96"/>
      <c r="J1249" s="96"/>
      <c r="K1249" s="50"/>
      <c r="L1249" s="96"/>
      <c r="M1249" s="96"/>
      <c r="N1249" s="14"/>
      <c r="O1249" s="50"/>
      <c r="P1249" s="50"/>
      <c r="Q1249" s="50"/>
      <c r="R1249" s="50"/>
      <c r="S1249" s="50"/>
      <c r="T1249" s="50"/>
      <c r="U1249" s="50"/>
      <c r="V1249" s="50"/>
      <c r="W1249" s="14"/>
      <c r="X1249" s="50"/>
      <c r="Y1249" s="179"/>
      <c r="Z1249" s="50"/>
      <c r="AA1249" s="14"/>
    </row>
    <row r="1250">
      <c r="A1250" s="14"/>
      <c r="B1250" s="14"/>
      <c r="C1250" s="158"/>
      <c r="D1250" s="96"/>
      <c r="E1250" s="96"/>
      <c r="F1250" s="96"/>
      <c r="G1250" s="50"/>
      <c r="H1250" s="96"/>
      <c r="I1250" s="96"/>
      <c r="J1250" s="96"/>
      <c r="K1250" s="50"/>
      <c r="L1250" s="96"/>
      <c r="M1250" s="96"/>
      <c r="N1250" s="14"/>
      <c r="O1250" s="50"/>
      <c r="P1250" s="50"/>
      <c r="Q1250" s="50"/>
      <c r="R1250" s="50"/>
      <c r="S1250" s="50"/>
      <c r="T1250" s="50"/>
      <c r="U1250" s="50"/>
      <c r="V1250" s="50"/>
      <c r="W1250" s="14"/>
      <c r="X1250" s="50"/>
      <c r="Y1250" s="179"/>
      <c r="Z1250" s="50"/>
      <c r="AA1250" s="14"/>
    </row>
    <row r="1251">
      <c r="A1251" s="14"/>
      <c r="B1251" s="14"/>
      <c r="C1251" s="158"/>
      <c r="D1251" s="96"/>
      <c r="E1251" s="96"/>
      <c r="F1251" s="96"/>
      <c r="G1251" s="50"/>
      <c r="H1251" s="96"/>
      <c r="I1251" s="96"/>
      <c r="J1251" s="96"/>
      <c r="K1251" s="50"/>
      <c r="L1251" s="96"/>
      <c r="M1251" s="96"/>
      <c r="N1251" s="14"/>
      <c r="O1251" s="50"/>
      <c r="P1251" s="50"/>
      <c r="Q1251" s="50"/>
      <c r="R1251" s="50"/>
      <c r="S1251" s="50"/>
      <c r="T1251" s="50"/>
      <c r="U1251" s="50"/>
      <c r="V1251" s="50"/>
      <c r="W1251" s="14"/>
      <c r="X1251" s="50"/>
      <c r="Y1251" s="179"/>
      <c r="Z1251" s="50"/>
      <c r="AA1251" s="14"/>
    </row>
    <row r="1252">
      <c r="A1252" s="14"/>
      <c r="B1252" s="14"/>
      <c r="C1252" s="158"/>
      <c r="D1252" s="96"/>
      <c r="E1252" s="96"/>
      <c r="F1252" s="96"/>
      <c r="G1252" s="50"/>
      <c r="H1252" s="96"/>
      <c r="I1252" s="96"/>
      <c r="J1252" s="96"/>
      <c r="K1252" s="50"/>
      <c r="L1252" s="96"/>
      <c r="M1252" s="96"/>
      <c r="N1252" s="14"/>
      <c r="O1252" s="50"/>
      <c r="P1252" s="50"/>
      <c r="Q1252" s="50"/>
      <c r="R1252" s="50"/>
      <c r="S1252" s="50"/>
      <c r="T1252" s="50"/>
      <c r="U1252" s="50"/>
      <c r="V1252" s="50"/>
      <c r="W1252" s="14"/>
      <c r="X1252" s="50"/>
      <c r="Y1252" s="179"/>
      <c r="Z1252" s="50"/>
      <c r="AA1252" s="14"/>
    </row>
    <row r="1253">
      <c r="A1253" s="14"/>
      <c r="B1253" s="14"/>
      <c r="C1253" s="158"/>
      <c r="D1253" s="96"/>
      <c r="E1253" s="96"/>
      <c r="F1253" s="96"/>
      <c r="G1253" s="50"/>
      <c r="H1253" s="96"/>
      <c r="I1253" s="96"/>
      <c r="J1253" s="96"/>
      <c r="K1253" s="50"/>
      <c r="L1253" s="96"/>
      <c r="M1253" s="96"/>
      <c r="N1253" s="14"/>
      <c r="O1253" s="50"/>
      <c r="P1253" s="50"/>
      <c r="Q1253" s="50"/>
      <c r="R1253" s="50"/>
      <c r="S1253" s="50"/>
      <c r="T1253" s="50"/>
      <c r="U1253" s="50"/>
      <c r="V1253" s="50"/>
      <c r="W1253" s="14"/>
      <c r="X1253" s="50"/>
      <c r="Y1253" s="179"/>
      <c r="Z1253" s="50"/>
      <c r="AA1253" s="14"/>
    </row>
    <row r="1254">
      <c r="A1254" s="14"/>
      <c r="B1254" s="14"/>
      <c r="C1254" s="158"/>
      <c r="D1254" s="96"/>
      <c r="E1254" s="96"/>
      <c r="F1254" s="96"/>
      <c r="G1254" s="50"/>
      <c r="H1254" s="96"/>
      <c r="I1254" s="96"/>
      <c r="J1254" s="96"/>
      <c r="K1254" s="50"/>
      <c r="L1254" s="96"/>
      <c r="M1254" s="96"/>
      <c r="N1254" s="14"/>
      <c r="O1254" s="50"/>
      <c r="P1254" s="50"/>
      <c r="Q1254" s="50"/>
      <c r="R1254" s="50"/>
      <c r="S1254" s="50"/>
      <c r="T1254" s="50"/>
      <c r="U1254" s="50"/>
      <c r="V1254" s="50"/>
      <c r="W1254" s="14"/>
      <c r="X1254" s="50"/>
      <c r="Y1254" s="179"/>
      <c r="Z1254" s="50"/>
      <c r="AA1254" s="14"/>
    </row>
    <row r="1255">
      <c r="A1255" s="14"/>
      <c r="B1255" s="14"/>
      <c r="C1255" s="158"/>
      <c r="D1255" s="96"/>
      <c r="E1255" s="96"/>
      <c r="F1255" s="96"/>
      <c r="G1255" s="50"/>
      <c r="H1255" s="96"/>
      <c r="I1255" s="96"/>
      <c r="J1255" s="96"/>
      <c r="K1255" s="50"/>
      <c r="L1255" s="96"/>
      <c r="M1255" s="96"/>
      <c r="N1255" s="14"/>
      <c r="O1255" s="50"/>
      <c r="P1255" s="50"/>
      <c r="Q1255" s="50"/>
      <c r="R1255" s="50"/>
      <c r="S1255" s="50"/>
      <c r="T1255" s="50"/>
      <c r="U1255" s="50"/>
      <c r="V1255" s="50"/>
      <c r="W1255" s="14"/>
      <c r="X1255" s="50"/>
      <c r="Y1255" s="179"/>
      <c r="Z1255" s="50"/>
      <c r="AA1255" s="14"/>
    </row>
    <row r="1256">
      <c r="A1256" s="14"/>
      <c r="B1256" s="14"/>
      <c r="C1256" s="158"/>
      <c r="D1256" s="96"/>
      <c r="E1256" s="96"/>
      <c r="F1256" s="96"/>
      <c r="G1256" s="50"/>
      <c r="H1256" s="96"/>
      <c r="I1256" s="96"/>
      <c r="J1256" s="96"/>
      <c r="K1256" s="50"/>
      <c r="L1256" s="96"/>
      <c r="M1256" s="96"/>
      <c r="N1256" s="14"/>
      <c r="O1256" s="50"/>
      <c r="P1256" s="50"/>
      <c r="Q1256" s="50"/>
      <c r="R1256" s="50"/>
      <c r="S1256" s="50"/>
      <c r="T1256" s="50"/>
      <c r="U1256" s="50"/>
      <c r="V1256" s="50"/>
      <c r="W1256" s="14"/>
      <c r="X1256" s="50"/>
      <c r="Y1256" s="179"/>
      <c r="Z1256" s="50"/>
      <c r="AA1256" s="14"/>
    </row>
    <row r="1257">
      <c r="A1257" s="14"/>
      <c r="B1257" s="14"/>
      <c r="C1257" s="158"/>
      <c r="D1257" s="96"/>
      <c r="E1257" s="96"/>
      <c r="F1257" s="96"/>
      <c r="G1257" s="50"/>
      <c r="H1257" s="96"/>
      <c r="I1257" s="96"/>
      <c r="J1257" s="96"/>
      <c r="K1257" s="50"/>
      <c r="L1257" s="96"/>
      <c r="M1257" s="96"/>
      <c r="N1257" s="14"/>
      <c r="O1257" s="50"/>
      <c r="P1257" s="50"/>
      <c r="Q1257" s="50"/>
      <c r="R1257" s="50"/>
      <c r="S1257" s="50"/>
      <c r="T1257" s="50"/>
      <c r="U1257" s="50"/>
      <c r="V1257" s="50"/>
      <c r="W1257" s="14"/>
      <c r="X1257" s="50"/>
      <c r="Y1257" s="179"/>
      <c r="Z1257" s="50"/>
      <c r="AA1257" s="14"/>
    </row>
    <row r="1258">
      <c r="A1258" s="14"/>
      <c r="B1258" s="14"/>
      <c r="C1258" s="158"/>
      <c r="D1258" s="96"/>
      <c r="E1258" s="96"/>
      <c r="F1258" s="96"/>
      <c r="G1258" s="50"/>
      <c r="H1258" s="96"/>
      <c r="I1258" s="96"/>
      <c r="J1258" s="96"/>
      <c r="K1258" s="50"/>
      <c r="L1258" s="96"/>
      <c r="M1258" s="96"/>
      <c r="N1258" s="14"/>
      <c r="O1258" s="50"/>
      <c r="P1258" s="50"/>
      <c r="Q1258" s="50"/>
      <c r="R1258" s="50"/>
      <c r="S1258" s="50"/>
      <c r="T1258" s="50"/>
      <c r="U1258" s="50"/>
      <c r="V1258" s="50"/>
      <c r="W1258" s="14"/>
      <c r="X1258" s="50"/>
      <c r="Y1258" s="179"/>
      <c r="Z1258" s="50"/>
      <c r="AA1258" s="14"/>
    </row>
    <row r="1259">
      <c r="A1259" s="14"/>
      <c r="B1259" s="14"/>
      <c r="C1259" s="158"/>
      <c r="D1259" s="96"/>
      <c r="E1259" s="96"/>
      <c r="F1259" s="96"/>
      <c r="G1259" s="50"/>
      <c r="H1259" s="96"/>
      <c r="I1259" s="96"/>
      <c r="J1259" s="96"/>
      <c r="K1259" s="50"/>
      <c r="L1259" s="96"/>
      <c r="M1259" s="96"/>
      <c r="N1259" s="14"/>
      <c r="O1259" s="50"/>
      <c r="P1259" s="50"/>
      <c r="Q1259" s="50"/>
      <c r="R1259" s="50"/>
      <c r="S1259" s="50"/>
      <c r="T1259" s="50"/>
      <c r="U1259" s="50"/>
      <c r="V1259" s="50"/>
      <c r="W1259" s="14"/>
      <c r="X1259" s="50"/>
      <c r="Y1259" s="179"/>
      <c r="Z1259" s="50"/>
      <c r="AA1259" s="14"/>
    </row>
    <row r="1260">
      <c r="A1260" s="14"/>
      <c r="B1260" s="14"/>
      <c r="C1260" s="158"/>
      <c r="D1260" s="96"/>
      <c r="E1260" s="96"/>
      <c r="F1260" s="96"/>
      <c r="G1260" s="50"/>
      <c r="H1260" s="96"/>
      <c r="I1260" s="96"/>
      <c r="J1260" s="96"/>
      <c r="K1260" s="50"/>
      <c r="L1260" s="96"/>
      <c r="M1260" s="96"/>
      <c r="N1260" s="14"/>
      <c r="O1260" s="50"/>
      <c r="P1260" s="50"/>
      <c r="Q1260" s="50"/>
      <c r="R1260" s="50"/>
      <c r="S1260" s="50"/>
      <c r="T1260" s="50"/>
      <c r="U1260" s="50"/>
      <c r="V1260" s="50"/>
      <c r="W1260" s="14"/>
      <c r="X1260" s="50"/>
      <c r="Y1260" s="179"/>
      <c r="Z1260" s="50"/>
      <c r="AA1260" s="14"/>
    </row>
    <row r="1261">
      <c r="A1261" s="14"/>
      <c r="B1261" s="14"/>
      <c r="C1261" s="158"/>
      <c r="D1261" s="96"/>
      <c r="E1261" s="96"/>
      <c r="F1261" s="96"/>
      <c r="G1261" s="50"/>
      <c r="H1261" s="96"/>
      <c r="I1261" s="96"/>
      <c r="J1261" s="96"/>
      <c r="K1261" s="50"/>
      <c r="L1261" s="96"/>
      <c r="M1261" s="96"/>
      <c r="N1261" s="14"/>
      <c r="O1261" s="50"/>
      <c r="P1261" s="50"/>
      <c r="Q1261" s="50"/>
      <c r="R1261" s="50"/>
      <c r="S1261" s="50"/>
      <c r="T1261" s="50"/>
      <c r="U1261" s="50"/>
      <c r="V1261" s="50"/>
      <c r="W1261" s="14"/>
      <c r="X1261" s="50"/>
      <c r="Y1261" s="179"/>
      <c r="Z1261" s="50"/>
      <c r="AA1261" s="14"/>
    </row>
    <row r="1262">
      <c r="A1262" s="14"/>
      <c r="B1262" s="14"/>
      <c r="C1262" s="158"/>
      <c r="D1262" s="96"/>
      <c r="E1262" s="96"/>
      <c r="F1262" s="96"/>
      <c r="G1262" s="50"/>
      <c r="H1262" s="96"/>
      <c r="I1262" s="96"/>
      <c r="J1262" s="96"/>
      <c r="K1262" s="50"/>
      <c r="L1262" s="96"/>
      <c r="M1262" s="96"/>
      <c r="N1262" s="14"/>
      <c r="O1262" s="50"/>
      <c r="P1262" s="50"/>
      <c r="Q1262" s="50"/>
      <c r="R1262" s="50"/>
      <c r="S1262" s="50"/>
      <c r="T1262" s="50"/>
      <c r="U1262" s="50"/>
      <c r="V1262" s="50"/>
      <c r="W1262" s="14"/>
      <c r="X1262" s="50"/>
      <c r="Y1262" s="179"/>
      <c r="Z1262" s="50"/>
      <c r="AA1262" s="14"/>
    </row>
    <row r="1263">
      <c r="A1263" s="14"/>
      <c r="B1263" s="14"/>
      <c r="C1263" s="158"/>
      <c r="D1263" s="96"/>
      <c r="E1263" s="96"/>
      <c r="F1263" s="96"/>
      <c r="G1263" s="50"/>
      <c r="H1263" s="96"/>
      <c r="I1263" s="96"/>
      <c r="J1263" s="96"/>
      <c r="K1263" s="50"/>
      <c r="L1263" s="96"/>
      <c r="M1263" s="96"/>
      <c r="N1263" s="14"/>
      <c r="O1263" s="50"/>
      <c r="P1263" s="50"/>
      <c r="Q1263" s="50"/>
      <c r="R1263" s="50"/>
      <c r="S1263" s="50"/>
      <c r="T1263" s="50"/>
      <c r="U1263" s="50"/>
      <c r="V1263" s="50"/>
      <c r="W1263" s="14"/>
      <c r="X1263" s="50"/>
      <c r="Y1263" s="179"/>
      <c r="Z1263" s="50"/>
      <c r="AA1263" s="14"/>
    </row>
    <row r="1264">
      <c r="A1264" s="14"/>
      <c r="B1264" s="14"/>
      <c r="C1264" s="158"/>
      <c r="D1264" s="96"/>
      <c r="E1264" s="96"/>
      <c r="F1264" s="96"/>
      <c r="G1264" s="50"/>
      <c r="H1264" s="96"/>
      <c r="I1264" s="96"/>
      <c r="J1264" s="96"/>
      <c r="K1264" s="50"/>
      <c r="L1264" s="96"/>
      <c r="M1264" s="96"/>
      <c r="N1264" s="14"/>
      <c r="O1264" s="50"/>
      <c r="P1264" s="50"/>
      <c r="Q1264" s="50"/>
      <c r="R1264" s="50"/>
      <c r="S1264" s="50"/>
      <c r="T1264" s="50"/>
      <c r="U1264" s="50"/>
      <c r="V1264" s="50"/>
      <c r="W1264" s="14"/>
      <c r="X1264" s="50"/>
      <c r="Y1264" s="179"/>
      <c r="Z1264" s="50"/>
      <c r="AA1264" s="14"/>
    </row>
    <row r="1265">
      <c r="A1265" s="14"/>
      <c r="B1265" s="14"/>
      <c r="C1265" s="158"/>
      <c r="D1265" s="96"/>
      <c r="E1265" s="96"/>
      <c r="F1265" s="96"/>
      <c r="G1265" s="50"/>
      <c r="H1265" s="96"/>
      <c r="I1265" s="96"/>
      <c r="J1265" s="96"/>
      <c r="K1265" s="50"/>
      <c r="L1265" s="96"/>
      <c r="M1265" s="96"/>
      <c r="N1265" s="14"/>
      <c r="O1265" s="50"/>
      <c r="P1265" s="50"/>
      <c r="Q1265" s="50"/>
      <c r="R1265" s="50"/>
      <c r="S1265" s="50"/>
      <c r="T1265" s="50"/>
      <c r="U1265" s="50"/>
      <c r="V1265" s="50"/>
      <c r="W1265" s="14"/>
      <c r="X1265" s="50"/>
      <c r="Y1265" s="179"/>
      <c r="Z1265" s="50"/>
      <c r="AA1265" s="14"/>
    </row>
    <row r="1266">
      <c r="A1266" s="14"/>
      <c r="B1266" s="14"/>
      <c r="C1266" s="158"/>
      <c r="D1266" s="96"/>
      <c r="E1266" s="96"/>
      <c r="F1266" s="96"/>
      <c r="G1266" s="50"/>
      <c r="H1266" s="96"/>
      <c r="I1266" s="96"/>
      <c r="J1266" s="96"/>
      <c r="K1266" s="50"/>
      <c r="L1266" s="96"/>
      <c r="M1266" s="96"/>
      <c r="N1266" s="14"/>
      <c r="O1266" s="50"/>
      <c r="P1266" s="50"/>
      <c r="Q1266" s="50"/>
      <c r="R1266" s="50"/>
      <c r="S1266" s="50"/>
      <c r="T1266" s="50"/>
      <c r="U1266" s="50"/>
      <c r="V1266" s="50"/>
      <c r="W1266" s="14"/>
      <c r="X1266" s="50"/>
      <c r="Y1266" s="179"/>
      <c r="Z1266" s="50"/>
      <c r="AA1266" s="14"/>
    </row>
    <row r="1267">
      <c r="A1267" s="14"/>
      <c r="B1267" s="14"/>
      <c r="C1267" s="158"/>
      <c r="D1267" s="96"/>
      <c r="E1267" s="96"/>
      <c r="F1267" s="96"/>
      <c r="G1267" s="50"/>
      <c r="H1267" s="96"/>
      <c r="I1267" s="96"/>
      <c r="J1267" s="96"/>
      <c r="K1267" s="50"/>
      <c r="L1267" s="96"/>
      <c r="M1267" s="96"/>
      <c r="N1267" s="14"/>
      <c r="O1267" s="50"/>
      <c r="P1267" s="50"/>
      <c r="Q1267" s="50"/>
      <c r="R1267" s="50"/>
      <c r="S1267" s="50"/>
      <c r="T1267" s="50"/>
      <c r="U1267" s="50"/>
      <c r="V1267" s="50"/>
      <c r="W1267" s="14"/>
      <c r="X1267" s="50"/>
      <c r="Y1267" s="179"/>
      <c r="Z1267" s="50"/>
      <c r="AA1267" s="14"/>
    </row>
    <row r="1268">
      <c r="A1268" s="14"/>
      <c r="B1268" s="14"/>
      <c r="C1268" s="158"/>
      <c r="D1268" s="96"/>
      <c r="E1268" s="96"/>
      <c r="F1268" s="96"/>
      <c r="G1268" s="50"/>
      <c r="H1268" s="96"/>
      <c r="I1268" s="96"/>
      <c r="J1268" s="96"/>
      <c r="K1268" s="50"/>
      <c r="L1268" s="96"/>
      <c r="M1268" s="96"/>
      <c r="N1268" s="14"/>
      <c r="O1268" s="50"/>
      <c r="P1268" s="50"/>
      <c r="Q1268" s="50"/>
      <c r="R1268" s="50"/>
      <c r="S1268" s="50"/>
      <c r="T1268" s="50"/>
      <c r="U1268" s="50"/>
      <c r="V1268" s="50"/>
      <c r="W1268" s="14"/>
      <c r="X1268" s="50"/>
      <c r="Y1268" s="179"/>
      <c r="Z1268" s="50"/>
      <c r="AA1268" s="14"/>
    </row>
    <row r="1269">
      <c r="A1269" s="14"/>
      <c r="B1269" s="14"/>
      <c r="C1269" s="158"/>
      <c r="D1269" s="96"/>
      <c r="E1269" s="96"/>
      <c r="F1269" s="96"/>
      <c r="G1269" s="50"/>
      <c r="H1269" s="96"/>
      <c r="I1269" s="96"/>
      <c r="J1269" s="96"/>
      <c r="K1269" s="50"/>
      <c r="L1269" s="96"/>
      <c r="M1269" s="96"/>
      <c r="N1269" s="14"/>
      <c r="O1269" s="50"/>
      <c r="P1269" s="50"/>
      <c r="Q1269" s="50"/>
      <c r="R1269" s="50"/>
      <c r="S1269" s="50"/>
      <c r="T1269" s="50"/>
      <c r="U1269" s="50"/>
      <c r="V1269" s="50"/>
      <c r="W1269" s="14"/>
      <c r="X1269" s="50"/>
      <c r="Y1269" s="179"/>
      <c r="Z1269" s="50"/>
      <c r="AA1269" s="14"/>
    </row>
    <row r="1270">
      <c r="A1270" s="14"/>
      <c r="B1270" s="14"/>
      <c r="C1270" s="158"/>
      <c r="D1270" s="96"/>
      <c r="E1270" s="96"/>
      <c r="F1270" s="96"/>
      <c r="G1270" s="50"/>
      <c r="H1270" s="96"/>
      <c r="I1270" s="96"/>
      <c r="J1270" s="96"/>
      <c r="K1270" s="50"/>
      <c r="L1270" s="96"/>
      <c r="M1270" s="96"/>
      <c r="N1270" s="14"/>
      <c r="O1270" s="50"/>
      <c r="P1270" s="50"/>
      <c r="Q1270" s="50"/>
      <c r="R1270" s="50"/>
      <c r="S1270" s="50"/>
      <c r="T1270" s="50"/>
      <c r="U1270" s="50"/>
      <c r="V1270" s="50"/>
      <c r="W1270" s="14"/>
      <c r="X1270" s="50"/>
      <c r="Y1270" s="179"/>
      <c r="Z1270" s="50"/>
      <c r="AA1270" s="14"/>
    </row>
    <row r="1271">
      <c r="A1271" s="14"/>
      <c r="B1271" s="14"/>
      <c r="C1271" s="158"/>
      <c r="D1271" s="96"/>
      <c r="E1271" s="96"/>
      <c r="F1271" s="96"/>
      <c r="G1271" s="50"/>
      <c r="H1271" s="96"/>
      <c r="I1271" s="96"/>
      <c r="J1271" s="96"/>
      <c r="K1271" s="50"/>
      <c r="L1271" s="96"/>
      <c r="M1271" s="96"/>
      <c r="N1271" s="14"/>
      <c r="O1271" s="50"/>
      <c r="P1271" s="50"/>
      <c r="Q1271" s="50"/>
      <c r="R1271" s="50"/>
      <c r="S1271" s="50"/>
      <c r="T1271" s="50"/>
      <c r="U1271" s="50"/>
      <c r="V1271" s="50"/>
      <c r="W1271" s="14"/>
      <c r="X1271" s="50"/>
      <c r="Y1271" s="179"/>
      <c r="Z1271" s="50"/>
      <c r="AA1271" s="14"/>
    </row>
    <row r="1272">
      <c r="A1272" s="14"/>
      <c r="B1272" s="14"/>
      <c r="C1272" s="158"/>
      <c r="D1272" s="96"/>
      <c r="E1272" s="96"/>
      <c r="F1272" s="96"/>
      <c r="G1272" s="50"/>
      <c r="H1272" s="96"/>
      <c r="I1272" s="96"/>
      <c r="J1272" s="96"/>
      <c r="K1272" s="50"/>
      <c r="L1272" s="96"/>
      <c r="M1272" s="96"/>
      <c r="N1272" s="14"/>
      <c r="O1272" s="50"/>
      <c r="P1272" s="50"/>
      <c r="Q1272" s="50"/>
      <c r="R1272" s="50"/>
      <c r="S1272" s="50"/>
      <c r="T1272" s="50"/>
      <c r="U1272" s="50"/>
      <c r="V1272" s="50"/>
      <c r="W1272" s="14"/>
      <c r="X1272" s="50"/>
      <c r="Y1272" s="179"/>
      <c r="Z1272" s="50"/>
      <c r="AA1272" s="14"/>
    </row>
    <row r="1273">
      <c r="A1273" s="14"/>
      <c r="B1273" s="14"/>
      <c r="C1273" s="158"/>
      <c r="D1273" s="96"/>
      <c r="E1273" s="96"/>
      <c r="F1273" s="96"/>
      <c r="G1273" s="50"/>
      <c r="H1273" s="96"/>
      <c r="I1273" s="96"/>
      <c r="J1273" s="96"/>
      <c r="K1273" s="50"/>
      <c r="L1273" s="96"/>
      <c r="M1273" s="96"/>
      <c r="N1273" s="14"/>
      <c r="O1273" s="50"/>
      <c r="P1273" s="50"/>
      <c r="Q1273" s="50"/>
      <c r="R1273" s="50"/>
      <c r="S1273" s="50"/>
      <c r="T1273" s="50"/>
      <c r="U1273" s="50"/>
      <c r="V1273" s="50"/>
      <c r="W1273" s="14"/>
      <c r="X1273" s="50"/>
      <c r="Y1273" s="179"/>
      <c r="Z1273" s="50"/>
      <c r="AA1273" s="14"/>
    </row>
    <row r="1274">
      <c r="A1274" s="14"/>
      <c r="B1274" s="14"/>
      <c r="C1274" s="158"/>
      <c r="D1274" s="96"/>
      <c r="E1274" s="96"/>
      <c r="F1274" s="96"/>
      <c r="G1274" s="50"/>
      <c r="H1274" s="96"/>
      <c r="I1274" s="96"/>
      <c r="J1274" s="96"/>
      <c r="K1274" s="50"/>
      <c r="L1274" s="96"/>
      <c r="M1274" s="96"/>
      <c r="N1274" s="14"/>
      <c r="O1274" s="50"/>
      <c r="P1274" s="50"/>
      <c r="Q1274" s="50"/>
      <c r="R1274" s="50"/>
      <c r="S1274" s="50"/>
      <c r="T1274" s="50"/>
      <c r="U1274" s="50"/>
      <c r="V1274" s="50"/>
      <c r="W1274" s="14"/>
      <c r="X1274" s="50"/>
      <c r="Y1274" s="179"/>
      <c r="Z1274" s="50"/>
      <c r="AA1274" s="14"/>
    </row>
    <row r="1275">
      <c r="A1275" s="14"/>
      <c r="B1275" s="14"/>
      <c r="C1275" s="158"/>
      <c r="D1275" s="96"/>
      <c r="E1275" s="96"/>
      <c r="F1275" s="96"/>
      <c r="G1275" s="50"/>
      <c r="H1275" s="96"/>
      <c r="I1275" s="96"/>
      <c r="J1275" s="96"/>
      <c r="K1275" s="50"/>
      <c r="L1275" s="96"/>
      <c r="M1275" s="96"/>
      <c r="N1275" s="14"/>
      <c r="O1275" s="50"/>
      <c r="P1275" s="50"/>
      <c r="Q1275" s="50"/>
      <c r="R1275" s="50"/>
      <c r="S1275" s="50"/>
      <c r="T1275" s="50"/>
      <c r="U1275" s="50"/>
      <c r="V1275" s="50"/>
      <c r="W1275" s="14"/>
      <c r="X1275" s="50"/>
      <c r="Y1275" s="179"/>
      <c r="Z1275" s="50"/>
      <c r="AA1275" s="14"/>
    </row>
    <row r="1276">
      <c r="A1276" s="14"/>
      <c r="B1276" s="14"/>
      <c r="C1276" s="158"/>
      <c r="D1276" s="96"/>
      <c r="E1276" s="96"/>
      <c r="F1276" s="96"/>
      <c r="G1276" s="50"/>
      <c r="H1276" s="96"/>
      <c r="I1276" s="96"/>
      <c r="J1276" s="96"/>
      <c r="K1276" s="50"/>
      <c r="L1276" s="96"/>
      <c r="M1276" s="96"/>
      <c r="N1276" s="14"/>
      <c r="O1276" s="50"/>
      <c r="P1276" s="50"/>
      <c r="Q1276" s="50"/>
      <c r="R1276" s="50"/>
      <c r="S1276" s="50"/>
      <c r="T1276" s="50"/>
      <c r="U1276" s="50"/>
      <c r="V1276" s="50"/>
      <c r="W1276" s="14"/>
      <c r="X1276" s="50"/>
      <c r="Y1276" s="179"/>
      <c r="Z1276" s="50"/>
      <c r="AA1276" s="14"/>
    </row>
    <row r="1277">
      <c r="A1277" s="14"/>
      <c r="B1277" s="14"/>
      <c r="C1277" s="158"/>
      <c r="D1277" s="96"/>
      <c r="E1277" s="96"/>
      <c r="F1277" s="96"/>
      <c r="G1277" s="50"/>
      <c r="H1277" s="96"/>
      <c r="I1277" s="96"/>
      <c r="J1277" s="96"/>
      <c r="K1277" s="50"/>
      <c r="L1277" s="96"/>
      <c r="M1277" s="96"/>
      <c r="N1277" s="14"/>
      <c r="O1277" s="50"/>
      <c r="P1277" s="50"/>
      <c r="Q1277" s="50"/>
      <c r="R1277" s="50"/>
      <c r="S1277" s="50"/>
      <c r="T1277" s="50"/>
      <c r="U1277" s="50"/>
      <c r="V1277" s="50"/>
      <c r="W1277" s="14"/>
      <c r="X1277" s="50"/>
      <c r="Y1277" s="179"/>
      <c r="Z1277" s="50"/>
      <c r="AA1277" s="14"/>
    </row>
    <row r="1278">
      <c r="A1278" s="14"/>
      <c r="B1278" s="14"/>
      <c r="C1278" s="158"/>
      <c r="D1278" s="96"/>
      <c r="E1278" s="96"/>
      <c r="F1278" s="96"/>
      <c r="G1278" s="50"/>
      <c r="H1278" s="96"/>
      <c r="I1278" s="96"/>
      <c r="J1278" s="96"/>
      <c r="K1278" s="50"/>
      <c r="L1278" s="96"/>
      <c r="M1278" s="96"/>
      <c r="N1278" s="14"/>
      <c r="O1278" s="50"/>
      <c r="P1278" s="50"/>
      <c r="Q1278" s="50"/>
      <c r="R1278" s="50"/>
      <c r="S1278" s="50"/>
      <c r="T1278" s="50"/>
      <c r="U1278" s="50"/>
      <c r="V1278" s="50"/>
      <c r="W1278" s="14"/>
      <c r="X1278" s="50"/>
      <c r="Y1278" s="179"/>
      <c r="Z1278" s="50"/>
      <c r="AA1278" s="14"/>
    </row>
    <row r="1279">
      <c r="A1279" s="14"/>
      <c r="B1279" s="14"/>
      <c r="C1279" s="158"/>
      <c r="D1279" s="96"/>
      <c r="E1279" s="96"/>
      <c r="F1279" s="96"/>
      <c r="G1279" s="50"/>
      <c r="H1279" s="96"/>
      <c r="I1279" s="96"/>
      <c r="J1279" s="96"/>
      <c r="K1279" s="50"/>
      <c r="L1279" s="96"/>
      <c r="M1279" s="96"/>
      <c r="N1279" s="14"/>
      <c r="O1279" s="50"/>
      <c r="P1279" s="50"/>
      <c r="Q1279" s="50"/>
      <c r="R1279" s="50"/>
      <c r="S1279" s="50"/>
      <c r="T1279" s="50"/>
      <c r="U1279" s="50"/>
      <c r="V1279" s="50"/>
      <c r="W1279" s="14"/>
      <c r="X1279" s="50"/>
      <c r="Y1279" s="179"/>
      <c r="Z1279" s="50"/>
      <c r="AA1279" s="14"/>
    </row>
    <row r="1280">
      <c r="A1280" s="14"/>
      <c r="B1280" s="14"/>
      <c r="C1280" s="158"/>
      <c r="D1280" s="96"/>
      <c r="E1280" s="96"/>
      <c r="F1280" s="96"/>
      <c r="G1280" s="50"/>
      <c r="H1280" s="96"/>
      <c r="I1280" s="96"/>
      <c r="J1280" s="96"/>
      <c r="K1280" s="50"/>
      <c r="L1280" s="96"/>
      <c r="M1280" s="96"/>
      <c r="N1280" s="14"/>
      <c r="O1280" s="50"/>
      <c r="P1280" s="50"/>
      <c r="Q1280" s="50"/>
      <c r="R1280" s="50"/>
      <c r="S1280" s="50"/>
      <c r="T1280" s="50"/>
      <c r="U1280" s="50"/>
      <c r="V1280" s="50"/>
      <c r="W1280" s="14"/>
      <c r="X1280" s="50"/>
      <c r="Y1280" s="179"/>
      <c r="Z1280" s="50"/>
      <c r="AA1280" s="14"/>
    </row>
    <row r="1281">
      <c r="A1281" s="14"/>
      <c r="B1281" s="14"/>
      <c r="C1281" s="158"/>
      <c r="D1281" s="96"/>
      <c r="E1281" s="96"/>
      <c r="F1281" s="96"/>
      <c r="G1281" s="50"/>
      <c r="H1281" s="96"/>
      <c r="I1281" s="96"/>
      <c r="J1281" s="96"/>
      <c r="K1281" s="50"/>
      <c r="L1281" s="96"/>
      <c r="M1281" s="96"/>
      <c r="N1281" s="14"/>
      <c r="O1281" s="50"/>
      <c r="P1281" s="50"/>
      <c r="Q1281" s="50"/>
      <c r="R1281" s="50"/>
      <c r="S1281" s="50"/>
      <c r="T1281" s="50"/>
      <c r="U1281" s="50"/>
      <c r="V1281" s="50"/>
      <c r="W1281" s="14"/>
      <c r="X1281" s="50"/>
      <c r="Y1281" s="179"/>
      <c r="Z1281" s="50"/>
      <c r="AA1281" s="14"/>
    </row>
    <row r="1282">
      <c r="A1282" s="14"/>
      <c r="B1282" s="14"/>
      <c r="C1282" s="158"/>
      <c r="D1282" s="96"/>
      <c r="E1282" s="96"/>
      <c r="F1282" s="96"/>
      <c r="G1282" s="50"/>
      <c r="H1282" s="96"/>
      <c r="I1282" s="96"/>
      <c r="J1282" s="96"/>
      <c r="K1282" s="50"/>
      <c r="L1282" s="96"/>
      <c r="M1282" s="96"/>
      <c r="N1282" s="14"/>
      <c r="O1282" s="50"/>
      <c r="P1282" s="50"/>
      <c r="Q1282" s="50"/>
      <c r="R1282" s="50"/>
      <c r="S1282" s="50"/>
      <c r="T1282" s="50"/>
      <c r="U1282" s="50"/>
      <c r="V1282" s="50"/>
      <c r="W1282" s="14"/>
      <c r="X1282" s="50"/>
      <c r="Y1282" s="179"/>
      <c r="Z1282" s="50"/>
      <c r="AA1282" s="14"/>
    </row>
    <row r="1283">
      <c r="A1283" s="14"/>
      <c r="B1283" s="14"/>
      <c r="C1283" s="158"/>
      <c r="D1283" s="96"/>
      <c r="E1283" s="96"/>
      <c r="F1283" s="96"/>
      <c r="G1283" s="50"/>
      <c r="H1283" s="96"/>
      <c r="I1283" s="96"/>
      <c r="J1283" s="96"/>
      <c r="K1283" s="50"/>
      <c r="L1283" s="96"/>
      <c r="M1283" s="96"/>
      <c r="N1283" s="14"/>
      <c r="O1283" s="50"/>
      <c r="P1283" s="50"/>
      <c r="Q1283" s="50"/>
      <c r="R1283" s="50"/>
      <c r="S1283" s="50"/>
      <c r="T1283" s="50"/>
      <c r="U1283" s="50"/>
      <c r="V1283" s="50"/>
      <c r="W1283" s="14"/>
      <c r="X1283" s="50"/>
      <c r="Y1283" s="179"/>
      <c r="Z1283" s="50"/>
      <c r="AA1283" s="14"/>
    </row>
    <row r="1284">
      <c r="A1284" s="14"/>
      <c r="B1284" s="14"/>
      <c r="C1284" s="158"/>
      <c r="D1284" s="96"/>
      <c r="E1284" s="96"/>
      <c r="F1284" s="96"/>
      <c r="G1284" s="50"/>
      <c r="H1284" s="96"/>
      <c r="I1284" s="96"/>
      <c r="J1284" s="96"/>
      <c r="K1284" s="50"/>
      <c r="L1284" s="96"/>
      <c r="M1284" s="96"/>
      <c r="N1284" s="14"/>
      <c r="O1284" s="50"/>
      <c r="P1284" s="50"/>
      <c r="Q1284" s="50"/>
      <c r="R1284" s="50"/>
      <c r="S1284" s="50"/>
      <c r="T1284" s="50"/>
      <c r="U1284" s="50"/>
      <c r="V1284" s="50"/>
      <c r="W1284" s="14"/>
      <c r="X1284" s="50"/>
      <c r="Y1284" s="179"/>
      <c r="Z1284" s="50"/>
      <c r="AA1284" s="14"/>
    </row>
    <row r="1285">
      <c r="A1285" s="14"/>
      <c r="B1285" s="14"/>
      <c r="C1285" s="158"/>
      <c r="D1285" s="96"/>
      <c r="E1285" s="96"/>
      <c r="F1285" s="96"/>
      <c r="G1285" s="50"/>
      <c r="H1285" s="96"/>
      <c r="I1285" s="96"/>
      <c r="J1285" s="96"/>
      <c r="K1285" s="50"/>
      <c r="L1285" s="96"/>
      <c r="M1285" s="96"/>
      <c r="N1285" s="14"/>
      <c r="O1285" s="50"/>
      <c r="P1285" s="50"/>
      <c r="Q1285" s="50"/>
      <c r="R1285" s="50"/>
      <c r="S1285" s="50"/>
      <c r="T1285" s="50"/>
      <c r="U1285" s="50"/>
      <c r="V1285" s="50"/>
      <c r="W1285" s="14"/>
      <c r="X1285" s="50"/>
      <c r="Y1285" s="179"/>
      <c r="Z1285" s="50"/>
      <c r="AA1285" s="14"/>
    </row>
    <row r="1286">
      <c r="A1286" s="14"/>
      <c r="B1286" s="14"/>
      <c r="C1286" s="158"/>
      <c r="D1286" s="96"/>
      <c r="E1286" s="96"/>
      <c r="F1286" s="96"/>
      <c r="G1286" s="50"/>
      <c r="H1286" s="96"/>
      <c r="I1286" s="96"/>
      <c r="J1286" s="96"/>
      <c r="K1286" s="50"/>
      <c r="L1286" s="96"/>
      <c r="M1286" s="96"/>
      <c r="N1286" s="14"/>
      <c r="O1286" s="50"/>
      <c r="P1286" s="50"/>
      <c r="Q1286" s="50"/>
      <c r="R1286" s="50"/>
      <c r="S1286" s="50"/>
      <c r="T1286" s="50"/>
      <c r="U1286" s="50"/>
      <c r="V1286" s="50"/>
      <c r="W1286" s="14"/>
      <c r="X1286" s="50"/>
      <c r="Y1286" s="179"/>
      <c r="Z1286" s="50"/>
      <c r="AA1286" s="14"/>
    </row>
    <row r="1287">
      <c r="A1287" s="14"/>
      <c r="B1287" s="14"/>
      <c r="C1287" s="158"/>
      <c r="D1287" s="96"/>
      <c r="E1287" s="96"/>
      <c r="F1287" s="96"/>
      <c r="G1287" s="50"/>
      <c r="H1287" s="96"/>
      <c r="I1287" s="96"/>
      <c r="J1287" s="96"/>
      <c r="K1287" s="50"/>
      <c r="L1287" s="96"/>
      <c r="M1287" s="96"/>
      <c r="N1287" s="14"/>
      <c r="O1287" s="50"/>
      <c r="P1287" s="50"/>
      <c r="Q1287" s="50"/>
      <c r="R1287" s="50"/>
      <c r="S1287" s="50"/>
      <c r="T1287" s="50"/>
      <c r="U1287" s="50"/>
      <c r="V1287" s="50"/>
      <c r="W1287" s="14"/>
      <c r="X1287" s="50"/>
      <c r="Y1287" s="179"/>
      <c r="Z1287" s="50"/>
      <c r="AA1287" s="14"/>
    </row>
    <row r="1288">
      <c r="A1288" s="14"/>
      <c r="B1288" s="14"/>
      <c r="C1288" s="158"/>
      <c r="D1288" s="96"/>
      <c r="E1288" s="96"/>
      <c r="F1288" s="96"/>
      <c r="G1288" s="50"/>
      <c r="H1288" s="96"/>
      <c r="I1288" s="96"/>
      <c r="J1288" s="96"/>
      <c r="K1288" s="50"/>
      <c r="L1288" s="96"/>
      <c r="M1288" s="96"/>
      <c r="N1288" s="14"/>
      <c r="O1288" s="50"/>
      <c r="P1288" s="50"/>
      <c r="Q1288" s="50"/>
      <c r="R1288" s="50"/>
      <c r="S1288" s="50"/>
      <c r="T1288" s="50"/>
      <c r="U1288" s="50"/>
      <c r="V1288" s="50"/>
      <c r="W1288" s="14"/>
      <c r="X1288" s="50"/>
      <c r="Y1288" s="179"/>
      <c r="Z1288" s="50"/>
      <c r="AA1288" s="14"/>
    </row>
    <row r="1289">
      <c r="A1289" s="14"/>
      <c r="B1289" s="14"/>
      <c r="C1289" s="158"/>
      <c r="D1289" s="96"/>
      <c r="E1289" s="96"/>
      <c r="F1289" s="96"/>
      <c r="G1289" s="50"/>
      <c r="H1289" s="96"/>
      <c r="I1289" s="96"/>
      <c r="J1289" s="96"/>
      <c r="K1289" s="50"/>
      <c r="L1289" s="96"/>
      <c r="M1289" s="96"/>
      <c r="N1289" s="14"/>
      <c r="O1289" s="50"/>
      <c r="P1289" s="50"/>
      <c r="Q1289" s="50"/>
      <c r="R1289" s="50"/>
      <c r="S1289" s="50"/>
      <c r="T1289" s="50"/>
      <c r="U1289" s="50"/>
      <c r="V1289" s="50"/>
      <c r="W1289" s="14"/>
      <c r="X1289" s="50"/>
      <c r="Y1289" s="179"/>
      <c r="Z1289" s="50"/>
      <c r="AA1289" s="14"/>
    </row>
    <row r="1290">
      <c r="A1290" s="14"/>
      <c r="B1290" s="14"/>
      <c r="C1290" s="158"/>
      <c r="D1290" s="96"/>
      <c r="E1290" s="96"/>
      <c r="F1290" s="96"/>
      <c r="G1290" s="50"/>
      <c r="H1290" s="96"/>
      <c r="I1290" s="96"/>
      <c r="J1290" s="96"/>
      <c r="K1290" s="50"/>
      <c r="L1290" s="96"/>
      <c r="M1290" s="96"/>
      <c r="N1290" s="14"/>
      <c r="O1290" s="50"/>
      <c r="P1290" s="50"/>
      <c r="Q1290" s="50"/>
      <c r="R1290" s="50"/>
      <c r="S1290" s="50"/>
      <c r="T1290" s="50"/>
      <c r="U1290" s="50"/>
      <c r="V1290" s="50"/>
      <c r="W1290" s="14"/>
      <c r="X1290" s="50"/>
      <c r="Y1290" s="179"/>
      <c r="Z1290" s="50"/>
      <c r="AA1290" s="14"/>
    </row>
    <row r="1291">
      <c r="A1291" s="14"/>
      <c r="B1291" s="14"/>
      <c r="C1291" s="158"/>
      <c r="D1291" s="96"/>
      <c r="E1291" s="96"/>
      <c r="F1291" s="96"/>
      <c r="G1291" s="50"/>
      <c r="H1291" s="96"/>
      <c r="I1291" s="96"/>
      <c r="J1291" s="96"/>
      <c r="K1291" s="50"/>
      <c r="L1291" s="96"/>
      <c r="M1291" s="96"/>
      <c r="N1291" s="14"/>
      <c r="O1291" s="50"/>
      <c r="P1291" s="50"/>
      <c r="Q1291" s="50"/>
      <c r="R1291" s="50"/>
      <c r="S1291" s="50"/>
      <c r="T1291" s="50"/>
      <c r="U1291" s="50"/>
      <c r="V1291" s="50"/>
      <c r="W1291" s="14"/>
      <c r="X1291" s="50"/>
      <c r="Y1291" s="179"/>
      <c r="Z1291" s="50"/>
      <c r="AA1291" s="14"/>
    </row>
    <row r="1292">
      <c r="A1292" s="14"/>
      <c r="B1292" s="14"/>
      <c r="C1292" s="158"/>
      <c r="D1292" s="96"/>
      <c r="E1292" s="96"/>
      <c r="F1292" s="96"/>
      <c r="G1292" s="50"/>
      <c r="H1292" s="96"/>
      <c r="I1292" s="96"/>
      <c r="J1292" s="96"/>
      <c r="K1292" s="50"/>
      <c r="L1292" s="96"/>
      <c r="M1292" s="96"/>
      <c r="N1292" s="14"/>
      <c r="O1292" s="50"/>
      <c r="P1292" s="50"/>
      <c r="Q1292" s="50"/>
      <c r="R1292" s="50"/>
      <c r="S1292" s="50"/>
      <c r="T1292" s="50"/>
      <c r="U1292" s="50"/>
      <c r="V1292" s="50"/>
      <c r="W1292" s="14"/>
      <c r="X1292" s="50"/>
      <c r="Y1292" s="179"/>
      <c r="Z1292" s="50"/>
      <c r="AA1292" s="14"/>
    </row>
    <row r="1293">
      <c r="A1293" s="14"/>
      <c r="B1293" s="14"/>
      <c r="C1293" s="158"/>
      <c r="D1293" s="96"/>
      <c r="E1293" s="96"/>
      <c r="F1293" s="96"/>
      <c r="G1293" s="50"/>
      <c r="H1293" s="96"/>
      <c r="I1293" s="96"/>
      <c r="J1293" s="96"/>
      <c r="K1293" s="50"/>
      <c r="L1293" s="96"/>
      <c r="M1293" s="96"/>
      <c r="N1293" s="14"/>
      <c r="O1293" s="50"/>
      <c r="P1293" s="50"/>
      <c r="Q1293" s="50"/>
      <c r="R1293" s="50"/>
      <c r="S1293" s="50"/>
      <c r="T1293" s="50"/>
      <c r="U1293" s="50"/>
      <c r="V1293" s="50"/>
      <c r="W1293" s="14"/>
      <c r="X1293" s="50"/>
      <c r="Y1293" s="179"/>
      <c r="Z1293" s="50"/>
      <c r="AA1293" s="14"/>
    </row>
    <row r="1294">
      <c r="A1294" s="14"/>
      <c r="B1294" s="14"/>
      <c r="C1294" s="158"/>
      <c r="D1294" s="96"/>
      <c r="E1294" s="96"/>
      <c r="F1294" s="96"/>
      <c r="G1294" s="50"/>
      <c r="H1294" s="96"/>
      <c r="I1294" s="96"/>
      <c r="J1294" s="96"/>
      <c r="K1294" s="50"/>
      <c r="L1294" s="96"/>
      <c r="M1294" s="96"/>
      <c r="N1294" s="14"/>
      <c r="O1294" s="50"/>
      <c r="P1294" s="50"/>
      <c r="Q1294" s="50"/>
      <c r="R1294" s="50"/>
      <c r="S1294" s="50"/>
      <c r="T1294" s="50"/>
      <c r="U1294" s="50"/>
      <c r="V1294" s="50"/>
      <c r="W1294" s="14"/>
      <c r="X1294" s="50"/>
      <c r="Y1294" s="179"/>
      <c r="Z1294" s="50"/>
      <c r="AA1294" s="14"/>
    </row>
    <row r="1295">
      <c r="A1295" s="14"/>
      <c r="B1295" s="14"/>
      <c r="C1295" s="158"/>
      <c r="D1295" s="96"/>
      <c r="E1295" s="96"/>
      <c r="F1295" s="96"/>
      <c r="G1295" s="50"/>
      <c r="H1295" s="96"/>
      <c r="I1295" s="96"/>
      <c r="J1295" s="96"/>
      <c r="K1295" s="50"/>
      <c r="L1295" s="96"/>
      <c r="M1295" s="96"/>
      <c r="N1295" s="14"/>
      <c r="O1295" s="50"/>
      <c r="P1295" s="50"/>
      <c r="Q1295" s="50"/>
      <c r="R1295" s="50"/>
      <c r="S1295" s="50"/>
      <c r="T1295" s="50"/>
      <c r="U1295" s="50"/>
      <c r="V1295" s="50"/>
      <c r="W1295" s="14"/>
      <c r="X1295" s="50"/>
      <c r="Y1295" s="179"/>
      <c r="Z1295" s="50"/>
      <c r="AA1295" s="14"/>
    </row>
    <row r="1296">
      <c r="A1296" s="14"/>
      <c r="B1296" s="14"/>
      <c r="C1296" s="158"/>
      <c r="D1296" s="96"/>
      <c r="E1296" s="96"/>
      <c r="F1296" s="96"/>
      <c r="G1296" s="50"/>
      <c r="H1296" s="96"/>
      <c r="I1296" s="96"/>
      <c r="J1296" s="96"/>
      <c r="K1296" s="50"/>
      <c r="L1296" s="96"/>
      <c r="M1296" s="96"/>
      <c r="N1296" s="14"/>
      <c r="O1296" s="50"/>
      <c r="P1296" s="50"/>
      <c r="Q1296" s="50"/>
      <c r="R1296" s="50"/>
      <c r="S1296" s="50"/>
      <c r="T1296" s="50"/>
      <c r="U1296" s="50"/>
      <c r="V1296" s="50"/>
      <c r="W1296" s="14"/>
      <c r="X1296" s="50"/>
      <c r="Y1296" s="179"/>
      <c r="Z1296" s="50"/>
      <c r="AA1296" s="14"/>
    </row>
    <row r="1297">
      <c r="A1297" s="14"/>
      <c r="B1297" s="14"/>
      <c r="C1297" s="158"/>
      <c r="D1297" s="96"/>
      <c r="E1297" s="96"/>
      <c r="F1297" s="96"/>
      <c r="G1297" s="50"/>
      <c r="H1297" s="96"/>
      <c r="I1297" s="96"/>
      <c r="J1297" s="96"/>
      <c r="K1297" s="50"/>
      <c r="L1297" s="96"/>
      <c r="M1297" s="96"/>
      <c r="N1297" s="14"/>
      <c r="O1297" s="50"/>
      <c r="P1297" s="50"/>
      <c r="Q1297" s="50"/>
      <c r="R1297" s="50"/>
      <c r="S1297" s="50"/>
      <c r="T1297" s="50"/>
      <c r="U1297" s="50"/>
      <c r="V1297" s="50"/>
      <c r="W1297" s="14"/>
      <c r="X1297" s="50"/>
      <c r="Y1297" s="179"/>
      <c r="Z1297" s="50"/>
      <c r="AA1297" s="14"/>
    </row>
    <row r="1298">
      <c r="A1298" s="14"/>
      <c r="B1298" s="14"/>
      <c r="C1298" s="158"/>
      <c r="D1298" s="96"/>
      <c r="E1298" s="96"/>
      <c r="F1298" s="96"/>
      <c r="G1298" s="50"/>
      <c r="H1298" s="96"/>
      <c r="I1298" s="96"/>
      <c r="J1298" s="96"/>
      <c r="K1298" s="50"/>
      <c r="L1298" s="96"/>
      <c r="M1298" s="96"/>
      <c r="N1298" s="14"/>
      <c r="O1298" s="50"/>
      <c r="P1298" s="50"/>
      <c r="Q1298" s="50"/>
      <c r="R1298" s="50"/>
      <c r="S1298" s="50"/>
      <c r="T1298" s="50"/>
      <c r="U1298" s="50"/>
      <c r="V1298" s="50"/>
      <c r="W1298" s="14"/>
      <c r="X1298" s="50"/>
      <c r="Y1298" s="179"/>
      <c r="Z1298" s="50"/>
      <c r="AA1298" s="14"/>
    </row>
    <row r="1299">
      <c r="A1299" s="14"/>
      <c r="B1299" s="14"/>
      <c r="C1299" s="158"/>
      <c r="D1299" s="96"/>
      <c r="E1299" s="96"/>
      <c r="F1299" s="96"/>
      <c r="G1299" s="50"/>
      <c r="H1299" s="96"/>
      <c r="I1299" s="96"/>
      <c r="J1299" s="96"/>
      <c r="K1299" s="50"/>
      <c r="L1299" s="96"/>
      <c r="M1299" s="96"/>
      <c r="N1299" s="14"/>
      <c r="O1299" s="50"/>
      <c r="P1299" s="50"/>
      <c r="Q1299" s="50"/>
      <c r="R1299" s="50"/>
      <c r="S1299" s="50"/>
      <c r="T1299" s="50"/>
      <c r="U1299" s="50"/>
      <c r="V1299" s="50"/>
      <c r="W1299" s="14"/>
      <c r="X1299" s="50"/>
      <c r="Y1299" s="179"/>
      <c r="Z1299" s="50"/>
      <c r="AA1299" s="14"/>
    </row>
    <row r="1300">
      <c r="A1300" s="14"/>
      <c r="B1300" s="14"/>
      <c r="C1300" s="158"/>
      <c r="D1300" s="96"/>
      <c r="E1300" s="96"/>
      <c r="F1300" s="96"/>
      <c r="G1300" s="50"/>
      <c r="H1300" s="96"/>
      <c r="I1300" s="96"/>
      <c r="J1300" s="96"/>
      <c r="K1300" s="50"/>
      <c r="L1300" s="96"/>
      <c r="M1300" s="96"/>
      <c r="N1300" s="14"/>
      <c r="O1300" s="50"/>
      <c r="P1300" s="50"/>
      <c r="Q1300" s="50"/>
      <c r="R1300" s="50"/>
      <c r="S1300" s="50"/>
      <c r="T1300" s="50"/>
      <c r="U1300" s="50"/>
      <c r="V1300" s="50"/>
      <c r="W1300" s="14"/>
      <c r="X1300" s="50"/>
      <c r="Y1300" s="179"/>
      <c r="Z1300" s="50"/>
      <c r="AA1300" s="14"/>
    </row>
    <row r="1301">
      <c r="A1301" s="14"/>
      <c r="B1301" s="14"/>
      <c r="C1301" s="158"/>
      <c r="D1301" s="96"/>
      <c r="E1301" s="96"/>
      <c r="F1301" s="96"/>
      <c r="G1301" s="50"/>
      <c r="H1301" s="96"/>
      <c r="I1301" s="96"/>
      <c r="J1301" s="96"/>
      <c r="K1301" s="50"/>
      <c r="L1301" s="96"/>
      <c r="M1301" s="96"/>
      <c r="N1301" s="14"/>
      <c r="O1301" s="50"/>
      <c r="P1301" s="50"/>
      <c r="Q1301" s="50"/>
      <c r="R1301" s="50"/>
      <c r="S1301" s="50"/>
      <c r="T1301" s="50"/>
      <c r="U1301" s="50"/>
      <c r="V1301" s="50"/>
      <c r="W1301" s="14"/>
      <c r="X1301" s="50"/>
      <c r="Y1301" s="179"/>
      <c r="Z1301" s="50"/>
      <c r="AA1301" s="14"/>
    </row>
    <row r="1302">
      <c r="A1302" s="14"/>
      <c r="B1302" s="14"/>
      <c r="C1302" s="158"/>
      <c r="D1302" s="96"/>
      <c r="E1302" s="96"/>
      <c r="F1302" s="96"/>
      <c r="G1302" s="50"/>
      <c r="H1302" s="96"/>
      <c r="I1302" s="96"/>
      <c r="J1302" s="96"/>
      <c r="K1302" s="50"/>
      <c r="L1302" s="96"/>
      <c r="M1302" s="96"/>
      <c r="N1302" s="14"/>
      <c r="O1302" s="50"/>
      <c r="P1302" s="50"/>
      <c r="Q1302" s="50"/>
      <c r="R1302" s="50"/>
      <c r="S1302" s="50"/>
      <c r="T1302" s="50"/>
      <c r="U1302" s="50"/>
      <c r="V1302" s="50"/>
      <c r="W1302" s="14"/>
      <c r="X1302" s="50"/>
      <c r="Y1302" s="179"/>
      <c r="Z1302" s="50"/>
      <c r="AA1302" s="14"/>
    </row>
    <row r="1303">
      <c r="A1303" s="14"/>
      <c r="B1303" s="14"/>
      <c r="C1303" s="158"/>
      <c r="D1303" s="96"/>
      <c r="E1303" s="96"/>
      <c r="F1303" s="96"/>
      <c r="G1303" s="50"/>
      <c r="H1303" s="96"/>
      <c r="I1303" s="96"/>
      <c r="J1303" s="96"/>
      <c r="K1303" s="50"/>
      <c r="L1303" s="96"/>
      <c r="M1303" s="96"/>
      <c r="N1303" s="14"/>
      <c r="O1303" s="50"/>
      <c r="P1303" s="50"/>
      <c r="Q1303" s="50"/>
      <c r="R1303" s="50"/>
      <c r="S1303" s="50"/>
      <c r="T1303" s="50"/>
      <c r="U1303" s="50"/>
      <c r="V1303" s="50"/>
      <c r="W1303" s="14"/>
      <c r="X1303" s="50"/>
      <c r="Y1303" s="179"/>
      <c r="Z1303" s="50"/>
      <c r="AA1303" s="14"/>
    </row>
    <row r="1304">
      <c r="A1304" s="14"/>
      <c r="B1304" s="14"/>
      <c r="C1304" s="158"/>
      <c r="D1304" s="96"/>
      <c r="E1304" s="96"/>
      <c r="F1304" s="96"/>
      <c r="G1304" s="50"/>
      <c r="H1304" s="96"/>
      <c r="I1304" s="96"/>
      <c r="J1304" s="96"/>
      <c r="K1304" s="50"/>
      <c r="L1304" s="96"/>
      <c r="M1304" s="96"/>
      <c r="N1304" s="14"/>
      <c r="O1304" s="50"/>
      <c r="P1304" s="50"/>
      <c r="Q1304" s="50"/>
      <c r="R1304" s="50"/>
      <c r="S1304" s="50"/>
      <c r="T1304" s="50"/>
      <c r="U1304" s="50"/>
      <c r="V1304" s="50"/>
      <c r="W1304" s="14"/>
      <c r="X1304" s="50"/>
      <c r="Y1304" s="179"/>
      <c r="Z1304" s="50"/>
      <c r="AA1304" s="14"/>
    </row>
    <row r="1305">
      <c r="A1305" s="14"/>
      <c r="B1305" s="14"/>
      <c r="C1305" s="158"/>
      <c r="D1305" s="96"/>
      <c r="E1305" s="96"/>
      <c r="F1305" s="96"/>
      <c r="G1305" s="50"/>
      <c r="H1305" s="96"/>
      <c r="I1305" s="96"/>
      <c r="J1305" s="96"/>
      <c r="K1305" s="50"/>
      <c r="L1305" s="96"/>
      <c r="M1305" s="96"/>
      <c r="N1305" s="14"/>
      <c r="O1305" s="50"/>
      <c r="P1305" s="50"/>
      <c r="Q1305" s="50"/>
      <c r="R1305" s="50"/>
      <c r="S1305" s="50"/>
      <c r="T1305" s="50"/>
      <c r="U1305" s="50"/>
      <c r="V1305" s="50"/>
      <c r="W1305" s="14"/>
      <c r="X1305" s="50"/>
      <c r="Y1305" s="179"/>
      <c r="Z1305" s="50"/>
      <c r="AA1305" s="14"/>
    </row>
    <row r="1306">
      <c r="A1306" s="14"/>
      <c r="B1306" s="14"/>
      <c r="C1306" s="158"/>
      <c r="D1306" s="96"/>
      <c r="E1306" s="96"/>
      <c r="F1306" s="96"/>
      <c r="G1306" s="50"/>
      <c r="H1306" s="96"/>
      <c r="I1306" s="96"/>
      <c r="J1306" s="96"/>
      <c r="K1306" s="50"/>
      <c r="L1306" s="96"/>
      <c r="M1306" s="96"/>
      <c r="N1306" s="14"/>
      <c r="O1306" s="50"/>
      <c r="P1306" s="50"/>
      <c r="Q1306" s="50"/>
      <c r="R1306" s="50"/>
      <c r="S1306" s="50"/>
      <c r="T1306" s="50"/>
      <c r="U1306" s="50"/>
      <c r="V1306" s="50"/>
      <c r="W1306" s="14"/>
      <c r="X1306" s="50"/>
      <c r="Y1306" s="179"/>
      <c r="Z1306" s="50"/>
      <c r="AA1306" s="14"/>
    </row>
    <row r="1307">
      <c r="A1307" s="14"/>
      <c r="B1307" s="14"/>
      <c r="C1307" s="158"/>
      <c r="D1307" s="96"/>
      <c r="E1307" s="96"/>
      <c r="F1307" s="96"/>
      <c r="G1307" s="50"/>
      <c r="H1307" s="96"/>
      <c r="I1307" s="96"/>
      <c r="J1307" s="96"/>
      <c r="K1307" s="50"/>
      <c r="L1307" s="96"/>
      <c r="M1307" s="96"/>
      <c r="N1307" s="14"/>
      <c r="O1307" s="50"/>
      <c r="P1307" s="50"/>
      <c r="Q1307" s="50"/>
      <c r="R1307" s="50"/>
      <c r="S1307" s="50"/>
      <c r="T1307" s="50"/>
      <c r="U1307" s="50"/>
      <c r="V1307" s="50"/>
      <c r="W1307" s="14"/>
      <c r="X1307" s="50"/>
      <c r="Y1307" s="179"/>
      <c r="Z1307" s="50"/>
      <c r="AA1307" s="14"/>
    </row>
    <row r="1308">
      <c r="A1308" s="14"/>
      <c r="B1308" s="14"/>
      <c r="C1308" s="158"/>
      <c r="D1308" s="96"/>
      <c r="E1308" s="96"/>
      <c r="F1308" s="96"/>
      <c r="G1308" s="50"/>
      <c r="H1308" s="96"/>
      <c r="I1308" s="96"/>
      <c r="J1308" s="96"/>
      <c r="K1308" s="50"/>
      <c r="L1308" s="96"/>
      <c r="M1308" s="96"/>
      <c r="N1308" s="14"/>
      <c r="O1308" s="50"/>
      <c r="P1308" s="50"/>
      <c r="Q1308" s="50"/>
      <c r="R1308" s="50"/>
      <c r="S1308" s="50"/>
      <c r="T1308" s="50"/>
      <c r="U1308" s="50"/>
      <c r="V1308" s="50"/>
      <c r="W1308" s="14"/>
      <c r="X1308" s="50"/>
      <c r="Y1308" s="179"/>
      <c r="Z1308" s="50"/>
      <c r="AA1308" s="14"/>
    </row>
    <row r="1309">
      <c r="A1309" s="14"/>
      <c r="B1309" s="14"/>
      <c r="C1309" s="158"/>
      <c r="D1309" s="96"/>
      <c r="E1309" s="96"/>
      <c r="F1309" s="96"/>
      <c r="G1309" s="50"/>
      <c r="H1309" s="96"/>
      <c r="I1309" s="96"/>
      <c r="J1309" s="96"/>
      <c r="K1309" s="50"/>
      <c r="L1309" s="96"/>
      <c r="M1309" s="96"/>
      <c r="N1309" s="14"/>
      <c r="O1309" s="50"/>
      <c r="P1309" s="50"/>
      <c r="Q1309" s="50"/>
      <c r="R1309" s="50"/>
      <c r="S1309" s="50"/>
      <c r="T1309" s="50"/>
      <c r="U1309" s="50"/>
      <c r="V1309" s="50"/>
      <c r="W1309" s="14"/>
      <c r="X1309" s="50"/>
      <c r="Y1309" s="179"/>
      <c r="Z1309" s="50"/>
      <c r="AA1309" s="14"/>
    </row>
    <row r="1310">
      <c r="A1310" s="14"/>
      <c r="B1310" s="14"/>
      <c r="C1310" s="158"/>
      <c r="D1310" s="96"/>
      <c r="E1310" s="96"/>
      <c r="F1310" s="96"/>
      <c r="G1310" s="50"/>
      <c r="H1310" s="96"/>
      <c r="I1310" s="96"/>
      <c r="J1310" s="96"/>
      <c r="K1310" s="50"/>
      <c r="L1310" s="96"/>
      <c r="M1310" s="96"/>
      <c r="N1310" s="14"/>
      <c r="O1310" s="50"/>
      <c r="P1310" s="50"/>
      <c r="Q1310" s="50"/>
      <c r="R1310" s="50"/>
      <c r="S1310" s="50"/>
      <c r="T1310" s="50"/>
      <c r="U1310" s="50"/>
      <c r="V1310" s="50"/>
      <c r="W1310" s="14"/>
      <c r="X1310" s="50"/>
      <c r="Y1310" s="179"/>
      <c r="Z1310" s="50"/>
      <c r="AA1310" s="14"/>
    </row>
    <row r="1311">
      <c r="A1311" s="14"/>
      <c r="B1311" s="14"/>
      <c r="C1311" s="158"/>
      <c r="D1311" s="96"/>
      <c r="E1311" s="96"/>
      <c r="F1311" s="96"/>
      <c r="G1311" s="50"/>
      <c r="H1311" s="96"/>
      <c r="I1311" s="96"/>
      <c r="J1311" s="96"/>
      <c r="K1311" s="50"/>
      <c r="L1311" s="96"/>
      <c r="M1311" s="96"/>
      <c r="N1311" s="14"/>
      <c r="O1311" s="50"/>
      <c r="P1311" s="50"/>
      <c r="Q1311" s="50"/>
      <c r="R1311" s="50"/>
      <c r="S1311" s="50"/>
      <c r="T1311" s="50"/>
      <c r="U1311" s="50"/>
      <c r="V1311" s="50"/>
      <c r="W1311" s="14"/>
      <c r="X1311" s="50"/>
      <c r="Y1311" s="179"/>
      <c r="Z1311" s="50"/>
      <c r="AA1311" s="14"/>
    </row>
    <row r="1312">
      <c r="A1312" s="14"/>
      <c r="B1312" s="14"/>
      <c r="C1312" s="158"/>
      <c r="D1312" s="96"/>
      <c r="E1312" s="96"/>
      <c r="F1312" s="96"/>
      <c r="G1312" s="50"/>
      <c r="H1312" s="96"/>
      <c r="I1312" s="96"/>
      <c r="J1312" s="96"/>
      <c r="K1312" s="50"/>
      <c r="L1312" s="96"/>
      <c r="M1312" s="96"/>
      <c r="N1312" s="14"/>
      <c r="O1312" s="50"/>
      <c r="P1312" s="50"/>
      <c r="Q1312" s="50"/>
      <c r="R1312" s="50"/>
      <c r="S1312" s="50"/>
      <c r="T1312" s="50"/>
      <c r="U1312" s="50"/>
      <c r="V1312" s="50"/>
      <c r="W1312" s="14"/>
      <c r="X1312" s="50"/>
      <c r="Y1312" s="179"/>
      <c r="Z1312" s="50"/>
      <c r="AA1312" s="14"/>
    </row>
    <row r="1313">
      <c r="A1313" s="14"/>
      <c r="B1313" s="14"/>
      <c r="C1313" s="158"/>
      <c r="D1313" s="96"/>
      <c r="E1313" s="96"/>
      <c r="F1313" s="96"/>
      <c r="G1313" s="50"/>
      <c r="H1313" s="96"/>
      <c r="I1313" s="96"/>
      <c r="J1313" s="96"/>
      <c r="K1313" s="50"/>
      <c r="L1313" s="96"/>
      <c r="M1313" s="96"/>
      <c r="N1313" s="14"/>
      <c r="O1313" s="50"/>
      <c r="P1313" s="50"/>
      <c r="Q1313" s="50"/>
      <c r="R1313" s="50"/>
      <c r="S1313" s="50"/>
      <c r="T1313" s="50"/>
      <c r="U1313" s="50"/>
      <c r="V1313" s="50"/>
      <c r="W1313" s="14"/>
      <c r="X1313" s="50"/>
      <c r="Y1313" s="179"/>
      <c r="Z1313" s="50"/>
      <c r="AA1313" s="14"/>
    </row>
    <row r="1314">
      <c r="A1314" s="14"/>
      <c r="B1314" s="14"/>
      <c r="C1314" s="158"/>
      <c r="D1314" s="96"/>
      <c r="E1314" s="96"/>
      <c r="F1314" s="96"/>
      <c r="G1314" s="50"/>
      <c r="H1314" s="96"/>
      <c r="I1314" s="96"/>
      <c r="J1314" s="96"/>
      <c r="K1314" s="50"/>
      <c r="L1314" s="96"/>
      <c r="M1314" s="96"/>
      <c r="N1314" s="14"/>
      <c r="O1314" s="50"/>
      <c r="P1314" s="50"/>
      <c r="Q1314" s="50"/>
      <c r="R1314" s="50"/>
      <c r="S1314" s="50"/>
      <c r="T1314" s="50"/>
      <c r="U1314" s="50"/>
      <c r="V1314" s="50"/>
      <c r="W1314" s="14"/>
      <c r="X1314" s="50"/>
      <c r="Y1314" s="179"/>
      <c r="Z1314" s="50"/>
      <c r="AA1314" s="14"/>
    </row>
    <row r="1315">
      <c r="A1315" s="14"/>
      <c r="B1315" s="14"/>
      <c r="C1315" s="158"/>
      <c r="D1315" s="96"/>
      <c r="E1315" s="96"/>
      <c r="F1315" s="96"/>
      <c r="G1315" s="50"/>
      <c r="H1315" s="96"/>
      <c r="I1315" s="96"/>
      <c r="J1315" s="96"/>
      <c r="K1315" s="50"/>
      <c r="L1315" s="96"/>
      <c r="M1315" s="96"/>
      <c r="N1315" s="14"/>
      <c r="O1315" s="50"/>
      <c r="P1315" s="50"/>
      <c r="Q1315" s="50"/>
      <c r="R1315" s="50"/>
      <c r="S1315" s="50"/>
      <c r="T1315" s="50"/>
      <c r="U1315" s="50"/>
      <c r="V1315" s="50"/>
      <c r="W1315" s="14"/>
      <c r="X1315" s="50"/>
      <c r="Y1315" s="179"/>
      <c r="Z1315" s="50"/>
      <c r="AA1315" s="14"/>
    </row>
    <row r="1316">
      <c r="A1316" s="14"/>
      <c r="B1316" s="14"/>
      <c r="C1316" s="158"/>
      <c r="D1316" s="96"/>
      <c r="E1316" s="96"/>
      <c r="F1316" s="96"/>
      <c r="G1316" s="50"/>
      <c r="H1316" s="96"/>
      <c r="I1316" s="96"/>
      <c r="J1316" s="96"/>
      <c r="K1316" s="50"/>
      <c r="L1316" s="96"/>
      <c r="M1316" s="96"/>
      <c r="N1316" s="14"/>
      <c r="O1316" s="50"/>
      <c r="P1316" s="50"/>
      <c r="Q1316" s="50"/>
      <c r="R1316" s="50"/>
      <c r="S1316" s="50"/>
      <c r="T1316" s="50"/>
      <c r="U1316" s="50"/>
      <c r="V1316" s="50"/>
      <c r="W1316" s="14"/>
      <c r="X1316" s="50"/>
      <c r="Y1316" s="179"/>
      <c r="Z1316" s="50"/>
      <c r="AA1316" s="14"/>
    </row>
    <row r="1317">
      <c r="A1317" s="14"/>
      <c r="B1317" s="14"/>
      <c r="C1317" s="158"/>
      <c r="D1317" s="96"/>
      <c r="E1317" s="96"/>
      <c r="F1317" s="96"/>
      <c r="G1317" s="50"/>
      <c r="H1317" s="96"/>
      <c r="I1317" s="96"/>
      <c r="J1317" s="96"/>
      <c r="K1317" s="50"/>
      <c r="L1317" s="96"/>
      <c r="M1317" s="96"/>
      <c r="N1317" s="14"/>
      <c r="O1317" s="50"/>
      <c r="P1317" s="50"/>
      <c r="Q1317" s="50"/>
      <c r="R1317" s="50"/>
      <c r="S1317" s="50"/>
      <c r="T1317" s="50"/>
      <c r="U1317" s="50"/>
      <c r="V1317" s="50"/>
      <c r="W1317" s="14"/>
      <c r="X1317" s="50"/>
      <c r="Y1317" s="179"/>
      <c r="Z1317" s="50"/>
      <c r="AA1317" s="14"/>
    </row>
    <row r="1318">
      <c r="A1318" s="14"/>
      <c r="B1318" s="14"/>
      <c r="C1318" s="158"/>
      <c r="D1318" s="96"/>
      <c r="E1318" s="96"/>
      <c r="F1318" s="96"/>
      <c r="G1318" s="50"/>
      <c r="H1318" s="96"/>
      <c r="I1318" s="96"/>
      <c r="J1318" s="96"/>
      <c r="K1318" s="50"/>
      <c r="L1318" s="96"/>
      <c r="M1318" s="96"/>
      <c r="N1318" s="14"/>
      <c r="O1318" s="50"/>
      <c r="P1318" s="50"/>
      <c r="Q1318" s="50"/>
      <c r="R1318" s="50"/>
      <c r="S1318" s="50"/>
      <c r="T1318" s="50"/>
      <c r="U1318" s="50"/>
      <c r="V1318" s="50"/>
      <c r="W1318" s="14"/>
      <c r="X1318" s="50"/>
      <c r="Y1318" s="179"/>
      <c r="Z1318" s="50"/>
      <c r="AA1318" s="14"/>
    </row>
    <row r="1319">
      <c r="A1319" s="14"/>
      <c r="B1319" s="14"/>
      <c r="C1319" s="158"/>
      <c r="D1319" s="96"/>
      <c r="E1319" s="96"/>
      <c r="F1319" s="96"/>
      <c r="G1319" s="50"/>
      <c r="H1319" s="96"/>
      <c r="I1319" s="96"/>
      <c r="J1319" s="96"/>
      <c r="K1319" s="50"/>
      <c r="L1319" s="96"/>
      <c r="M1319" s="96"/>
      <c r="N1319" s="14"/>
      <c r="O1319" s="50"/>
      <c r="P1319" s="50"/>
      <c r="Q1319" s="50"/>
      <c r="R1319" s="50"/>
      <c r="S1319" s="50"/>
      <c r="T1319" s="50"/>
      <c r="U1319" s="50"/>
      <c r="V1319" s="50"/>
      <c r="W1319" s="14"/>
      <c r="X1319" s="50"/>
      <c r="Y1319" s="179"/>
      <c r="Z1319" s="50"/>
      <c r="AA1319" s="14"/>
    </row>
    <row r="1320">
      <c r="A1320" s="14"/>
      <c r="B1320" s="14"/>
      <c r="C1320" s="158"/>
      <c r="D1320" s="96"/>
      <c r="E1320" s="96"/>
      <c r="F1320" s="96"/>
      <c r="G1320" s="50"/>
      <c r="H1320" s="96"/>
      <c r="I1320" s="96"/>
      <c r="J1320" s="96"/>
      <c r="K1320" s="50"/>
      <c r="L1320" s="96"/>
      <c r="M1320" s="96"/>
      <c r="N1320" s="14"/>
      <c r="O1320" s="50"/>
      <c r="P1320" s="50"/>
      <c r="Q1320" s="50"/>
      <c r="R1320" s="50"/>
      <c r="S1320" s="50"/>
      <c r="T1320" s="50"/>
      <c r="U1320" s="50"/>
      <c r="V1320" s="50"/>
      <c r="W1320" s="14"/>
      <c r="X1320" s="50"/>
      <c r="Y1320" s="179"/>
      <c r="Z1320" s="50"/>
      <c r="AA1320" s="14"/>
    </row>
    <row r="1321">
      <c r="A1321" s="14"/>
      <c r="B1321" s="14"/>
      <c r="C1321" s="158"/>
      <c r="D1321" s="96"/>
      <c r="E1321" s="96"/>
      <c r="F1321" s="96"/>
      <c r="G1321" s="50"/>
      <c r="H1321" s="96"/>
      <c r="I1321" s="96"/>
      <c r="J1321" s="96"/>
      <c r="K1321" s="50"/>
      <c r="L1321" s="96"/>
      <c r="M1321" s="96"/>
      <c r="N1321" s="14"/>
      <c r="O1321" s="50"/>
      <c r="P1321" s="50"/>
      <c r="Q1321" s="50"/>
      <c r="R1321" s="50"/>
      <c r="S1321" s="50"/>
      <c r="T1321" s="50"/>
      <c r="U1321" s="50"/>
      <c r="V1321" s="50"/>
      <c r="W1321" s="14"/>
      <c r="X1321" s="50"/>
      <c r="Y1321" s="179"/>
      <c r="Z1321" s="50"/>
      <c r="AA1321" s="14"/>
    </row>
    <row r="1322">
      <c r="A1322" s="14"/>
      <c r="B1322" s="14"/>
      <c r="C1322" s="158"/>
      <c r="D1322" s="96"/>
      <c r="E1322" s="96"/>
      <c r="F1322" s="96"/>
      <c r="G1322" s="50"/>
      <c r="H1322" s="96"/>
      <c r="I1322" s="96"/>
      <c r="J1322" s="96"/>
      <c r="K1322" s="50"/>
      <c r="L1322" s="96"/>
      <c r="M1322" s="96"/>
      <c r="N1322" s="14"/>
      <c r="O1322" s="50"/>
      <c r="P1322" s="50"/>
      <c r="Q1322" s="50"/>
      <c r="R1322" s="50"/>
      <c r="S1322" s="50"/>
      <c r="T1322" s="50"/>
      <c r="U1322" s="50"/>
      <c r="V1322" s="50"/>
      <c r="W1322" s="14"/>
      <c r="X1322" s="50"/>
      <c r="Y1322" s="179"/>
      <c r="Z1322" s="50"/>
      <c r="AA1322" s="14"/>
    </row>
    <row r="1323">
      <c r="A1323" s="14"/>
      <c r="B1323" s="14"/>
      <c r="C1323" s="158"/>
      <c r="D1323" s="96"/>
      <c r="E1323" s="96"/>
      <c r="F1323" s="96"/>
      <c r="G1323" s="50"/>
      <c r="H1323" s="96"/>
      <c r="I1323" s="96"/>
      <c r="J1323" s="96"/>
      <c r="K1323" s="50"/>
      <c r="L1323" s="96"/>
      <c r="M1323" s="96"/>
      <c r="N1323" s="14"/>
      <c r="O1323" s="50"/>
      <c r="P1323" s="50"/>
      <c r="Q1323" s="50"/>
      <c r="R1323" s="50"/>
      <c r="S1323" s="50"/>
      <c r="T1323" s="50"/>
      <c r="U1323" s="50"/>
      <c r="V1323" s="50"/>
      <c r="W1323" s="14"/>
      <c r="X1323" s="50"/>
      <c r="Y1323" s="179"/>
      <c r="Z1323" s="50"/>
      <c r="AA1323" s="14"/>
    </row>
    <row r="1324">
      <c r="A1324" s="14"/>
      <c r="B1324" s="14"/>
      <c r="C1324" s="158"/>
      <c r="D1324" s="96"/>
      <c r="E1324" s="96"/>
      <c r="F1324" s="96"/>
      <c r="G1324" s="50"/>
      <c r="H1324" s="96"/>
      <c r="I1324" s="96"/>
      <c r="J1324" s="96"/>
      <c r="K1324" s="50"/>
      <c r="L1324" s="96"/>
      <c r="M1324" s="96"/>
      <c r="N1324" s="14"/>
      <c r="O1324" s="50"/>
      <c r="P1324" s="50"/>
      <c r="Q1324" s="50"/>
      <c r="R1324" s="50"/>
      <c r="S1324" s="50"/>
      <c r="T1324" s="50"/>
      <c r="U1324" s="50"/>
      <c r="V1324" s="50"/>
      <c r="W1324" s="14"/>
      <c r="X1324" s="50"/>
      <c r="Y1324" s="179"/>
      <c r="Z1324" s="50"/>
      <c r="AA1324" s="14"/>
    </row>
    <row r="1325">
      <c r="A1325" s="14"/>
      <c r="B1325" s="14"/>
      <c r="C1325" s="158"/>
      <c r="D1325" s="96"/>
      <c r="E1325" s="96"/>
      <c r="F1325" s="96"/>
      <c r="G1325" s="50"/>
      <c r="H1325" s="96"/>
      <c r="I1325" s="96"/>
      <c r="J1325" s="96"/>
      <c r="K1325" s="50"/>
      <c r="L1325" s="96"/>
      <c r="M1325" s="96"/>
      <c r="N1325" s="14"/>
      <c r="O1325" s="50"/>
      <c r="P1325" s="50"/>
      <c r="Q1325" s="50"/>
      <c r="R1325" s="50"/>
      <c r="S1325" s="50"/>
      <c r="T1325" s="50"/>
      <c r="U1325" s="50"/>
      <c r="V1325" s="50"/>
      <c r="W1325" s="14"/>
      <c r="X1325" s="50"/>
      <c r="Y1325" s="179"/>
      <c r="Z1325" s="50"/>
      <c r="AA1325" s="14"/>
    </row>
    <row r="1326">
      <c r="A1326" s="14"/>
      <c r="B1326" s="14"/>
      <c r="C1326" s="158"/>
      <c r="D1326" s="96"/>
      <c r="E1326" s="96"/>
      <c r="F1326" s="96"/>
      <c r="G1326" s="50"/>
      <c r="H1326" s="96"/>
      <c r="I1326" s="96"/>
      <c r="J1326" s="96"/>
      <c r="K1326" s="50"/>
      <c r="L1326" s="96"/>
      <c r="M1326" s="96"/>
      <c r="N1326" s="14"/>
      <c r="O1326" s="50"/>
      <c r="P1326" s="50"/>
      <c r="Q1326" s="50"/>
      <c r="R1326" s="50"/>
      <c r="S1326" s="50"/>
      <c r="T1326" s="50"/>
      <c r="U1326" s="50"/>
      <c r="V1326" s="50"/>
      <c r="W1326" s="14"/>
      <c r="X1326" s="50"/>
      <c r="Y1326" s="179"/>
      <c r="Z1326" s="50"/>
      <c r="AA1326" s="14"/>
    </row>
    <row r="1327">
      <c r="A1327" s="14"/>
      <c r="B1327" s="14"/>
      <c r="C1327" s="158"/>
      <c r="D1327" s="96"/>
      <c r="E1327" s="96"/>
      <c r="F1327" s="96"/>
      <c r="G1327" s="50"/>
      <c r="H1327" s="96"/>
      <c r="I1327" s="96"/>
      <c r="J1327" s="96"/>
      <c r="K1327" s="50"/>
      <c r="L1327" s="96"/>
      <c r="M1327" s="96"/>
      <c r="N1327" s="14"/>
      <c r="O1327" s="50"/>
      <c r="P1327" s="50"/>
      <c r="Q1327" s="50"/>
      <c r="R1327" s="50"/>
      <c r="S1327" s="50"/>
      <c r="T1327" s="50"/>
      <c r="U1327" s="50"/>
      <c r="V1327" s="50"/>
      <c r="W1327" s="14"/>
      <c r="X1327" s="50"/>
      <c r="Y1327" s="179"/>
      <c r="Z1327" s="50"/>
      <c r="AA1327" s="14"/>
    </row>
    <row r="1328">
      <c r="A1328" s="14"/>
      <c r="B1328" s="14"/>
      <c r="C1328" s="158"/>
      <c r="D1328" s="96"/>
      <c r="E1328" s="96"/>
      <c r="F1328" s="96"/>
      <c r="G1328" s="50"/>
      <c r="H1328" s="96"/>
      <c r="I1328" s="96"/>
      <c r="J1328" s="96"/>
      <c r="K1328" s="50"/>
      <c r="L1328" s="96"/>
      <c r="M1328" s="96"/>
      <c r="N1328" s="14"/>
      <c r="O1328" s="50"/>
      <c r="P1328" s="50"/>
      <c r="Q1328" s="50"/>
      <c r="R1328" s="50"/>
      <c r="S1328" s="50"/>
      <c r="T1328" s="50"/>
      <c r="U1328" s="50"/>
      <c r="V1328" s="50"/>
      <c r="W1328" s="14"/>
      <c r="X1328" s="50"/>
      <c r="Y1328" s="179"/>
      <c r="Z1328" s="50"/>
      <c r="AA1328" s="14"/>
    </row>
    <row r="1329">
      <c r="A1329" s="14"/>
      <c r="B1329" s="14"/>
      <c r="C1329" s="158"/>
      <c r="D1329" s="96"/>
      <c r="E1329" s="96"/>
      <c r="F1329" s="96"/>
      <c r="G1329" s="50"/>
      <c r="H1329" s="96"/>
      <c r="I1329" s="96"/>
      <c r="J1329" s="96"/>
      <c r="K1329" s="50"/>
      <c r="L1329" s="96"/>
      <c r="M1329" s="96"/>
      <c r="N1329" s="14"/>
      <c r="O1329" s="50"/>
      <c r="P1329" s="50"/>
      <c r="Q1329" s="50"/>
      <c r="R1329" s="50"/>
      <c r="S1329" s="50"/>
      <c r="T1329" s="50"/>
      <c r="U1329" s="50"/>
      <c r="V1329" s="50"/>
      <c r="W1329" s="14"/>
      <c r="X1329" s="50"/>
      <c r="Y1329" s="179"/>
      <c r="Z1329" s="50"/>
      <c r="AA1329" s="14"/>
    </row>
    <row r="1330">
      <c r="A1330" s="14"/>
      <c r="B1330" s="14"/>
      <c r="C1330" s="158"/>
      <c r="D1330" s="96"/>
      <c r="E1330" s="96"/>
      <c r="F1330" s="96"/>
      <c r="G1330" s="50"/>
      <c r="H1330" s="96"/>
      <c r="I1330" s="96"/>
      <c r="J1330" s="96"/>
      <c r="K1330" s="50"/>
      <c r="L1330" s="96"/>
      <c r="M1330" s="96"/>
      <c r="N1330" s="14"/>
      <c r="O1330" s="50"/>
      <c r="P1330" s="50"/>
      <c r="Q1330" s="50"/>
      <c r="R1330" s="50"/>
      <c r="S1330" s="50"/>
      <c r="T1330" s="50"/>
      <c r="U1330" s="50"/>
      <c r="V1330" s="50"/>
      <c r="W1330" s="14"/>
      <c r="X1330" s="50"/>
      <c r="Y1330" s="179"/>
      <c r="Z1330" s="50"/>
      <c r="AA1330" s="14"/>
    </row>
    <row r="1331">
      <c r="A1331" s="14"/>
      <c r="B1331" s="14"/>
      <c r="C1331" s="158"/>
      <c r="D1331" s="96"/>
      <c r="E1331" s="96"/>
      <c r="F1331" s="96"/>
      <c r="G1331" s="50"/>
      <c r="H1331" s="96"/>
      <c r="I1331" s="96"/>
      <c r="J1331" s="96"/>
      <c r="K1331" s="50"/>
      <c r="L1331" s="96"/>
      <c r="M1331" s="96"/>
      <c r="N1331" s="14"/>
      <c r="O1331" s="50"/>
      <c r="P1331" s="50"/>
      <c r="Q1331" s="50"/>
      <c r="R1331" s="50"/>
      <c r="S1331" s="50"/>
      <c r="T1331" s="50"/>
      <c r="U1331" s="50"/>
      <c r="V1331" s="50"/>
      <c r="W1331" s="14"/>
      <c r="X1331" s="50"/>
      <c r="Y1331" s="179"/>
      <c r="Z1331" s="50"/>
      <c r="AA1331" s="14"/>
    </row>
    <row r="1332">
      <c r="A1332" s="14"/>
      <c r="B1332" s="14"/>
      <c r="C1332" s="158"/>
      <c r="D1332" s="96"/>
      <c r="E1332" s="96"/>
      <c r="F1332" s="96"/>
      <c r="G1332" s="50"/>
      <c r="H1332" s="96"/>
      <c r="I1332" s="96"/>
      <c r="J1332" s="96"/>
      <c r="K1332" s="50"/>
      <c r="L1332" s="96"/>
      <c r="M1332" s="96"/>
      <c r="N1332" s="14"/>
      <c r="O1332" s="50"/>
      <c r="P1332" s="50"/>
      <c r="Q1332" s="50"/>
      <c r="R1332" s="50"/>
      <c r="S1332" s="50"/>
      <c r="T1332" s="50"/>
      <c r="U1332" s="50"/>
      <c r="V1332" s="50"/>
      <c r="W1332" s="14"/>
      <c r="X1332" s="50"/>
      <c r="Y1332" s="179"/>
      <c r="Z1332" s="50"/>
      <c r="AA1332" s="14"/>
    </row>
    <row r="1333">
      <c r="A1333" s="14"/>
      <c r="B1333" s="14"/>
      <c r="C1333" s="158"/>
      <c r="D1333" s="96"/>
      <c r="E1333" s="96"/>
      <c r="F1333" s="96"/>
      <c r="G1333" s="50"/>
      <c r="H1333" s="96"/>
      <c r="I1333" s="96"/>
      <c r="J1333" s="96"/>
      <c r="K1333" s="50"/>
      <c r="L1333" s="96"/>
      <c r="M1333" s="96"/>
      <c r="N1333" s="14"/>
      <c r="O1333" s="50"/>
      <c r="P1333" s="50"/>
      <c r="Q1333" s="50"/>
      <c r="R1333" s="50"/>
      <c r="S1333" s="50"/>
      <c r="T1333" s="50"/>
      <c r="U1333" s="50"/>
      <c r="V1333" s="50"/>
      <c r="W1333" s="14"/>
      <c r="X1333" s="50"/>
      <c r="Y1333" s="179"/>
      <c r="Z1333" s="50"/>
      <c r="AA1333" s="14"/>
    </row>
    <row r="1334">
      <c r="A1334" s="14"/>
      <c r="B1334" s="14"/>
      <c r="C1334" s="158"/>
      <c r="D1334" s="96"/>
      <c r="E1334" s="96"/>
      <c r="F1334" s="96"/>
      <c r="G1334" s="50"/>
      <c r="H1334" s="96"/>
      <c r="I1334" s="96"/>
      <c r="J1334" s="96"/>
      <c r="K1334" s="50"/>
      <c r="L1334" s="96"/>
      <c r="M1334" s="96"/>
      <c r="N1334" s="14"/>
      <c r="O1334" s="50"/>
      <c r="P1334" s="50"/>
      <c r="Q1334" s="50"/>
      <c r="R1334" s="50"/>
      <c r="S1334" s="50"/>
      <c r="T1334" s="50"/>
      <c r="U1334" s="50"/>
      <c r="V1334" s="50"/>
      <c r="W1334" s="14"/>
      <c r="X1334" s="50"/>
      <c r="Y1334" s="179"/>
      <c r="Z1334" s="50"/>
      <c r="AA1334" s="14"/>
    </row>
    <row r="1335">
      <c r="A1335" s="14"/>
      <c r="B1335" s="14"/>
      <c r="C1335" s="158"/>
      <c r="D1335" s="96"/>
      <c r="E1335" s="96"/>
      <c r="F1335" s="96"/>
      <c r="G1335" s="50"/>
      <c r="H1335" s="96"/>
      <c r="I1335" s="96"/>
      <c r="J1335" s="96"/>
      <c r="K1335" s="50"/>
      <c r="L1335" s="96"/>
      <c r="M1335" s="96"/>
      <c r="N1335" s="14"/>
      <c r="O1335" s="50"/>
      <c r="P1335" s="50"/>
      <c r="Q1335" s="50"/>
      <c r="R1335" s="50"/>
      <c r="S1335" s="50"/>
      <c r="T1335" s="50"/>
      <c r="U1335" s="50"/>
      <c r="V1335" s="50"/>
      <c r="W1335" s="14"/>
      <c r="X1335" s="50"/>
      <c r="Y1335" s="179"/>
      <c r="Z1335" s="50"/>
      <c r="AA1335" s="14"/>
    </row>
    <row r="1336">
      <c r="A1336" s="14"/>
      <c r="B1336" s="14"/>
      <c r="C1336" s="158"/>
      <c r="D1336" s="96"/>
      <c r="E1336" s="96"/>
      <c r="F1336" s="96"/>
      <c r="G1336" s="50"/>
      <c r="H1336" s="96"/>
      <c r="I1336" s="96"/>
      <c r="J1336" s="96"/>
      <c r="K1336" s="50"/>
      <c r="L1336" s="96"/>
      <c r="M1336" s="96"/>
      <c r="N1336" s="14"/>
      <c r="O1336" s="50"/>
      <c r="P1336" s="50"/>
      <c r="Q1336" s="50"/>
      <c r="R1336" s="50"/>
      <c r="S1336" s="50"/>
      <c r="T1336" s="50"/>
      <c r="U1336" s="50"/>
      <c r="V1336" s="50"/>
      <c r="W1336" s="14"/>
      <c r="X1336" s="50"/>
      <c r="Y1336" s="179"/>
      <c r="Z1336" s="50"/>
      <c r="AA1336" s="14"/>
    </row>
    <row r="1337">
      <c r="A1337" s="14"/>
      <c r="B1337" s="14"/>
      <c r="C1337" s="158"/>
      <c r="D1337" s="96"/>
      <c r="E1337" s="96"/>
      <c r="F1337" s="96"/>
      <c r="G1337" s="50"/>
      <c r="H1337" s="96"/>
      <c r="I1337" s="96"/>
      <c r="J1337" s="96"/>
      <c r="K1337" s="50"/>
      <c r="L1337" s="96"/>
      <c r="M1337" s="96"/>
      <c r="N1337" s="14"/>
      <c r="O1337" s="50"/>
      <c r="P1337" s="50"/>
      <c r="Q1337" s="50"/>
      <c r="R1337" s="50"/>
      <c r="S1337" s="50"/>
      <c r="T1337" s="50"/>
      <c r="U1337" s="50"/>
      <c r="V1337" s="50"/>
      <c r="W1337" s="14"/>
      <c r="X1337" s="50"/>
      <c r="Y1337" s="179"/>
      <c r="Z1337" s="50"/>
      <c r="AA1337" s="14"/>
    </row>
    <row r="1338">
      <c r="A1338" s="14"/>
      <c r="B1338" s="14"/>
      <c r="C1338" s="158"/>
      <c r="D1338" s="96"/>
      <c r="E1338" s="96"/>
      <c r="F1338" s="96"/>
      <c r="G1338" s="50"/>
      <c r="H1338" s="96"/>
      <c r="I1338" s="96"/>
      <c r="J1338" s="96"/>
      <c r="K1338" s="50"/>
      <c r="L1338" s="96"/>
      <c r="M1338" s="96"/>
      <c r="N1338" s="14"/>
      <c r="O1338" s="50"/>
      <c r="P1338" s="50"/>
      <c r="Q1338" s="50"/>
      <c r="R1338" s="50"/>
      <c r="S1338" s="50"/>
      <c r="T1338" s="50"/>
      <c r="U1338" s="50"/>
      <c r="V1338" s="50"/>
      <c r="W1338" s="14"/>
      <c r="X1338" s="50"/>
      <c r="Y1338" s="179"/>
      <c r="Z1338" s="50"/>
      <c r="AA1338" s="14"/>
    </row>
    <row r="1339">
      <c r="A1339" s="14"/>
      <c r="B1339" s="14"/>
      <c r="C1339" s="158"/>
      <c r="D1339" s="96"/>
      <c r="E1339" s="96"/>
      <c r="F1339" s="96"/>
      <c r="G1339" s="50"/>
      <c r="H1339" s="96"/>
      <c r="I1339" s="96"/>
      <c r="J1339" s="96"/>
      <c r="K1339" s="50"/>
      <c r="L1339" s="96"/>
      <c r="M1339" s="96"/>
      <c r="N1339" s="14"/>
      <c r="O1339" s="50"/>
      <c r="P1339" s="50"/>
      <c r="Q1339" s="50"/>
      <c r="R1339" s="50"/>
      <c r="S1339" s="50"/>
      <c r="T1339" s="50"/>
      <c r="U1339" s="50"/>
      <c r="V1339" s="50"/>
      <c r="W1339" s="14"/>
      <c r="X1339" s="50"/>
      <c r="Y1339" s="179"/>
      <c r="Z1339" s="50"/>
      <c r="AA1339" s="14"/>
    </row>
    <row r="1340">
      <c r="A1340" s="14"/>
      <c r="B1340" s="14"/>
      <c r="C1340" s="158"/>
      <c r="D1340" s="96"/>
      <c r="E1340" s="96"/>
      <c r="F1340" s="96"/>
      <c r="G1340" s="50"/>
      <c r="H1340" s="96"/>
      <c r="I1340" s="96"/>
      <c r="J1340" s="96"/>
      <c r="K1340" s="50"/>
      <c r="L1340" s="96"/>
      <c r="M1340" s="96"/>
      <c r="N1340" s="14"/>
      <c r="O1340" s="50"/>
      <c r="P1340" s="50"/>
      <c r="Q1340" s="50"/>
      <c r="R1340" s="50"/>
      <c r="S1340" s="50"/>
      <c r="T1340" s="50"/>
      <c r="U1340" s="50"/>
      <c r="V1340" s="50"/>
      <c r="W1340" s="14"/>
      <c r="X1340" s="50"/>
      <c r="Y1340" s="179"/>
      <c r="Z1340" s="50"/>
      <c r="AA1340" s="14"/>
    </row>
    <row r="1341">
      <c r="A1341" s="14"/>
      <c r="B1341" s="14"/>
      <c r="C1341" s="158"/>
      <c r="D1341" s="96"/>
      <c r="E1341" s="96"/>
      <c r="F1341" s="96"/>
      <c r="G1341" s="50"/>
      <c r="H1341" s="96"/>
      <c r="I1341" s="96"/>
      <c r="J1341" s="96"/>
      <c r="K1341" s="50"/>
      <c r="L1341" s="96"/>
      <c r="M1341" s="96"/>
      <c r="N1341" s="14"/>
      <c r="O1341" s="50"/>
      <c r="P1341" s="50"/>
      <c r="Q1341" s="50"/>
      <c r="R1341" s="50"/>
      <c r="S1341" s="50"/>
      <c r="T1341" s="50"/>
      <c r="U1341" s="50"/>
      <c r="V1341" s="50"/>
      <c r="W1341" s="14"/>
      <c r="X1341" s="50"/>
      <c r="Y1341" s="179"/>
      <c r="Z1341" s="50"/>
      <c r="AA1341" s="14"/>
    </row>
    <row r="1342">
      <c r="A1342" s="14"/>
      <c r="B1342" s="14"/>
      <c r="C1342" s="158"/>
      <c r="D1342" s="96"/>
      <c r="E1342" s="96"/>
      <c r="F1342" s="96"/>
      <c r="G1342" s="50"/>
      <c r="H1342" s="96"/>
      <c r="I1342" s="96"/>
      <c r="J1342" s="96"/>
      <c r="K1342" s="50"/>
      <c r="L1342" s="96"/>
      <c r="M1342" s="96"/>
      <c r="N1342" s="14"/>
      <c r="O1342" s="50"/>
      <c r="P1342" s="50"/>
      <c r="Q1342" s="50"/>
      <c r="R1342" s="50"/>
      <c r="S1342" s="50"/>
      <c r="T1342" s="50"/>
      <c r="U1342" s="50"/>
      <c r="V1342" s="50"/>
      <c r="W1342" s="14"/>
      <c r="X1342" s="50"/>
      <c r="Y1342" s="179"/>
      <c r="Z1342" s="50"/>
      <c r="AA1342" s="14"/>
    </row>
    <row r="1343">
      <c r="A1343" s="14"/>
      <c r="B1343" s="14"/>
      <c r="C1343" s="158"/>
      <c r="D1343" s="96"/>
      <c r="E1343" s="96"/>
      <c r="F1343" s="96"/>
      <c r="G1343" s="50"/>
      <c r="H1343" s="96"/>
      <c r="I1343" s="96"/>
      <c r="J1343" s="96"/>
      <c r="K1343" s="50"/>
      <c r="L1343" s="96"/>
      <c r="M1343" s="96"/>
      <c r="N1343" s="14"/>
      <c r="O1343" s="50"/>
      <c r="P1343" s="50"/>
      <c r="Q1343" s="50"/>
      <c r="R1343" s="50"/>
      <c r="S1343" s="50"/>
      <c r="T1343" s="50"/>
      <c r="U1343" s="50"/>
      <c r="V1343" s="50"/>
      <c r="W1343" s="14"/>
      <c r="X1343" s="50"/>
      <c r="Y1343" s="179"/>
      <c r="Z1343" s="50"/>
      <c r="AA1343" s="14"/>
    </row>
    <row r="1344">
      <c r="A1344" s="14"/>
      <c r="B1344" s="14"/>
      <c r="C1344" s="158"/>
      <c r="D1344" s="96"/>
      <c r="E1344" s="96"/>
      <c r="F1344" s="96"/>
      <c r="G1344" s="50"/>
      <c r="H1344" s="96"/>
      <c r="I1344" s="96"/>
      <c r="J1344" s="96"/>
      <c r="K1344" s="50"/>
      <c r="L1344" s="96"/>
      <c r="M1344" s="96"/>
      <c r="N1344" s="14"/>
      <c r="O1344" s="50"/>
      <c r="P1344" s="50"/>
      <c r="Q1344" s="50"/>
      <c r="R1344" s="50"/>
      <c r="S1344" s="50"/>
      <c r="T1344" s="50"/>
      <c r="U1344" s="50"/>
      <c r="V1344" s="50"/>
      <c r="W1344" s="14"/>
      <c r="X1344" s="50"/>
      <c r="Y1344" s="179"/>
      <c r="Z1344" s="50"/>
      <c r="AA1344" s="14"/>
    </row>
    <row r="1345">
      <c r="A1345" s="14"/>
      <c r="B1345" s="14"/>
      <c r="C1345" s="158"/>
      <c r="D1345" s="96"/>
      <c r="E1345" s="96"/>
      <c r="F1345" s="96"/>
      <c r="G1345" s="50"/>
      <c r="H1345" s="96"/>
      <c r="I1345" s="96"/>
      <c r="J1345" s="96"/>
      <c r="K1345" s="50"/>
      <c r="L1345" s="96"/>
      <c r="M1345" s="96"/>
      <c r="N1345" s="14"/>
      <c r="O1345" s="50"/>
      <c r="P1345" s="50"/>
      <c r="Q1345" s="50"/>
      <c r="R1345" s="50"/>
      <c r="S1345" s="50"/>
      <c r="T1345" s="50"/>
      <c r="U1345" s="50"/>
      <c r="V1345" s="50"/>
      <c r="W1345" s="14"/>
      <c r="X1345" s="50"/>
      <c r="Y1345" s="179"/>
      <c r="Z1345" s="50"/>
      <c r="AA1345" s="14"/>
    </row>
    <row r="1346">
      <c r="A1346" s="14"/>
      <c r="B1346" s="14"/>
      <c r="C1346" s="158"/>
      <c r="D1346" s="96"/>
      <c r="E1346" s="96"/>
      <c r="F1346" s="96"/>
      <c r="G1346" s="50"/>
      <c r="H1346" s="96"/>
      <c r="I1346" s="96"/>
      <c r="J1346" s="96"/>
      <c r="K1346" s="50"/>
      <c r="L1346" s="96"/>
      <c r="M1346" s="96"/>
      <c r="N1346" s="14"/>
      <c r="O1346" s="50"/>
      <c r="P1346" s="50"/>
      <c r="Q1346" s="50"/>
      <c r="R1346" s="50"/>
      <c r="S1346" s="50"/>
      <c r="T1346" s="50"/>
      <c r="U1346" s="50"/>
      <c r="V1346" s="50"/>
      <c r="W1346" s="14"/>
      <c r="X1346" s="50"/>
      <c r="Y1346" s="179"/>
      <c r="Z1346" s="50"/>
      <c r="AA1346" s="14"/>
    </row>
    <row r="1347">
      <c r="A1347" s="14"/>
      <c r="B1347" s="14"/>
      <c r="C1347" s="158"/>
      <c r="D1347" s="96"/>
      <c r="E1347" s="96"/>
      <c r="F1347" s="96"/>
      <c r="G1347" s="50"/>
      <c r="H1347" s="96"/>
      <c r="I1347" s="96"/>
      <c r="J1347" s="96"/>
      <c r="K1347" s="50"/>
      <c r="L1347" s="96"/>
      <c r="M1347" s="96"/>
      <c r="N1347" s="14"/>
      <c r="O1347" s="50"/>
      <c r="P1347" s="50"/>
      <c r="Q1347" s="50"/>
      <c r="R1347" s="50"/>
      <c r="S1347" s="50"/>
      <c r="T1347" s="50"/>
      <c r="U1347" s="50"/>
      <c r="V1347" s="50"/>
      <c r="W1347" s="14"/>
      <c r="X1347" s="50"/>
      <c r="Y1347" s="179"/>
      <c r="Z1347" s="50"/>
      <c r="AA1347" s="14"/>
    </row>
    <row r="1348">
      <c r="A1348" s="14"/>
      <c r="B1348" s="14"/>
      <c r="C1348" s="158"/>
      <c r="D1348" s="96"/>
      <c r="E1348" s="96"/>
      <c r="F1348" s="96"/>
      <c r="G1348" s="50"/>
      <c r="H1348" s="96"/>
      <c r="I1348" s="96"/>
      <c r="J1348" s="96"/>
      <c r="K1348" s="50"/>
      <c r="L1348" s="96"/>
      <c r="M1348" s="96"/>
      <c r="N1348" s="14"/>
      <c r="O1348" s="50"/>
      <c r="P1348" s="50"/>
      <c r="Q1348" s="50"/>
      <c r="R1348" s="50"/>
      <c r="S1348" s="50"/>
      <c r="T1348" s="50"/>
      <c r="U1348" s="50"/>
      <c r="V1348" s="50"/>
      <c r="W1348" s="14"/>
      <c r="X1348" s="50"/>
      <c r="Y1348" s="179"/>
      <c r="Z1348" s="50"/>
      <c r="AA1348" s="14"/>
    </row>
    <row r="1349">
      <c r="A1349" s="14"/>
      <c r="B1349" s="14"/>
      <c r="C1349" s="158"/>
      <c r="D1349" s="96"/>
      <c r="E1349" s="96"/>
      <c r="F1349" s="96"/>
      <c r="G1349" s="50"/>
      <c r="H1349" s="96"/>
      <c r="I1349" s="96"/>
      <c r="J1349" s="96"/>
      <c r="K1349" s="50"/>
      <c r="L1349" s="96"/>
      <c r="M1349" s="96"/>
      <c r="N1349" s="14"/>
      <c r="O1349" s="50"/>
      <c r="P1349" s="50"/>
      <c r="Q1349" s="50"/>
      <c r="R1349" s="50"/>
      <c r="S1349" s="50"/>
      <c r="T1349" s="50"/>
      <c r="U1349" s="50"/>
      <c r="V1349" s="50"/>
      <c r="W1349" s="14"/>
      <c r="X1349" s="50"/>
      <c r="Y1349" s="179"/>
      <c r="Z1349" s="50"/>
      <c r="AA1349" s="14"/>
    </row>
    <row r="1350">
      <c r="A1350" s="14"/>
      <c r="B1350" s="14"/>
      <c r="C1350" s="158"/>
      <c r="D1350" s="96"/>
      <c r="E1350" s="96"/>
      <c r="F1350" s="96"/>
      <c r="G1350" s="50"/>
      <c r="H1350" s="96"/>
      <c r="I1350" s="96"/>
      <c r="J1350" s="96"/>
      <c r="K1350" s="50"/>
      <c r="L1350" s="96"/>
      <c r="M1350" s="96"/>
      <c r="N1350" s="14"/>
      <c r="O1350" s="50"/>
      <c r="P1350" s="50"/>
      <c r="Q1350" s="50"/>
      <c r="R1350" s="50"/>
      <c r="S1350" s="50"/>
      <c r="T1350" s="50"/>
      <c r="U1350" s="50"/>
      <c r="V1350" s="50"/>
      <c r="W1350" s="14"/>
      <c r="X1350" s="50"/>
      <c r="Y1350" s="179"/>
      <c r="Z1350" s="50"/>
      <c r="AA1350" s="14"/>
    </row>
    <row r="1351">
      <c r="A1351" s="14"/>
      <c r="B1351" s="14"/>
      <c r="C1351" s="158"/>
      <c r="D1351" s="96"/>
      <c r="E1351" s="96"/>
      <c r="F1351" s="96"/>
      <c r="G1351" s="50"/>
      <c r="H1351" s="96"/>
      <c r="I1351" s="96"/>
      <c r="J1351" s="96"/>
      <c r="K1351" s="50"/>
      <c r="L1351" s="96"/>
      <c r="M1351" s="96"/>
      <c r="N1351" s="14"/>
      <c r="O1351" s="50"/>
      <c r="P1351" s="50"/>
      <c r="Q1351" s="50"/>
      <c r="R1351" s="50"/>
      <c r="S1351" s="50"/>
      <c r="T1351" s="50"/>
      <c r="U1351" s="50"/>
      <c r="V1351" s="50"/>
      <c r="W1351" s="14"/>
      <c r="X1351" s="50"/>
      <c r="Y1351" s="179"/>
      <c r="Z1351" s="50"/>
      <c r="AA1351" s="14"/>
    </row>
    <row r="1352">
      <c r="A1352" s="14"/>
      <c r="B1352" s="14"/>
      <c r="C1352" s="158"/>
      <c r="D1352" s="96"/>
      <c r="E1352" s="96"/>
      <c r="F1352" s="96"/>
      <c r="G1352" s="50"/>
      <c r="H1352" s="96"/>
      <c r="I1352" s="96"/>
      <c r="J1352" s="96"/>
      <c r="K1352" s="50"/>
      <c r="L1352" s="96"/>
      <c r="M1352" s="96"/>
      <c r="N1352" s="14"/>
      <c r="O1352" s="50"/>
      <c r="P1352" s="50"/>
      <c r="Q1352" s="50"/>
      <c r="R1352" s="50"/>
      <c r="S1352" s="50"/>
      <c r="T1352" s="50"/>
      <c r="U1352" s="50"/>
      <c r="V1352" s="50"/>
      <c r="W1352" s="14"/>
      <c r="X1352" s="50"/>
      <c r="Y1352" s="179"/>
      <c r="Z1352" s="50"/>
      <c r="AA1352" s="14"/>
    </row>
    <row r="1353">
      <c r="A1353" s="14"/>
      <c r="B1353" s="14"/>
      <c r="C1353" s="158"/>
      <c r="D1353" s="96"/>
      <c r="E1353" s="96"/>
      <c r="F1353" s="96"/>
      <c r="G1353" s="50"/>
      <c r="H1353" s="96"/>
      <c r="I1353" s="96"/>
      <c r="J1353" s="96"/>
      <c r="K1353" s="50"/>
      <c r="L1353" s="96"/>
      <c r="M1353" s="96"/>
      <c r="N1353" s="14"/>
      <c r="O1353" s="50"/>
      <c r="P1353" s="50"/>
      <c r="Q1353" s="50"/>
      <c r="R1353" s="50"/>
      <c r="S1353" s="50"/>
      <c r="T1353" s="50"/>
      <c r="U1353" s="50"/>
      <c r="V1353" s="50"/>
      <c r="W1353" s="14"/>
      <c r="X1353" s="50"/>
      <c r="Y1353" s="179"/>
      <c r="Z1353" s="50"/>
      <c r="AA1353" s="14"/>
    </row>
    <row r="1354">
      <c r="A1354" s="14"/>
      <c r="B1354" s="14"/>
      <c r="C1354" s="158"/>
      <c r="D1354" s="96"/>
      <c r="E1354" s="96"/>
      <c r="F1354" s="96"/>
      <c r="G1354" s="50"/>
      <c r="H1354" s="96"/>
      <c r="I1354" s="96"/>
      <c r="J1354" s="96"/>
      <c r="K1354" s="50"/>
      <c r="L1354" s="96"/>
      <c r="M1354" s="96"/>
      <c r="N1354" s="14"/>
      <c r="O1354" s="50"/>
      <c r="P1354" s="50"/>
      <c r="Q1354" s="50"/>
      <c r="R1354" s="50"/>
      <c r="S1354" s="50"/>
      <c r="T1354" s="50"/>
      <c r="U1354" s="50"/>
      <c r="V1354" s="50"/>
      <c r="W1354" s="14"/>
      <c r="X1354" s="50"/>
      <c r="Y1354" s="179"/>
      <c r="Z1354" s="50"/>
      <c r="AA1354" s="14"/>
    </row>
    <row r="1355">
      <c r="A1355" s="14"/>
      <c r="B1355" s="14"/>
      <c r="C1355" s="158"/>
      <c r="D1355" s="96"/>
      <c r="E1355" s="96"/>
      <c r="F1355" s="96"/>
      <c r="G1355" s="50"/>
      <c r="H1355" s="96"/>
      <c r="I1355" s="96"/>
      <c r="J1355" s="96"/>
      <c r="K1355" s="50"/>
      <c r="L1355" s="96"/>
      <c r="M1355" s="96"/>
      <c r="N1355" s="14"/>
      <c r="O1355" s="50"/>
      <c r="P1355" s="50"/>
      <c r="Q1355" s="50"/>
      <c r="R1355" s="50"/>
      <c r="S1355" s="50"/>
      <c r="T1355" s="50"/>
      <c r="U1355" s="50"/>
      <c r="V1355" s="50"/>
      <c r="W1355" s="14"/>
      <c r="X1355" s="50"/>
      <c r="Y1355" s="179"/>
      <c r="Z1355" s="50"/>
      <c r="AA1355" s="14"/>
    </row>
    <row r="1356">
      <c r="A1356" s="14"/>
      <c r="B1356" s="14"/>
      <c r="C1356" s="158"/>
      <c r="D1356" s="96"/>
      <c r="E1356" s="96"/>
      <c r="F1356" s="96"/>
      <c r="G1356" s="50"/>
      <c r="H1356" s="96"/>
      <c r="I1356" s="96"/>
      <c r="J1356" s="96"/>
      <c r="K1356" s="50"/>
      <c r="L1356" s="96"/>
      <c r="M1356" s="96"/>
      <c r="N1356" s="14"/>
      <c r="O1356" s="50"/>
      <c r="P1356" s="50"/>
      <c r="Q1356" s="50"/>
      <c r="R1356" s="50"/>
      <c r="S1356" s="50"/>
      <c r="T1356" s="50"/>
      <c r="U1356" s="50"/>
      <c r="V1356" s="50"/>
      <c r="W1356" s="14"/>
      <c r="X1356" s="50"/>
      <c r="Y1356" s="179"/>
      <c r="Z1356" s="50"/>
      <c r="AA1356" s="14"/>
    </row>
    <row r="1357">
      <c r="A1357" s="14"/>
      <c r="B1357" s="14"/>
      <c r="C1357" s="158"/>
      <c r="D1357" s="96"/>
      <c r="E1357" s="96"/>
      <c r="F1357" s="96"/>
      <c r="G1357" s="50"/>
      <c r="H1357" s="96"/>
      <c r="I1357" s="96"/>
      <c r="J1357" s="96"/>
      <c r="K1357" s="50"/>
      <c r="L1357" s="96"/>
      <c r="M1357" s="96"/>
      <c r="N1357" s="14"/>
      <c r="O1357" s="50"/>
      <c r="P1357" s="50"/>
      <c r="Q1357" s="50"/>
      <c r="R1357" s="50"/>
      <c r="S1357" s="50"/>
      <c r="T1357" s="50"/>
      <c r="U1357" s="50"/>
      <c r="V1357" s="50"/>
      <c r="W1357" s="14"/>
      <c r="X1357" s="50"/>
      <c r="Y1357" s="179"/>
      <c r="Z1357" s="50"/>
      <c r="AA1357" s="14"/>
    </row>
    <row r="1358">
      <c r="A1358" s="14"/>
      <c r="B1358" s="14"/>
      <c r="C1358" s="158"/>
      <c r="D1358" s="96"/>
      <c r="E1358" s="96"/>
      <c r="F1358" s="96"/>
      <c r="G1358" s="50"/>
      <c r="H1358" s="96"/>
      <c r="I1358" s="96"/>
      <c r="J1358" s="96"/>
      <c r="K1358" s="50"/>
      <c r="L1358" s="96"/>
      <c r="M1358" s="96"/>
      <c r="N1358" s="14"/>
      <c r="O1358" s="50"/>
      <c r="P1358" s="50"/>
      <c r="Q1358" s="50"/>
      <c r="R1358" s="50"/>
      <c r="S1358" s="50"/>
      <c r="T1358" s="50"/>
      <c r="U1358" s="50"/>
      <c r="V1358" s="50"/>
      <c r="W1358" s="14"/>
      <c r="X1358" s="50"/>
      <c r="Y1358" s="179"/>
      <c r="Z1358" s="50"/>
      <c r="AA1358" s="14"/>
    </row>
    <row r="1359">
      <c r="A1359" s="14"/>
      <c r="B1359" s="14"/>
      <c r="C1359" s="158"/>
      <c r="D1359" s="96"/>
      <c r="E1359" s="96"/>
      <c r="F1359" s="96"/>
      <c r="G1359" s="50"/>
      <c r="H1359" s="96"/>
      <c r="I1359" s="96"/>
      <c r="J1359" s="96"/>
      <c r="K1359" s="50"/>
      <c r="L1359" s="96"/>
      <c r="M1359" s="96"/>
      <c r="N1359" s="14"/>
      <c r="O1359" s="50"/>
      <c r="P1359" s="50"/>
      <c r="Q1359" s="50"/>
      <c r="R1359" s="50"/>
      <c r="S1359" s="50"/>
      <c r="T1359" s="50"/>
      <c r="U1359" s="50"/>
      <c r="V1359" s="50"/>
      <c r="W1359" s="14"/>
      <c r="X1359" s="50"/>
      <c r="Y1359" s="179"/>
      <c r="Z1359" s="50"/>
      <c r="AA1359" s="14"/>
    </row>
    <row r="1360">
      <c r="A1360" s="14"/>
      <c r="B1360" s="14"/>
      <c r="C1360" s="158"/>
      <c r="D1360" s="96"/>
      <c r="E1360" s="96"/>
      <c r="F1360" s="96"/>
      <c r="G1360" s="50"/>
      <c r="H1360" s="96"/>
      <c r="I1360" s="96"/>
      <c r="J1360" s="96"/>
      <c r="K1360" s="50"/>
      <c r="L1360" s="96"/>
      <c r="M1360" s="96"/>
      <c r="N1360" s="14"/>
      <c r="O1360" s="50"/>
      <c r="P1360" s="50"/>
      <c r="Q1360" s="50"/>
      <c r="R1360" s="50"/>
      <c r="S1360" s="50"/>
      <c r="T1360" s="50"/>
      <c r="U1360" s="50"/>
      <c r="V1360" s="50"/>
      <c r="W1360" s="14"/>
      <c r="X1360" s="50"/>
      <c r="Y1360" s="179"/>
      <c r="Z1360" s="50"/>
      <c r="AA1360" s="14"/>
    </row>
    <row r="1361">
      <c r="A1361" s="14"/>
      <c r="B1361" s="14"/>
      <c r="C1361" s="158"/>
      <c r="D1361" s="96"/>
      <c r="E1361" s="96"/>
      <c r="F1361" s="96"/>
      <c r="G1361" s="50"/>
      <c r="H1361" s="96"/>
      <c r="I1361" s="96"/>
      <c r="J1361" s="96"/>
      <c r="K1361" s="50"/>
      <c r="L1361" s="96"/>
      <c r="M1361" s="96"/>
      <c r="N1361" s="14"/>
      <c r="O1361" s="50"/>
      <c r="P1361" s="50"/>
      <c r="Q1361" s="50"/>
      <c r="R1361" s="50"/>
      <c r="S1361" s="50"/>
      <c r="T1361" s="50"/>
      <c r="U1361" s="50"/>
      <c r="V1361" s="50"/>
      <c r="W1361" s="14"/>
      <c r="X1361" s="50"/>
      <c r="Y1361" s="179"/>
      <c r="Z1361" s="50"/>
      <c r="AA1361" s="14"/>
    </row>
    <row r="1362">
      <c r="A1362" s="14"/>
      <c r="B1362" s="14"/>
      <c r="C1362" s="158"/>
      <c r="D1362" s="96"/>
      <c r="E1362" s="96"/>
      <c r="F1362" s="96"/>
      <c r="G1362" s="50"/>
      <c r="H1362" s="96"/>
      <c r="I1362" s="96"/>
      <c r="J1362" s="96"/>
      <c r="K1362" s="50"/>
      <c r="L1362" s="96"/>
      <c r="M1362" s="96"/>
      <c r="N1362" s="14"/>
      <c r="O1362" s="50"/>
      <c r="P1362" s="50"/>
      <c r="Q1362" s="50"/>
      <c r="R1362" s="50"/>
      <c r="S1362" s="50"/>
      <c r="T1362" s="50"/>
      <c r="U1362" s="50"/>
      <c r="V1362" s="50"/>
      <c r="W1362" s="14"/>
      <c r="X1362" s="50"/>
      <c r="Y1362" s="179"/>
      <c r="Z1362" s="50"/>
      <c r="AA1362" s="14"/>
    </row>
    <row r="1363">
      <c r="A1363" s="14"/>
      <c r="B1363" s="14"/>
      <c r="C1363" s="158"/>
      <c r="D1363" s="96"/>
      <c r="E1363" s="96"/>
      <c r="F1363" s="96"/>
      <c r="G1363" s="50"/>
      <c r="H1363" s="96"/>
      <c r="I1363" s="96"/>
      <c r="J1363" s="96"/>
      <c r="K1363" s="50"/>
      <c r="L1363" s="96"/>
      <c r="M1363" s="96"/>
      <c r="N1363" s="14"/>
      <c r="O1363" s="50"/>
      <c r="P1363" s="50"/>
      <c r="Q1363" s="50"/>
      <c r="R1363" s="50"/>
      <c r="S1363" s="50"/>
      <c r="T1363" s="50"/>
      <c r="U1363" s="50"/>
      <c r="V1363" s="50"/>
      <c r="W1363" s="14"/>
      <c r="X1363" s="50"/>
      <c r="Y1363" s="179"/>
      <c r="Z1363" s="50"/>
      <c r="AA1363" s="14"/>
    </row>
    <row r="1364">
      <c r="A1364" s="14"/>
      <c r="B1364" s="14"/>
      <c r="C1364" s="158"/>
      <c r="D1364" s="96"/>
      <c r="E1364" s="96"/>
      <c r="F1364" s="96"/>
      <c r="G1364" s="50"/>
      <c r="H1364" s="96"/>
      <c r="I1364" s="96"/>
      <c r="J1364" s="96"/>
      <c r="K1364" s="50"/>
      <c r="L1364" s="96"/>
      <c r="M1364" s="96"/>
      <c r="N1364" s="14"/>
      <c r="O1364" s="50"/>
      <c r="P1364" s="50"/>
      <c r="Q1364" s="50"/>
      <c r="R1364" s="50"/>
      <c r="S1364" s="50"/>
      <c r="T1364" s="50"/>
      <c r="U1364" s="50"/>
      <c r="V1364" s="50"/>
      <c r="W1364" s="14"/>
      <c r="X1364" s="50"/>
      <c r="Y1364" s="179"/>
      <c r="Z1364" s="50"/>
      <c r="AA1364" s="14"/>
    </row>
    <row r="1365">
      <c r="A1365" s="14"/>
      <c r="B1365" s="14"/>
      <c r="C1365" s="158"/>
      <c r="D1365" s="96"/>
      <c r="E1365" s="96"/>
      <c r="F1365" s="96"/>
      <c r="G1365" s="50"/>
      <c r="H1365" s="96"/>
      <c r="I1365" s="96"/>
      <c r="J1365" s="96"/>
      <c r="K1365" s="50"/>
      <c r="L1365" s="96"/>
      <c r="M1365" s="96"/>
      <c r="N1365" s="14"/>
      <c r="O1365" s="50"/>
      <c r="P1365" s="50"/>
      <c r="Q1365" s="50"/>
      <c r="R1365" s="50"/>
      <c r="S1365" s="50"/>
      <c r="T1365" s="50"/>
      <c r="U1365" s="50"/>
      <c r="V1365" s="50"/>
      <c r="W1365" s="14"/>
      <c r="X1365" s="50"/>
      <c r="Y1365" s="179"/>
      <c r="Z1365" s="50"/>
      <c r="AA1365" s="14"/>
    </row>
    <row r="1366">
      <c r="A1366" s="14"/>
      <c r="B1366" s="14"/>
      <c r="C1366" s="158"/>
      <c r="D1366" s="96"/>
      <c r="E1366" s="96"/>
      <c r="F1366" s="96"/>
      <c r="G1366" s="50"/>
      <c r="H1366" s="96"/>
      <c r="I1366" s="96"/>
      <c r="J1366" s="96"/>
      <c r="K1366" s="50"/>
      <c r="L1366" s="96"/>
      <c r="M1366" s="96"/>
      <c r="N1366" s="14"/>
      <c r="O1366" s="50"/>
      <c r="P1366" s="50"/>
      <c r="Q1366" s="50"/>
      <c r="R1366" s="50"/>
      <c r="S1366" s="50"/>
      <c r="T1366" s="50"/>
      <c r="U1366" s="50"/>
      <c r="V1366" s="50"/>
      <c r="W1366" s="14"/>
      <c r="X1366" s="50"/>
      <c r="Y1366" s="179"/>
      <c r="Z1366" s="50"/>
      <c r="AA1366" s="14"/>
    </row>
    <row r="1367">
      <c r="A1367" s="14"/>
      <c r="B1367" s="14"/>
      <c r="C1367" s="158"/>
      <c r="D1367" s="96"/>
      <c r="E1367" s="96"/>
      <c r="F1367" s="96"/>
      <c r="G1367" s="50"/>
      <c r="H1367" s="96"/>
      <c r="I1367" s="96"/>
      <c r="J1367" s="96"/>
      <c r="K1367" s="50"/>
      <c r="L1367" s="96"/>
      <c r="M1367" s="96"/>
      <c r="N1367" s="14"/>
      <c r="O1367" s="50"/>
      <c r="P1367" s="50"/>
      <c r="Q1367" s="50"/>
      <c r="R1367" s="50"/>
      <c r="S1367" s="50"/>
      <c r="T1367" s="50"/>
      <c r="U1367" s="50"/>
      <c r="V1367" s="50"/>
      <c r="W1367" s="14"/>
      <c r="X1367" s="50"/>
      <c r="Y1367" s="179"/>
      <c r="Z1367" s="50"/>
      <c r="AA1367" s="14"/>
    </row>
    <row r="1368">
      <c r="A1368" s="14"/>
      <c r="B1368" s="14"/>
      <c r="C1368" s="158"/>
      <c r="D1368" s="96"/>
      <c r="E1368" s="96"/>
      <c r="F1368" s="96"/>
      <c r="G1368" s="50"/>
      <c r="H1368" s="96"/>
      <c r="I1368" s="96"/>
      <c r="J1368" s="96"/>
      <c r="K1368" s="50"/>
      <c r="L1368" s="96"/>
      <c r="M1368" s="96"/>
      <c r="N1368" s="14"/>
      <c r="O1368" s="50"/>
      <c r="P1368" s="50"/>
      <c r="Q1368" s="50"/>
      <c r="R1368" s="50"/>
      <c r="S1368" s="50"/>
      <c r="T1368" s="50"/>
      <c r="U1368" s="50"/>
      <c r="V1368" s="50"/>
      <c r="W1368" s="14"/>
      <c r="X1368" s="50"/>
      <c r="Y1368" s="179"/>
      <c r="Z1368" s="50"/>
      <c r="AA1368" s="14"/>
    </row>
    <row r="1369">
      <c r="A1369" s="14"/>
      <c r="B1369" s="14"/>
      <c r="C1369" s="158"/>
      <c r="D1369" s="96"/>
      <c r="E1369" s="96"/>
      <c r="F1369" s="96"/>
      <c r="G1369" s="50"/>
      <c r="H1369" s="96"/>
      <c r="I1369" s="96"/>
      <c r="J1369" s="96"/>
      <c r="K1369" s="50"/>
      <c r="L1369" s="96"/>
      <c r="M1369" s="96"/>
      <c r="N1369" s="14"/>
      <c r="O1369" s="50"/>
      <c r="P1369" s="50"/>
      <c r="Q1369" s="50"/>
      <c r="R1369" s="50"/>
      <c r="S1369" s="50"/>
      <c r="T1369" s="50"/>
      <c r="U1369" s="50"/>
      <c r="V1369" s="50"/>
      <c r="W1369" s="14"/>
      <c r="X1369" s="50"/>
      <c r="Y1369" s="179"/>
      <c r="Z1369" s="50"/>
      <c r="AA1369" s="14"/>
    </row>
    <row r="1370">
      <c r="A1370" s="14"/>
      <c r="B1370" s="14"/>
      <c r="C1370" s="158"/>
      <c r="D1370" s="96"/>
      <c r="E1370" s="96"/>
      <c r="F1370" s="96"/>
      <c r="G1370" s="50"/>
      <c r="H1370" s="96"/>
      <c r="I1370" s="96"/>
      <c r="J1370" s="96"/>
      <c r="K1370" s="50"/>
      <c r="L1370" s="96"/>
      <c r="M1370" s="96"/>
      <c r="N1370" s="14"/>
      <c r="O1370" s="50"/>
      <c r="P1370" s="50"/>
      <c r="Q1370" s="50"/>
      <c r="R1370" s="50"/>
      <c r="S1370" s="50"/>
      <c r="T1370" s="50"/>
      <c r="U1370" s="50"/>
      <c r="V1370" s="50"/>
      <c r="W1370" s="14"/>
      <c r="X1370" s="50"/>
      <c r="Y1370" s="179"/>
      <c r="Z1370" s="50"/>
      <c r="AA1370" s="14"/>
    </row>
    <row r="1371">
      <c r="A1371" s="14"/>
      <c r="B1371" s="14"/>
      <c r="C1371" s="158"/>
      <c r="D1371" s="96"/>
      <c r="E1371" s="96"/>
      <c r="F1371" s="96"/>
      <c r="G1371" s="50"/>
      <c r="H1371" s="96"/>
      <c r="I1371" s="96"/>
      <c r="J1371" s="96"/>
      <c r="K1371" s="50"/>
      <c r="L1371" s="96"/>
      <c r="M1371" s="96"/>
      <c r="N1371" s="14"/>
      <c r="O1371" s="50"/>
      <c r="P1371" s="50"/>
      <c r="Q1371" s="50"/>
      <c r="R1371" s="50"/>
      <c r="S1371" s="50"/>
      <c r="T1371" s="50"/>
      <c r="U1371" s="50"/>
      <c r="V1371" s="50"/>
      <c r="W1371" s="14"/>
      <c r="X1371" s="50"/>
      <c r="Y1371" s="179"/>
      <c r="Z1371" s="50"/>
      <c r="AA1371" s="14"/>
    </row>
    <row r="1372">
      <c r="A1372" s="14"/>
      <c r="B1372" s="14"/>
      <c r="C1372" s="158"/>
      <c r="D1372" s="96"/>
      <c r="E1372" s="96"/>
      <c r="F1372" s="96"/>
      <c r="G1372" s="50"/>
      <c r="H1372" s="96"/>
      <c r="I1372" s="96"/>
      <c r="J1372" s="96"/>
      <c r="K1372" s="50"/>
      <c r="L1372" s="96"/>
      <c r="M1372" s="96"/>
      <c r="N1372" s="14"/>
      <c r="O1372" s="50"/>
      <c r="P1372" s="50"/>
      <c r="Q1372" s="50"/>
      <c r="R1372" s="50"/>
      <c r="S1372" s="50"/>
      <c r="T1372" s="50"/>
      <c r="U1372" s="50"/>
      <c r="V1372" s="50"/>
      <c r="W1372" s="14"/>
      <c r="X1372" s="50"/>
      <c r="Y1372" s="179"/>
      <c r="Z1372" s="50"/>
      <c r="AA1372" s="14"/>
    </row>
    <row r="1373">
      <c r="A1373" s="14"/>
      <c r="B1373" s="14"/>
      <c r="C1373" s="158"/>
      <c r="D1373" s="96"/>
      <c r="E1373" s="96"/>
      <c r="F1373" s="96"/>
      <c r="G1373" s="50"/>
      <c r="H1373" s="96"/>
      <c r="I1373" s="96"/>
      <c r="J1373" s="96"/>
      <c r="K1373" s="50"/>
      <c r="L1373" s="96"/>
      <c r="M1373" s="96"/>
      <c r="N1373" s="14"/>
      <c r="O1373" s="50"/>
      <c r="P1373" s="50"/>
      <c r="Q1373" s="50"/>
      <c r="R1373" s="50"/>
      <c r="S1373" s="50"/>
      <c r="T1373" s="50"/>
      <c r="U1373" s="50"/>
      <c r="V1373" s="50"/>
      <c r="W1373" s="14"/>
      <c r="X1373" s="50"/>
      <c r="Y1373" s="179"/>
      <c r="Z1373" s="50"/>
      <c r="AA1373" s="14"/>
    </row>
    <row r="1374">
      <c r="A1374" s="14"/>
      <c r="B1374" s="14"/>
      <c r="C1374" s="158"/>
      <c r="D1374" s="96"/>
      <c r="E1374" s="96"/>
      <c r="F1374" s="96"/>
      <c r="G1374" s="50"/>
      <c r="H1374" s="96"/>
      <c r="I1374" s="96"/>
      <c r="J1374" s="96"/>
      <c r="K1374" s="50"/>
      <c r="L1374" s="96"/>
      <c r="M1374" s="96"/>
      <c r="N1374" s="14"/>
      <c r="O1374" s="50"/>
      <c r="P1374" s="50"/>
      <c r="Q1374" s="50"/>
      <c r="R1374" s="50"/>
      <c r="S1374" s="50"/>
      <c r="T1374" s="50"/>
      <c r="U1374" s="50"/>
      <c r="V1374" s="50"/>
      <c r="W1374" s="14"/>
      <c r="X1374" s="50"/>
      <c r="Y1374" s="179"/>
      <c r="Z1374" s="50"/>
      <c r="AA1374" s="14"/>
    </row>
    <row r="1375">
      <c r="A1375" s="14"/>
      <c r="B1375" s="14"/>
      <c r="C1375" s="158"/>
      <c r="D1375" s="96"/>
      <c r="E1375" s="96"/>
      <c r="F1375" s="96"/>
      <c r="G1375" s="50"/>
      <c r="H1375" s="96"/>
      <c r="I1375" s="96"/>
      <c r="J1375" s="96"/>
      <c r="K1375" s="50"/>
      <c r="L1375" s="96"/>
      <c r="M1375" s="96"/>
      <c r="N1375" s="14"/>
      <c r="O1375" s="50"/>
      <c r="P1375" s="50"/>
      <c r="Q1375" s="50"/>
      <c r="R1375" s="50"/>
      <c r="S1375" s="50"/>
      <c r="T1375" s="50"/>
      <c r="U1375" s="50"/>
      <c r="V1375" s="50"/>
      <c r="W1375" s="14"/>
      <c r="X1375" s="50"/>
      <c r="Y1375" s="179"/>
      <c r="Z1375" s="50"/>
      <c r="AA1375" s="14"/>
    </row>
    <row r="1376">
      <c r="A1376" s="14"/>
      <c r="B1376" s="14"/>
      <c r="C1376" s="158"/>
      <c r="D1376" s="96"/>
      <c r="E1376" s="96"/>
      <c r="F1376" s="96"/>
      <c r="G1376" s="50"/>
      <c r="H1376" s="96"/>
      <c r="I1376" s="96"/>
      <c r="J1376" s="96"/>
      <c r="K1376" s="50"/>
      <c r="L1376" s="96"/>
      <c r="M1376" s="96"/>
      <c r="N1376" s="14"/>
      <c r="O1376" s="50"/>
      <c r="P1376" s="50"/>
      <c r="Q1376" s="50"/>
      <c r="R1376" s="50"/>
      <c r="S1376" s="50"/>
      <c r="T1376" s="50"/>
      <c r="U1376" s="50"/>
      <c r="V1376" s="50"/>
      <c r="W1376" s="14"/>
      <c r="X1376" s="50"/>
      <c r="Y1376" s="179"/>
      <c r="Z1376" s="50"/>
      <c r="AA1376" s="14"/>
    </row>
    <row r="1377">
      <c r="A1377" s="14"/>
      <c r="B1377" s="14"/>
      <c r="C1377" s="158"/>
      <c r="D1377" s="96"/>
      <c r="E1377" s="96"/>
      <c r="F1377" s="96"/>
      <c r="G1377" s="50"/>
      <c r="H1377" s="96"/>
      <c r="I1377" s="96"/>
      <c r="J1377" s="96"/>
      <c r="K1377" s="50"/>
      <c r="L1377" s="96"/>
      <c r="M1377" s="96"/>
      <c r="N1377" s="14"/>
      <c r="O1377" s="50"/>
      <c r="P1377" s="50"/>
      <c r="Q1377" s="50"/>
      <c r="R1377" s="50"/>
      <c r="S1377" s="50"/>
      <c r="T1377" s="50"/>
      <c r="U1377" s="50"/>
      <c r="V1377" s="50"/>
      <c r="W1377" s="14"/>
      <c r="X1377" s="50"/>
      <c r="Y1377" s="179"/>
      <c r="Z1377" s="50"/>
      <c r="AA1377" s="14"/>
    </row>
    <row r="1378">
      <c r="A1378" s="14"/>
      <c r="B1378" s="14"/>
      <c r="C1378" s="158"/>
      <c r="D1378" s="96"/>
      <c r="E1378" s="96"/>
      <c r="F1378" s="96"/>
      <c r="G1378" s="50"/>
      <c r="H1378" s="96"/>
      <c r="I1378" s="96"/>
      <c r="J1378" s="96"/>
      <c r="K1378" s="50"/>
      <c r="L1378" s="96"/>
      <c r="M1378" s="96"/>
      <c r="N1378" s="14"/>
      <c r="O1378" s="50"/>
      <c r="P1378" s="50"/>
      <c r="Q1378" s="50"/>
      <c r="R1378" s="50"/>
      <c r="S1378" s="50"/>
      <c r="T1378" s="50"/>
      <c r="U1378" s="50"/>
      <c r="V1378" s="50"/>
      <c r="W1378" s="14"/>
      <c r="X1378" s="50"/>
      <c r="Y1378" s="179"/>
      <c r="Z1378" s="50"/>
      <c r="AA1378" s="14"/>
    </row>
    <row r="1379">
      <c r="A1379" s="14"/>
      <c r="B1379" s="14"/>
      <c r="C1379" s="158"/>
      <c r="D1379" s="96"/>
      <c r="E1379" s="96"/>
      <c r="F1379" s="96"/>
      <c r="G1379" s="50"/>
      <c r="H1379" s="96"/>
      <c r="I1379" s="96"/>
      <c r="J1379" s="96"/>
      <c r="K1379" s="50"/>
      <c r="L1379" s="96"/>
      <c r="M1379" s="96"/>
      <c r="N1379" s="14"/>
      <c r="O1379" s="50"/>
      <c r="P1379" s="50"/>
      <c r="Q1379" s="50"/>
      <c r="R1379" s="50"/>
      <c r="S1379" s="50"/>
      <c r="T1379" s="50"/>
      <c r="U1379" s="50"/>
      <c r="V1379" s="50"/>
      <c r="W1379" s="14"/>
      <c r="X1379" s="50"/>
      <c r="Y1379" s="179"/>
      <c r="Z1379" s="50"/>
      <c r="AA1379" s="14"/>
    </row>
    <row r="1380">
      <c r="A1380" s="14"/>
      <c r="B1380" s="14"/>
      <c r="C1380" s="158"/>
      <c r="D1380" s="96"/>
      <c r="E1380" s="96"/>
      <c r="F1380" s="96"/>
      <c r="G1380" s="50"/>
      <c r="H1380" s="96"/>
      <c r="I1380" s="96"/>
      <c r="J1380" s="96"/>
      <c r="K1380" s="50"/>
      <c r="L1380" s="96"/>
      <c r="M1380" s="96"/>
      <c r="N1380" s="14"/>
      <c r="O1380" s="50"/>
      <c r="P1380" s="50"/>
      <c r="Q1380" s="50"/>
      <c r="R1380" s="50"/>
      <c r="S1380" s="50"/>
      <c r="T1380" s="50"/>
      <c r="U1380" s="50"/>
      <c r="V1380" s="50"/>
      <c r="W1380" s="14"/>
      <c r="X1380" s="50"/>
      <c r="Y1380" s="179"/>
      <c r="Z1380" s="50"/>
      <c r="AA1380" s="14"/>
    </row>
    <row r="1381">
      <c r="A1381" s="14"/>
      <c r="B1381" s="14"/>
      <c r="C1381" s="158"/>
      <c r="D1381" s="96"/>
      <c r="E1381" s="96"/>
      <c r="F1381" s="96"/>
      <c r="G1381" s="50"/>
      <c r="H1381" s="96"/>
      <c r="I1381" s="96"/>
      <c r="J1381" s="96"/>
      <c r="K1381" s="50"/>
      <c r="L1381" s="96"/>
      <c r="M1381" s="96"/>
      <c r="N1381" s="14"/>
      <c r="O1381" s="50"/>
      <c r="P1381" s="50"/>
      <c r="Q1381" s="50"/>
      <c r="R1381" s="50"/>
      <c r="S1381" s="50"/>
      <c r="T1381" s="50"/>
      <c r="U1381" s="50"/>
      <c r="V1381" s="50"/>
      <c r="W1381" s="14"/>
      <c r="X1381" s="50"/>
      <c r="Y1381" s="179"/>
      <c r="Z1381" s="50"/>
      <c r="AA1381" s="14"/>
    </row>
    <row r="1382">
      <c r="A1382" s="14"/>
      <c r="B1382" s="14"/>
      <c r="C1382" s="158"/>
      <c r="D1382" s="96"/>
      <c r="E1382" s="96"/>
      <c r="F1382" s="96"/>
      <c r="G1382" s="50"/>
      <c r="H1382" s="96"/>
      <c r="I1382" s="96"/>
      <c r="J1382" s="96"/>
      <c r="K1382" s="50"/>
      <c r="L1382" s="96"/>
      <c r="M1382" s="96"/>
      <c r="N1382" s="14"/>
      <c r="O1382" s="50"/>
      <c r="P1382" s="50"/>
      <c r="Q1382" s="50"/>
      <c r="R1382" s="50"/>
      <c r="S1382" s="50"/>
      <c r="T1382" s="50"/>
      <c r="U1382" s="50"/>
      <c r="V1382" s="50"/>
      <c r="W1382" s="14"/>
      <c r="X1382" s="50"/>
      <c r="Y1382" s="179"/>
      <c r="Z1382" s="50"/>
      <c r="AA1382" s="14"/>
    </row>
    <row r="1383">
      <c r="A1383" s="14"/>
      <c r="B1383" s="14"/>
      <c r="C1383" s="158"/>
      <c r="D1383" s="96"/>
      <c r="E1383" s="96"/>
      <c r="F1383" s="96"/>
      <c r="G1383" s="50"/>
      <c r="H1383" s="96"/>
      <c r="I1383" s="96"/>
      <c r="J1383" s="96"/>
      <c r="K1383" s="50"/>
      <c r="L1383" s="96"/>
      <c r="M1383" s="96"/>
      <c r="N1383" s="14"/>
      <c r="O1383" s="50"/>
      <c r="P1383" s="50"/>
      <c r="Q1383" s="50"/>
      <c r="R1383" s="50"/>
      <c r="S1383" s="50"/>
      <c r="T1383" s="50"/>
      <c r="U1383" s="50"/>
      <c r="V1383" s="50"/>
      <c r="W1383" s="14"/>
      <c r="X1383" s="50"/>
      <c r="Y1383" s="179"/>
      <c r="Z1383" s="50"/>
      <c r="AA1383" s="14"/>
    </row>
    <row r="1384">
      <c r="A1384" s="14"/>
      <c r="B1384" s="14"/>
      <c r="C1384" s="158"/>
      <c r="D1384" s="96"/>
      <c r="E1384" s="96"/>
      <c r="F1384" s="96"/>
      <c r="G1384" s="50"/>
      <c r="H1384" s="96"/>
      <c r="I1384" s="96"/>
      <c r="J1384" s="96"/>
      <c r="K1384" s="50"/>
      <c r="L1384" s="96"/>
      <c r="M1384" s="96"/>
      <c r="N1384" s="14"/>
      <c r="O1384" s="50"/>
      <c r="P1384" s="50"/>
      <c r="Q1384" s="50"/>
      <c r="R1384" s="50"/>
      <c r="S1384" s="50"/>
      <c r="T1384" s="50"/>
      <c r="U1384" s="50"/>
      <c r="V1384" s="50"/>
      <c r="W1384" s="14"/>
      <c r="X1384" s="50"/>
      <c r="Y1384" s="179"/>
      <c r="Z1384" s="50"/>
      <c r="AA1384" s="14"/>
    </row>
    <row r="1385">
      <c r="A1385" s="14"/>
      <c r="B1385" s="14"/>
      <c r="C1385" s="158"/>
      <c r="D1385" s="96"/>
      <c r="E1385" s="96"/>
      <c r="F1385" s="96"/>
      <c r="G1385" s="50"/>
      <c r="H1385" s="96"/>
      <c r="I1385" s="96"/>
      <c r="J1385" s="96"/>
      <c r="K1385" s="50"/>
      <c r="L1385" s="96"/>
      <c r="M1385" s="96"/>
      <c r="N1385" s="14"/>
      <c r="O1385" s="50"/>
      <c r="P1385" s="50"/>
      <c r="Q1385" s="50"/>
      <c r="R1385" s="50"/>
      <c r="S1385" s="50"/>
      <c r="T1385" s="50"/>
      <c r="U1385" s="50"/>
      <c r="V1385" s="50"/>
      <c r="W1385" s="14"/>
      <c r="X1385" s="50"/>
      <c r="Y1385" s="179"/>
      <c r="Z1385" s="50"/>
      <c r="AA1385" s="14"/>
    </row>
    <row r="1386">
      <c r="A1386" s="14"/>
      <c r="B1386" s="14"/>
      <c r="C1386" s="158"/>
      <c r="D1386" s="96"/>
      <c r="E1386" s="96"/>
      <c r="F1386" s="96"/>
      <c r="G1386" s="50"/>
      <c r="H1386" s="96"/>
      <c r="I1386" s="96"/>
      <c r="J1386" s="96"/>
      <c r="K1386" s="50"/>
      <c r="L1386" s="96"/>
      <c r="M1386" s="96"/>
      <c r="N1386" s="14"/>
      <c r="O1386" s="50"/>
      <c r="P1386" s="50"/>
      <c r="Q1386" s="50"/>
      <c r="R1386" s="50"/>
      <c r="S1386" s="50"/>
      <c r="T1386" s="50"/>
      <c r="U1386" s="50"/>
      <c r="V1386" s="50"/>
      <c r="W1386" s="14"/>
      <c r="X1386" s="50"/>
      <c r="Y1386" s="179"/>
      <c r="Z1386" s="50"/>
      <c r="AA1386" s="14"/>
    </row>
    <row r="1387">
      <c r="A1387" s="14"/>
      <c r="B1387" s="14"/>
      <c r="C1387" s="158"/>
      <c r="D1387" s="96"/>
      <c r="E1387" s="96"/>
      <c r="F1387" s="96"/>
      <c r="G1387" s="50"/>
      <c r="H1387" s="96"/>
      <c r="I1387" s="96"/>
      <c r="J1387" s="96"/>
      <c r="K1387" s="50"/>
      <c r="L1387" s="96"/>
      <c r="M1387" s="96"/>
      <c r="N1387" s="14"/>
      <c r="O1387" s="50"/>
      <c r="P1387" s="50"/>
      <c r="Q1387" s="50"/>
      <c r="R1387" s="50"/>
      <c r="S1387" s="50"/>
      <c r="T1387" s="50"/>
      <c r="U1387" s="50"/>
      <c r="V1387" s="50"/>
      <c r="W1387" s="14"/>
      <c r="X1387" s="50"/>
      <c r="Y1387" s="179"/>
      <c r="Z1387" s="50"/>
      <c r="AA1387" s="14"/>
    </row>
    <row r="1388">
      <c r="A1388" s="14"/>
      <c r="B1388" s="14"/>
      <c r="C1388" s="158"/>
      <c r="D1388" s="96"/>
      <c r="E1388" s="96"/>
      <c r="F1388" s="96"/>
      <c r="G1388" s="50"/>
      <c r="H1388" s="96"/>
      <c r="I1388" s="96"/>
      <c r="J1388" s="96"/>
      <c r="K1388" s="50"/>
      <c r="L1388" s="96"/>
      <c r="M1388" s="96"/>
      <c r="N1388" s="14"/>
      <c r="O1388" s="50"/>
      <c r="P1388" s="50"/>
      <c r="Q1388" s="50"/>
      <c r="R1388" s="50"/>
      <c r="S1388" s="50"/>
      <c r="T1388" s="50"/>
      <c r="U1388" s="50"/>
      <c r="V1388" s="50"/>
      <c r="W1388" s="14"/>
      <c r="X1388" s="50"/>
      <c r="Y1388" s="179"/>
      <c r="Z1388" s="50"/>
      <c r="AA1388" s="14"/>
    </row>
    <row r="1389">
      <c r="A1389" s="14"/>
      <c r="B1389" s="14"/>
      <c r="C1389" s="158"/>
      <c r="D1389" s="96"/>
      <c r="E1389" s="96"/>
      <c r="F1389" s="96"/>
      <c r="G1389" s="50"/>
      <c r="H1389" s="96"/>
      <c r="I1389" s="96"/>
      <c r="J1389" s="96"/>
      <c r="K1389" s="50"/>
      <c r="L1389" s="96"/>
      <c r="M1389" s="96"/>
      <c r="N1389" s="14"/>
      <c r="O1389" s="50"/>
      <c r="P1389" s="50"/>
      <c r="Q1389" s="50"/>
      <c r="R1389" s="50"/>
      <c r="S1389" s="50"/>
      <c r="T1389" s="50"/>
      <c r="U1389" s="50"/>
      <c r="V1389" s="50"/>
      <c r="W1389" s="14"/>
      <c r="X1389" s="50"/>
      <c r="Y1389" s="179"/>
      <c r="Z1389" s="50"/>
      <c r="AA1389" s="14"/>
    </row>
    <row r="1390">
      <c r="A1390" s="14"/>
      <c r="B1390" s="14"/>
      <c r="C1390" s="158"/>
      <c r="D1390" s="96"/>
      <c r="E1390" s="96"/>
      <c r="F1390" s="96"/>
      <c r="G1390" s="50"/>
      <c r="H1390" s="96"/>
      <c r="I1390" s="96"/>
      <c r="J1390" s="96"/>
      <c r="K1390" s="50"/>
      <c r="L1390" s="96"/>
      <c r="M1390" s="96"/>
      <c r="N1390" s="14"/>
      <c r="O1390" s="50"/>
      <c r="P1390" s="50"/>
      <c r="Q1390" s="50"/>
      <c r="R1390" s="50"/>
      <c r="S1390" s="50"/>
      <c r="T1390" s="50"/>
      <c r="U1390" s="50"/>
      <c r="V1390" s="50"/>
      <c r="W1390" s="14"/>
      <c r="X1390" s="50"/>
      <c r="Y1390" s="179"/>
      <c r="Z1390" s="50"/>
      <c r="AA1390" s="14"/>
    </row>
    <row r="1391">
      <c r="A1391" s="14"/>
      <c r="B1391" s="14"/>
      <c r="C1391" s="158"/>
      <c r="D1391" s="96"/>
      <c r="E1391" s="96"/>
      <c r="F1391" s="96"/>
      <c r="G1391" s="50"/>
      <c r="H1391" s="96"/>
      <c r="I1391" s="96"/>
      <c r="J1391" s="96"/>
      <c r="K1391" s="50"/>
      <c r="L1391" s="96"/>
      <c r="M1391" s="96"/>
      <c r="N1391" s="14"/>
      <c r="O1391" s="50"/>
      <c r="P1391" s="50"/>
      <c r="Q1391" s="50"/>
      <c r="R1391" s="50"/>
      <c r="S1391" s="50"/>
      <c r="T1391" s="50"/>
      <c r="U1391" s="50"/>
      <c r="V1391" s="50"/>
      <c r="W1391" s="14"/>
      <c r="X1391" s="50"/>
      <c r="Y1391" s="179"/>
      <c r="Z1391" s="50"/>
      <c r="AA1391" s="14"/>
    </row>
    <row r="1392">
      <c r="A1392" s="14"/>
      <c r="B1392" s="14"/>
      <c r="C1392" s="158"/>
      <c r="D1392" s="96"/>
      <c r="E1392" s="96"/>
      <c r="F1392" s="96"/>
      <c r="G1392" s="50"/>
      <c r="H1392" s="96"/>
      <c r="I1392" s="96"/>
      <c r="J1392" s="96"/>
      <c r="K1392" s="50"/>
      <c r="L1392" s="96"/>
      <c r="M1392" s="96"/>
      <c r="N1392" s="14"/>
      <c r="O1392" s="50"/>
      <c r="P1392" s="50"/>
      <c r="Q1392" s="50"/>
      <c r="R1392" s="50"/>
      <c r="S1392" s="50"/>
      <c r="T1392" s="50"/>
      <c r="U1392" s="50"/>
      <c r="V1392" s="50"/>
      <c r="W1392" s="14"/>
      <c r="X1392" s="50"/>
      <c r="Y1392" s="179"/>
      <c r="Z1392" s="50"/>
      <c r="AA1392" s="14"/>
    </row>
    <row r="1393">
      <c r="A1393" s="14"/>
      <c r="B1393" s="14"/>
      <c r="C1393" s="158"/>
      <c r="D1393" s="96"/>
      <c r="E1393" s="96"/>
      <c r="F1393" s="96"/>
      <c r="G1393" s="50"/>
      <c r="H1393" s="96"/>
      <c r="I1393" s="96"/>
      <c r="J1393" s="96"/>
      <c r="K1393" s="50"/>
      <c r="L1393" s="96"/>
      <c r="M1393" s="96"/>
      <c r="N1393" s="14"/>
      <c r="O1393" s="50"/>
      <c r="P1393" s="50"/>
      <c r="Q1393" s="50"/>
      <c r="R1393" s="50"/>
      <c r="S1393" s="50"/>
      <c r="T1393" s="50"/>
      <c r="U1393" s="50"/>
      <c r="V1393" s="50"/>
      <c r="W1393" s="14"/>
      <c r="X1393" s="50"/>
      <c r="Y1393" s="179"/>
      <c r="Z1393" s="50"/>
      <c r="AA1393" s="14"/>
    </row>
    <row r="1394">
      <c r="A1394" s="14"/>
      <c r="B1394" s="14"/>
      <c r="C1394" s="158"/>
      <c r="D1394" s="96"/>
      <c r="E1394" s="96"/>
      <c r="F1394" s="96"/>
      <c r="G1394" s="50"/>
      <c r="H1394" s="96"/>
      <c r="I1394" s="96"/>
      <c r="J1394" s="96"/>
      <c r="K1394" s="50"/>
      <c r="L1394" s="96"/>
      <c r="M1394" s="96"/>
      <c r="N1394" s="14"/>
      <c r="O1394" s="50"/>
      <c r="P1394" s="50"/>
      <c r="Q1394" s="50"/>
      <c r="R1394" s="50"/>
      <c r="S1394" s="50"/>
      <c r="T1394" s="50"/>
      <c r="U1394" s="50"/>
      <c r="V1394" s="50"/>
      <c r="W1394" s="14"/>
      <c r="X1394" s="50"/>
      <c r="Y1394" s="179"/>
      <c r="Z1394" s="50"/>
      <c r="AA1394" s="14"/>
    </row>
    <row r="1395">
      <c r="A1395" s="14"/>
      <c r="B1395" s="14"/>
      <c r="C1395" s="158"/>
      <c r="D1395" s="96"/>
      <c r="E1395" s="96"/>
      <c r="F1395" s="96"/>
      <c r="G1395" s="50"/>
      <c r="H1395" s="96"/>
      <c r="I1395" s="96"/>
      <c r="J1395" s="96"/>
      <c r="K1395" s="50"/>
      <c r="L1395" s="96"/>
      <c r="M1395" s="96"/>
      <c r="N1395" s="14"/>
      <c r="O1395" s="50"/>
      <c r="P1395" s="50"/>
      <c r="Q1395" s="50"/>
      <c r="R1395" s="50"/>
      <c r="S1395" s="50"/>
      <c r="T1395" s="50"/>
      <c r="U1395" s="50"/>
      <c r="V1395" s="50"/>
      <c r="W1395" s="14"/>
      <c r="X1395" s="50"/>
      <c r="Y1395" s="179"/>
      <c r="Z1395" s="50"/>
      <c r="AA1395" s="14"/>
    </row>
    <row r="1396">
      <c r="A1396" s="14"/>
      <c r="B1396" s="14"/>
      <c r="C1396" s="158"/>
      <c r="D1396" s="96"/>
      <c r="E1396" s="96"/>
      <c r="F1396" s="96"/>
      <c r="G1396" s="50"/>
      <c r="H1396" s="96"/>
      <c r="I1396" s="96"/>
      <c r="J1396" s="96"/>
      <c r="K1396" s="50"/>
      <c r="L1396" s="96"/>
      <c r="M1396" s="96"/>
      <c r="N1396" s="14"/>
      <c r="O1396" s="50"/>
      <c r="P1396" s="50"/>
      <c r="Q1396" s="50"/>
      <c r="R1396" s="50"/>
      <c r="S1396" s="50"/>
      <c r="T1396" s="50"/>
      <c r="U1396" s="50"/>
      <c r="V1396" s="50"/>
      <c r="W1396" s="14"/>
      <c r="X1396" s="50"/>
      <c r="Y1396" s="179"/>
      <c r="Z1396" s="50"/>
      <c r="AA1396" s="14"/>
    </row>
    <row r="1397">
      <c r="A1397" s="14"/>
      <c r="B1397" s="14"/>
      <c r="C1397" s="158"/>
      <c r="D1397" s="96"/>
      <c r="E1397" s="96"/>
      <c r="F1397" s="96"/>
      <c r="G1397" s="50"/>
      <c r="H1397" s="96"/>
      <c r="I1397" s="96"/>
      <c r="J1397" s="96"/>
      <c r="K1397" s="50"/>
      <c r="L1397" s="96"/>
      <c r="M1397" s="96"/>
      <c r="N1397" s="14"/>
      <c r="O1397" s="50"/>
      <c r="P1397" s="50"/>
      <c r="Q1397" s="50"/>
      <c r="R1397" s="50"/>
      <c r="S1397" s="50"/>
      <c r="T1397" s="50"/>
      <c r="U1397" s="50"/>
      <c r="V1397" s="50"/>
      <c r="W1397" s="14"/>
      <c r="X1397" s="50"/>
      <c r="Y1397" s="179"/>
      <c r="Z1397" s="50"/>
      <c r="AA1397" s="14"/>
    </row>
    <row r="1398">
      <c r="A1398" s="14"/>
      <c r="B1398" s="14"/>
      <c r="C1398" s="158"/>
      <c r="D1398" s="96"/>
      <c r="E1398" s="96"/>
      <c r="F1398" s="96"/>
      <c r="G1398" s="50"/>
      <c r="H1398" s="96"/>
      <c r="I1398" s="96"/>
      <c r="J1398" s="96"/>
      <c r="K1398" s="50"/>
      <c r="L1398" s="96"/>
      <c r="M1398" s="96"/>
      <c r="N1398" s="14"/>
      <c r="O1398" s="50"/>
      <c r="P1398" s="50"/>
      <c r="Q1398" s="50"/>
      <c r="R1398" s="50"/>
      <c r="S1398" s="50"/>
      <c r="T1398" s="50"/>
      <c r="U1398" s="50"/>
      <c r="V1398" s="50"/>
      <c r="W1398" s="14"/>
      <c r="X1398" s="50"/>
      <c r="Y1398" s="179"/>
      <c r="Z1398" s="50"/>
      <c r="AA1398" s="14"/>
    </row>
    <row r="1399">
      <c r="A1399" s="14"/>
      <c r="B1399" s="14"/>
      <c r="C1399" s="158"/>
      <c r="D1399" s="96"/>
      <c r="E1399" s="96"/>
      <c r="F1399" s="96"/>
      <c r="G1399" s="50"/>
      <c r="H1399" s="96"/>
      <c r="I1399" s="96"/>
      <c r="J1399" s="96"/>
      <c r="K1399" s="50"/>
      <c r="L1399" s="96"/>
      <c r="M1399" s="96"/>
      <c r="N1399" s="14"/>
      <c r="O1399" s="50"/>
      <c r="P1399" s="50"/>
      <c r="Q1399" s="50"/>
      <c r="R1399" s="50"/>
      <c r="S1399" s="50"/>
      <c r="T1399" s="50"/>
      <c r="U1399" s="50"/>
      <c r="V1399" s="50"/>
      <c r="W1399" s="14"/>
      <c r="X1399" s="50"/>
      <c r="Y1399" s="179"/>
      <c r="Z1399" s="50"/>
      <c r="AA1399" s="14"/>
    </row>
    <row r="1400">
      <c r="A1400" s="14"/>
      <c r="B1400" s="14"/>
      <c r="C1400" s="158"/>
      <c r="D1400" s="96"/>
      <c r="E1400" s="96"/>
      <c r="F1400" s="96"/>
      <c r="G1400" s="50"/>
      <c r="H1400" s="96"/>
      <c r="I1400" s="96"/>
      <c r="J1400" s="96"/>
      <c r="K1400" s="50"/>
      <c r="L1400" s="96"/>
      <c r="M1400" s="96"/>
      <c r="N1400" s="14"/>
      <c r="O1400" s="50"/>
      <c r="P1400" s="50"/>
      <c r="Q1400" s="50"/>
      <c r="R1400" s="50"/>
      <c r="S1400" s="50"/>
      <c r="T1400" s="50"/>
      <c r="U1400" s="50"/>
      <c r="V1400" s="50"/>
      <c r="W1400" s="14"/>
      <c r="X1400" s="50"/>
      <c r="Y1400" s="179"/>
      <c r="Z1400" s="50"/>
      <c r="AA1400" s="14"/>
    </row>
    <row r="1401">
      <c r="A1401" s="14"/>
      <c r="B1401" s="14"/>
      <c r="C1401" s="158"/>
      <c r="D1401" s="96"/>
      <c r="E1401" s="96"/>
      <c r="F1401" s="96"/>
      <c r="G1401" s="50"/>
      <c r="H1401" s="96"/>
      <c r="I1401" s="96"/>
      <c r="J1401" s="96"/>
      <c r="K1401" s="50"/>
      <c r="L1401" s="96"/>
      <c r="M1401" s="96"/>
      <c r="N1401" s="14"/>
      <c r="O1401" s="50"/>
      <c r="P1401" s="50"/>
      <c r="Q1401" s="50"/>
      <c r="R1401" s="50"/>
      <c r="S1401" s="50"/>
      <c r="T1401" s="50"/>
      <c r="U1401" s="50"/>
      <c r="V1401" s="50"/>
      <c r="W1401" s="14"/>
      <c r="X1401" s="50"/>
      <c r="Y1401" s="179"/>
      <c r="Z1401" s="50"/>
      <c r="AA1401" s="14"/>
    </row>
    <row r="1402">
      <c r="A1402" s="14"/>
      <c r="B1402" s="14"/>
      <c r="C1402" s="158"/>
      <c r="D1402" s="96"/>
      <c r="E1402" s="96"/>
      <c r="F1402" s="96"/>
      <c r="G1402" s="50"/>
      <c r="H1402" s="96"/>
      <c r="I1402" s="96"/>
      <c r="J1402" s="96"/>
      <c r="K1402" s="50"/>
      <c r="L1402" s="96"/>
      <c r="M1402" s="96"/>
      <c r="N1402" s="14"/>
      <c r="O1402" s="50"/>
      <c r="P1402" s="50"/>
      <c r="Q1402" s="50"/>
      <c r="R1402" s="50"/>
      <c r="S1402" s="50"/>
      <c r="T1402" s="50"/>
      <c r="U1402" s="50"/>
      <c r="V1402" s="50"/>
      <c r="W1402" s="14"/>
      <c r="X1402" s="50"/>
      <c r="Y1402" s="179"/>
      <c r="Z1402" s="50"/>
      <c r="AA1402" s="14"/>
    </row>
    <row r="1403">
      <c r="A1403" s="14"/>
      <c r="B1403" s="14"/>
      <c r="C1403" s="158"/>
      <c r="D1403" s="96"/>
      <c r="E1403" s="96"/>
      <c r="F1403" s="96"/>
      <c r="G1403" s="50"/>
      <c r="H1403" s="96"/>
      <c r="I1403" s="96"/>
      <c r="J1403" s="96"/>
      <c r="K1403" s="50"/>
      <c r="L1403" s="96"/>
      <c r="M1403" s="96"/>
      <c r="N1403" s="14"/>
      <c r="O1403" s="50"/>
      <c r="P1403" s="50"/>
      <c r="Q1403" s="50"/>
      <c r="R1403" s="50"/>
      <c r="S1403" s="50"/>
      <c r="T1403" s="50"/>
      <c r="U1403" s="50"/>
      <c r="V1403" s="50"/>
      <c r="W1403" s="14"/>
      <c r="X1403" s="50"/>
      <c r="Y1403" s="179"/>
      <c r="Z1403" s="50"/>
      <c r="AA1403" s="14"/>
    </row>
    <row r="1404">
      <c r="A1404" s="14"/>
      <c r="B1404" s="14"/>
      <c r="C1404" s="158"/>
      <c r="D1404" s="96"/>
      <c r="E1404" s="96"/>
      <c r="F1404" s="96"/>
      <c r="G1404" s="50"/>
      <c r="H1404" s="96"/>
      <c r="I1404" s="96"/>
      <c r="J1404" s="96"/>
      <c r="K1404" s="50"/>
      <c r="L1404" s="96"/>
      <c r="M1404" s="96"/>
      <c r="N1404" s="14"/>
      <c r="O1404" s="50"/>
      <c r="P1404" s="50"/>
      <c r="Q1404" s="50"/>
      <c r="R1404" s="50"/>
      <c r="S1404" s="50"/>
      <c r="T1404" s="50"/>
      <c r="U1404" s="50"/>
      <c r="V1404" s="50"/>
      <c r="W1404" s="14"/>
      <c r="X1404" s="50"/>
      <c r="Y1404" s="179"/>
      <c r="Z1404" s="50"/>
      <c r="AA1404" s="14"/>
    </row>
    <row r="1405">
      <c r="A1405" s="14"/>
      <c r="B1405" s="14"/>
      <c r="C1405" s="158"/>
      <c r="D1405" s="96"/>
      <c r="E1405" s="96"/>
      <c r="F1405" s="96"/>
      <c r="G1405" s="50"/>
      <c r="H1405" s="96"/>
      <c r="I1405" s="96"/>
      <c r="J1405" s="96"/>
      <c r="K1405" s="50"/>
      <c r="L1405" s="96"/>
      <c r="M1405" s="96"/>
      <c r="N1405" s="14"/>
      <c r="O1405" s="50"/>
      <c r="P1405" s="50"/>
      <c r="Q1405" s="50"/>
      <c r="R1405" s="50"/>
      <c r="S1405" s="50"/>
      <c r="T1405" s="50"/>
      <c r="U1405" s="50"/>
      <c r="V1405" s="50"/>
      <c r="W1405" s="14"/>
      <c r="X1405" s="50"/>
      <c r="Y1405" s="179"/>
      <c r="Z1405" s="50"/>
      <c r="AA1405" s="14"/>
    </row>
    <row r="1406">
      <c r="A1406" s="14"/>
      <c r="B1406" s="14"/>
      <c r="C1406" s="158"/>
      <c r="D1406" s="96"/>
      <c r="E1406" s="96"/>
      <c r="F1406" s="96"/>
      <c r="G1406" s="50"/>
      <c r="H1406" s="96"/>
      <c r="I1406" s="96"/>
      <c r="J1406" s="96"/>
      <c r="K1406" s="50"/>
      <c r="L1406" s="96"/>
      <c r="M1406" s="96"/>
      <c r="N1406" s="14"/>
      <c r="O1406" s="50"/>
      <c r="P1406" s="50"/>
      <c r="Q1406" s="50"/>
      <c r="R1406" s="50"/>
      <c r="S1406" s="50"/>
      <c r="T1406" s="50"/>
      <c r="U1406" s="50"/>
      <c r="V1406" s="50"/>
      <c r="W1406" s="14"/>
      <c r="X1406" s="50"/>
      <c r="Y1406" s="179"/>
      <c r="Z1406" s="50"/>
      <c r="AA1406" s="14"/>
    </row>
    <row r="1407">
      <c r="A1407" s="14"/>
      <c r="B1407" s="14"/>
      <c r="C1407" s="158"/>
      <c r="D1407" s="96"/>
      <c r="E1407" s="96"/>
      <c r="F1407" s="96"/>
      <c r="G1407" s="50"/>
      <c r="H1407" s="96"/>
      <c r="I1407" s="96"/>
      <c r="J1407" s="96"/>
      <c r="K1407" s="50"/>
      <c r="L1407" s="96"/>
      <c r="M1407" s="96"/>
      <c r="N1407" s="14"/>
      <c r="O1407" s="50"/>
      <c r="P1407" s="50"/>
      <c r="Q1407" s="50"/>
      <c r="R1407" s="50"/>
      <c r="S1407" s="50"/>
      <c r="T1407" s="50"/>
      <c r="U1407" s="50"/>
      <c r="V1407" s="50"/>
      <c r="W1407" s="14"/>
      <c r="X1407" s="50"/>
      <c r="Y1407" s="179"/>
      <c r="Z1407" s="50"/>
      <c r="AA1407" s="14"/>
    </row>
    <row r="1408">
      <c r="A1408" s="14"/>
      <c r="B1408" s="14"/>
      <c r="C1408" s="158"/>
      <c r="D1408" s="96"/>
      <c r="E1408" s="96"/>
      <c r="F1408" s="96"/>
      <c r="G1408" s="50"/>
      <c r="H1408" s="96"/>
      <c r="I1408" s="96"/>
      <c r="J1408" s="96"/>
      <c r="K1408" s="50"/>
      <c r="L1408" s="96"/>
      <c r="M1408" s="96"/>
      <c r="N1408" s="14"/>
      <c r="O1408" s="50"/>
      <c r="P1408" s="50"/>
      <c r="Q1408" s="50"/>
      <c r="R1408" s="50"/>
      <c r="S1408" s="50"/>
      <c r="T1408" s="50"/>
      <c r="U1408" s="50"/>
      <c r="V1408" s="50"/>
      <c r="W1408" s="14"/>
      <c r="X1408" s="50"/>
      <c r="Y1408" s="179"/>
      <c r="Z1408" s="50"/>
      <c r="AA1408" s="14"/>
    </row>
    <row r="1409">
      <c r="A1409" s="14"/>
      <c r="B1409" s="14"/>
      <c r="C1409" s="158"/>
      <c r="D1409" s="96"/>
      <c r="E1409" s="96"/>
      <c r="F1409" s="96"/>
      <c r="G1409" s="50"/>
      <c r="H1409" s="96"/>
      <c r="I1409" s="96"/>
      <c r="J1409" s="96"/>
      <c r="K1409" s="50"/>
      <c r="L1409" s="96"/>
      <c r="M1409" s="96"/>
      <c r="N1409" s="14"/>
      <c r="O1409" s="50"/>
      <c r="P1409" s="50"/>
      <c r="Q1409" s="50"/>
      <c r="R1409" s="50"/>
      <c r="S1409" s="50"/>
      <c r="T1409" s="50"/>
      <c r="U1409" s="50"/>
      <c r="V1409" s="50"/>
      <c r="W1409" s="14"/>
      <c r="X1409" s="50"/>
      <c r="Y1409" s="179"/>
      <c r="Z1409" s="50"/>
      <c r="AA1409" s="14"/>
    </row>
    <row r="1410">
      <c r="A1410" s="14"/>
      <c r="B1410" s="14"/>
      <c r="C1410" s="158"/>
      <c r="D1410" s="96"/>
      <c r="E1410" s="96"/>
      <c r="F1410" s="96"/>
      <c r="G1410" s="50"/>
      <c r="H1410" s="96"/>
      <c r="I1410" s="96"/>
      <c r="J1410" s="96"/>
      <c r="K1410" s="50"/>
      <c r="L1410" s="96"/>
      <c r="M1410" s="96"/>
      <c r="N1410" s="14"/>
      <c r="O1410" s="50"/>
      <c r="P1410" s="50"/>
      <c r="Q1410" s="50"/>
      <c r="R1410" s="50"/>
      <c r="S1410" s="50"/>
      <c r="T1410" s="50"/>
      <c r="U1410" s="50"/>
      <c r="V1410" s="50"/>
      <c r="W1410" s="14"/>
      <c r="X1410" s="50"/>
      <c r="Y1410" s="179"/>
      <c r="Z1410" s="50"/>
      <c r="AA1410" s="14"/>
    </row>
    <row r="1411">
      <c r="A1411" s="14"/>
      <c r="B1411" s="14"/>
      <c r="C1411" s="158"/>
      <c r="D1411" s="96"/>
      <c r="E1411" s="96"/>
      <c r="F1411" s="96"/>
      <c r="G1411" s="50"/>
      <c r="H1411" s="96"/>
      <c r="I1411" s="96"/>
      <c r="J1411" s="96"/>
      <c r="K1411" s="50"/>
      <c r="L1411" s="96"/>
      <c r="M1411" s="96"/>
      <c r="N1411" s="14"/>
      <c r="O1411" s="50"/>
      <c r="P1411" s="50"/>
      <c r="Q1411" s="50"/>
      <c r="R1411" s="50"/>
      <c r="S1411" s="50"/>
      <c r="T1411" s="50"/>
      <c r="U1411" s="50"/>
      <c r="V1411" s="50"/>
      <c r="W1411" s="14"/>
      <c r="X1411" s="50"/>
      <c r="Y1411" s="179"/>
      <c r="Z1411" s="50"/>
      <c r="AA1411" s="14"/>
    </row>
    <row r="1412">
      <c r="A1412" s="14"/>
      <c r="B1412" s="14"/>
      <c r="C1412" s="158"/>
      <c r="D1412" s="96"/>
      <c r="E1412" s="96"/>
      <c r="F1412" s="96"/>
      <c r="G1412" s="50"/>
      <c r="H1412" s="96"/>
      <c r="I1412" s="96"/>
      <c r="J1412" s="96"/>
      <c r="K1412" s="50"/>
      <c r="L1412" s="96"/>
      <c r="M1412" s="96"/>
      <c r="N1412" s="14"/>
      <c r="O1412" s="50"/>
      <c r="P1412" s="50"/>
      <c r="Q1412" s="50"/>
      <c r="R1412" s="50"/>
      <c r="S1412" s="50"/>
      <c r="T1412" s="50"/>
      <c r="U1412" s="50"/>
      <c r="V1412" s="50"/>
      <c r="W1412" s="14"/>
      <c r="X1412" s="50"/>
      <c r="Y1412" s="179"/>
      <c r="Z1412" s="50"/>
      <c r="AA1412" s="14"/>
    </row>
    <row r="1413">
      <c r="A1413" s="14"/>
      <c r="B1413" s="14"/>
      <c r="C1413" s="158"/>
      <c r="D1413" s="96"/>
      <c r="E1413" s="96"/>
      <c r="F1413" s="96"/>
      <c r="G1413" s="50"/>
      <c r="H1413" s="96"/>
      <c r="I1413" s="96"/>
      <c r="J1413" s="96"/>
      <c r="K1413" s="50"/>
      <c r="L1413" s="96"/>
      <c r="M1413" s="96"/>
      <c r="N1413" s="14"/>
      <c r="O1413" s="50"/>
      <c r="P1413" s="50"/>
      <c r="Q1413" s="50"/>
      <c r="R1413" s="50"/>
      <c r="S1413" s="50"/>
      <c r="T1413" s="50"/>
      <c r="U1413" s="50"/>
      <c r="V1413" s="50"/>
      <c r="W1413" s="14"/>
      <c r="X1413" s="50"/>
      <c r="Y1413" s="179"/>
      <c r="Z1413" s="50"/>
      <c r="AA1413" s="14"/>
    </row>
    <row r="1414">
      <c r="A1414" s="14"/>
      <c r="B1414" s="14"/>
      <c r="C1414" s="158"/>
      <c r="D1414" s="96"/>
      <c r="E1414" s="96"/>
      <c r="F1414" s="96"/>
      <c r="G1414" s="50"/>
      <c r="H1414" s="96"/>
      <c r="I1414" s="96"/>
      <c r="J1414" s="96"/>
      <c r="K1414" s="50"/>
      <c r="L1414" s="96"/>
      <c r="M1414" s="96"/>
      <c r="N1414" s="14"/>
      <c r="O1414" s="50"/>
      <c r="P1414" s="50"/>
      <c r="Q1414" s="50"/>
      <c r="R1414" s="50"/>
      <c r="S1414" s="50"/>
      <c r="T1414" s="50"/>
      <c r="U1414" s="50"/>
      <c r="V1414" s="50"/>
      <c r="W1414" s="14"/>
      <c r="X1414" s="50"/>
      <c r="Y1414" s="179"/>
      <c r="Z1414" s="50"/>
      <c r="AA1414" s="14"/>
    </row>
    <row r="1415">
      <c r="A1415" s="14"/>
      <c r="B1415" s="14"/>
      <c r="C1415" s="158"/>
      <c r="D1415" s="96"/>
      <c r="E1415" s="96"/>
      <c r="F1415" s="96"/>
      <c r="G1415" s="50"/>
      <c r="H1415" s="96"/>
      <c r="I1415" s="96"/>
      <c r="J1415" s="96"/>
      <c r="K1415" s="50"/>
      <c r="L1415" s="96"/>
      <c r="M1415" s="96"/>
      <c r="N1415" s="14"/>
      <c r="O1415" s="50"/>
      <c r="P1415" s="50"/>
      <c r="Q1415" s="50"/>
      <c r="R1415" s="50"/>
      <c r="S1415" s="50"/>
      <c r="T1415" s="50"/>
      <c r="U1415" s="50"/>
      <c r="V1415" s="50"/>
      <c r="W1415" s="14"/>
      <c r="X1415" s="50"/>
      <c r="Y1415" s="179"/>
      <c r="Z1415" s="50"/>
      <c r="AA1415" s="14"/>
    </row>
    <row r="1416">
      <c r="A1416" s="14"/>
      <c r="B1416" s="14"/>
      <c r="C1416" s="158"/>
      <c r="D1416" s="96"/>
      <c r="E1416" s="96"/>
      <c r="F1416" s="96"/>
      <c r="G1416" s="50"/>
      <c r="H1416" s="96"/>
      <c r="I1416" s="96"/>
      <c r="J1416" s="96"/>
      <c r="K1416" s="50"/>
      <c r="L1416" s="96"/>
      <c r="M1416" s="96"/>
      <c r="N1416" s="14"/>
      <c r="O1416" s="50"/>
      <c r="P1416" s="50"/>
      <c r="Q1416" s="50"/>
      <c r="R1416" s="50"/>
      <c r="S1416" s="50"/>
      <c r="T1416" s="50"/>
      <c r="U1416" s="50"/>
      <c r="V1416" s="50"/>
      <c r="W1416" s="14"/>
      <c r="X1416" s="50"/>
      <c r="Y1416" s="179"/>
      <c r="Z1416" s="50"/>
      <c r="AA1416" s="14"/>
    </row>
    <row r="1417">
      <c r="A1417" s="14"/>
      <c r="B1417" s="14"/>
      <c r="C1417" s="158"/>
      <c r="D1417" s="96"/>
      <c r="E1417" s="96"/>
      <c r="F1417" s="96"/>
      <c r="G1417" s="50"/>
      <c r="H1417" s="96"/>
      <c r="I1417" s="96"/>
      <c r="J1417" s="96"/>
      <c r="K1417" s="50"/>
      <c r="L1417" s="96"/>
      <c r="M1417" s="96"/>
      <c r="N1417" s="14"/>
      <c r="O1417" s="50"/>
      <c r="P1417" s="50"/>
      <c r="Q1417" s="50"/>
      <c r="R1417" s="50"/>
      <c r="S1417" s="50"/>
      <c r="T1417" s="50"/>
      <c r="U1417" s="50"/>
      <c r="V1417" s="50"/>
      <c r="W1417" s="14"/>
      <c r="X1417" s="50"/>
      <c r="Y1417" s="179"/>
      <c r="Z1417" s="50"/>
      <c r="AA1417" s="14"/>
    </row>
    <row r="1418">
      <c r="A1418" s="14"/>
      <c r="B1418" s="14"/>
      <c r="C1418" s="158"/>
      <c r="D1418" s="96"/>
      <c r="E1418" s="96"/>
      <c r="F1418" s="96"/>
      <c r="G1418" s="50"/>
      <c r="H1418" s="96"/>
      <c r="I1418" s="96"/>
      <c r="J1418" s="96"/>
      <c r="K1418" s="50"/>
      <c r="L1418" s="96"/>
      <c r="M1418" s="96"/>
      <c r="N1418" s="14"/>
      <c r="O1418" s="50"/>
      <c r="P1418" s="50"/>
      <c r="Q1418" s="50"/>
      <c r="R1418" s="50"/>
      <c r="S1418" s="50"/>
      <c r="T1418" s="50"/>
      <c r="U1418" s="50"/>
      <c r="V1418" s="50"/>
      <c r="W1418" s="14"/>
      <c r="X1418" s="50"/>
      <c r="Y1418" s="179"/>
      <c r="Z1418" s="50"/>
      <c r="AA1418" s="14"/>
    </row>
    <row r="1419">
      <c r="A1419" s="14"/>
      <c r="B1419" s="14"/>
      <c r="C1419" s="158"/>
      <c r="D1419" s="96"/>
      <c r="E1419" s="96"/>
      <c r="F1419" s="96"/>
      <c r="G1419" s="50"/>
      <c r="H1419" s="96"/>
      <c r="I1419" s="96"/>
      <c r="J1419" s="96"/>
      <c r="K1419" s="50"/>
      <c r="L1419" s="96"/>
      <c r="M1419" s="96"/>
      <c r="N1419" s="14"/>
      <c r="O1419" s="50"/>
      <c r="P1419" s="50"/>
      <c r="Q1419" s="50"/>
      <c r="R1419" s="50"/>
      <c r="S1419" s="50"/>
      <c r="T1419" s="50"/>
      <c r="U1419" s="50"/>
      <c r="V1419" s="50"/>
      <c r="W1419" s="14"/>
      <c r="X1419" s="50"/>
      <c r="Y1419" s="179"/>
      <c r="Z1419" s="50"/>
      <c r="AA1419" s="14"/>
    </row>
    <row r="1420">
      <c r="A1420" s="14"/>
      <c r="B1420" s="14"/>
      <c r="C1420" s="158"/>
      <c r="D1420" s="96"/>
      <c r="E1420" s="96"/>
      <c r="F1420" s="96"/>
      <c r="G1420" s="50"/>
      <c r="H1420" s="96"/>
      <c r="I1420" s="96"/>
      <c r="J1420" s="96"/>
      <c r="K1420" s="50"/>
      <c r="L1420" s="96"/>
      <c r="M1420" s="96"/>
      <c r="N1420" s="14"/>
      <c r="O1420" s="50"/>
      <c r="P1420" s="50"/>
      <c r="Q1420" s="50"/>
      <c r="R1420" s="50"/>
      <c r="S1420" s="50"/>
      <c r="T1420" s="50"/>
      <c r="U1420" s="50"/>
      <c r="V1420" s="50"/>
      <c r="W1420" s="14"/>
      <c r="X1420" s="50"/>
      <c r="Y1420" s="179"/>
      <c r="Z1420" s="50"/>
      <c r="AA1420" s="14"/>
    </row>
    <row r="1421">
      <c r="A1421" s="14"/>
      <c r="B1421" s="14"/>
      <c r="C1421" s="158"/>
      <c r="D1421" s="96"/>
      <c r="E1421" s="96"/>
      <c r="F1421" s="96"/>
      <c r="G1421" s="50"/>
      <c r="H1421" s="96"/>
      <c r="I1421" s="96"/>
      <c r="J1421" s="96"/>
      <c r="K1421" s="50"/>
      <c r="L1421" s="96"/>
      <c r="M1421" s="96"/>
      <c r="N1421" s="14"/>
      <c r="O1421" s="50"/>
      <c r="P1421" s="50"/>
      <c r="Q1421" s="50"/>
      <c r="R1421" s="50"/>
      <c r="S1421" s="50"/>
      <c r="T1421" s="50"/>
      <c r="U1421" s="50"/>
      <c r="V1421" s="50"/>
      <c r="W1421" s="14"/>
      <c r="X1421" s="50"/>
      <c r="Y1421" s="179"/>
      <c r="Z1421" s="50"/>
      <c r="AA1421" s="14"/>
    </row>
    <row r="1422">
      <c r="A1422" s="14"/>
      <c r="B1422" s="14"/>
      <c r="C1422" s="158"/>
      <c r="D1422" s="96"/>
      <c r="E1422" s="96"/>
      <c r="F1422" s="96"/>
      <c r="G1422" s="50"/>
      <c r="H1422" s="96"/>
      <c r="I1422" s="96"/>
      <c r="J1422" s="96"/>
      <c r="K1422" s="50"/>
      <c r="L1422" s="96"/>
      <c r="M1422" s="96"/>
      <c r="N1422" s="14"/>
      <c r="O1422" s="50"/>
      <c r="P1422" s="50"/>
      <c r="Q1422" s="50"/>
      <c r="R1422" s="50"/>
      <c r="S1422" s="50"/>
      <c r="T1422" s="50"/>
      <c r="U1422" s="50"/>
      <c r="V1422" s="50"/>
      <c r="W1422" s="14"/>
      <c r="X1422" s="50"/>
      <c r="Y1422" s="179"/>
      <c r="Z1422" s="50"/>
      <c r="AA1422" s="14"/>
    </row>
    <row r="1423">
      <c r="A1423" s="14"/>
      <c r="B1423" s="14"/>
      <c r="C1423" s="158"/>
      <c r="D1423" s="96"/>
      <c r="E1423" s="96"/>
      <c r="F1423" s="96"/>
      <c r="G1423" s="50"/>
      <c r="H1423" s="96"/>
      <c r="I1423" s="96"/>
      <c r="J1423" s="96"/>
      <c r="K1423" s="50"/>
      <c r="L1423" s="96"/>
      <c r="M1423" s="96"/>
      <c r="N1423" s="14"/>
      <c r="O1423" s="50"/>
      <c r="P1423" s="50"/>
      <c r="Q1423" s="50"/>
      <c r="R1423" s="50"/>
      <c r="S1423" s="50"/>
      <c r="T1423" s="50"/>
      <c r="U1423" s="50"/>
      <c r="V1423" s="50"/>
      <c r="W1423" s="14"/>
      <c r="X1423" s="50"/>
      <c r="Y1423" s="179"/>
      <c r="Z1423" s="50"/>
      <c r="AA1423" s="14"/>
    </row>
    <row r="1424">
      <c r="A1424" s="14"/>
      <c r="B1424" s="14"/>
      <c r="C1424" s="158"/>
      <c r="D1424" s="96"/>
      <c r="E1424" s="96"/>
      <c r="F1424" s="96"/>
      <c r="G1424" s="50"/>
      <c r="H1424" s="96"/>
      <c r="I1424" s="96"/>
      <c r="J1424" s="96"/>
      <c r="K1424" s="50"/>
      <c r="L1424" s="96"/>
      <c r="M1424" s="96"/>
      <c r="N1424" s="14"/>
      <c r="O1424" s="50"/>
      <c r="P1424" s="50"/>
      <c r="Q1424" s="50"/>
      <c r="R1424" s="50"/>
      <c r="S1424" s="50"/>
      <c r="T1424" s="50"/>
      <c r="U1424" s="50"/>
      <c r="V1424" s="50"/>
      <c r="W1424" s="14"/>
      <c r="X1424" s="50"/>
      <c r="Y1424" s="179"/>
      <c r="Z1424" s="50"/>
      <c r="AA1424" s="14"/>
    </row>
    <row r="1425">
      <c r="A1425" s="14"/>
      <c r="B1425" s="14"/>
      <c r="C1425" s="158"/>
      <c r="D1425" s="96"/>
      <c r="E1425" s="96"/>
      <c r="F1425" s="96"/>
      <c r="G1425" s="50"/>
      <c r="H1425" s="96"/>
      <c r="I1425" s="96"/>
      <c r="J1425" s="96"/>
      <c r="K1425" s="50"/>
      <c r="L1425" s="96"/>
      <c r="M1425" s="96"/>
      <c r="N1425" s="14"/>
      <c r="O1425" s="50"/>
      <c r="P1425" s="50"/>
      <c r="Q1425" s="50"/>
      <c r="R1425" s="50"/>
      <c r="S1425" s="50"/>
      <c r="T1425" s="50"/>
      <c r="U1425" s="50"/>
      <c r="V1425" s="50"/>
      <c r="W1425" s="14"/>
      <c r="X1425" s="50"/>
      <c r="Y1425" s="179"/>
      <c r="Z1425" s="50"/>
      <c r="AA1425" s="14"/>
    </row>
    <row r="1426">
      <c r="A1426" s="14"/>
      <c r="B1426" s="14"/>
      <c r="C1426" s="158"/>
      <c r="D1426" s="96"/>
      <c r="E1426" s="96"/>
      <c r="F1426" s="96"/>
      <c r="G1426" s="50"/>
      <c r="H1426" s="96"/>
      <c r="I1426" s="96"/>
      <c r="J1426" s="96"/>
      <c r="K1426" s="50"/>
      <c r="L1426" s="96"/>
      <c r="M1426" s="96"/>
      <c r="N1426" s="14"/>
      <c r="O1426" s="50"/>
      <c r="P1426" s="50"/>
      <c r="Q1426" s="50"/>
      <c r="R1426" s="50"/>
      <c r="S1426" s="50"/>
      <c r="T1426" s="50"/>
      <c r="U1426" s="50"/>
      <c r="V1426" s="50"/>
      <c r="W1426" s="14"/>
      <c r="X1426" s="50"/>
      <c r="Y1426" s="179"/>
      <c r="Z1426" s="50"/>
      <c r="AA1426" s="14"/>
    </row>
    <row r="1427">
      <c r="A1427" s="14"/>
      <c r="B1427" s="14"/>
      <c r="C1427" s="158"/>
      <c r="D1427" s="96"/>
      <c r="E1427" s="96"/>
      <c r="F1427" s="96"/>
      <c r="G1427" s="50"/>
      <c r="H1427" s="96"/>
      <c r="I1427" s="96"/>
      <c r="J1427" s="96"/>
      <c r="K1427" s="50"/>
      <c r="L1427" s="96"/>
      <c r="M1427" s="96"/>
      <c r="N1427" s="14"/>
      <c r="O1427" s="50"/>
      <c r="P1427" s="50"/>
      <c r="Q1427" s="50"/>
      <c r="R1427" s="50"/>
      <c r="S1427" s="50"/>
      <c r="T1427" s="50"/>
      <c r="U1427" s="50"/>
      <c r="V1427" s="50"/>
      <c r="W1427" s="14"/>
      <c r="X1427" s="50"/>
      <c r="Y1427" s="179"/>
      <c r="Z1427" s="50"/>
      <c r="AA1427" s="14"/>
    </row>
    <row r="1428">
      <c r="A1428" s="14"/>
      <c r="B1428" s="14"/>
      <c r="C1428" s="158"/>
      <c r="D1428" s="96"/>
      <c r="E1428" s="96"/>
      <c r="F1428" s="96"/>
      <c r="G1428" s="50"/>
      <c r="H1428" s="96"/>
      <c r="I1428" s="96"/>
      <c r="J1428" s="96"/>
      <c r="K1428" s="50"/>
      <c r="L1428" s="96"/>
      <c r="M1428" s="96"/>
      <c r="N1428" s="14"/>
      <c r="O1428" s="50"/>
      <c r="P1428" s="50"/>
      <c r="Q1428" s="50"/>
      <c r="R1428" s="50"/>
      <c r="S1428" s="50"/>
      <c r="T1428" s="50"/>
      <c r="U1428" s="50"/>
      <c r="V1428" s="50"/>
      <c r="W1428" s="14"/>
      <c r="X1428" s="50"/>
      <c r="Y1428" s="179"/>
      <c r="Z1428" s="50"/>
      <c r="AA1428" s="14"/>
    </row>
    <row r="1429">
      <c r="A1429" s="14"/>
      <c r="B1429" s="14"/>
      <c r="C1429" s="158"/>
      <c r="D1429" s="96"/>
      <c r="E1429" s="96"/>
      <c r="F1429" s="96"/>
      <c r="G1429" s="50"/>
      <c r="H1429" s="96"/>
      <c r="I1429" s="96"/>
      <c r="J1429" s="96"/>
      <c r="K1429" s="50"/>
      <c r="L1429" s="96"/>
      <c r="M1429" s="96"/>
      <c r="N1429" s="14"/>
      <c r="O1429" s="50"/>
      <c r="P1429" s="50"/>
      <c r="Q1429" s="50"/>
      <c r="R1429" s="50"/>
      <c r="S1429" s="50"/>
      <c r="T1429" s="50"/>
      <c r="U1429" s="50"/>
      <c r="V1429" s="50"/>
      <c r="W1429" s="14"/>
      <c r="X1429" s="50"/>
      <c r="Y1429" s="179"/>
      <c r="Z1429" s="50"/>
      <c r="AA1429" s="14"/>
    </row>
    <row r="1430">
      <c r="A1430" s="14"/>
      <c r="B1430" s="14"/>
      <c r="C1430" s="158"/>
      <c r="D1430" s="96"/>
      <c r="E1430" s="96"/>
      <c r="F1430" s="96"/>
      <c r="G1430" s="50"/>
      <c r="H1430" s="96"/>
      <c r="I1430" s="96"/>
      <c r="J1430" s="96"/>
      <c r="K1430" s="50"/>
      <c r="L1430" s="96"/>
      <c r="M1430" s="96"/>
      <c r="N1430" s="14"/>
      <c r="O1430" s="50"/>
      <c r="P1430" s="50"/>
      <c r="Q1430" s="50"/>
      <c r="R1430" s="50"/>
      <c r="S1430" s="50"/>
      <c r="T1430" s="50"/>
      <c r="U1430" s="50"/>
      <c r="V1430" s="50"/>
      <c r="W1430" s="14"/>
      <c r="X1430" s="50"/>
      <c r="Y1430" s="179"/>
      <c r="Z1430" s="50"/>
      <c r="AA1430" s="14"/>
    </row>
    <row r="1431">
      <c r="A1431" s="14"/>
      <c r="B1431" s="14"/>
      <c r="C1431" s="158"/>
      <c r="D1431" s="96"/>
      <c r="E1431" s="96"/>
      <c r="F1431" s="96"/>
      <c r="G1431" s="50"/>
      <c r="H1431" s="96"/>
      <c r="I1431" s="96"/>
      <c r="J1431" s="96"/>
      <c r="K1431" s="50"/>
      <c r="L1431" s="96"/>
      <c r="M1431" s="96"/>
      <c r="N1431" s="14"/>
      <c r="O1431" s="50"/>
      <c r="P1431" s="50"/>
      <c r="Q1431" s="50"/>
      <c r="R1431" s="50"/>
      <c r="S1431" s="50"/>
      <c r="T1431" s="50"/>
      <c r="U1431" s="50"/>
      <c r="V1431" s="50"/>
      <c r="W1431" s="14"/>
      <c r="X1431" s="50"/>
      <c r="Y1431" s="179"/>
      <c r="Z1431" s="50"/>
      <c r="AA1431" s="14"/>
    </row>
    <row r="1432">
      <c r="A1432" s="14"/>
      <c r="B1432" s="14"/>
      <c r="C1432" s="158"/>
      <c r="D1432" s="96"/>
      <c r="E1432" s="96"/>
      <c r="F1432" s="96"/>
      <c r="G1432" s="50"/>
      <c r="H1432" s="96"/>
      <c r="I1432" s="96"/>
      <c r="J1432" s="96"/>
      <c r="K1432" s="50"/>
      <c r="L1432" s="96"/>
      <c r="M1432" s="96"/>
      <c r="N1432" s="14"/>
      <c r="O1432" s="50"/>
      <c r="P1432" s="50"/>
      <c r="Q1432" s="50"/>
      <c r="R1432" s="50"/>
      <c r="S1432" s="50"/>
      <c r="T1432" s="50"/>
      <c r="U1432" s="50"/>
      <c r="V1432" s="50"/>
      <c r="W1432" s="14"/>
      <c r="X1432" s="50"/>
      <c r="Y1432" s="179"/>
      <c r="Z1432" s="50"/>
      <c r="AA1432" s="14"/>
    </row>
    <row r="1433">
      <c r="A1433" s="14"/>
      <c r="B1433" s="14"/>
      <c r="C1433" s="158"/>
      <c r="D1433" s="96"/>
      <c r="E1433" s="96"/>
      <c r="F1433" s="96"/>
      <c r="G1433" s="50"/>
      <c r="H1433" s="96"/>
      <c r="I1433" s="96"/>
      <c r="J1433" s="96"/>
      <c r="K1433" s="50"/>
      <c r="L1433" s="96"/>
      <c r="M1433" s="96"/>
      <c r="N1433" s="14"/>
      <c r="O1433" s="50"/>
      <c r="P1433" s="50"/>
      <c r="Q1433" s="50"/>
      <c r="R1433" s="50"/>
      <c r="S1433" s="50"/>
      <c r="T1433" s="50"/>
      <c r="U1433" s="50"/>
      <c r="V1433" s="50"/>
      <c r="W1433" s="14"/>
      <c r="X1433" s="50"/>
      <c r="Y1433" s="179"/>
      <c r="Z1433" s="50"/>
      <c r="AA1433" s="14"/>
    </row>
    <row r="1434">
      <c r="A1434" s="14"/>
      <c r="B1434" s="14"/>
      <c r="C1434" s="158"/>
      <c r="D1434" s="96"/>
      <c r="E1434" s="96"/>
      <c r="F1434" s="96"/>
      <c r="G1434" s="50"/>
      <c r="H1434" s="96"/>
      <c r="I1434" s="96"/>
      <c r="J1434" s="96"/>
      <c r="K1434" s="50"/>
      <c r="L1434" s="96"/>
      <c r="M1434" s="96"/>
      <c r="N1434" s="14"/>
      <c r="O1434" s="50"/>
      <c r="P1434" s="50"/>
      <c r="Q1434" s="50"/>
      <c r="R1434" s="50"/>
      <c r="S1434" s="50"/>
      <c r="T1434" s="50"/>
      <c r="U1434" s="50"/>
      <c r="V1434" s="50"/>
      <c r="W1434" s="14"/>
      <c r="X1434" s="50"/>
      <c r="Y1434" s="179"/>
      <c r="Z1434" s="50"/>
      <c r="AA1434" s="14"/>
    </row>
    <row r="1435">
      <c r="A1435" s="14"/>
      <c r="B1435" s="14"/>
      <c r="C1435" s="158"/>
      <c r="D1435" s="96"/>
      <c r="E1435" s="96"/>
      <c r="F1435" s="96"/>
      <c r="G1435" s="50"/>
      <c r="H1435" s="96"/>
      <c r="I1435" s="96"/>
      <c r="J1435" s="96"/>
      <c r="K1435" s="50"/>
      <c r="L1435" s="96"/>
      <c r="M1435" s="96"/>
      <c r="N1435" s="14"/>
      <c r="O1435" s="50"/>
      <c r="P1435" s="50"/>
      <c r="Q1435" s="50"/>
      <c r="R1435" s="50"/>
      <c r="S1435" s="50"/>
      <c r="T1435" s="50"/>
      <c r="U1435" s="50"/>
      <c r="V1435" s="50"/>
      <c r="W1435" s="14"/>
      <c r="X1435" s="50"/>
      <c r="Y1435" s="179"/>
      <c r="Z1435" s="50"/>
      <c r="AA1435" s="14"/>
    </row>
    <row r="1436">
      <c r="A1436" s="14"/>
      <c r="B1436" s="14"/>
      <c r="C1436" s="158"/>
      <c r="D1436" s="96"/>
      <c r="E1436" s="96"/>
      <c r="F1436" s="96"/>
      <c r="G1436" s="50"/>
      <c r="H1436" s="96"/>
      <c r="I1436" s="96"/>
      <c r="J1436" s="96"/>
      <c r="K1436" s="50"/>
      <c r="L1436" s="96"/>
      <c r="M1436" s="96"/>
      <c r="N1436" s="14"/>
      <c r="O1436" s="50"/>
      <c r="P1436" s="50"/>
      <c r="Q1436" s="50"/>
      <c r="R1436" s="50"/>
      <c r="S1436" s="50"/>
      <c r="T1436" s="50"/>
      <c r="U1436" s="50"/>
      <c r="V1436" s="50"/>
      <c r="W1436" s="14"/>
      <c r="X1436" s="50"/>
      <c r="Y1436" s="179"/>
      <c r="Z1436" s="50"/>
      <c r="AA1436" s="14"/>
    </row>
    <row r="1437">
      <c r="A1437" s="14"/>
      <c r="B1437" s="14"/>
      <c r="C1437" s="158"/>
      <c r="D1437" s="96"/>
      <c r="E1437" s="96"/>
      <c r="F1437" s="96"/>
      <c r="G1437" s="50"/>
      <c r="H1437" s="96"/>
      <c r="I1437" s="96"/>
      <c r="J1437" s="96"/>
      <c r="K1437" s="50"/>
      <c r="L1437" s="96"/>
      <c r="M1437" s="96"/>
      <c r="N1437" s="14"/>
      <c r="O1437" s="50"/>
      <c r="P1437" s="50"/>
      <c r="Q1437" s="50"/>
      <c r="R1437" s="50"/>
      <c r="S1437" s="50"/>
      <c r="T1437" s="50"/>
      <c r="U1437" s="50"/>
      <c r="V1437" s="50"/>
      <c r="W1437" s="14"/>
      <c r="X1437" s="50"/>
      <c r="Y1437" s="179"/>
      <c r="Z1437" s="50"/>
      <c r="AA1437" s="14"/>
    </row>
    <row r="1438">
      <c r="A1438" s="14"/>
      <c r="B1438" s="14"/>
      <c r="C1438" s="158"/>
      <c r="D1438" s="96"/>
      <c r="E1438" s="96"/>
      <c r="F1438" s="96"/>
      <c r="G1438" s="50"/>
      <c r="H1438" s="96"/>
      <c r="I1438" s="96"/>
      <c r="J1438" s="96"/>
      <c r="K1438" s="50"/>
      <c r="L1438" s="96"/>
      <c r="M1438" s="96"/>
      <c r="N1438" s="14"/>
      <c r="O1438" s="50"/>
      <c r="P1438" s="50"/>
      <c r="Q1438" s="50"/>
      <c r="R1438" s="50"/>
      <c r="S1438" s="50"/>
      <c r="T1438" s="50"/>
      <c r="U1438" s="50"/>
      <c r="V1438" s="50"/>
      <c r="W1438" s="14"/>
      <c r="X1438" s="50"/>
      <c r="Y1438" s="179"/>
      <c r="Z1438" s="50"/>
      <c r="AA1438" s="14"/>
    </row>
    <row r="1439">
      <c r="A1439" s="14"/>
      <c r="B1439" s="14"/>
      <c r="C1439" s="158"/>
      <c r="D1439" s="96"/>
      <c r="E1439" s="96"/>
      <c r="F1439" s="96"/>
      <c r="G1439" s="50"/>
      <c r="H1439" s="96"/>
      <c r="I1439" s="96"/>
      <c r="J1439" s="96"/>
      <c r="K1439" s="50"/>
      <c r="L1439" s="96"/>
      <c r="M1439" s="96"/>
      <c r="N1439" s="14"/>
      <c r="O1439" s="50"/>
      <c r="P1439" s="50"/>
      <c r="Q1439" s="50"/>
      <c r="R1439" s="50"/>
      <c r="S1439" s="50"/>
      <c r="T1439" s="50"/>
      <c r="U1439" s="50"/>
      <c r="V1439" s="50"/>
      <c r="W1439" s="14"/>
      <c r="X1439" s="50"/>
      <c r="Y1439" s="179"/>
      <c r="Z1439" s="50"/>
      <c r="AA1439" s="14"/>
    </row>
    <row r="1440">
      <c r="A1440" s="14"/>
      <c r="B1440" s="14"/>
      <c r="C1440" s="158"/>
      <c r="D1440" s="96"/>
      <c r="E1440" s="96"/>
      <c r="F1440" s="96"/>
      <c r="G1440" s="50"/>
      <c r="H1440" s="96"/>
      <c r="I1440" s="96"/>
      <c r="J1440" s="96"/>
      <c r="K1440" s="50"/>
      <c r="L1440" s="96"/>
      <c r="M1440" s="96"/>
      <c r="N1440" s="14"/>
      <c r="O1440" s="50"/>
      <c r="P1440" s="50"/>
      <c r="Q1440" s="50"/>
      <c r="R1440" s="50"/>
      <c r="S1440" s="50"/>
      <c r="T1440" s="50"/>
      <c r="U1440" s="50"/>
      <c r="V1440" s="50"/>
      <c r="W1440" s="14"/>
      <c r="X1440" s="50"/>
      <c r="Y1440" s="179"/>
      <c r="Z1440" s="50"/>
      <c r="AA1440" s="14"/>
    </row>
    <row r="1441">
      <c r="A1441" s="14"/>
      <c r="B1441" s="14"/>
      <c r="C1441" s="158"/>
      <c r="D1441" s="96"/>
      <c r="E1441" s="96"/>
      <c r="F1441" s="96"/>
      <c r="G1441" s="50"/>
      <c r="H1441" s="96"/>
      <c r="I1441" s="96"/>
      <c r="J1441" s="96"/>
      <c r="K1441" s="50"/>
      <c r="L1441" s="96"/>
      <c r="M1441" s="96"/>
      <c r="N1441" s="14"/>
      <c r="O1441" s="50"/>
      <c r="P1441" s="50"/>
      <c r="Q1441" s="50"/>
      <c r="R1441" s="50"/>
      <c r="S1441" s="50"/>
      <c r="T1441" s="50"/>
      <c r="U1441" s="50"/>
      <c r="V1441" s="50"/>
      <c r="W1441" s="14"/>
      <c r="X1441" s="50"/>
      <c r="Y1441" s="179"/>
      <c r="Z1441" s="50"/>
      <c r="AA1441" s="14"/>
    </row>
    <row r="1442">
      <c r="A1442" s="14"/>
      <c r="B1442" s="14"/>
      <c r="C1442" s="158"/>
      <c r="D1442" s="96"/>
      <c r="E1442" s="96"/>
      <c r="F1442" s="96"/>
      <c r="G1442" s="50"/>
      <c r="H1442" s="96"/>
      <c r="I1442" s="96"/>
      <c r="J1442" s="96"/>
      <c r="K1442" s="50"/>
      <c r="L1442" s="96"/>
      <c r="M1442" s="96"/>
      <c r="N1442" s="14"/>
      <c r="O1442" s="50"/>
      <c r="P1442" s="50"/>
      <c r="Q1442" s="50"/>
      <c r="R1442" s="50"/>
      <c r="S1442" s="50"/>
      <c r="T1442" s="50"/>
      <c r="U1442" s="50"/>
      <c r="V1442" s="50"/>
      <c r="W1442" s="14"/>
      <c r="X1442" s="50"/>
      <c r="Y1442" s="179"/>
      <c r="Z1442" s="50"/>
      <c r="AA1442" s="14"/>
    </row>
    <row r="1443">
      <c r="A1443" s="14"/>
      <c r="B1443" s="14"/>
      <c r="C1443" s="158"/>
      <c r="D1443" s="96"/>
      <c r="E1443" s="96"/>
      <c r="F1443" s="96"/>
      <c r="G1443" s="50"/>
      <c r="H1443" s="96"/>
      <c r="I1443" s="96"/>
      <c r="J1443" s="96"/>
      <c r="K1443" s="50"/>
      <c r="L1443" s="96"/>
      <c r="M1443" s="96"/>
      <c r="N1443" s="14"/>
      <c r="O1443" s="50"/>
      <c r="P1443" s="50"/>
      <c r="Q1443" s="50"/>
      <c r="R1443" s="50"/>
      <c r="S1443" s="50"/>
      <c r="T1443" s="50"/>
      <c r="U1443" s="50"/>
      <c r="V1443" s="50"/>
      <c r="W1443" s="14"/>
      <c r="X1443" s="50"/>
      <c r="Y1443" s="179"/>
      <c r="Z1443" s="50"/>
      <c r="AA1443" s="14"/>
    </row>
    <row r="1444">
      <c r="A1444" s="14"/>
      <c r="B1444" s="14"/>
      <c r="C1444" s="158"/>
      <c r="D1444" s="96"/>
      <c r="E1444" s="96"/>
      <c r="F1444" s="96"/>
      <c r="G1444" s="50"/>
      <c r="H1444" s="96"/>
      <c r="I1444" s="96"/>
      <c r="J1444" s="96"/>
      <c r="K1444" s="50"/>
      <c r="L1444" s="96"/>
      <c r="M1444" s="96"/>
      <c r="N1444" s="14"/>
      <c r="O1444" s="50"/>
      <c r="P1444" s="50"/>
      <c r="Q1444" s="50"/>
      <c r="R1444" s="50"/>
      <c r="S1444" s="50"/>
      <c r="T1444" s="50"/>
      <c r="U1444" s="50"/>
      <c r="V1444" s="50"/>
      <c r="W1444" s="14"/>
      <c r="X1444" s="50"/>
      <c r="Y1444" s="179"/>
      <c r="Z1444" s="50"/>
      <c r="AA1444" s="14"/>
    </row>
    <row r="1445">
      <c r="A1445" s="14"/>
      <c r="B1445" s="14"/>
      <c r="C1445" s="158"/>
      <c r="D1445" s="96"/>
      <c r="E1445" s="96"/>
      <c r="F1445" s="96"/>
      <c r="G1445" s="50"/>
      <c r="H1445" s="96"/>
      <c r="I1445" s="96"/>
      <c r="J1445" s="96"/>
      <c r="K1445" s="50"/>
      <c r="L1445" s="96"/>
      <c r="M1445" s="96"/>
      <c r="N1445" s="14"/>
      <c r="O1445" s="50"/>
      <c r="P1445" s="50"/>
      <c r="Q1445" s="50"/>
      <c r="R1445" s="50"/>
      <c r="S1445" s="50"/>
      <c r="T1445" s="50"/>
      <c r="U1445" s="50"/>
      <c r="V1445" s="50"/>
      <c r="W1445" s="14"/>
      <c r="X1445" s="50"/>
      <c r="Y1445" s="179"/>
      <c r="Z1445" s="50"/>
      <c r="AA1445" s="14"/>
    </row>
    <row r="1446">
      <c r="A1446" s="14"/>
      <c r="B1446" s="14"/>
      <c r="C1446" s="158"/>
      <c r="D1446" s="96"/>
      <c r="E1446" s="96"/>
      <c r="F1446" s="96"/>
      <c r="G1446" s="50"/>
      <c r="H1446" s="96"/>
      <c r="I1446" s="96"/>
      <c r="J1446" s="96"/>
      <c r="K1446" s="50"/>
      <c r="L1446" s="96"/>
      <c r="M1446" s="96"/>
      <c r="N1446" s="14"/>
      <c r="O1446" s="50"/>
      <c r="P1446" s="50"/>
      <c r="Q1446" s="50"/>
      <c r="R1446" s="50"/>
      <c r="S1446" s="50"/>
      <c r="T1446" s="50"/>
      <c r="U1446" s="50"/>
      <c r="V1446" s="50"/>
      <c r="W1446" s="14"/>
      <c r="X1446" s="50"/>
      <c r="Y1446" s="179"/>
      <c r="Z1446" s="50"/>
      <c r="AA1446" s="14"/>
    </row>
    <row r="1447">
      <c r="A1447" s="14"/>
      <c r="B1447" s="14"/>
      <c r="C1447" s="158"/>
      <c r="D1447" s="96"/>
      <c r="E1447" s="96"/>
      <c r="F1447" s="96"/>
      <c r="G1447" s="50"/>
      <c r="H1447" s="96"/>
      <c r="I1447" s="96"/>
      <c r="J1447" s="96"/>
      <c r="K1447" s="50"/>
      <c r="L1447" s="96"/>
      <c r="M1447" s="96"/>
      <c r="N1447" s="14"/>
      <c r="O1447" s="50"/>
      <c r="P1447" s="50"/>
      <c r="Q1447" s="50"/>
      <c r="R1447" s="50"/>
      <c r="S1447" s="50"/>
      <c r="T1447" s="50"/>
      <c r="U1447" s="50"/>
      <c r="V1447" s="50"/>
      <c r="W1447" s="14"/>
      <c r="X1447" s="50"/>
      <c r="Y1447" s="179"/>
      <c r="Z1447" s="50"/>
      <c r="AA1447" s="14"/>
    </row>
    <row r="1448">
      <c r="A1448" s="14"/>
      <c r="B1448" s="14"/>
      <c r="C1448" s="158"/>
      <c r="D1448" s="96"/>
      <c r="E1448" s="96"/>
      <c r="F1448" s="96"/>
      <c r="G1448" s="50"/>
      <c r="H1448" s="96"/>
      <c r="I1448" s="96"/>
      <c r="J1448" s="96"/>
      <c r="K1448" s="50"/>
      <c r="L1448" s="96"/>
      <c r="M1448" s="96"/>
      <c r="N1448" s="14"/>
      <c r="O1448" s="50"/>
      <c r="P1448" s="50"/>
      <c r="Q1448" s="50"/>
      <c r="R1448" s="50"/>
      <c r="S1448" s="50"/>
      <c r="T1448" s="50"/>
      <c r="U1448" s="50"/>
      <c r="V1448" s="50"/>
      <c r="W1448" s="14"/>
      <c r="X1448" s="50"/>
      <c r="Y1448" s="179"/>
      <c r="Z1448" s="50"/>
      <c r="AA1448" s="14"/>
    </row>
    <row r="1449">
      <c r="A1449" s="14"/>
      <c r="B1449" s="14"/>
      <c r="C1449" s="158"/>
      <c r="D1449" s="96"/>
      <c r="E1449" s="96"/>
      <c r="F1449" s="96"/>
      <c r="G1449" s="50"/>
      <c r="H1449" s="96"/>
      <c r="I1449" s="96"/>
      <c r="J1449" s="96"/>
      <c r="K1449" s="50"/>
      <c r="L1449" s="96"/>
      <c r="M1449" s="96"/>
      <c r="N1449" s="14"/>
      <c r="O1449" s="50"/>
      <c r="P1449" s="50"/>
      <c r="Q1449" s="50"/>
      <c r="R1449" s="50"/>
      <c r="S1449" s="50"/>
      <c r="T1449" s="50"/>
      <c r="U1449" s="50"/>
      <c r="V1449" s="50"/>
      <c r="W1449" s="14"/>
      <c r="X1449" s="50"/>
      <c r="Y1449" s="179"/>
      <c r="Z1449" s="50"/>
      <c r="AA1449" s="14"/>
    </row>
    <row r="1450">
      <c r="A1450" s="14"/>
      <c r="B1450" s="14"/>
      <c r="C1450" s="158"/>
      <c r="D1450" s="96"/>
      <c r="E1450" s="96"/>
      <c r="F1450" s="96"/>
      <c r="G1450" s="50"/>
      <c r="H1450" s="96"/>
      <c r="I1450" s="96"/>
      <c r="J1450" s="96"/>
      <c r="K1450" s="50"/>
      <c r="L1450" s="96"/>
      <c r="M1450" s="96"/>
      <c r="N1450" s="14"/>
      <c r="O1450" s="50"/>
      <c r="P1450" s="50"/>
      <c r="Q1450" s="50"/>
      <c r="R1450" s="50"/>
      <c r="S1450" s="50"/>
      <c r="T1450" s="50"/>
      <c r="U1450" s="50"/>
      <c r="V1450" s="50"/>
      <c r="W1450" s="14"/>
      <c r="X1450" s="50"/>
      <c r="Y1450" s="179"/>
      <c r="Z1450" s="50"/>
      <c r="AA1450" s="14"/>
    </row>
    <row r="1451">
      <c r="A1451" s="14"/>
      <c r="B1451" s="14"/>
      <c r="C1451" s="158"/>
      <c r="D1451" s="96"/>
      <c r="E1451" s="96"/>
      <c r="F1451" s="96"/>
      <c r="G1451" s="50"/>
      <c r="H1451" s="96"/>
      <c r="I1451" s="96"/>
      <c r="J1451" s="96"/>
      <c r="K1451" s="50"/>
      <c r="L1451" s="96"/>
      <c r="M1451" s="96"/>
      <c r="N1451" s="14"/>
      <c r="O1451" s="50"/>
      <c r="P1451" s="50"/>
      <c r="Q1451" s="50"/>
      <c r="R1451" s="50"/>
      <c r="S1451" s="50"/>
      <c r="T1451" s="50"/>
      <c r="U1451" s="50"/>
      <c r="V1451" s="50"/>
      <c r="W1451" s="14"/>
      <c r="X1451" s="50"/>
      <c r="Y1451" s="179"/>
      <c r="Z1451" s="50"/>
      <c r="AA1451" s="14"/>
    </row>
    <row r="1452">
      <c r="A1452" s="14"/>
      <c r="B1452" s="14"/>
      <c r="C1452" s="158"/>
      <c r="D1452" s="96"/>
      <c r="E1452" s="96"/>
      <c r="F1452" s="96"/>
      <c r="G1452" s="50"/>
      <c r="H1452" s="96"/>
      <c r="I1452" s="96"/>
      <c r="J1452" s="96"/>
      <c r="K1452" s="50"/>
      <c r="L1452" s="96"/>
      <c r="M1452" s="96"/>
      <c r="N1452" s="14"/>
      <c r="O1452" s="50"/>
      <c r="P1452" s="50"/>
      <c r="Q1452" s="50"/>
      <c r="R1452" s="50"/>
      <c r="S1452" s="50"/>
      <c r="T1452" s="50"/>
      <c r="U1452" s="50"/>
      <c r="V1452" s="50"/>
      <c r="W1452" s="14"/>
      <c r="X1452" s="50"/>
      <c r="Y1452" s="179"/>
      <c r="Z1452" s="50"/>
      <c r="AA1452" s="14"/>
    </row>
    <row r="1453">
      <c r="A1453" s="14"/>
      <c r="B1453" s="14"/>
      <c r="C1453" s="158"/>
      <c r="D1453" s="96"/>
      <c r="E1453" s="96"/>
      <c r="F1453" s="96"/>
      <c r="G1453" s="50"/>
      <c r="H1453" s="96"/>
      <c r="I1453" s="96"/>
      <c r="J1453" s="96"/>
      <c r="K1453" s="50"/>
      <c r="L1453" s="96"/>
      <c r="M1453" s="96"/>
      <c r="N1453" s="14"/>
      <c r="O1453" s="50"/>
      <c r="P1453" s="50"/>
      <c r="Q1453" s="50"/>
      <c r="R1453" s="50"/>
      <c r="S1453" s="50"/>
      <c r="T1453" s="50"/>
      <c r="U1453" s="50"/>
      <c r="V1453" s="50"/>
      <c r="W1453" s="14"/>
      <c r="X1453" s="50"/>
      <c r="Y1453" s="179"/>
      <c r="Z1453" s="50"/>
      <c r="AA1453" s="14"/>
    </row>
    <row r="1454">
      <c r="A1454" s="14"/>
      <c r="B1454" s="14"/>
      <c r="C1454" s="158"/>
      <c r="D1454" s="96"/>
      <c r="E1454" s="96"/>
      <c r="F1454" s="96"/>
      <c r="G1454" s="50"/>
      <c r="H1454" s="96"/>
      <c r="I1454" s="96"/>
      <c r="J1454" s="96"/>
      <c r="K1454" s="50"/>
      <c r="L1454" s="96"/>
      <c r="M1454" s="96"/>
      <c r="N1454" s="14"/>
      <c r="O1454" s="50"/>
      <c r="P1454" s="50"/>
      <c r="Q1454" s="50"/>
      <c r="R1454" s="50"/>
      <c r="S1454" s="50"/>
      <c r="T1454" s="50"/>
      <c r="U1454" s="50"/>
      <c r="V1454" s="50"/>
      <c r="W1454" s="14"/>
      <c r="X1454" s="50"/>
      <c r="Y1454" s="179"/>
      <c r="Z1454" s="50"/>
      <c r="AA1454" s="14"/>
    </row>
    <row r="1455">
      <c r="A1455" s="14"/>
      <c r="B1455" s="14"/>
      <c r="C1455" s="158"/>
      <c r="D1455" s="96"/>
      <c r="E1455" s="96"/>
      <c r="F1455" s="96"/>
      <c r="G1455" s="50"/>
      <c r="H1455" s="96"/>
      <c r="I1455" s="96"/>
      <c r="J1455" s="96"/>
      <c r="K1455" s="50"/>
      <c r="L1455" s="96"/>
      <c r="M1455" s="96"/>
      <c r="N1455" s="14"/>
      <c r="O1455" s="50"/>
      <c r="P1455" s="50"/>
      <c r="Q1455" s="50"/>
      <c r="R1455" s="50"/>
      <c r="S1455" s="50"/>
      <c r="T1455" s="50"/>
      <c r="U1455" s="50"/>
      <c r="V1455" s="50"/>
      <c r="W1455" s="14"/>
      <c r="X1455" s="50"/>
      <c r="Y1455" s="179"/>
      <c r="Z1455" s="50"/>
      <c r="AA1455" s="14"/>
    </row>
    <row r="1456">
      <c r="A1456" s="14"/>
      <c r="B1456" s="14"/>
      <c r="C1456" s="158"/>
      <c r="D1456" s="96"/>
      <c r="E1456" s="96"/>
      <c r="F1456" s="96"/>
      <c r="G1456" s="50"/>
      <c r="H1456" s="96"/>
      <c r="I1456" s="96"/>
      <c r="J1456" s="96"/>
      <c r="K1456" s="50"/>
      <c r="L1456" s="96"/>
      <c r="M1456" s="96"/>
      <c r="N1456" s="14"/>
      <c r="O1456" s="50"/>
      <c r="P1456" s="50"/>
      <c r="Q1456" s="50"/>
      <c r="R1456" s="50"/>
      <c r="S1456" s="50"/>
      <c r="T1456" s="50"/>
      <c r="U1456" s="50"/>
      <c r="V1456" s="50"/>
      <c r="W1456" s="14"/>
      <c r="X1456" s="50"/>
      <c r="Y1456" s="179"/>
      <c r="Z1456" s="50"/>
      <c r="AA1456" s="14"/>
    </row>
    <row r="1457">
      <c r="A1457" s="14"/>
      <c r="B1457" s="14"/>
      <c r="C1457" s="158"/>
      <c r="D1457" s="96"/>
      <c r="E1457" s="96"/>
      <c r="F1457" s="96"/>
      <c r="G1457" s="50"/>
      <c r="H1457" s="96"/>
      <c r="I1457" s="96"/>
      <c r="J1457" s="96"/>
      <c r="K1457" s="50"/>
      <c r="L1457" s="96"/>
      <c r="M1457" s="96"/>
      <c r="N1457" s="14"/>
      <c r="O1457" s="50"/>
      <c r="P1457" s="50"/>
      <c r="Q1457" s="50"/>
      <c r="R1457" s="50"/>
      <c r="S1457" s="50"/>
      <c r="T1457" s="50"/>
      <c r="U1457" s="50"/>
      <c r="V1457" s="50"/>
      <c r="W1457" s="14"/>
      <c r="X1457" s="50"/>
      <c r="Y1457" s="179"/>
      <c r="Z1457" s="50"/>
      <c r="AA1457" s="14"/>
    </row>
    <row r="1458">
      <c r="A1458" s="14"/>
      <c r="B1458" s="14"/>
      <c r="C1458" s="158"/>
      <c r="D1458" s="96"/>
      <c r="E1458" s="96"/>
      <c r="F1458" s="96"/>
      <c r="G1458" s="50"/>
      <c r="H1458" s="96"/>
      <c r="I1458" s="96"/>
      <c r="J1458" s="96"/>
      <c r="K1458" s="50"/>
      <c r="L1458" s="96"/>
      <c r="M1458" s="96"/>
      <c r="N1458" s="14"/>
      <c r="O1458" s="50"/>
      <c r="P1458" s="50"/>
      <c r="Q1458" s="50"/>
      <c r="R1458" s="50"/>
      <c r="S1458" s="50"/>
      <c r="T1458" s="50"/>
      <c r="U1458" s="50"/>
      <c r="V1458" s="50"/>
      <c r="W1458" s="14"/>
      <c r="X1458" s="50"/>
      <c r="Y1458" s="179"/>
      <c r="Z1458" s="50"/>
      <c r="AA1458" s="14"/>
    </row>
    <row r="1459">
      <c r="A1459" s="14"/>
      <c r="B1459" s="14"/>
      <c r="C1459" s="158"/>
      <c r="D1459" s="96"/>
      <c r="E1459" s="96"/>
      <c r="F1459" s="96"/>
      <c r="G1459" s="50"/>
      <c r="H1459" s="96"/>
      <c r="I1459" s="96"/>
      <c r="J1459" s="96"/>
      <c r="K1459" s="50"/>
      <c r="L1459" s="96"/>
      <c r="M1459" s="96"/>
      <c r="N1459" s="14"/>
      <c r="O1459" s="50"/>
      <c r="P1459" s="50"/>
      <c r="Q1459" s="50"/>
      <c r="R1459" s="50"/>
      <c r="S1459" s="50"/>
      <c r="T1459" s="50"/>
      <c r="U1459" s="50"/>
      <c r="V1459" s="50"/>
      <c r="W1459" s="14"/>
      <c r="X1459" s="50"/>
      <c r="Y1459" s="179"/>
      <c r="Z1459" s="50"/>
      <c r="AA1459" s="14"/>
    </row>
    <row r="1460">
      <c r="A1460" s="14"/>
      <c r="B1460" s="14"/>
      <c r="C1460" s="158"/>
      <c r="D1460" s="96"/>
      <c r="E1460" s="96"/>
      <c r="F1460" s="96"/>
      <c r="G1460" s="50"/>
      <c r="H1460" s="96"/>
      <c r="I1460" s="96"/>
      <c r="J1460" s="96"/>
      <c r="K1460" s="50"/>
      <c r="L1460" s="96"/>
      <c r="M1460" s="96"/>
      <c r="N1460" s="14"/>
      <c r="O1460" s="50"/>
      <c r="P1460" s="50"/>
      <c r="Q1460" s="50"/>
      <c r="R1460" s="50"/>
      <c r="S1460" s="50"/>
      <c r="T1460" s="50"/>
      <c r="U1460" s="50"/>
      <c r="V1460" s="50"/>
      <c r="W1460" s="14"/>
      <c r="X1460" s="50"/>
      <c r="Y1460" s="179"/>
      <c r="Z1460" s="50"/>
      <c r="AA1460" s="14"/>
    </row>
    <row r="1461">
      <c r="A1461" s="14"/>
      <c r="B1461" s="14"/>
      <c r="C1461" s="158"/>
      <c r="D1461" s="96"/>
      <c r="E1461" s="96"/>
      <c r="F1461" s="96"/>
      <c r="G1461" s="50"/>
      <c r="H1461" s="96"/>
      <c r="I1461" s="96"/>
      <c r="J1461" s="96"/>
      <c r="K1461" s="50"/>
      <c r="L1461" s="96"/>
      <c r="M1461" s="96"/>
      <c r="N1461" s="14"/>
      <c r="O1461" s="50"/>
      <c r="P1461" s="50"/>
      <c r="Q1461" s="50"/>
      <c r="R1461" s="50"/>
      <c r="S1461" s="50"/>
      <c r="T1461" s="50"/>
      <c r="U1461" s="50"/>
      <c r="V1461" s="50"/>
      <c r="W1461" s="14"/>
      <c r="X1461" s="50"/>
      <c r="Y1461" s="179"/>
      <c r="Z1461" s="50"/>
      <c r="AA1461" s="14"/>
    </row>
    <row r="1462">
      <c r="A1462" s="14"/>
      <c r="B1462" s="14"/>
      <c r="C1462" s="158"/>
      <c r="D1462" s="96"/>
      <c r="E1462" s="96"/>
      <c r="F1462" s="96"/>
      <c r="G1462" s="50"/>
      <c r="H1462" s="96"/>
      <c r="I1462" s="96"/>
      <c r="J1462" s="96"/>
      <c r="K1462" s="50"/>
      <c r="L1462" s="96"/>
      <c r="M1462" s="96"/>
      <c r="N1462" s="14"/>
      <c r="O1462" s="50"/>
      <c r="P1462" s="50"/>
      <c r="Q1462" s="50"/>
      <c r="R1462" s="50"/>
      <c r="S1462" s="50"/>
      <c r="T1462" s="50"/>
      <c r="U1462" s="50"/>
      <c r="V1462" s="50"/>
      <c r="W1462" s="14"/>
      <c r="X1462" s="50"/>
      <c r="Y1462" s="179"/>
      <c r="Z1462" s="50"/>
      <c r="AA1462" s="14"/>
    </row>
    <row r="1463">
      <c r="A1463" s="14"/>
      <c r="B1463" s="14"/>
      <c r="C1463" s="158"/>
      <c r="D1463" s="96"/>
      <c r="E1463" s="96"/>
      <c r="F1463" s="96"/>
      <c r="G1463" s="50"/>
      <c r="H1463" s="96"/>
      <c r="I1463" s="96"/>
      <c r="J1463" s="96"/>
      <c r="K1463" s="50"/>
      <c r="L1463" s="96"/>
      <c r="M1463" s="96"/>
      <c r="N1463" s="14"/>
      <c r="O1463" s="50"/>
      <c r="P1463" s="50"/>
      <c r="Q1463" s="50"/>
      <c r="R1463" s="50"/>
      <c r="S1463" s="50"/>
      <c r="T1463" s="50"/>
      <c r="U1463" s="50"/>
      <c r="V1463" s="50"/>
      <c r="W1463" s="14"/>
      <c r="X1463" s="50"/>
      <c r="Y1463" s="179"/>
      <c r="Z1463" s="50"/>
      <c r="AA1463" s="14"/>
    </row>
    <row r="1464">
      <c r="A1464" s="14"/>
      <c r="B1464" s="14"/>
      <c r="C1464" s="158"/>
      <c r="D1464" s="96"/>
      <c r="E1464" s="96"/>
      <c r="F1464" s="96"/>
      <c r="G1464" s="50"/>
      <c r="H1464" s="96"/>
      <c r="I1464" s="96"/>
      <c r="J1464" s="96"/>
      <c r="K1464" s="50"/>
      <c r="L1464" s="96"/>
      <c r="M1464" s="96"/>
      <c r="N1464" s="14"/>
      <c r="O1464" s="50"/>
      <c r="P1464" s="50"/>
      <c r="Q1464" s="50"/>
      <c r="R1464" s="50"/>
      <c r="S1464" s="50"/>
      <c r="T1464" s="50"/>
      <c r="U1464" s="50"/>
      <c r="V1464" s="50"/>
      <c r="W1464" s="14"/>
      <c r="X1464" s="50"/>
      <c r="Y1464" s="179"/>
      <c r="Z1464" s="50"/>
      <c r="AA1464" s="14"/>
    </row>
    <row r="1465">
      <c r="A1465" s="14"/>
      <c r="B1465" s="14"/>
      <c r="C1465" s="158"/>
      <c r="D1465" s="96"/>
      <c r="E1465" s="96"/>
      <c r="F1465" s="96"/>
      <c r="G1465" s="50"/>
      <c r="H1465" s="96"/>
      <c r="I1465" s="96"/>
      <c r="J1465" s="96"/>
      <c r="K1465" s="50"/>
      <c r="L1465" s="96"/>
      <c r="M1465" s="96"/>
      <c r="N1465" s="14"/>
      <c r="O1465" s="50"/>
      <c r="P1465" s="50"/>
      <c r="Q1465" s="50"/>
      <c r="R1465" s="50"/>
      <c r="S1465" s="50"/>
      <c r="T1465" s="50"/>
      <c r="U1465" s="50"/>
      <c r="V1465" s="50"/>
      <c r="W1465" s="14"/>
      <c r="X1465" s="50"/>
      <c r="Y1465" s="179"/>
      <c r="Z1465" s="50"/>
      <c r="AA1465" s="14"/>
    </row>
    <row r="1466">
      <c r="A1466" s="14"/>
      <c r="B1466" s="14"/>
      <c r="C1466" s="158"/>
      <c r="D1466" s="96"/>
      <c r="E1466" s="96"/>
      <c r="F1466" s="96"/>
      <c r="G1466" s="50"/>
      <c r="H1466" s="96"/>
      <c r="I1466" s="96"/>
      <c r="J1466" s="96"/>
      <c r="K1466" s="50"/>
      <c r="L1466" s="96"/>
      <c r="M1466" s="96"/>
      <c r="N1466" s="14"/>
      <c r="O1466" s="50"/>
      <c r="P1466" s="50"/>
      <c r="Q1466" s="50"/>
      <c r="R1466" s="50"/>
      <c r="S1466" s="50"/>
      <c r="T1466" s="50"/>
      <c r="U1466" s="50"/>
      <c r="V1466" s="50"/>
      <c r="W1466" s="14"/>
      <c r="X1466" s="50"/>
      <c r="Y1466" s="179"/>
      <c r="Z1466" s="50"/>
      <c r="AA1466" s="14"/>
    </row>
    <row r="1467">
      <c r="A1467" s="14"/>
      <c r="B1467" s="14"/>
      <c r="C1467" s="158"/>
      <c r="D1467" s="96"/>
      <c r="E1467" s="96"/>
      <c r="F1467" s="96"/>
      <c r="G1467" s="50"/>
      <c r="H1467" s="96"/>
      <c r="I1467" s="96"/>
      <c r="J1467" s="96"/>
      <c r="K1467" s="50"/>
      <c r="L1467" s="96"/>
      <c r="M1467" s="96"/>
      <c r="N1467" s="14"/>
      <c r="O1467" s="50"/>
      <c r="P1467" s="50"/>
      <c r="Q1467" s="50"/>
      <c r="R1467" s="50"/>
      <c r="S1467" s="50"/>
      <c r="T1467" s="50"/>
      <c r="U1467" s="50"/>
      <c r="V1467" s="50"/>
      <c r="W1467" s="14"/>
      <c r="X1467" s="50"/>
      <c r="Y1467" s="179"/>
      <c r="Z1467" s="50"/>
      <c r="AA1467" s="14"/>
    </row>
    <row r="1468">
      <c r="A1468" s="14"/>
      <c r="B1468" s="14"/>
      <c r="C1468" s="158"/>
      <c r="D1468" s="96"/>
      <c r="E1468" s="96"/>
      <c r="F1468" s="96"/>
      <c r="G1468" s="50"/>
      <c r="H1468" s="96"/>
      <c r="I1468" s="96"/>
      <c r="J1468" s="96"/>
      <c r="K1468" s="50"/>
      <c r="L1468" s="96"/>
      <c r="M1468" s="96"/>
      <c r="N1468" s="14"/>
      <c r="O1468" s="50"/>
      <c r="P1468" s="50"/>
      <c r="Q1468" s="50"/>
      <c r="R1468" s="50"/>
      <c r="S1468" s="50"/>
      <c r="T1468" s="50"/>
      <c r="U1468" s="50"/>
      <c r="V1468" s="50"/>
      <c r="W1468" s="14"/>
      <c r="X1468" s="50"/>
      <c r="Y1468" s="179"/>
      <c r="Z1468" s="50"/>
      <c r="AA1468" s="14"/>
    </row>
    <row r="1469">
      <c r="A1469" s="14"/>
      <c r="B1469" s="14"/>
      <c r="C1469" s="158"/>
      <c r="D1469" s="96"/>
      <c r="E1469" s="96"/>
      <c r="F1469" s="96"/>
      <c r="G1469" s="50"/>
      <c r="H1469" s="96"/>
      <c r="I1469" s="96"/>
      <c r="J1469" s="96"/>
      <c r="K1469" s="50"/>
      <c r="L1469" s="96"/>
      <c r="M1469" s="96"/>
      <c r="N1469" s="14"/>
      <c r="O1469" s="50"/>
      <c r="P1469" s="50"/>
      <c r="Q1469" s="50"/>
      <c r="R1469" s="50"/>
      <c r="S1469" s="50"/>
      <c r="T1469" s="50"/>
      <c r="U1469" s="50"/>
      <c r="V1469" s="50"/>
      <c r="W1469" s="14"/>
      <c r="X1469" s="50"/>
      <c r="Y1469" s="179"/>
      <c r="Z1469" s="50"/>
      <c r="AA1469" s="14"/>
    </row>
    <row r="1470">
      <c r="A1470" s="14"/>
      <c r="B1470" s="14"/>
      <c r="C1470" s="158"/>
      <c r="D1470" s="96"/>
      <c r="E1470" s="96"/>
      <c r="F1470" s="96"/>
      <c r="G1470" s="50"/>
      <c r="H1470" s="96"/>
      <c r="I1470" s="96"/>
      <c r="J1470" s="96"/>
      <c r="K1470" s="50"/>
      <c r="L1470" s="96"/>
      <c r="M1470" s="96"/>
      <c r="N1470" s="14"/>
      <c r="O1470" s="50"/>
      <c r="P1470" s="50"/>
      <c r="Q1470" s="50"/>
      <c r="R1470" s="50"/>
      <c r="S1470" s="50"/>
      <c r="T1470" s="50"/>
      <c r="U1470" s="50"/>
      <c r="V1470" s="50"/>
      <c r="W1470" s="14"/>
      <c r="X1470" s="50"/>
      <c r="Y1470" s="179"/>
      <c r="Z1470" s="50"/>
      <c r="AA1470" s="14"/>
    </row>
    <row r="1471">
      <c r="A1471" s="14"/>
      <c r="B1471" s="14"/>
      <c r="C1471" s="158"/>
      <c r="D1471" s="96"/>
      <c r="E1471" s="96"/>
      <c r="F1471" s="96"/>
      <c r="G1471" s="50"/>
      <c r="H1471" s="96"/>
      <c r="I1471" s="96"/>
      <c r="J1471" s="96"/>
      <c r="K1471" s="50"/>
      <c r="L1471" s="96"/>
      <c r="M1471" s="96"/>
      <c r="N1471" s="14"/>
      <c r="O1471" s="50"/>
      <c r="P1471" s="50"/>
      <c r="Q1471" s="50"/>
      <c r="R1471" s="50"/>
      <c r="S1471" s="50"/>
      <c r="T1471" s="50"/>
      <c r="U1471" s="50"/>
      <c r="V1471" s="50"/>
      <c r="W1471" s="14"/>
      <c r="X1471" s="50"/>
      <c r="Y1471" s="179"/>
      <c r="Z1471" s="50"/>
      <c r="AA1471" s="14"/>
    </row>
    <row r="1472">
      <c r="A1472" s="14"/>
      <c r="B1472" s="14"/>
      <c r="C1472" s="158"/>
      <c r="D1472" s="96"/>
      <c r="E1472" s="96"/>
      <c r="F1472" s="96"/>
      <c r="G1472" s="50"/>
      <c r="H1472" s="96"/>
      <c r="I1472" s="96"/>
      <c r="J1472" s="96"/>
      <c r="K1472" s="50"/>
      <c r="L1472" s="96"/>
      <c r="M1472" s="96"/>
      <c r="N1472" s="14"/>
      <c r="O1472" s="50"/>
      <c r="P1472" s="50"/>
      <c r="Q1472" s="50"/>
      <c r="R1472" s="50"/>
      <c r="S1472" s="50"/>
      <c r="T1472" s="50"/>
      <c r="U1472" s="50"/>
      <c r="V1472" s="50"/>
      <c r="W1472" s="14"/>
      <c r="X1472" s="50"/>
      <c r="Y1472" s="179"/>
      <c r="Z1472" s="50"/>
      <c r="AA1472" s="14"/>
    </row>
    <row r="1473">
      <c r="A1473" s="14"/>
      <c r="B1473" s="14"/>
      <c r="C1473" s="158"/>
      <c r="D1473" s="96"/>
      <c r="E1473" s="96"/>
      <c r="F1473" s="96"/>
      <c r="G1473" s="50"/>
      <c r="H1473" s="96"/>
      <c r="I1473" s="96"/>
      <c r="J1473" s="96"/>
      <c r="K1473" s="50"/>
      <c r="L1473" s="96"/>
      <c r="M1473" s="96"/>
      <c r="N1473" s="14"/>
      <c r="O1473" s="50"/>
      <c r="P1473" s="50"/>
      <c r="Q1473" s="50"/>
      <c r="R1473" s="50"/>
      <c r="S1473" s="50"/>
      <c r="T1473" s="50"/>
      <c r="U1473" s="50"/>
      <c r="V1473" s="50"/>
      <c r="W1473" s="14"/>
      <c r="X1473" s="50"/>
      <c r="Y1473" s="179"/>
      <c r="Z1473" s="50"/>
      <c r="AA1473" s="14"/>
    </row>
    <row r="1474">
      <c r="A1474" s="14"/>
      <c r="B1474" s="14"/>
      <c r="C1474" s="158"/>
      <c r="D1474" s="96"/>
      <c r="E1474" s="96"/>
      <c r="F1474" s="96"/>
      <c r="G1474" s="50"/>
      <c r="H1474" s="96"/>
      <c r="I1474" s="96"/>
      <c r="J1474" s="96"/>
      <c r="K1474" s="50"/>
      <c r="L1474" s="96"/>
      <c r="M1474" s="96"/>
      <c r="N1474" s="14"/>
      <c r="O1474" s="50"/>
      <c r="P1474" s="50"/>
      <c r="Q1474" s="50"/>
      <c r="R1474" s="50"/>
      <c r="S1474" s="50"/>
      <c r="T1474" s="50"/>
      <c r="U1474" s="50"/>
      <c r="V1474" s="50"/>
      <c r="W1474" s="14"/>
      <c r="X1474" s="50"/>
      <c r="Y1474" s="179"/>
      <c r="Z1474" s="50"/>
      <c r="AA1474" s="14"/>
    </row>
    <row r="1475">
      <c r="A1475" s="14"/>
      <c r="B1475" s="14"/>
      <c r="C1475" s="158"/>
      <c r="D1475" s="96"/>
      <c r="E1475" s="96"/>
      <c r="F1475" s="96"/>
      <c r="G1475" s="50"/>
      <c r="H1475" s="96"/>
      <c r="I1475" s="96"/>
      <c r="J1475" s="96"/>
      <c r="K1475" s="50"/>
      <c r="L1475" s="96"/>
      <c r="M1475" s="96"/>
      <c r="N1475" s="14"/>
      <c r="O1475" s="50"/>
      <c r="P1475" s="50"/>
      <c r="Q1475" s="50"/>
      <c r="R1475" s="50"/>
      <c r="S1475" s="50"/>
      <c r="T1475" s="50"/>
      <c r="U1475" s="50"/>
      <c r="V1475" s="50"/>
      <c r="W1475" s="14"/>
      <c r="X1475" s="50"/>
      <c r="Y1475" s="179"/>
      <c r="Z1475" s="50"/>
      <c r="AA1475" s="14"/>
    </row>
    <row r="1476">
      <c r="A1476" s="14"/>
      <c r="B1476" s="14"/>
      <c r="C1476" s="158"/>
      <c r="D1476" s="96"/>
      <c r="E1476" s="96"/>
      <c r="F1476" s="96"/>
      <c r="G1476" s="50"/>
      <c r="H1476" s="96"/>
      <c r="I1476" s="96"/>
      <c r="J1476" s="96"/>
      <c r="K1476" s="50"/>
      <c r="L1476" s="96"/>
      <c r="M1476" s="96"/>
      <c r="N1476" s="14"/>
      <c r="O1476" s="50"/>
      <c r="P1476" s="50"/>
      <c r="Q1476" s="50"/>
      <c r="R1476" s="50"/>
      <c r="S1476" s="50"/>
      <c r="T1476" s="50"/>
      <c r="U1476" s="50"/>
      <c r="V1476" s="50"/>
      <c r="W1476" s="14"/>
      <c r="X1476" s="50"/>
      <c r="Y1476" s="179"/>
      <c r="Z1476" s="50"/>
      <c r="AA1476" s="14"/>
    </row>
    <row r="1477">
      <c r="A1477" s="14"/>
      <c r="B1477" s="14"/>
      <c r="C1477" s="158"/>
      <c r="D1477" s="96"/>
      <c r="E1477" s="96"/>
      <c r="F1477" s="96"/>
      <c r="G1477" s="50"/>
      <c r="H1477" s="96"/>
      <c r="I1477" s="96"/>
      <c r="J1477" s="96"/>
      <c r="K1477" s="50"/>
      <c r="L1477" s="96"/>
      <c r="M1477" s="96"/>
      <c r="N1477" s="14"/>
      <c r="O1477" s="50"/>
      <c r="P1477" s="50"/>
      <c r="Q1477" s="50"/>
      <c r="R1477" s="50"/>
      <c r="S1477" s="50"/>
      <c r="T1477" s="50"/>
      <c r="U1477" s="50"/>
      <c r="V1477" s="50"/>
      <c r="W1477" s="14"/>
      <c r="X1477" s="50"/>
      <c r="Y1477" s="179"/>
      <c r="Z1477" s="50"/>
      <c r="AA1477" s="14"/>
    </row>
    <row r="1478">
      <c r="A1478" s="14"/>
      <c r="B1478" s="14"/>
      <c r="C1478" s="158"/>
      <c r="D1478" s="96"/>
      <c r="E1478" s="96"/>
      <c r="F1478" s="96"/>
      <c r="G1478" s="50"/>
      <c r="H1478" s="96"/>
      <c r="I1478" s="96"/>
      <c r="J1478" s="96"/>
      <c r="K1478" s="50"/>
      <c r="L1478" s="96"/>
      <c r="M1478" s="96"/>
      <c r="N1478" s="14"/>
      <c r="O1478" s="50"/>
      <c r="P1478" s="50"/>
      <c r="Q1478" s="50"/>
      <c r="R1478" s="50"/>
      <c r="S1478" s="50"/>
      <c r="T1478" s="50"/>
      <c r="U1478" s="50"/>
      <c r="V1478" s="50"/>
      <c r="W1478" s="14"/>
      <c r="X1478" s="50"/>
      <c r="Y1478" s="179"/>
      <c r="Z1478" s="50"/>
      <c r="AA1478" s="14"/>
    </row>
    <row r="1479">
      <c r="A1479" s="14"/>
      <c r="B1479" s="14"/>
      <c r="C1479" s="158"/>
      <c r="D1479" s="96"/>
      <c r="E1479" s="96"/>
      <c r="F1479" s="96"/>
      <c r="G1479" s="50"/>
      <c r="H1479" s="96"/>
      <c r="I1479" s="96"/>
      <c r="J1479" s="96"/>
      <c r="K1479" s="50"/>
      <c r="L1479" s="96"/>
      <c r="M1479" s="96"/>
      <c r="N1479" s="14"/>
      <c r="O1479" s="50"/>
      <c r="P1479" s="50"/>
      <c r="Q1479" s="50"/>
      <c r="R1479" s="50"/>
      <c r="S1479" s="50"/>
      <c r="T1479" s="50"/>
      <c r="U1479" s="50"/>
      <c r="V1479" s="50"/>
      <c r="W1479" s="14"/>
      <c r="X1479" s="50"/>
      <c r="Y1479" s="179"/>
      <c r="Z1479" s="50"/>
      <c r="AA1479" s="14"/>
    </row>
    <row r="1480">
      <c r="A1480" s="14"/>
      <c r="B1480" s="14"/>
      <c r="C1480" s="158"/>
      <c r="D1480" s="96"/>
      <c r="E1480" s="96"/>
      <c r="F1480" s="96"/>
      <c r="G1480" s="50"/>
      <c r="H1480" s="96"/>
      <c r="I1480" s="96"/>
      <c r="J1480" s="96"/>
      <c r="K1480" s="50"/>
      <c r="L1480" s="96"/>
      <c r="M1480" s="96"/>
      <c r="N1480" s="14"/>
      <c r="O1480" s="50"/>
      <c r="P1480" s="50"/>
      <c r="Q1480" s="50"/>
      <c r="R1480" s="50"/>
      <c r="S1480" s="50"/>
      <c r="T1480" s="50"/>
      <c r="U1480" s="50"/>
      <c r="V1480" s="50"/>
      <c r="W1480" s="14"/>
      <c r="X1480" s="50"/>
      <c r="Y1480" s="179"/>
      <c r="Z1480" s="50"/>
      <c r="AA1480" s="14"/>
    </row>
    <row r="1481">
      <c r="A1481" s="14"/>
      <c r="B1481" s="14"/>
      <c r="C1481" s="158"/>
      <c r="D1481" s="96"/>
      <c r="E1481" s="96"/>
      <c r="F1481" s="96"/>
      <c r="G1481" s="50"/>
      <c r="H1481" s="96"/>
      <c r="I1481" s="96"/>
      <c r="J1481" s="96"/>
      <c r="K1481" s="50"/>
      <c r="L1481" s="96"/>
      <c r="M1481" s="96"/>
      <c r="N1481" s="14"/>
      <c r="O1481" s="50"/>
      <c r="P1481" s="50"/>
      <c r="Q1481" s="50"/>
      <c r="R1481" s="50"/>
      <c r="S1481" s="50"/>
      <c r="T1481" s="50"/>
      <c r="U1481" s="50"/>
      <c r="V1481" s="50"/>
      <c r="W1481" s="14"/>
      <c r="X1481" s="50"/>
      <c r="Y1481" s="179"/>
      <c r="Z1481" s="50"/>
      <c r="AA1481" s="14"/>
    </row>
    <row r="1482">
      <c r="A1482" s="14"/>
      <c r="B1482" s="14"/>
      <c r="C1482" s="158"/>
      <c r="D1482" s="96"/>
      <c r="E1482" s="96"/>
      <c r="F1482" s="96"/>
      <c r="G1482" s="50"/>
      <c r="H1482" s="96"/>
      <c r="I1482" s="96"/>
      <c r="J1482" s="96"/>
      <c r="K1482" s="50"/>
      <c r="L1482" s="96"/>
      <c r="M1482" s="96"/>
      <c r="N1482" s="14"/>
      <c r="O1482" s="50"/>
      <c r="P1482" s="50"/>
      <c r="Q1482" s="50"/>
      <c r="R1482" s="50"/>
      <c r="S1482" s="50"/>
      <c r="T1482" s="50"/>
      <c r="U1482" s="50"/>
      <c r="V1482" s="50"/>
      <c r="W1482" s="14"/>
      <c r="X1482" s="50"/>
      <c r="Y1482" s="179"/>
      <c r="Z1482" s="50"/>
      <c r="AA1482" s="14"/>
    </row>
    <row r="1483">
      <c r="A1483" s="14"/>
      <c r="B1483" s="14"/>
      <c r="C1483" s="158"/>
      <c r="D1483" s="96"/>
      <c r="E1483" s="96"/>
      <c r="F1483" s="96"/>
      <c r="G1483" s="50"/>
      <c r="H1483" s="96"/>
      <c r="I1483" s="96"/>
      <c r="J1483" s="96"/>
      <c r="K1483" s="50"/>
      <c r="L1483" s="96"/>
      <c r="M1483" s="96"/>
      <c r="N1483" s="14"/>
      <c r="O1483" s="50"/>
      <c r="P1483" s="50"/>
      <c r="Q1483" s="50"/>
      <c r="R1483" s="50"/>
      <c r="S1483" s="50"/>
      <c r="T1483" s="50"/>
      <c r="U1483" s="50"/>
      <c r="V1483" s="50"/>
      <c r="W1483" s="14"/>
      <c r="X1483" s="50"/>
      <c r="Y1483" s="179"/>
      <c r="Z1483" s="50"/>
      <c r="AA1483" s="14"/>
    </row>
    <row r="1484">
      <c r="A1484" s="14"/>
      <c r="B1484" s="14"/>
      <c r="C1484" s="158"/>
      <c r="D1484" s="96"/>
      <c r="E1484" s="96"/>
      <c r="F1484" s="96"/>
      <c r="G1484" s="50"/>
      <c r="H1484" s="96"/>
      <c r="I1484" s="96"/>
      <c r="J1484" s="96"/>
      <c r="K1484" s="50"/>
      <c r="L1484" s="96"/>
      <c r="M1484" s="96"/>
      <c r="N1484" s="14"/>
      <c r="O1484" s="50"/>
      <c r="P1484" s="50"/>
      <c r="Q1484" s="50"/>
      <c r="R1484" s="50"/>
      <c r="S1484" s="50"/>
      <c r="T1484" s="50"/>
      <c r="U1484" s="50"/>
      <c r="V1484" s="50"/>
      <c r="W1484" s="14"/>
      <c r="X1484" s="50"/>
      <c r="Y1484" s="179"/>
      <c r="Z1484" s="50"/>
      <c r="AA1484" s="14"/>
    </row>
    <row r="1485">
      <c r="A1485" s="14"/>
      <c r="B1485" s="14"/>
      <c r="C1485" s="158"/>
      <c r="D1485" s="96"/>
      <c r="E1485" s="96"/>
      <c r="F1485" s="96"/>
      <c r="G1485" s="50"/>
      <c r="H1485" s="96"/>
      <c r="I1485" s="96"/>
      <c r="J1485" s="96"/>
      <c r="K1485" s="50"/>
      <c r="L1485" s="96"/>
      <c r="M1485" s="96"/>
      <c r="N1485" s="14"/>
      <c r="O1485" s="50"/>
      <c r="P1485" s="50"/>
      <c r="Q1485" s="50"/>
      <c r="R1485" s="50"/>
      <c r="S1485" s="50"/>
      <c r="T1485" s="50"/>
      <c r="U1485" s="50"/>
      <c r="V1485" s="50"/>
      <c r="W1485" s="14"/>
      <c r="X1485" s="50"/>
      <c r="Y1485" s="179"/>
      <c r="Z1485" s="50"/>
      <c r="AA1485" s="14"/>
    </row>
    <row r="1486">
      <c r="A1486" s="14"/>
      <c r="B1486" s="14"/>
      <c r="C1486" s="158"/>
      <c r="D1486" s="96"/>
      <c r="E1486" s="96"/>
      <c r="F1486" s="96"/>
      <c r="G1486" s="50"/>
      <c r="H1486" s="96"/>
      <c r="I1486" s="96"/>
      <c r="J1486" s="96"/>
      <c r="K1486" s="50"/>
      <c r="L1486" s="96"/>
      <c r="M1486" s="96"/>
      <c r="N1486" s="14"/>
      <c r="O1486" s="50"/>
      <c r="P1486" s="50"/>
      <c r="Q1486" s="50"/>
      <c r="R1486" s="50"/>
      <c r="S1486" s="50"/>
      <c r="T1486" s="50"/>
      <c r="U1486" s="50"/>
      <c r="V1486" s="50"/>
      <c r="W1486" s="14"/>
      <c r="X1486" s="50"/>
      <c r="Y1486" s="179"/>
      <c r="Z1486" s="50"/>
      <c r="AA1486" s="14"/>
    </row>
    <row r="1487">
      <c r="A1487" s="14"/>
      <c r="B1487" s="14"/>
      <c r="C1487" s="158"/>
      <c r="D1487" s="96"/>
      <c r="E1487" s="96"/>
      <c r="F1487" s="96"/>
      <c r="G1487" s="50"/>
      <c r="H1487" s="96"/>
      <c r="I1487" s="96"/>
      <c r="J1487" s="96"/>
      <c r="K1487" s="50"/>
      <c r="L1487" s="96"/>
      <c r="M1487" s="96"/>
      <c r="N1487" s="14"/>
      <c r="O1487" s="50"/>
      <c r="P1487" s="50"/>
      <c r="Q1487" s="50"/>
      <c r="R1487" s="50"/>
      <c r="S1487" s="50"/>
      <c r="T1487" s="50"/>
      <c r="U1487" s="50"/>
      <c r="V1487" s="50"/>
      <c r="W1487" s="14"/>
      <c r="X1487" s="50"/>
      <c r="Y1487" s="179"/>
      <c r="Z1487" s="50"/>
      <c r="AA1487" s="14"/>
    </row>
    <row r="1488">
      <c r="A1488" s="14"/>
      <c r="B1488" s="14"/>
      <c r="C1488" s="158"/>
      <c r="D1488" s="96"/>
      <c r="E1488" s="96"/>
      <c r="F1488" s="96"/>
      <c r="G1488" s="50"/>
      <c r="H1488" s="96"/>
      <c r="I1488" s="96"/>
      <c r="J1488" s="96"/>
      <c r="K1488" s="50"/>
      <c r="L1488" s="96"/>
      <c r="M1488" s="96"/>
      <c r="N1488" s="14"/>
      <c r="O1488" s="50"/>
      <c r="P1488" s="50"/>
      <c r="Q1488" s="50"/>
      <c r="R1488" s="50"/>
      <c r="S1488" s="50"/>
      <c r="T1488" s="50"/>
      <c r="U1488" s="50"/>
      <c r="V1488" s="50"/>
      <c r="W1488" s="14"/>
      <c r="X1488" s="50"/>
      <c r="Y1488" s="179"/>
      <c r="Z1488" s="50"/>
      <c r="AA1488" s="14"/>
    </row>
    <row r="1489">
      <c r="A1489" s="14"/>
      <c r="B1489" s="14"/>
      <c r="C1489" s="158"/>
      <c r="D1489" s="96"/>
      <c r="E1489" s="96"/>
      <c r="F1489" s="96"/>
      <c r="G1489" s="50"/>
      <c r="H1489" s="96"/>
      <c r="I1489" s="96"/>
      <c r="J1489" s="96"/>
      <c r="K1489" s="50"/>
      <c r="L1489" s="96"/>
      <c r="M1489" s="96"/>
      <c r="N1489" s="14"/>
      <c r="O1489" s="50"/>
      <c r="P1489" s="50"/>
      <c r="Q1489" s="50"/>
      <c r="R1489" s="50"/>
      <c r="S1489" s="50"/>
      <c r="T1489" s="50"/>
      <c r="U1489" s="50"/>
      <c r="V1489" s="50"/>
      <c r="W1489" s="14"/>
      <c r="X1489" s="50"/>
      <c r="Y1489" s="179"/>
      <c r="Z1489" s="50"/>
      <c r="AA1489" s="14"/>
    </row>
    <row r="1490">
      <c r="A1490" s="14"/>
      <c r="B1490" s="14"/>
      <c r="C1490" s="158"/>
      <c r="D1490" s="96"/>
      <c r="E1490" s="96"/>
      <c r="F1490" s="96"/>
      <c r="G1490" s="50"/>
      <c r="H1490" s="96"/>
      <c r="I1490" s="96"/>
      <c r="J1490" s="96"/>
      <c r="K1490" s="50"/>
      <c r="L1490" s="96"/>
      <c r="M1490" s="96"/>
      <c r="N1490" s="14"/>
      <c r="O1490" s="50"/>
      <c r="P1490" s="50"/>
      <c r="Q1490" s="50"/>
      <c r="R1490" s="50"/>
      <c r="S1490" s="50"/>
      <c r="T1490" s="50"/>
      <c r="U1490" s="50"/>
      <c r="V1490" s="50"/>
      <c r="W1490" s="14"/>
      <c r="X1490" s="50"/>
      <c r="Y1490" s="179"/>
      <c r="Z1490" s="50"/>
      <c r="AA1490" s="14"/>
    </row>
    <row r="1491">
      <c r="A1491" s="14"/>
      <c r="B1491" s="14"/>
      <c r="C1491" s="158"/>
      <c r="D1491" s="96"/>
      <c r="E1491" s="96"/>
      <c r="F1491" s="96"/>
      <c r="G1491" s="50"/>
      <c r="H1491" s="96"/>
      <c r="I1491" s="96"/>
      <c r="J1491" s="96"/>
      <c r="K1491" s="50"/>
      <c r="L1491" s="96"/>
      <c r="M1491" s="96"/>
      <c r="N1491" s="14"/>
      <c r="O1491" s="50"/>
      <c r="P1491" s="50"/>
      <c r="Q1491" s="50"/>
      <c r="R1491" s="50"/>
      <c r="S1491" s="50"/>
      <c r="T1491" s="50"/>
      <c r="U1491" s="50"/>
      <c r="V1491" s="50"/>
      <c r="W1491" s="14"/>
      <c r="X1491" s="50"/>
      <c r="Y1491" s="179"/>
      <c r="Z1491" s="50"/>
      <c r="AA1491" s="14"/>
    </row>
    <row r="1492">
      <c r="A1492" s="14"/>
      <c r="B1492" s="14"/>
      <c r="C1492" s="158"/>
      <c r="D1492" s="96"/>
      <c r="E1492" s="96"/>
      <c r="F1492" s="96"/>
      <c r="G1492" s="50"/>
      <c r="H1492" s="96"/>
      <c r="I1492" s="96"/>
      <c r="J1492" s="96"/>
      <c r="K1492" s="50"/>
      <c r="L1492" s="96"/>
      <c r="M1492" s="96"/>
      <c r="N1492" s="14"/>
      <c r="O1492" s="50"/>
      <c r="P1492" s="50"/>
      <c r="Q1492" s="50"/>
      <c r="R1492" s="50"/>
      <c r="S1492" s="50"/>
      <c r="T1492" s="50"/>
      <c r="U1492" s="50"/>
      <c r="V1492" s="50"/>
      <c r="W1492" s="14"/>
      <c r="X1492" s="50"/>
      <c r="Y1492" s="179"/>
      <c r="Z1492" s="50"/>
      <c r="AA1492" s="14"/>
    </row>
    <row r="1493">
      <c r="A1493" s="14"/>
      <c r="B1493" s="14"/>
      <c r="C1493" s="158"/>
      <c r="D1493" s="96"/>
      <c r="E1493" s="96"/>
      <c r="F1493" s="96"/>
      <c r="G1493" s="50"/>
      <c r="H1493" s="96"/>
      <c r="I1493" s="96"/>
      <c r="J1493" s="96"/>
      <c r="K1493" s="50"/>
      <c r="L1493" s="96"/>
      <c r="M1493" s="96"/>
      <c r="N1493" s="14"/>
      <c r="O1493" s="50"/>
      <c r="P1493" s="50"/>
      <c r="Q1493" s="50"/>
      <c r="R1493" s="50"/>
      <c r="S1493" s="50"/>
      <c r="T1493" s="50"/>
      <c r="U1493" s="50"/>
      <c r="V1493" s="50"/>
      <c r="W1493" s="14"/>
      <c r="X1493" s="50"/>
      <c r="Y1493" s="179"/>
      <c r="Z1493" s="50"/>
      <c r="AA1493" s="14"/>
    </row>
    <row r="1494">
      <c r="A1494" s="14"/>
      <c r="B1494" s="14"/>
      <c r="C1494" s="158"/>
      <c r="D1494" s="96"/>
      <c r="E1494" s="96"/>
      <c r="F1494" s="96"/>
      <c r="G1494" s="50"/>
      <c r="H1494" s="96"/>
      <c r="I1494" s="96"/>
      <c r="J1494" s="96"/>
      <c r="K1494" s="50"/>
      <c r="L1494" s="96"/>
      <c r="M1494" s="96"/>
      <c r="N1494" s="14"/>
      <c r="O1494" s="50"/>
      <c r="P1494" s="50"/>
      <c r="Q1494" s="50"/>
      <c r="R1494" s="50"/>
      <c r="S1494" s="50"/>
      <c r="T1494" s="50"/>
      <c r="U1494" s="50"/>
      <c r="V1494" s="50"/>
      <c r="W1494" s="14"/>
      <c r="X1494" s="50"/>
      <c r="Y1494" s="179"/>
      <c r="Z1494" s="50"/>
      <c r="AA1494" s="14"/>
    </row>
    <row r="1495">
      <c r="A1495" s="14"/>
      <c r="B1495" s="14"/>
      <c r="C1495" s="158"/>
      <c r="D1495" s="96"/>
      <c r="E1495" s="96"/>
      <c r="F1495" s="96"/>
      <c r="G1495" s="50"/>
      <c r="H1495" s="96"/>
      <c r="I1495" s="96"/>
      <c r="J1495" s="96"/>
      <c r="K1495" s="50"/>
      <c r="L1495" s="96"/>
      <c r="M1495" s="96"/>
      <c r="N1495" s="14"/>
      <c r="O1495" s="50"/>
      <c r="P1495" s="50"/>
      <c r="Q1495" s="50"/>
      <c r="R1495" s="50"/>
      <c r="S1495" s="50"/>
      <c r="T1495" s="50"/>
      <c r="U1495" s="50"/>
      <c r="V1495" s="50"/>
      <c r="W1495" s="14"/>
      <c r="X1495" s="50"/>
      <c r="Y1495" s="179"/>
      <c r="Z1495" s="50"/>
      <c r="AA1495" s="14"/>
    </row>
    <row r="1496">
      <c r="A1496" s="14"/>
      <c r="B1496" s="14"/>
      <c r="C1496" s="158"/>
      <c r="D1496" s="96"/>
      <c r="E1496" s="96"/>
      <c r="F1496" s="96"/>
      <c r="G1496" s="50"/>
      <c r="H1496" s="96"/>
      <c r="I1496" s="96"/>
      <c r="J1496" s="96"/>
      <c r="K1496" s="50"/>
      <c r="L1496" s="96"/>
      <c r="M1496" s="96"/>
      <c r="N1496" s="14"/>
      <c r="O1496" s="50"/>
      <c r="P1496" s="50"/>
      <c r="Q1496" s="50"/>
      <c r="R1496" s="50"/>
      <c r="S1496" s="50"/>
      <c r="T1496" s="50"/>
      <c r="U1496" s="50"/>
      <c r="V1496" s="50"/>
      <c r="W1496" s="14"/>
      <c r="X1496" s="50"/>
      <c r="Y1496" s="179"/>
      <c r="Z1496" s="50"/>
      <c r="AA1496" s="14"/>
    </row>
    <row r="1497">
      <c r="A1497" s="14"/>
      <c r="B1497" s="14"/>
      <c r="C1497" s="158"/>
      <c r="D1497" s="96"/>
      <c r="E1497" s="96"/>
      <c r="F1497" s="96"/>
      <c r="G1497" s="50"/>
      <c r="H1497" s="96"/>
      <c r="I1497" s="96"/>
      <c r="J1497" s="96"/>
      <c r="K1497" s="50"/>
      <c r="L1497" s="96"/>
      <c r="M1497" s="96"/>
      <c r="N1497" s="14"/>
      <c r="O1497" s="50"/>
      <c r="P1497" s="50"/>
      <c r="Q1497" s="50"/>
      <c r="R1497" s="50"/>
      <c r="S1497" s="50"/>
      <c r="T1497" s="50"/>
      <c r="U1497" s="50"/>
      <c r="V1497" s="50"/>
      <c r="W1497" s="14"/>
      <c r="X1497" s="50"/>
      <c r="Y1497" s="179"/>
      <c r="Z1497" s="50"/>
      <c r="AA1497" s="14"/>
    </row>
    <row r="1498">
      <c r="A1498" s="14"/>
      <c r="B1498" s="14"/>
      <c r="C1498" s="158"/>
      <c r="D1498" s="96"/>
      <c r="E1498" s="96"/>
      <c r="F1498" s="96"/>
      <c r="G1498" s="50"/>
      <c r="H1498" s="96"/>
      <c r="I1498" s="96"/>
      <c r="J1498" s="96"/>
      <c r="K1498" s="50"/>
      <c r="L1498" s="96"/>
      <c r="M1498" s="96"/>
      <c r="N1498" s="14"/>
      <c r="O1498" s="50"/>
      <c r="P1498" s="50"/>
      <c r="Q1498" s="50"/>
      <c r="R1498" s="50"/>
      <c r="S1498" s="50"/>
      <c r="T1498" s="50"/>
      <c r="U1498" s="50"/>
      <c r="V1498" s="50"/>
      <c r="W1498" s="14"/>
      <c r="X1498" s="50"/>
      <c r="Y1498" s="179"/>
      <c r="Z1498" s="50"/>
      <c r="AA1498" s="14"/>
    </row>
  </sheetData>
  <autoFilter ref="$A$2:$AA$498">
    <sortState ref="A2:AA498">
      <sortCondition descending="1" ref="J2:J498"/>
    </sortState>
  </autoFilter>
  <mergeCells count="993">
    <mergeCell ref="Q400:R400"/>
    <mergeCell ref="Q401:R401"/>
    <mergeCell ref="Q393:R393"/>
    <mergeCell ref="Q394:R394"/>
    <mergeCell ref="Q395:R395"/>
    <mergeCell ref="Q396:R396"/>
    <mergeCell ref="Q397:R397"/>
    <mergeCell ref="Q398:R398"/>
    <mergeCell ref="Q399:R399"/>
    <mergeCell ref="O375:P375"/>
    <mergeCell ref="Q375:R375"/>
    <mergeCell ref="O376:P376"/>
    <mergeCell ref="Q376:R376"/>
    <mergeCell ref="O377:P377"/>
    <mergeCell ref="Q377:R377"/>
    <mergeCell ref="Q378:R378"/>
    <mergeCell ref="O378:P378"/>
    <mergeCell ref="O379:P379"/>
    <mergeCell ref="O380:P380"/>
    <mergeCell ref="O381:P381"/>
    <mergeCell ref="O382:P382"/>
    <mergeCell ref="O383:P383"/>
    <mergeCell ref="O384:P384"/>
    <mergeCell ref="Q379:R379"/>
    <mergeCell ref="Q380:R380"/>
    <mergeCell ref="Q381:R381"/>
    <mergeCell ref="Q382:R382"/>
    <mergeCell ref="Q383:R383"/>
    <mergeCell ref="Q384:R384"/>
    <mergeCell ref="Q385:R385"/>
    <mergeCell ref="O385:P385"/>
    <mergeCell ref="O386:P386"/>
    <mergeCell ref="O387:P387"/>
    <mergeCell ref="O388:P388"/>
    <mergeCell ref="O389:P389"/>
    <mergeCell ref="O390:P390"/>
    <mergeCell ref="O391:P391"/>
    <mergeCell ref="Q386:R386"/>
    <mergeCell ref="Q387:R387"/>
    <mergeCell ref="Q388:R388"/>
    <mergeCell ref="Q389:R389"/>
    <mergeCell ref="Q390:R390"/>
    <mergeCell ref="Q391:R391"/>
    <mergeCell ref="Q392:R392"/>
    <mergeCell ref="O392:P392"/>
    <mergeCell ref="O393:P393"/>
    <mergeCell ref="O394:P394"/>
    <mergeCell ref="O395:P395"/>
    <mergeCell ref="O396:P396"/>
    <mergeCell ref="O397:P397"/>
    <mergeCell ref="O398:P398"/>
    <mergeCell ref="O399:P399"/>
    <mergeCell ref="O400:P400"/>
    <mergeCell ref="O401:P401"/>
    <mergeCell ref="O402:P402"/>
    <mergeCell ref="Q402:R402"/>
    <mergeCell ref="O403:P403"/>
    <mergeCell ref="Q403:R403"/>
    <mergeCell ref="Q429:R429"/>
    <mergeCell ref="Q430:R430"/>
    <mergeCell ref="Q422:R422"/>
    <mergeCell ref="Q423:R423"/>
    <mergeCell ref="Q424:R424"/>
    <mergeCell ref="Q425:R425"/>
    <mergeCell ref="Q426:R426"/>
    <mergeCell ref="Q427:R427"/>
    <mergeCell ref="Q428:R428"/>
    <mergeCell ref="O404:P404"/>
    <mergeCell ref="Q404:R404"/>
    <mergeCell ref="O405:P405"/>
    <mergeCell ref="Q405:R405"/>
    <mergeCell ref="O406:P406"/>
    <mergeCell ref="Q406:R406"/>
    <mergeCell ref="Q407:R407"/>
    <mergeCell ref="O407:P407"/>
    <mergeCell ref="O408:P408"/>
    <mergeCell ref="O409:P409"/>
    <mergeCell ref="O410:P410"/>
    <mergeCell ref="O411:P411"/>
    <mergeCell ref="O412:P412"/>
    <mergeCell ref="O413:P413"/>
    <mergeCell ref="Q408:R408"/>
    <mergeCell ref="Q409:R409"/>
    <mergeCell ref="Q410:R410"/>
    <mergeCell ref="Q411:R411"/>
    <mergeCell ref="Q412:R412"/>
    <mergeCell ref="Q413:R413"/>
    <mergeCell ref="Q414:R414"/>
    <mergeCell ref="O414:P414"/>
    <mergeCell ref="O415:P415"/>
    <mergeCell ref="O416:P416"/>
    <mergeCell ref="O417:P417"/>
    <mergeCell ref="O418:P418"/>
    <mergeCell ref="O419:P419"/>
    <mergeCell ref="O420:P420"/>
    <mergeCell ref="Q415:R415"/>
    <mergeCell ref="Q416:R416"/>
    <mergeCell ref="Q417:R417"/>
    <mergeCell ref="Q418:R418"/>
    <mergeCell ref="Q419:R419"/>
    <mergeCell ref="Q420:R420"/>
    <mergeCell ref="Q421:R421"/>
    <mergeCell ref="O421:P421"/>
    <mergeCell ref="O422:P422"/>
    <mergeCell ref="O423:P423"/>
    <mergeCell ref="O424:P424"/>
    <mergeCell ref="O425:P425"/>
    <mergeCell ref="O426:P426"/>
    <mergeCell ref="O427:P427"/>
    <mergeCell ref="O428:P428"/>
    <mergeCell ref="O429:P429"/>
    <mergeCell ref="O430:P430"/>
    <mergeCell ref="O431:P431"/>
    <mergeCell ref="Q431:R431"/>
    <mergeCell ref="O432:P432"/>
    <mergeCell ref="Q432:R432"/>
    <mergeCell ref="Q458:R458"/>
    <mergeCell ref="Q459:R459"/>
    <mergeCell ref="Q451:R451"/>
    <mergeCell ref="Q452:R452"/>
    <mergeCell ref="Q453:R453"/>
    <mergeCell ref="Q454:R454"/>
    <mergeCell ref="Q455:R455"/>
    <mergeCell ref="Q456:R456"/>
    <mergeCell ref="Q457:R457"/>
    <mergeCell ref="O433:P433"/>
    <mergeCell ref="Q433:R433"/>
    <mergeCell ref="O434:P434"/>
    <mergeCell ref="Q434:R434"/>
    <mergeCell ref="O435:P435"/>
    <mergeCell ref="Q435:R435"/>
    <mergeCell ref="Q436:R436"/>
    <mergeCell ref="O436:P436"/>
    <mergeCell ref="O437:P437"/>
    <mergeCell ref="O438:P438"/>
    <mergeCell ref="O439:P439"/>
    <mergeCell ref="O440:P440"/>
    <mergeCell ref="O441:P441"/>
    <mergeCell ref="O442:P442"/>
    <mergeCell ref="Q437:R437"/>
    <mergeCell ref="Q438:R438"/>
    <mergeCell ref="Q439:R439"/>
    <mergeCell ref="Q440:R440"/>
    <mergeCell ref="Q441:R441"/>
    <mergeCell ref="Q442:R442"/>
    <mergeCell ref="Q443:R443"/>
    <mergeCell ref="O443:P443"/>
    <mergeCell ref="O444:P444"/>
    <mergeCell ref="O445:P445"/>
    <mergeCell ref="O446:P446"/>
    <mergeCell ref="O447:P447"/>
    <mergeCell ref="O448:P448"/>
    <mergeCell ref="O449:P449"/>
    <mergeCell ref="Q444:R444"/>
    <mergeCell ref="Q445:R445"/>
    <mergeCell ref="Q446:R446"/>
    <mergeCell ref="Q447:R447"/>
    <mergeCell ref="Q448:R448"/>
    <mergeCell ref="Q449:R449"/>
    <mergeCell ref="Q450:R450"/>
    <mergeCell ref="O450:P450"/>
    <mergeCell ref="O451:P451"/>
    <mergeCell ref="O452:P452"/>
    <mergeCell ref="O453:P453"/>
    <mergeCell ref="O454:P454"/>
    <mergeCell ref="O455:P455"/>
    <mergeCell ref="O456:P456"/>
    <mergeCell ref="O457:P457"/>
    <mergeCell ref="O458:P458"/>
    <mergeCell ref="O459:P459"/>
    <mergeCell ref="O460:P460"/>
    <mergeCell ref="Q460:R460"/>
    <mergeCell ref="O461:P461"/>
    <mergeCell ref="Q461:R461"/>
    <mergeCell ref="Q487:R487"/>
    <mergeCell ref="Q488:R488"/>
    <mergeCell ref="Q480:R480"/>
    <mergeCell ref="Q481:R481"/>
    <mergeCell ref="Q482:R482"/>
    <mergeCell ref="Q483:R483"/>
    <mergeCell ref="Q484:R484"/>
    <mergeCell ref="Q485:R485"/>
    <mergeCell ref="Q486:R486"/>
    <mergeCell ref="O462:P462"/>
    <mergeCell ref="Q462:R462"/>
    <mergeCell ref="O463:P463"/>
    <mergeCell ref="Q463:R463"/>
    <mergeCell ref="O464:P464"/>
    <mergeCell ref="Q464:R464"/>
    <mergeCell ref="Q465:R465"/>
    <mergeCell ref="O465:P465"/>
    <mergeCell ref="O466:P466"/>
    <mergeCell ref="O467:P467"/>
    <mergeCell ref="O468:P468"/>
    <mergeCell ref="O469:P469"/>
    <mergeCell ref="O470:P470"/>
    <mergeCell ref="O471:P471"/>
    <mergeCell ref="Q466:R466"/>
    <mergeCell ref="Q467:R467"/>
    <mergeCell ref="Q468:R468"/>
    <mergeCell ref="Q469:R469"/>
    <mergeCell ref="Q470:R470"/>
    <mergeCell ref="Q471:R471"/>
    <mergeCell ref="Q472:R472"/>
    <mergeCell ref="O472:P472"/>
    <mergeCell ref="O473:P473"/>
    <mergeCell ref="O474:P474"/>
    <mergeCell ref="O475:P475"/>
    <mergeCell ref="O476:P476"/>
    <mergeCell ref="O477:P477"/>
    <mergeCell ref="O478:P478"/>
    <mergeCell ref="Q473:R473"/>
    <mergeCell ref="Q474:R474"/>
    <mergeCell ref="Q475:R475"/>
    <mergeCell ref="Q476:R476"/>
    <mergeCell ref="Q477:R477"/>
    <mergeCell ref="Q478:R478"/>
    <mergeCell ref="Q479:R479"/>
    <mergeCell ref="O479:P479"/>
    <mergeCell ref="O480:P480"/>
    <mergeCell ref="O481:P481"/>
    <mergeCell ref="O482:P482"/>
    <mergeCell ref="O483:P483"/>
    <mergeCell ref="O484:P484"/>
    <mergeCell ref="O485:P485"/>
    <mergeCell ref="O486:P486"/>
    <mergeCell ref="O487:P487"/>
    <mergeCell ref="O488:P488"/>
    <mergeCell ref="O489:P489"/>
    <mergeCell ref="Q489:R489"/>
    <mergeCell ref="O490:P490"/>
    <mergeCell ref="Q490:R490"/>
    <mergeCell ref="Q139:R139"/>
    <mergeCell ref="Q140:R140"/>
    <mergeCell ref="Q132:R132"/>
    <mergeCell ref="Q133:R133"/>
    <mergeCell ref="Q134:R134"/>
    <mergeCell ref="Q135:R135"/>
    <mergeCell ref="Q136:R136"/>
    <mergeCell ref="Q137:R137"/>
    <mergeCell ref="Q138:R138"/>
    <mergeCell ref="O114:P114"/>
    <mergeCell ref="Q114:R114"/>
    <mergeCell ref="O115:P115"/>
    <mergeCell ref="Q115:R115"/>
    <mergeCell ref="O116:P116"/>
    <mergeCell ref="Q116:R116"/>
    <mergeCell ref="Q117:R117"/>
    <mergeCell ref="O117:P117"/>
    <mergeCell ref="O118:P118"/>
    <mergeCell ref="O119:P119"/>
    <mergeCell ref="O120:P120"/>
    <mergeCell ref="O121:P121"/>
    <mergeCell ref="O122:P122"/>
    <mergeCell ref="O123:P123"/>
    <mergeCell ref="Q118:R118"/>
    <mergeCell ref="Q119:R119"/>
    <mergeCell ref="Q120:R120"/>
    <mergeCell ref="Q121:R121"/>
    <mergeCell ref="Q122:R122"/>
    <mergeCell ref="Q123:R123"/>
    <mergeCell ref="Q124:R124"/>
    <mergeCell ref="O124:P124"/>
    <mergeCell ref="O125:P125"/>
    <mergeCell ref="O126:P126"/>
    <mergeCell ref="O127:P127"/>
    <mergeCell ref="O128:P128"/>
    <mergeCell ref="O129:P129"/>
    <mergeCell ref="O130:P130"/>
    <mergeCell ref="Q125:R125"/>
    <mergeCell ref="Q126:R126"/>
    <mergeCell ref="Q127:R127"/>
    <mergeCell ref="Q128:R128"/>
    <mergeCell ref="Q129:R129"/>
    <mergeCell ref="Q130:R130"/>
    <mergeCell ref="Q131:R131"/>
    <mergeCell ref="O131:P131"/>
    <mergeCell ref="O132:P132"/>
    <mergeCell ref="O133:P133"/>
    <mergeCell ref="O134:P134"/>
    <mergeCell ref="O135:P135"/>
    <mergeCell ref="O136:P136"/>
    <mergeCell ref="O137:P137"/>
    <mergeCell ref="O138:P138"/>
    <mergeCell ref="O139:P139"/>
    <mergeCell ref="O140:P140"/>
    <mergeCell ref="O141:P141"/>
    <mergeCell ref="Q141:R141"/>
    <mergeCell ref="O142:P142"/>
    <mergeCell ref="Q142:R142"/>
    <mergeCell ref="Q168:R168"/>
    <mergeCell ref="Q169:R169"/>
    <mergeCell ref="Q161:R161"/>
    <mergeCell ref="Q162:R162"/>
    <mergeCell ref="Q163:R163"/>
    <mergeCell ref="Q164:R164"/>
    <mergeCell ref="Q165:R165"/>
    <mergeCell ref="Q166:R166"/>
    <mergeCell ref="Q167:R167"/>
    <mergeCell ref="O143:P143"/>
    <mergeCell ref="Q143:R143"/>
    <mergeCell ref="O144:P144"/>
    <mergeCell ref="Q144:R144"/>
    <mergeCell ref="O145:P145"/>
    <mergeCell ref="Q145:R145"/>
    <mergeCell ref="Q146:R146"/>
    <mergeCell ref="O146:P146"/>
    <mergeCell ref="O147:P147"/>
    <mergeCell ref="O148:P148"/>
    <mergeCell ref="O149:P149"/>
    <mergeCell ref="O150:P150"/>
    <mergeCell ref="O151:P151"/>
    <mergeCell ref="O152:P152"/>
    <mergeCell ref="Q147:R147"/>
    <mergeCell ref="Q148:R148"/>
    <mergeCell ref="Q149:R149"/>
    <mergeCell ref="Q150:R150"/>
    <mergeCell ref="Q151:R151"/>
    <mergeCell ref="Q152:R152"/>
    <mergeCell ref="Q153:R153"/>
    <mergeCell ref="O153:P153"/>
    <mergeCell ref="O154:P154"/>
    <mergeCell ref="O155:P155"/>
    <mergeCell ref="O156:P156"/>
    <mergeCell ref="O157:P157"/>
    <mergeCell ref="O158:P158"/>
    <mergeCell ref="O159:P159"/>
    <mergeCell ref="Q154:R154"/>
    <mergeCell ref="Q155:R155"/>
    <mergeCell ref="Q156:R156"/>
    <mergeCell ref="Q157:R157"/>
    <mergeCell ref="Q158:R158"/>
    <mergeCell ref="Q159:R159"/>
    <mergeCell ref="Q160:R160"/>
    <mergeCell ref="O160:P160"/>
    <mergeCell ref="O161:P161"/>
    <mergeCell ref="O162:P162"/>
    <mergeCell ref="O163:P163"/>
    <mergeCell ref="O164:P164"/>
    <mergeCell ref="O165:P165"/>
    <mergeCell ref="O166:P166"/>
    <mergeCell ref="O167:P167"/>
    <mergeCell ref="O168:P168"/>
    <mergeCell ref="O169:P169"/>
    <mergeCell ref="O170:P170"/>
    <mergeCell ref="Q170:R170"/>
    <mergeCell ref="O171:P171"/>
    <mergeCell ref="Q171:R171"/>
    <mergeCell ref="Q197:R197"/>
    <mergeCell ref="Q198:R198"/>
    <mergeCell ref="Q190:R190"/>
    <mergeCell ref="Q191:R191"/>
    <mergeCell ref="Q192:R192"/>
    <mergeCell ref="Q193:R193"/>
    <mergeCell ref="Q194:R194"/>
    <mergeCell ref="Q195:R195"/>
    <mergeCell ref="Q196:R196"/>
    <mergeCell ref="O172:P172"/>
    <mergeCell ref="Q172:R172"/>
    <mergeCell ref="O173:P173"/>
    <mergeCell ref="Q173:R173"/>
    <mergeCell ref="O174:P174"/>
    <mergeCell ref="Q174:R174"/>
    <mergeCell ref="Q175:R175"/>
    <mergeCell ref="O175:P175"/>
    <mergeCell ref="O176:P176"/>
    <mergeCell ref="O177:P177"/>
    <mergeCell ref="O178:P178"/>
    <mergeCell ref="O179:P179"/>
    <mergeCell ref="O180:P180"/>
    <mergeCell ref="O181:P181"/>
    <mergeCell ref="Q176:R176"/>
    <mergeCell ref="Q177:R177"/>
    <mergeCell ref="Q178:R178"/>
    <mergeCell ref="Q179:R179"/>
    <mergeCell ref="Q180:R180"/>
    <mergeCell ref="Q181:R181"/>
    <mergeCell ref="Q182:R182"/>
    <mergeCell ref="O182:P182"/>
    <mergeCell ref="O183:P183"/>
    <mergeCell ref="O184:P184"/>
    <mergeCell ref="O185:P185"/>
    <mergeCell ref="O186:P186"/>
    <mergeCell ref="O187:P187"/>
    <mergeCell ref="O188:P188"/>
    <mergeCell ref="Q183:R183"/>
    <mergeCell ref="Q184:R184"/>
    <mergeCell ref="Q185:R185"/>
    <mergeCell ref="Q186:R186"/>
    <mergeCell ref="Q187:R187"/>
    <mergeCell ref="Q188:R188"/>
    <mergeCell ref="Q189:R189"/>
    <mergeCell ref="O189:P189"/>
    <mergeCell ref="O190:P190"/>
    <mergeCell ref="O191:P191"/>
    <mergeCell ref="O192:P192"/>
    <mergeCell ref="O193:P193"/>
    <mergeCell ref="O194:P194"/>
    <mergeCell ref="O195:P195"/>
    <mergeCell ref="O196:P196"/>
    <mergeCell ref="O197:P197"/>
    <mergeCell ref="O198:P198"/>
    <mergeCell ref="O199:P199"/>
    <mergeCell ref="Q199:R199"/>
    <mergeCell ref="O200:P200"/>
    <mergeCell ref="Q200:R200"/>
    <mergeCell ref="O494:P494"/>
    <mergeCell ref="O495:P495"/>
    <mergeCell ref="O496:P496"/>
    <mergeCell ref="O497:P497"/>
    <mergeCell ref="O498:P498"/>
    <mergeCell ref="Q495:R495"/>
    <mergeCell ref="Q496:R496"/>
    <mergeCell ref="Q497:R497"/>
    <mergeCell ref="Q498:R498"/>
    <mergeCell ref="O491:P491"/>
    <mergeCell ref="Q491:R491"/>
    <mergeCell ref="O492:P492"/>
    <mergeCell ref="Q492:R492"/>
    <mergeCell ref="O493:P493"/>
    <mergeCell ref="Q493:R493"/>
    <mergeCell ref="Q494:R494"/>
    <mergeCell ref="A1:AA1"/>
    <mergeCell ref="O3:P3"/>
    <mergeCell ref="Q3:R3"/>
    <mergeCell ref="O4:P4"/>
    <mergeCell ref="Q4:R4"/>
    <mergeCell ref="O5:P5"/>
    <mergeCell ref="Q5:R5"/>
    <mergeCell ref="O6:P6"/>
    <mergeCell ref="Q6:R6"/>
    <mergeCell ref="O7:P7"/>
    <mergeCell ref="Q7:R7"/>
    <mergeCell ref="O8:P8"/>
    <mergeCell ref="Q8:R8"/>
    <mergeCell ref="Q9:R9"/>
    <mergeCell ref="O9:P9"/>
    <mergeCell ref="O10:P10"/>
    <mergeCell ref="O11:P11"/>
    <mergeCell ref="O12:P12"/>
    <mergeCell ref="O13:P13"/>
    <mergeCell ref="O14:P14"/>
    <mergeCell ref="O15:P15"/>
    <mergeCell ref="Q10:R10"/>
    <mergeCell ref="Q11:R11"/>
    <mergeCell ref="Q12:R12"/>
    <mergeCell ref="Q13:R13"/>
    <mergeCell ref="Q14:R14"/>
    <mergeCell ref="Q15:R15"/>
    <mergeCell ref="Q16:R16"/>
    <mergeCell ref="O16:P16"/>
    <mergeCell ref="O17:P17"/>
    <mergeCell ref="O18:P18"/>
    <mergeCell ref="O19:P19"/>
    <mergeCell ref="O20:P20"/>
    <mergeCell ref="O21:P21"/>
    <mergeCell ref="O22:P22"/>
    <mergeCell ref="Q24:R24"/>
    <mergeCell ref="Q25:R25"/>
    <mergeCell ref="Q26:R26"/>
    <mergeCell ref="Q27:R27"/>
    <mergeCell ref="Q28:R28"/>
    <mergeCell ref="Q29:R29"/>
    <mergeCell ref="Q30:R30"/>
    <mergeCell ref="Q17:R17"/>
    <mergeCell ref="Q18:R18"/>
    <mergeCell ref="Q19:R19"/>
    <mergeCell ref="Q20:R20"/>
    <mergeCell ref="Q21:R21"/>
    <mergeCell ref="Q22:R22"/>
    <mergeCell ref="Q23:R23"/>
    <mergeCell ref="Q52:R52"/>
    <mergeCell ref="Q53:R53"/>
    <mergeCell ref="Q45:R45"/>
    <mergeCell ref="Q46:R46"/>
    <mergeCell ref="Q47:R47"/>
    <mergeCell ref="Q48:R48"/>
    <mergeCell ref="Q49:R49"/>
    <mergeCell ref="Q50:R50"/>
    <mergeCell ref="Q51:R51"/>
    <mergeCell ref="O23:P23"/>
    <mergeCell ref="O24:P24"/>
    <mergeCell ref="O25:P25"/>
    <mergeCell ref="O26:P26"/>
    <mergeCell ref="O27:P27"/>
    <mergeCell ref="O28:P28"/>
    <mergeCell ref="O29:P29"/>
    <mergeCell ref="O30:P30"/>
    <mergeCell ref="O31:P31"/>
    <mergeCell ref="Q31:R31"/>
    <mergeCell ref="O32:P32"/>
    <mergeCell ref="Q32:R32"/>
    <mergeCell ref="O33:P33"/>
    <mergeCell ref="Q33:R33"/>
    <mergeCell ref="O34:P34"/>
    <mergeCell ref="Q34:R34"/>
    <mergeCell ref="O35:P35"/>
    <mergeCell ref="Q35:R35"/>
    <mergeCell ref="O36:P36"/>
    <mergeCell ref="Q36:R36"/>
    <mergeCell ref="Q37:R37"/>
    <mergeCell ref="O37:P37"/>
    <mergeCell ref="O38:P38"/>
    <mergeCell ref="O39:P39"/>
    <mergeCell ref="O40:P40"/>
    <mergeCell ref="O41:P41"/>
    <mergeCell ref="O42:P42"/>
    <mergeCell ref="O43:P43"/>
    <mergeCell ref="Q38:R38"/>
    <mergeCell ref="Q39:R39"/>
    <mergeCell ref="Q40:R40"/>
    <mergeCell ref="Q41:R41"/>
    <mergeCell ref="Q42:R42"/>
    <mergeCell ref="Q43:R43"/>
    <mergeCell ref="Q44:R44"/>
    <mergeCell ref="O44:P44"/>
    <mergeCell ref="O45:P45"/>
    <mergeCell ref="O46:P46"/>
    <mergeCell ref="O47:P47"/>
    <mergeCell ref="O48:P48"/>
    <mergeCell ref="O49:P49"/>
    <mergeCell ref="O50:P50"/>
    <mergeCell ref="O51:P51"/>
    <mergeCell ref="O52:P52"/>
    <mergeCell ref="O53:P53"/>
    <mergeCell ref="O54:P54"/>
    <mergeCell ref="Q54:R54"/>
    <mergeCell ref="O55:P55"/>
    <mergeCell ref="Q55:R55"/>
    <mergeCell ref="Q81:R81"/>
    <mergeCell ref="Q82:R82"/>
    <mergeCell ref="Q74:R74"/>
    <mergeCell ref="Q75:R75"/>
    <mergeCell ref="Q76:R76"/>
    <mergeCell ref="Q77:R77"/>
    <mergeCell ref="Q78:R78"/>
    <mergeCell ref="Q79:R79"/>
    <mergeCell ref="Q80:R80"/>
    <mergeCell ref="O56:P56"/>
    <mergeCell ref="Q56:R56"/>
    <mergeCell ref="O57:P57"/>
    <mergeCell ref="Q57:R57"/>
    <mergeCell ref="O58:P58"/>
    <mergeCell ref="Q58:R58"/>
    <mergeCell ref="Q59:R59"/>
    <mergeCell ref="O59:P59"/>
    <mergeCell ref="O60:P60"/>
    <mergeCell ref="O61:P61"/>
    <mergeCell ref="O62:P62"/>
    <mergeCell ref="O63:P63"/>
    <mergeCell ref="O64:P64"/>
    <mergeCell ref="O65:P65"/>
    <mergeCell ref="Q60:R60"/>
    <mergeCell ref="Q61:R61"/>
    <mergeCell ref="Q62:R62"/>
    <mergeCell ref="Q63:R63"/>
    <mergeCell ref="Q64:R64"/>
    <mergeCell ref="Q65:R65"/>
    <mergeCell ref="Q66:R66"/>
    <mergeCell ref="O66:P66"/>
    <mergeCell ref="O67:P67"/>
    <mergeCell ref="O68:P68"/>
    <mergeCell ref="O69:P69"/>
    <mergeCell ref="O70:P70"/>
    <mergeCell ref="O71:P71"/>
    <mergeCell ref="O72:P72"/>
    <mergeCell ref="Q67:R67"/>
    <mergeCell ref="Q68:R68"/>
    <mergeCell ref="Q69:R69"/>
    <mergeCell ref="Q70:R70"/>
    <mergeCell ref="Q71:R71"/>
    <mergeCell ref="Q72:R72"/>
    <mergeCell ref="Q73:R73"/>
    <mergeCell ref="O73:P73"/>
    <mergeCell ref="O74:P74"/>
    <mergeCell ref="O75:P75"/>
    <mergeCell ref="O76:P76"/>
    <mergeCell ref="O77:P77"/>
    <mergeCell ref="O78:P78"/>
    <mergeCell ref="O79:P79"/>
    <mergeCell ref="O80:P80"/>
    <mergeCell ref="O81:P81"/>
    <mergeCell ref="O82:P82"/>
    <mergeCell ref="O83:P83"/>
    <mergeCell ref="Q83:R83"/>
    <mergeCell ref="O84:P84"/>
    <mergeCell ref="Q84:R84"/>
    <mergeCell ref="Q110:R110"/>
    <mergeCell ref="Q111:R111"/>
    <mergeCell ref="Q103:R103"/>
    <mergeCell ref="Q104:R104"/>
    <mergeCell ref="Q105:R105"/>
    <mergeCell ref="Q106:R106"/>
    <mergeCell ref="Q107:R107"/>
    <mergeCell ref="Q108:R108"/>
    <mergeCell ref="Q109:R109"/>
    <mergeCell ref="O85:P85"/>
    <mergeCell ref="Q85:R85"/>
    <mergeCell ref="O86:P86"/>
    <mergeCell ref="Q86:R86"/>
    <mergeCell ref="O87:P87"/>
    <mergeCell ref="Q87:R87"/>
    <mergeCell ref="Q88:R88"/>
    <mergeCell ref="O88:P88"/>
    <mergeCell ref="O89:P89"/>
    <mergeCell ref="O90:P90"/>
    <mergeCell ref="O91:P91"/>
    <mergeCell ref="O92:P92"/>
    <mergeCell ref="O93:P93"/>
    <mergeCell ref="O94:P94"/>
    <mergeCell ref="Q89:R89"/>
    <mergeCell ref="Q90:R90"/>
    <mergeCell ref="Q91:R91"/>
    <mergeCell ref="Q92:R92"/>
    <mergeCell ref="Q93:R93"/>
    <mergeCell ref="Q94:R94"/>
    <mergeCell ref="Q95:R95"/>
    <mergeCell ref="O95:P95"/>
    <mergeCell ref="O96:P96"/>
    <mergeCell ref="O97:P97"/>
    <mergeCell ref="O98:P98"/>
    <mergeCell ref="O99:P99"/>
    <mergeCell ref="O100:P100"/>
    <mergeCell ref="O101:P101"/>
    <mergeCell ref="Q96:R96"/>
    <mergeCell ref="Q97:R97"/>
    <mergeCell ref="Q98:R98"/>
    <mergeCell ref="Q99:R99"/>
    <mergeCell ref="Q100:R100"/>
    <mergeCell ref="Q101:R101"/>
    <mergeCell ref="Q102:R102"/>
    <mergeCell ref="O102:P102"/>
    <mergeCell ref="O103:P103"/>
    <mergeCell ref="O104:P104"/>
    <mergeCell ref="O105:P105"/>
    <mergeCell ref="O106:P106"/>
    <mergeCell ref="O107:P107"/>
    <mergeCell ref="O108:P108"/>
    <mergeCell ref="O109:P109"/>
    <mergeCell ref="O110:P110"/>
    <mergeCell ref="O111:P111"/>
    <mergeCell ref="O112:P112"/>
    <mergeCell ref="Q112:R112"/>
    <mergeCell ref="O113:P113"/>
    <mergeCell ref="Q113:R113"/>
    <mergeCell ref="Q226:R226"/>
    <mergeCell ref="Q227:R227"/>
    <mergeCell ref="Q219:R219"/>
    <mergeCell ref="Q220:R220"/>
    <mergeCell ref="Q221:R221"/>
    <mergeCell ref="Q222:R222"/>
    <mergeCell ref="Q223:R223"/>
    <mergeCell ref="Q224:R224"/>
    <mergeCell ref="Q225:R225"/>
    <mergeCell ref="O201:P201"/>
    <mergeCell ref="Q201:R201"/>
    <mergeCell ref="O202:P202"/>
    <mergeCell ref="Q202:R202"/>
    <mergeCell ref="O203:P203"/>
    <mergeCell ref="Q203:R203"/>
    <mergeCell ref="Q204:R204"/>
    <mergeCell ref="O204:P204"/>
    <mergeCell ref="O205:P205"/>
    <mergeCell ref="O206:P206"/>
    <mergeCell ref="O207:P207"/>
    <mergeCell ref="O208:P208"/>
    <mergeCell ref="O209:P209"/>
    <mergeCell ref="O210:P210"/>
    <mergeCell ref="Q205:R205"/>
    <mergeCell ref="Q206:R206"/>
    <mergeCell ref="Q207:R207"/>
    <mergeCell ref="Q208:R208"/>
    <mergeCell ref="Q209:R209"/>
    <mergeCell ref="Q210:R210"/>
    <mergeCell ref="Q211:R211"/>
    <mergeCell ref="O211:P211"/>
    <mergeCell ref="O212:P212"/>
    <mergeCell ref="O213:P213"/>
    <mergeCell ref="O214:P214"/>
    <mergeCell ref="O215:P215"/>
    <mergeCell ref="O216:P216"/>
    <mergeCell ref="O217:P217"/>
    <mergeCell ref="Q212:R212"/>
    <mergeCell ref="Q213:R213"/>
    <mergeCell ref="Q214:R214"/>
    <mergeCell ref="Q215:R215"/>
    <mergeCell ref="Q216:R216"/>
    <mergeCell ref="Q217:R217"/>
    <mergeCell ref="Q218:R218"/>
    <mergeCell ref="O218:P218"/>
    <mergeCell ref="O219:P219"/>
    <mergeCell ref="O220:P220"/>
    <mergeCell ref="O221:P221"/>
    <mergeCell ref="O222:P222"/>
    <mergeCell ref="O223:P223"/>
    <mergeCell ref="O224:P224"/>
    <mergeCell ref="O225:P225"/>
    <mergeCell ref="O226:P226"/>
    <mergeCell ref="O227:P227"/>
    <mergeCell ref="O228:P228"/>
    <mergeCell ref="Q228:R228"/>
    <mergeCell ref="O229:P229"/>
    <mergeCell ref="Q229:R229"/>
    <mergeCell ref="Q255:R255"/>
    <mergeCell ref="Q256:R256"/>
    <mergeCell ref="Q248:R248"/>
    <mergeCell ref="Q249:R249"/>
    <mergeCell ref="Q250:R250"/>
    <mergeCell ref="Q251:R251"/>
    <mergeCell ref="Q252:R252"/>
    <mergeCell ref="Q253:R253"/>
    <mergeCell ref="Q254:R254"/>
    <mergeCell ref="O230:P230"/>
    <mergeCell ref="Q230:R230"/>
    <mergeCell ref="O231:P231"/>
    <mergeCell ref="Q231:R231"/>
    <mergeCell ref="O232:P232"/>
    <mergeCell ref="Q232:R232"/>
    <mergeCell ref="Q233:R233"/>
    <mergeCell ref="O233:P233"/>
    <mergeCell ref="O234:P234"/>
    <mergeCell ref="O235:P235"/>
    <mergeCell ref="O236:P236"/>
    <mergeCell ref="O237:P237"/>
    <mergeCell ref="O238:P238"/>
    <mergeCell ref="O239:P239"/>
    <mergeCell ref="Q234:R234"/>
    <mergeCell ref="Q235:R235"/>
    <mergeCell ref="Q236:R236"/>
    <mergeCell ref="Q237:R237"/>
    <mergeCell ref="Q238:R238"/>
    <mergeCell ref="Q239:R239"/>
    <mergeCell ref="Q240:R240"/>
    <mergeCell ref="O240:P240"/>
    <mergeCell ref="O241:P241"/>
    <mergeCell ref="O242:P242"/>
    <mergeCell ref="O243:P243"/>
    <mergeCell ref="O244:P244"/>
    <mergeCell ref="O245:P245"/>
    <mergeCell ref="O246:P246"/>
    <mergeCell ref="Q241:R241"/>
    <mergeCell ref="Q242:R242"/>
    <mergeCell ref="Q243:R243"/>
    <mergeCell ref="Q244:R244"/>
    <mergeCell ref="Q245:R245"/>
    <mergeCell ref="Q246:R246"/>
    <mergeCell ref="Q247:R247"/>
    <mergeCell ref="O247:P247"/>
    <mergeCell ref="O248:P248"/>
    <mergeCell ref="O249:P249"/>
    <mergeCell ref="O250:P250"/>
    <mergeCell ref="O251:P251"/>
    <mergeCell ref="O252:P252"/>
    <mergeCell ref="O253:P253"/>
    <mergeCell ref="O254:P254"/>
    <mergeCell ref="O255:P255"/>
    <mergeCell ref="O256:P256"/>
    <mergeCell ref="O257:P257"/>
    <mergeCell ref="Q257:R257"/>
    <mergeCell ref="O258:P258"/>
    <mergeCell ref="Q258:R258"/>
    <mergeCell ref="Q284:R284"/>
    <mergeCell ref="Q285:R285"/>
    <mergeCell ref="Q277:R277"/>
    <mergeCell ref="Q278:R278"/>
    <mergeCell ref="Q279:R279"/>
    <mergeCell ref="Q280:R280"/>
    <mergeCell ref="Q281:R281"/>
    <mergeCell ref="Q282:R282"/>
    <mergeCell ref="Q283:R283"/>
    <mergeCell ref="O259:P259"/>
    <mergeCell ref="Q259:R259"/>
    <mergeCell ref="O260:P260"/>
    <mergeCell ref="Q260:R260"/>
    <mergeCell ref="O261:P261"/>
    <mergeCell ref="Q261:R261"/>
    <mergeCell ref="Q262:R262"/>
    <mergeCell ref="O262:P262"/>
    <mergeCell ref="O263:P263"/>
    <mergeCell ref="O264:P264"/>
    <mergeCell ref="O265:P265"/>
    <mergeCell ref="O266:P266"/>
    <mergeCell ref="O267:P267"/>
    <mergeCell ref="O268:P268"/>
    <mergeCell ref="Q263:R263"/>
    <mergeCell ref="Q264:R264"/>
    <mergeCell ref="Q265:R265"/>
    <mergeCell ref="Q266:R266"/>
    <mergeCell ref="Q267:R267"/>
    <mergeCell ref="Q268:R268"/>
    <mergeCell ref="Q269:R269"/>
    <mergeCell ref="O269:P269"/>
    <mergeCell ref="O270:P270"/>
    <mergeCell ref="O271:P271"/>
    <mergeCell ref="O272:P272"/>
    <mergeCell ref="O273:P273"/>
    <mergeCell ref="O274:P274"/>
    <mergeCell ref="O275:P275"/>
    <mergeCell ref="Q270:R270"/>
    <mergeCell ref="Q271:R271"/>
    <mergeCell ref="Q272:R272"/>
    <mergeCell ref="Q273:R273"/>
    <mergeCell ref="Q274:R274"/>
    <mergeCell ref="Q275:R275"/>
    <mergeCell ref="Q276:R276"/>
    <mergeCell ref="O276:P276"/>
    <mergeCell ref="O277:P277"/>
    <mergeCell ref="O278:P278"/>
    <mergeCell ref="O279:P279"/>
    <mergeCell ref="O280:P280"/>
    <mergeCell ref="O281:P281"/>
    <mergeCell ref="O282:P282"/>
    <mergeCell ref="O283:P283"/>
    <mergeCell ref="O284:P284"/>
    <mergeCell ref="O285:P285"/>
    <mergeCell ref="O286:P286"/>
    <mergeCell ref="Q286:R286"/>
    <mergeCell ref="O287:P287"/>
    <mergeCell ref="Q287:R287"/>
    <mergeCell ref="Q313:R313"/>
    <mergeCell ref="Q314:R314"/>
    <mergeCell ref="Q306:R306"/>
    <mergeCell ref="Q307:R307"/>
    <mergeCell ref="Q308:R308"/>
    <mergeCell ref="Q309:R309"/>
    <mergeCell ref="Q310:R310"/>
    <mergeCell ref="Q311:R311"/>
    <mergeCell ref="Q312:R312"/>
    <mergeCell ref="O288:P288"/>
    <mergeCell ref="Q288:R288"/>
    <mergeCell ref="O289:P289"/>
    <mergeCell ref="Q289:R289"/>
    <mergeCell ref="O290:P290"/>
    <mergeCell ref="Q290:R290"/>
    <mergeCell ref="Q291:R291"/>
    <mergeCell ref="O291:P291"/>
    <mergeCell ref="O292:P292"/>
    <mergeCell ref="O293:P293"/>
    <mergeCell ref="O294:P294"/>
    <mergeCell ref="O295:P295"/>
    <mergeCell ref="O296:P296"/>
    <mergeCell ref="O297:P297"/>
    <mergeCell ref="Q292:R292"/>
    <mergeCell ref="Q293:R293"/>
    <mergeCell ref="Q294:R294"/>
    <mergeCell ref="Q295:R295"/>
    <mergeCell ref="Q296:R296"/>
    <mergeCell ref="Q297:R297"/>
    <mergeCell ref="Q298:R298"/>
    <mergeCell ref="O298:P298"/>
    <mergeCell ref="O299:P299"/>
    <mergeCell ref="O300:P300"/>
    <mergeCell ref="O301:P301"/>
    <mergeCell ref="O302:P302"/>
    <mergeCell ref="O303:P303"/>
    <mergeCell ref="O304:P304"/>
    <mergeCell ref="Q299:R299"/>
    <mergeCell ref="Q300:R300"/>
    <mergeCell ref="Q301:R301"/>
    <mergeCell ref="Q302:R302"/>
    <mergeCell ref="Q303:R303"/>
    <mergeCell ref="Q304:R304"/>
    <mergeCell ref="Q305:R305"/>
    <mergeCell ref="O305:P305"/>
    <mergeCell ref="O306:P306"/>
    <mergeCell ref="O307:P307"/>
    <mergeCell ref="O308:P308"/>
    <mergeCell ref="O309:P309"/>
    <mergeCell ref="O310:P310"/>
    <mergeCell ref="O311:P311"/>
    <mergeCell ref="O312:P312"/>
    <mergeCell ref="O313:P313"/>
    <mergeCell ref="O314:P314"/>
    <mergeCell ref="O315:P315"/>
    <mergeCell ref="Q315:R315"/>
    <mergeCell ref="O316:P316"/>
    <mergeCell ref="Q316:R316"/>
    <mergeCell ref="Q342:R342"/>
    <mergeCell ref="Q343:R343"/>
    <mergeCell ref="Q335:R335"/>
    <mergeCell ref="Q336:R336"/>
    <mergeCell ref="Q337:R337"/>
    <mergeCell ref="Q338:R338"/>
    <mergeCell ref="Q339:R339"/>
    <mergeCell ref="Q340:R340"/>
    <mergeCell ref="Q341:R341"/>
    <mergeCell ref="O317:P317"/>
    <mergeCell ref="Q317:R317"/>
    <mergeCell ref="O318:P318"/>
    <mergeCell ref="Q318:R318"/>
    <mergeCell ref="O319:P319"/>
    <mergeCell ref="Q319:R319"/>
    <mergeCell ref="Q320:R320"/>
    <mergeCell ref="O320:P320"/>
    <mergeCell ref="O321:P321"/>
    <mergeCell ref="O322:P322"/>
    <mergeCell ref="O323:P323"/>
    <mergeCell ref="O324:P324"/>
    <mergeCell ref="O325:P325"/>
    <mergeCell ref="O326:P326"/>
    <mergeCell ref="Q321:R321"/>
    <mergeCell ref="Q322:R322"/>
    <mergeCell ref="Q323:R323"/>
    <mergeCell ref="Q324:R324"/>
    <mergeCell ref="Q325:R325"/>
    <mergeCell ref="Q326:R326"/>
    <mergeCell ref="Q327:R327"/>
    <mergeCell ref="O327:P327"/>
    <mergeCell ref="O328:P328"/>
    <mergeCell ref="O329:P329"/>
    <mergeCell ref="O330:P330"/>
    <mergeCell ref="O331:P331"/>
    <mergeCell ref="O332:P332"/>
    <mergeCell ref="O333:P333"/>
    <mergeCell ref="Q328:R328"/>
    <mergeCell ref="Q329:R329"/>
    <mergeCell ref="Q330:R330"/>
    <mergeCell ref="Q331:R331"/>
    <mergeCell ref="Q332:R332"/>
    <mergeCell ref="Q333:R333"/>
    <mergeCell ref="Q334:R334"/>
    <mergeCell ref="O334:P334"/>
    <mergeCell ref="O335:P335"/>
    <mergeCell ref="O336:P336"/>
    <mergeCell ref="O337:P337"/>
    <mergeCell ref="O338:P338"/>
    <mergeCell ref="O339:P339"/>
    <mergeCell ref="O340:P340"/>
    <mergeCell ref="O341:P341"/>
    <mergeCell ref="O342:P342"/>
    <mergeCell ref="O343:P343"/>
    <mergeCell ref="O344:P344"/>
    <mergeCell ref="Q344:R344"/>
    <mergeCell ref="O345:P345"/>
    <mergeCell ref="Q345:R345"/>
    <mergeCell ref="Q371:R371"/>
    <mergeCell ref="Q372:R372"/>
    <mergeCell ref="Q364:R364"/>
    <mergeCell ref="Q365:R365"/>
    <mergeCell ref="Q366:R366"/>
    <mergeCell ref="Q367:R367"/>
    <mergeCell ref="Q368:R368"/>
    <mergeCell ref="Q369:R369"/>
    <mergeCell ref="Q370:R370"/>
    <mergeCell ref="O346:P346"/>
    <mergeCell ref="Q346:R346"/>
    <mergeCell ref="O347:P347"/>
    <mergeCell ref="Q347:R347"/>
    <mergeCell ref="O348:P348"/>
    <mergeCell ref="Q348:R348"/>
    <mergeCell ref="Q349:R349"/>
    <mergeCell ref="O349:P349"/>
    <mergeCell ref="O350:P350"/>
    <mergeCell ref="O351:P351"/>
    <mergeCell ref="O352:P352"/>
    <mergeCell ref="O353:P353"/>
    <mergeCell ref="O354:P354"/>
    <mergeCell ref="O355:P355"/>
    <mergeCell ref="Q350:R350"/>
    <mergeCell ref="Q351:R351"/>
    <mergeCell ref="Q352:R352"/>
    <mergeCell ref="Q353:R353"/>
    <mergeCell ref="Q354:R354"/>
    <mergeCell ref="Q355:R355"/>
    <mergeCell ref="Q356:R356"/>
    <mergeCell ref="O356:P356"/>
    <mergeCell ref="O357:P357"/>
    <mergeCell ref="O358:P358"/>
    <mergeCell ref="O359:P359"/>
    <mergeCell ref="O360:P360"/>
    <mergeCell ref="O361:P361"/>
    <mergeCell ref="O362:P362"/>
    <mergeCell ref="Q357:R357"/>
    <mergeCell ref="Q358:R358"/>
    <mergeCell ref="Q359:R359"/>
    <mergeCell ref="Q360:R360"/>
    <mergeCell ref="Q361:R361"/>
    <mergeCell ref="Q362:R362"/>
    <mergeCell ref="Q363:R363"/>
    <mergeCell ref="O363:P363"/>
    <mergeCell ref="O364:P364"/>
    <mergeCell ref="O365:P365"/>
    <mergeCell ref="O366:P366"/>
    <mergeCell ref="O367:P367"/>
    <mergeCell ref="O368:P368"/>
    <mergeCell ref="O369:P369"/>
    <mergeCell ref="O370:P370"/>
    <mergeCell ref="O371:P371"/>
    <mergeCell ref="O372:P372"/>
    <mergeCell ref="O373:P373"/>
    <mergeCell ref="Q373:R373"/>
    <mergeCell ref="O374:P374"/>
    <mergeCell ref="Q374:R374"/>
  </mergeCells>
  <conditionalFormatting sqref="C3:C1498">
    <cfRule type="cellIs" dxfId="9" priority="1" operator="equal">
      <formula>"Sold All"</formula>
    </cfRule>
  </conditionalFormatting>
  <conditionalFormatting sqref="G3:H1498 K3:N1498 S3:S1498 V3:V1498 Z3:Z1498">
    <cfRule type="cellIs" dxfId="10" priority="2" operator="greaterThan">
      <formula>0</formula>
    </cfRule>
  </conditionalFormatting>
  <conditionalFormatting sqref="G3:H1498 K3:N1498 S3:S1498 V3:V1498 Z3:Z1498">
    <cfRule type="cellIs" dxfId="11" priority="3" operator="lessThan">
      <formula>0</formula>
    </cfRule>
  </conditionalFormatting>
  <conditionalFormatting sqref="U3:U1498">
    <cfRule type="notContainsBlanks" dxfId="13" priority="4">
      <formula>LEN(TRIM(U3))&gt;0</formula>
    </cfRule>
  </conditionalFormatting>
  <conditionalFormatting sqref="U2 U300">
    <cfRule type="notContainsText" dxfId="9" priority="5" operator="notContains" text="Target Weight (100.00%)">
      <formula>ISERROR(SEARCH(("Target Weight (100.00%)"),(U2)))</formula>
    </cfRule>
  </conditionalFormatting>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18.5"/>
    <col customWidth="1" min="2" max="2" width="9.75"/>
    <col customWidth="1" min="3" max="3" width="11.63"/>
    <col customWidth="1" min="4" max="4" width="12.75"/>
    <col customWidth="1" min="5" max="5" width="15.75"/>
    <col customWidth="1" min="6" max="6" width="14.75"/>
    <col customWidth="1" min="7" max="7" width="23.75"/>
    <col customWidth="1" min="8" max="8" width="17.38"/>
    <col customWidth="1" min="9" max="9" width="13.63"/>
    <col customWidth="1" min="10" max="10" width="13.25"/>
    <col customWidth="1" min="11" max="11" width="11.0"/>
    <col customWidth="1" min="12" max="12" width="20.88"/>
    <col customWidth="1" min="13" max="13" width="11.38"/>
    <col customWidth="1" min="14" max="14" width="10.5"/>
    <col customWidth="1" min="15" max="15" width="13.63"/>
    <col customWidth="1" min="16" max="16" width="10.25"/>
    <col customWidth="1" min="17" max="17" width="8.13"/>
    <col customWidth="1" min="18" max="18" width="11.63"/>
    <col customWidth="1" min="19" max="19" width="11.75"/>
    <col customWidth="1" min="20" max="20" width="7.25"/>
    <col customWidth="1" min="21" max="21" width="9.88"/>
    <col customWidth="1" min="22" max="22" width="8.88"/>
    <col customWidth="1" min="23" max="23" width="7.0"/>
    <col customWidth="1" min="24" max="24" width="13.88"/>
  </cols>
  <sheetData>
    <row r="1">
      <c r="A1" s="187" t="s">
        <v>105</v>
      </c>
      <c r="B1" s="188"/>
      <c r="C1" s="188"/>
      <c r="D1" s="188"/>
      <c r="E1" s="188"/>
      <c r="F1" s="188"/>
      <c r="G1" s="188"/>
      <c r="H1" s="188"/>
      <c r="I1" s="188"/>
      <c r="J1" s="188"/>
      <c r="K1" s="188"/>
      <c r="L1" s="188"/>
      <c r="M1" s="188"/>
      <c r="N1" s="189" t="s">
        <v>106</v>
      </c>
      <c r="O1" s="188"/>
      <c r="P1" s="190"/>
      <c r="Q1" s="191" t="s">
        <v>107</v>
      </c>
      <c r="R1" s="192"/>
      <c r="S1" s="193"/>
      <c r="T1" s="194" t="s">
        <v>108</v>
      </c>
      <c r="U1" s="86"/>
      <c r="V1" s="86"/>
      <c r="W1" s="87"/>
      <c r="X1" s="195"/>
    </row>
    <row r="2">
      <c r="A2" s="196" t="s">
        <v>76</v>
      </c>
      <c r="B2" s="197" t="s">
        <v>1</v>
      </c>
      <c r="C2" s="197" t="s">
        <v>44</v>
      </c>
      <c r="D2" s="197" t="s">
        <v>109</v>
      </c>
      <c r="E2" s="197" t="s">
        <v>87</v>
      </c>
      <c r="F2" s="197" t="s">
        <v>99</v>
      </c>
      <c r="G2" s="197" t="s">
        <v>102</v>
      </c>
      <c r="H2" s="197" t="s">
        <v>110</v>
      </c>
      <c r="I2" s="197" t="s">
        <v>83</v>
      </c>
      <c r="J2" s="198" t="s">
        <v>111</v>
      </c>
      <c r="K2" s="199" t="s">
        <v>56</v>
      </c>
      <c r="L2" s="197" t="s">
        <v>112</v>
      </c>
      <c r="M2" s="200" t="s">
        <v>75</v>
      </c>
      <c r="N2" s="201" t="s">
        <v>113</v>
      </c>
      <c r="O2" s="202" t="s">
        <v>114</v>
      </c>
      <c r="P2" s="201" t="s">
        <v>115</v>
      </c>
      <c r="Q2" s="203" t="str">
        <f>Dashboard!$L$1</f>
        <v>EUR</v>
      </c>
      <c r="R2" s="201" t="str">
        <f>"Brokerage Fee in "&amp;Dashboard!$L$1</f>
        <v>Brokerage Fee in EUR</v>
      </c>
      <c r="S2" s="204" t="str">
        <f>"Total ("&amp;Dashboard!$L$1&amp;")"</f>
        <v>Total (EUR)</v>
      </c>
      <c r="T2" s="203" t="s">
        <v>116</v>
      </c>
      <c r="U2" s="202" t="s">
        <v>117</v>
      </c>
      <c r="V2" s="202" t="s">
        <v>64</v>
      </c>
      <c r="W2" s="205" t="s">
        <v>72</v>
      </c>
      <c r="X2" s="206" t="s">
        <v>118</v>
      </c>
    </row>
    <row r="3" ht="15.75" customHeight="1">
      <c r="A3" s="207" t="s">
        <v>119</v>
      </c>
      <c r="B3" s="207" t="s">
        <v>2</v>
      </c>
      <c r="C3" s="208">
        <v>44409.0</v>
      </c>
      <c r="D3" s="207" t="s">
        <v>31</v>
      </c>
      <c r="E3" s="209"/>
      <c r="F3" s="210" t="s">
        <v>31</v>
      </c>
      <c r="G3" s="209"/>
      <c r="H3" s="211" t="s">
        <v>120</v>
      </c>
      <c r="I3" s="212">
        <v>1.0</v>
      </c>
      <c r="J3" s="213">
        <v>150000.0</v>
      </c>
      <c r="K3" s="214">
        <v>1.0</v>
      </c>
      <c r="L3" s="215"/>
      <c r="M3" s="216">
        <f t="shared" ref="M3:M2885" si="1">IF(ISBLANK(A3),"",IFERROR(IF(H3="Sell",(I3*J3)-K3,IF(H3="Cash Withdrawal",(I3*J3)-K3,(I3*J3))),0))</f>
        <v>150000</v>
      </c>
      <c r="N3" s="217">
        <f t="shared" ref="N3:N2885" si="2">IF(ISBLANK(A3),"",IF(H3="Buy",-I3*J3,IF(H3="Sell",I3*J3,0)))</f>
        <v>0</v>
      </c>
      <c r="O3" s="218">
        <f t="shared" ref="O3:O2885" si="3">IF(ISBLANK(A3),"",SUMIFS(I$3:I3,D$3:D3,D3,H$3:H3,"Buy")-SUMIFS(I$3:I3,D$3:D3,D3,H$3:H3,"Sell"))</f>
        <v>0</v>
      </c>
      <c r="P3" s="219">
        <f>IFERROR(__xludf.DUMMYFUNCTION("IF(ISBLANK(A3),"""",IFERROR(IF(H3=""Sell"",VLOOKUP(9^99,FILTER({ROW(P$2:P2),P$2:P2},D$2:D2=D3),2),(VLOOKUP(9^99,FILTER({ROW(P$2:P2),P$2:P2},D$2:D2=D3),2)*VLOOKUP(9^99,FILTER({ROW(O$2:O2),O$2:O2},D$2:D2=D3),2)-N3)/O3),J3))"),150000.0)</f>
        <v>150000</v>
      </c>
      <c r="Q3" s="218" t="str">
        <f>IFERROR(__xludf.DUMMYFUNCTION("IFERROR(IF(F3=""Crypto"",B3,(IF(ISBLANK(D3),"""",IF(D3=""Cash"",B3,IF(GOOGLEFINANCE(D3,""CURRENCY"")=""GBX"",""GBP"",GOOGLEFINANCE(D3,""CURRENCY"")))))),B3)"),"EUR")</f>
        <v>EUR</v>
      </c>
      <c r="R3" s="220">
        <f>IFERROR(__xludf.DUMMYFUNCTION("IF(ISBLANK(A3),"""",IFERROR(IF(OR(Q3=""GPB"",Q3=""ZAR""),IF(Q3=Dashboard!$L$1,K3,(K3*GOOGLEFINANCE(""CURRENCY:""&amp;Q3&amp;""""&amp;Dashboard!$L$1&amp;""""))/100),IF(Q3=Dashboard!$L$1,K3,K3*GOOGLEFINANCE(""CURRENCY:""&amp;Q3&amp;""""&amp;Dashboard!$L$1&amp;""""))),K3))"),1.0)</f>
        <v>1</v>
      </c>
      <c r="S3" s="221">
        <f>IFERROR(__xludf.DUMMYFUNCTION("IF(ISBLANK(A3),"""",IFERROR(IF(OR(Q3=""GPB"",Q3=""ZAR""),IF(Q3=Dashboard!$L$1,M3,(M3*GOOGLEFINANCE(""CURRENCY:""&amp;Q3&amp;""""&amp;Dashboard!$L$1&amp;""""))/100),IF(Q3=Dashboard!$L$1,M3,M3*GOOGLEFINANCE(""CURRENCY:""&amp;Q3&amp;""""&amp;Dashboard!$L$1&amp;""""))),M3))"),150000.0)</f>
        <v>150000</v>
      </c>
      <c r="T3" s="218" t="str">
        <f t="shared" ref="T3:T2885" si="4">IF(ISBLANK(A3),"",TEXT(C3,"D"))</f>
        <v>1</v>
      </c>
      <c r="U3" s="218" t="str">
        <f t="shared" ref="U3:U2885" si="5">IF(ISBLANK(A3),"",TEXT(C3,"MMM-YY"))</f>
        <v>Aug-21</v>
      </c>
      <c r="V3" s="218" t="str">
        <f t="shared" ref="V3:V2885" si="6">IF(ISBLANK(A3),"",TEXT(C3,"YYYY"))</f>
        <v>2021</v>
      </c>
      <c r="W3" s="222"/>
      <c r="X3" s="223" t="str">
        <f t="shared" ref="X3:X2885" si="7">IF(ISBLANK(A3),"",IF(H3="Sell",(J3-P3)*I3,""))</f>
        <v/>
      </c>
    </row>
    <row r="4" ht="15.75" customHeight="1">
      <c r="A4" s="224" t="s">
        <v>119</v>
      </c>
      <c r="B4" s="224" t="s">
        <v>2</v>
      </c>
      <c r="C4" s="225">
        <v>44317.0</v>
      </c>
      <c r="D4" s="224" t="s">
        <v>48</v>
      </c>
      <c r="E4" s="224" t="s">
        <v>121</v>
      </c>
      <c r="F4" s="224" t="s">
        <v>122</v>
      </c>
      <c r="G4" s="224" t="s">
        <v>122</v>
      </c>
      <c r="H4" s="226" t="s">
        <v>123</v>
      </c>
      <c r="I4" s="227">
        <v>3.0</v>
      </c>
      <c r="J4" s="228">
        <v>20000.0</v>
      </c>
      <c r="K4" s="229">
        <f>0.00000144*J4</f>
        <v>0.0288</v>
      </c>
      <c r="L4" s="230"/>
      <c r="M4" s="231">
        <f t="shared" si="1"/>
        <v>60000</v>
      </c>
      <c r="N4" s="232">
        <f t="shared" si="2"/>
        <v>-60000</v>
      </c>
      <c r="O4" s="233">
        <f t="shared" si="3"/>
        <v>3</v>
      </c>
      <c r="P4" s="234">
        <f>IFERROR(__xludf.DUMMYFUNCTION("IF(ISBLANK(A4),"""",IFERROR(IF(H4=""Sell"",VLOOKUP(9^99,FILTER({ROW(P$2:P3),P$2:P3},D$2:D3=D4),2),(VLOOKUP(9^99,FILTER({ROW(P$2:P3),P$2:P3},D$2:D3=D4),2)*VLOOKUP(9^99,FILTER({ROW(O$2:O3),O$2:O3},D$2:D3=D4),2)-N4)/O4),J4))"),20000.0)</f>
        <v>20000</v>
      </c>
      <c r="Q4" s="233" t="str">
        <f>IFERROR(__xludf.DUMMYFUNCTION("IFERROR(IF(F4=""Crypto"",B4,(IF(ISBLANK(D4),"""",IF(D4=""Cash"",B4,IF(GOOGLEFINANCE(D4,""CURRENCY"")=""GBX"",""GBP"",GOOGLEFINANCE(D4,""CURRENCY"")))))),B4)"),"EUR")</f>
        <v>EUR</v>
      </c>
      <c r="R4" s="235">
        <f>IFERROR(__xludf.DUMMYFUNCTION("IF(ISBLANK(A4),"""",IFERROR(IF(OR(Q4=""GPB"",Q4=""ZAR""),IF(Q4=Dashboard!$L$1,K4,(K4*GOOGLEFINANCE(""CURRENCY:""&amp;Q4&amp;""""&amp;Dashboard!$L$1&amp;""""))/100),IF(Q4=Dashboard!$L$1,K4,K4*GOOGLEFINANCE(""CURRENCY:""&amp;Q4&amp;""""&amp;Dashboard!$L$1&amp;""""))),K4))"),0.0288)</f>
        <v>0.0288</v>
      </c>
      <c r="S4" s="236">
        <f>IFERROR(__xludf.DUMMYFUNCTION("IF(ISBLANK(A4),"""",IFERROR(IF(OR(Q4=""GPB"",Q4=""ZAR""),IF(Q4=Dashboard!$L$1,M4,(M4*GOOGLEFINANCE(""CURRENCY:""&amp;Q4&amp;""""&amp;Dashboard!$L$1&amp;""""))/100),IF(Q4=Dashboard!$L$1,M4,M4*GOOGLEFINANCE(""CURRENCY:""&amp;Q4&amp;""""&amp;Dashboard!$L$1&amp;""""))),M4))"),60000.0)</f>
        <v>60000</v>
      </c>
      <c r="T4" s="233" t="str">
        <f t="shared" si="4"/>
        <v>1</v>
      </c>
      <c r="U4" s="233" t="str">
        <f t="shared" si="5"/>
        <v>May-21</v>
      </c>
      <c r="V4" s="233" t="str">
        <f t="shared" si="6"/>
        <v>2021</v>
      </c>
      <c r="W4" s="237"/>
      <c r="X4" s="223" t="str">
        <f t="shared" si="7"/>
        <v/>
      </c>
    </row>
    <row r="5" ht="15.75" customHeight="1">
      <c r="A5" s="224" t="s">
        <v>119</v>
      </c>
      <c r="B5" s="224" t="s">
        <v>2</v>
      </c>
      <c r="C5" s="225">
        <v>44409.0</v>
      </c>
      <c r="D5" s="224" t="s">
        <v>48</v>
      </c>
      <c r="E5" s="224" t="s">
        <v>121</v>
      </c>
      <c r="F5" s="224" t="s">
        <v>122</v>
      </c>
      <c r="G5" s="224" t="s">
        <v>122</v>
      </c>
      <c r="H5" s="226" t="s">
        <v>123</v>
      </c>
      <c r="I5" s="227">
        <v>2.0</v>
      </c>
      <c r="J5" s="228">
        <v>30000.0</v>
      </c>
      <c r="K5" s="229">
        <v>5.0</v>
      </c>
      <c r="L5" s="230"/>
      <c r="M5" s="231">
        <f t="shared" si="1"/>
        <v>60000</v>
      </c>
      <c r="N5" s="232">
        <f t="shared" si="2"/>
        <v>-60000</v>
      </c>
      <c r="O5" s="233">
        <f t="shared" si="3"/>
        <v>5</v>
      </c>
      <c r="P5" s="234">
        <f>IFERROR(__xludf.DUMMYFUNCTION("IF(ISBLANK(A5),"""",IFERROR(IF(H5=""Sell"",VLOOKUP(9^99,FILTER({ROW(P$2:P4),P$2:P4},D$2:D4=D5),2),(VLOOKUP(9^99,FILTER({ROW(P$2:P4),P$2:P4},D$2:D4=D5),2)*VLOOKUP(9^99,FILTER({ROW(O$2:O4),O$2:O4},D$2:D4=D5),2)-N5)/O5),J5))"),24000.0)</f>
        <v>24000</v>
      </c>
      <c r="Q5" s="233" t="str">
        <f>IFERROR(__xludf.DUMMYFUNCTION("IFERROR(IF(F5=""Crypto"",B5,(IF(ISBLANK(D5),"""",IF(D5=""Cash"",B5,IF(GOOGLEFINANCE(D5,""CURRENCY"")=""GBX"",""GBP"",GOOGLEFINANCE(D5,""CURRENCY"")))))),B5)"),"EUR")</f>
        <v>EUR</v>
      </c>
      <c r="R5" s="238">
        <f>IFERROR(__xludf.DUMMYFUNCTION("IF(ISBLANK(A5),"""",IFERROR(IF(OR(Q5=""GPB"",Q5=""ZAR""),IF(Q5=Dashboard!$L$1,K5,(K5*GOOGLEFINANCE(""CURRENCY:""&amp;Q5&amp;""""&amp;Dashboard!$L$1&amp;""""))/100),IF(Q5=Dashboard!$L$1,K5,K5*GOOGLEFINANCE(""CURRENCY:""&amp;Q5&amp;""""&amp;Dashboard!$L$1&amp;""""))),K5))"),5.0)</f>
        <v>5</v>
      </c>
      <c r="S5" s="236">
        <f>IFERROR(__xludf.DUMMYFUNCTION("IF(ISBLANK(A5),"""",IFERROR(IF(OR(Q5=""GPB"",Q5=""ZAR""),IF(Q5=Dashboard!$L$1,M5,(M5*GOOGLEFINANCE(""CURRENCY:""&amp;Q5&amp;""""&amp;Dashboard!$L$1&amp;""""))/100),IF(Q5=Dashboard!$L$1,M5,M5*GOOGLEFINANCE(""CURRENCY:""&amp;Q5&amp;""""&amp;Dashboard!$L$1&amp;""""))),M5))"),60000.0)</f>
        <v>60000</v>
      </c>
      <c r="T5" s="233" t="str">
        <f t="shared" si="4"/>
        <v>1</v>
      </c>
      <c r="U5" s="233" t="str">
        <f t="shared" si="5"/>
        <v>Aug-21</v>
      </c>
      <c r="V5" s="233" t="str">
        <f t="shared" si="6"/>
        <v>2021</v>
      </c>
      <c r="W5" s="237"/>
      <c r="X5" s="223" t="str">
        <f t="shared" si="7"/>
        <v/>
      </c>
    </row>
    <row r="6" ht="15.75" customHeight="1">
      <c r="A6" s="224" t="s">
        <v>119</v>
      </c>
      <c r="B6" s="224" t="s">
        <v>2</v>
      </c>
      <c r="C6" s="239">
        <v>45440.0</v>
      </c>
      <c r="D6" s="224" t="s">
        <v>48</v>
      </c>
      <c r="E6" s="224" t="s">
        <v>121</v>
      </c>
      <c r="F6" s="224" t="s">
        <v>122</v>
      </c>
      <c r="G6" s="224" t="s">
        <v>122</v>
      </c>
      <c r="H6" s="226" t="s">
        <v>124</v>
      </c>
      <c r="I6" s="227">
        <v>1.0</v>
      </c>
      <c r="J6" s="228">
        <v>70000.0</v>
      </c>
      <c r="K6" s="240"/>
      <c r="L6" s="230"/>
      <c r="M6" s="231">
        <f t="shared" si="1"/>
        <v>70000</v>
      </c>
      <c r="N6" s="232">
        <f t="shared" si="2"/>
        <v>70000</v>
      </c>
      <c r="O6" s="233">
        <f t="shared" si="3"/>
        <v>4</v>
      </c>
      <c r="P6" s="234">
        <f>IFERROR(__xludf.DUMMYFUNCTION("IF(ISBLANK(A6),"""",IFERROR(IF(H6=""Sell"",VLOOKUP(9^99,FILTER({ROW(P$2:P5),P$2:P5},D$2:D5=D6),2),(VLOOKUP(9^99,FILTER({ROW(P$2:P5),P$2:P5},D$2:D5=D6),2)*VLOOKUP(9^99,FILTER({ROW(O$2:O5),O$2:O5},D$2:D5=D6),2)-N6)/O6),J6))"),24000.0)</f>
        <v>24000</v>
      </c>
      <c r="Q6" s="233" t="str">
        <f>IFERROR(__xludf.DUMMYFUNCTION("IFERROR(IF(F6=""Crypto"",B6,(IF(ISBLANK(D6),"""",IF(D6=""Cash"",B6,IF(GOOGLEFINANCE(D6,""CURRENCY"")=""GBX"",""GBP"",GOOGLEFINANCE(D6,""CURRENCY"")))))),B6)"),"EUR")</f>
        <v>EUR</v>
      </c>
      <c r="R6" s="241" t="str">
        <f>IFERROR(__xludf.DUMMYFUNCTION("IF(ISBLANK(A6),"""",IFERROR(IF(OR(Q6=""GPB"",Q6=""ZAR""),IF(Q6=Dashboard!$L$1,K6,(K6*GOOGLEFINANCE(""CURRENCY:""&amp;Q6&amp;""""&amp;Dashboard!$L$1&amp;""""))/100),IF(Q6=Dashboard!$L$1,K6,K6*GOOGLEFINANCE(""CURRENCY:""&amp;Q6&amp;""""&amp;Dashboard!$L$1&amp;""""))),K6))"),"")</f>
        <v/>
      </c>
      <c r="S6" s="236">
        <f>IFERROR(__xludf.DUMMYFUNCTION("IF(ISBLANK(A6),"""",IFERROR(IF(OR(Q6=""GPB"",Q6=""ZAR""),IF(Q6=Dashboard!$L$1,M6,(M6*GOOGLEFINANCE(""CURRENCY:""&amp;Q6&amp;""""&amp;Dashboard!$L$1&amp;""""))/100),IF(Q6=Dashboard!$L$1,M6,M6*GOOGLEFINANCE(""CURRENCY:""&amp;Q6&amp;""""&amp;Dashboard!$L$1&amp;""""))),M6))"),70000.0)</f>
        <v>70000</v>
      </c>
      <c r="T6" s="233" t="str">
        <f t="shared" si="4"/>
        <v>28</v>
      </c>
      <c r="U6" s="233" t="str">
        <f t="shared" si="5"/>
        <v>May-24</v>
      </c>
      <c r="V6" s="233" t="str">
        <f t="shared" si="6"/>
        <v>2024</v>
      </c>
      <c r="W6" s="237"/>
      <c r="X6" s="242">
        <f t="shared" si="7"/>
        <v>46000</v>
      </c>
    </row>
    <row r="7" ht="15.75" customHeight="1">
      <c r="A7" s="243" t="s">
        <v>125</v>
      </c>
      <c r="B7" s="224" t="s">
        <v>2</v>
      </c>
      <c r="C7" s="239">
        <v>45440.0</v>
      </c>
      <c r="D7" s="224" t="s">
        <v>31</v>
      </c>
      <c r="E7" s="244"/>
      <c r="F7" s="245" t="s">
        <v>31</v>
      </c>
      <c r="G7" s="244"/>
      <c r="H7" s="226" t="s">
        <v>120</v>
      </c>
      <c r="I7" s="227">
        <v>1.0</v>
      </c>
      <c r="J7" s="228">
        <v>100000.0</v>
      </c>
      <c r="K7" s="229">
        <v>1.0</v>
      </c>
      <c r="L7" s="246"/>
      <c r="M7" s="247">
        <f t="shared" si="1"/>
        <v>100000</v>
      </c>
      <c r="N7" s="248">
        <f t="shared" si="2"/>
        <v>0</v>
      </c>
      <c r="O7" s="249">
        <f t="shared" si="3"/>
        <v>0</v>
      </c>
      <c r="P7" s="250">
        <f>IFERROR(__xludf.DUMMYFUNCTION("IF(ISBLANK(A7),"""",IFERROR(IF(H7=""Sell"",VLOOKUP(9^99,FILTER({ROW(P$2:P6),P$2:P6},D$2:D6=D7),2),(VLOOKUP(9^99,FILTER({ROW(P$2:P6),P$2:P6},D$2:D6=D7),2)*VLOOKUP(9^99,FILTER({ROW(O$2:O6),O$2:O6},D$2:D6=D7),2)-N7)/O7),J7))"),100000.0)</f>
        <v>100000</v>
      </c>
      <c r="Q7" s="249" t="str">
        <f>IFERROR(__xludf.DUMMYFUNCTION("IFERROR(IF(F7=""Crypto"",B7,(IF(ISBLANK(D7),"""",IF(D7=""Cash"",B7,IF(GOOGLEFINANCE(D7,""CURRENCY"")=""GBX"",""GBP"",GOOGLEFINANCE(D7,""CURRENCY"")))))),B7)"),"EUR")</f>
        <v>EUR</v>
      </c>
      <c r="R7" s="251">
        <f>IFERROR(__xludf.DUMMYFUNCTION("IF(ISBLANK(A7),"""",IFERROR(IF(OR(Q7=""GPB"",Q7=""ZAR""),IF(Q7=Dashboard!$L$1,K7,(K7*GOOGLEFINANCE(""CURRENCY:""&amp;Q7&amp;""""&amp;Dashboard!$L$1&amp;""""))/100),IF(Q7=Dashboard!$L$1,K7,K7*GOOGLEFINANCE(""CURRENCY:""&amp;Q7&amp;""""&amp;Dashboard!$L$1&amp;""""))),K7))"),1.0)</f>
        <v>1</v>
      </c>
      <c r="S7" s="252">
        <f>IFERROR(__xludf.DUMMYFUNCTION("IF(ISBLANK(A7),"""",IFERROR(IF(OR(Q7=""GPB"",Q7=""ZAR""),IF(Q7=Dashboard!$L$1,M7,(M7*GOOGLEFINANCE(""CURRENCY:""&amp;Q7&amp;""""&amp;Dashboard!$L$1&amp;""""))/100),IF(Q7=Dashboard!$L$1,M7,M7*GOOGLEFINANCE(""CURRENCY:""&amp;Q7&amp;""""&amp;Dashboard!$L$1&amp;""""))),M7))"),100000.0)</f>
        <v>100000</v>
      </c>
      <c r="T7" s="249" t="str">
        <f t="shared" si="4"/>
        <v>28</v>
      </c>
      <c r="U7" s="249" t="str">
        <f t="shared" si="5"/>
        <v>May-24</v>
      </c>
      <c r="V7" s="249" t="str">
        <f t="shared" si="6"/>
        <v>2024</v>
      </c>
      <c r="W7" s="253" t="str">
        <f t="shared" ref="W7:W2885" si="8">IF(A7="","","All")</f>
        <v>All</v>
      </c>
      <c r="X7" s="254" t="str">
        <f t="shared" si="7"/>
        <v/>
      </c>
    </row>
    <row r="8" ht="15.75" customHeight="1">
      <c r="A8" s="243" t="s">
        <v>125</v>
      </c>
      <c r="B8" s="224" t="s">
        <v>2</v>
      </c>
      <c r="C8" s="239">
        <v>45440.0</v>
      </c>
      <c r="D8" s="243" t="s">
        <v>6</v>
      </c>
      <c r="E8" s="243" t="s">
        <v>126</v>
      </c>
      <c r="F8" s="243" t="s">
        <v>127</v>
      </c>
      <c r="G8" s="243" t="s">
        <v>128</v>
      </c>
      <c r="H8" s="255" t="s">
        <v>123</v>
      </c>
      <c r="I8" s="243">
        <v>1000.0</v>
      </c>
      <c r="J8" s="256">
        <v>100.0</v>
      </c>
      <c r="K8" s="257"/>
      <c r="L8" s="246"/>
      <c r="M8" s="247">
        <f t="shared" si="1"/>
        <v>100000</v>
      </c>
      <c r="N8" s="248">
        <f t="shared" si="2"/>
        <v>-100000</v>
      </c>
      <c r="O8" s="249">
        <f t="shared" si="3"/>
        <v>1000</v>
      </c>
      <c r="P8" s="250">
        <f>IFERROR(__xludf.DUMMYFUNCTION("IF(ISBLANK(A8),"""",IFERROR(IF(H8=""Sell"",VLOOKUP(9^99,FILTER({ROW(P$2:P7),P$2:P7},D$2:D7=D8),2),(VLOOKUP(9^99,FILTER({ROW(P$2:P7),P$2:P7},D$2:D7=D8),2)*VLOOKUP(9^99,FILTER({ROW(O$2:O7),O$2:O7},D$2:D7=D8),2)-N8)/O8),J8))"),100.0)</f>
        <v>100</v>
      </c>
      <c r="Q8" s="249" t="str">
        <f>IFERROR(__xludf.DUMMYFUNCTION("IFERROR(IF(F8=""Crypto"",B8,(IF(ISBLANK(D8),"""",IF(D8=""Cash"",B8,IF(GOOGLEFINANCE(D8,""CURRENCY"")=""GBX"",""GBP"",GOOGLEFINANCE(D8,""CURRENCY"")))))),B8)"),"USD")</f>
        <v>USD</v>
      </c>
      <c r="R8" s="248">
        <f>IFERROR(__xludf.DUMMYFUNCTION("IF(ISBLANK(A8),"""",IFERROR(IF(OR(Q8=""GPB"",Q8=""ZAR""),IF(Q8=Dashboard!$L$1,K8,(K8*GOOGLEFINANCE(""CURRENCY:""&amp;Q8&amp;""""&amp;Dashboard!$L$1&amp;""""))/100),IF(Q8=Dashboard!$L$1,K8,K8*GOOGLEFINANCE(""CURRENCY:""&amp;Q8&amp;""""&amp;Dashboard!$L$1&amp;""""))),K8))"),0.0)</f>
        <v>0</v>
      </c>
      <c r="S8" s="252">
        <f>IFERROR(__xludf.DUMMYFUNCTION("IF(ISBLANK(A8),"""",IFERROR(IF(OR(Q8=""GPB"",Q8=""ZAR""),IF(Q8=Dashboard!$L$1,M8,(M8*GOOGLEFINANCE(""CURRENCY:""&amp;Q8&amp;""""&amp;Dashboard!$L$1&amp;""""))/100),IF(Q8=Dashboard!$L$1,M8,M8*GOOGLEFINANCE(""CURRENCY:""&amp;Q8&amp;""""&amp;Dashboard!$L$1&amp;""""))),M8))"),91965.0)</f>
        <v>91965</v>
      </c>
      <c r="T8" s="249" t="str">
        <f t="shared" si="4"/>
        <v>28</v>
      </c>
      <c r="U8" s="249" t="str">
        <f t="shared" si="5"/>
        <v>May-24</v>
      </c>
      <c r="V8" s="249" t="str">
        <f t="shared" si="6"/>
        <v>2024</v>
      </c>
      <c r="W8" s="253" t="str">
        <f t="shared" si="8"/>
        <v>All</v>
      </c>
      <c r="X8" s="254" t="str">
        <f t="shared" si="7"/>
        <v/>
      </c>
    </row>
    <row r="9" ht="15.75" customHeight="1">
      <c r="A9" s="243" t="s">
        <v>129</v>
      </c>
      <c r="B9" s="224" t="s">
        <v>2</v>
      </c>
      <c r="C9" s="239">
        <v>45440.0</v>
      </c>
      <c r="D9" s="224" t="s">
        <v>31</v>
      </c>
      <c r="E9" s="244"/>
      <c r="F9" s="245" t="s">
        <v>31</v>
      </c>
      <c r="G9" s="244"/>
      <c r="H9" s="226" t="s">
        <v>120</v>
      </c>
      <c r="I9" s="227">
        <v>1.0</v>
      </c>
      <c r="J9" s="228">
        <v>100000.0</v>
      </c>
      <c r="K9" s="229">
        <v>1.0</v>
      </c>
      <c r="L9" s="246"/>
      <c r="M9" s="247">
        <f t="shared" si="1"/>
        <v>100000</v>
      </c>
      <c r="N9" s="248">
        <f t="shared" si="2"/>
        <v>0</v>
      </c>
      <c r="O9" s="249">
        <f t="shared" si="3"/>
        <v>0</v>
      </c>
      <c r="P9" s="250">
        <f>IFERROR(__xludf.DUMMYFUNCTION("IF(ISBLANK(A9),"""",IFERROR(IF(H9=""Sell"",VLOOKUP(9^99,FILTER({ROW(P$2:P8),P$2:P8},D$2:D8=D9),2),(VLOOKUP(9^99,FILTER({ROW(P$2:P8),P$2:P8},D$2:D8=D9),2)*VLOOKUP(9^99,FILTER({ROW(O$2:O8),O$2:O8},D$2:D8=D9),2)-N9)/O9),J9))"),100000.0)</f>
        <v>100000</v>
      </c>
      <c r="Q9" s="249" t="str">
        <f>IFERROR(__xludf.DUMMYFUNCTION("IFERROR(IF(F9=""Crypto"",B9,(IF(ISBLANK(D9),"""",IF(D9=""Cash"",B9,IF(GOOGLEFINANCE(D9,""CURRENCY"")=""GBX"",""GBP"",GOOGLEFINANCE(D9,""CURRENCY"")))))),B9)"),"EUR")</f>
        <v>EUR</v>
      </c>
      <c r="R9" s="251">
        <f>IFERROR(__xludf.DUMMYFUNCTION("IF(ISBLANK(A9),"""",IFERROR(IF(OR(Q9=""GPB"",Q9=""ZAR""),IF(Q9=Dashboard!$L$1,K9,(K9*GOOGLEFINANCE(""CURRENCY:""&amp;Q9&amp;""""&amp;Dashboard!$L$1&amp;""""))/100),IF(Q9=Dashboard!$L$1,K9,K9*GOOGLEFINANCE(""CURRENCY:""&amp;Q9&amp;""""&amp;Dashboard!$L$1&amp;""""))),K9))"),1.0)</f>
        <v>1</v>
      </c>
      <c r="S9" s="252">
        <f>IFERROR(__xludf.DUMMYFUNCTION("IF(ISBLANK(A9),"""",IFERROR(IF(OR(Q9=""GPB"",Q9=""ZAR""),IF(Q9=Dashboard!$L$1,M9,(M9*GOOGLEFINANCE(""CURRENCY:""&amp;Q9&amp;""""&amp;Dashboard!$L$1&amp;""""))/100),IF(Q9=Dashboard!$L$1,M9,M9*GOOGLEFINANCE(""CURRENCY:""&amp;Q9&amp;""""&amp;Dashboard!$L$1&amp;""""))),M9))"),100000.0)</f>
        <v>100000</v>
      </c>
      <c r="T9" s="249" t="str">
        <f t="shared" si="4"/>
        <v>28</v>
      </c>
      <c r="U9" s="249" t="str">
        <f t="shared" si="5"/>
        <v>May-24</v>
      </c>
      <c r="V9" s="249" t="str">
        <f t="shared" si="6"/>
        <v>2024</v>
      </c>
      <c r="W9" s="253" t="str">
        <f t="shared" si="8"/>
        <v>All</v>
      </c>
      <c r="X9" s="254" t="str">
        <f t="shared" si="7"/>
        <v/>
      </c>
    </row>
    <row r="10" ht="15.75" customHeight="1">
      <c r="A10" s="243" t="s">
        <v>129</v>
      </c>
      <c r="B10" s="224" t="s">
        <v>2</v>
      </c>
      <c r="C10" s="239">
        <v>45440.0</v>
      </c>
      <c r="D10" s="243" t="s">
        <v>5</v>
      </c>
      <c r="E10" s="243" t="s">
        <v>130</v>
      </c>
      <c r="F10" s="243" t="s">
        <v>127</v>
      </c>
      <c r="G10" s="243" t="s">
        <v>128</v>
      </c>
      <c r="H10" s="255" t="s">
        <v>123</v>
      </c>
      <c r="I10" s="243">
        <v>150.0</v>
      </c>
      <c r="J10" s="256">
        <v>100.0</v>
      </c>
      <c r="K10" s="257"/>
      <c r="L10" s="246"/>
      <c r="M10" s="247">
        <f t="shared" si="1"/>
        <v>15000</v>
      </c>
      <c r="N10" s="248">
        <f t="shared" si="2"/>
        <v>-15000</v>
      </c>
      <c r="O10" s="249">
        <f t="shared" si="3"/>
        <v>150</v>
      </c>
      <c r="P10" s="250">
        <f>IFERROR(__xludf.DUMMYFUNCTION("IF(ISBLANK(A10),"""",IFERROR(IF(H10=""Sell"",VLOOKUP(9^99,FILTER({ROW(P$2:P9),P$2:P9},D$2:D9=D10),2),(VLOOKUP(9^99,FILTER({ROW(P$2:P9),P$2:P9},D$2:D9=D10),2)*VLOOKUP(9^99,FILTER({ROW(O$2:O9),O$2:O9},D$2:D9=D10),2)-N10)/O10),J10))"),100.0)</f>
        <v>100</v>
      </c>
      <c r="Q10" s="249" t="str">
        <f>IFERROR(__xludf.DUMMYFUNCTION("IFERROR(IF(F10=""Crypto"",B10,(IF(ISBLANK(D10),"""",IF(D10=""Cash"",B10,IF(GOOGLEFINANCE(D10,""CURRENCY"")=""GBX"",""GBP"",GOOGLEFINANCE(D10,""CURRENCY"")))))),B10)"),"USD")</f>
        <v>USD</v>
      </c>
      <c r="R10" s="248">
        <f>IFERROR(__xludf.DUMMYFUNCTION("IF(ISBLANK(A10),"""",IFERROR(IF(OR(Q10=""GPB"",Q10=""ZAR""),IF(Q10=Dashboard!$L$1,K10,(K10*GOOGLEFINANCE(""CURRENCY:""&amp;Q10&amp;""""&amp;Dashboard!$L$1&amp;""""))/100),IF(Q10=Dashboard!$L$1,K10,K10*GOOGLEFINANCE(""CURRENCY:""&amp;Q10&amp;""""&amp;Dashboard!$L$1&amp;""""))),K10))"),0.0)</f>
        <v>0</v>
      </c>
      <c r="S10" s="252">
        <f>IFERROR(__xludf.DUMMYFUNCTION("IF(ISBLANK(A10),"""",IFERROR(IF(OR(Q10=""GPB"",Q10=""ZAR""),IF(Q10=Dashboard!$L$1,M10,(M10*GOOGLEFINANCE(""CURRENCY:""&amp;Q10&amp;""""&amp;Dashboard!$L$1&amp;""""))/100),IF(Q10=Dashboard!$L$1,M10,M10*GOOGLEFINANCE(""CURRENCY:""&amp;Q10&amp;""""&amp;Dashboard!$L$1&amp;""""))),M10))"),13794.75)</f>
        <v>13794.75</v>
      </c>
      <c r="T10" s="249" t="str">
        <f t="shared" si="4"/>
        <v>28</v>
      </c>
      <c r="U10" s="249" t="str">
        <f t="shared" si="5"/>
        <v>May-24</v>
      </c>
      <c r="V10" s="249" t="str">
        <f t="shared" si="6"/>
        <v>2024</v>
      </c>
      <c r="W10" s="253" t="str">
        <f t="shared" si="8"/>
        <v>All</v>
      </c>
      <c r="X10" s="254" t="str">
        <f t="shared" si="7"/>
        <v/>
      </c>
    </row>
    <row r="11" ht="15.75" customHeight="1">
      <c r="A11" s="258" t="s">
        <v>129</v>
      </c>
      <c r="B11" s="224" t="s">
        <v>2</v>
      </c>
      <c r="C11" s="239">
        <v>45440.0</v>
      </c>
      <c r="D11" s="259" t="s">
        <v>131</v>
      </c>
      <c r="E11" s="259" t="s">
        <v>132</v>
      </c>
      <c r="F11" s="243" t="s">
        <v>127</v>
      </c>
      <c r="G11" s="243" t="s">
        <v>128</v>
      </c>
      <c r="H11" s="255" t="s">
        <v>123</v>
      </c>
      <c r="I11" s="243">
        <v>150.0</v>
      </c>
      <c r="J11" s="256">
        <v>100.0</v>
      </c>
      <c r="K11" s="260"/>
      <c r="L11" s="261"/>
      <c r="M11" s="262">
        <f t="shared" si="1"/>
        <v>15000</v>
      </c>
      <c r="N11" s="263">
        <f t="shared" si="2"/>
        <v>-15000</v>
      </c>
      <c r="O11" s="264">
        <f t="shared" si="3"/>
        <v>150</v>
      </c>
      <c r="P11" s="265">
        <f>IFERROR(__xludf.DUMMYFUNCTION("IF(ISBLANK(A11),"""",IFERROR(IF(H11=""Sell"",VLOOKUP(9^99,FILTER({ROW(P$2:P10),P$2:P10},D$2:D10=D11),2),(VLOOKUP(9^99,FILTER({ROW(P$2:P10),P$2:P10},D$2:D10=D11),2)*VLOOKUP(9^99,FILTER({ROW(O$2:O10),O$2:O10},D$2:D10=D11),2)-N11)/O11),J11))"),100.0)</f>
        <v>100</v>
      </c>
      <c r="Q11" s="264" t="str">
        <f>IFERROR(__xludf.DUMMYFUNCTION("IFERROR(IF(F11=""Crypto"",B11,(IF(ISBLANK(D11),"""",IF(D11=""Cash"",B11,IF(GOOGLEFINANCE(D11,""CURRENCY"")=""GBX"",""GBP"",GOOGLEFINANCE(D11,""CURRENCY"")))))),B11)"),"USD")</f>
        <v>USD</v>
      </c>
      <c r="R11" s="263">
        <f>IFERROR(__xludf.DUMMYFUNCTION("IF(ISBLANK(A11),"""",IFERROR(IF(OR(Q11=""GPB"",Q11=""ZAR""),IF(Q11=Dashboard!$L$1,K11,(K11*GOOGLEFINANCE(""CURRENCY:""&amp;Q11&amp;""""&amp;Dashboard!$L$1&amp;""""))/100),IF(Q11=Dashboard!$L$1,K11,K11*GOOGLEFINANCE(""CURRENCY:""&amp;Q11&amp;""""&amp;Dashboard!$L$1&amp;""""))),K11))"),0.0)</f>
        <v>0</v>
      </c>
      <c r="S11" s="266">
        <f>IFERROR(__xludf.DUMMYFUNCTION("IF(ISBLANK(A11),"""",IFERROR(IF(OR(Q11=""GPB"",Q11=""ZAR""),IF(Q11=Dashboard!$L$1,M11,(M11*GOOGLEFINANCE(""CURRENCY:""&amp;Q11&amp;""""&amp;Dashboard!$L$1&amp;""""))/100),IF(Q11=Dashboard!$L$1,M11,M11*GOOGLEFINANCE(""CURRENCY:""&amp;Q11&amp;""""&amp;Dashboard!$L$1&amp;""""))),M11))"),13794.75)</f>
        <v>13794.75</v>
      </c>
      <c r="T11" s="264" t="str">
        <f t="shared" si="4"/>
        <v>28</v>
      </c>
      <c r="U11" s="264" t="str">
        <f t="shared" si="5"/>
        <v>May-24</v>
      </c>
      <c r="V11" s="264" t="str">
        <f t="shared" si="6"/>
        <v>2024</v>
      </c>
      <c r="W11" s="267" t="str">
        <f t="shared" si="8"/>
        <v>All</v>
      </c>
      <c r="X11" s="264" t="str">
        <f t="shared" si="7"/>
        <v/>
      </c>
    </row>
    <row r="12" ht="15.75" customHeight="1">
      <c r="A12" s="259" t="s">
        <v>133</v>
      </c>
      <c r="B12" s="224" t="s">
        <v>2</v>
      </c>
      <c r="C12" s="268">
        <v>45441.0</v>
      </c>
      <c r="D12" s="224" t="s">
        <v>31</v>
      </c>
      <c r="E12" s="244"/>
      <c r="F12" s="245" t="s">
        <v>31</v>
      </c>
      <c r="G12" s="244"/>
      <c r="H12" s="226" t="s">
        <v>120</v>
      </c>
      <c r="I12" s="227">
        <v>1.0</v>
      </c>
      <c r="J12" s="228">
        <v>100000.0</v>
      </c>
      <c r="K12" s="229">
        <v>1.0</v>
      </c>
      <c r="L12" s="246"/>
      <c r="M12" s="247">
        <f t="shared" si="1"/>
        <v>100000</v>
      </c>
      <c r="N12" s="248">
        <f t="shared" si="2"/>
        <v>0</v>
      </c>
      <c r="O12" s="249">
        <f t="shared" si="3"/>
        <v>0</v>
      </c>
      <c r="P12" s="250">
        <f>IFERROR(__xludf.DUMMYFUNCTION("IF(ISBLANK(A12),"""",IFERROR(IF(H12=""Sell"",VLOOKUP(9^99,FILTER({ROW(P$2:P11),P$2:P11},D$2:D11=D12),2),(VLOOKUP(9^99,FILTER({ROW(P$2:P11),P$2:P11},D$2:D11=D12),2)*VLOOKUP(9^99,FILTER({ROW(O$2:O11),O$2:O11},D$2:D11=D12),2)-N12)/O12),J12))"),100000.0)</f>
        <v>100000</v>
      </c>
      <c r="Q12" s="249" t="str">
        <f>IFERROR(__xludf.DUMMYFUNCTION("IFERROR(IF(F12=""Crypto"",B12,(IF(ISBLANK(D12),"""",IF(D12=""Cash"",B12,IF(GOOGLEFINANCE(D12,""CURRENCY"")=""GBX"",""GBP"",GOOGLEFINANCE(D12,""CURRENCY"")))))),B12)"),"EUR")</f>
        <v>EUR</v>
      </c>
      <c r="R12" s="251">
        <f>IFERROR(__xludf.DUMMYFUNCTION("IF(ISBLANK(A12),"""",IFERROR(IF(OR(Q12=""GPB"",Q12=""ZAR""),IF(Q12=Dashboard!$L$1,K12,(K12*GOOGLEFINANCE(""CURRENCY:""&amp;Q12&amp;""""&amp;Dashboard!$L$1&amp;""""))/100),IF(Q12=Dashboard!$L$1,K12,K12*GOOGLEFINANCE(""CURRENCY:""&amp;Q12&amp;""""&amp;Dashboard!$L$1&amp;""""))),K12))"),1.0)</f>
        <v>1</v>
      </c>
      <c r="S12" s="252">
        <f>IFERROR(__xludf.DUMMYFUNCTION("IF(ISBLANK(A12),"""",IFERROR(IF(OR(Q12=""GPB"",Q12=""ZAR""),IF(Q12=Dashboard!$L$1,M12,(M12*GOOGLEFINANCE(""CURRENCY:""&amp;Q12&amp;""""&amp;Dashboard!$L$1&amp;""""))/100),IF(Q12=Dashboard!$L$1,M12,M12*GOOGLEFINANCE(""CURRENCY:""&amp;Q12&amp;""""&amp;Dashboard!$L$1&amp;""""))),M12))"),100000.0)</f>
        <v>100000</v>
      </c>
      <c r="T12" s="249" t="str">
        <f t="shared" si="4"/>
        <v>29</v>
      </c>
      <c r="U12" s="249" t="str">
        <f t="shared" si="5"/>
        <v>May-24</v>
      </c>
      <c r="V12" s="249" t="str">
        <f t="shared" si="6"/>
        <v>2024</v>
      </c>
      <c r="W12" s="253" t="str">
        <f t="shared" si="8"/>
        <v>All</v>
      </c>
      <c r="X12" s="254" t="str">
        <f t="shared" si="7"/>
        <v/>
      </c>
    </row>
    <row r="13" ht="15.75" customHeight="1">
      <c r="A13" s="259" t="s">
        <v>133</v>
      </c>
      <c r="B13" s="224" t="s">
        <v>2</v>
      </c>
      <c r="C13" s="268">
        <v>45441.0</v>
      </c>
      <c r="D13" s="259" t="s">
        <v>134</v>
      </c>
      <c r="E13" s="259" t="s">
        <v>134</v>
      </c>
      <c r="F13" s="243" t="s">
        <v>127</v>
      </c>
      <c r="G13" s="243" t="s">
        <v>128</v>
      </c>
      <c r="H13" s="255" t="s">
        <v>123</v>
      </c>
      <c r="I13" s="259">
        <v>500.0</v>
      </c>
      <c r="J13" s="256">
        <v>80.0</v>
      </c>
      <c r="K13" s="257"/>
      <c r="L13" s="246"/>
      <c r="M13" s="247">
        <f t="shared" si="1"/>
        <v>40000</v>
      </c>
      <c r="N13" s="248">
        <f t="shared" si="2"/>
        <v>-40000</v>
      </c>
      <c r="O13" s="249">
        <f t="shared" si="3"/>
        <v>500</v>
      </c>
      <c r="P13" s="250">
        <f>IFERROR(__xludf.DUMMYFUNCTION("IF(ISBLANK(A13),"""",IFERROR(IF(H13=""Sell"",VLOOKUP(9^99,FILTER({ROW(P$2:P12),P$2:P12},D$2:D12=D13),2),(VLOOKUP(9^99,FILTER({ROW(P$2:P12),P$2:P12},D$2:D12=D13),2)*VLOOKUP(9^99,FILTER({ROW(O$2:O12),O$2:O12},D$2:D12=D13),2)-N13)/O13),J13))"),80.0)</f>
        <v>80</v>
      </c>
      <c r="Q13" s="249" t="str">
        <f>IFERROR(__xludf.DUMMYFUNCTION("IFERROR(IF(F13=""Crypto"",B13,(IF(ISBLANK(D13),"""",IF(D13=""Cash"",B13,IF(GOOGLEFINANCE(D13,""CURRENCY"")=""GBX"",""GBP"",GOOGLEFINANCE(D13,""CURRENCY"")))))),B13)"),"USD")</f>
        <v>USD</v>
      </c>
      <c r="R13" s="248">
        <f>IFERROR(__xludf.DUMMYFUNCTION("IF(ISBLANK(A13),"""",IFERROR(IF(OR(Q13=""GPB"",Q13=""ZAR""),IF(Q13=Dashboard!$L$1,K13,(K13*GOOGLEFINANCE(""CURRENCY:""&amp;Q13&amp;""""&amp;Dashboard!$L$1&amp;""""))/100),IF(Q13=Dashboard!$L$1,K13,K13*GOOGLEFINANCE(""CURRENCY:""&amp;Q13&amp;""""&amp;Dashboard!$L$1&amp;""""))),K13))"),0.0)</f>
        <v>0</v>
      </c>
      <c r="S13" s="252">
        <f>IFERROR(__xludf.DUMMYFUNCTION("IF(ISBLANK(A13),"""",IFERROR(IF(OR(Q13=""GPB"",Q13=""ZAR""),IF(Q13=Dashboard!$L$1,M13,(M13*GOOGLEFINANCE(""CURRENCY:""&amp;Q13&amp;""""&amp;Dashboard!$L$1&amp;""""))/100),IF(Q13=Dashboard!$L$1,M13,M13*GOOGLEFINANCE(""CURRENCY:""&amp;Q13&amp;""""&amp;Dashboard!$L$1&amp;""""))),M13))"),36786.0)</f>
        <v>36786</v>
      </c>
      <c r="T13" s="249" t="str">
        <f t="shared" si="4"/>
        <v>29</v>
      </c>
      <c r="U13" s="249" t="str">
        <f t="shared" si="5"/>
        <v>May-24</v>
      </c>
      <c r="V13" s="249" t="str">
        <f t="shared" si="6"/>
        <v>2024</v>
      </c>
      <c r="W13" s="253" t="str">
        <f t="shared" si="8"/>
        <v>All</v>
      </c>
      <c r="X13" s="254" t="str">
        <f t="shared" si="7"/>
        <v/>
      </c>
    </row>
    <row r="14" ht="15.75" customHeight="1">
      <c r="A14" s="258" t="s">
        <v>129</v>
      </c>
      <c r="B14" s="224" t="s">
        <v>2</v>
      </c>
      <c r="C14" s="268">
        <v>45441.0</v>
      </c>
      <c r="D14" s="259" t="s">
        <v>135</v>
      </c>
      <c r="E14" s="259" t="s">
        <v>136</v>
      </c>
      <c r="F14" s="243" t="s">
        <v>127</v>
      </c>
      <c r="G14" s="243" t="s">
        <v>128</v>
      </c>
      <c r="H14" s="255" t="s">
        <v>123</v>
      </c>
      <c r="I14" s="259">
        <v>120.0</v>
      </c>
      <c r="J14" s="256">
        <v>150.0</v>
      </c>
      <c r="K14" s="260"/>
      <c r="L14" s="261"/>
      <c r="M14" s="262">
        <f t="shared" si="1"/>
        <v>18000</v>
      </c>
      <c r="N14" s="263">
        <f t="shared" si="2"/>
        <v>-18000</v>
      </c>
      <c r="O14" s="264">
        <f t="shared" si="3"/>
        <v>120</v>
      </c>
      <c r="P14" s="265">
        <f>IFERROR(__xludf.DUMMYFUNCTION("IF(ISBLANK(A14),"""",IFERROR(IF(H14=""Sell"",VLOOKUP(9^99,FILTER({ROW(P$2:P13),P$2:P13},D$2:D13=D14),2),(VLOOKUP(9^99,FILTER({ROW(P$2:P13),P$2:P13},D$2:D13=D14),2)*VLOOKUP(9^99,FILTER({ROW(O$2:O13),O$2:O13},D$2:D13=D14),2)-N14)/O14),J14))"),150.0)</f>
        <v>150</v>
      </c>
      <c r="Q14" s="264" t="str">
        <f>IFERROR(__xludf.DUMMYFUNCTION("IFERROR(IF(F14=""Crypto"",B14,(IF(ISBLANK(D14),"""",IF(D14=""Cash"",B14,IF(GOOGLEFINANCE(D14,""CURRENCY"")=""GBX"",""GBP"",GOOGLEFINANCE(D14,""CURRENCY"")))))),B14)"),"USD")</f>
        <v>USD</v>
      </c>
      <c r="R14" s="263">
        <f>IFERROR(__xludf.DUMMYFUNCTION("IF(ISBLANK(A14),"""",IFERROR(IF(OR(Q14=""GPB"",Q14=""ZAR""),IF(Q14=Dashboard!$L$1,K14,(K14*GOOGLEFINANCE(""CURRENCY:""&amp;Q14&amp;""""&amp;Dashboard!$L$1&amp;""""))/100),IF(Q14=Dashboard!$L$1,K14,K14*GOOGLEFINANCE(""CURRENCY:""&amp;Q14&amp;""""&amp;Dashboard!$L$1&amp;""""))),K14))"),0.0)</f>
        <v>0</v>
      </c>
      <c r="S14" s="266">
        <f>IFERROR(__xludf.DUMMYFUNCTION("IF(ISBLANK(A14),"""",IFERROR(IF(OR(Q14=""GPB"",Q14=""ZAR""),IF(Q14=Dashboard!$L$1,M14,(M14*GOOGLEFINANCE(""CURRENCY:""&amp;Q14&amp;""""&amp;Dashboard!$L$1&amp;""""))/100),IF(Q14=Dashboard!$L$1,M14,M14*GOOGLEFINANCE(""CURRENCY:""&amp;Q14&amp;""""&amp;Dashboard!$L$1&amp;""""))),M14))"),16553.7)</f>
        <v>16553.7</v>
      </c>
      <c r="T14" s="264" t="str">
        <f t="shared" si="4"/>
        <v>29</v>
      </c>
      <c r="U14" s="264" t="str">
        <f t="shared" si="5"/>
        <v>May-24</v>
      </c>
      <c r="V14" s="264" t="str">
        <f t="shared" si="6"/>
        <v>2024</v>
      </c>
      <c r="W14" s="267" t="str">
        <f t="shared" si="8"/>
        <v>All</v>
      </c>
      <c r="X14" s="264" t="str">
        <f t="shared" si="7"/>
        <v/>
      </c>
    </row>
    <row r="15" ht="15.75" customHeight="1">
      <c r="A15" s="258" t="s">
        <v>129</v>
      </c>
      <c r="B15" s="224" t="s">
        <v>2</v>
      </c>
      <c r="C15" s="268">
        <v>45441.0</v>
      </c>
      <c r="D15" s="259" t="s">
        <v>137</v>
      </c>
      <c r="E15" s="259" t="s">
        <v>138</v>
      </c>
      <c r="F15" s="243" t="s">
        <v>127</v>
      </c>
      <c r="G15" s="243" t="s">
        <v>128</v>
      </c>
      <c r="H15" s="255" t="s">
        <v>123</v>
      </c>
      <c r="I15" s="259">
        <v>200.0</v>
      </c>
      <c r="J15" s="256">
        <v>50.0</v>
      </c>
      <c r="K15" s="260"/>
      <c r="L15" s="261"/>
      <c r="M15" s="262">
        <f t="shared" si="1"/>
        <v>10000</v>
      </c>
      <c r="N15" s="263">
        <f t="shared" si="2"/>
        <v>-10000</v>
      </c>
      <c r="O15" s="264">
        <f t="shared" si="3"/>
        <v>200</v>
      </c>
      <c r="P15" s="265">
        <f>IFERROR(__xludf.DUMMYFUNCTION("IF(ISBLANK(A15),"""",IFERROR(IF(H15=""Sell"",VLOOKUP(9^99,FILTER({ROW(P$2:P14),P$2:P14},D$2:D14=D15),2),(VLOOKUP(9^99,FILTER({ROW(P$2:P14),P$2:P14},D$2:D14=D15),2)*VLOOKUP(9^99,FILTER({ROW(O$2:O14),O$2:O14},D$2:D14=D15),2)-N15)/O15),J15))"),50.0)</f>
        <v>50</v>
      </c>
      <c r="Q15" s="264" t="str">
        <f>IFERROR(__xludf.DUMMYFUNCTION("IFERROR(IF(F15=""Crypto"",B15,(IF(ISBLANK(D15),"""",IF(D15=""Cash"",B15,IF(GOOGLEFINANCE(D15,""CURRENCY"")=""GBX"",""GBP"",GOOGLEFINANCE(D15,""CURRENCY"")))))),B15)"),"USD")</f>
        <v>USD</v>
      </c>
      <c r="R15" s="263">
        <f>IFERROR(__xludf.DUMMYFUNCTION("IF(ISBLANK(A15),"""",IFERROR(IF(OR(Q15=""GPB"",Q15=""ZAR""),IF(Q15=Dashboard!$L$1,K15,(K15*GOOGLEFINANCE(""CURRENCY:""&amp;Q15&amp;""""&amp;Dashboard!$L$1&amp;""""))/100),IF(Q15=Dashboard!$L$1,K15,K15*GOOGLEFINANCE(""CURRENCY:""&amp;Q15&amp;""""&amp;Dashboard!$L$1&amp;""""))),K15))"),0.0)</f>
        <v>0</v>
      </c>
      <c r="S15" s="266">
        <f>IFERROR(__xludf.DUMMYFUNCTION("IF(ISBLANK(A15),"""",IFERROR(IF(OR(Q15=""GPB"",Q15=""ZAR""),IF(Q15=Dashboard!$L$1,M15,(M15*GOOGLEFINANCE(""CURRENCY:""&amp;Q15&amp;""""&amp;Dashboard!$L$1&amp;""""))/100),IF(Q15=Dashboard!$L$1,M15,M15*GOOGLEFINANCE(""CURRENCY:""&amp;Q15&amp;""""&amp;Dashboard!$L$1&amp;""""))),M15))"),9196.5)</f>
        <v>9196.5</v>
      </c>
      <c r="T15" s="264" t="str">
        <f t="shared" si="4"/>
        <v>29</v>
      </c>
      <c r="U15" s="264" t="str">
        <f t="shared" si="5"/>
        <v>May-24</v>
      </c>
      <c r="V15" s="264" t="str">
        <f t="shared" si="6"/>
        <v>2024</v>
      </c>
      <c r="W15" s="267" t="str">
        <f t="shared" si="8"/>
        <v>All</v>
      </c>
      <c r="X15" s="264" t="str">
        <f t="shared" si="7"/>
        <v/>
      </c>
    </row>
    <row r="16" ht="15.75" customHeight="1">
      <c r="A16" s="258" t="s">
        <v>129</v>
      </c>
      <c r="B16" s="224" t="s">
        <v>2</v>
      </c>
      <c r="C16" s="269">
        <v>45442.0</v>
      </c>
      <c r="D16" s="258" t="s">
        <v>5</v>
      </c>
      <c r="E16" s="258" t="s">
        <v>130</v>
      </c>
      <c r="F16" s="243" t="s">
        <v>127</v>
      </c>
      <c r="G16" s="243" t="s">
        <v>128</v>
      </c>
      <c r="H16" s="255" t="s">
        <v>123</v>
      </c>
      <c r="I16" s="258">
        <v>1500.0</v>
      </c>
      <c r="J16" s="270">
        <v>185.0</v>
      </c>
      <c r="K16" s="260"/>
      <c r="L16" s="261"/>
      <c r="M16" s="262">
        <f t="shared" si="1"/>
        <v>277500</v>
      </c>
      <c r="N16" s="263">
        <f t="shared" si="2"/>
        <v>-277500</v>
      </c>
      <c r="O16" s="264">
        <f t="shared" si="3"/>
        <v>1650</v>
      </c>
      <c r="P16" s="265">
        <f>IFERROR(__xludf.DUMMYFUNCTION("IF(ISBLANK(A16),"""",IFERROR(IF(H16=""Sell"",VLOOKUP(9^99,FILTER({ROW(P$2:P15),P$2:P15},D$2:D15=D16),2),(VLOOKUP(9^99,FILTER({ROW(P$2:P15),P$2:P15},D$2:D15=D16),2)*VLOOKUP(9^99,FILTER({ROW(O$2:O15),O$2:O15},D$2:D15=D16),2)-N16)/O16),J16))"),177.27272727272728)</f>
        <v>177.2727273</v>
      </c>
      <c r="Q16" s="264" t="str">
        <f>IFERROR(__xludf.DUMMYFUNCTION("IFERROR(IF(F16=""Crypto"",B16,(IF(ISBLANK(D16),"""",IF(D16=""Cash"",B16,IF(GOOGLEFINANCE(D16,""CURRENCY"")=""GBX"",""GBP"",GOOGLEFINANCE(D16,""CURRENCY"")))))),B16)"),"USD")</f>
        <v>USD</v>
      </c>
      <c r="R16" s="263">
        <f>IFERROR(__xludf.DUMMYFUNCTION("IF(ISBLANK(A16),"""",IFERROR(IF(OR(Q16=""GPB"",Q16=""ZAR""),IF(Q16=Dashboard!$L$1,K16,(K16*GOOGLEFINANCE(""CURRENCY:""&amp;Q16&amp;""""&amp;Dashboard!$L$1&amp;""""))/100),IF(Q16=Dashboard!$L$1,K16,K16*GOOGLEFINANCE(""CURRENCY:""&amp;Q16&amp;""""&amp;Dashboard!$L$1&amp;""""))),K16))"),0.0)</f>
        <v>0</v>
      </c>
      <c r="S16" s="266">
        <f>IFERROR(__xludf.DUMMYFUNCTION("IF(ISBLANK(A16),"""",IFERROR(IF(OR(Q16=""GPB"",Q16=""ZAR""),IF(Q16=Dashboard!$L$1,M16,(M16*GOOGLEFINANCE(""CURRENCY:""&amp;Q16&amp;""""&amp;Dashboard!$L$1&amp;""""))/100),IF(Q16=Dashboard!$L$1,M16,M16*GOOGLEFINANCE(""CURRENCY:""&amp;Q16&amp;""""&amp;Dashboard!$L$1&amp;""""))),M16))"),255202.875)</f>
        <v>255202.875</v>
      </c>
      <c r="T16" s="264" t="str">
        <f t="shared" si="4"/>
        <v>30</v>
      </c>
      <c r="U16" s="264" t="str">
        <f t="shared" si="5"/>
        <v>May-24</v>
      </c>
      <c r="V16" s="264" t="str">
        <f t="shared" si="6"/>
        <v>2024</v>
      </c>
      <c r="W16" s="267" t="str">
        <f t="shared" si="8"/>
        <v>All</v>
      </c>
      <c r="X16" s="264" t="str">
        <f t="shared" si="7"/>
        <v/>
      </c>
    </row>
    <row r="17" ht="15.75" customHeight="1">
      <c r="A17" s="258"/>
      <c r="B17" s="258"/>
      <c r="C17" s="269"/>
      <c r="D17" s="258"/>
      <c r="E17" s="258"/>
      <c r="F17" s="258"/>
      <c r="G17" s="258"/>
      <c r="H17" s="271"/>
      <c r="I17" s="258"/>
      <c r="J17" s="272"/>
      <c r="K17" s="260"/>
      <c r="L17" s="261"/>
      <c r="M17" s="262" t="str">
        <f t="shared" si="1"/>
        <v/>
      </c>
      <c r="N17" s="263" t="str">
        <f t="shared" si="2"/>
        <v/>
      </c>
      <c r="O17" s="264" t="str">
        <f t="shared" si="3"/>
        <v/>
      </c>
      <c r="P17" s="265" t="str">
        <f>IFERROR(__xludf.DUMMYFUNCTION("IF(ISBLANK(A17),"""",IFERROR(IF(H17=""Sell"",VLOOKUP(9^99,FILTER({ROW(P$2:P16),P$2:P16},D$2:D16=D17),2),(VLOOKUP(9^99,FILTER({ROW(P$2:P16),P$2:P16},D$2:D16=D17),2)*VLOOKUP(9^99,FILTER({ROW(O$2:O16),O$2:O16},D$2:D16=D17),2)-N17)/O17),J17))"),"")</f>
        <v/>
      </c>
      <c r="Q17" s="264" t="str">
        <f>IFERROR(__xludf.DUMMYFUNCTION("IFERROR(IF(F17=""Crypto"",B17,(IF(ISBLANK(D17),"""",IF(D17=""Cash"",B17,IF(GOOGLEFINANCE(D17,""CURRENCY"")=""GBX"",""GBP"",GOOGLEFINANCE(D17,""CURRENCY"")))))),B17)"),"")</f>
        <v/>
      </c>
      <c r="R17" s="263" t="str">
        <f>IFERROR(__xludf.DUMMYFUNCTION("IF(ISBLANK(A17),"""",IFERROR(IF(OR(Q17=""GPB"",Q17=""ZAR""),IF(Q17=Dashboard!$L$1,K17,(K17*GOOGLEFINANCE(""CURRENCY:""&amp;Q17&amp;""""&amp;Dashboard!$L$1&amp;""""))/100),IF(Q17=Dashboard!$L$1,K17,K17*GOOGLEFINANCE(""CURRENCY:""&amp;Q17&amp;""""&amp;Dashboard!$L$1&amp;""""))),K17))"),"")</f>
        <v/>
      </c>
      <c r="S17" s="266" t="str">
        <f>IFERROR(__xludf.DUMMYFUNCTION("IF(ISBLANK(A17),"""",IFERROR(IF(OR(Q17=""GPB"",Q17=""ZAR""),IF(Q17=Dashboard!$L$1,M17,(M17*GOOGLEFINANCE(""CURRENCY:""&amp;Q17&amp;""""&amp;Dashboard!$L$1&amp;""""))/100),IF(Q17=Dashboard!$L$1,M17,M17*GOOGLEFINANCE(""CURRENCY:""&amp;Q17&amp;""""&amp;Dashboard!$L$1&amp;""""))),M17))"),"")</f>
        <v/>
      </c>
      <c r="T17" s="264" t="str">
        <f t="shared" si="4"/>
        <v/>
      </c>
      <c r="U17" s="264" t="str">
        <f t="shared" si="5"/>
        <v/>
      </c>
      <c r="V17" s="264" t="str">
        <f t="shared" si="6"/>
        <v/>
      </c>
      <c r="W17" s="267" t="str">
        <f t="shared" si="8"/>
        <v/>
      </c>
      <c r="X17" s="264" t="str">
        <f t="shared" si="7"/>
        <v/>
      </c>
    </row>
    <row r="18" ht="15.75" customHeight="1">
      <c r="A18" s="258"/>
      <c r="B18" s="258"/>
      <c r="C18" s="269"/>
      <c r="D18" s="258"/>
      <c r="E18" s="258"/>
      <c r="F18" s="258"/>
      <c r="G18" s="258"/>
      <c r="H18" s="271"/>
      <c r="I18" s="258"/>
      <c r="J18" s="272"/>
      <c r="K18" s="260"/>
      <c r="L18" s="261"/>
      <c r="M18" s="262" t="str">
        <f t="shared" si="1"/>
        <v/>
      </c>
      <c r="N18" s="263" t="str">
        <f t="shared" si="2"/>
        <v/>
      </c>
      <c r="O18" s="264" t="str">
        <f t="shared" si="3"/>
        <v/>
      </c>
      <c r="P18" s="265" t="str">
        <f>IFERROR(__xludf.DUMMYFUNCTION("IF(ISBLANK(A18),"""",IFERROR(IF(H18=""Sell"",VLOOKUP(9^99,FILTER({ROW(P$2:P17),P$2:P17},D$2:D17=D18),2),(VLOOKUP(9^99,FILTER({ROW(P$2:P17),P$2:P17},D$2:D17=D18),2)*VLOOKUP(9^99,FILTER({ROW(O$2:O17),O$2:O17},D$2:D17=D18),2)-N18)/O18),J18))"),"")</f>
        <v/>
      </c>
      <c r="Q18" s="264" t="str">
        <f>IFERROR(__xludf.DUMMYFUNCTION("IFERROR(IF(F18=""Crypto"",B18,(IF(ISBLANK(D18),"""",IF(D18=""Cash"",B18,IF(GOOGLEFINANCE(D18,""CURRENCY"")=""GBX"",""GBP"",GOOGLEFINANCE(D18,""CURRENCY"")))))),B18)"),"")</f>
        <v/>
      </c>
      <c r="R18" s="263" t="str">
        <f>IFERROR(__xludf.DUMMYFUNCTION("IF(ISBLANK(A18),"""",IFERROR(IF(OR(Q18=""GPB"",Q18=""ZAR""),IF(Q18=Dashboard!$L$1,K18,(K18*GOOGLEFINANCE(""CURRENCY:""&amp;Q18&amp;""""&amp;Dashboard!$L$1&amp;""""))/100),IF(Q18=Dashboard!$L$1,K18,K18*GOOGLEFINANCE(""CURRENCY:""&amp;Q18&amp;""""&amp;Dashboard!$L$1&amp;""""))),K18))"),"")</f>
        <v/>
      </c>
      <c r="S18" s="266" t="str">
        <f>IFERROR(__xludf.DUMMYFUNCTION("IF(ISBLANK(A18),"""",IFERROR(IF(OR(Q18=""GPB"",Q18=""ZAR""),IF(Q18=Dashboard!$L$1,M18,(M18*GOOGLEFINANCE(""CURRENCY:""&amp;Q18&amp;""""&amp;Dashboard!$L$1&amp;""""))/100),IF(Q18=Dashboard!$L$1,M18,M18*GOOGLEFINANCE(""CURRENCY:""&amp;Q18&amp;""""&amp;Dashboard!$L$1&amp;""""))),M18))"),"")</f>
        <v/>
      </c>
      <c r="T18" s="264" t="str">
        <f t="shared" si="4"/>
        <v/>
      </c>
      <c r="U18" s="264" t="str">
        <f t="shared" si="5"/>
        <v/>
      </c>
      <c r="V18" s="264" t="str">
        <f t="shared" si="6"/>
        <v/>
      </c>
      <c r="W18" s="267" t="str">
        <f t="shared" si="8"/>
        <v/>
      </c>
      <c r="X18" s="264" t="str">
        <f t="shared" si="7"/>
        <v/>
      </c>
    </row>
    <row r="19" ht="15.75" customHeight="1">
      <c r="A19" s="258"/>
      <c r="B19" s="258"/>
      <c r="C19" s="269"/>
      <c r="D19" s="258"/>
      <c r="E19" s="258"/>
      <c r="F19" s="258"/>
      <c r="G19" s="258"/>
      <c r="H19" s="271"/>
      <c r="I19" s="258"/>
      <c r="J19" s="272"/>
      <c r="K19" s="260"/>
      <c r="L19" s="261"/>
      <c r="M19" s="262" t="str">
        <f t="shared" si="1"/>
        <v/>
      </c>
      <c r="N19" s="263" t="str">
        <f t="shared" si="2"/>
        <v/>
      </c>
      <c r="O19" s="264" t="str">
        <f t="shared" si="3"/>
        <v/>
      </c>
      <c r="P19" s="265" t="str">
        <f>IFERROR(__xludf.DUMMYFUNCTION("IF(ISBLANK(A19),"""",IFERROR(IF(H19=""Sell"",VLOOKUP(9^99,FILTER({ROW(P$2:P18),P$2:P18},D$2:D18=D19),2),(VLOOKUP(9^99,FILTER({ROW(P$2:P18),P$2:P18},D$2:D18=D19),2)*VLOOKUP(9^99,FILTER({ROW(O$2:O18),O$2:O18},D$2:D18=D19),2)-N19)/O19),J19))"),"")</f>
        <v/>
      </c>
      <c r="Q19" s="264" t="str">
        <f>IFERROR(__xludf.DUMMYFUNCTION("IFERROR(IF(F19=""Crypto"",B19,(IF(ISBLANK(D19),"""",IF(D19=""Cash"",B19,IF(GOOGLEFINANCE(D19,""CURRENCY"")=""GBX"",""GBP"",GOOGLEFINANCE(D19,""CURRENCY"")))))),B19)"),"")</f>
        <v/>
      </c>
      <c r="R19" s="263" t="str">
        <f>IFERROR(__xludf.DUMMYFUNCTION("IF(ISBLANK(A19),"""",IFERROR(IF(OR(Q19=""GPB"",Q19=""ZAR""),IF(Q19=Dashboard!$L$1,K19,(K19*GOOGLEFINANCE(""CURRENCY:""&amp;Q19&amp;""""&amp;Dashboard!$L$1&amp;""""))/100),IF(Q19=Dashboard!$L$1,K19,K19*GOOGLEFINANCE(""CURRENCY:""&amp;Q19&amp;""""&amp;Dashboard!$L$1&amp;""""))),K19))"),"")</f>
        <v/>
      </c>
      <c r="S19" s="266" t="str">
        <f>IFERROR(__xludf.DUMMYFUNCTION("IF(ISBLANK(A19),"""",IFERROR(IF(OR(Q19=""GPB"",Q19=""ZAR""),IF(Q19=Dashboard!$L$1,M19,(M19*GOOGLEFINANCE(""CURRENCY:""&amp;Q19&amp;""""&amp;Dashboard!$L$1&amp;""""))/100),IF(Q19=Dashboard!$L$1,M19,M19*GOOGLEFINANCE(""CURRENCY:""&amp;Q19&amp;""""&amp;Dashboard!$L$1&amp;""""))),M19))"),"")</f>
        <v/>
      </c>
      <c r="T19" s="264" t="str">
        <f t="shared" si="4"/>
        <v/>
      </c>
      <c r="U19" s="264" t="str">
        <f t="shared" si="5"/>
        <v/>
      </c>
      <c r="V19" s="264" t="str">
        <f t="shared" si="6"/>
        <v/>
      </c>
      <c r="W19" s="267" t="str">
        <f t="shared" si="8"/>
        <v/>
      </c>
      <c r="X19" s="264" t="str">
        <f t="shared" si="7"/>
        <v/>
      </c>
    </row>
    <row r="20" ht="15.75" customHeight="1">
      <c r="A20" s="258"/>
      <c r="B20" s="258"/>
      <c r="C20" s="269"/>
      <c r="D20" s="258"/>
      <c r="E20" s="258"/>
      <c r="F20" s="258"/>
      <c r="G20" s="258"/>
      <c r="H20" s="271"/>
      <c r="I20" s="258"/>
      <c r="J20" s="272"/>
      <c r="K20" s="260"/>
      <c r="L20" s="261"/>
      <c r="M20" s="262" t="str">
        <f t="shared" si="1"/>
        <v/>
      </c>
      <c r="N20" s="263" t="str">
        <f t="shared" si="2"/>
        <v/>
      </c>
      <c r="O20" s="264" t="str">
        <f t="shared" si="3"/>
        <v/>
      </c>
      <c r="P20" s="265" t="str">
        <f>IFERROR(__xludf.DUMMYFUNCTION("IF(ISBLANK(A20),"""",IFERROR(IF(H20=""Sell"",VLOOKUP(9^99,FILTER({ROW(P$2:P19),P$2:P19},D$2:D19=D20),2),(VLOOKUP(9^99,FILTER({ROW(P$2:P19),P$2:P19},D$2:D19=D20),2)*VLOOKUP(9^99,FILTER({ROW(O$2:O19),O$2:O19},D$2:D19=D20),2)-N20)/O20),J20))"),"")</f>
        <v/>
      </c>
      <c r="Q20" s="264" t="str">
        <f>IFERROR(__xludf.DUMMYFUNCTION("IFERROR(IF(F20=""Crypto"",B20,(IF(ISBLANK(D20),"""",IF(D20=""Cash"",B20,IF(GOOGLEFINANCE(D20,""CURRENCY"")=""GBX"",""GBP"",GOOGLEFINANCE(D20,""CURRENCY"")))))),B20)"),"")</f>
        <v/>
      </c>
      <c r="R20" s="263" t="str">
        <f>IFERROR(__xludf.DUMMYFUNCTION("IF(ISBLANK(A20),"""",IFERROR(IF(OR(Q20=""GPB"",Q20=""ZAR""),IF(Q20=Dashboard!$L$1,K20,(K20*GOOGLEFINANCE(""CURRENCY:""&amp;Q20&amp;""""&amp;Dashboard!$L$1&amp;""""))/100),IF(Q20=Dashboard!$L$1,K20,K20*GOOGLEFINANCE(""CURRENCY:""&amp;Q20&amp;""""&amp;Dashboard!$L$1&amp;""""))),K20))"),"")</f>
        <v/>
      </c>
      <c r="S20" s="266" t="str">
        <f>IFERROR(__xludf.DUMMYFUNCTION("IF(ISBLANK(A20),"""",IFERROR(IF(OR(Q20=""GPB"",Q20=""ZAR""),IF(Q20=Dashboard!$L$1,M20,(M20*GOOGLEFINANCE(""CURRENCY:""&amp;Q20&amp;""""&amp;Dashboard!$L$1&amp;""""))/100),IF(Q20=Dashboard!$L$1,M20,M20*GOOGLEFINANCE(""CURRENCY:""&amp;Q20&amp;""""&amp;Dashboard!$L$1&amp;""""))),M20))"),"")</f>
        <v/>
      </c>
      <c r="T20" s="264" t="str">
        <f t="shared" si="4"/>
        <v/>
      </c>
      <c r="U20" s="264" t="str">
        <f t="shared" si="5"/>
        <v/>
      </c>
      <c r="V20" s="264" t="str">
        <f t="shared" si="6"/>
        <v/>
      </c>
      <c r="W20" s="267" t="str">
        <f t="shared" si="8"/>
        <v/>
      </c>
      <c r="X20" s="264" t="str">
        <f t="shared" si="7"/>
        <v/>
      </c>
    </row>
    <row r="21" ht="15.75" customHeight="1">
      <c r="A21" s="258"/>
      <c r="B21" s="258"/>
      <c r="C21" s="269"/>
      <c r="D21" s="258"/>
      <c r="E21" s="258"/>
      <c r="F21" s="258"/>
      <c r="G21" s="258"/>
      <c r="H21" s="271"/>
      <c r="I21" s="258"/>
      <c r="J21" s="272"/>
      <c r="K21" s="260"/>
      <c r="L21" s="261"/>
      <c r="M21" s="262" t="str">
        <f t="shared" si="1"/>
        <v/>
      </c>
      <c r="N21" s="263" t="str">
        <f t="shared" si="2"/>
        <v/>
      </c>
      <c r="O21" s="264" t="str">
        <f t="shared" si="3"/>
        <v/>
      </c>
      <c r="P21" s="265" t="str">
        <f>IFERROR(__xludf.DUMMYFUNCTION("IF(ISBLANK(A21),"""",IFERROR(IF(H21=""Sell"",VLOOKUP(9^99,FILTER({ROW(P$2:P20),P$2:P20},D$2:D20=D21),2),(VLOOKUP(9^99,FILTER({ROW(P$2:P20),P$2:P20},D$2:D20=D21),2)*VLOOKUP(9^99,FILTER({ROW(O$2:O20),O$2:O20},D$2:D20=D21),2)-N21)/O21),J21))"),"")</f>
        <v/>
      </c>
      <c r="Q21" s="264" t="str">
        <f>IFERROR(__xludf.DUMMYFUNCTION("IFERROR(IF(F21=""Crypto"",B21,(IF(ISBLANK(D21),"""",IF(D21=""Cash"",B21,IF(GOOGLEFINANCE(D21,""CURRENCY"")=""GBX"",""GBP"",GOOGLEFINANCE(D21,""CURRENCY"")))))),B21)"),"")</f>
        <v/>
      </c>
      <c r="R21" s="263" t="str">
        <f>IFERROR(__xludf.DUMMYFUNCTION("IF(ISBLANK(A21),"""",IFERROR(IF(OR(Q21=""GPB"",Q21=""ZAR""),IF(Q21=Dashboard!$L$1,K21,(K21*GOOGLEFINANCE(""CURRENCY:""&amp;Q21&amp;""""&amp;Dashboard!$L$1&amp;""""))/100),IF(Q21=Dashboard!$L$1,K21,K21*GOOGLEFINANCE(""CURRENCY:""&amp;Q21&amp;""""&amp;Dashboard!$L$1&amp;""""))),K21))"),"")</f>
        <v/>
      </c>
      <c r="S21" s="266" t="str">
        <f>IFERROR(__xludf.DUMMYFUNCTION("IF(ISBLANK(A21),"""",IFERROR(IF(OR(Q21=""GPB"",Q21=""ZAR""),IF(Q21=Dashboard!$L$1,M21,(M21*GOOGLEFINANCE(""CURRENCY:""&amp;Q21&amp;""""&amp;Dashboard!$L$1&amp;""""))/100),IF(Q21=Dashboard!$L$1,M21,M21*GOOGLEFINANCE(""CURRENCY:""&amp;Q21&amp;""""&amp;Dashboard!$L$1&amp;""""))),M21))"),"")</f>
        <v/>
      </c>
      <c r="T21" s="264" t="str">
        <f t="shared" si="4"/>
        <v/>
      </c>
      <c r="U21" s="264" t="str">
        <f t="shared" si="5"/>
        <v/>
      </c>
      <c r="V21" s="264" t="str">
        <f t="shared" si="6"/>
        <v/>
      </c>
      <c r="W21" s="267" t="str">
        <f t="shared" si="8"/>
        <v/>
      </c>
      <c r="X21" s="264" t="str">
        <f t="shared" si="7"/>
        <v/>
      </c>
    </row>
    <row r="22" ht="15.75" customHeight="1">
      <c r="A22" s="258"/>
      <c r="B22" s="258"/>
      <c r="C22" s="269"/>
      <c r="D22" s="258"/>
      <c r="E22" s="258"/>
      <c r="F22" s="258"/>
      <c r="G22" s="258"/>
      <c r="H22" s="271"/>
      <c r="I22" s="258"/>
      <c r="J22" s="272"/>
      <c r="K22" s="260"/>
      <c r="L22" s="261"/>
      <c r="M22" s="262" t="str">
        <f t="shared" si="1"/>
        <v/>
      </c>
      <c r="N22" s="263" t="str">
        <f t="shared" si="2"/>
        <v/>
      </c>
      <c r="O22" s="264" t="str">
        <f t="shared" si="3"/>
        <v/>
      </c>
      <c r="P22" s="265" t="str">
        <f>IFERROR(__xludf.DUMMYFUNCTION("IF(ISBLANK(A22),"""",IFERROR(IF(H22=""Sell"",VLOOKUP(9^99,FILTER({ROW(P$2:P21),P$2:P21},D$2:D21=D22),2),(VLOOKUP(9^99,FILTER({ROW(P$2:P21),P$2:P21},D$2:D21=D22),2)*VLOOKUP(9^99,FILTER({ROW(O$2:O21),O$2:O21},D$2:D21=D22),2)-N22)/O22),J22))"),"")</f>
        <v/>
      </c>
      <c r="Q22" s="264" t="str">
        <f>IFERROR(__xludf.DUMMYFUNCTION("IFERROR(IF(F22=""Crypto"",B22,(IF(ISBLANK(D22),"""",IF(D22=""Cash"",B22,IF(GOOGLEFINANCE(D22,""CURRENCY"")=""GBX"",""GBP"",GOOGLEFINANCE(D22,""CURRENCY"")))))),B22)"),"")</f>
        <v/>
      </c>
      <c r="R22" s="263" t="str">
        <f>IFERROR(__xludf.DUMMYFUNCTION("IF(ISBLANK(A22),"""",IFERROR(IF(OR(Q22=""GPB"",Q22=""ZAR""),IF(Q22=Dashboard!$L$1,K22,(K22*GOOGLEFINANCE(""CURRENCY:""&amp;Q22&amp;""""&amp;Dashboard!$L$1&amp;""""))/100),IF(Q22=Dashboard!$L$1,K22,K22*GOOGLEFINANCE(""CURRENCY:""&amp;Q22&amp;""""&amp;Dashboard!$L$1&amp;""""))),K22))"),"")</f>
        <v/>
      </c>
      <c r="S22" s="266" t="str">
        <f>IFERROR(__xludf.DUMMYFUNCTION("IF(ISBLANK(A22),"""",IFERROR(IF(OR(Q22=""GPB"",Q22=""ZAR""),IF(Q22=Dashboard!$L$1,M22,(M22*GOOGLEFINANCE(""CURRENCY:""&amp;Q22&amp;""""&amp;Dashboard!$L$1&amp;""""))/100),IF(Q22=Dashboard!$L$1,M22,M22*GOOGLEFINANCE(""CURRENCY:""&amp;Q22&amp;""""&amp;Dashboard!$L$1&amp;""""))),M22))"),"")</f>
        <v/>
      </c>
      <c r="T22" s="264" t="str">
        <f t="shared" si="4"/>
        <v/>
      </c>
      <c r="U22" s="264" t="str">
        <f t="shared" si="5"/>
        <v/>
      </c>
      <c r="V22" s="264" t="str">
        <f t="shared" si="6"/>
        <v/>
      </c>
      <c r="W22" s="267" t="str">
        <f t="shared" si="8"/>
        <v/>
      </c>
      <c r="X22" s="264" t="str">
        <f t="shared" si="7"/>
        <v/>
      </c>
    </row>
    <row r="23" ht="15.75" customHeight="1">
      <c r="A23" s="258"/>
      <c r="B23" s="258"/>
      <c r="C23" s="269"/>
      <c r="D23" s="258"/>
      <c r="E23" s="258"/>
      <c r="F23" s="258"/>
      <c r="G23" s="258"/>
      <c r="H23" s="271"/>
      <c r="I23" s="258"/>
      <c r="J23" s="272"/>
      <c r="K23" s="260"/>
      <c r="L23" s="261"/>
      <c r="M23" s="262" t="str">
        <f t="shared" si="1"/>
        <v/>
      </c>
      <c r="N23" s="263" t="str">
        <f t="shared" si="2"/>
        <v/>
      </c>
      <c r="O23" s="264" t="str">
        <f t="shared" si="3"/>
        <v/>
      </c>
      <c r="P23" s="265" t="str">
        <f>IFERROR(__xludf.DUMMYFUNCTION("IF(ISBLANK(A23),"""",IFERROR(IF(H23=""Sell"",VLOOKUP(9^99,FILTER({ROW(P$2:P22),P$2:P22},D$2:D22=D23),2),(VLOOKUP(9^99,FILTER({ROW(P$2:P22),P$2:P22},D$2:D22=D23),2)*VLOOKUP(9^99,FILTER({ROW(O$2:O22),O$2:O22},D$2:D22=D23),2)-N23)/O23),J23))"),"")</f>
        <v/>
      </c>
      <c r="Q23" s="264" t="str">
        <f>IFERROR(__xludf.DUMMYFUNCTION("IFERROR(IF(F23=""Crypto"",B23,(IF(ISBLANK(D23),"""",IF(D23=""Cash"",B23,IF(GOOGLEFINANCE(D23,""CURRENCY"")=""GBX"",""GBP"",GOOGLEFINANCE(D23,""CURRENCY"")))))),B23)"),"")</f>
        <v/>
      </c>
      <c r="R23" s="263" t="str">
        <f>IFERROR(__xludf.DUMMYFUNCTION("IF(ISBLANK(A23),"""",IFERROR(IF(OR(Q23=""GPB"",Q23=""ZAR""),IF(Q23=Dashboard!$L$1,K23,(K23*GOOGLEFINANCE(""CURRENCY:""&amp;Q23&amp;""""&amp;Dashboard!$L$1&amp;""""))/100),IF(Q23=Dashboard!$L$1,K23,K23*GOOGLEFINANCE(""CURRENCY:""&amp;Q23&amp;""""&amp;Dashboard!$L$1&amp;""""))),K23))"),"")</f>
        <v/>
      </c>
      <c r="S23" s="266" t="str">
        <f>IFERROR(__xludf.DUMMYFUNCTION("IF(ISBLANK(A23),"""",IFERROR(IF(OR(Q23=""GPB"",Q23=""ZAR""),IF(Q23=Dashboard!$L$1,M23,(M23*GOOGLEFINANCE(""CURRENCY:""&amp;Q23&amp;""""&amp;Dashboard!$L$1&amp;""""))/100),IF(Q23=Dashboard!$L$1,M23,M23*GOOGLEFINANCE(""CURRENCY:""&amp;Q23&amp;""""&amp;Dashboard!$L$1&amp;""""))),M23))"),"")</f>
        <v/>
      </c>
      <c r="T23" s="264" t="str">
        <f t="shared" si="4"/>
        <v/>
      </c>
      <c r="U23" s="264" t="str">
        <f t="shared" si="5"/>
        <v/>
      </c>
      <c r="V23" s="264" t="str">
        <f t="shared" si="6"/>
        <v/>
      </c>
      <c r="W23" s="267" t="str">
        <f t="shared" si="8"/>
        <v/>
      </c>
      <c r="X23" s="264" t="str">
        <f t="shared" si="7"/>
        <v/>
      </c>
    </row>
    <row r="24" ht="15.75" customHeight="1">
      <c r="A24" s="258"/>
      <c r="B24" s="258"/>
      <c r="C24" s="269"/>
      <c r="D24" s="258"/>
      <c r="E24" s="258"/>
      <c r="F24" s="258"/>
      <c r="G24" s="258"/>
      <c r="H24" s="271"/>
      <c r="I24" s="258"/>
      <c r="J24" s="272"/>
      <c r="K24" s="260"/>
      <c r="L24" s="261"/>
      <c r="M24" s="262" t="str">
        <f t="shared" si="1"/>
        <v/>
      </c>
      <c r="N24" s="263" t="str">
        <f t="shared" si="2"/>
        <v/>
      </c>
      <c r="O24" s="264" t="str">
        <f t="shared" si="3"/>
        <v/>
      </c>
      <c r="P24" s="265" t="str">
        <f>IFERROR(__xludf.DUMMYFUNCTION("IF(ISBLANK(A24),"""",IFERROR(IF(H24=""Sell"",VLOOKUP(9^99,FILTER({ROW(P$2:P23),P$2:P23},D$2:D23=D24),2),(VLOOKUP(9^99,FILTER({ROW(P$2:P23),P$2:P23},D$2:D23=D24),2)*VLOOKUP(9^99,FILTER({ROW(O$2:O23),O$2:O23},D$2:D23=D24),2)-N24)/O24),J24))"),"")</f>
        <v/>
      </c>
      <c r="Q24" s="264" t="str">
        <f>IFERROR(__xludf.DUMMYFUNCTION("IFERROR(IF(F24=""Crypto"",B24,(IF(ISBLANK(D24),"""",IF(D24=""Cash"",B24,IF(GOOGLEFINANCE(D24,""CURRENCY"")=""GBX"",""GBP"",GOOGLEFINANCE(D24,""CURRENCY"")))))),B24)"),"")</f>
        <v/>
      </c>
      <c r="R24" s="263" t="str">
        <f>IFERROR(__xludf.DUMMYFUNCTION("IF(ISBLANK(A24),"""",IFERROR(IF(OR(Q24=""GPB"",Q24=""ZAR""),IF(Q24=Dashboard!$L$1,K24,(K24*GOOGLEFINANCE(""CURRENCY:""&amp;Q24&amp;""""&amp;Dashboard!$L$1&amp;""""))/100),IF(Q24=Dashboard!$L$1,K24,K24*GOOGLEFINANCE(""CURRENCY:""&amp;Q24&amp;""""&amp;Dashboard!$L$1&amp;""""))),K24))"),"")</f>
        <v/>
      </c>
      <c r="S24" s="266" t="str">
        <f>IFERROR(__xludf.DUMMYFUNCTION("IF(ISBLANK(A24),"""",IFERROR(IF(OR(Q24=""GPB"",Q24=""ZAR""),IF(Q24=Dashboard!$L$1,M24,(M24*GOOGLEFINANCE(""CURRENCY:""&amp;Q24&amp;""""&amp;Dashboard!$L$1&amp;""""))/100),IF(Q24=Dashboard!$L$1,M24,M24*GOOGLEFINANCE(""CURRENCY:""&amp;Q24&amp;""""&amp;Dashboard!$L$1&amp;""""))),M24))"),"")</f>
        <v/>
      </c>
      <c r="T24" s="264" t="str">
        <f t="shared" si="4"/>
        <v/>
      </c>
      <c r="U24" s="264" t="str">
        <f t="shared" si="5"/>
        <v/>
      </c>
      <c r="V24" s="264" t="str">
        <f t="shared" si="6"/>
        <v/>
      </c>
      <c r="W24" s="267" t="str">
        <f t="shared" si="8"/>
        <v/>
      </c>
      <c r="X24" s="264" t="str">
        <f t="shared" si="7"/>
        <v/>
      </c>
    </row>
    <row r="25" ht="15.75" customHeight="1">
      <c r="A25" s="258"/>
      <c r="B25" s="258"/>
      <c r="C25" s="269"/>
      <c r="D25" s="258"/>
      <c r="E25" s="258"/>
      <c r="F25" s="258"/>
      <c r="G25" s="258"/>
      <c r="H25" s="271"/>
      <c r="I25" s="258"/>
      <c r="J25" s="272"/>
      <c r="K25" s="260"/>
      <c r="L25" s="261"/>
      <c r="M25" s="262" t="str">
        <f t="shared" si="1"/>
        <v/>
      </c>
      <c r="N25" s="263" t="str">
        <f t="shared" si="2"/>
        <v/>
      </c>
      <c r="O25" s="264" t="str">
        <f t="shared" si="3"/>
        <v/>
      </c>
      <c r="P25" s="265" t="str">
        <f>IFERROR(__xludf.DUMMYFUNCTION("IF(ISBLANK(A25),"""",IFERROR(IF(H25=""Sell"",VLOOKUP(9^99,FILTER({ROW(P$2:P24),P$2:P24},D$2:D24=D25),2),(VLOOKUP(9^99,FILTER({ROW(P$2:P24),P$2:P24},D$2:D24=D25),2)*VLOOKUP(9^99,FILTER({ROW(O$2:O24),O$2:O24},D$2:D24=D25),2)-N25)/O25),J25))"),"")</f>
        <v/>
      </c>
      <c r="Q25" s="264" t="str">
        <f>IFERROR(__xludf.DUMMYFUNCTION("IFERROR(IF(F25=""Crypto"",B25,(IF(ISBLANK(D25),"""",IF(D25=""Cash"",B25,IF(GOOGLEFINANCE(D25,""CURRENCY"")=""GBX"",""GBP"",GOOGLEFINANCE(D25,""CURRENCY"")))))),B25)"),"")</f>
        <v/>
      </c>
      <c r="R25" s="263" t="str">
        <f>IFERROR(__xludf.DUMMYFUNCTION("IF(ISBLANK(A25),"""",IFERROR(IF(OR(Q25=""GPB"",Q25=""ZAR""),IF(Q25=Dashboard!$L$1,K25,(K25*GOOGLEFINANCE(""CURRENCY:""&amp;Q25&amp;""""&amp;Dashboard!$L$1&amp;""""))/100),IF(Q25=Dashboard!$L$1,K25,K25*GOOGLEFINANCE(""CURRENCY:""&amp;Q25&amp;""""&amp;Dashboard!$L$1&amp;""""))),K25))"),"")</f>
        <v/>
      </c>
      <c r="S25" s="266" t="str">
        <f>IFERROR(__xludf.DUMMYFUNCTION("IF(ISBLANK(A25),"""",IFERROR(IF(OR(Q25=""GPB"",Q25=""ZAR""),IF(Q25=Dashboard!$L$1,M25,(M25*GOOGLEFINANCE(""CURRENCY:""&amp;Q25&amp;""""&amp;Dashboard!$L$1&amp;""""))/100),IF(Q25=Dashboard!$L$1,M25,M25*GOOGLEFINANCE(""CURRENCY:""&amp;Q25&amp;""""&amp;Dashboard!$L$1&amp;""""))),M25))"),"")</f>
        <v/>
      </c>
      <c r="T25" s="264" t="str">
        <f t="shared" si="4"/>
        <v/>
      </c>
      <c r="U25" s="264" t="str">
        <f t="shared" si="5"/>
        <v/>
      </c>
      <c r="V25" s="264" t="str">
        <f t="shared" si="6"/>
        <v/>
      </c>
      <c r="W25" s="267" t="str">
        <f t="shared" si="8"/>
        <v/>
      </c>
      <c r="X25" s="264" t="str">
        <f t="shared" si="7"/>
        <v/>
      </c>
    </row>
    <row r="26" ht="15.75" customHeight="1">
      <c r="A26" s="258"/>
      <c r="B26" s="258"/>
      <c r="C26" s="269"/>
      <c r="D26" s="258"/>
      <c r="E26" s="258"/>
      <c r="F26" s="258"/>
      <c r="G26" s="258"/>
      <c r="H26" s="271"/>
      <c r="I26" s="258"/>
      <c r="J26" s="272"/>
      <c r="K26" s="260"/>
      <c r="L26" s="261"/>
      <c r="M26" s="262" t="str">
        <f t="shared" si="1"/>
        <v/>
      </c>
      <c r="N26" s="263" t="str">
        <f t="shared" si="2"/>
        <v/>
      </c>
      <c r="O26" s="264" t="str">
        <f t="shared" si="3"/>
        <v/>
      </c>
      <c r="P26" s="265" t="str">
        <f>IFERROR(__xludf.DUMMYFUNCTION("IF(ISBLANK(A26),"""",IFERROR(IF(H26=""Sell"",VLOOKUP(9^99,FILTER({ROW(P$2:P25),P$2:P25},D$2:D25=D26),2),(VLOOKUP(9^99,FILTER({ROW(P$2:P25),P$2:P25},D$2:D25=D26),2)*VLOOKUP(9^99,FILTER({ROW(O$2:O25),O$2:O25},D$2:D25=D26),2)-N26)/O26),J26))"),"")</f>
        <v/>
      </c>
      <c r="Q26" s="264" t="str">
        <f>IFERROR(__xludf.DUMMYFUNCTION("IFERROR(IF(F26=""Crypto"",B26,(IF(ISBLANK(D26),"""",IF(D26=""Cash"",B26,IF(GOOGLEFINANCE(D26,""CURRENCY"")=""GBX"",""GBP"",GOOGLEFINANCE(D26,""CURRENCY"")))))),B26)"),"")</f>
        <v/>
      </c>
      <c r="R26" s="263" t="str">
        <f>IFERROR(__xludf.DUMMYFUNCTION("IF(ISBLANK(A26),"""",IFERROR(IF(OR(Q26=""GPB"",Q26=""ZAR""),IF(Q26=Dashboard!$L$1,K26,(K26*GOOGLEFINANCE(""CURRENCY:""&amp;Q26&amp;""""&amp;Dashboard!$L$1&amp;""""))/100),IF(Q26=Dashboard!$L$1,K26,K26*GOOGLEFINANCE(""CURRENCY:""&amp;Q26&amp;""""&amp;Dashboard!$L$1&amp;""""))),K26))"),"")</f>
        <v/>
      </c>
      <c r="S26" s="266" t="str">
        <f>IFERROR(__xludf.DUMMYFUNCTION("IF(ISBLANK(A26),"""",IFERROR(IF(OR(Q26=""GPB"",Q26=""ZAR""),IF(Q26=Dashboard!$L$1,M26,(M26*GOOGLEFINANCE(""CURRENCY:""&amp;Q26&amp;""""&amp;Dashboard!$L$1&amp;""""))/100),IF(Q26=Dashboard!$L$1,M26,M26*GOOGLEFINANCE(""CURRENCY:""&amp;Q26&amp;""""&amp;Dashboard!$L$1&amp;""""))),M26))"),"")</f>
        <v/>
      </c>
      <c r="T26" s="264" t="str">
        <f t="shared" si="4"/>
        <v/>
      </c>
      <c r="U26" s="264" t="str">
        <f t="shared" si="5"/>
        <v/>
      </c>
      <c r="V26" s="264" t="str">
        <f t="shared" si="6"/>
        <v/>
      </c>
      <c r="W26" s="267" t="str">
        <f t="shared" si="8"/>
        <v/>
      </c>
      <c r="X26" s="264" t="str">
        <f t="shared" si="7"/>
        <v/>
      </c>
    </row>
    <row r="27" ht="15.75" customHeight="1">
      <c r="A27" s="258"/>
      <c r="B27" s="258"/>
      <c r="C27" s="269"/>
      <c r="D27" s="258"/>
      <c r="E27" s="258"/>
      <c r="F27" s="258"/>
      <c r="G27" s="258"/>
      <c r="H27" s="271"/>
      <c r="I27" s="258"/>
      <c r="J27" s="272"/>
      <c r="K27" s="260"/>
      <c r="L27" s="261"/>
      <c r="M27" s="262" t="str">
        <f t="shared" si="1"/>
        <v/>
      </c>
      <c r="N27" s="263" t="str">
        <f t="shared" si="2"/>
        <v/>
      </c>
      <c r="O27" s="264" t="str">
        <f t="shared" si="3"/>
        <v/>
      </c>
      <c r="P27" s="265" t="str">
        <f>IFERROR(__xludf.DUMMYFUNCTION("IF(ISBLANK(A27),"""",IFERROR(IF(H27=""Sell"",VLOOKUP(9^99,FILTER({ROW(P$2:P26),P$2:P26},D$2:D26=D27),2),(VLOOKUP(9^99,FILTER({ROW(P$2:P26),P$2:P26},D$2:D26=D27),2)*VLOOKUP(9^99,FILTER({ROW(O$2:O26),O$2:O26},D$2:D26=D27),2)-N27)/O27),J27))"),"")</f>
        <v/>
      </c>
      <c r="Q27" s="264" t="str">
        <f>IFERROR(__xludf.DUMMYFUNCTION("IFERROR(IF(F27=""Crypto"",B27,(IF(ISBLANK(D27),"""",IF(D27=""Cash"",B27,IF(GOOGLEFINANCE(D27,""CURRENCY"")=""GBX"",""GBP"",GOOGLEFINANCE(D27,""CURRENCY"")))))),B27)"),"")</f>
        <v/>
      </c>
      <c r="R27" s="263" t="str">
        <f>IFERROR(__xludf.DUMMYFUNCTION("IF(ISBLANK(A27),"""",IFERROR(IF(OR(Q27=""GPB"",Q27=""ZAR""),IF(Q27=Dashboard!$L$1,K27,(K27*GOOGLEFINANCE(""CURRENCY:""&amp;Q27&amp;""""&amp;Dashboard!$L$1&amp;""""))/100),IF(Q27=Dashboard!$L$1,K27,K27*GOOGLEFINANCE(""CURRENCY:""&amp;Q27&amp;""""&amp;Dashboard!$L$1&amp;""""))),K27))"),"")</f>
        <v/>
      </c>
      <c r="S27" s="266" t="str">
        <f>IFERROR(__xludf.DUMMYFUNCTION("IF(ISBLANK(A27),"""",IFERROR(IF(OR(Q27=""GPB"",Q27=""ZAR""),IF(Q27=Dashboard!$L$1,M27,(M27*GOOGLEFINANCE(""CURRENCY:""&amp;Q27&amp;""""&amp;Dashboard!$L$1&amp;""""))/100),IF(Q27=Dashboard!$L$1,M27,M27*GOOGLEFINANCE(""CURRENCY:""&amp;Q27&amp;""""&amp;Dashboard!$L$1&amp;""""))),M27))"),"")</f>
        <v/>
      </c>
      <c r="T27" s="264" t="str">
        <f t="shared" si="4"/>
        <v/>
      </c>
      <c r="U27" s="264" t="str">
        <f t="shared" si="5"/>
        <v/>
      </c>
      <c r="V27" s="264" t="str">
        <f t="shared" si="6"/>
        <v/>
      </c>
      <c r="W27" s="267" t="str">
        <f t="shared" si="8"/>
        <v/>
      </c>
      <c r="X27" s="264" t="str">
        <f t="shared" si="7"/>
        <v/>
      </c>
    </row>
    <row r="28" ht="15.75" customHeight="1">
      <c r="A28" s="258"/>
      <c r="B28" s="258"/>
      <c r="C28" s="269"/>
      <c r="D28" s="258"/>
      <c r="E28" s="258"/>
      <c r="F28" s="258"/>
      <c r="G28" s="258"/>
      <c r="H28" s="271"/>
      <c r="I28" s="258"/>
      <c r="J28" s="272"/>
      <c r="K28" s="260"/>
      <c r="L28" s="261"/>
      <c r="M28" s="262" t="str">
        <f t="shared" si="1"/>
        <v/>
      </c>
      <c r="N28" s="263" t="str">
        <f t="shared" si="2"/>
        <v/>
      </c>
      <c r="O28" s="264" t="str">
        <f t="shared" si="3"/>
        <v/>
      </c>
      <c r="P28" s="265" t="str">
        <f>IFERROR(__xludf.DUMMYFUNCTION("IF(ISBLANK(A28),"""",IFERROR(IF(H28=""Sell"",VLOOKUP(9^99,FILTER({ROW(P$2:P27),P$2:P27},D$2:D27=D28),2),(VLOOKUP(9^99,FILTER({ROW(P$2:P27),P$2:P27},D$2:D27=D28),2)*VLOOKUP(9^99,FILTER({ROW(O$2:O27),O$2:O27},D$2:D27=D28),2)-N28)/O28),J28))"),"")</f>
        <v/>
      </c>
      <c r="Q28" s="264" t="str">
        <f>IFERROR(__xludf.DUMMYFUNCTION("IFERROR(IF(F28=""Crypto"",B28,(IF(ISBLANK(D28),"""",IF(D28=""Cash"",B28,IF(GOOGLEFINANCE(D28,""CURRENCY"")=""GBX"",""GBP"",GOOGLEFINANCE(D28,""CURRENCY"")))))),B28)"),"")</f>
        <v/>
      </c>
      <c r="R28" s="263" t="str">
        <f>IFERROR(__xludf.DUMMYFUNCTION("IF(ISBLANK(A28),"""",IFERROR(IF(OR(Q28=""GPB"",Q28=""ZAR""),IF(Q28=Dashboard!$L$1,K28,(K28*GOOGLEFINANCE(""CURRENCY:""&amp;Q28&amp;""""&amp;Dashboard!$L$1&amp;""""))/100),IF(Q28=Dashboard!$L$1,K28,K28*GOOGLEFINANCE(""CURRENCY:""&amp;Q28&amp;""""&amp;Dashboard!$L$1&amp;""""))),K28))"),"")</f>
        <v/>
      </c>
      <c r="S28" s="266" t="str">
        <f>IFERROR(__xludf.DUMMYFUNCTION("IF(ISBLANK(A28),"""",IFERROR(IF(OR(Q28=""GPB"",Q28=""ZAR""),IF(Q28=Dashboard!$L$1,M28,(M28*GOOGLEFINANCE(""CURRENCY:""&amp;Q28&amp;""""&amp;Dashboard!$L$1&amp;""""))/100),IF(Q28=Dashboard!$L$1,M28,M28*GOOGLEFINANCE(""CURRENCY:""&amp;Q28&amp;""""&amp;Dashboard!$L$1&amp;""""))),M28))"),"")</f>
        <v/>
      </c>
      <c r="T28" s="264" t="str">
        <f t="shared" si="4"/>
        <v/>
      </c>
      <c r="U28" s="264" t="str">
        <f t="shared" si="5"/>
        <v/>
      </c>
      <c r="V28" s="264" t="str">
        <f t="shared" si="6"/>
        <v/>
      </c>
      <c r="W28" s="267" t="str">
        <f t="shared" si="8"/>
        <v/>
      </c>
      <c r="X28" s="264" t="str">
        <f t="shared" si="7"/>
        <v/>
      </c>
    </row>
    <row r="29" ht="15.75" customHeight="1">
      <c r="A29" s="258"/>
      <c r="B29" s="258"/>
      <c r="C29" s="269"/>
      <c r="D29" s="258"/>
      <c r="E29" s="258"/>
      <c r="F29" s="258"/>
      <c r="G29" s="258"/>
      <c r="H29" s="271"/>
      <c r="I29" s="258"/>
      <c r="J29" s="272"/>
      <c r="K29" s="260"/>
      <c r="L29" s="261"/>
      <c r="M29" s="262" t="str">
        <f t="shared" si="1"/>
        <v/>
      </c>
      <c r="N29" s="263" t="str">
        <f t="shared" si="2"/>
        <v/>
      </c>
      <c r="O29" s="264" t="str">
        <f t="shared" si="3"/>
        <v/>
      </c>
      <c r="P29" s="265" t="str">
        <f>IFERROR(__xludf.DUMMYFUNCTION("IF(ISBLANK(A29),"""",IFERROR(IF(H29=""Sell"",VLOOKUP(9^99,FILTER({ROW(P$2:P28),P$2:P28},D$2:D28=D29),2),(VLOOKUP(9^99,FILTER({ROW(P$2:P28),P$2:P28},D$2:D28=D29),2)*VLOOKUP(9^99,FILTER({ROW(O$2:O28),O$2:O28},D$2:D28=D29),2)-N29)/O29),J29))"),"")</f>
        <v/>
      </c>
      <c r="Q29" s="264" t="str">
        <f>IFERROR(__xludf.DUMMYFUNCTION("IFERROR(IF(F29=""Crypto"",B29,(IF(ISBLANK(D29),"""",IF(D29=""Cash"",B29,IF(GOOGLEFINANCE(D29,""CURRENCY"")=""GBX"",""GBP"",GOOGLEFINANCE(D29,""CURRENCY"")))))),B29)"),"")</f>
        <v/>
      </c>
      <c r="R29" s="263" t="str">
        <f>IFERROR(__xludf.DUMMYFUNCTION("IF(ISBLANK(A29),"""",IFERROR(IF(OR(Q29=""GPB"",Q29=""ZAR""),IF(Q29=Dashboard!$L$1,K29,(K29*GOOGLEFINANCE(""CURRENCY:""&amp;Q29&amp;""""&amp;Dashboard!$L$1&amp;""""))/100),IF(Q29=Dashboard!$L$1,K29,K29*GOOGLEFINANCE(""CURRENCY:""&amp;Q29&amp;""""&amp;Dashboard!$L$1&amp;""""))),K29))"),"")</f>
        <v/>
      </c>
      <c r="S29" s="266" t="str">
        <f>IFERROR(__xludf.DUMMYFUNCTION("IF(ISBLANK(A29),"""",IFERROR(IF(OR(Q29=""GPB"",Q29=""ZAR""),IF(Q29=Dashboard!$L$1,M29,(M29*GOOGLEFINANCE(""CURRENCY:""&amp;Q29&amp;""""&amp;Dashboard!$L$1&amp;""""))/100),IF(Q29=Dashboard!$L$1,M29,M29*GOOGLEFINANCE(""CURRENCY:""&amp;Q29&amp;""""&amp;Dashboard!$L$1&amp;""""))),M29))"),"")</f>
        <v/>
      </c>
      <c r="T29" s="264" t="str">
        <f t="shared" si="4"/>
        <v/>
      </c>
      <c r="U29" s="264" t="str">
        <f t="shared" si="5"/>
        <v/>
      </c>
      <c r="V29" s="264" t="str">
        <f t="shared" si="6"/>
        <v/>
      </c>
      <c r="W29" s="267" t="str">
        <f t="shared" si="8"/>
        <v/>
      </c>
      <c r="X29" s="264" t="str">
        <f t="shared" si="7"/>
        <v/>
      </c>
    </row>
    <row r="30" ht="15.75" customHeight="1">
      <c r="A30" s="258"/>
      <c r="B30" s="258"/>
      <c r="C30" s="269"/>
      <c r="D30" s="258"/>
      <c r="E30" s="258"/>
      <c r="F30" s="258"/>
      <c r="G30" s="258"/>
      <c r="H30" s="271"/>
      <c r="I30" s="258"/>
      <c r="J30" s="272"/>
      <c r="K30" s="260"/>
      <c r="L30" s="261"/>
      <c r="M30" s="262" t="str">
        <f t="shared" si="1"/>
        <v/>
      </c>
      <c r="N30" s="263" t="str">
        <f t="shared" si="2"/>
        <v/>
      </c>
      <c r="O30" s="264" t="str">
        <f t="shared" si="3"/>
        <v/>
      </c>
      <c r="P30" s="265" t="str">
        <f>IFERROR(__xludf.DUMMYFUNCTION("IF(ISBLANK(A30),"""",IFERROR(IF(H30=""Sell"",VLOOKUP(9^99,FILTER({ROW(P$2:P29),P$2:P29},D$2:D29=D30),2),(VLOOKUP(9^99,FILTER({ROW(P$2:P29),P$2:P29},D$2:D29=D30),2)*VLOOKUP(9^99,FILTER({ROW(O$2:O29),O$2:O29},D$2:D29=D30),2)-N30)/O30),J30))"),"")</f>
        <v/>
      </c>
      <c r="Q30" s="264" t="str">
        <f>IFERROR(__xludf.DUMMYFUNCTION("IFERROR(IF(F30=""Crypto"",B30,(IF(ISBLANK(D30),"""",IF(D30=""Cash"",B30,IF(GOOGLEFINANCE(D30,""CURRENCY"")=""GBX"",""GBP"",GOOGLEFINANCE(D30,""CURRENCY"")))))),B30)"),"")</f>
        <v/>
      </c>
      <c r="R30" s="263" t="str">
        <f>IFERROR(__xludf.DUMMYFUNCTION("IF(ISBLANK(A30),"""",IFERROR(IF(OR(Q30=""GPB"",Q30=""ZAR""),IF(Q30=Dashboard!$L$1,K30,(K30*GOOGLEFINANCE(""CURRENCY:""&amp;Q30&amp;""""&amp;Dashboard!$L$1&amp;""""))/100),IF(Q30=Dashboard!$L$1,K30,K30*GOOGLEFINANCE(""CURRENCY:""&amp;Q30&amp;""""&amp;Dashboard!$L$1&amp;""""))),K30))"),"")</f>
        <v/>
      </c>
      <c r="S30" s="266" t="str">
        <f>IFERROR(__xludf.DUMMYFUNCTION("IF(ISBLANK(A30),"""",IFERROR(IF(OR(Q30=""GPB"",Q30=""ZAR""),IF(Q30=Dashboard!$L$1,M30,(M30*GOOGLEFINANCE(""CURRENCY:""&amp;Q30&amp;""""&amp;Dashboard!$L$1&amp;""""))/100),IF(Q30=Dashboard!$L$1,M30,M30*GOOGLEFINANCE(""CURRENCY:""&amp;Q30&amp;""""&amp;Dashboard!$L$1&amp;""""))),M30))"),"")</f>
        <v/>
      </c>
      <c r="T30" s="264" t="str">
        <f t="shared" si="4"/>
        <v/>
      </c>
      <c r="U30" s="264" t="str">
        <f t="shared" si="5"/>
        <v/>
      </c>
      <c r="V30" s="264" t="str">
        <f t="shared" si="6"/>
        <v/>
      </c>
      <c r="W30" s="267" t="str">
        <f t="shared" si="8"/>
        <v/>
      </c>
      <c r="X30" s="264" t="str">
        <f t="shared" si="7"/>
        <v/>
      </c>
    </row>
    <row r="31" ht="15.75" customHeight="1">
      <c r="A31" s="258"/>
      <c r="B31" s="258"/>
      <c r="C31" s="269"/>
      <c r="D31" s="258"/>
      <c r="E31" s="258"/>
      <c r="F31" s="258"/>
      <c r="G31" s="258"/>
      <c r="H31" s="271"/>
      <c r="I31" s="258"/>
      <c r="J31" s="272"/>
      <c r="K31" s="260"/>
      <c r="L31" s="261"/>
      <c r="M31" s="262" t="str">
        <f t="shared" si="1"/>
        <v/>
      </c>
      <c r="N31" s="263" t="str">
        <f t="shared" si="2"/>
        <v/>
      </c>
      <c r="O31" s="264" t="str">
        <f t="shared" si="3"/>
        <v/>
      </c>
      <c r="P31" s="265" t="str">
        <f>IFERROR(__xludf.DUMMYFUNCTION("IF(ISBLANK(A31),"""",IFERROR(IF(H31=""Sell"",VLOOKUP(9^99,FILTER({ROW(P$2:P30),P$2:P30},D$2:D30=D31),2),(VLOOKUP(9^99,FILTER({ROW(P$2:P30),P$2:P30},D$2:D30=D31),2)*VLOOKUP(9^99,FILTER({ROW(O$2:O30),O$2:O30},D$2:D30=D31),2)-N31)/O31),J31))"),"")</f>
        <v/>
      </c>
      <c r="Q31" s="264" t="str">
        <f>IFERROR(__xludf.DUMMYFUNCTION("IFERROR(IF(F31=""Crypto"",B31,(IF(ISBLANK(D31),"""",IF(D31=""Cash"",B31,IF(GOOGLEFINANCE(D31,""CURRENCY"")=""GBX"",""GBP"",GOOGLEFINANCE(D31,""CURRENCY"")))))),B31)"),"")</f>
        <v/>
      </c>
      <c r="R31" s="263" t="str">
        <f>IFERROR(__xludf.DUMMYFUNCTION("IF(ISBLANK(A31),"""",IFERROR(IF(OR(Q31=""GPB"",Q31=""ZAR""),IF(Q31=Dashboard!$L$1,K31,(K31*GOOGLEFINANCE(""CURRENCY:""&amp;Q31&amp;""""&amp;Dashboard!$L$1&amp;""""))/100),IF(Q31=Dashboard!$L$1,K31,K31*GOOGLEFINANCE(""CURRENCY:""&amp;Q31&amp;""""&amp;Dashboard!$L$1&amp;""""))),K31))"),"")</f>
        <v/>
      </c>
      <c r="S31" s="266" t="str">
        <f>IFERROR(__xludf.DUMMYFUNCTION("IF(ISBLANK(A31),"""",IFERROR(IF(OR(Q31=""GPB"",Q31=""ZAR""),IF(Q31=Dashboard!$L$1,M31,(M31*GOOGLEFINANCE(""CURRENCY:""&amp;Q31&amp;""""&amp;Dashboard!$L$1&amp;""""))/100),IF(Q31=Dashboard!$L$1,M31,M31*GOOGLEFINANCE(""CURRENCY:""&amp;Q31&amp;""""&amp;Dashboard!$L$1&amp;""""))),M31))"),"")</f>
        <v/>
      </c>
      <c r="T31" s="264" t="str">
        <f t="shared" si="4"/>
        <v/>
      </c>
      <c r="U31" s="264" t="str">
        <f t="shared" si="5"/>
        <v/>
      </c>
      <c r="V31" s="264" t="str">
        <f t="shared" si="6"/>
        <v/>
      </c>
      <c r="W31" s="267" t="str">
        <f t="shared" si="8"/>
        <v/>
      </c>
      <c r="X31" s="264" t="str">
        <f t="shared" si="7"/>
        <v/>
      </c>
    </row>
    <row r="32" ht="15.75" customHeight="1">
      <c r="A32" s="258"/>
      <c r="B32" s="258"/>
      <c r="C32" s="269"/>
      <c r="D32" s="258"/>
      <c r="E32" s="258"/>
      <c r="F32" s="258"/>
      <c r="G32" s="258"/>
      <c r="H32" s="271"/>
      <c r="I32" s="258"/>
      <c r="J32" s="272"/>
      <c r="K32" s="260"/>
      <c r="L32" s="261"/>
      <c r="M32" s="262" t="str">
        <f t="shared" si="1"/>
        <v/>
      </c>
      <c r="N32" s="263" t="str">
        <f t="shared" si="2"/>
        <v/>
      </c>
      <c r="O32" s="264" t="str">
        <f t="shared" si="3"/>
        <v/>
      </c>
      <c r="P32" s="265" t="str">
        <f>IFERROR(__xludf.DUMMYFUNCTION("IF(ISBLANK(A32),"""",IFERROR(IF(H32=""Sell"",VLOOKUP(9^99,FILTER({ROW(P$2:P31),P$2:P31},D$2:D31=D32),2),(VLOOKUP(9^99,FILTER({ROW(P$2:P31),P$2:P31},D$2:D31=D32),2)*VLOOKUP(9^99,FILTER({ROW(O$2:O31),O$2:O31},D$2:D31=D32),2)-N32)/O32),J32))"),"")</f>
        <v/>
      </c>
      <c r="Q32" s="264" t="str">
        <f>IFERROR(__xludf.DUMMYFUNCTION("IFERROR(IF(F32=""Crypto"",B32,(IF(ISBLANK(D32),"""",IF(D32=""Cash"",B32,IF(GOOGLEFINANCE(D32,""CURRENCY"")=""GBX"",""GBP"",GOOGLEFINANCE(D32,""CURRENCY"")))))),B32)"),"")</f>
        <v/>
      </c>
      <c r="R32" s="263" t="str">
        <f>IFERROR(__xludf.DUMMYFUNCTION("IF(ISBLANK(A32),"""",IFERROR(IF(OR(Q32=""GPB"",Q32=""ZAR""),IF(Q32=Dashboard!$L$1,K32,(K32*GOOGLEFINANCE(""CURRENCY:""&amp;Q32&amp;""""&amp;Dashboard!$L$1&amp;""""))/100),IF(Q32=Dashboard!$L$1,K32,K32*GOOGLEFINANCE(""CURRENCY:""&amp;Q32&amp;""""&amp;Dashboard!$L$1&amp;""""))),K32))"),"")</f>
        <v/>
      </c>
      <c r="S32" s="266" t="str">
        <f>IFERROR(__xludf.DUMMYFUNCTION("IF(ISBLANK(A32),"""",IFERROR(IF(OR(Q32=""GPB"",Q32=""ZAR""),IF(Q32=Dashboard!$L$1,M32,(M32*GOOGLEFINANCE(""CURRENCY:""&amp;Q32&amp;""""&amp;Dashboard!$L$1&amp;""""))/100),IF(Q32=Dashboard!$L$1,M32,M32*GOOGLEFINANCE(""CURRENCY:""&amp;Q32&amp;""""&amp;Dashboard!$L$1&amp;""""))),M32))"),"")</f>
        <v/>
      </c>
      <c r="T32" s="264" t="str">
        <f t="shared" si="4"/>
        <v/>
      </c>
      <c r="U32" s="264" t="str">
        <f t="shared" si="5"/>
        <v/>
      </c>
      <c r="V32" s="264" t="str">
        <f t="shared" si="6"/>
        <v/>
      </c>
      <c r="W32" s="267" t="str">
        <f t="shared" si="8"/>
        <v/>
      </c>
      <c r="X32" s="264" t="str">
        <f t="shared" si="7"/>
        <v/>
      </c>
    </row>
    <row r="33" ht="15.75" customHeight="1">
      <c r="A33" s="258"/>
      <c r="B33" s="258"/>
      <c r="C33" s="269"/>
      <c r="D33" s="258"/>
      <c r="E33" s="258"/>
      <c r="F33" s="258"/>
      <c r="G33" s="258"/>
      <c r="H33" s="271"/>
      <c r="I33" s="258"/>
      <c r="J33" s="272"/>
      <c r="K33" s="260"/>
      <c r="L33" s="261"/>
      <c r="M33" s="262" t="str">
        <f t="shared" si="1"/>
        <v/>
      </c>
      <c r="N33" s="263" t="str">
        <f t="shared" si="2"/>
        <v/>
      </c>
      <c r="O33" s="264" t="str">
        <f t="shared" si="3"/>
        <v/>
      </c>
      <c r="P33" s="265" t="str">
        <f>IFERROR(__xludf.DUMMYFUNCTION("IF(ISBLANK(A33),"""",IFERROR(IF(H33=""Sell"",VLOOKUP(9^99,FILTER({ROW(P$2:P32),P$2:P32},D$2:D32=D33),2),(VLOOKUP(9^99,FILTER({ROW(P$2:P32),P$2:P32},D$2:D32=D33),2)*VLOOKUP(9^99,FILTER({ROW(O$2:O32),O$2:O32},D$2:D32=D33),2)-N33)/O33),J33))"),"")</f>
        <v/>
      </c>
      <c r="Q33" s="264" t="str">
        <f>IFERROR(__xludf.DUMMYFUNCTION("IFERROR(IF(F33=""Crypto"",B33,(IF(ISBLANK(D33),"""",IF(D33=""Cash"",B33,IF(GOOGLEFINANCE(D33,""CURRENCY"")=""GBX"",""GBP"",GOOGLEFINANCE(D33,""CURRENCY"")))))),B33)"),"")</f>
        <v/>
      </c>
      <c r="R33" s="263" t="str">
        <f>IFERROR(__xludf.DUMMYFUNCTION("IF(ISBLANK(A33),"""",IFERROR(IF(OR(Q33=""GPB"",Q33=""ZAR""),IF(Q33=Dashboard!$L$1,K33,(K33*GOOGLEFINANCE(""CURRENCY:""&amp;Q33&amp;""""&amp;Dashboard!$L$1&amp;""""))/100),IF(Q33=Dashboard!$L$1,K33,K33*GOOGLEFINANCE(""CURRENCY:""&amp;Q33&amp;""""&amp;Dashboard!$L$1&amp;""""))),K33))"),"")</f>
        <v/>
      </c>
      <c r="S33" s="266" t="str">
        <f>IFERROR(__xludf.DUMMYFUNCTION("IF(ISBLANK(A33),"""",IFERROR(IF(OR(Q33=""GPB"",Q33=""ZAR""),IF(Q33=Dashboard!$L$1,M33,(M33*GOOGLEFINANCE(""CURRENCY:""&amp;Q33&amp;""""&amp;Dashboard!$L$1&amp;""""))/100),IF(Q33=Dashboard!$L$1,M33,M33*GOOGLEFINANCE(""CURRENCY:""&amp;Q33&amp;""""&amp;Dashboard!$L$1&amp;""""))),M33))"),"")</f>
        <v/>
      </c>
      <c r="T33" s="264" t="str">
        <f t="shared" si="4"/>
        <v/>
      </c>
      <c r="U33" s="264" t="str">
        <f t="shared" si="5"/>
        <v/>
      </c>
      <c r="V33" s="264" t="str">
        <f t="shared" si="6"/>
        <v/>
      </c>
      <c r="W33" s="267" t="str">
        <f t="shared" si="8"/>
        <v/>
      </c>
      <c r="X33" s="264" t="str">
        <f t="shared" si="7"/>
        <v/>
      </c>
    </row>
    <row r="34" ht="15.75" customHeight="1">
      <c r="A34" s="258"/>
      <c r="B34" s="258"/>
      <c r="C34" s="269"/>
      <c r="D34" s="258"/>
      <c r="E34" s="258"/>
      <c r="F34" s="258"/>
      <c r="G34" s="258"/>
      <c r="H34" s="271"/>
      <c r="I34" s="258"/>
      <c r="J34" s="272"/>
      <c r="K34" s="260"/>
      <c r="L34" s="261"/>
      <c r="M34" s="262" t="str">
        <f t="shared" si="1"/>
        <v/>
      </c>
      <c r="N34" s="263" t="str">
        <f t="shared" si="2"/>
        <v/>
      </c>
      <c r="O34" s="264" t="str">
        <f t="shared" si="3"/>
        <v/>
      </c>
      <c r="P34" s="265" t="str">
        <f>IFERROR(__xludf.DUMMYFUNCTION("IF(ISBLANK(A34),"""",IFERROR(IF(H34=""Sell"",VLOOKUP(9^99,FILTER({ROW(P$2:P33),P$2:P33},D$2:D33=D34),2),(VLOOKUP(9^99,FILTER({ROW(P$2:P33),P$2:P33},D$2:D33=D34),2)*VLOOKUP(9^99,FILTER({ROW(O$2:O33),O$2:O33},D$2:D33=D34),2)-N34)/O34),J34))"),"")</f>
        <v/>
      </c>
      <c r="Q34" s="264" t="str">
        <f>IFERROR(__xludf.DUMMYFUNCTION("IFERROR(IF(F34=""Crypto"",B34,(IF(ISBLANK(D34),"""",IF(D34=""Cash"",B34,IF(GOOGLEFINANCE(D34,""CURRENCY"")=""GBX"",""GBP"",GOOGLEFINANCE(D34,""CURRENCY"")))))),B34)"),"")</f>
        <v/>
      </c>
      <c r="R34" s="263" t="str">
        <f>IFERROR(__xludf.DUMMYFUNCTION("IF(ISBLANK(A34),"""",IFERROR(IF(OR(Q34=""GPB"",Q34=""ZAR""),IF(Q34=Dashboard!$L$1,K34,(K34*GOOGLEFINANCE(""CURRENCY:""&amp;Q34&amp;""""&amp;Dashboard!$L$1&amp;""""))/100),IF(Q34=Dashboard!$L$1,K34,K34*GOOGLEFINANCE(""CURRENCY:""&amp;Q34&amp;""""&amp;Dashboard!$L$1&amp;""""))),K34))"),"")</f>
        <v/>
      </c>
      <c r="S34" s="266" t="str">
        <f>IFERROR(__xludf.DUMMYFUNCTION("IF(ISBLANK(A34),"""",IFERROR(IF(OR(Q34=""GPB"",Q34=""ZAR""),IF(Q34=Dashboard!$L$1,M34,(M34*GOOGLEFINANCE(""CURRENCY:""&amp;Q34&amp;""""&amp;Dashboard!$L$1&amp;""""))/100),IF(Q34=Dashboard!$L$1,M34,M34*GOOGLEFINANCE(""CURRENCY:""&amp;Q34&amp;""""&amp;Dashboard!$L$1&amp;""""))),M34))"),"")</f>
        <v/>
      </c>
      <c r="T34" s="264" t="str">
        <f t="shared" si="4"/>
        <v/>
      </c>
      <c r="U34" s="264" t="str">
        <f t="shared" si="5"/>
        <v/>
      </c>
      <c r="V34" s="264" t="str">
        <f t="shared" si="6"/>
        <v/>
      </c>
      <c r="W34" s="267" t="str">
        <f t="shared" si="8"/>
        <v/>
      </c>
      <c r="X34" s="264" t="str">
        <f t="shared" si="7"/>
        <v/>
      </c>
    </row>
    <row r="35" ht="15.75" customHeight="1">
      <c r="A35" s="258"/>
      <c r="B35" s="258"/>
      <c r="C35" s="269"/>
      <c r="D35" s="258"/>
      <c r="E35" s="258"/>
      <c r="F35" s="258"/>
      <c r="G35" s="258"/>
      <c r="H35" s="271"/>
      <c r="I35" s="258"/>
      <c r="J35" s="272"/>
      <c r="K35" s="260"/>
      <c r="L35" s="261"/>
      <c r="M35" s="262" t="str">
        <f t="shared" si="1"/>
        <v/>
      </c>
      <c r="N35" s="263" t="str">
        <f t="shared" si="2"/>
        <v/>
      </c>
      <c r="O35" s="264" t="str">
        <f t="shared" si="3"/>
        <v/>
      </c>
      <c r="P35" s="265" t="str">
        <f>IFERROR(__xludf.DUMMYFUNCTION("IF(ISBLANK(A35),"""",IFERROR(IF(H35=""Sell"",VLOOKUP(9^99,FILTER({ROW(P$2:P34),P$2:P34},D$2:D34=D35),2),(VLOOKUP(9^99,FILTER({ROW(P$2:P34),P$2:P34},D$2:D34=D35),2)*VLOOKUP(9^99,FILTER({ROW(O$2:O34),O$2:O34},D$2:D34=D35),2)-N35)/O35),J35))"),"")</f>
        <v/>
      </c>
      <c r="Q35" s="264" t="str">
        <f>IFERROR(__xludf.DUMMYFUNCTION("IFERROR(IF(F35=""Crypto"",B35,(IF(ISBLANK(D35),"""",IF(D35=""Cash"",B35,IF(GOOGLEFINANCE(D35,""CURRENCY"")=""GBX"",""GBP"",GOOGLEFINANCE(D35,""CURRENCY"")))))),B35)"),"")</f>
        <v/>
      </c>
      <c r="R35" s="263" t="str">
        <f>IFERROR(__xludf.DUMMYFUNCTION("IF(ISBLANK(A35),"""",IFERROR(IF(OR(Q35=""GPB"",Q35=""ZAR""),IF(Q35=Dashboard!$L$1,K35,(K35*GOOGLEFINANCE(""CURRENCY:""&amp;Q35&amp;""""&amp;Dashboard!$L$1&amp;""""))/100),IF(Q35=Dashboard!$L$1,K35,K35*GOOGLEFINANCE(""CURRENCY:""&amp;Q35&amp;""""&amp;Dashboard!$L$1&amp;""""))),K35))"),"")</f>
        <v/>
      </c>
      <c r="S35" s="266" t="str">
        <f>IFERROR(__xludf.DUMMYFUNCTION("IF(ISBLANK(A35),"""",IFERROR(IF(OR(Q35=""GPB"",Q35=""ZAR""),IF(Q35=Dashboard!$L$1,M35,(M35*GOOGLEFINANCE(""CURRENCY:""&amp;Q35&amp;""""&amp;Dashboard!$L$1&amp;""""))/100),IF(Q35=Dashboard!$L$1,M35,M35*GOOGLEFINANCE(""CURRENCY:""&amp;Q35&amp;""""&amp;Dashboard!$L$1&amp;""""))),M35))"),"")</f>
        <v/>
      </c>
      <c r="T35" s="264" t="str">
        <f t="shared" si="4"/>
        <v/>
      </c>
      <c r="U35" s="264" t="str">
        <f t="shared" si="5"/>
        <v/>
      </c>
      <c r="V35" s="264" t="str">
        <f t="shared" si="6"/>
        <v/>
      </c>
      <c r="W35" s="267" t="str">
        <f t="shared" si="8"/>
        <v/>
      </c>
      <c r="X35" s="264" t="str">
        <f t="shared" si="7"/>
        <v/>
      </c>
    </row>
    <row r="36" ht="15.75" customHeight="1">
      <c r="A36" s="258"/>
      <c r="B36" s="258"/>
      <c r="C36" s="269"/>
      <c r="D36" s="258"/>
      <c r="E36" s="258"/>
      <c r="F36" s="258"/>
      <c r="G36" s="258"/>
      <c r="H36" s="271"/>
      <c r="I36" s="258"/>
      <c r="J36" s="272"/>
      <c r="K36" s="260"/>
      <c r="L36" s="261"/>
      <c r="M36" s="262" t="str">
        <f t="shared" si="1"/>
        <v/>
      </c>
      <c r="N36" s="263" t="str">
        <f t="shared" si="2"/>
        <v/>
      </c>
      <c r="O36" s="264" t="str">
        <f t="shared" si="3"/>
        <v/>
      </c>
      <c r="P36" s="265" t="str">
        <f>IFERROR(__xludf.DUMMYFUNCTION("IF(ISBLANK(A36),"""",IFERROR(IF(H36=""Sell"",VLOOKUP(9^99,FILTER({ROW(P$2:P35),P$2:P35},D$2:D35=D36),2),(VLOOKUP(9^99,FILTER({ROW(P$2:P35),P$2:P35},D$2:D35=D36),2)*VLOOKUP(9^99,FILTER({ROW(O$2:O35),O$2:O35},D$2:D35=D36),2)-N36)/O36),J36))"),"")</f>
        <v/>
      </c>
      <c r="Q36" s="264" t="str">
        <f>IFERROR(__xludf.DUMMYFUNCTION("IFERROR(IF(F36=""Crypto"",B36,(IF(ISBLANK(D36),"""",IF(D36=""Cash"",B36,IF(GOOGLEFINANCE(D36,""CURRENCY"")=""GBX"",""GBP"",GOOGLEFINANCE(D36,""CURRENCY"")))))),B36)"),"")</f>
        <v/>
      </c>
      <c r="R36" s="263" t="str">
        <f>IFERROR(__xludf.DUMMYFUNCTION("IF(ISBLANK(A36),"""",IFERROR(IF(OR(Q36=""GPB"",Q36=""ZAR""),IF(Q36=Dashboard!$L$1,K36,(K36*GOOGLEFINANCE(""CURRENCY:""&amp;Q36&amp;""""&amp;Dashboard!$L$1&amp;""""))/100),IF(Q36=Dashboard!$L$1,K36,K36*GOOGLEFINANCE(""CURRENCY:""&amp;Q36&amp;""""&amp;Dashboard!$L$1&amp;""""))),K36))"),"")</f>
        <v/>
      </c>
      <c r="S36" s="266" t="str">
        <f>IFERROR(__xludf.DUMMYFUNCTION("IF(ISBLANK(A36),"""",IFERROR(IF(OR(Q36=""GPB"",Q36=""ZAR""),IF(Q36=Dashboard!$L$1,M36,(M36*GOOGLEFINANCE(""CURRENCY:""&amp;Q36&amp;""""&amp;Dashboard!$L$1&amp;""""))/100),IF(Q36=Dashboard!$L$1,M36,M36*GOOGLEFINANCE(""CURRENCY:""&amp;Q36&amp;""""&amp;Dashboard!$L$1&amp;""""))),M36))"),"")</f>
        <v/>
      </c>
      <c r="T36" s="264" t="str">
        <f t="shared" si="4"/>
        <v/>
      </c>
      <c r="U36" s="264" t="str">
        <f t="shared" si="5"/>
        <v/>
      </c>
      <c r="V36" s="264" t="str">
        <f t="shared" si="6"/>
        <v/>
      </c>
      <c r="W36" s="267" t="str">
        <f t="shared" si="8"/>
        <v/>
      </c>
      <c r="X36" s="264" t="str">
        <f t="shared" si="7"/>
        <v/>
      </c>
    </row>
    <row r="37" ht="15.75" customHeight="1">
      <c r="A37" s="258"/>
      <c r="B37" s="258"/>
      <c r="C37" s="269"/>
      <c r="D37" s="258"/>
      <c r="E37" s="258"/>
      <c r="F37" s="258"/>
      <c r="G37" s="258"/>
      <c r="H37" s="271"/>
      <c r="I37" s="258"/>
      <c r="J37" s="272"/>
      <c r="K37" s="260"/>
      <c r="L37" s="261"/>
      <c r="M37" s="262" t="str">
        <f t="shared" si="1"/>
        <v/>
      </c>
      <c r="N37" s="263" t="str">
        <f t="shared" si="2"/>
        <v/>
      </c>
      <c r="O37" s="264" t="str">
        <f t="shared" si="3"/>
        <v/>
      </c>
      <c r="P37" s="265" t="str">
        <f>IFERROR(__xludf.DUMMYFUNCTION("IF(ISBLANK(A37),"""",IFERROR(IF(H37=""Sell"",VLOOKUP(9^99,FILTER({ROW(P$2:P36),P$2:P36},D$2:D36=D37),2),(VLOOKUP(9^99,FILTER({ROW(P$2:P36),P$2:P36},D$2:D36=D37),2)*VLOOKUP(9^99,FILTER({ROW(O$2:O36),O$2:O36},D$2:D36=D37),2)-N37)/O37),J37))"),"")</f>
        <v/>
      </c>
      <c r="Q37" s="264" t="str">
        <f>IFERROR(__xludf.DUMMYFUNCTION("IFERROR(IF(F37=""Crypto"",B37,(IF(ISBLANK(D37),"""",IF(D37=""Cash"",B37,IF(GOOGLEFINANCE(D37,""CURRENCY"")=""GBX"",""GBP"",GOOGLEFINANCE(D37,""CURRENCY"")))))),B37)"),"")</f>
        <v/>
      </c>
      <c r="R37" s="263" t="str">
        <f>IFERROR(__xludf.DUMMYFUNCTION("IF(ISBLANK(A37),"""",IFERROR(IF(OR(Q37=""GPB"",Q37=""ZAR""),IF(Q37=Dashboard!$L$1,K37,(K37*GOOGLEFINANCE(""CURRENCY:""&amp;Q37&amp;""""&amp;Dashboard!$L$1&amp;""""))/100),IF(Q37=Dashboard!$L$1,K37,K37*GOOGLEFINANCE(""CURRENCY:""&amp;Q37&amp;""""&amp;Dashboard!$L$1&amp;""""))),K37))"),"")</f>
        <v/>
      </c>
      <c r="S37" s="266" t="str">
        <f>IFERROR(__xludf.DUMMYFUNCTION("IF(ISBLANK(A37),"""",IFERROR(IF(OR(Q37=""GPB"",Q37=""ZAR""),IF(Q37=Dashboard!$L$1,M37,(M37*GOOGLEFINANCE(""CURRENCY:""&amp;Q37&amp;""""&amp;Dashboard!$L$1&amp;""""))/100),IF(Q37=Dashboard!$L$1,M37,M37*GOOGLEFINANCE(""CURRENCY:""&amp;Q37&amp;""""&amp;Dashboard!$L$1&amp;""""))),M37))"),"")</f>
        <v/>
      </c>
      <c r="T37" s="264" t="str">
        <f t="shared" si="4"/>
        <v/>
      </c>
      <c r="U37" s="264" t="str">
        <f t="shared" si="5"/>
        <v/>
      </c>
      <c r="V37" s="264" t="str">
        <f t="shared" si="6"/>
        <v/>
      </c>
      <c r="W37" s="267" t="str">
        <f t="shared" si="8"/>
        <v/>
      </c>
      <c r="X37" s="264" t="str">
        <f t="shared" si="7"/>
        <v/>
      </c>
    </row>
    <row r="38" ht="15.75" customHeight="1">
      <c r="A38" s="258"/>
      <c r="B38" s="258"/>
      <c r="C38" s="269"/>
      <c r="D38" s="258"/>
      <c r="E38" s="258"/>
      <c r="F38" s="258"/>
      <c r="G38" s="258"/>
      <c r="H38" s="271"/>
      <c r="I38" s="258"/>
      <c r="J38" s="272"/>
      <c r="K38" s="260"/>
      <c r="L38" s="261"/>
      <c r="M38" s="262" t="str">
        <f t="shared" si="1"/>
        <v/>
      </c>
      <c r="N38" s="263" t="str">
        <f t="shared" si="2"/>
        <v/>
      </c>
      <c r="O38" s="264" t="str">
        <f t="shared" si="3"/>
        <v/>
      </c>
      <c r="P38" s="265" t="str">
        <f>IFERROR(__xludf.DUMMYFUNCTION("IF(ISBLANK(A38),"""",IFERROR(IF(H38=""Sell"",VLOOKUP(9^99,FILTER({ROW(P$2:P37),P$2:P37},D$2:D37=D38),2),(VLOOKUP(9^99,FILTER({ROW(P$2:P37),P$2:P37},D$2:D37=D38),2)*VLOOKUP(9^99,FILTER({ROW(O$2:O37),O$2:O37},D$2:D37=D38),2)-N38)/O38),J38))"),"")</f>
        <v/>
      </c>
      <c r="Q38" s="264" t="str">
        <f>IFERROR(__xludf.DUMMYFUNCTION("IFERROR(IF(F38=""Crypto"",B38,(IF(ISBLANK(D38),"""",IF(D38=""Cash"",B38,IF(GOOGLEFINANCE(D38,""CURRENCY"")=""GBX"",""GBP"",GOOGLEFINANCE(D38,""CURRENCY"")))))),B38)"),"")</f>
        <v/>
      </c>
      <c r="R38" s="263" t="str">
        <f>IFERROR(__xludf.DUMMYFUNCTION("IF(ISBLANK(A38),"""",IFERROR(IF(OR(Q38=""GPB"",Q38=""ZAR""),IF(Q38=Dashboard!$L$1,K38,(K38*GOOGLEFINANCE(""CURRENCY:""&amp;Q38&amp;""""&amp;Dashboard!$L$1&amp;""""))/100),IF(Q38=Dashboard!$L$1,K38,K38*GOOGLEFINANCE(""CURRENCY:""&amp;Q38&amp;""""&amp;Dashboard!$L$1&amp;""""))),K38))"),"")</f>
        <v/>
      </c>
      <c r="S38" s="266" t="str">
        <f>IFERROR(__xludf.DUMMYFUNCTION("IF(ISBLANK(A38),"""",IFERROR(IF(OR(Q38=""GPB"",Q38=""ZAR""),IF(Q38=Dashboard!$L$1,M38,(M38*GOOGLEFINANCE(""CURRENCY:""&amp;Q38&amp;""""&amp;Dashboard!$L$1&amp;""""))/100),IF(Q38=Dashboard!$L$1,M38,M38*GOOGLEFINANCE(""CURRENCY:""&amp;Q38&amp;""""&amp;Dashboard!$L$1&amp;""""))),M38))"),"")</f>
        <v/>
      </c>
      <c r="T38" s="264" t="str">
        <f t="shared" si="4"/>
        <v/>
      </c>
      <c r="U38" s="264" t="str">
        <f t="shared" si="5"/>
        <v/>
      </c>
      <c r="V38" s="264" t="str">
        <f t="shared" si="6"/>
        <v/>
      </c>
      <c r="W38" s="267" t="str">
        <f t="shared" si="8"/>
        <v/>
      </c>
      <c r="X38" s="264" t="str">
        <f t="shared" si="7"/>
        <v/>
      </c>
    </row>
    <row r="39" ht="15.75" customHeight="1">
      <c r="A39" s="258"/>
      <c r="B39" s="258"/>
      <c r="C39" s="269"/>
      <c r="D39" s="258"/>
      <c r="E39" s="258"/>
      <c r="F39" s="258"/>
      <c r="G39" s="258"/>
      <c r="H39" s="271"/>
      <c r="I39" s="258"/>
      <c r="J39" s="272"/>
      <c r="K39" s="260"/>
      <c r="L39" s="261"/>
      <c r="M39" s="262" t="str">
        <f t="shared" si="1"/>
        <v/>
      </c>
      <c r="N39" s="263" t="str">
        <f t="shared" si="2"/>
        <v/>
      </c>
      <c r="O39" s="264" t="str">
        <f t="shared" si="3"/>
        <v/>
      </c>
      <c r="P39" s="265" t="str">
        <f>IFERROR(__xludf.DUMMYFUNCTION("IF(ISBLANK(A39),"""",IFERROR(IF(H39=""Sell"",VLOOKUP(9^99,FILTER({ROW(P$2:P38),P$2:P38},D$2:D38=D39),2),(VLOOKUP(9^99,FILTER({ROW(P$2:P38),P$2:P38},D$2:D38=D39),2)*VLOOKUP(9^99,FILTER({ROW(O$2:O38),O$2:O38},D$2:D38=D39),2)-N39)/O39),J39))"),"")</f>
        <v/>
      </c>
      <c r="Q39" s="264" t="str">
        <f>IFERROR(__xludf.DUMMYFUNCTION("IFERROR(IF(F39=""Crypto"",B39,(IF(ISBLANK(D39),"""",IF(D39=""Cash"",B39,IF(GOOGLEFINANCE(D39,""CURRENCY"")=""GBX"",""GBP"",GOOGLEFINANCE(D39,""CURRENCY"")))))),B39)"),"")</f>
        <v/>
      </c>
      <c r="R39" s="263" t="str">
        <f>IFERROR(__xludf.DUMMYFUNCTION("IF(ISBLANK(A39),"""",IFERROR(IF(OR(Q39=""GPB"",Q39=""ZAR""),IF(Q39=Dashboard!$L$1,K39,(K39*GOOGLEFINANCE(""CURRENCY:""&amp;Q39&amp;""""&amp;Dashboard!$L$1&amp;""""))/100),IF(Q39=Dashboard!$L$1,K39,K39*GOOGLEFINANCE(""CURRENCY:""&amp;Q39&amp;""""&amp;Dashboard!$L$1&amp;""""))),K39))"),"")</f>
        <v/>
      </c>
      <c r="S39" s="266" t="str">
        <f>IFERROR(__xludf.DUMMYFUNCTION("IF(ISBLANK(A39),"""",IFERROR(IF(OR(Q39=""GPB"",Q39=""ZAR""),IF(Q39=Dashboard!$L$1,M39,(M39*GOOGLEFINANCE(""CURRENCY:""&amp;Q39&amp;""""&amp;Dashboard!$L$1&amp;""""))/100),IF(Q39=Dashboard!$L$1,M39,M39*GOOGLEFINANCE(""CURRENCY:""&amp;Q39&amp;""""&amp;Dashboard!$L$1&amp;""""))),M39))"),"")</f>
        <v/>
      </c>
      <c r="T39" s="264" t="str">
        <f t="shared" si="4"/>
        <v/>
      </c>
      <c r="U39" s="264" t="str">
        <f t="shared" si="5"/>
        <v/>
      </c>
      <c r="V39" s="264" t="str">
        <f t="shared" si="6"/>
        <v/>
      </c>
      <c r="W39" s="267" t="str">
        <f t="shared" si="8"/>
        <v/>
      </c>
      <c r="X39" s="264" t="str">
        <f t="shared" si="7"/>
        <v/>
      </c>
    </row>
    <row r="40" ht="15.75" customHeight="1">
      <c r="A40" s="258"/>
      <c r="B40" s="258"/>
      <c r="C40" s="269"/>
      <c r="D40" s="258"/>
      <c r="E40" s="258"/>
      <c r="F40" s="258"/>
      <c r="G40" s="258"/>
      <c r="H40" s="271"/>
      <c r="I40" s="258"/>
      <c r="J40" s="272"/>
      <c r="K40" s="260"/>
      <c r="L40" s="261"/>
      <c r="M40" s="262" t="str">
        <f t="shared" si="1"/>
        <v/>
      </c>
      <c r="N40" s="263" t="str">
        <f t="shared" si="2"/>
        <v/>
      </c>
      <c r="O40" s="264" t="str">
        <f t="shared" si="3"/>
        <v/>
      </c>
      <c r="P40" s="265" t="str">
        <f>IFERROR(__xludf.DUMMYFUNCTION("IF(ISBLANK(A40),"""",IFERROR(IF(H40=""Sell"",VLOOKUP(9^99,FILTER({ROW(P$2:P39),P$2:P39},D$2:D39=D40),2),(VLOOKUP(9^99,FILTER({ROW(P$2:P39),P$2:P39},D$2:D39=D40),2)*VLOOKUP(9^99,FILTER({ROW(O$2:O39),O$2:O39},D$2:D39=D40),2)-N40)/O40),J40))"),"")</f>
        <v/>
      </c>
      <c r="Q40" s="264" t="str">
        <f>IFERROR(__xludf.DUMMYFUNCTION("IFERROR(IF(F40=""Crypto"",B40,(IF(ISBLANK(D40),"""",IF(D40=""Cash"",B40,IF(GOOGLEFINANCE(D40,""CURRENCY"")=""GBX"",""GBP"",GOOGLEFINANCE(D40,""CURRENCY"")))))),B40)"),"")</f>
        <v/>
      </c>
      <c r="R40" s="263" t="str">
        <f>IFERROR(__xludf.DUMMYFUNCTION("IF(ISBLANK(A40),"""",IFERROR(IF(OR(Q40=""GPB"",Q40=""ZAR""),IF(Q40=Dashboard!$L$1,K40,(K40*GOOGLEFINANCE(""CURRENCY:""&amp;Q40&amp;""""&amp;Dashboard!$L$1&amp;""""))/100),IF(Q40=Dashboard!$L$1,K40,K40*GOOGLEFINANCE(""CURRENCY:""&amp;Q40&amp;""""&amp;Dashboard!$L$1&amp;""""))),K40))"),"")</f>
        <v/>
      </c>
      <c r="S40" s="266" t="str">
        <f>IFERROR(__xludf.DUMMYFUNCTION("IF(ISBLANK(A40),"""",IFERROR(IF(OR(Q40=""GPB"",Q40=""ZAR""),IF(Q40=Dashboard!$L$1,M40,(M40*GOOGLEFINANCE(""CURRENCY:""&amp;Q40&amp;""""&amp;Dashboard!$L$1&amp;""""))/100),IF(Q40=Dashboard!$L$1,M40,M40*GOOGLEFINANCE(""CURRENCY:""&amp;Q40&amp;""""&amp;Dashboard!$L$1&amp;""""))),M40))"),"")</f>
        <v/>
      </c>
      <c r="T40" s="264" t="str">
        <f t="shared" si="4"/>
        <v/>
      </c>
      <c r="U40" s="264" t="str">
        <f t="shared" si="5"/>
        <v/>
      </c>
      <c r="V40" s="264" t="str">
        <f t="shared" si="6"/>
        <v/>
      </c>
      <c r="W40" s="267" t="str">
        <f t="shared" si="8"/>
        <v/>
      </c>
      <c r="X40" s="264" t="str">
        <f t="shared" si="7"/>
        <v/>
      </c>
    </row>
    <row r="41" ht="15.75" customHeight="1">
      <c r="A41" s="258"/>
      <c r="B41" s="258"/>
      <c r="C41" s="269"/>
      <c r="D41" s="258"/>
      <c r="E41" s="258"/>
      <c r="F41" s="258"/>
      <c r="G41" s="258"/>
      <c r="H41" s="271"/>
      <c r="I41" s="258"/>
      <c r="J41" s="272"/>
      <c r="K41" s="260"/>
      <c r="L41" s="261"/>
      <c r="M41" s="262" t="str">
        <f t="shared" si="1"/>
        <v/>
      </c>
      <c r="N41" s="263" t="str">
        <f t="shared" si="2"/>
        <v/>
      </c>
      <c r="O41" s="264" t="str">
        <f t="shared" si="3"/>
        <v/>
      </c>
      <c r="P41" s="265" t="str">
        <f>IFERROR(__xludf.DUMMYFUNCTION("IF(ISBLANK(A41),"""",IFERROR(IF(H41=""Sell"",VLOOKUP(9^99,FILTER({ROW(P$2:P40),P$2:P40},D$2:D40=D41),2),(VLOOKUP(9^99,FILTER({ROW(P$2:P40),P$2:P40},D$2:D40=D41),2)*VLOOKUP(9^99,FILTER({ROW(O$2:O40),O$2:O40},D$2:D40=D41),2)-N41)/O41),J41))"),"")</f>
        <v/>
      </c>
      <c r="Q41" s="264" t="str">
        <f>IFERROR(__xludf.DUMMYFUNCTION("IFERROR(IF(F41=""Crypto"",B41,(IF(ISBLANK(D41),"""",IF(D41=""Cash"",B41,IF(GOOGLEFINANCE(D41,""CURRENCY"")=""GBX"",""GBP"",GOOGLEFINANCE(D41,""CURRENCY"")))))),B41)"),"")</f>
        <v/>
      </c>
      <c r="R41" s="263" t="str">
        <f>IFERROR(__xludf.DUMMYFUNCTION("IF(ISBLANK(A41),"""",IFERROR(IF(OR(Q41=""GPB"",Q41=""ZAR""),IF(Q41=Dashboard!$L$1,K41,(K41*GOOGLEFINANCE(""CURRENCY:""&amp;Q41&amp;""""&amp;Dashboard!$L$1&amp;""""))/100),IF(Q41=Dashboard!$L$1,K41,K41*GOOGLEFINANCE(""CURRENCY:""&amp;Q41&amp;""""&amp;Dashboard!$L$1&amp;""""))),K41))"),"")</f>
        <v/>
      </c>
      <c r="S41" s="266" t="str">
        <f>IFERROR(__xludf.DUMMYFUNCTION("IF(ISBLANK(A41),"""",IFERROR(IF(OR(Q41=""GPB"",Q41=""ZAR""),IF(Q41=Dashboard!$L$1,M41,(M41*GOOGLEFINANCE(""CURRENCY:""&amp;Q41&amp;""""&amp;Dashboard!$L$1&amp;""""))/100),IF(Q41=Dashboard!$L$1,M41,M41*GOOGLEFINANCE(""CURRENCY:""&amp;Q41&amp;""""&amp;Dashboard!$L$1&amp;""""))),M41))"),"")</f>
        <v/>
      </c>
      <c r="T41" s="264" t="str">
        <f t="shared" si="4"/>
        <v/>
      </c>
      <c r="U41" s="264" t="str">
        <f t="shared" si="5"/>
        <v/>
      </c>
      <c r="V41" s="264" t="str">
        <f t="shared" si="6"/>
        <v/>
      </c>
      <c r="W41" s="267" t="str">
        <f t="shared" si="8"/>
        <v/>
      </c>
      <c r="X41" s="264" t="str">
        <f t="shared" si="7"/>
        <v/>
      </c>
    </row>
    <row r="42" ht="15.75" customHeight="1">
      <c r="A42" s="258"/>
      <c r="B42" s="258"/>
      <c r="C42" s="269"/>
      <c r="D42" s="258"/>
      <c r="E42" s="258"/>
      <c r="F42" s="258"/>
      <c r="G42" s="258"/>
      <c r="H42" s="271"/>
      <c r="I42" s="258"/>
      <c r="J42" s="272"/>
      <c r="K42" s="260"/>
      <c r="L42" s="261"/>
      <c r="M42" s="262" t="str">
        <f t="shared" si="1"/>
        <v/>
      </c>
      <c r="N42" s="263" t="str">
        <f t="shared" si="2"/>
        <v/>
      </c>
      <c r="O42" s="264" t="str">
        <f t="shared" si="3"/>
        <v/>
      </c>
      <c r="P42" s="265" t="str">
        <f>IFERROR(__xludf.DUMMYFUNCTION("IF(ISBLANK(A42),"""",IFERROR(IF(H42=""Sell"",VLOOKUP(9^99,FILTER({ROW(P$2:P41),P$2:P41},D$2:D41=D42),2),(VLOOKUP(9^99,FILTER({ROW(P$2:P41),P$2:P41},D$2:D41=D42),2)*VLOOKUP(9^99,FILTER({ROW(O$2:O41),O$2:O41},D$2:D41=D42),2)-N42)/O42),J42))"),"")</f>
        <v/>
      </c>
      <c r="Q42" s="264" t="str">
        <f>IFERROR(__xludf.DUMMYFUNCTION("IFERROR(IF(F42=""Crypto"",B42,(IF(ISBLANK(D42),"""",IF(D42=""Cash"",B42,IF(GOOGLEFINANCE(D42,""CURRENCY"")=""GBX"",""GBP"",GOOGLEFINANCE(D42,""CURRENCY"")))))),B42)"),"")</f>
        <v/>
      </c>
      <c r="R42" s="263" t="str">
        <f>IFERROR(__xludf.DUMMYFUNCTION("IF(ISBLANK(A42),"""",IFERROR(IF(OR(Q42=""GPB"",Q42=""ZAR""),IF(Q42=Dashboard!$L$1,K42,(K42*GOOGLEFINANCE(""CURRENCY:""&amp;Q42&amp;""""&amp;Dashboard!$L$1&amp;""""))/100),IF(Q42=Dashboard!$L$1,K42,K42*GOOGLEFINANCE(""CURRENCY:""&amp;Q42&amp;""""&amp;Dashboard!$L$1&amp;""""))),K42))"),"")</f>
        <v/>
      </c>
      <c r="S42" s="266" t="str">
        <f>IFERROR(__xludf.DUMMYFUNCTION("IF(ISBLANK(A42),"""",IFERROR(IF(OR(Q42=""GPB"",Q42=""ZAR""),IF(Q42=Dashboard!$L$1,M42,(M42*GOOGLEFINANCE(""CURRENCY:""&amp;Q42&amp;""""&amp;Dashboard!$L$1&amp;""""))/100),IF(Q42=Dashboard!$L$1,M42,M42*GOOGLEFINANCE(""CURRENCY:""&amp;Q42&amp;""""&amp;Dashboard!$L$1&amp;""""))),M42))"),"")</f>
        <v/>
      </c>
      <c r="T42" s="264" t="str">
        <f t="shared" si="4"/>
        <v/>
      </c>
      <c r="U42" s="264" t="str">
        <f t="shared" si="5"/>
        <v/>
      </c>
      <c r="V42" s="264" t="str">
        <f t="shared" si="6"/>
        <v/>
      </c>
      <c r="W42" s="267" t="str">
        <f t="shared" si="8"/>
        <v/>
      </c>
      <c r="X42" s="264" t="str">
        <f t="shared" si="7"/>
        <v/>
      </c>
    </row>
    <row r="43" ht="15.75" customHeight="1">
      <c r="A43" s="258"/>
      <c r="B43" s="258"/>
      <c r="C43" s="269"/>
      <c r="D43" s="258"/>
      <c r="E43" s="258"/>
      <c r="F43" s="258"/>
      <c r="G43" s="258"/>
      <c r="H43" s="271"/>
      <c r="I43" s="258"/>
      <c r="J43" s="272"/>
      <c r="K43" s="260"/>
      <c r="L43" s="261"/>
      <c r="M43" s="262" t="str">
        <f t="shared" si="1"/>
        <v/>
      </c>
      <c r="N43" s="263" t="str">
        <f t="shared" si="2"/>
        <v/>
      </c>
      <c r="O43" s="264" t="str">
        <f t="shared" si="3"/>
        <v/>
      </c>
      <c r="P43" s="265" t="str">
        <f>IFERROR(__xludf.DUMMYFUNCTION("IF(ISBLANK(A43),"""",IFERROR(IF(H43=""Sell"",VLOOKUP(9^99,FILTER({ROW(P$2:P42),P$2:P42},D$2:D42=D43),2),(VLOOKUP(9^99,FILTER({ROW(P$2:P42),P$2:P42},D$2:D42=D43),2)*VLOOKUP(9^99,FILTER({ROW(O$2:O42),O$2:O42},D$2:D42=D43),2)-N43)/O43),J43))"),"")</f>
        <v/>
      </c>
      <c r="Q43" s="264" t="str">
        <f>IFERROR(__xludf.DUMMYFUNCTION("IFERROR(IF(F43=""Crypto"",B43,(IF(ISBLANK(D43),"""",IF(D43=""Cash"",B43,IF(GOOGLEFINANCE(D43,""CURRENCY"")=""GBX"",""GBP"",GOOGLEFINANCE(D43,""CURRENCY"")))))),B43)"),"")</f>
        <v/>
      </c>
      <c r="R43" s="263" t="str">
        <f>IFERROR(__xludf.DUMMYFUNCTION("IF(ISBLANK(A43),"""",IFERROR(IF(OR(Q43=""GPB"",Q43=""ZAR""),IF(Q43=Dashboard!$L$1,K43,(K43*GOOGLEFINANCE(""CURRENCY:""&amp;Q43&amp;""""&amp;Dashboard!$L$1&amp;""""))/100),IF(Q43=Dashboard!$L$1,K43,K43*GOOGLEFINANCE(""CURRENCY:""&amp;Q43&amp;""""&amp;Dashboard!$L$1&amp;""""))),K43))"),"")</f>
        <v/>
      </c>
      <c r="S43" s="266" t="str">
        <f>IFERROR(__xludf.DUMMYFUNCTION("IF(ISBLANK(A43),"""",IFERROR(IF(OR(Q43=""GPB"",Q43=""ZAR""),IF(Q43=Dashboard!$L$1,M43,(M43*GOOGLEFINANCE(""CURRENCY:""&amp;Q43&amp;""""&amp;Dashboard!$L$1&amp;""""))/100),IF(Q43=Dashboard!$L$1,M43,M43*GOOGLEFINANCE(""CURRENCY:""&amp;Q43&amp;""""&amp;Dashboard!$L$1&amp;""""))),M43))"),"")</f>
        <v/>
      </c>
      <c r="T43" s="264" t="str">
        <f t="shared" si="4"/>
        <v/>
      </c>
      <c r="U43" s="264" t="str">
        <f t="shared" si="5"/>
        <v/>
      </c>
      <c r="V43" s="264" t="str">
        <f t="shared" si="6"/>
        <v/>
      </c>
      <c r="W43" s="267" t="str">
        <f t="shared" si="8"/>
        <v/>
      </c>
      <c r="X43" s="264" t="str">
        <f t="shared" si="7"/>
        <v/>
      </c>
    </row>
    <row r="44" ht="15.75" customHeight="1">
      <c r="A44" s="258"/>
      <c r="B44" s="258"/>
      <c r="C44" s="269"/>
      <c r="D44" s="258"/>
      <c r="E44" s="258"/>
      <c r="F44" s="258"/>
      <c r="G44" s="258"/>
      <c r="H44" s="271"/>
      <c r="I44" s="258"/>
      <c r="J44" s="272"/>
      <c r="K44" s="260"/>
      <c r="L44" s="261"/>
      <c r="M44" s="262" t="str">
        <f t="shared" si="1"/>
        <v/>
      </c>
      <c r="N44" s="263" t="str">
        <f t="shared" si="2"/>
        <v/>
      </c>
      <c r="O44" s="264" t="str">
        <f t="shared" si="3"/>
        <v/>
      </c>
      <c r="P44" s="265" t="str">
        <f>IFERROR(__xludf.DUMMYFUNCTION("IF(ISBLANK(A44),"""",IFERROR(IF(H44=""Sell"",VLOOKUP(9^99,FILTER({ROW(P$2:P43),P$2:P43},D$2:D43=D44),2),(VLOOKUP(9^99,FILTER({ROW(P$2:P43),P$2:P43},D$2:D43=D44),2)*VLOOKUP(9^99,FILTER({ROW(O$2:O43),O$2:O43},D$2:D43=D44),2)-N44)/O44),J44))"),"")</f>
        <v/>
      </c>
      <c r="Q44" s="264" t="str">
        <f>IFERROR(__xludf.DUMMYFUNCTION("IFERROR(IF(F44=""Crypto"",B44,(IF(ISBLANK(D44),"""",IF(D44=""Cash"",B44,IF(GOOGLEFINANCE(D44,""CURRENCY"")=""GBX"",""GBP"",GOOGLEFINANCE(D44,""CURRENCY"")))))),B44)"),"")</f>
        <v/>
      </c>
      <c r="R44" s="263" t="str">
        <f>IFERROR(__xludf.DUMMYFUNCTION("IF(ISBLANK(A44),"""",IFERROR(IF(OR(Q44=""GPB"",Q44=""ZAR""),IF(Q44=Dashboard!$L$1,K44,(K44*GOOGLEFINANCE(""CURRENCY:""&amp;Q44&amp;""""&amp;Dashboard!$L$1&amp;""""))/100),IF(Q44=Dashboard!$L$1,K44,K44*GOOGLEFINANCE(""CURRENCY:""&amp;Q44&amp;""""&amp;Dashboard!$L$1&amp;""""))),K44))"),"")</f>
        <v/>
      </c>
      <c r="S44" s="266" t="str">
        <f>IFERROR(__xludf.DUMMYFUNCTION("IF(ISBLANK(A44),"""",IFERROR(IF(OR(Q44=""GPB"",Q44=""ZAR""),IF(Q44=Dashboard!$L$1,M44,(M44*GOOGLEFINANCE(""CURRENCY:""&amp;Q44&amp;""""&amp;Dashboard!$L$1&amp;""""))/100),IF(Q44=Dashboard!$L$1,M44,M44*GOOGLEFINANCE(""CURRENCY:""&amp;Q44&amp;""""&amp;Dashboard!$L$1&amp;""""))),M44))"),"")</f>
        <v/>
      </c>
      <c r="T44" s="264" t="str">
        <f t="shared" si="4"/>
        <v/>
      </c>
      <c r="U44" s="264" t="str">
        <f t="shared" si="5"/>
        <v/>
      </c>
      <c r="V44" s="264" t="str">
        <f t="shared" si="6"/>
        <v/>
      </c>
      <c r="W44" s="267" t="str">
        <f t="shared" si="8"/>
        <v/>
      </c>
      <c r="X44" s="264" t="str">
        <f t="shared" si="7"/>
        <v/>
      </c>
    </row>
    <row r="45" ht="15.75" customHeight="1">
      <c r="A45" s="258"/>
      <c r="B45" s="258"/>
      <c r="C45" s="269"/>
      <c r="D45" s="258"/>
      <c r="E45" s="258"/>
      <c r="F45" s="258"/>
      <c r="G45" s="258"/>
      <c r="H45" s="271"/>
      <c r="I45" s="258"/>
      <c r="J45" s="272"/>
      <c r="K45" s="260"/>
      <c r="L45" s="261"/>
      <c r="M45" s="262" t="str">
        <f t="shared" si="1"/>
        <v/>
      </c>
      <c r="N45" s="263" t="str">
        <f t="shared" si="2"/>
        <v/>
      </c>
      <c r="O45" s="264" t="str">
        <f t="shared" si="3"/>
        <v/>
      </c>
      <c r="P45" s="265" t="str">
        <f>IFERROR(__xludf.DUMMYFUNCTION("IF(ISBLANK(A45),"""",IFERROR(IF(H45=""Sell"",VLOOKUP(9^99,FILTER({ROW(P$2:P44),P$2:P44},D$2:D44=D45),2),(VLOOKUP(9^99,FILTER({ROW(P$2:P44),P$2:P44},D$2:D44=D45),2)*VLOOKUP(9^99,FILTER({ROW(O$2:O44),O$2:O44},D$2:D44=D45),2)-N45)/O45),J45))"),"")</f>
        <v/>
      </c>
      <c r="Q45" s="264" t="str">
        <f>IFERROR(__xludf.DUMMYFUNCTION("IFERROR(IF(F45=""Crypto"",B45,(IF(ISBLANK(D45),"""",IF(D45=""Cash"",B45,IF(GOOGLEFINANCE(D45,""CURRENCY"")=""GBX"",""GBP"",GOOGLEFINANCE(D45,""CURRENCY"")))))),B45)"),"")</f>
        <v/>
      </c>
      <c r="R45" s="263" t="str">
        <f>IFERROR(__xludf.DUMMYFUNCTION("IF(ISBLANK(A45),"""",IFERROR(IF(OR(Q45=""GPB"",Q45=""ZAR""),IF(Q45=Dashboard!$L$1,K45,(K45*GOOGLEFINANCE(""CURRENCY:""&amp;Q45&amp;""""&amp;Dashboard!$L$1&amp;""""))/100),IF(Q45=Dashboard!$L$1,K45,K45*GOOGLEFINANCE(""CURRENCY:""&amp;Q45&amp;""""&amp;Dashboard!$L$1&amp;""""))),K45))"),"")</f>
        <v/>
      </c>
      <c r="S45" s="266" t="str">
        <f>IFERROR(__xludf.DUMMYFUNCTION("IF(ISBLANK(A45),"""",IFERROR(IF(OR(Q45=""GPB"",Q45=""ZAR""),IF(Q45=Dashboard!$L$1,M45,(M45*GOOGLEFINANCE(""CURRENCY:""&amp;Q45&amp;""""&amp;Dashboard!$L$1&amp;""""))/100),IF(Q45=Dashboard!$L$1,M45,M45*GOOGLEFINANCE(""CURRENCY:""&amp;Q45&amp;""""&amp;Dashboard!$L$1&amp;""""))),M45))"),"")</f>
        <v/>
      </c>
      <c r="T45" s="264" t="str">
        <f t="shared" si="4"/>
        <v/>
      </c>
      <c r="U45" s="264" t="str">
        <f t="shared" si="5"/>
        <v/>
      </c>
      <c r="V45" s="264" t="str">
        <f t="shared" si="6"/>
        <v/>
      </c>
      <c r="W45" s="267" t="str">
        <f t="shared" si="8"/>
        <v/>
      </c>
      <c r="X45" s="264" t="str">
        <f t="shared" si="7"/>
        <v/>
      </c>
    </row>
    <row r="46" ht="15.75" customHeight="1">
      <c r="A46" s="258"/>
      <c r="B46" s="258"/>
      <c r="C46" s="269"/>
      <c r="D46" s="258"/>
      <c r="E46" s="258"/>
      <c r="F46" s="258"/>
      <c r="G46" s="258"/>
      <c r="H46" s="271"/>
      <c r="I46" s="258"/>
      <c r="J46" s="272"/>
      <c r="K46" s="260"/>
      <c r="L46" s="261"/>
      <c r="M46" s="262" t="str">
        <f t="shared" si="1"/>
        <v/>
      </c>
      <c r="N46" s="263" t="str">
        <f t="shared" si="2"/>
        <v/>
      </c>
      <c r="O46" s="264" t="str">
        <f t="shared" si="3"/>
        <v/>
      </c>
      <c r="P46" s="265" t="str">
        <f>IFERROR(__xludf.DUMMYFUNCTION("IF(ISBLANK(A46),"""",IFERROR(IF(H46=""Sell"",VLOOKUP(9^99,FILTER({ROW(P$2:P45),P$2:P45},D$2:D45=D46),2),(VLOOKUP(9^99,FILTER({ROW(P$2:P45),P$2:P45},D$2:D45=D46),2)*VLOOKUP(9^99,FILTER({ROW(O$2:O45),O$2:O45},D$2:D45=D46),2)-N46)/O46),J46))"),"")</f>
        <v/>
      </c>
      <c r="Q46" s="264" t="str">
        <f>IFERROR(__xludf.DUMMYFUNCTION("IFERROR(IF(F46=""Crypto"",B46,(IF(ISBLANK(D46),"""",IF(D46=""Cash"",B46,IF(GOOGLEFINANCE(D46,""CURRENCY"")=""GBX"",""GBP"",GOOGLEFINANCE(D46,""CURRENCY"")))))),B46)"),"")</f>
        <v/>
      </c>
      <c r="R46" s="263" t="str">
        <f>IFERROR(__xludf.DUMMYFUNCTION("IF(ISBLANK(A46),"""",IFERROR(IF(OR(Q46=""GPB"",Q46=""ZAR""),IF(Q46=Dashboard!$L$1,K46,(K46*GOOGLEFINANCE(""CURRENCY:""&amp;Q46&amp;""""&amp;Dashboard!$L$1&amp;""""))/100),IF(Q46=Dashboard!$L$1,K46,K46*GOOGLEFINANCE(""CURRENCY:""&amp;Q46&amp;""""&amp;Dashboard!$L$1&amp;""""))),K46))"),"")</f>
        <v/>
      </c>
      <c r="S46" s="266" t="str">
        <f>IFERROR(__xludf.DUMMYFUNCTION("IF(ISBLANK(A46),"""",IFERROR(IF(OR(Q46=""GPB"",Q46=""ZAR""),IF(Q46=Dashboard!$L$1,M46,(M46*GOOGLEFINANCE(""CURRENCY:""&amp;Q46&amp;""""&amp;Dashboard!$L$1&amp;""""))/100),IF(Q46=Dashboard!$L$1,M46,M46*GOOGLEFINANCE(""CURRENCY:""&amp;Q46&amp;""""&amp;Dashboard!$L$1&amp;""""))),M46))"),"")</f>
        <v/>
      </c>
      <c r="T46" s="264" t="str">
        <f t="shared" si="4"/>
        <v/>
      </c>
      <c r="U46" s="264" t="str">
        <f t="shared" si="5"/>
        <v/>
      </c>
      <c r="V46" s="264" t="str">
        <f t="shared" si="6"/>
        <v/>
      </c>
      <c r="W46" s="267" t="str">
        <f t="shared" si="8"/>
        <v/>
      </c>
      <c r="X46" s="264" t="str">
        <f t="shared" si="7"/>
        <v/>
      </c>
    </row>
    <row r="47" ht="15.75" customHeight="1">
      <c r="A47" s="258"/>
      <c r="B47" s="258"/>
      <c r="C47" s="269"/>
      <c r="D47" s="258"/>
      <c r="E47" s="258"/>
      <c r="F47" s="258"/>
      <c r="G47" s="258"/>
      <c r="H47" s="271"/>
      <c r="I47" s="258"/>
      <c r="J47" s="272"/>
      <c r="K47" s="260"/>
      <c r="L47" s="261"/>
      <c r="M47" s="262" t="str">
        <f t="shared" si="1"/>
        <v/>
      </c>
      <c r="N47" s="263" t="str">
        <f t="shared" si="2"/>
        <v/>
      </c>
      <c r="O47" s="264" t="str">
        <f t="shared" si="3"/>
        <v/>
      </c>
      <c r="P47" s="265" t="str">
        <f>IFERROR(__xludf.DUMMYFUNCTION("IF(ISBLANK(A47),"""",IFERROR(IF(H47=""Sell"",VLOOKUP(9^99,FILTER({ROW(P$2:P46),P$2:P46},D$2:D46=D47),2),(VLOOKUP(9^99,FILTER({ROW(P$2:P46),P$2:P46},D$2:D46=D47),2)*VLOOKUP(9^99,FILTER({ROW(O$2:O46),O$2:O46},D$2:D46=D47),2)-N47)/O47),J47))"),"")</f>
        <v/>
      </c>
      <c r="Q47" s="264" t="str">
        <f>IFERROR(__xludf.DUMMYFUNCTION("IFERROR(IF(F47=""Crypto"",B47,(IF(ISBLANK(D47),"""",IF(D47=""Cash"",B47,IF(GOOGLEFINANCE(D47,""CURRENCY"")=""GBX"",""GBP"",GOOGLEFINANCE(D47,""CURRENCY"")))))),B47)"),"")</f>
        <v/>
      </c>
      <c r="R47" s="263" t="str">
        <f>IFERROR(__xludf.DUMMYFUNCTION("IF(ISBLANK(A47),"""",IFERROR(IF(OR(Q47=""GPB"",Q47=""ZAR""),IF(Q47=Dashboard!$L$1,K47,(K47*GOOGLEFINANCE(""CURRENCY:""&amp;Q47&amp;""""&amp;Dashboard!$L$1&amp;""""))/100),IF(Q47=Dashboard!$L$1,K47,K47*GOOGLEFINANCE(""CURRENCY:""&amp;Q47&amp;""""&amp;Dashboard!$L$1&amp;""""))),K47))"),"")</f>
        <v/>
      </c>
      <c r="S47" s="266" t="str">
        <f>IFERROR(__xludf.DUMMYFUNCTION("IF(ISBLANK(A47),"""",IFERROR(IF(OR(Q47=""GPB"",Q47=""ZAR""),IF(Q47=Dashboard!$L$1,M47,(M47*GOOGLEFINANCE(""CURRENCY:""&amp;Q47&amp;""""&amp;Dashboard!$L$1&amp;""""))/100),IF(Q47=Dashboard!$L$1,M47,M47*GOOGLEFINANCE(""CURRENCY:""&amp;Q47&amp;""""&amp;Dashboard!$L$1&amp;""""))),M47))"),"")</f>
        <v/>
      </c>
      <c r="T47" s="264" t="str">
        <f t="shared" si="4"/>
        <v/>
      </c>
      <c r="U47" s="264" t="str">
        <f t="shared" si="5"/>
        <v/>
      </c>
      <c r="V47" s="264" t="str">
        <f t="shared" si="6"/>
        <v/>
      </c>
      <c r="W47" s="267" t="str">
        <f t="shared" si="8"/>
        <v/>
      </c>
      <c r="X47" s="264" t="str">
        <f t="shared" si="7"/>
        <v/>
      </c>
    </row>
    <row r="48" ht="15.75" customHeight="1">
      <c r="A48" s="258"/>
      <c r="B48" s="258"/>
      <c r="C48" s="269"/>
      <c r="D48" s="258"/>
      <c r="E48" s="258"/>
      <c r="F48" s="258"/>
      <c r="G48" s="258"/>
      <c r="H48" s="271"/>
      <c r="I48" s="258"/>
      <c r="J48" s="272"/>
      <c r="K48" s="260"/>
      <c r="L48" s="261"/>
      <c r="M48" s="262" t="str">
        <f t="shared" si="1"/>
        <v/>
      </c>
      <c r="N48" s="263" t="str">
        <f t="shared" si="2"/>
        <v/>
      </c>
      <c r="O48" s="264" t="str">
        <f t="shared" si="3"/>
        <v/>
      </c>
      <c r="P48" s="265" t="str">
        <f>IFERROR(__xludf.DUMMYFUNCTION("IF(ISBLANK(A48),"""",IFERROR(IF(H48=""Sell"",VLOOKUP(9^99,FILTER({ROW(P$2:P47),P$2:P47},D$2:D47=D48),2),(VLOOKUP(9^99,FILTER({ROW(P$2:P47),P$2:P47},D$2:D47=D48),2)*VLOOKUP(9^99,FILTER({ROW(O$2:O47),O$2:O47},D$2:D47=D48),2)-N48)/O48),J48))"),"")</f>
        <v/>
      </c>
      <c r="Q48" s="264" t="str">
        <f>IFERROR(__xludf.DUMMYFUNCTION("IFERROR(IF(F48=""Crypto"",B48,(IF(ISBLANK(D48),"""",IF(D48=""Cash"",B48,IF(GOOGLEFINANCE(D48,""CURRENCY"")=""GBX"",""GBP"",GOOGLEFINANCE(D48,""CURRENCY"")))))),B48)"),"")</f>
        <v/>
      </c>
      <c r="R48" s="263" t="str">
        <f>IFERROR(__xludf.DUMMYFUNCTION("IF(ISBLANK(A48),"""",IFERROR(IF(OR(Q48=""GPB"",Q48=""ZAR""),IF(Q48=Dashboard!$L$1,K48,(K48*GOOGLEFINANCE(""CURRENCY:""&amp;Q48&amp;""""&amp;Dashboard!$L$1&amp;""""))/100),IF(Q48=Dashboard!$L$1,K48,K48*GOOGLEFINANCE(""CURRENCY:""&amp;Q48&amp;""""&amp;Dashboard!$L$1&amp;""""))),K48))"),"")</f>
        <v/>
      </c>
      <c r="S48" s="266" t="str">
        <f>IFERROR(__xludf.DUMMYFUNCTION("IF(ISBLANK(A48),"""",IFERROR(IF(OR(Q48=""GPB"",Q48=""ZAR""),IF(Q48=Dashboard!$L$1,M48,(M48*GOOGLEFINANCE(""CURRENCY:""&amp;Q48&amp;""""&amp;Dashboard!$L$1&amp;""""))/100),IF(Q48=Dashboard!$L$1,M48,M48*GOOGLEFINANCE(""CURRENCY:""&amp;Q48&amp;""""&amp;Dashboard!$L$1&amp;""""))),M48))"),"")</f>
        <v/>
      </c>
      <c r="T48" s="264" t="str">
        <f t="shared" si="4"/>
        <v/>
      </c>
      <c r="U48" s="264" t="str">
        <f t="shared" si="5"/>
        <v/>
      </c>
      <c r="V48" s="264" t="str">
        <f t="shared" si="6"/>
        <v/>
      </c>
      <c r="W48" s="267" t="str">
        <f t="shared" si="8"/>
        <v/>
      </c>
      <c r="X48" s="264" t="str">
        <f t="shared" si="7"/>
        <v/>
      </c>
    </row>
    <row r="49" ht="15.75" customHeight="1">
      <c r="A49" s="258"/>
      <c r="B49" s="258"/>
      <c r="C49" s="269"/>
      <c r="D49" s="258"/>
      <c r="E49" s="258"/>
      <c r="F49" s="258"/>
      <c r="G49" s="258"/>
      <c r="H49" s="271"/>
      <c r="I49" s="258"/>
      <c r="J49" s="272"/>
      <c r="K49" s="260"/>
      <c r="L49" s="261"/>
      <c r="M49" s="262" t="str">
        <f t="shared" si="1"/>
        <v/>
      </c>
      <c r="N49" s="263" t="str">
        <f t="shared" si="2"/>
        <v/>
      </c>
      <c r="O49" s="264" t="str">
        <f t="shared" si="3"/>
        <v/>
      </c>
      <c r="P49" s="265" t="str">
        <f>IFERROR(__xludf.DUMMYFUNCTION("IF(ISBLANK(A49),"""",IFERROR(IF(H49=""Sell"",VLOOKUP(9^99,FILTER({ROW(P$2:P48),P$2:P48},D$2:D48=D49),2),(VLOOKUP(9^99,FILTER({ROW(P$2:P48),P$2:P48},D$2:D48=D49),2)*VLOOKUP(9^99,FILTER({ROW(O$2:O48),O$2:O48},D$2:D48=D49),2)-N49)/O49),J49))"),"")</f>
        <v/>
      </c>
      <c r="Q49" s="264" t="str">
        <f>IFERROR(__xludf.DUMMYFUNCTION("IFERROR(IF(F49=""Crypto"",B49,(IF(ISBLANK(D49),"""",IF(D49=""Cash"",B49,IF(GOOGLEFINANCE(D49,""CURRENCY"")=""GBX"",""GBP"",GOOGLEFINANCE(D49,""CURRENCY"")))))),B49)"),"")</f>
        <v/>
      </c>
      <c r="R49" s="263" t="str">
        <f>IFERROR(__xludf.DUMMYFUNCTION("IF(ISBLANK(A49),"""",IFERROR(IF(OR(Q49=""GPB"",Q49=""ZAR""),IF(Q49=Dashboard!$L$1,K49,(K49*GOOGLEFINANCE(""CURRENCY:""&amp;Q49&amp;""""&amp;Dashboard!$L$1&amp;""""))/100),IF(Q49=Dashboard!$L$1,K49,K49*GOOGLEFINANCE(""CURRENCY:""&amp;Q49&amp;""""&amp;Dashboard!$L$1&amp;""""))),K49))"),"")</f>
        <v/>
      </c>
      <c r="S49" s="266" t="str">
        <f>IFERROR(__xludf.DUMMYFUNCTION("IF(ISBLANK(A49),"""",IFERROR(IF(OR(Q49=""GPB"",Q49=""ZAR""),IF(Q49=Dashboard!$L$1,M49,(M49*GOOGLEFINANCE(""CURRENCY:""&amp;Q49&amp;""""&amp;Dashboard!$L$1&amp;""""))/100),IF(Q49=Dashboard!$L$1,M49,M49*GOOGLEFINANCE(""CURRENCY:""&amp;Q49&amp;""""&amp;Dashboard!$L$1&amp;""""))),M49))"),"")</f>
        <v/>
      </c>
      <c r="T49" s="264" t="str">
        <f t="shared" si="4"/>
        <v/>
      </c>
      <c r="U49" s="264" t="str">
        <f t="shared" si="5"/>
        <v/>
      </c>
      <c r="V49" s="264" t="str">
        <f t="shared" si="6"/>
        <v/>
      </c>
      <c r="W49" s="267" t="str">
        <f t="shared" si="8"/>
        <v/>
      </c>
      <c r="X49" s="264" t="str">
        <f t="shared" si="7"/>
        <v/>
      </c>
    </row>
    <row r="50" ht="15.75" customHeight="1">
      <c r="A50" s="258"/>
      <c r="B50" s="258"/>
      <c r="C50" s="269"/>
      <c r="D50" s="258"/>
      <c r="E50" s="258"/>
      <c r="F50" s="258"/>
      <c r="G50" s="258"/>
      <c r="H50" s="271"/>
      <c r="I50" s="258"/>
      <c r="J50" s="272"/>
      <c r="K50" s="260"/>
      <c r="L50" s="261"/>
      <c r="M50" s="262" t="str">
        <f t="shared" si="1"/>
        <v/>
      </c>
      <c r="N50" s="263" t="str">
        <f t="shared" si="2"/>
        <v/>
      </c>
      <c r="O50" s="264" t="str">
        <f t="shared" si="3"/>
        <v/>
      </c>
      <c r="P50" s="265" t="str">
        <f>IFERROR(__xludf.DUMMYFUNCTION("IF(ISBLANK(A50),"""",IFERROR(IF(H50=""Sell"",VLOOKUP(9^99,FILTER({ROW(P$2:P49),P$2:P49},D$2:D49=D50),2),(VLOOKUP(9^99,FILTER({ROW(P$2:P49),P$2:P49},D$2:D49=D50),2)*VLOOKUP(9^99,FILTER({ROW(O$2:O49),O$2:O49},D$2:D49=D50),2)-N50)/O50),J50))"),"")</f>
        <v/>
      </c>
      <c r="Q50" s="264" t="str">
        <f>IFERROR(__xludf.DUMMYFUNCTION("IFERROR(IF(F50=""Crypto"",B50,(IF(ISBLANK(D50),"""",IF(D50=""Cash"",B50,IF(GOOGLEFINANCE(D50,""CURRENCY"")=""GBX"",""GBP"",GOOGLEFINANCE(D50,""CURRENCY"")))))),B50)"),"")</f>
        <v/>
      </c>
      <c r="R50" s="263" t="str">
        <f>IFERROR(__xludf.DUMMYFUNCTION("IF(ISBLANK(A50),"""",IFERROR(IF(OR(Q50=""GPB"",Q50=""ZAR""),IF(Q50=Dashboard!$L$1,K50,(K50*GOOGLEFINANCE(""CURRENCY:""&amp;Q50&amp;""""&amp;Dashboard!$L$1&amp;""""))/100),IF(Q50=Dashboard!$L$1,K50,K50*GOOGLEFINANCE(""CURRENCY:""&amp;Q50&amp;""""&amp;Dashboard!$L$1&amp;""""))),K50))"),"")</f>
        <v/>
      </c>
      <c r="S50" s="266" t="str">
        <f>IFERROR(__xludf.DUMMYFUNCTION("IF(ISBLANK(A50),"""",IFERROR(IF(OR(Q50=""GPB"",Q50=""ZAR""),IF(Q50=Dashboard!$L$1,M50,(M50*GOOGLEFINANCE(""CURRENCY:""&amp;Q50&amp;""""&amp;Dashboard!$L$1&amp;""""))/100),IF(Q50=Dashboard!$L$1,M50,M50*GOOGLEFINANCE(""CURRENCY:""&amp;Q50&amp;""""&amp;Dashboard!$L$1&amp;""""))),M50))"),"")</f>
        <v/>
      </c>
      <c r="T50" s="264" t="str">
        <f t="shared" si="4"/>
        <v/>
      </c>
      <c r="U50" s="264" t="str">
        <f t="shared" si="5"/>
        <v/>
      </c>
      <c r="V50" s="264" t="str">
        <f t="shared" si="6"/>
        <v/>
      </c>
      <c r="W50" s="267" t="str">
        <f t="shared" si="8"/>
        <v/>
      </c>
      <c r="X50" s="264" t="str">
        <f t="shared" si="7"/>
        <v/>
      </c>
    </row>
    <row r="51" ht="15.75" customHeight="1">
      <c r="A51" s="258"/>
      <c r="B51" s="258"/>
      <c r="C51" s="269"/>
      <c r="D51" s="258"/>
      <c r="E51" s="258"/>
      <c r="F51" s="258"/>
      <c r="G51" s="258"/>
      <c r="H51" s="271"/>
      <c r="I51" s="258"/>
      <c r="J51" s="272"/>
      <c r="K51" s="260"/>
      <c r="L51" s="261"/>
      <c r="M51" s="262" t="str">
        <f t="shared" si="1"/>
        <v/>
      </c>
      <c r="N51" s="263" t="str">
        <f t="shared" si="2"/>
        <v/>
      </c>
      <c r="O51" s="264" t="str">
        <f t="shared" si="3"/>
        <v/>
      </c>
      <c r="P51" s="265" t="str">
        <f>IFERROR(__xludf.DUMMYFUNCTION("IF(ISBLANK(A51),"""",IFERROR(IF(H51=""Sell"",VLOOKUP(9^99,FILTER({ROW(P$2:P50),P$2:P50},D$2:D50=D51),2),(VLOOKUP(9^99,FILTER({ROW(P$2:P50),P$2:P50},D$2:D50=D51),2)*VLOOKUP(9^99,FILTER({ROW(O$2:O50),O$2:O50},D$2:D50=D51),2)-N51)/O51),J51))"),"")</f>
        <v/>
      </c>
      <c r="Q51" s="264" t="str">
        <f>IFERROR(__xludf.DUMMYFUNCTION("IFERROR(IF(F51=""Crypto"",B51,(IF(ISBLANK(D51),"""",IF(D51=""Cash"",B51,IF(GOOGLEFINANCE(D51,""CURRENCY"")=""GBX"",""GBP"",GOOGLEFINANCE(D51,""CURRENCY"")))))),B51)"),"")</f>
        <v/>
      </c>
      <c r="R51" s="263" t="str">
        <f>IFERROR(__xludf.DUMMYFUNCTION("IF(ISBLANK(A51),"""",IFERROR(IF(OR(Q51=""GPB"",Q51=""ZAR""),IF(Q51=Dashboard!$L$1,K51,(K51*GOOGLEFINANCE(""CURRENCY:""&amp;Q51&amp;""""&amp;Dashboard!$L$1&amp;""""))/100),IF(Q51=Dashboard!$L$1,K51,K51*GOOGLEFINANCE(""CURRENCY:""&amp;Q51&amp;""""&amp;Dashboard!$L$1&amp;""""))),K51))"),"")</f>
        <v/>
      </c>
      <c r="S51" s="266" t="str">
        <f>IFERROR(__xludf.DUMMYFUNCTION("IF(ISBLANK(A51),"""",IFERROR(IF(OR(Q51=""GPB"",Q51=""ZAR""),IF(Q51=Dashboard!$L$1,M51,(M51*GOOGLEFINANCE(""CURRENCY:""&amp;Q51&amp;""""&amp;Dashboard!$L$1&amp;""""))/100),IF(Q51=Dashboard!$L$1,M51,M51*GOOGLEFINANCE(""CURRENCY:""&amp;Q51&amp;""""&amp;Dashboard!$L$1&amp;""""))),M51))"),"")</f>
        <v/>
      </c>
      <c r="T51" s="264" t="str">
        <f t="shared" si="4"/>
        <v/>
      </c>
      <c r="U51" s="264" t="str">
        <f t="shared" si="5"/>
        <v/>
      </c>
      <c r="V51" s="264" t="str">
        <f t="shared" si="6"/>
        <v/>
      </c>
      <c r="W51" s="267" t="str">
        <f t="shared" si="8"/>
        <v/>
      </c>
      <c r="X51" s="264" t="str">
        <f t="shared" si="7"/>
        <v/>
      </c>
    </row>
    <row r="52" ht="15.75" customHeight="1">
      <c r="A52" s="258"/>
      <c r="B52" s="258"/>
      <c r="C52" s="269"/>
      <c r="D52" s="258"/>
      <c r="E52" s="258"/>
      <c r="F52" s="258"/>
      <c r="G52" s="258"/>
      <c r="H52" s="271"/>
      <c r="I52" s="258"/>
      <c r="J52" s="272"/>
      <c r="K52" s="260"/>
      <c r="L52" s="261"/>
      <c r="M52" s="262" t="str">
        <f t="shared" si="1"/>
        <v/>
      </c>
      <c r="N52" s="263" t="str">
        <f t="shared" si="2"/>
        <v/>
      </c>
      <c r="O52" s="264" t="str">
        <f t="shared" si="3"/>
        <v/>
      </c>
      <c r="P52" s="265" t="str">
        <f>IFERROR(__xludf.DUMMYFUNCTION("IF(ISBLANK(A52),"""",IFERROR(IF(H52=""Sell"",VLOOKUP(9^99,FILTER({ROW(P$2:P51),P$2:P51},D$2:D51=D52),2),(VLOOKUP(9^99,FILTER({ROW(P$2:P51),P$2:P51},D$2:D51=D52),2)*VLOOKUP(9^99,FILTER({ROW(O$2:O51),O$2:O51},D$2:D51=D52),2)-N52)/O52),J52))"),"")</f>
        <v/>
      </c>
      <c r="Q52" s="264" t="str">
        <f>IFERROR(__xludf.DUMMYFUNCTION("IFERROR(IF(F52=""Crypto"",B52,(IF(ISBLANK(D52),"""",IF(D52=""Cash"",B52,IF(GOOGLEFINANCE(D52,""CURRENCY"")=""GBX"",""GBP"",GOOGLEFINANCE(D52,""CURRENCY"")))))),B52)"),"")</f>
        <v/>
      </c>
      <c r="R52" s="263" t="str">
        <f>IFERROR(__xludf.DUMMYFUNCTION("IF(ISBLANK(A52),"""",IFERROR(IF(OR(Q52=""GPB"",Q52=""ZAR""),IF(Q52=Dashboard!$L$1,K52,(K52*GOOGLEFINANCE(""CURRENCY:""&amp;Q52&amp;""""&amp;Dashboard!$L$1&amp;""""))/100),IF(Q52=Dashboard!$L$1,K52,K52*GOOGLEFINANCE(""CURRENCY:""&amp;Q52&amp;""""&amp;Dashboard!$L$1&amp;""""))),K52))"),"")</f>
        <v/>
      </c>
      <c r="S52" s="266" t="str">
        <f>IFERROR(__xludf.DUMMYFUNCTION("IF(ISBLANK(A52),"""",IFERROR(IF(OR(Q52=""GPB"",Q52=""ZAR""),IF(Q52=Dashboard!$L$1,M52,(M52*GOOGLEFINANCE(""CURRENCY:""&amp;Q52&amp;""""&amp;Dashboard!$L$1&amp;""""))/100),IF(Q52=Dashboard!$L$1,M52,M52*GOOGLEFINANCE(""CURRENCY:""&amp;Q52&amp;""""&amp;Dashboard!$L$1&amp;""""))),M52))"),"")</f>
        <v/>
      </c>
      <c r="T52" s="264" t="str">
        <f t="shared" si="4"/>
        <v/>
      </c>
      <c r="U52" s="264" t="str">
        <f t="shared" si="5"/>
        <v/>
      </c>
      <c r="V52" s="264" t="str">
        <f t="shared" si="6"/>
        <v/>
      </c>
      <c r="W52" s="267" t="str">
        <f t="shared" si="8"/>
        <v/>
      </c>
      <c r="X52" s="264" t="str">
        <f t="shared" si="7"/>
        <v/>
      </c>
    </row>
    <row r="53" ht="15.75" customHeight="1">
      <c r="A53" s="258"/>
      <c r="B53" s="258"/>
      <c r="C53" s="269"/>
      <c r="D53" s="258"/>
      <c r="E53" s="258"/>
      <c r="F53" s="258"/>
      <c r="G53" s="258"/>
      <c r="H53" s="271"/>
      <c r="I53" s="258"/>
      <c r="J53" s="272"/>
      <c r="K53" s="260"/>
      <c r="L53" s="261"/>
      <c r="M53" s="262" t="str">
        <f t="shared" si="1"/>
        <v/>
      </c>
      <c r="N53" s="263" t="str">
        <f t="shared" si="2"/>
        <v/>
      </c>
      <c r="O53" s="264" t="str">
        <f t="shared" si="3"/>
        <v/>
      </c>
      <c r="P53" s="265" t="str">
        <f>IFERROR(__xludf.DUMMYFUNCTION("IF(ISBLANK(A53),"""",IFERROR(IF(H53=""Sell"",VLOOKUP(9^99,FILTER({ROW(P$2:P52),P$2:P52},D$2:D52=D53),2),(VLOOKUP(9^99,FILTER({ROW(P$2:P52),P$2:P52},D$2:D52=D53),2)*VLOOKUP(9^99,FILTER({ROW(O$2:O52),O$2:O52},D$2:D52=D53),2)-N53)/O53),J53))"),"")</f>
        <v/>
      </c>
      <c r="Q53" s="264" t="str">
        <f>IFERROR(__xludf.DUMMYFUNCTION("IFERROR(IF(F53=""Crypto"",B53,(IF(ISBLANK(D53),"""",IF(D53=""Cash"",B53,IF(GOOGLEFINANCE(D53,""CURRENCY"")=""GBX"",""GBP"",GOOGLEFINANCE(D53,""CURRENCY"")))))),B53)"),"")</f>
        <v/>
      </c>
      <c r="R53" s="263" t="str">
        <f>IFERROR(__xludf.DUMMYFUNCTION("IF(ISBLANK(A53),"""",IFERROR(IF(OR(Q53=""GPB"",Q53=""ZAR""),IF(Q53=Dashboard!$L$1,K53,(K53*GOOGLEFINANCE(""CURRENCY:""&amp;Q53&amp;""""&amp;Dashboard!$L$1&amp;""""))/100),IF(Q53=Dashboard!$L$1,K53,K53*GOOGLEFINANCE(""CURRENCY:""&amp;Q53&amp;""""&amp;Dashboard!$L$1&amp;""""))),K53))"),"")</f>
        <v/>
      </c>
      <c r="S53" s="266" t="str">
        <f>IFERROR(__xludf.DUMMYFUNCTION("IF(ISBLANK(A53),"""",IFERROR(IF(OR(Q53=""GPB"",Q53=""ZAR""),IF(Q53=Dashboard!$L$1,M53,(M53*GOOGLEFINANCE(""CURRENCY:""&amp;Q53&amp;""""&amp;Dashboard!$L$1&amp;""""))/100),IF(Q53=Dashboard!$L$1,M53,M53*GOOGLEFINANCE(""CURRENCY:""&amp;Q53&amp;""""&amp;Dashboard!$L$1&amp;""""))),M53))"),"")</f>
        <v/>
      </c>
      <c r="T53" s="264" t="str">
        <f t="shared" si="4"/>
        <v/>
      </c>
      <c r="U53" s="264" t="str">
        <f t="shared" si="5"/>
        <v/>
      </c>
      <c r="V53" s="264" t="str">
        <f t="shared" si="6"/>
        <v/>
      </c>
      <c r="W53" s="267" t="str">
        <f t="shared" si="8"/>
        <v/>
      </c>
      <c r="X53" s="264" t="str">
        <f t="shared" si="7"/>
        <v/>
      </c>
    </row>
    <row r="54" ht="15.75" customHeight="1">
      <c r="A54" s="258"/>
      <c r="B54" s="258"/>
      <c r="C54" s="269"/>
      <c r="D54" s="258"/>
      <c r="E54" s="258"/>
      <c r="F54" s="258"/>
      <c r="G54" s="258"/>
      <c r="H54" s="271"/>
      <c r="I54" s="258"/>
      <c r="J54" s="272"/>
      <c r="K54" s="260"/>
      <c r="L54" s="261"/>
      <c r="M54" s="262" t="str">
        <f t="shared" si="1"/>
        <v/>
      </c>
      <c r="N54" s="263" t="str">
        <f t="shared" si="2"/>
        <v/>
      </c>
      <c r="O54" s="264" t="str">
        <f t="shared" si="3"/>
        <v/>
      </c>
      <c r="P54" s="265" t="str">
        <f>IFERROR(__xludf.DUMMYFUNCTION("IF(ISBLANK(A54),"""",IFERROR(IF(H54=""Sell"",VLOOKUP(9^99,FILTER({ROW(P$2:P53),P$2:P53},D$2:D53=D54),2),(VLOOKUP(9^99,FILTER({ROW(P$2:P53),P$2:P53},D$2:D53=D54),2)*VLOOKUP(9^99,FILTER({ROW(O$2:O53),O$2:O53},D$2:D53=D54),2)-N54)/O54),J54))"),"")</f>
        <v/>
      </c>
      <c r="Q54" s="264" t="str">
        <f>IFERROR(__xludf.DUMMYFUNCTION("IFERROR(IF(F54=""Crypto"",B54,(IF(ISBLANK(D54),"""",IF(D54=""Cash"",B54,IF(GOOGLEFINANCE(D54,""CURRENCY"")=""GBX"",""GBP"",GOOGLEFINANCE(D54,""CURRENCY"")))))),B54)"),"")</f>
        <v/>
      </c>
      <c r="R54" s="263" t="str">
        <f>IFERROR(__xludf.DUMMYFUNCTION("IF(ISBLANK(A54),"""",IFERROR(IF(OR(Q54=""GPB"",Q54=""ZAR""),IF(Q54=Dashboard!$L$1,K54,(K54*GOOGLEFINANCE(""CURRENCY:""&amp;Q54&amp;""""&amp;Dashboard!$L$1&amp;""""))/100),IF(Q54=Dashboard!$L$1,K54,K54*GOOGLEFINANCE(""CURRENCY:""&amp;Q54&amp;""""&amp;Dashboard!$L$1&amp;""""))),K54))"),"")</f>
        <v/>
      </c>
      <c r="S54" s="266" t="str">
        <f>IFERROR(__xludf.DUMMYFUNCTION("IF(ISBLANK(A54),"""",IFERROR(IF(OR(Q54=""GPB"",Q54=""ZAR""),IF(Q54=Dashboard!$L$1,M54,(M54*GOOGLEFINANCE(""CURRENCY:""&amp;Q54&amp;""""&amp;Dashboard!$L$1&amp;""""))/100),IF(Q54=Dashboard!$L$1,M54,M54*GOOGLEFINANCE(""CURRENCY:""&amp;Q54&amp;""""&amp;Dashboard!$L$1&amp;""""))),M54))"),"")</f>
        <v/>
      </c>
      <c r="T54" s="264" t="str">
        <f t="shared" si="4"/>
        <v/>
      </c>
      <c r="U54" s="264" t="str">
        <f t="shared" si="5"/>
        <v/>
      </c>
      <c r="V54" s="264" t="str">
        <f t="shared" si="6"/>
        <v/>
      </c>
      <c r="W54" s="267" t="str">
        <f t="shared" si="8"/>
        <v/>
      </c>
      <c r="X54" s="264" t="str">
        <f t="shared" si="7"/>
        <v/>
      </c>
    </row>
    <row r="55" ht="15.75" customHeight="1">
      <c r="A55" s="258"/>
      <c r="B55" s="258"/>
      <c r="C55" s="269"/>
      <c r="D55" s="258"/>
      <c r="E55" s="258"/>
      <c r="F55" s="258"/>
      <c r="G55" s="258"/>
      <c r="H55" s="271"/>
      <c r="I55" s="258"/>
      <c r="J55" s="272"/>
      <c r="K55" s="260"/>
      <c r="L55" s="261"/>
      <c r="M55" s="262" t="str">
        <f t="shared" si="1"/>
        <v/>
      </c>
      <c r="N55" s="263" t="str">
        <f t="shared" si="2"/>
        <v/>
      </c>
      <c r="O55" s="264" t="str">
        <f t="shared" si="3"/>
        <v/>
      </c>
      <c r="P55" s="265" t="str">
        <f>IFERROR(__xludf.DUMMYFUNCTION("IF(ISBLANK(A55),"""",IFERROR(IF(H55=""Sell"",VLOOKUP(9^99,FILTER({ROW(P$2:P54),P$2:P54},D$2:D54=D55),2),(VLOOKUP(9^99,FILTER({ROW(P$2:P54),P$2:P54},D$2:D54=D55),2)*VLOOKUP(9^99,FILTER({ROW(O$2:O54),O$2:O54},D$2:D54=D55),2)-N55)/O55),J55))"),"")</f>
        <v/>
      </c>
      <c r="Q55" s="264" t="str">
        <f>IFERROR(__xludf.DUMMYFUNCTION("IFERROR(IF(F55=""Crypto"",B55,(IF(ISBLANK(D55),"""",IF(D55=""Cash"",B55,IF(GOOGLEFINANCE(D55,""CURRENCY"")=""GBX"",""GBP"",GOOGLEFINANCE(D55,""CURRENCY"")))))),B55)"),"")</f>
        <v/>
      </c>
      <c r="R55" s="263" t="str">
        <f>IFERROR(__xludf.DUMMYFUNCTION("IF(ISBLANK(A55),"""",IFERROR(IF(OR(Q55=""GPB"",Q55=""ZAR""),IF(Q55=Dashboard!$L$1,K55,(K55*GOOGLEFINANCE(""CURRENCY:""&amp;Q55&amp;""""&amp;Dashboard!$L$1&amp;""""))/100),IF(Q55=Dashboard!$L$1,K55,K55*GOOGLEFINANCE(""CURRENCY:""&amp;Q55&amp;""""&amp;Dashboard!$L$1&amp;""""))),K55))"),"")</f>
        <v/>
      </c>
      <c r="S55" s="266" t="str">
        <f>IFERROR(__xludf.DUMMYFUNCTION("IF(ISBLANK(A55),"""",IFERROR(IF(OR(Q55=""GPB"",Q55=""ZAR""),IF(Q55=Dashboard!$L$1,M55,(M55*GOOGLEFINANCE(""CURRENCY:""&amp;Q55&amp;""""&amp;Dashboard!$L$1&amp;""""))/100),IF(Q55=Dashboard!$L$1,M55,M55*GOOGLEFINANCE(""CURRENCY:""&amp;Q55&amp;""""&amp;Dashboard!$L$1&amp;""""))),M55))"),"")</f>
        <v/>
      </c>
      <c r="T55" s="264" t="str">
        <f t="shared" si="4"/>
        <v/>
      </c>
      <c r="U55" s="264" t="str">
        <f t="shared" si="5"/>
        <v/>
      </c>
      <c r="V55" s="264" t="str">
        <f t="shared" si="6"/>
        <v/>
      </c>
      <c r="W55" s="267" t="str">
        <f t="shared" si="8"/>
        <v/>
      </c>
      <c r="X55" s="264" t="str">
        <f t="shared" si="7"/>
        <v/>
      </c>
    </row>
    <row r="56" ht="15.75" customHeight="1">
      <c r="A56" s="258"/>
      <c r="B56" s="258"/>
      <c r="C56" s="269"/>
      <c r="D56" s="258"/>
      <c r="E56" s="258"/>
      <c r="F56" s="258"/>
      <c r="G56" s="258"/>
      <c r="H56" s="271"/>
      <c r="I56" s="258"/>
      <c r="J56" s="272"/>
      <c r="K56" s="260"/>
      <c r="L56" s="261"/>
      <c r="M56" s="262" t="str">
        <f t="shared" si="1"/>
        <v/>
      </c>
      <c r="N56" s="263" t="str">
        <f t="shared" si="2"/>
        <v/>
      </c>
      <c r="O56" s="264" t="str">
        <f t="shared" si="3"/>
        <v/>
      </c>
      <c r="P56" s="265" t="str">
        <f>IFERROR(__xludf.DUMMYFUNCTION("IF(ISBLANK(A56),"""",IFERROR(IF(H56=""Sell"",VLOOKUP(9^99,FILTER({ROW(P$2:P55),P$2:P55},D$2:D55=D56),2),(VLOOKUP(9^99,FILTER({ROW(P$2:P55),P$2:P55},D$2:D55=D56),2)*VLOOKUP(9^99,FILTER({ROW(O$2:O55),O$2:O55},D$2:D55=D56),2)-N56)/O56),J56))"),"")</f>
        <v/>
      </c>
      <c r="Q56" s="264" t="str">
        <f>IFERROR(__xludf.DUMMYFUNCTION("IFERROR(IF(F56=""Crypto"",B56,(IF(ISBLANK(D56),"""",IF(D56=""Cash"",B56,IF(GOOGLEFINANCE(D56,""CURRENCY"")=""GBX"",""GBP"",GOOGLEFINANCE(D56,""CURRENCY"")))))),B56)"),"")</f>
        <v/>
      </c>
      <c r="R56" s="263" t="str">
        <f>IFERROR(__xludf.DUMMYFUNCTION("IF(ISBLANK(A56),"""",IFERROR(IF(OR(Q56=""GPB"",Q56=""ZAR""),IF(Q56=Dashboard!$L$1,K56,(K56*GOOGLEFINANCE(""CURRENCY:""&amp;Q56&amp;""""&amp;Dashboard!$L$1&amp;""""))/100),IF(Q56=Dashboard!$L$1,K56,K56*GOOGLEFINANCE(""CURRENCY:""&amp;Q56&amp;""""&amp;Dashboard!$L$1&amp;""""))),K56))"),"")</f>
        <v/>
      </c>
      <c r="S56" s="266" t="str">
        <f>IFERROR(__xludf.DUMMYFUNCTION("IF(ISBLANK(A56),"""",IFERROR(IF(OR(Q56=""GPB"",Q56=""ZAR""),IF(Q56=Dashboard!$L$1,M56,(M56*GOOGLEFINANCE(""CURRENCY:""&amp;Q56&amp;""""&amp;Dashboard!$L$1&amp;""""))/100),IF(Q56=Dashboard!$L$1,M56,M56*GOOGLEFINANCE(""CURRENCY:""&amp;Q56&amp;""""&amp;Dashboard!$L$1&amp;""""))),M56))"),"")</f>
        <v/>
      </c>
      <c r="T56" s="264" t="str">
        <f t="shared" si="4"/>
        <v/>
      </c>
      <c r="U56" s="264" t="str">
        <f t="shared" si="5"/>
        <v/>
      </c>
      <c r="V56" s="264" t="str">
        <f t="shared" si="6"/>
        <v/>
      </c>
      <c r="W56" s="267" t="str">
        <f t="shared" si="8"/>
        <v/>
      </c>
      <c r="X56" s="264" t="str">
        <f t="shared" si="7"/>
        <v/>
      </c>
    </row>
    <row r="57" ht="15.75" customHeight="1">
      <c r="A57" s="258"/>
      <c r="B57" s="258"/>
      <c r="C57" s="269"/>
      <c r="D57" s="258"/>
      <c r="E57" s="258"/>
      <c r="F57" s="258"/>
      <c r="G57" s="258"/>
      <c r="H57" s="271"/>
      <c r="I57" s="258"/>
      <c r="J57" s="272"/>
      <c r="K57" s="260"/>
      <c r="L57" s="261"/>
      <c r="M57" s="262" t="str">
        <f t="shared" si="1"/>
        <v/>
      </c>
      <c r="N57" s="263" t="str">
        <f t="shared" si="2"/>
        <v/>
      </c>
      <c r="O57" s="264" t="str">
        <f t="shared" si="3"/>
        <v/>
      </c>
      <c r="P57" s="265" t="str">
        <f>IFERROR(__xludf.DUMMYFUNCTION("IF(ISBLANK(A57),"""",IFERROR(IF(H57=""Sell"",VLOOKUP(9^99,FILTER({ROW(P$2:P56),P$2:P56},D$2:D56=D57),2),(VLOOKUP(9^99,FILTER({ROW(P$2:P56),P$2:P56},D$2:D56=D57),2)*VLOOKUP(9^99,FILTER({ROW(O$2:O56),O$2:O56},D$2:D56=D57),2)-N57)/O57),J57))"),"")</f>
        <v/>
      </c>
      <c r="Q57" s="264" t="str">
        <f>IFERROR(__xludf.DUMMYFUNCTION("IFERROR(IF(F57=""Crypto"",B57,(IF(ISBLANK(D57),"""",IF(D57=""Cash"",B57,IF(GOOGLEFINANCE(D57,""CURRENCY"")=""GBX"",""GBP"",GOOGLEFINANCE(D57,""CURRENCY"")))))),B57)"),"")</f>
        <v/>
      </c>
      <c r="R57" s="263" t="str">
        <f>IFERROR(__xludf.DUMMYFUNCTION("IF(ISBLANK(A57),"""",IFERROR(IF(OR(Q57=""GPB"",Q57=""ZAR""),IF(Q57=Dashboard!$L$1,K57,(K57*GOOGLEFINANCE(""CURRENCY:""&amp;Q57&amp;""""&amp;Dashboard!$L$1&amp;""""))/100),IF(Q57=Dashboard!$L$1,K57,K57*GOOGLEFINANCE(""CURRENCY:""&amp;Q57&amp;""""&amp;Dashboard!$L$1&amp;""""))),K57))"),"")</f>
        <v/>
      </c>
      <c r="S57" s="266" t="str">
        <f>IFERROR(__xludf.DUMMYFUNCTION("IF(ISBLANK(A57),"""",IFERROR(IF(OR(Q57=""GPB"",Q57=""ZAR""),IF(Q57=Dashboard!$L$1,M57,(M57*GOOGLEFINANCE(""CURRENCY:""&amp;Q57&amp;""""&amp;Dashboard!$L$1&amp;""""))/100),IF(Q57=Dashboard!$L$1,M57,M57*GOOGLEFINANCE(""CURRENCY:""&amp;Q57&amp;""""&amp;Dashboard!$L$1&amp;""""))),M57))"),"")</f>
        <v/>
      </c>
      <c r="T57" s="264" t="str">
        <f t="shared" si="4"/>
        <v/>
      </c>
      <c r="U57" s="264" t="str">
        <f t="shared" si="5"/>
        <v/>
      </c>
      <c r="V57" s="264" t="str">
        <f t="shared" si="6"/>
        <v/>
      </c>
      <c r="W57" s="267" t="str">
        <f t="shared" si="8"/>
        <v/>
      </c>
      <c r="X57" s="264" t="str">
        <f t="shared" si="7"/>
        <v/>
      </c>
    </row>
    <row r="58" ht="15.75" customHeight="1">
      <c r="A58" s="258"/>
      <c r="B58" s="258"/>
      <c r="C58" s="269"/>
      <c r="D58" s="258"/>
      <c r="E58" s="258"/>
      <c r="F58" s="258"/>
      <c r="G58" s="258"/>
      <c r="H58" s="271"/>
      <c r="I58" s="258"/>
      <c r="J58" s="272"/>
      <c r="K58" s="260"/>
      <c r="L58" s="261"/>
      <c r="M58" s="262" t="str">
        <f t="shared" si="1"/>
        <v/>
      </c>
      <c r="N58" s="263" t="str">
        <f t="shared" si="2"/>
        <v/>
      </c>
      <c r="O58" s="264" t="str">
        <f t="shared" si="3"/>
        <v/>
      </c>
      <c r="P58" s="265" t="str">
        <f>IFERROR(__xludf.DUMMYFUNCTION("IF(ISBLANK(A58),"""",IFERROR(IF(H58=""Sell"",VLOOKUP(9^99,FILTER({ROW(P$2:P57),P$2:P57},D$2:D57=D58),2),(VLOOKUP(9^99,FILTER({ROW(P$2:P57),P$2:P57},D$2:D57=D58),2)*VLOOKUP(9^99,FILTER({ROW(O$2:O57),O$2:O57},D$2:D57=D58),2)-N58)/O58),J58))"),"")</f>
        <v/>
      </c>
      <c r="Q58" s="264" t="str">
        <f>IFERROR(__xludf.DUMMYFUNCTION("IFERROR(IF(F58=""Crypto"",B58,(IF(ISBLANK(D58),"""",IF(D58=""Cash"",B58,IF(GOOGLEFINANCE(D58,""CURRENCY"")=""GBX"",""GBP"",GOOGLEFINANCE(D58,""CURRENCY"")))))),B58)"),"")</f>
        <v/>
      </c>
      <c r="R58" s="263" t="str">
        <f>IFERROR(__xludf.DUMMYFUNCTION("IF(ISBLANK(A58),"""",IFERROR(IF(OR(Q58=""GPB"",Q58=""ZAR""),IF(Q58=Dashboard!$L$1,K58,(K58*GOOGLEFINANCE(""CURRENCY:""&amp;Q58&amp;""""&amp;Dashboard!$L$1&amp;""""))/100),IF(Q58=Dashboard!$L$1,K58,K58*GOOGLEFINANCE(""CURRENCY:""&amp;Q58&amp;""""&amp;Dashboard!$L$1&amp;""""))),K58))"),"")</f>
        <v/>
      </c>
      <c r="S58" s="266" t="str">
        <f>IFERROR(__xludf.DUMMYFUNCTION("IF(ISBLANK(A58),"""",IFERROR(IF(OR(Q58=""GPB"",Q58=""ZAR""),IF(Q58=Dashboard!$L$1,M58,(M58*GOOGLEFINANCE(""CURRENCY:""&amp;Q58&amp;""""&amp;Dashboard!$L$1&amp;""""))/100),IF(Q58=Dashboard!$L$1,M58,M58*GOOGLEFINANCE(""CURRENCY:""&amp;Q58&amp;""""&amp;Dashboard!$L$1&amp;""""))),M58))"),"")</f>
        <v/>
      </c>
      <c r="T58" s="264" t="str">
        <f t="shared" si="4"/>
        <v/>
      </c>
      <c r="U58" s="264" t="str">
        <f t="shared" si="5"/>
        <v/>
      </c>
      <c r="V58" s="264" t="str">
        <f t="shared" si="6"/>
        <v/>
      </c>
      <c r="W58" s="267" t="str">
        <f t="shared" si="8"/>
        <v/>
      </c>
      <c r="X58" s="264" t="str">
        <f t="shared" si="7"/>
        <v/>
      </c>
    </row>
    <row r="59" ht="15.75" customHeight="1">
      <c r="A59" s="258"/>
      <c r="B59" s="258"/>
      <c r="C59" s="269"/>
      <c r="D59" s="258"/>
      <c r="E59" s="258"/>
      <c r="F59" s="258"/>
      <c r="G59" s="258"/>
      <c r="H59" s="271"/>
      <c r="I59" s="258"/>
      <c r="J59" s="272"/>
      <c r="K59" s="260"/>
      <c r="L59" s="261"/>
      <c r="M59" s="262" t="str">
        <f t="shared" si="1"/>
        <v/>
      </c>
      <c r="N59" s="263" t="str">
        <f t="shared" si="2"/>
        <v/>
      </c>
      <c r="O59" s="264" t="str">
        <f t="shared" si="3"/>
        <v/>
      </c>
      <c r="P59" s="265" t="str">
        <f>IFERROR(__xludf.DUMMYFUNCTION("IF(ISBLANK(A59),"""",IFERROR(IF(H59=""Sell"",VLOOKUP(9^99,FILTER({ROW(P$2:P58),P$2:P58},D$2:D58=D59),2),(VLOOKUP(9^99,FILTER({ROW(P$2:P58),P$2:P58},D$2:D58=D59),2)*VLOOKUP(9^99,FILTER({ROW(O$2:O58),O$2:O58},D$2:D58=D59),2)-N59)/O59),J59))"),"")</f>
        <v/>
      </c>
      <c r="Q59" s="264" t="str">
        <f>IFERROR(__xludf.DUMMYFUNCTION("IFERROR(IF(F59=""Crypto"",B59,(IF(ISBLANK(D59),"""",IF(D59=""Cash"",B59,IF(GOOGLEFINANCE(D59,""CURRENCY"")=""GBX"",""GBP"",GOOGLEFINANCE(D59,""CURRENCY"")))))),B59)"),"")</f>
        <v/>
      </c>
      <c r="R59" s="263" t="str">
        <f>IFERROR(__xludf.DUMMYFUNCTION("IF(ISBLANK(A59),"""",IFERROR(IF(OR(Q59=""GPB"",Q59=""ZAR""),IF(Q59=Dashboard!$L$1,K59,(K59*GOOGLEFINANCE(""CURRENCY:""&amp;Q59&amp;""""&amp;Dashboard!$L$1&amp;""""))/100),IF(Q59=Dashboard!$L$1,K59,K59*GOOGLEFINANCE(""CURRENCY:""&amp;Q59&amp;""""&amp;Dashboard!$L$1&amp;""""))),K59))"),"")</f>
        <v/>
      </c>
      <c r="S59" s="266" t="str">
        <f>IFERROR(__xludf.DUMMYFUNCTION("IF(ISBLANK(A59),"""",IFERROR(IF(OR(Q59=""GPB"",Q59=""ZAR""),IF(Q59=Dashboard!$L$1,M59,(M59*GOOGLEFINANCE(""CURRENCY:""&amp;Q59&amp;""""&amp;Dashboard!$L$1&amp;""""))/100),IF(Q59=Dashboard!$L$1,M59,M59*GOOGLEFINANCE(""CURRENCY:""&amp;Q59&amp;""""&amp;Dashboard!$L$1&amp;""""))),M59))"),"")</f>
        <v/>
      </c>
      <c r="T59" s="264" t="str">
        <f t="shared" si="4"/>
        <v/>
      </c>
      <c r="U59" s="264" t="str">
        <f t="shared" si="5"/>
        <v/>
      </c>
      <c r="V59" s="264" t="str">
        <f t="shared" si="6"/>
        <v/>
      </c>
      <c r="W59" s="267" t="str">
        <f t="shared" si="8"/>
        <v/>
      </c>
      <c r="X59" s="264" t="str">
        <f t="shared" si="7"/>
        <v/>
      </c>
    </row>
    <row r="60" ht="15.75" customHeight="1">
      <c r="A60" s="258"/>
      <c r="B60" s="258"/>
      <c r="C60" s="269"/>
      <c r="D60" s="258"/>
      <c r="E60" s="258"/>
      <c r="F60" s="258"/>
      <c r="G60" s="258"/>
      <c r="H60" s="271"/>
      <c r="I60" s="258"/>
      <c r="J60" s="272"/>
      <c r="K60" s="260"/>
      <c r="L60" s="261"/>
      <c r="M60" s="262" t="str">
        <f t="shared" si="1"/>
        <v/>
      </c>
      <c r="N60" s="263" t="str">
        <f t="shared" si="2"/>
        <v/>
      </c>
      <c r="O60" s="264" t="str">
        <f t="shared" si="3"/>
        <v/>
      </c>
      <c r="P60" s="265" t="str">
        <f>IFERROR(__xludf.DUMMYFUNCTION("IF(ISBLANK(A60),"""",IFERROR(IF(H60=""Sell"",VLOOKUP(9^99,FILTER({ROW(P$2:P59),P$2:P59},D$2:D59=D60),2),(VLOOKUP(9^99,FILTER({ROW(P$2:P59),P$2:P59},D$2:D59=D60),2)*VLOOKUP(9^99,FILTER({ROW(O$2:O59),O$2:O59},D$2:D59=D60),2)-N60)/O60),J60))"),"")</f>
        <v/>
      </c>
      <c r="Q60" s="264" t="str">
        <f>IFERROR(__xludf.DUMMYFUNCTION("IFERROR(IF(F60=""Crypto"",B60,(IF(ISBLANK(D60),"""",IF(D60=""Cash"",B60,IF(GOOGLEFINANCE(D60,""CURRENCY"")=""GBX"",""GBP"",GOOGLEFINANCE(D60,""CURRENCY"")))))),B60)"),"")</f>
        <v/>
      </c>
      <c r="R60" s="263" t="str">
        <f>IFERROR(__xludf.DUMMYFUNCTION("IF(ISBLANK(A60),"""",IFERROR(IF(OR(Q60=""GPB"",Q60=""ZAR""),IF(Q60=Dashboard!$L$1,K60,(K60*GOOGLEFINANCE(""CURRENCY:""&amp;Q60&amp;""""&amp;Dashboard!$L$1&amp;""""))/100),IF(Q60=Dashboard!$L$1,K60,K60*GOOGLEFINANCE(""CURRENCY:""&amp;Q60&amp;""""&amp;Dashboard!$L$1&amp;""""))),K60))"),"")</f>
        <v/>
      </c>
      <c r="S60" s="266" t="str">
        <f>IFERROR(__xludf.DUMMYFUNCTION("IF(ISBLANK(A60),"""",IFERROR(IF(OR(Q60=""GPB"",Q60=""ZAR""),IF(Q60=Dashboard!$L$1,M60,(M60*GOOGLEFINANCE(""CURRENCY:""&amp;Q60&amp;""""&amp;Dashboard!$L$1&amp;""""))/100),IF(Q60=Dashboard!$L$1,M60,M60*GOOGLEFINANCE(""CURRENCY:""&amp;Q60&amp;""""&amp;Dashboard!$L$1&amp;""""))),M60))"),"")</f>
        <v/>
      </c>
      <c r="T60" s="264" t="str">
        <f t="shared" si="4"/>
        <v/>
      </c>
      <c r="U60" s="264" t="str">
        <f t="shared" si="5"/>
        <v/>
      </c>
      <c r="V60" s="264" t="str">
        <f t="shared" si="6"/>
        <v/>
      </c>
      <c r="W60" s="267" t="str">
        <f t="shared" si="8"/>
        <v/>
      </c>
      <c r="X60" s="264" t="str">
        <f t="shared" si="7"/>
        <v/>
      </c>
    </row>
    <row r="61" ht="15.75" customHeight="1">
      <c r="A61" s="258"/>
      <c r="B61" s="258"/>
      <c r="C61" s="269"/>
      <c r="D61" s="258"/>
      <c r="E61" s="258"/>
      <c r="F61" s="258"/>
      <c r="G61" s="258"/>
      <c r="H61" s="271"/>
      <c r="I61" s="258"/>
      <c r="J61" s="272"/>
      <c r="K61" s="260"/>
      <c r="L61" s="261"/>
      <c r="M61" s="262" t="str">
        <f t="shared" si="1"/>
        <v/>
      </c>
      <c r="N61" s="263" t="str">
        <f t="shared" si="2"/>
        <v/>
      </c>
      <c r="O61" s="264" t="str">
        <f t="shared" si="3"/>
        <v/>
      </c>
      <c r="P61" s="265" t="str">
        <f>IFERROR(__xludf.DUMMYFUNCTION("IF(ISBLANK(A61),"""",IFERROR(IF(H61=""Sell"",VLOOKUP(9^99,FILTER({ROW(P$2:P60),P$2:P60},D$2:D60=D61),2),(VLOOKUP(9^99,FILTER({ROW(P$2:P60),P$2:P60},D$2:D60=D61),2)*VLOOKUP(9^99,FILTER({ROW(O$2:O60),O$2:O60},D$2:D60=D61),2)-N61)/O61),J61))"),"")</f>
        <v/>
      </c>
      <c r="Q61" s="264" t="str">
        <f>IFERROR(__xludf.DUMMYFUNCTION("IFERROR(IF(F61=""Crypto"",B61,(IF(ISBLANK(D61),"""",IF(D61=""Cash"",B61,IF(GOOGLEFINANCE(D61,""CURRENCY"")=""GBX"",""GBP"",GOOGLEFINANCE(D61,""CURRENCY"")))))),B61)"),"")</f>
        <v/>
      </c>
      <c r="R61" s="263" t="str">
        <f>IFERROR(__xludf.DUMMYFUNCTION("IF(ISBLANK(A61),"""",IFERROR(IF(OR(Q61=""GPB"",Q61=""ZAR""),IF(Q61=Dashboard!$L$1,K61,(K61*GOOGLEFINANCE(""CURRENCY:""&amp;Q61&amp;""""&amp;Dashboard!$L$1&amp;""""))/100),IF(Q61=Dashboard!$L$1,K61,K61*GOOGLEFINANCE(""CURRENCY:""&amp;Q61&amp;""""&amp;Dashboard!$L$1&amp;""""))),K61))"),"")</f>
        <v/>
      </c>
      <c r="S61" s="266" t="str">
        <f>IFERROR(__xludf.DUMMYFUNCTION("IF(ISBLANK(A61),"""",IFERROR(IF(OR(Q61=""GPB"",Q61=""ZAR""),IF(Q61=Dashboard!$L$1,M61,(M61*GOOGLEFINANCE(""CURRENCY:""&amp;Q61&amp;""""&amp;Dashboard!$L$1&amp;""""))/100),IF(Q61=Dashboard!$L$1,M61,M61*GOOGLEFINANCE(""CURRENCY:""&amp;Q61&amp;""""&amp;Dashboard!$L$1&amp;""""))),M61))"),"")</f>
        <v/>
      </c>
      <c r="T61" s="264" t="str">
        <f t="shared" si="4"/>
        <v/>
      </c>
      <c r="U61" s="264" t="str">
        <f t="shared" si="5"/>
        <v/>
      </c>
      <c r="V61" s="264" t="str">
        <f t="shared" si="6"/>
        <v/>
      </c>
      <c r="W61" s="267" t="str">
        <f t="shared" si="8"/>
        <v/>
      </c>
      <c r="X61" s="264" t="str">
        <f t="shared" si="7"/>
        <v/>
      </c>
    </row>
    <row r="62" ht="15.75" customHeight="1">
      <c r="A62" s="258"/>
      <c r="B62" s="258"/>
      <c r="C62" s="269"/>
      <c r="D62" s="258"/>
      <c r="E62" s="258"/>
      <c r="F62" s="258"/>
      <c r="G62" s="258"/>
      <c r="H62" s="271"/>
      <c r="I62" s="258"/>
      <c r="J62" s="272"/>
      <c r="K62" s="260"/>
      <c r="L62" s="261"/>
      <c r="M62" s="262" t="str">
        <f t="shared" si="1"/>
        <v/>
      </c>
      <c r="N62" s="263" t="str">
        <f t="shared" si="2"/>
        <v/>
      </c>
      <c r="O62" s="264" t="str">
        <f t="shared" si="3"/>
        <v/>
      </c>
      <c r="P62" s="265" t="str">
        <f>IFERROR(__xludf.DUMMYFUNCTION("IF(ISBLANK(A62),"""",IFERROR(IF(H62=""Sell"",VLOOKUP(9^99,FILTER({ROW(P$2:P61),P$2:P61},D$2:D61=D62),2),(VLOOKUP(9^99,FILTER({ROW(P$2:P61),P$2:P61},D$2:D61=D62),2)*VLOOKUP(9^99,FILTER({ROW(O$2:O61),O$2:O61},D$2:D61=D62),2)-N62)/O62),J62))"),"")</f>
        <v/>
      </c>
      <c r="Q62" s="264" t="str">
        <f>IFERROR(__xludf.DUMMYFUNCTION("IFERROR(IF(F62=""Crypto"",B62,(IF(ISBLANK(D62),"""",IF(D62=""Cash"",B62,IF(GOOGLEFINANCE(D62,""CURRENCY"")=""GBX"",""GBP"",GOOGLEFINANCE(D62,""CURRENCY"")))))),B62)"),"")</f>
        <v/>
      </c>
      <c r="R62" s="263" t="str">
        <f>IFERROR(__xludf.DUMMYFUNCTION("IF(ISBLANK(A62),"""",IFERROR(IF(OR(Q62=""GPB"",Q62=""ZAR""),IF(Q62=Dashboard!$L$1,K62,(K62*GOOGLEFINANCE(""CURRENCY:""&amp;Q62&amp;""""&amp;Dashboard!$L$1&amp;""""))/100),IF(Q62=Dashboard!$L$1,K62,K62*GOOGLEFINANCE(""CURRENCY:""&amp;Q62&amp;""""&amp;Dashboard!$L$1&amp;""""))),K62))"),"")</f>
        <v/>
      </c>
      <c r="S62" s="266" t="str">
        <f>IFERROR(__xludf.DUMMYFUNCTION("IF(ISBLANK(A62),"""",IFERROR(IF(OR(Q62=""GPB"",Q62=""ZAR""),IF(Q62=Dashboard!$L$1,M62,(M62*GOOGLEFINANCE(""CURRENCY:""&amp;Q62&amp;""""&amp;Dashboard!$L$1&amp;""""))/100),IF(Q62=Dashboard!$L$1,M62,M62*GOOGLEFINANCE(""CURRENCY:""&amp;Q62&amp;""""&amp;Dashboard!$L$1&amp;""""))),M62))"),"")</f>
        <v/>
      </c>
      <c r="T62" s="264" t="str">
        <f t="shared" si="4"/>
        <v/>
      </c>
      <c r="U62" s="264" t="str">
        <f t="shared" si="5"/>
        <v/>
      </c>
      <c r="V62" s="264" t="str">
        <f t="shared" si="6"/>
        <v/>
      </c>
      <c r="W62" s="267" t="str">
        <f t="shared" si="8"/>
        <v/>
      </c>
      <c r="X62" s="264" t="str">
        <f t="shared" si="7"/>
        <v/>
      </c>
    </row>
    <row r="63" ht="15.75" customHeight="1">
      <c r="A63" s="258"/>
      <c r="B63" s="258"/>
      <c r="C63" s="269"/>
      <c r="D63" s="258"/>
      <c r="E63" s="258"/>
      <c r="F63" s="258"/>
      <c r="G63" s="258"/>
      <c r="H63" s="271"/>
      <c r="I63" s="258"/>
      <c r="J63" s="272"/>
      <c r="K63" s="260"/>
      <c r="L63" s="261"/>
      <c r="M63" s="262" t="str">
        <f t="shared" si="1"/>
        <v/>
      </c>
      <c r="N63" s="263" t="str">
        <f t="shared" si="2"/>
        <v/>
      </c>
      <c r="O63" s="264" t="str">
        <f t="shared" si="3"/>
        <v/>
      </c>
      <c r="P63" s="265" t="str">
        <f>IFERROR(__xludf.DUMMYFUNCTION("IF(ISBLANK(A63),"""",IFERROR(IF(H63=""Sell"",VLOOKUP(9^99,FILTER({ROW(P$2:P62),P$2:P62},D$2:D62=D63),2),(VLOOKUP(9^99,FILTER({ROW(P$2:P62),P$2:P62},D$2:D62=D63),2)*VLOOKUP(9^99,FILTER({ROW(O$2:O62),O$2:O62},D$2:D62=D63),2)-N63)/O63),J63))"),"")</f>
        <v/>
      </c>
      <c r="Q63" s="264" t="str">
        <f>IFERROR(__xludf.DUMMYFUNCTION("IFERROR(IF(F63=""Crypto"",B63,(IF(ISBLANK(D63),"""",IF(D63=""Cash"",B63,IF(GOOGLEFINANCE(D63,""CURRENCY"")=""GBX"",""GBP"",GOOGLEFINANCE(D63,""CURRENCY"")))))),B63)"),"")</f>
        <v/>
      </c>
      <c r="R63" s="263" t="str">
        <f>IFERROR(__xludf.DUMMYFUNCTION("IF(ISBLANK(A63),"""",IFERROR(IF(OR(Q63=""GPB"",Q63=""ZAR""),IF(Q63=Dashboard!$L$1,K63,(K63*GOOGLEFINANCE(""CURRENCY:""&amp;Q63&amp;""""&amp;Dashboard!$L$1&amp;""""))/100),IF(Q63=Dashboard!$L$1,K63,K63*GOOGLEFINANCE(""CURRENCY:""&amp;Q63&amp;""""&amp;Dashboard!$L$1&amp;""""))),K63))"),"")</f>
        <v/>
      </c>
      <c r="S63" s="266" t="str">
        <f>IFERROR(__xludf.DUMMYFUNCTION("IF(ISBLANK(A63),"""",IFERROR(IF(OR(Q63=""GPB"",Q63=""ZAR""),IF(Q63=Dashboard!$L$1,M63,(M63*GOOGLEFINANCE(""CURRENCY:""&amp;Q63&amp;""""&amp;Dashboard!$L$1&amp;""""))/100),IF(Q63=Dashboard!$L$1,M63,M63*GOOGLEFINANCE(""CURRENCY:""&amp;Q63&amp;""""&amp;Dashboard!$L$1&amp;""""))),M63))"),"")</f>
        <v/>
      </c>
      <c r="T63" s="264" t="str">
        <f t="shared" si="4"/>
        <v/>
      </c>
      <c r="U63" s="264" t="str">
        <f t="shared" si="5"/>
        <v/>
      </c>
      <c r="V63" s="264" t="str">
        <f t="shared" si="6"/>
        <v/>
      </c>
      <c r="W63" s="267" t="str">
        <f t="shared" si="8"/>
        <v/>
      </c>
      <c r="X63" s="264" t="str">
        <f t="shared" si="7"/>
        <v/>
      </c>
    </row>
    <row r="64" ht="15.75" customHeight="1">
      <c r="A64" s="258"/>
      <c r="B64" s="258"/>
      <c r="C64" s="269"/>
      <c r="D64" s="258"/>
      <c r="E64" s="258"/>
      <c r="F64" s="258"/>
      <c r="G64" s="258"/>
      <c r="H64" s="271"/>
      <c r="I64" s="258"/>
      <c r="J64" s="272"/>
      <c r="K64" s="260"/>
      <c r="L64" s="261"/>
      <c r="M64" s="262" t="str">
        <f t="shared" si="1"/>
        <v/>
      </c>
      <c r="N64" s="263" t="str">
        <f t="shared" si="2"/>
        <v/>
      </c>
      <c r="O64" s="264" t="str">
        <f t="shared" si="3"/>
        <v/>
      </c>
      <c r="P64" s="265" t="str">
        <f>IFERROR(__xludf.DUMMYFUNCTION("IF(ISBLANK(A64),"""",IFERROR(IF(H64=""Sell"",VLOOKUP(9^99,FILTER({ROW(P$2:P63),P$2:P63},D$2:D63=D64),2),(VLOOKUP(9^99,FILTER({ROW(P$2:P63),P$2:P63},D$2:D63=D64),2)*VLOOKUP(9^99,FILTER({ROW(O$2:O63),O$2:O63},D$2:D63=D64),2)-N64)/O64),J64))"),"")</f>
        <v/>
      </c>
      <c r="Q64" s="264" t="str">
        <f>IFERROR(__xludf.DUMMYFUNCTION("IFERROR(IF(F64=""Crypto"",B64,(IF(ISBLANK(D64),"""",IF(D64=""Cash"",B64,IF(GOOGLEFINANCE(D64,""CURRENCY"")=""GBX"",""GBP"",GOOGLEFINANCE(D64,""CURRENCY"")))))),B64)"),"")</f>
        <v/>
      </c>
      <c r="R64" s="263" t="str">
        <f>IFERROR(__xludf.DUMMYFUNCTION("IF(ISBLANK(A64),"""",IFERROR(IF(OR(Q64=""GPB"",Q64=""ZAR""),IF(Q64=Dashboard!$L$1,K64,(K64*GOOGLEFINANCE(""CURRENCY:""&amp;Q64&amp;""""&amp;Dashboard!$L$1&amp;""""))/100),IF(Q64=Dashboard!$L$1,K64,K64*GOOGLEFINANCE(""CURRENCY:""&amp;Q64&amp;""""&amp;Dashboard!$L$1&amp;""""))),K64))"),"")</f>
        <v/>
      </c>
      <c r="S64" s="266" t="str">
        <f>IFERROR(__xludf.DUMMYFUNCTION("IF(ISBLANK(A64),"""",IFERROR(IF(OR(Q64=""GPB"",Q64=""ZAR""),IF(Q64=Dashboard!$L$1,M64,(M64*GOOGLEFINANCE(""CURRENCY:""&amp;Q64&amp;""""&amp;Dashboard!$L$1&amp;""""))/100),IF(Q64=Dashboard!$L$1,M64,M64*GOOGLEFINANCE(""CURRENCY:""&amp;Q64&amp;""""&amp;Dashboard!$L$1&amp;""""))),M64))"),"")</f>
        <v/>
      </c>
      <c r="T64" s="264" t="str">
        <f t="shared" si="4"/>
        <v/>
      </c>
      <c r="U64" s="264" t="str">
        <f t="shared" si="5"/>
        <v/>
      </c>
      <c r="V64" s="264" t="str">
        <f t="shared" si="6"/>
        <v/>
      </c>
      <c r="W64" s="267" t="str">
        <f t="shared" si="8"/>
        <v/>
      </c>
      <c r="X64" s="264" t="str">
        <f t="shared" si="7"/>
        <v/>
      </c>
    </row>
    <row r="65" ht="15.75" customHeight="1">
      <c r="A65" s="258"/>
      <c r="B65" s="258"/>
      <c r="C65" s="269"/>
      <c r="D65" s="258"/>
      <c r="E65" s="258"/>
      <c r="F65" s="258"/>
      <c r="G65" s="258"/>
      <c r="H65" s="271"/>
      <c r="I65" s="258"/>
      <c r="J65" s="272"/>
      <c r="K65" s="260"/>
      <c r="L65" s="261"/>
      <c r="M65" s="262" t="str">
        <f t="shared" si="1"/>
        <v/>
      </c>
      <c r="N65" s="263" t="str">
        <f t="shared" si="2"/>
        <v/>
      </c>
      <c r="O65" s="264" t="str">
        <f t="shared" si="3"/>
        <v/>
      </c>
      <c r="P65" s="265" t="str">
        <f>IFERROR(__xludf.DUMMYFUNCTION("IF(ISBLANK(A65),"""",IFERROR(IF(H65=""Sell"",VLOOKUP(9^99,FILTER({ROW(P$2:P64),P$2:P64},D$2:D64=D65),2),(VLOOKUP(9^99,FILTER({ROW(P$2:P64),P$2:P64},D$2:D64=D65),2)*VLOOKUP(9^99,FILTER({ROW(O$2:O64),O$2:O64},D$2:D64=D65),2)-N65)/O65),J65))"),"")</f>
        <v/>
      </c>
      <c r="Q65" s="264" t="str">
        <f>IFERROR(__xludf.DUMMYFUNCTION("IFERROR(IF(F65=""Crypto"",B65,(IF(ISBLANK(D65),"""",IF(D65=""Cash"",B65,IF(GOOGLEFINANCE(D65,""CURRENCY"")=""GBX"",""GBP"",GOOGLEFINANCE(D65,""CURRENCY"")))))),B65)"),"")</f>
        <v/>
      </c>
      <c r="R65" s="263" t="str">
        <f>IFERROR(__xludf.DUMMYFUNCTION("IF(ISBLANK(A65),"""",IFERROR(IF(OR(Q65=""GPB"",Q65=""ZAR""),IF(Q65=Dashboard!$L$1,K65,(K65*GOOGLEFINANCE(""CURRENCY:""&amp;Q65&amp;""""&amp;Dashboard!$L$1&amp;""""))/100),IF(Q65=Dashboard!$L$1,K65,K65*GOOGLEFINANCE(""CURRENCY:""&amp;Q65&amp;""""&amp;Dashboard!$L$1&amp;""""))),K65))"),"")</f>
        <v/>
      </c>
      <c r="S65" s="266" t="str">
        <f>IFERROR(__xludf.DUMMYFUNCTION("IF(ISBLANK(A65),"""",IFERROR(IF(OR(Q65=""GPB"",Q65=""ZAR""),IF(Q65=Dashboard!$L$1,M65,(M65*GOOGLEFINANCE(""CURRENCY:""&amp;Q65&amp;""""&amp;Dashboard!$L$1&amp;""""))/100),IF(Q65=Dashboard!$L$1,M65,M65*GOOGLEFINANCE(""CURRENCY:""&amp;Q65&amp;""""&amp;Dashboard!$L$1&amp;""""))),M65))"),"")</f>
        <v/>
      </c>
      <c r="T65" s="264" t="str">
        <f t="shared" si="4"/>
        <v/>
      </c>
      <c r="U65" s="264" t="str">
        <f t="shared" si="5"/>
        <v/>
      </c>
      <c r="V65" s="264" t="str">
        <f t="shared" si="6"/>
        <v/>
      </c>
      <c r="W65" s="267" t="str">
        <f t="shared" si="8"/>
        <v/>
      </c>
      <c r="X65" s="264" t="str">
        <f t="shared" si="7"/>
        <v/>
      </c>
    </row>
    <row r="66" ht="15.75" customHeight="1">
      <c r="A66" s="258"/>
      <c r="B66" s="258"/>
      <c r="C66" s="269"/>
      <c r="D66" s="258"/>
      <c r="E66" s="258"/>
      <c r="F66" s="258"/>
      <c r="G66" s="258"/>
      <c r="H66" s="271"/>
      <c r="I66" s="258"/>
      <c r="J66" s="272"/>
      <c r="K66" s="260"/>
      <c r="L66" s="261"/>
      <c r="M66" s="262" t="str">
        <f t="shared" si="1"/>
        <v/>
      </c>
      <c r="N66" s="263" t="str">
        <f t="shared" si="2"/>
        <v/>
      </c>
      <c r="O66" s="264" t="str">
        <f t="shared" si="3"/>
        <v/>
      </c>
      <c r="P66" s="265" t="str">
        <f>IFERROR(__xludf.DUMMYFUNCTION("IF(ISBLANK(A66),"""",IFERROR(IF(H66=""Sell"",VLOOKUP(9^99,FILTER({ROW(P$2:P65),P$2:P65},D$2:D65=D66),2),(VLOOKUP(9^99,FILTER({ROW(P$2:P65),P$2:P65},D$2:D65=D66),2)*VLOOKUP(9^99,FILTER({ROW(O$2:O65),O$2:O65},D$2:D65=D66),2)-N66)/O66),J66))"),"")</f>
        <v/>
      </c>
      <c r="Q66" s="264" t="str">
        <f>IFERROR(__xludf.DUMMYFUNCTION("IFERROR(IF(F66=""Crypto"",B66,(IF(ISBLANK(D66),"""",IF(D66=""Cash"",B66,IF(GOOGLEFINANCE(D66,""CURRENCY"")=""GBX"",""GBP"",GOOGLEFINANCE(D66,""CURRENCY"")))))),B66)"),"")</f>
        <v/>
      </c>
      <c r="R66" s="263" t="str">
        <f>IFERROR(__xludf.DUMMYFUNCTION("IF(ISBLANK(A66),"""",IFERROR(IF(OR(Q66=""GPB"",Q66=""ZAR""),IF(Q66=Dashboard!$L$1,K66,(K66*GOOGLEFINANCE(""CURRENCY:""&amp;Q66&amp;""""&amp;Dashboard!$L$1&amp;""""))/100),IF(Q66=Dashboard!$L$1,K66,K66*GOOGLEFINANCE(""CURRENCY:""&amp;Q66&amp;""""&amp;Dashboard!$L$1&amp;""""))),K66))"),"")</f>
        <v/>
      </c>
      <c r="S66" s="266" t="str">
        <f>IFERROR(__xludf.DUMMYFUNCTION("IF(ISBLANK(A66),"""",IFERROR(IF(OR(Q66=""GPB"",Q66=""ZAR""),IF(Q66=Dashboard!$L$1,M66,(M66*GOOGLEFINANCE(""CURRENCY:""&amp;Q66&amp;""""&amp;Dashboard!$L$1&amp;""""))/100),IF(Q66=Dashboard!$L$1,M66,M66*GOOGLEFINANCE(""CURRENCY:""&amp;Q66&amp;""""&amp;Dashboard!$L$1&amp;""""))),M66))"),"")</f>
        <v/>
      </c>
      <c r="T66" s="264" t="str">
        <f t="shared" si="4"/>
        <v/>
      </c>
      <c r="U66" s="264" t="str">
        <f t="shared" si="5"/>
        <v/>
      </c>
      <c r="V66" s="264" t="str">
        <f t="shared" si="6"/>
        <v/>
      </c>
      <c r="W66" s="267" t="str">
        <f t="shared" si="8"/>
        <v/>
      </c>
      <c r="X66" s="264" t="str">
        <f t="shared" si="7"/>
        <v/>
      </c>
    </row>
    <row r="67" ht="15.75" customHeight="1">
      <c r="A67" s="258"/>
      <c r="B67" s="258"/>
      <c r="C67" s="269"/>
      <c r="D67" s="258"/>
      <c r="E67" s="258"/>
      <c r="F67" s="258"/>
      <c r="G67" s="258"/>
      <c r="H67" s="271"/>
      <c r="I67" s="258"/>
      <c r="J67" s="272"/>
      <c r="K67" s="260"/>
      <c r="L67" s="261"/>
      <c r="M67" s="262" t="str">
        <f t="shared" si="1"/>
        <v/>
      </c>
      <c r="N67" s="263" t="str">
        <f t="shared" si="2"/>
        <v/>
      </c>
      <c r="O67" s="264" t="str">
        <f t="shared" si="3"/>
        <v/>
      </c>
      <c r="P67" s="265" t="str">
        <f>IFERROR(__xludf.DUMMYFUNCTION("IF(ISBLANK(A67),"""",IFERROR(IF(H67=""Sell"",VLOOKUP(9^99,FILTER({ROW(P$2:P66),P$2:P66},D$2:D66=D67),2),(VLOOKUP(9^99,FILTER({ROW(P$2:P66),P$2:P66},D$2:D66=D67),2)*VLOOKUP(9^99,FILTER({ROW(O$2:O66),O$2:O66},D$2:D66=D67),2)-N67)/O67),J67))"),"")</f>
        <v/>
      </c>
      <c r="Q67" s="264" t="str">
        <f>IFERROR(__xludf.DUMMYFUNCTION("IFERROR(IF(F67=""Crypto"",B67,(IF(ISBLANK(D67),"""",IF(D67=""Cash"",B67,IF(GOOGLEFINANCE(D67,""CURRENCY"")=""GBX"",""GBP"",GOOGLEFINANCE(D67,""CURRENCY"")))))),B67)"),"")</f>
        <v/>
      </c>
      <c r="R67" s="263" t="str">
        <f>IFERROR(__xludf.DUMMYFUNCTION("IF(ISBLANK(A67),"""",IFERROR(IF(OR(Q67=""GPB"",Q67=""ZAR""),IF(Q67=Dashboard!$L$1,K67,(K67*GOOGLEFINANCE(""CURRENCY:""&amp;Q67&amp;""""&amp;Dashboard!$L$1&amp;""""))/100),IF(Q67=Dashboard!$L$1,K67,K67*GOOGLEFINANCE(""CURRENCY:""&amp;Q67&amp;""""&amp;Dashboard!$L$1&amp;""""))),K67))"),"")</f>
        <v/>
      </c>
      <c r="S67" s="266" t="str">
        <f>IFERROR(__xludf.DUMMYFUNCTION("IF(ISBLANK(A67),"""",IFERROR(IF(OR(Q67=""GPB"",Q67=""ZAR""),IF(Q67=Dashboard!$L$1,M67,(M67*GOOGLEFINANCE(""CURRENCY:""&amp;Q67&amp;""""&amp;Dashboard!$L$1&amp;""""))/100),IF(Q67=Dashboard!$L$1,M67,M67*GOOGLEFINANCE(""CURRENCY:""&amp;Q67&amp;""""&amp;Dashboard!$L$1&amp;""""))),M67))"),"")</f>
        <v/>
      </c>
      <c r="T67" s="264" t="str">
        <f t="shared" si="4"/>
        <v/>
      </c>
      <c r="U67" s="264" t="str">
        <f t="shared" si="5"/>
        <v/>
      </c>
      <c r="V67" s="264" t="str">
        <f t="shared" si="6"/>
        <v/>
      </c>
      <c r="W67" s="267" t="str">
        <f t="shared" si="8"/>
        <v/>
      </c>
      <c r="X67" s="264" t="str">
        <f t="shared" si="7"/>
        <v/>
      </c>
    </row>
    <row r="68" ht="15.75" customHeight="1">
      <c r="A68" s="258"/>
      <c r="B68" s="258"/>
      <c r="C68" s="269"/>
      <c r="D68" s="258"/>
      <c r="E68" s="258"/>
      <c r="F68" s="258"/>
      <c r="G68" s="258"/>
      <c r="H68" s="271"/>
      <c r="I68" s="258"/>
      <c r="J68" s="272"/>
      <c r="K68" s="260"/>
      <c r="L68" s="261"/>
      <c r="M68" s="262" t="str">
        <f t="shared" si="1"/>
        <v/>
      </c>
      <c r="N68" s="263" t="str">
        <f t="shared" si="2"/>
        <v/>
      </c>
      <c r="O68" s="264" t="str">
        <f t="shared" si="3"/>
        <v/>
      </c>
      <c r="P68" s="265" t="str">
        <f>IFERROR(__xludf.DUMMYFUNCTION("IF(ISBLANK(A68),"""",IFERROR(IF(H68=""Sell"",VLOOKUP(9^99,FILTER({ROW(P$2:P67),P$2:P67},D$2:D67=D68),2),(VLOOKUP(9^99,FILTER({ROW(P$2:P67),P$2:P67},D$2:D67=D68),2)*VLOOKUP(9^99,FILTER({ROW(O$2:O67),O$2:O67},D$2:D67=D68),2)-N68)/O68),J68))"),"")</f>
        <v/>
      </c>
      <c r="Q68" s="264" t="str">
        <f>IFERROR(__xludf.DUMMYFUNCTION("IFERROR(IF(F68=""Crypto"",B68,(IF(ISBLANK(D68),"""",IF(D68=""Cash"",B68,IF(GOOGLEFINANCE(D68,""CURRENCY"")=""GBX"",""GBP"",GOOGLEFINANCE(D68,""CURRENCY"")))))),B68)"),"")</f>
        <v/>
      </c>
      <c r="R68" s="263" t="str">
        <f>IFERROR(__xludf.DUMMYFUNCTION("IF(ISBLANK(A68),"""",IFERROR(IF(OR(Q68=""GPB"",Q68=""ZAR""),IF(Q68=Dashboard!$L$1,K68,(K68*GOOGLEFINANCE(""CURRENCY:""&amp;Q68&amp;""""&amp;Dashboard!$L$1&amp;""""))/100),IF(Q68=Dashboard!$L$1,K68,K68*GOOGLEFINANCE(""CURRENCY:""&amp;Q68&amp;""""&amp;Dashboard!$L$1&amp;""""))),K68))"),"")</f>
        <v/>
      </c>
      <c r="S68" s="266" t="str">
        <f>IFERROR(__xludf.DUMMYFUNCTION("IF(ISBLANK(A68),"""",IFERROR(IF(OR(Q68=""GPB"",Q68=""ZAR""),IF(Q68=Dashboard!$L$1,M68,(M68*GOOGLEFINANCE(""CURRENCY:""&amp;Q68&amp;""""&amp;Dashboard!$L$1&amp;""""))/100),IF(Q68=Dashboard!$L$1,M68,M68*GOOGLEFINANCE(""CURRENCY:""&amp;Q68&amp;""""&amp;Dashboard!$L$1&amp;""""))),M68))"),"")</f>
        <v/>
      </c>
      <c r="T68" s="264" t="str">
        <f t="shared" si="4"/>
        <v/>
      </c>
      <c r="U68" s="264" t="str">
        <f t="shared" si="5"/>
        <v/>
      </c>
      <c r="V68" s="264" t="str">
        <f t="shared" si="6"/>
        <v/>
      </c>
      <c r="W68" s="267" t="str">
        <f t="shared" si="8"/>
        <v/>
      </c>
      <c r="X68" s="264" t="str">
        <f t="shared" si="7"/>
        <v/>
      </c>
    </row>
    <row r="69" ht="15.75" customHeight="1">
      <c r="A69" s="258"/>
      <c r="B69" s="258"/>
      <c r="C69" s="269"/>
      <c r="D69" s="258"/>
      <c r="E69" s="258"/>
      <c r="F69" s="258"/>
      <c r="G69" s="258"/>
      <c r="H69" s="271"/>
      <c r="I69" s="258"/>
      <c r="J69" s="272"/>
      <c r="K69" s="260"/>
      <c r="L69" s="261"/>
      <c r="M69" s="262" t="str">
        <f t="shared" si="1"/>
        <v/>
      </c>
      <c r="N69" s="263" t="str">
        <f t="shared" si="2"/>
        <v/>
      </c>
      <c r="O69" s="264" t="str">
        <f t="shared" si="3"/>
        <v/>
      </c>
      <c r="P69" s="265" t="str">
        <f>IFERROR(__xludf.DUMMYFUNCTION("IF(ISBLANK(A69),"""",IFERROR(IF(H69=""Sell"",VLOOKUP(9^99,FILTER({ROW(P$2:P68),P$2:P68},D$2:D68=D69),2),(VLOOKUP(9^99,FILTER({ROW(P$2:P68),P$2:P68},D$2:D68=D69),2)*VLOOKUP(9^99,FILTER({ROW(O$2:O68),O$2:O68},D$2:D68=D69),2)-N69)/O69),J69))"),"")</f>
        <v/>
      </c>
      <c r="Q69" s="264" t="str">
        <f>IFERROR(__xludf.DUMMYFUNCTION("IFERROR(IF(F69=""Crypto"",B69,(IF(ISBLANK(D69),"""",IF(D69=""Cash"",B69,IF(GOOGLEFINANCE(D69,""CURRENCY"")=""GBX"",""GBP"",GOOGLEFINANCE(D69,""CURRENCY"")))))),B69)"),"")</f>
        <v/>
      </c>
      <c r="R69" s="263" t="str">
        <f>IFERROR(__xludf.DUMMYFUNCTION("IF(ISBLANK(A69),"""",IFERROR(IF(OR(Q69=""GPB"",Q69=""ZAR""),IF(Q69=Dashboard!$L$1,K69,(K69*GOOGLEFINANCE(""CURRENCY:""&amp;Q69&amp;""""&amp;Dashboard!$L$1&amp;""""))/100),IF(Q69=Dashboard!$L$1,K69,K69*GOOGLEFINANCE(""CURRENCY:""&amp;Q69&amp;""""&amp;Dashboard!$L$1&amp;""""))),K69))"),"")</f>
        <v/>
      </c>
      <c r="S69" s="266" t="str">
        <f>IFERROR(__xludf.DUMMYFUNCTION("IF(ISBLANK(A69),"""",IFERROR(IF(OR(Q69=""GPB"",Q69=""ZAR""),IF(Q69=Dashboard!$L$1,M69,(M69*GOOGLEFINANCE(""CURRENCY:""&amp;Q69&amp;""""&amp;Dashboard!$L$1&amp;""""))/100),IF(Q69=Dashboard!$L$1,M69,M69*GOOGLEFINANCE(""CURRENCY:""&amp;Q69&amp;""""&amp;Dashboard!$L$1&amp;""""))),M69))"),"")</f>
        <v/>
      </c>
      <c r="T69" s="264" t="str">
        <f t="shared" si="4"/>
        <v/>
      </c>
      <c r="U69" s="264" t="str">
        <f t="shared" si="5"/>
        <v/>
      </c>
      <c r="V69" s="264" t="str">
        <f t="shared" si="6"/>
        <v/>
      </c>
      <c r="W69" s="267" t="str">
        <f t="shared" si="8"/>
        <v/>
      </c>
      <c r="X69" s="264" t="str">
        <f t="shared" si="7"/>
        <v/>
      </c>
    </row>
    <row r="70" ht="15.75" customHeight="1">
      <c r="A70" s="258"/>
      <c r="B70" s="258"/>
      <c r="C70" s="269"/>
      <c r="D70" s="258"/>
      <c r="E70" s="258"/>
      <c r="F70" s="258"/>
      <c r="G70" s="258"/>
      <c r="H70" s="271"/>
      <c r="I70" s="258"/>
      <c r="J70" s="272"/>
      <c r="K70" s="260"/>
      <c r="L70" s="261"/>
      <c r="M70" s="262" t="str">
        <f t="shared" si="1"/>
        <v/>
      </c>
      <c r="N70" s="263" t="str">
        <f t="shared" si="2"/>
        <v/>
      </c>
      <c r="O70" s="264" t="str">
        <f t="shared" si="3"/>
        <v/>
      </c>
      <c r="P70" s="265" t="str">
        <f>IFERROR(__xludf.DUMMYFUNCTION("IF(ISBLANK(A70),"""",IFERROR(IF(H70=""Sell"",VLOOKUP(9^99,FILTER({ROW(P$2:P69),P$2:P69},D$2:D69=D70),2),(VLOOKUP(9^99,FILTER({ROW(P$2:P69),P$2:P69},D$2:D69=D70),2)*VLOOKUP(9^99,FILTER({ROW(O$2:O69),O$2:O69},D$2:D69=D70),2)-N70)/O70),J70))"),"")</f>
        <v/>
      </c>
      <c r="Q70" s="264" t="str">
        <f>IFERROR(__xludf.DUMMYFUNCTION("IFERROR(IF(F70=""Crypto"",B70,(IF(ISBLANK(D70),"""",IF(D70=""Cash"",B70,IF(GOOGLEFINANCE(D70,""CURRENCY"")=""GBX"",""GBP"",GOOGLEFINANCE(D70,""CURRENCY"")))))),B70)"),"")</f>
        <v/>
      </c>
      <c r="R70" s="263" t="str">
        <f>IFERROR(__xludf.DUMMYFUNCTION("IF(ISBLANK(A70),"""",IFERROR(IF(OR(Q70=""GPB"",Q70=""ZAR""),IF(Q70=Dashboard!$L$1,K70,(K70*GOOGLEFINANCE(""CURRENCY:""&amp;Q70&amp;""""&amp;Dashboard!$L$1&amp;""""))/100),IF(Q70=Dashboard!$L$1,K70,K70*GOOGLEFINANCE(""CURRENCY:""&amp;Q70&amp;""""&amp;Dashboard!$L$1&amp;""""))),K70))"),"")</f>
        <v/>
      </c>
      <c r="S70" s="266" t="str">
        <f>IFERROR(__xludf.DUMMYFUNCTION("IF(ISBLANK(A70),"""",IFERROR(IF(OR(Q70=""GPB"",Q70=""ZAR""),IF(Q70=Dashboard!$L$1,M70,(M70*GOOGLEFINANCE(""CURRENCY:""&amp;Q70&amp;""""&amp;Dashboard!$L$1&amp;""""))/100),IF(Q70=Dashboard!$L$1,M70,M70*GOOGLEFINANCE(""CURRENCY:""&amp;Q70&amp;""""&amp;Dashboard!$L$1&amp;""""))),M70))"),"")</f>
        <v/>
      </c>
      <c r="T70" s="264" t="str">
        <f t="shared" si="4"/>
        <v/>
      </c>
      <c r="U70" s="264" t="str">
        <f t="shared" si="5"/>
        <v/>
      </c>
      <c r="V70" s="264" t="str">
        <f t="shared" si="6"/>
        <v/>
      </c>
      <c r="W70" s="267" t="str">
        <f t="shared" si="8"/>
        <v/>
      </c>
      <c r="X70" s="264" t="str">
        <f t="shared" si="7"/>
        <v/>
      </c>
    </row>
    <row r="71" ht="15.75" customHeight="1">
      <c r="A71" s="258"/>
      <c r="B71" s="258"/>
      <c r="C71" s="269"/>
      <c r="D71" s="258"/>
      <c r="E71" s="258"/>
      <c r="F71" s="258"/>
      <c r="G71" s="258"/>
      <c r="H71" s="271"/>
      <c r="I71" s="258"/>
      <c r="J71" s="272"/>
      <c r="K71" s="260"/>
      <c r="L71" s="261"/>
      <c r="M71" s="262" t="str">
        <f t="shared" si="1"/>
        <v/>
      </c>
      <c r="N71" s="263" t="str">
        <f t="shared" si="2"/>
        <v/>
      </c>
      <c r="O71" s="264" t="str">
        <f t="shared" si="3"/>
        <v/>
      </c>
      <c r="P71" s="265" t="str">
        <f>IFERROR(__xludf.DUMMYFUNCTION("IF(ISBLANK(A71),"""",IFERROR(IF(H71=""Sell"",VLOOKUP(9^99,FILTER({ROW(P$2:P70),P$2:P70},D$2:D70=D71),2),(VLOOKUP(9^99,FILTER({ROW(P$2:P70),P$2:P70},D$2:D70=D71),2)*VLOOKUP(9^99,FILTER({ROW(O$2:O70),O$2:O70},D$2:D70=D71),2)-N71)/O71),J71))"),"")</f>
        <v/>
      </c>
      <c r="Q71" s="264" t="str">
        <f>IFERROR(__xludf.DUMMYFUNCTION("IFERROR(IF(F71=""Crypto"",B71,(IF(ISBLANK(D71),"""",IF(D71=""Cash"",B71,IF(GOOGLEFINANCE(D71,""CURRENCY"")=""GBX"",""GBP"",GOOGLEFINANCE(D71,""CURRENCY"")))))),B71)"),"")</f>
        <v/>
      </c>
      <c r="R71" s="263" t="str">
        <f>IFERROR(__xludf.DUMMYFUNCTION("IF(ISBLANK(A71),"""",IFERROR(IF(OR(Q71=""GPB"",Q71=""ZAR""),IF(Q71=Dashboard!$L$1,K71,(K71*GOOGLEFINANCE(""CURRENCY:""&amp;Q71&amp;""""&amp;Dashboard!$L$1&amp;""""))/100),IF(Q71=Dashboard!$L$1,K71,K71*GOOGLEFINANCE(""CURRENCY:""&amp;Q71&amp;""""&amp;Dashboard!$L$1&amp;""""))),K71))"),"")</f>
        <v/>
      </c>
      <c r="S71" s="266" t="str">
        <f>IFERROR(__xludf.DUMMYFUNCTION("IF(ISBLANK(A71),"""",IFERROR(IF(OR(Q71=""GPB"",Q71=""ZAR""),IF(Q71=Dashboard!$L$1,M71,(M71*GOOGLEFINANCE(""CURRENCY:""&amp;Q71&amp;""""&amp;Dashboard!$L$1&amp;""""))/100),IF(Q71=Dashboard!$L$1,M71,M71*GOOGLEFINANCE(""CURRENCY:""&amp;Q71&amp;""""&amp;Dashboard!$L$1&amp;""""))),M71))"),"")</f>
        <v/>
      </c>
      <c r="T71" s="264" t="str">
        <f t="shared" si="4"/>
        <v/>
      </c>
      <c r="U71" s="264" t="str">
        <f t="shared" si="5"/>
        <v/>
      </c>
      <c r="V71" s="264" t="str">
        <f t="shared" si="6"/>
        <v/>
      </c>
      <c r="W71" s="267" t="str">
        <f t="shared" si="8"/>
        <v/>
      </c>
      <c r="X71" s="264" t="str">
        <f t="shared" si="7"/>
        <v/>
      </c>
    </row>
    <row r="72" ht="15.75" customHeight="1">
      <c r="A72" s="258"/>
      <c r="B72" s="258"/>
      <c r="C72" s="269"/>
      <c r="D72" s="258"/>
      <c r="E72" s="258"/>
      <c r="F72" s="258"/>
      <c r="G72" s="258"/>
      <c r="H72" s="271"/>
      <c r="I72" s="258"/>
      <c r="J72" s="272"/>
      <c r="K72" s="260"/>
      <c r="L72" s="261"/>
      <c r="M72" s="262" t="str">
        <f t="shared" si="1"/>
        <v/>
      </c>
      <c r="N72" s="263" t="str">
        <f t="shared" si="2"/>
        <v/>
      </c>
      <c r="O72" s="264" t="str">
        <f t="shared" si="3"/>
        <v/>
      </c>
      <c r="P72" s="265" t="str">
        <f>IFERROR(__xludf.DUMMYFUNCTION("IF(ISBLANK(A72),"""",IFERROR(IF(H72=""Sell"",VLOOKUP(9^99,FILTER({ROW(P$2:P71),P$2:P71},D$2:D71=D72),2),(VLOOKUP(9^99,FILTER({ROW(P$2:P71),P$2:P71},D$2:D71=D72),2)*VLOOKUP(9^99,FILTER({ROW(O$2:O71),O$2:O71},D$2:D71=D72),2)-N72)/O72),J72))"),"")</f>
        <v/>
      </c>
      <c r="Q72" s="264" t="str">
        <f>IFERROR(__xludf.DUMMYFUNCTION("IFERROR(IF(F72=""Crypto"",B72,(IF(ISBLANK(D72),"""",IF(D72=""Cash"",B72,IF(GOOGLEFINANCE(D72,""CURRENCY"")=""GBX"",""GBP"",GOOGLEFINANCE(D72,""CURRENCY"")))))),B72)"),"")</f>
        <v/>
      </c>
      <c r="R72" s="263" t="str">
        <f>IFERROR(__xludf.DUMMYFUNCTION("IF(ISBLANK(A72),"""",IFERROR(IF(OR(Q72=""GPB"",Q72=""ZAR""),IF(Q72=Dashboard!$L$1,K72,(K72*GOOGLEFINANCE(""CURRENCY:""&amp;Q72&amp;""""&amp;Dashboard!$L$1&amp;""""))/100),IF(Q72=Dashboard!$L$1,K72,K72*GOOGLEFINANCE(""CURRENCY:""&amp;Q72&amp;""""&amp;Dashboard!$L$1&amp;""""))),K72))"),"")</f>
        <v/>
      </c>
      <c r="S72" s="266" t="str">
        <f>IFERROR(__xludf.DUMMYFUNCTION("IF(ISBLANK(A72),"""",IFERROR(IF(OR(Q72=""GPB"",Q72=""ZAR""),IF(Q72=Dashboard!$L$1,M72,(M72*GOOGLEFINANCE(""CURRENCY:""&amp;Q72&amp;""""&amp;Dashboard!$L$1&amp;""""))/100),IF(Q72=Dashboard!$L$1,M72,M72*GOOGLEFINANCE(""CURRENCY:""&amp;Q72&amp;""""&amp;Dashboard!$L$1&amp;""""))),M72))"),"")</f>
        <v/>
      </c>
      <c r="T72" s="264" t="str">
        <f t="shared" si="4"/>
        <v/>
      </c>
      <c r="U72" s="264" t="str">
        <f t="shared" si="5"/>
        <v/>
      </c>
      <c r="V72" s="264" t="str">
        <f t="shared" si="6"/>
        <v/>
      </c>
      <c r="W72" s="267" t="str">
        <f t="shared" si="8"/>
        <v/>
      </c>
      <c r="X72" s="264" t="str">
        <f t="shared" si="7"/>
        <v/>
      </c>
    </row>
    <row r="73" ht="15.75" customHeight="1">
      <c r="A73" s="258"/>
      <c r="B73" s="258"/>
      <c r="C73" s="269"/>
      <c r="D73" s="258"/>
      <c r="E73" s="258"/>
      <c r="F73" s="258"/>
      <c r="G73" s="258"/>
      <c r="H73" s="271"/>
      <c r="I73" s="258"/>
      <c r="J73" s="272"/>
      <c r="K73" s="260"/>
      <c r="L73" s="261"/>
      <c r="M73" s="262" t="str">
        <f t="shared" si="1"/>
        <v/>
      </c>
      <c r="N73" s="263" t="str">
        <f t="shared" si="2"/>
        <v/>
      </c>
      <c r="O73" s="264" t="str">
        <f t="shared" si="3"/>
        <v/>
      </c>
      <c r="P73" s="265" t="str">
        <f>IFERROR(__xludf.DUMMYFUNCTION("IF(ISBLANK(A73),"""",IFERROR(IF(H73=""Sell"",VLOOKUP(9^99,FILTER({ROW(P$2:P72),P$2:P72},D$2:D72=D73),2),(VLOOKUP(9^99,FILTER({ROW(P$2:P72),P$2:P72},D$2:D72=D73),2)*VLOOKUP(9^99,FILTER({ROW(O$2:O72),O$2:O72},D$2:D72=D73),2)-N73)/O73),J73))"),"")</f>
        <v/>
      </c>
      <c r="Q73" s="264" t="str">
        <f>IFERROR(__xludf.DUMMYFUNCTION("IFERROR(IF(F73=""Crypto"",B73,(IF(ISBLANK(D73),"""",IF(D73=""Cash"",B73,IF(GOOGLEFINANCE(D73,""CURRENCY"")=""GBX"",""GBP"",GOOGLEFINANCE(D73,""CURRENCY"")))))),B73)"),"")</f>
        <v/>
      </c>
      <c r="R73" s="263" t="str">
        <f>IFERROR(__xludf.DUMMYFUNCTION("IF(ISBLANK(A73),"""",IFERROR(IF(OR(Q73=""GPB"",Q73=""ZAR""),IF(Q73=Dashboard!$L$1,K73,(K73*GOOGLEFINANCE(""CURRENCY:""&amp;Q73&amp;""""&amp;Dashboard!$L$1&amp;""""))/100),IF(Q73=Dashboard!$L$1,K73,K73*GOOGLEFINANCE(""CURRENCY:""&amp;Q73&amp;""""&amp;Dashboard!$L$1&amp;""""))),K73))"),"")</f>
        <v/>
      </c>
      <c r="S73" s="266" t="str">
        <f>IFERROR(__xludf.DUMMYFUNCTION("IF(ISBLANK(A73),"""",IFERROR(IF(OR(Q73=""GPB"",Q73=""ZAR""),IF(Q73=Dashboard!$L$1,M73,(M73*GOOGLEFINANCE(""CURRENCY:""&amp;Q73&amp;""""&amp;Dashboard!$L$1&amp;""""))/100),IF(Q73=Dashboard!$L$1,M73,M73*GOOGLEFINANCE(""CURRENCY:""&amp;Q73&amp;""""&amp;Dashboard!$L$1&amp;""""))),M73))"),"")</f>
        <v/>
      </c>
      <c r="T73" s="264" t="str">
        <f t="shared" si="4"/>
        <v/>
      </c>
      <c r="U73" s="264" t="str">
        <f t="shared" si="5"/>
        <v/>
      </c>
      <c r="V73" s="264" t="str">
        <f t="shared" si="6"/>
        <v/>
      </c>
      <c r="W73" s="267" t="str">
        <f t="shared" si="8"/>
        <v/>
      </c>
      <c r="X73" s="264" t="str">
        <f t="shared" si="7"/>
        <v/>
      </c>
    </row>
    <row r="74" ht="15.75" customHeight="1">
      <c r="A74" s="258"/>
      <c r="B74" s="258"/>
      <c r="C74" s="269"/>
      <c r="D74" s="258"/>
      <c r="E74" s="258"/>
      <c r="F74" s="258"/>
      <c r="G74" s="258"/>
      <c r="H74" s="271"/>
      <c r="I74" s="258"/>
      <c r="J74" s="272"/>
      <c r="K74" s="260"/>
      <c r="L74" s="261"/>
      <c r="M74" s="262" t="str">
        <f t="shared" si="1"/>
        <v/>
      </c>
      <c r="N74" s="263" t="str">
        <f t="shared" si="2"/>
        <v/>
      </c>
      <c r="O74" s="264" t="str">
        <f t="shared" si="3"/>
        <v/>
      </c>
      <c r="P74" s="265" t="str">
        <f>IFERROR(__xludf.DUMMYFUNCTION("IF(ISBLANK(A74),"""",IFERROR(IF(H74=""Sell"",VLOOKUP(9^99,FILTER({ROW(P$2:P73),P$2:P73},D$2:D73=D74),2),(VLOOKUP(9^99,FILTER({ROW(P$2:P73),P$2:P73},D$2:D73=D74),2)*VLOOKUP(9^99,FILTER({ROW(O$2:O73),O$2:O73},D$2:D73=D74),2)-N74)/O74),J74))"),"")</f>
        <v/>
      </c>
      <c r="Q74" s="264" t="str">
        <f>IFERROR(__xludf.DUMMYFUNCTION("IFERROR(IF(F74=""Crypto"",B74,(IF(ISBLANK(D74),"""",IF(D74=""Cash"",B74,IF(GOOGLEFINANCE(D74,""CURRENCY"")=""GBX"",""GBP"",GOOGLEFINANCE(D74,""CURRENCY"")))))),B74)"),"")</f>
        <v/>
      </c>
      <c r="R74" s="263" t="str">
        <f>IFERROR(__xludf.DUMMYFUNCTION("IF(ISBLANK(A74),"""",IFERROR(IF(OR(Q74=""GPB"",Q74=""ZAR""),IF(Q74=Dashboard!$L$1,K74,(K74*GOOGLEFINANCE(""CURRENCY:""&amp;Q74&amp;""""&amp;Dashboard!$L$1&amp;""""))/100),IF(Q74=Dashboard!$L$1,K74,K74*GOOGLEFINANCE(""CURRENCY:""&amp;Q74&amp;""""&amp;Dashboard!$L$1&amp;""""))),K74))"),"")</f>
        <v/>
      </c>
      <c r="S74" s="266" t="str">
        <f>IFERROR(__xludf.DUMMYFUNCTION("IF(ISBLANK(A74),"""",IFERROR(IF(OR(Q74=""GPB"",Q74=""ZAR""),IF(Q74=Dashboard!$L$1,M74,(M74*GOOGLEFINANCE(""CURRENCY:""&amp;Q74&amp;""""&amp;Dashboard!$L$1&amp;""""))/100),IF(Q74=Dashboard!$L$1,M74,M74*GOOGLEFINANCE(""CURRENCY:""&amp;Q74&amp;""""&amp;Dashboard!$L$1&amp;""""))),M74))"),"")</f>
        <v/>
      </c>
      <c r="T74" s="264" t="str">
        <f t="shared" si="4"/>
        <v/>
      </c>
      <c r="U74" s="264" t="str">
        <f t="shared" si="5"/>
        <v/>
      </c>
      <c r="V74" s="264" t="str">
        <f t="shared" si="6"/>
        <v/>
      </c>
      <c r="W74" s="267" t="str">
        <f t="shared" si="8"/>
        <v/>
      </c>
      <c r="X74" s="264" t="str">
        <f t="shared" si="7"/>
        <v/>
      </c>
    </row>
    <row r="75" ht="15.75" customHeight="1">
      <c r="A75" s="258"/>
      <c r="B75" s="258"/>
      <c r="C75" s="269"/>
      <c r="D75" s="258"/>
      <c r="E75" s="258"/>
      <c r="F75" s="258"/>
      <c r="G75" s="258"/>
      <c r="H75" s="271"/>
      <c r="I75" s="258"/>
      <c r="J75" s="272"/>
      <c r="K75" s="260"/>
      <c r="L75" s="261"/>
      <c r="M75" s="262" t="str">
        <f t="shared" si="1"/>
        <v/>
      </c>
      <c r="N75" s="263" t="str">
        <f t="shared" si="2"/>
        <v/>
      </c>
      <c r="O75" s="264" t="str">
        <f t="shared" si="3"/>
        <v/>
      </c>
      <c r="P75" s="265" t="str">
        <f>IFERROR(__xludf.DUMMYFUNCTION("IF(ISBLANK(A75),"""",IFERROR(IF(H75=""Sell"",VLOOKUP(9^99,FILTER({ROW(P$2:P74),P$2:P74},D$2:D74=D75),2),(VLOOKUP(9^99,FILTER({ROW(P$2:P74),P$2:P74},D$2:D74=D75),2)*VLOOKUP(9^99,FILTER({ROW(O$2:O74),O$2:O74},D$2:D74=D75),2)-N75)/O75),J75))"),"")</f>
        <v/>
      </c>
      <c r="Q75" s="264" t="str">
        <f>IFERROR(__xludf.DUMMYFUNCTION("IFERROR(IF(F75=""Crypto"",B75,(IF(ISBLANK(D75),"""",IF(D75=""Cash"",B75,IF(GOOGLEFINANCE(D75,""CURRENCY"")=""GBX"",""GBP"",GOOGLEFINANCE(D75,""CURRENCY"")))))),B75)"),"")</f>
        <v/>
      </c>
      <c r="R75" s="263" t="str">
        <f>IFERROR(__xludf.DUMMYFUNCTION("IF(ISBLANK(A75),"""",IFERROR(IF(OR(Q75=""GPB"",Q75=""ZAR""),IF(Q75=Dashboard!$L$1,K75,(K75*GOOGLEFINANCE(""CURRENCY:""&amp;Q75&amp;""""&amp;Dashboard!$L$1&amp;""""))/100),IF(Q75=Dashboard!$L$1,K75,K75*GOOGLEFINANCE(""CURRENCY:""&amp;Q75&amp;""""&amp;Dashboard!$L$1&amp;""""))),K75))"),"")</f>
        <v/>
      </c>
      <c r="S75" s="266" t="str">
        <f>IFERROR(__xludf.DUMMYFUNCTION("IF(ISBLANK(A75),"""",IFERROR(IF(OR(Q75=""GPB"",Q75=""ZAR""),IF(Q75=Dashboard!$L$1,M75,(M75*GOOGLEFINANCE(""CURRENCY:""&amp;Q75&amp;""""&amp;Dashboard!$L$1&amp;""""))/100),IF(Q75=Dashboard!$L$1,M75,M75*GOOGLEFINANCE(""CURRENCY:""&amp;Q75&amp;""""&amp;Dashboard!$L$1&amp;""""))),M75))"),"")</f>
        <v/>
      </c>
      <c r="T75" s="264" t="str">
        <f t="shared" si="4"/>
        <v/>
      </c>
      <c r="U75" s="264" t="str">
        <f t="shared" si="5"/>
        <v/>
      </c>
      <c r="V75" s="264" t="str">
        <f t="shared" si="6"/>
        <v/>
      </c>
      <c r="W75" s="267" t="str">
        <f t="shared" si="8"/>
        <v/>
      </c>
      <c r="X75" s="264" t="str">
        <f t="shared" si="7"/>
        <v/>
      </c>
    </row>
    <row r="76" ht="15.75" customHeight="1">
      <c r="A76" s="258"/>
      <c r="B76" s="258"/>
      <c r="C76" s="269"/>
      <c r="D76" s="258"/>
      <c r="E76" s="258"/>
      <c r="F76" s="258"/>
      <c r="G76" s="258"/>
      <c r="H76" s="271"/>
      <c r="I76" s="258"/>
      <c r="J76" s="272"/>
      <c r="K76" s="260"/>
      <c r="L76" s="261"/>
      <c r="M76" s="262" t="str">
        <f t="shared" si="1"/>
        <v/>
      </c>
      <c r="N76" s="263" t="str">
        <f t="shared" si="2"/>
        <v/>
      </c>
      <c r="O76" s="264" t="str">
        <f t="shared" si="3"/>
        <v/>
      </c>
      <c r="P76" s="265" t="str">
        <f>IFERROR(__xludf.DUMMYFUNCTION("IF(ISBLANK(A76),"""",IFERROR(IF(H76=""Sell"",VLOOKUP(9^99,FILTER({ROW(P$2:P75),P$2:P75},D$2:D75=D76),2),(VLOOKUP(9^99,FILTER({ROW(P$2:P75),P$2:P75},D$2:D75=D76),2)*VLOOKUP(9^99,FILTER({ROW(O$2:O75),O$2:O75},D$2:D75=D76),2)-N76)/O76),J76))"),"")</f>
        <v/>
      </c>
      <c r="Q76" s="264" t="str">
        <f>IFERROR(__xludf.DUMMYFUNCTION("IFERROR(IF(F76=""Crypto"",B76,(IF(ISBLANK(D76),"""",IF(D76=""Cash"",B76,IF(GOOGLEFINANCE(D76,""CURRENCY"")=""GBX"",""GBP"",GOOGLEFINANCE(D76,""CURRENCY"")))))),B76)"),"")</f>
        <v/>
      </c>
      <c r="R76" s="263" t="str">
        <f>IFERROR(__xludf.DUMMYFUNCTION("IF(ISBLANK(A76),"""",IFERROR(IF(OR(Q76=""GPB"",Q76=""ZAR""),IF(Q76=Dashboard!$L$1,K76,(K76*GOOGLEFINANCE(""CURRENCY:""&amp;Q76&amp;""""&amp;Dashboard!$L$1&amp;""""))/100),IF(Q76=Dashboard!$L$1,K76,K76*GOOGLEFINANCE(""CURRENCY:""&amp;Q76&amp;""""&amp;Dashboard!$L$1&amp;""""))),K76))"),"")</f>
        <v/>
      </c>
      <c r="S76" s="266" t="str">
        <f>IFERROR(__xludf.DUMMYFUNCTION("IF(ISBLANK(A76),"""",IFERROR(IF(OR(Q76=""GPB"",Q76=""ZAR""),IF(Q76=Dashboard!$L$1,M76,(M76*GOOGLEFINANCE(""CURRENCY:""&amp;Q76&amp;""""&amp;Dashboard!$L$1&amp;""""))/100),IF(Q76=Dashboard!$L$1,M76,M76*GOOGLEFINANCE(""CURRENCY:""&amp;Q76&amp;""""&amp;Dashboard!$L$1&amp;""""))),M76))"),"")</f>
        <v/>
      </c>
      <c r="T76" s="264" t="str">
        <f t="shared" si="4"/>
        <v/>
      </c>
      <c r="U76" s="264" t="str">
        <f t="shared" si="5"/>
        <v/>
      </c>
      <c r="V76" s="264" t="str">
        <f t="shared" si="6"/>
        <v/>
      </c>
      <c r="W76" s="267" t="str">
        <f t="shared" si="8"/>
        <v/>
      </c>
      <c r="X76" s="264" t="str">
        <f t="shared" si="7"/>
        <v/>
      </c>
    </row>
    <row r="77" ht="15.75" customHeight="1">
      <c r="A77" s="258"/>
      <c r="B77" s="258"/>
      <c r="C77" s="269"/>
      <c r="D77" s="258"/>
      <c r="E77" s="258"/>
      <c r="F77" s="258"/>
      <c r="G77" s="258"/>
      <c r="H77" s="271"/>
      <c r="I77" s="258"/>
      <c r="J77" s="272"/>
      <c r="K77" s="260"/>
      <c r="L77" s="261"/>
      <c r="M77" s="262" t="str">
        <f t="shared" si="1"/>
        <v/>
      </c>
      <c r="N77" s="263" t="str">
        <f t="shared" si="2"/>
        <v/>
      </c>
      <c r="O77" s="264" t="str">
        <f t="shared" si="3"/>
        <v/>
      </c>
      <c r="P77" s="265" t="str">
        <f>IFERROR(__xludf.DUMMYFUNCTION("IF(ISBLANK(A77),"""",IFERROR(IF(H77=""Sell"",VLOOKUP(9^99,FILTER({ROW(P$2:P76),P$2:P76},D$2:D76=D77),2),(VLOOKUP(9^99,FILTER({ROW(P$2:P76),P$2:P76},D$2:D76=D77),2)*VLOOKUP(9^99,FILTER({ROW(O$2:O76),O$2:O76},D$2:D76=D77),2)-N77)/O77),J77))"),"")</f>
        <v/>
      </c>
      <c r="Q77" s="264" t="str">
        <f>IFERROR(__xludf.DUMMYFUNCTION("IFERROR(IF(F77=""Crypto"",B77,(IF(ISBLANK(D77),"""",IF(D77=""Cash"",B77,IF(GOOGLEFINANCE(D77,""CURRENCY"")=""GBX"",""GBP"",GOOGLEFINANCE(D77,""CURRENCY"")))))),B77)"),"")</f>
        <v/>
      </c>
      <c r="R77" s="263" t="str">
        <f>IFERROR(__xludf.DUMMYFUNCTION("IF(ISBLANK(A77),"""",IFERROR(IF(OR(Q77=""GPB"",Q77=""ZAR""),IF(Q77=Dashboard!$L$1,K77,(K77*GOOGLEFINANCE(""CURRENCY:""&amp;Q77&amp;""""&amp;Dashboard!$L$1&amp;""""))/100),IF(Q77=Dashboard!$L$1,K77,K77*GOOGLEFINANCE(""CURRENCY:""&amp;Q77&amp;""""&amp;Dashboard!$L$1&amp;""""))),K77))"),"")</f>
        <v/>
      </c>
      <c r="S77" s="266" t="str">
        <f>IFERROR(__xludf.DUMMYFUNCTION("IF(ISBLANK(A77),"""",IFERROR(IF(OR(Q77=""GPB"",Q77=""ZAR""),IF(Q77=Dashboard!$L$1,M77,(M77*GOOGLEFINANCE(""CURRENCY:""&amp;Q77&amp;""""&amp;Dashboard!$L$1&amp;""""))/100),IF(Q77=Dashboard!$L$1,M77,M77*GOOGLEFINANCE(""CURRENCY:""&amp;Q77&amp;""""&amp;Dashboard!$L$1&amp;""""))),M77))"),"")</f>
        <v/>
      </c>
      <c r="T77" s="264" t="str">
        <f t="shared" si="4"/>
        <v/>
      </c>
      <c r="U77" s="264" t="str">
        <f t="shared" si="5"/>
        <v/>
      </c>
      <c r="V77" s="264" t="str">
        <f t="shared" si="6"/>
        <v/>
      </c>
      <c r="W77" s="267" t="str">
        <f t="shared" si="8"/>
        <v/>
      </c>
      <c r="X77" s="264" t="str">
        <f t="shared" si="7"/>
        <v/>
      </c>
    </row>
    <row r="78" ht="15.75" customHeight="1">
      <c r="A78" s="258"/>
      <c r="B78" s="258"/>
      <c r="C78" s="269"/>
      <c r="D78" s="258"/>
      <c r="E78" s="258"/>
      <c r="F78" s="258"/>
      <c r="G78" s="258"/>
      <c r="H78" s="271"/>
      <c r="I78" s="258"/>
      <c r="J78" s="272"/>
      <c r="K78" s="260"/>
      <c r="L78" s="261"/>
      <c r="M78" s="262" t="str">
        <f t="shared" si="1"/>
        <v/>
      </c>
      <c r="N78" s="263" t="str">
        <f t="shared" si="2"/>
        <v/>
      </c>
      <c r="O78" s="264" t="str">
        <f t="shared" si="3"/>
        <v/>
      </c>
      <c r="P78" s="265" t="str">
        <f>IFERROR(__xludf.DUMMYFUNCTION("IF(ISBLANK(A78),"""",IFERROR(IF(H78=""Sell"",VLOOKUP(9^99,FILTER({ROW(P$2:P77),P$2:P77},D$2:D77=D78),2),(VLOOKUP(9^99,FILTER({ROW(P$2:P77),P$2:P77},D$2:D77=D78),2)*VLOOKUP(9^99,FILTER({ROW(O$2:O77),O$2:O77},D$2:D77=D78),2)-N78)/O78),J78))"),"")</f>
        <v/>
      </c>
      <c r="Q78" s="264" t="str">
        <f>IFERROR(__xludf.DUMMYFUNCTION("IFERROR(IF(F78=""Crypto"",B78,(IF(ISBLANK(D78),"""",IF(D78=""Cash"",B78,IF(GOOGLEFINANCE(D78,""CURRENCY"")=""GBX"",""GBP"",GOOGLEFINANCE(D78,""CURRENCY"")))))),B78)"),"")</f>
        <v/>
      </c>
      <c r="R78" s="263" t="str">
        <f>IFERROR(__xludf.DUMMYFUNCTION("IF(ISBLANK(A78),"""",IFERROR(IF(OR(Q78=""GPB"",Q78=""ZAR""),IF(Q78=Dashboard!$L$1,K78,(K78*GOOGLEFINANCE(""CURRENCY:""&amp;Q78&amp;""""&amp;Dashboard!$L$1&amp;""""))/100),IF(Q78=Dashboard!$L$1,K78,K78*GOOGLEFINANCE(""CURRENCY:""&amp;Q78&amp;""""&amp;Dashboard!$L$1&amp;""""))),K78))"),"")</f>
        <v/>
      </c>
      <c r="S78" s="266" t="str">
        <f>IFERROR(__xludf.DUMMYFUNCTION("IF(ISBLANK(A78),"""",IFERROR(IF(OR(Q78=""GPB"",Q78=""ZAR""),IF(Q78=Dashboard!$L$1,M78,(M78*GOOGLEFINANCE(""CURRENCY:""&amp;Q78&amp;""""&amp;Dashboard!$L$1&amp;""""))/100),IF(Q78=Dashboard!$L$1,M78,M78*GOOGLEFINANCE(""CURRENCY:""&amp;Q78&amp;""""&amp;Dashboard!$L$1&amp;""""))),M78))"),"")</f>
        <v/>
      </c>
      <c r="T78" s="264" t="str">
        <f t="shared" si="4"/>
        <v/>
      </c>
      <c r="U78" s="264" t="str">
        <f t="shared" si="5"/>
        <v/>
      </c>
      <c r="V78" s="264" t="str">
        <f t="shared" si="6"/>
        <v/>
      </c>
      <c r="W78" s="267" t="str">
        <f t="shared" si="8"/>
        <v/>
      </c>
      <c r="X78" s="264" t="str">
        <f t="shared" si="7"/>
        <v/>
      </c>
    </row>
    <row r="79" ht="15.75" customHeight="1">
      <c r="A79" s="258"/>
      <c r="B79" s="258"/>
      <c r="C79" s="269"/>
      <c r="D79" s="258"/>
      <c r="E79" s="258"/>
      <c r="F79" s="258"/>
      <c r="G79" s="258"/>
      <c r="H79" s="271"/>
      <c r="I79" s="258"/>
      <c r="J79" s="272"/>
      <c r="K79" s="260"/>
      <c r="L79" s="261"/>
      <c r="M79" s="262" t="str">
        <f t="shared" si="1"/>
        <v/>
      </c>
      <c r="N79" s="263" t="str">
        <f t="shared" si="2"/>
        <v/>
      </c>
      <c r="O79" s="264" t="str">
        <f t="shared" si="3"/>
        <v/>
      </c>
      <c r="P79" s="265" t="str">
        <f>IFERROR(__xludf.DUMMYFUNCTION("IF(ISBLANK(A79),"""",IFERROR(IF(H79=""Sell"",VLOOKUP(9^99,FILTER({ROW(P$2:P78),P$2:P78},D$2:D78=D79),2),(VLOOKUP(9^99,FILTER({ROW(P$2:P78),P$2:P78},D$2:D78=D79),2)*VLOOKUP(9^99,FILTER({ROW(O$2:O78),O$2:O78},D$2:D78=D79),2)-N79)/O79),J79))"),"")</f>
        <v/>
      </c>
      <c r="Q79" s="264" t="str">
        <f>IFERROR(__xludf.DUMMYFUNCTION("IFERROR(IF(F79=""Crypto"",B79,(IF(ISBLANK(D79),"""",IF(D79=""Cash"",B79,IF(GOOGLEFINANCE(D79,""CURRENCY"")=""GBX"",""GBP"",GOOGLEFINANCE(D79,""CURRENCY"")))))),B79)"),"")</f>
        <v/>
      </c>
      <c r="R79" s="263" t="str">
        <f>IFERROR(__xludf.DUMMYFUNCTION("IF(ISBLANK(A79),"""",IFERROR(IF(OR(Q79=""GPB"",Q79=""ZAR""),IF(Q79=Dashboard!$L$1,K79,(K79*GOOGLEFINANCE(""CURRENCY:""&amp;Q79&amp;""""&amp;Dashboard!$L$1&amp;""""))/100),IF(Q79=Dashboard!$L$1,K79,K79*GOOGLEFINANCE(""CURRENCY:""&amp;Q79&amp;""""&amp;Dashboard!$L$1&amp;""""))),K79))"),"")</f>
        <v/>
      </c>
      <c r="S79" s="266" t="str">
        <f>IFERROR(__xludf.DUMMYFUNCTION("IF(ISBLANK(A79),"""",IFERROR(IF(OR(Q79=""GPB"",Q79=""ZAR""),IF(Q79=Dashboard!$L$1,M79,(M79*GOOGLEFINANCE(""CURRENCY:""&amp;Q79&amp;""""&amp;Dashboard!$L$1&amp;""""))/100),IF(Q79=Dashboard!$L$1,M79,M79*GOOGLEFINANCE(""CURRENCY:""&amp;Q79&amp;""""&amp;Dashboard!$L$1&amp;""""))),M79))"),"")</f>
        <v/>
      </c>
      <c r="T79" s="264" t="str">
        <f t="shared" si="4"/>
        <v/>
      </c>
      <c r="U79" s="264" t="str">
        <f t="shared" si="5"/>
        <v/>
      </c>
      <c r="V79" s="264" t="str">
        <f t="shared" si="6"/>
        <v/>
      </c>
      <c r="W79" s="267" t="str">
        <f t="shared" si="8"/>
        <v/>
      </c>
      <c r="X79" s="264" t="str">
        <f t="shared" si="7"/>
        <v/>
      </c>
    </row>
    <row r="80" ht="15.75" customHeight="1">
      <c r="A80" s="258"/>
      <c r="B80" s="258"/>
      <c r="C80" s="269"/>
      <c r="D80" s="258"/>
      <c r="E80" s="258"/>
      <c r="F80" s="258"/>
      <c r="G80" s="258"/>
      <c r="H80" s="271"/>
      <c r="I80" s="258"/>
      <c r="J80" s="272"/>
      <c r="K80" s="260"/>
      <c r="L80" s="261"/>
      <c r="M80" s="262" t="str">
        <f t="shared" si="1"/>
        <v/>
      </c>
      <c r="N80" s="263" t="str">
        <f t="shared" si="2"/>
        <v/>
      </c>
      <c r="O80" s="264" t="str">
        <f t="shared" si="3"/>
        <v/>
      </c>
      <c r="P80" s="265" t="str">
        <f>IFERROR(__xludf.DUMMYFUNCTION("IF(ISBLANK(A80),"""",IFERROR(IF(H80=""Sell"",VLOOKUP(9^99,FILTER({ROW(P$2:P79),P$2:P79},D$2:D79=D80),2),(VLOOKUP(9^99,FILTER({ROW(P$2:P79),P$2:P79},D$2:D79=D80),2)*VLOOKUP(9^99,FILTER({ROW(O$2:O79),O$2:O79},D$2:D79=D80),2)-N80)/O80),J80))"),"")</f>
        <v/>
      </c>
      <c r="Q80" s="264" t="str">
        <f>IFERROR(__xludf.DUMMYFUNCTION("IFERROR(IF(F80=""Crypto"",B80,(IF(ISBLANK(D80),"""",IF(D80=""Cash"",B80,IF(GOOGLEFINANCE(D80,""CURRENCY"")=""GBX"",""GBP"",GOOGLEFINANCE(D80,""CURRENCY"")))))),B80)"),"")</f>
        <v/>
      </c>
      <c r="R80" s="263" t="str">
        <f>IFERROR(__xludf.DUMMYFUNCTION("IF(ISBLANK(A80),"""",IFERROR(IF(OR(Q80=""GPB"",Q80=""ZAR""),IF(Q80=Dashboard!$L$1,K80,(K80*GOOGLEFINANCE(""CURRENCY:""&amp;Q80&amp;""""&amp;Dashboard!$L$1&amp;""""))/100),IF(Q80=Dashboard!$L$1,K80,K80*GOOGLEFINANCE(""CURRENCY:""&amp;Q80&amp;""""&amp;Dashboard!$L$1&amp;""""))),K80))"),"")</f>
        <v/>
      </c>
      <c r="S80" s="266" t="str">
        <f>IFERROR(__xludf.DUMMYFUNCTION("IF(ISBLANK(A80),"""",IFERROR(IF(OR(Q80=""GPB"",Q80=""ZAR""),IF(Q80=Dashboard!$L$1,M80,(M80*GOOGLEFINANCE(""CURRENCY:""&amp;Q80&amp;""""&amp;Dashboard!$L$1&amp;""""))/100),IF(Q80=Dashboard!$L$1,M80,M80*GOOGLEFINANCE(""CURRENCY:""&amp;Q80&amp;""""&amp;Dashboard!$L$1&amp;""""))),M80))"),"")</f>
        <v/>
      </c>
      <c r="T80" s="264" t="str">
        <f t="shared" si="4"/>
        <v/>
      </c>
      <c r="U80" s="264" t="str">
        <f t="shared" si="5"/>
        <v/>
      </c>
      <c r="V80" s="264" t="str">
        <f t="shared" si="6"/>
        <v/>
      </c>
      <c r="W80" s="267" t="str">
        <f t="shared" si="8"/>
        <v/>
      </c>
      <c r="X80" s="264" t="str">
        <f t="shared" si="7"/>
        <v/>
      </c>
    </row>
    <row r="81" ht="15.75" customHeight="1">
      <c r="A81" s="258"/>
      <c r="B81" s="258"/>
      <c r="C81" s="269"/>
      <c r="D81" s="258"/>
      <c r="E81" s="258"/>
      <c r="F81" s="258"/>
      <c r="G81" s="258"/>
      <c r="H81" s="271"/>
      <c r="I81" s="258"/>
      <c r="J81" s="272"/>
      <c r="K81" s="260"/>
      <c r="L81" s="261"/>
      <c r="M81" s="262" t="str">
        <f t="shared" si="1"/>
        <v/>
      </c>
      <c r="N81" s="263" t="str">
        <f t="shared" si="2"/>
        <v/>
      </c>
      <c r="O81" s="264" t="str">
        <f t="shared" si="3"/>
        <v/>
      </c>
      <c r="P81" s="265" t="str">
        <f>IFERROR(__xludf.DUMMYFUNCTION("IF(ISBLANK(A81),"""",IFERROR(IF(H81=""Sell"",VLOOKUP(9^99,FILTER({ROW(P$2:P80),P$2:P80},D$2:D80=D81),2),(VLOOKUP(9^99,FILTER({ROW(P$2:P80),P$2:P80},D$2:D80=D81),2)*VLOOKUP(9^99,FILTER({ROW(O$2:O80),O$2:O80},D$2:D80=D81),2)-N81)/O81),J81))"),"")</f>
        <v/>
      </c>
      <c r="Q81" s="264" t="str">
        <f>IFERROR(__xludf.DUMMYFUNCTION("IFERROR(IF(F81=""Crypto"",B81,(IF(ISBLANK(D81),"""",IF(D81=""Cash"",B81,IF(GOOGLEFINANCE(D81,""CURRENCY"")=""GBX"",""GBP"",GOOGLEFINANCE(D81,""CURRENCY"")))))),B81)"),"")</f>
        <v/>
      </c>
      <c r="R81" s="263" t="str">
        <f>IFERROR(__xludf.DUMMYFUNCTION("IF(ISBLANK(A81),"""",IFERROR(IF(OR(Q81=""GPB"",Q81=""ZAR""),IF(Q81=Dashboard!$L$1,K81,(K81*GOOGLEFINANCE(""CURRENCY:""&amp;Q81&amp;""""&amp;Dashboard!$L$1&amp;""""))/100),IF(Q81=Dashboard!$L$1,K81,K81*GOOGLEFINANCE(""CURRENCY:""&amp;Q81&amp;""""&amp;Dashboard!$L$1&amp;""""))),K81))"),"")</f>
        <v/>
      </c>
      <c r="S81" s="266" t="str">
        <f>IFERROR(__xludf.DUMMYFUNCTION("IF(ISBLANK(A81),"""",IFERROR(IF(OR(Q81=""GPB"",Q81=""ZAR""),IF(Q81=Dashboard!$L$1,M81,(M81*GOOGLEFINANCE(""CURRENCY:""&amp;Q81&amp;""""&amp;Dashboard!$L$1&amp;""""))/100),IF(Q81=Dashboard!$L$1,M81,M81*GOOGLEFINANCE(""CURRENCY:""&amp;Q81&amp;""""&amp;Dashboard!$L$1&amp;""""))),M81))"),"")</f>
        <v/>
      </c>
      <c r="T81" s="264" t="str">
        <f t="shared" si="4"/>
        <v/>
      </c>
      <c r="U81" s="264" t="str">
        <f t="shared" si="5"/>
        <v/>
      </c>
      <c r="V81" s="264" t="str">
        <f t="shared" si="6"/>
        <v/>
      </c>
      <c r="W81" s="267" t="str">
        <f t="shared" si="8"/>
        <v/>
      </c>
      <c r="X81" s="264" t="str">
        <f t="shared" si="7"/>
        <v/>
      </c>
    </row>
    <row r="82" ht="15.75" customHeight="1">
      <c r="A82" s="258"/>
      <c r="B82" s="258"/>
      <c r="C82" s="269"/>
      <c r="D82" s="258"/>
      <c r="E82" s="258"/>
      <c r="F82" s="258"/>
      <c r="G82" s="258"/>
      <c r="H82" s="271"/>
      <c r="I82" s="258"/>
      <c r="J82" s="272"/>
      <c r="K82" s="260"/>
      <c r="L82" s="261"/>
      <c r="M82" s="262" t="str">
        <f t="shared" si="1"/>
        <v/>
      </c>
      <c r="N82" s="263" t="str">
        <f t="shared" si="2"/>
        <v/>
      </c>
      <c r="O82" s="264" t="str">
        <f t="shared" si="3"/>
        <v/>
      </c>
      <c r="P82" s="265" t="str">
        <f>IFERROR(__xludf.DUMMYFUNCTION("IF(ISBLANK(A82),"""",IFERROR(IF(H82=""Sell"",VLOOKUP(9^99,FILTER({ROW(P$2:P81),P$2:P81},D$2:D81=D82),2),(VLOOKUP(9^99,FILTER({ROW(P$2:P81),P$2:P81},D$2:D81=D82),2)*VLOOKUP(9^99,FILTER({ROW(O$2:O81),O$2:O81},D$2:D81=D82),2)-N82)/O82),J82))"),"")</f>
        <v/>
      </c>
      <c r="Q82" s="264" t="str">
        <f>IFERROR(__xludf.DUMMYFUNCTION("IFERROR(IF(F82=""Crypto"",B82,(IF(ISBLANK(D82),"""",IF(D82=""Cash"",B82,IF(GOOGLEFINANCE(D82,""CURRENCY"")=""GBX"",""GBP"",GOOGLEFINANCE(D82,""CURRENCY"")))))),B82)"),"")</f>
        <v/>
      </c>
      <c r="R82" s="263" t="str">
        <f>IFERROR(__xludf.DUMMYFUNCTION("IF(ISBLANK(A82),"""",IFERROR(IF(OR(Q82=""GPB"",Q82=""ZAR""),IF(Q82=Dashboard!$L$1,K82,(K82*GOOGLEFINANCE(""CURRENCY:""&amp;Q82&amp;""""&amp;Dashboard!$L$1&amp;""""))/100),IF(Q82=Dashboard!$L$1,K82,K82*GOOGLEFINANCE(""CURRENCY:""&amp;Q82&amp;""""&amp;Dashboard!$L$1&amp;""""))),K82))"),"")</f>
        <v/>
      </c>
      <c r="S82" s="266" t="str">
        <f>IFERROR(__xludf.DUMMYFUNCTION("IF(ISBLANK(A82),"""",IFERROR(IF(OR(Q82=""GPB"",Q82=""ZAR""),IF(Q82=Dashboard!$L$1,M82,(M82*GOOGLEFINANCE(""CURRENCY:""&amp;Q82&amp;""""&amp;Dashboard!$L$1&amp;""""))/100),IF(Q82=Dashboard!$L$1,M82,M82*GOOGLEFINANCE(""CURRENCY:""&amp;Q82&amp;""""&amp;Dashboard!$L$1&amp;""""))),M82))"),"")</f>
        <v/>
      </c>
      <c r="T82" s="264" t="str">
        <f t="shared" si="4"/>
        <v/>
      </c>
      <c r="U82" s="264" t="str">
        <f t="shared" si="5"/>
        <v/>
      </c>
      <c r="V82" s="264" t="str">
        <f t="shared" si="6"/>
        <v/>
      </c>
      <c r="W82" s="267" t="str">
        <f t="shared" si="8"/>
        <v/>
      </c>
      <c r="X82" s="264" t="str">
        <f t="shared" si="7"/>
        <v/>
      </c>
    </row>
    <row r="83" ht="15.75" customHeight="1">
      <c r="A83" s="258"/>
      <c r="B83" s="258"/>
      <c r="C83" s="269"/>
      <c r="D83" s="258"/>
      <c r="E83" s="258"/>
      <c r="F83" s="258"/>
      <c r="G83" s="258"/>
      <c r="H83" s="271"/>
      <c r="I83" s="258"/>
      <c r="J83" s="272"/>
      <c r="K83" s="260"/>
      <c r="L83" s="261"/>
      <c r="M83" s="262" t="str">
        <f t="shared" si="1"/>
        <v/>
      </c>
      <c r="N83" s="263" t="str">
        <f t="shared" si="2"/>
        <v/>
      </c>
      <c r="O83" s="264" t="str">
        <f t="shared" si="3"/>
        <v/>
      </c>
      <c r="P83" s="265" t="str">
        <f>IFERROR(__xludf.DUMMYFUNCTION("IF(ISBLANK(A83),"""",IFERROR(IF(H83=""Sell"",VLOOKUP(9^99,FILTER({ROW(P$2:P82),P$2:P82},D$2:D82=D83),2),(VLOOKUP(9^99,FILTER({ROW(P$2:P82),P$2:P82},D$2:D82=D83),2)*VLOOKUP(9^99,FILTER({ROW(O$2:O82),O$2:O82},D$2:D82=D83),2)-N83)/O83),J83))"),"")</f>
        <v/>
      </c>
      <c r="Q83" s="264" t="str">
        <f>IFERROR(__xludf.DUMMYFUNCTION("IFERROR(IF(F83=""Crypto"",B83,(IF(ISBLANK(D83),"""",IF(D83=""Cash"",B83,IF(GOOGLEFINANCE(D83,""CURRENCY"")=""GBX"",""GBP"",GOOGLEFINANCE(D83,""CURRENCY"")))))),B83)"),"")</f>
        <v/>
      </c>
      <c r="R83" s="263" t="str">
        <f>IFERROR(__xludf.DUMMYFUNCTION("IF(ISBLANK(A83),"""",IFERROR(IF(OR(Q83=""GPB"",Q83=""ZAR""),IF(Q83=Dashboard!$L$1,K83,(K83*GOOGLEFINANCE(""CURRENCY:""&amp;Q83&amp;""""&amp;Dashboard!$L$1&amp;""""))/100),IF(Q83=Dashboard!$L$1,K83,K83*GOOGLEFINANCE(""CURRENCY:""&amp;Q83&amp;""""&amp;Dashboard!$L$1&amp;""""))),K83))"),"")</f>
        <v/>
      </c>
      <c r="S83" s="266" t="str">
        <f>IFERROR(__xludf.DUMMYFUNCTION("IF(ISBLANK(A83),"""",IFERROR(IF(OR(Q83=""GPB"",Q83=""ZAR""),IF(Q83=Dashboard!$L$1,M83,(M83*GOOGLEFINANCE(""CURRENCY:""&amp;Q83&amp;""""&amp;Dashboard!$L$1&amp;""""))/100),IF(Q83=Dashboard!$L$1,M83,M83*GOOGLEFINANCE(""CURRENCY:""&amp;Q83&amp;""""&amp;Dashboard!$L$1&amp;""""))),M83))"),"")</f>
        <v/>
      </c>
      <c r="T83" s="264" t="str">
        <f t="shared" si="4"/>
        <v/>
      </c>
      <c r="U83" s="264" t="str">
        <f t="shared" si="5"/>
        <v/>
      </c>
      <c r="V83" s="264" t="str">
        <f t="shared" si="6"/>
        <v/>
      </c>
      <c r="W83" s="267" t="str">
        <f t="shared" si="8"/>
        <v/>
      </c>
      <c r="X83" s="264" t="str">
        <f t="shared" si="7"/>
        <v/>
      </c>
    </row>
    <row r="84" ht="15.75" customHeight="1">
      <c r="A84" s="258"/>
      <c r="B84" s="258"/>
      <c r="C84" s="269"/>
      <c r="D84" s="258"/>
      <c r="E84" s="258"/>
      <c r="F84" s="258"/>
      <c r="G84" s="258"/>
      <c r="H84" s="271"/>
      <c r="I84" s="258"/>
      <c r="J84" s="272"/>
      <c r="K84" s="260"/>
      <c r="L84" s="261"/>
      <c r="M84" s="262" t="str">
        <f t="shared" si="1"/>
        <v/>
      </c>
      <c r="N84" s="263" t="str">
        <f t="shared" si="2"/>
        <v/>
      </c>
      <c r="O84" s="264" t="str">
        <f t="shared" si="3"/>
        <v/>
      </c>
      <c r="P84" s="265" t="str">
        <f>IFERROR(__xludf.DUMMYFUNCTION("IF(ISBLANK(A84),"""",IFERROR(IF(H84=""Sell"",VLOOKUP(9^99,FILTER({ROW(P$2:P83),P$2:P83},D$2:D83=D84),2),(VLOOKUP(9^99,FILTER({ROW(P$2:P83),P$2:P83},D$2:D83=D84),2)*VLOOKUP(9^99,FILTER({ROW(O$2:O83),O$2:O83},D$2:D83=D84),2)-N84)/O84),J84))"),"")</f>
        <v/>
      </c>
      <c r="Q84" s="264" t="str">
        <f>IFERROR(__xludf.DUMMYFUNCTION("IFERROR(IF(F84=""Crypto"",B84,(IF(ISBLANK(D84),"""",IF(D84=""Cash"",B84,IF(GOOGLEFINANCE(D84,""CURRENCY"")=""GBX"",""GBP"",GOOGLEFINANCE(D84,""CURRENCY"")))))),B84)"),"")</f>
        <v/>
      </c>
      <c r="R84" s="263" t="str">
        <f>IFERROR(__xludf.DUMMYFUNCTION("IF(ISBLANK(A84),"""",IFERROR(IF(OR(Q84=""GPB"",Q84=""ZAR""),IF(Q84=Dashboard!$L$1,K84,(K84*GOOGLEFINANCE(""CURRENCY:""&amp;Q84&amp;""""&amp;Dashboard!$L$1&amp;""""))/100),IF(Q84=Dashboard!$L$1,K84,K84*GOOGLEFINANCE(""CURRENCY:""&amp;Q84&amp;""""&amp;Dashboard!$L$1&amp;""""))),K84))"),"")</f>
        <v/>
      </c>
      <c r="S84" s="266" t="str">
        <f>IFERROR(__xludf.DUMMYFUNCTION("IF(ISBLANK(A84),"""",IFERROR(IF(OR(Q84=""GPB"",Q84=""ZAR""),IF(Q84=Dashboard!$L$1,M84,(M84*GOOGLEFINANCE(""CURRENCY:""&amp;Q84&amp;""""&amp;Dashboard!$L$1&amp;""""))/100),IF(Q84=Dashboard!$L$1,M84,M84*GOOGLEFINANCE(""CURRENCY:""&amp;Q84&amp;""""&amp;Dashboard!$L$1&amp;""""))),M84))"),"")</f>
        <v/>
      </c>
      <c r="T84" s="264" t="str">
        <f t="shared" si="4"/>
        <v/>
      </c>
      <c r="U84" s="264" t="str">
        <f t="shared" si="5"/>
        <v/>
      </c>
      <c r="V84" s="264" t="str">
        <f t="shared" si="6"/>
        <v/>
      </c>
      <c r="W84" s="267" t="str">
        <f t="shared" si="8"/>
        <v/>
      </c>
      <c r="X84" s="264" t="str">
        <f t="shared" si="7"/>
        <v/>
      </c>
    </row>
    <row r="85" ht="15.75" customHeight="1">
      <c r="A85" s="258"/>
      <c r="B85" s="258"/>
      <c r="C85" s="269"/>
      <c r="D85" s="258"/>
      <c r="E85" s="258"/>
      <c r="F85" s="258"/>
      <c r="G85" s="258"/>
      <c r="H85" s="271"/>
      <c r="I85" s="258"/>
      <c r="J85" s="272"/>
      <c r="K85" s="260"/>
      <c r="L85" s="261"/>
      <c r="M85" s="262" t="str">
        <f t="shared" si="1"/>
        <v/>
      </c>
      <c r="N85" s="263" t="str">
        <f t="shared" si="2"/>
        <v/>
      </c>
      <c r="O85" s="264" t="str">
        <f t="shared" si="3"/>
        <v/>
      </c>
      <c r="P85" s="265" t="str">
        <f>IFERROR(__xludf.DUMMYFUNCTION("IF(ISBLANK(A85),"""",IFERROR(IF(H85=""Sell"",VLOOKUP(9^99,FILTER({ROW(P$2:P84),P$2:P84},D$2:D84=D85),2),(VLOOKUP(9^99,FILTER({ROW(P$2:P84),P$2:P84},D$2:D84=D85),2)*VLOOKUP(9^99,FILTER({ROW(O$2:O84),O$2:O84},D$2:D84=D85),2)-N85)/O85),J85))"),"")</f>
        <v/>
      </c>
      <c r="Q85" s="264" t="str">
        <f>IFERROR(__xludf.DUMMYFUNCTION("IFERROR(IF(F85=""Crypto"",B85,(IF(ISBLANK(D85),"""",IF(D85=""Cash"",B85,IF(GOOGLEFINANCE(D85,""CURRENCY"")=""GBX"",""GBP"",GOOGLEFINANCE(D85,""CURRENCY"")))))),B85)"),"")</f>
        <v/>
      </c>
      <c r="R85" s="263" t="str">
        <f>IFERROR(__xludf.DUMMYFUNCTION("IF(ISBLANK(A85),"""",IFERROR(IF(OR(Q85=""GPB"",Q85=""ZAR""),IF(Q85=Dashboard!$L$1,K85,(K85*GOOGLEFINANCE(""CURRENCY:""&amp;Q85&amp;""""&amp;Dashboard!$L$1&amp;""""))/100),IF(Q85=Dashboard!$L$1,K85,K85*GOOGLEFINANCE(""CURRENCY:""&amp;Q85&amp;""""&amp;Dashboard!$L$1&amp;""""))),K85))"),"")</f>
        <v/>
      </c>
      <c r="S85" s="266" t="str">
        <f>IFERROR(__xludf.DUMMYFUNCTION("IF(ISBLANK(A85),"""",IFERROR(IF(OR(Q85=""GPB"",Q85=""ZAR""),IF(Q85=Dashboard!$L$1,M85,(M85*GOOGLEFINANCE(""CURRENCY:""&amp;Q85&amp;""""&amp;Dashboard!$L$1&amp;""""))/100),IF(Q85=Dashboard!$L$1,M85,M85*GOOGLEFINANCE(""CURRENCY:""&amp;Q85&amp;""""&amp;Dashboard!$L$1&amp;""""))),M85))"),"")</f>
        <v/>
      </c>
      <c r="T85" s="264" t="str">
        <f t="shared" si="4"/>
        <v/>
      </c>
      <c r="U85" s="264" t="str">
        <f t="shared" si="5"/>
        <v/>
      </c>
      <c r="V85" s="264" t="str">
        <f t="shared" si="6"/>
        <v/>
      </c>
      <c r="W85" s="267" t="str">
        <f t="shared" si="8"/>
        <v/>
      </c>
      <c r="X85" s="264" t="str">
        <f t="shared" si="7"/>
        <v/>
      </c>
    </row>
    <row r="86" ht="15.75" customHeight="1">
      <c r="A86" s="258"/>
      <c r="B86" s="258"/>
      <c r="C86" s="269"/>
      <c r="D86" s="258"/>
      <c r="E86" s="258"/>
      <c r="F86" s="258"/>
      <c r="G86" s="258"/>
      <c r="H86" s="271"/>
      <c r="I86" s="258"/>
      <c r="J86" s="272"/>
      <c r="K86" s="260"/>
      <c r="L86" s="261"/>
      <c r="M86" s="262" t="str">
        <f t="shared" si="1"/>
        <v/>
      </c>
      <c r="N86" s="263" t="str">
        <f t="shared" si="2"/>
        <v/>
      </c>
      <c r="O86" s="264" t="str">
        <f t="shared" si="3"/>
        <v/>
      </c>
      <c r="P86" s="265" t="str">
        <f>IFERROR(__xludf.DUMMYFUNCTION("IF(ISBLANK(A86),"""",IFERROR(IF(H86=""Sell"",VLOOKUP(9^99,FILTER({ROW(P$2:P85),P$2:P85},D$2:D85=D86),2),(VLOOKUP(9^99,FILTER({ROW(P$2:P85),P$2:P85},D$2:D85=D86),2)*VLOOKUP(9^99,FILTER({ROW(O$2:O85),O$2:O85},D$2:D85=D86),2)-N86)/O86),J86))"),"")</f>
        <v/>
      </c>
      <c r="Q86" s="264" t="str">
        <f>IFERROR(__xludf.DUMMYFUNCTION("IFERROR(IF(F86=""Crypto"",B86,(IF(ISBLANK(D86),"""",IF(D86=""Cash"",B86,IF(GOOGLEFINANCE(D86,""CURRENCY"")=""GBX"",""GBP"",GOOGLEFINANCE(D86,""CURRENCY"")))))),B86)"),"")</f>
        <v/>
      </c>
      <c r="R86" s="263" t="str">
        <f>IFERROR(__xludf.DUMMYFUNCTION("IF(ISBLANK(A86),"""",IFERROR(IF(OR(Q86=""GPB"",Q86=""ZAR""),IF(Q86=Dashboard!$L$1,K86,(K86*GOOGLEFINANCE(""CURRENCY:""&amp;Q86&amp;""""&amp;Dashboard!$L$1&amp;""""))/100),IF(Q86=Dashboard!$L$1,K86,K86*GOOGLEFINANCE(""CURRENCY:""&amp;Q86&amp;""""&amp;Dashboard!$L$1&amp;""""))),K86))"),"")</f>
        <v/>
      </c>
      <c r="S86" s="266" t="str">
        <f>IFERROR(__xludf.DUMMYFUNCTION("IF(ISBLANK(A86),"""",IFERROR(IF(OR(Q86=""GPB"",Q86=""ZAR""),IF(Q86=Dashboard!$L$1,M86,(M86*GOOGLEFINANCE(""CURRENCY:""&amp;Q86&amp;""""&amp;Dashboard!$L$1&amp;""""))/100),IF(Q86=Dashboard!$L$1,M86,M86*GOOGLEFINANCE(""CURRENCY:""&amp;Q86&amp;""""&amp;Dashboard!$L$1&amp;""""))),M86))"),"")</f>
        <v/>
      </c>
      <c r="T86" s="264" t="str">
        <f t="shared" si="4"/>
        <v/>
      </c>
      <c r="U86" s="264" t="str">
        <f t="shared" si="5"/>
        <v/>
      </c>
      <c r="V86" s="264" t="str">
        <f t="shared" si="6"/>
        <v/>
      </c>
      <c r="W86" s="267" t="str">
        <f t="shared" si="8"/>
        <v/>
      </c>
      <c r="X86" s="264" t="str">
        <f t="shared" si="7"/>
        <v/>
      </c>
    </row>
    <row r="87" ht="15.75" customHeight="1">
      <c r="A87" s="258"/>
      <c r="B87" s="258"/>
      <c r="C87" s="269"/>
      <c r="D87" s="258"/>
      <c r="E87" s="258"/>
      <c r="F87" s="258"/>
      <c r="G87" s="258"/>
      <c r="H87" s="271"/>
      <c r="I87" s="258"/>
      <c r="J87" s="272"/>
      <c r="K87" s="260"/>
      <c r="L87" s="261"/>
      <c r="M87" s="262" t="str">
        <f t="shared" si="1"/>
        <v/>
      </c>
      <c r="N87" s="263" t="str">
        <f t="shared" si="2"/>
        <v/>
      </c>
      <c r="O87" s="264" t="str">
        <f t="shared" si="3"/>
        <v/>
      </c>
      <c r="P87" s="265" t="str">
        <f>IFERROR(__xludf.DUMMYFUNCTION("IF(ISBLANK(A87),"""",IFERROR(IF(H87=""Sell"",VLOOKUP(9^99,FILTER({ROW(P$2:P86),P$2:P86},D$2:D86=D87),2),(VLOOKUP(9^99,FILTER({ROW(P$2:P86),P$2:P86},D$2:D86=D87),2)*VLOOKUP(9^99,FILTER({ROW(O$2:O86),O$2:O86},D$2:D86=D87),2)-N87)/O87),J87))"),"")</f>
        <v/>
      </c>
      <c r="Q87" s="264" t="str">
        <f>IFERROR(__xludf.DUMMYFUNCTION("IFERROR(IF(F87=""Crypto"",B87,(IF(ISBLANK(D87),"""",IF(D87=""Cash"",B87,IF(GOOGLEFINANCE(D87,""CURRENCY"")=""GBX"",""GBP"",GOOGLEFINANCE(D87,""CURRENCY"")))))),B87)"),"")</f>
        <v/>
      </c>
      <c r="R87" s="263" t="str">
        <f>IFERROR(__xludf.DUMMYFUNCTION("IF(ISBLANK(A87),"""",IFERROR(IF(OR(Q87=""GPB"",Q87=""ZAR""),IF(Q87=Dashboard!$L$1,K87,(K87*GOOGLEFINANCE(""CURRENCY:""&amp;Q87&amp;""""&amp;Dashboard!$L$1&amp;""""))/100),IF(Q87=Dashboard!$L$1,K87,K87*GOOGLEFINANCE(""CURRENCY:""&amp;Q87&amp;""""&amp;Dashboard!$L$1&amp;""""))),K87))"),"")</f>
        <v/>
      </c>
      <c r="S87" s="266" t="str">
        <f>IFERROR(__xludf.DUMMYFUNCTION("IF(ISBLANK(A87),"""",IFERROR(IF(OR(Q87=""GPB"",Q87=""ZAR""),IF(Q87=Dashboard!$L$1,M87,(M87*GOOGLEFINANCE(""CURRENCY:""&amp;Q87&amp;""""&amp;Dashboard!$L$1&amp;""""))/100),IF(Q87=Dashboard!$L$1,M87,M87*GOOGLEFINANCE(""CURRENCY:""&amp;Q87&amp;""""&amp;Dashboard!$L$1&amp;""""))),M87))"),"")</f>
        <v/>
      </c>
      <c r="T87" s="264" t="str">
        <f t="shared" si="4"/>
        <v/>
      </c>
      <c r="U87" s="264" t="str">
        <f t="shared" si="5"/>
        <v/>
      </c>
      <c r="V87" s="264" t="str">
        <f t="shared" si="6"/>
        <v/>
      </c>
      <c r="W87" s="267" t="str">
        <f t="shared" si="8"/>
        <v/>
      </c>
      <c r="X87" s="264" t="str">
        <f t="shared" si="7"/>
        <v/>
      </c>
    </row>
    <row r="88" ht="15.75" customHeight="1">
      <c r="A88" s="258"/>
      <c r="B88" s="258"/>
      <c r="C88" s="269"/>
      <c r="D88" s="258"/>
      <c r="E88" s="258"/>
      <c r="F88" s="258"/>
      <c r="G88" s="258"/>
      <c r="H88" s="271"/>
      <c r="I88" s="258"/>
      <c r="J88" s="272"/>
      <c r="K88" s="260"/>
      <c r="L88" s="261"/>
      <c r="M88" s="262" t="str">
        <f t="shared" si="1"/>
        <v/>
      </c>
      <c r="N88" s="263" t="str">
        <f t="shared" si="2"/>
        <v/>
      </c>
      <c r="O88" s="264" t="str">
        <f t="shared" si="3"/>
        <v/>
      </c>
      <c r="P88" s="265" t="str">
        <f>IFERROR(__xludf.DUMMYFUNCTION("IF(ISBLANK(A88),"""",IFERROR(IF(H88=""Sell"",VLOOKUP(9^99,FILTER({ROW(P$2:P87),P$2:P87},D$2:D87=D88),2),(VLOOKUP(9^99,FILTER({ROW(P$2:P87),P$2:P87},D$2:D87=D88),2)*VLOOKUP(9^99,FILTER({ROW(O$2:O87),O$2:O87},D$2:D87=D88),2)-N88)/O88),J88))"),"")</f>
        <v/>
      </c>
      <c r="Q88" s="264" t="str">
        <f>IFERROR(__xludf.DUMMYFUNCTION("IFERROR(IF(F88=""Crypto"",B88,(IF(ISBLANK(D88),"""",IF(D88=""Cash"",B88,IF(GOOGLEFINANCE(D88,""CURRENCY"")=""GBX"",""GBP"",GOOGLEFINANCE(D88,""CURRENCY"")))))),B88)"),"")</f>
        <v/>
      </c>
      <c r="R88" s="263" t="str">
        <f>IFERROR(__xludf.DUMMYFUNCTION("IF(ISBLANK(A88),"""",IFERROR(IF(OR(Q88=""GPB"",Q88=""ZAR""),IF(Q88=Dashboard!$L$1,K88,(K88*GOOGLEFINANCE(""CURRENCY:""&amp;Q88&amp;""""&amp;Dashboard!$L$1&amp;""""))/100),IF(Q88=Dashboard!$L$1,K88,K88*GOOGLEFINANCE(""CURRENCY:""&amp;Q88&amp;""""&amp;Dashboard!$L$1&amp;""""))),K88))"),"")</f>
        <v/>
      </c>
      <c r="S88" s="266" t="str">
        <f>IFERROR(__xludf.DUMMYFUNCTION("IF(ISBLANK(A88),"""",IFERROR(IF(OR(Q88=""GPB"",Q88=""ZAR""),IF(Q88=Dashboard!$L$1,M88,(M88*GOOGLEFINANCE(""CURRENCY:""&amp;Q88&amp;""""&amp;Dashboard!$L$1&amp;""""))/100),IF(Q88=Dashboard!$L$1,M88,M88*GOOGLEFINANCE(""CURRENCY:""&amp;Q88&amp;""""&amp;Dashboard!$L$1&amp;""""))),M88))"),"")</f>
        <v/>
      </c>
      <c r="T88" s="264" t="str">
        <f t="shared" si="4"/>
        <v/>
      </c>
      <c r="U88" s="264" t="str">
        <f t="shared" si="5"/>
        <v/>
      </c>
      <c r="V88" s="264" t="str">
        <f t="shared" si="6"/>
        <v/>
      </c>
      <c r="W88" s="267" t="str">
        <f t="shared" si="8"/>
        <v/>
      </c>
      <c r="X88" s="264" t="str">
        <f t="shared" si="7"/>
        <v/>
      </c>
    </row>
    <row r="89" ht="15.75" customHeight="1">
      <c r="A89" s="258"/>
      <c r="B89" s="258"/>
      <c r="C89" s="269"/>
      <c r="D89" s="258"/>
      <c r="E89" s="258"/>
      <c r="F89" s="258"/>
      <c r="G89" s="258"/>
      <c r="H89" s="271"/>
      <c r="I89" s="258"/>
      <c r="J89" s="272"/>
      <c r="K89" s="260"/>
      <c r="L89" s="261"/>
      <c r="M89" s="262" t="str">
        <f t="shared" si="1"/>
        <v/>
      </c>
      <c r="N89" s="263" t="str">
        <f t="shared" si="2"/>
        <v/>
      </c>
      <c r="O89" s="264" t="str">
        <f t="shared" si="3"/>
        <v/>
      </c>
      <c r="P89" s="265" t="str">
        <f>IFERROR(__xludf.DUMMYFUNCTION("IF(ISBLANK(A89),"""",IFERROR(IF(H89=""Sell"",VLOOKUP(9^99,FILTER({ROW(P$2:P88),P$2:P88},D$2:D88=D89),2),(VLOOKUP(9^99,FILTER({ROW(P$2:P88),P$2:P88},D$2:D88=D89),2)*VLOOKUP(9^99,FILTER({ROW(O$2:O88),O$2:O88},D$2:D88=D89),2)-N89)/O89),J89))"),"")</f>
        <v/>
      </c>
      <c r="Q89" s="264" t="str">
        <f>IFERROR(__xludf.DUMMYFUNCTION("IFERROR(IF(F89=""Crypto"",B89,(IF(ISBLANK(D89),"""",IF(D89=""Cash"",B89,IF(GOOGLEFINANCE(D89,""CURRENCY"")=""GBX"",""GBP"",GOOGLEFINANCE(D89,""CURRENCY"")))))),B89)"),"")</f>
        <v/>
      </c>
      <c r="R89" s="263" t="str">
        <f>IFERROR(__xludf.DUMMYFUNCTION("IF(ISBLANK(A89),"""",IFERROR(IF(OR(Q89=""GPB"",Q89=""ZAR""),IF(Q89=Dashboard!$L$1,K89,(K89*GOOGLEFINANCE(""CURRENCY:""&amp;Q89&amp;""""&amp;Dashboard!$L$1&amp;""""))/100),IF(Q89=Dashboard!$L$1,K89,K89*GOOGLEFINANCE(""CURRENCY:""&amp;Q89&amp;""""&amp;Dashboard!$L$1&amp;""""))),K89))"),"")</f>
        <v/>
      </c>
      <c r="S89" s="266" t="str">
        <f>IFERROR(__xludf.DUMMYFUNCTION("IF(ISBLANK(A89),"""",IFERROR(IF(OR(Q89=""GPB"",Q89=""ZAR""),IF(Q89=Dashboard!$L$1,M89,(M89*GOOGLEFINANCE(""CURRENCY:""&amp;Q89&amp;""""&amp;Dashboard!$L$1&amp;""""))/100),IF(Q89=Dashboard!$L$1,M89,M89*GOOGLEFINANCE(""CURRENCY:""&amp;Q89&amp;""""&amp;Dashboard!$L$1&amp;""""))),M89))"),"")</f>
        <v/>
      </c>
      <c r="T89" s="264" t="str">
        <f t="shared" si="4"/>
        <v/>
      </c>
      <c r="U89" s="264" t="str">
        <f t="shared" si="5"/>
        <v/>
      </c>
      <c r="V89" s="264" t="str">
        <f t="shared" si="6"/>
        <v/>
      </c>
      <c r="W89" s="267" t="str">
        <f t="shared" si="8"/>
        <v/>
      </c>
      <c r="X89" s="264" t="str">
        <f t="shared" si="7"/>
        <v/>
      </c>
    </row>
    <row r="90" ht="15.75" customHeight="1">
      <c r="A90" s="258"/>
      <c r="B90" s="258"/>
      <c r="C90" s="269"/>
      <c r="D90" s="258"/>
      <c r="E90" s="258"/>
      <c r="F90" s="258"/>
      <c r="G90" s="258"/>
      <c r="H90" s="271"/>
      <c r="I90" s="258"/>
      <c r="J90" s="272"/>
      <c r="K90" s="260"/>
      <c r="L90" s="261"/>
      <c r="M90" s="262" t="str">
        <f t="shared" si="1"/>
        <v/>
      </c>
      <c r="N90" s="263" t="str">
        <f t="shared" si="2"/>
        <v/>
      </c>
      <c r="O90" s="264" t="str">
        <f t="shared" si="3"/>
        <v/>
      </c>
      <c r="P90" s="265" t="str">
        <f>IFERROR(__xludf.DUMMYFUNCTION("IF(ISBLANK(A90),"""",IFERROR(IF(H90=""Sell"",VLOOKUP(9^99,FILTER({ROW(P$2:P89),P$2:P89},D$2:D89=D90),2),(VLOOKUP(9^99,FILTER({ROW(P$2:P89),P$2:P89},D$2:D89=D90),2)*VLOOKUP(9^99,FILTER({ROW(O$2:O89),O$2:O89},D$2:D89=D90),2)-N90)/O90),J90))"),"")</f>
        <v/>
      </c>
      <c r="Q90" s="264" t="str">
        <f>IFERROR(__xludf.DUMMYFUNCTION("IFERROR(IF(F90=""Crypto"",B90,(IF(ISBLANK(D90),"""",IF(D90=""Cash"",B90,IF(GOOGLEFINANCE(D90,""CURRENCY"")=""GBX"",""GBP"",GOOGLEFINANCE(D90,""CURRENCY"")))))),B90)"),"")</f>
        <v/>
      </c>
      <c r="R90" s="263" t="str">
        <f>IFERROR(__xludf.DUMMYFUNCTION("IF(ISBLANK(A90),"""",IFERROR(IF(OR(Q90=""GPB"",Q90=""ZAR""),IF(Q90=Dashboard!$L$1,K90,(K90*GOOGLEFINANCE(""CURRENCY:""&amp;Q90&amp;""""&amp;Dashboard!$L$1&amp;""""))/100),IF(Q90=Dashboard!$L$1,K90,K90*GOOGLEFINANCE(""CURRENCY:""&amp;Q90&amp;""""&amp;Dashboard!$L$1&amp;""""))),K90))"),"")</f>
        <v/>
      </c>
      <c r="S90" s="266" t="str">
        <f>IFERROR(__xludf.DUMMYFUNCTION("IF(ISBLANK(A90),"""",IFERROR(IF(OR(Q90=""GPB"",Q90=""ZAR""),IF(Q90=Dashboard!$L$1,M90,(M90*GOOGLEFINANCE(""CURRENCY:""&amp;Q90&amp;""""&amp;Dashboard!$L$1&amp;""""))/100),IF(Q90=Dashboard!$L$1,M90,M90*GOOGLEFINANCE(""CURRENCY:""&amp;Q90&amp;""""&amp;Dashboard!$L$1&amp;""""))),M90))"),"")</f>
        <v/>
      </c>
      <c r="T90" s="264" t="str">
        <f t="shared" si="4"/>
        <v/>
      </c>
      <c r="U90" s="264" t="str">
        <f t="shared" si="5"/>
        <v/>
      </c>
      <c r="V90" s="264" t="str">
        <f t="shared" si="6"/>
        <v/>
      </c>
      <c r="W90" s="267" t="str">
        <f t="shared" si="8"/>
        <v/>
      </c>
      <c r="X90" s="264" t="str">
        <f t="shared" si="7"/>
        <v/>
      </c>
    </row>
    <row r="91" ht="15.75" customHeight="1">
      <c r="A91" s="258"/>
      <c r="B91" s="258"/>
      <c r="C91" s="269"/>
      <c r="D91" s="258"/>
      <c r="E91" s="258"/>
      <c r="F91" s="258"/>
      <c r="G91" s="258"/>
      <c r="H91" s="271"/>
      <c r="I91" s="258"/>
      <c r="J91" s="272"/>
      <c r="K91" s="260"/>
      <c r="L91" s="261"/>
      <c r="M91" s="262" t="str">
        <f t="shared" si="1"/>
        <v/>
      </c>
      <c r="N91" s="263" t="str">
        <f t="shared" si="2"/>
        <v/>
      </c>
      <c r="O91" s="264" t="str">
        <f t="shared" si="3"/>
        <v/>
      </c>
      <c r="P91" s="265" t="str">
        <f>IFERROR(__xludf.DUMMYFUNCTION("IF(ISBLANK(A91),"""",IFERROR(IF(H91=""Sell"",VLOOKUP(9^99,FILTER({ROW(P$2:P90),P$2:P90},D$2:D90=D91),2),(VLOOKUP(9^99,FILTER({ROW(P$2:P90),P$2:P90},D$2:D90=D91),2)*VLOOKUP(9^99,FILTER({ROW(O$2:O90),O$2:O90},D$2:D90=D91),2)-N91)/O91),J91))"),"")</f>
        <v/>
      </c>
      <c r="Q91" s="264" t="str">
        <f>IFERROR(__xludf.DUMMYFUNCTION("IFERROR(IF(F91=""Crypto"",B91,(IF(ISBLANK(D91),"""",IF(D91=""Cash"",B91,IF(GOOGLEFINANCE(D91,""CURRENCY"")=""GBX"",""GBP"",GOOGLEFINANCE(D91,""CURRENCY"")))))),B91)"),"")</f>
        <v/>
      </c>
      <c r="R91" s="263" t="str">
        <f>IFERROR(__xludf.DUMMYFUNCTION("IF(ISBLANK(A91),"""",IFERROR(IF(OR(Q91=""GPB"",Q91=""ZAR""),IF(Q91=Dashboard!$L$1,K91,(K91*GOOGLEFINANCE(""CURRENCY:""&amp;Q91&amp;""""&amp;Dashboard!$L$1&amp;""""))/100),IF(Q91=Dashboard!$L$1,K91,K91*GOOGLEFINANCE(""CURRENCY:""&amp;Q91&amp;""""&amp;Dashboard!$L$1&amp;""""))),K91))"),"")</f>
        <v/>
      </c>
      <c r="S91" s="266" t="str">
        <f>IFERROR(__xludf.DUMMYFUNCTION("IF(ISBLANK(A91),"""",IFERROR(IF(OR(Q91=""GPB"",Q91=""ZAR""),IF(Q91=Dashboard!$L$1,M91,(M91*GOOGLEFINANCE(""CURRENCY:""&amp;Q91&amp;""""&amp;Dashboard!$L$1&amp;""""))/100),IF(Q91=Dashboard!$L$1,M91,M91*GOOGLEFINANCE(""CURRENCY:""&amp;Q91&amp;""""&amp;Dashboard!$L$1&amp;""""))),M91))"),"")</f>
        <v/>
      </c>
      <c r="T91" s="264" t="str">
        <f t="shared" si="4"/>
        <v/>
      </c>
      <c r="U91" s="264" t="str">
        <f t="shared" si="5"/>
        <v/>
      </c>
      <c r="V91" s="264" t="str">
        <f t="shared" si="6"/>
        <v/>
      </c>
      <c r="W91" s="267" t="str">
        <f t="shared" si="8"/>
        <v/>
      </c>
      <c r="X91" s="264" t="str">
        <f t="shared" si="7"/>
        <v/>
      </c>
    </row>
    <row r="92" ht="15.75" customHeight="1">
      <c r="A92" s="258"/>
      <c r="B92" s="258"/>
      <c r="C92" s="269"/>
      <c r="D92" s="258"/>
      <c r="E92" s="258"/>
      <c r="F92" s="258"/>
      <c r="G92" s="258"/>
      <c r="H92" s="271"/>
      <c r="I92" s="258"/>
      <c r="J92" s="272"/>
      <c r="K92" s="260"/>
      <c r="L92" s="261"/>
      <c r="M92" s="262" t="str">
        <f t="shared" si="1"/>
        <v/>
      </c>
      <c r="N92" s="263" t="str">
        <f t="shared" si="2"/>
        <v/>
      </c>
      <c r="O92" s="264" t="str">
        <f t="shared" si="3"/>
        <v/>
      </c>
      <c r="P92" s="265" t="str">
        <f>IFERROR(__xludf.DUMMYFUNCTION("IF(ISBLANK(A92),"""",IFERROR(IF(H92=""Sell"",VLOOKUP(9^99,FILTER({ROW(P$2:P91),P$2:P91},D$2:D91=D92),2),(VLOOKUP(9^99,FILTER({ROW(P$2:P91),P$2:P91},D$2:D91=D92),2)*VLOOKUP(9^99,FILTER({ROW(O$2:O91),O$2:O91},D$2:D91=D92),2)-N92)/O92),J92))"),"")</f>
        <v/>
      </c>
      <c r="Q92" s="264" t="str">
        <f>IFERROR(__xludf.DUMMYFUNCTION("IFERROR(IF(F92=""Crypto"",B92,(IF(ISBLANK(D92),"""",IF(D92=""Cash"",B92,IF(GOOGLEFINANCE(D92,""CURRENCY"")=""GBX"",""GBP"",GOOGLEFINANCE(D92,""CURRENCY"")))))),B92)"),"")</f>
        <v/>
      </c>
      <c r="R92" s="263" t="str">
        <f>IFERROR(__xludf.DUMMYFUNCTION("IF(ISBLANK(A92),"""",IFERROR(IF(OR(Q92=""GPB"",Q92=""ZAR""),IF(Q92=Dashboard!$L$1,K92,(K92*GOOGLEFINANCE(""CURRENCY:""&amp;Q92&amp;""""&amp;Dashboard!$L$1&amp;""""))/100),IF(Q92=Dashboard!$L$1,K92,K92*GOOGLEFINANCE(""CURRENCY:""&amp;Q92&amp;""""&amp;Dashboard!$L$1&amp;""""))),K92))"),"")</f>
        <v/>
      </c>
      <c r="S92" s="266" t="str">
        <f>IFERROR(__xludf.DUMMYFUNCTION("IF(ISBLANK(A92),"""",IFERROR(IF(OR(Q92=""GPB"",Q92=""ZAR""),IF(Q92=Dashboard!$L$1,M92,(M92*GOOGLEFINANCE(""CURRENCY:""&amp;Q92&amp;""""&amp;Dashboard!$L$1&amp;""""))/100),IF(Q92=Dashboard!$L$1,M92,M92*GOOGLEFINANCE(""CURRENCY:""&amp;Q92&amp;""""&amp;Dashboard!$L$1&amp;""""))),M92))"),"")</f>
        <v/>
      </c>
      <c r="T92" s="264" t="str">
        <f t="shared" si="4"/>
        <v/>
      </c>
      <c r="U92" s="264" t="str">
        <f t="shared" si="5"/>
        <v/>
      </c>
      <c r="V92" s="264" t="str">
        <f t="shared" si="6"/>
        <v/>
      </c>
      <c r="W92" s="267" t="str">
        <f t="shared" si="8"/>
        <v/>
      </c>
      <c r="X92" s="264" t="str">
        <f t="shared" si="7"/>
        <v/>
      </c>
    </row>
    <row r="93" ht="15.75" customHeight="1">
      <c r="A93" s="258"/>
      <c r="B93" s="258"/>
      <c r="C93" s="269"/>
      <c r="D93" s="258"/>
      <c r="E93" s="258"/>
      <c r="F93" s="258"/>
      <c r="G93" s="258"/>
      <c r="H93" s="271"/>
      <c r="I93" s="258"/>
      <c r="J93" s="272"/>
      <c r="K93" s="260"/>
      <c r="L93" s="261"/>
      <c r="M93" s="262" t="str">
        <f t="shared" si="1"/>
        <v/>
      </c>
      <c r="N93" s="263" t="str">
        <f t="shared" si="2"/>
        <v/>
      </c>
      <c r="O93" s="264" t="str">
        <f t="shared" si="3"/>
        <v/>
      </c>
      <c r="P93" s="265" t="str">
        <f>IFERROR(__xludf.DUMMYFUNCTION("IF(ISBLANK(A93),"""",IFERROR(IF(H93=""Sell"",VLOOKUP(9^99,FILTER({ROW(P$2:P92),P$2:P92},D$2:D92=D93),2),(VLOOKUP(9^99,FILTER({ROW(P$2:P92),P$2:P92},D$2:D92=D93),2)*VLOOKUP(9^99,FILTER({ROW(O$2:O92),O$2:O92},D$2:D92=D93),2)-N93)/O93),J93))"),"")</f>
        <v/>
      </c>
      <c r="Q93" s="264" t="str">
        <f>IFERROR(__xludf.DUMMYFUNCTION("IFERROR(IF(F93=""Crypto"",B93,(IF(ISBLANK(D93),"""",IF(D93=""Cash"",B93,IF(GOOGLEFINANCE(D93,""CURRENCY"")=""GBX"",""GBP"",GOOGLEFINANCE(D93,""CURRENCY"")))))),B93)"),"")</f>
        <v/>
      </c>
      <c r="R93" s="263" t="str">
        <f>IFERROR(__xludf.DUMMYFUNCTION("IF(ISBLANK(A93),"""",IFERROR(IF(OR(Q93=""GPB"",Q93=""ZAR""),IF(Q93=Dashboard!$L$1,K93,(K93*GOOGLEFINANCE(""CURRENCY:""&amp;Q93&amp;""""&amp;Dashboard!$L$1&amp;""""))/100),IF(Q93=Dashboard!$L$1,K93,K93*GOOGLEFINANCE(""CURRENCY:""&amp;Q93&amp;""""&amp;Dashboard!$L$1&amp;""""))),K93))"),"")</f>
        <v/>
      </c>
      <c r="S93" s="266" t="str">
        <f>IFERROR(__xludf.DUMMYFUNCTION("IF(ISBLANK(A93),"""",IFERROR(IF(OR(Q93=""GPB"",Q93=""ZAR""),IF(Q93=Dashboard!$L$1,M93,(M93*GOOGLEFINANCE(""CURRENCY:""&amp;Q93&amp;""""&amp;Dashboard!$L$1&amp;""""))/100),IF(Q93=Dashboard!$L$1,M93,M93*GOOGLEFINANCE(""CURRENCY:""&amp;Q93&amp;""""&amp;Dashboard!$L$1&amp;""""))),M93))"),"")</f>
        <v/>
      </c>
      <c r="T93" s="264" t="str">
        <f t="shared" si="4"/>
        <v/>
      </c>
      <c r="U93" s="264" t="str">
        <f t="shared" si="5"/>
        <v/>
      </c>
      <c r="V93" s="264" t="str">
        <f t="shared" si="6"/>
        <v/>
      </c>
      <c r="W93" s="267" t="str">
        <f t="shared" si="8"/>
        <v/>
      </c>
      <c r="X93" s="264" t="str">
        <f t="shared" si="7"/>
        <v/>
      </c>
    </row>
    <row r="94" ht="15.75" customHeight="1">
      <c r="A94" s="258"/>
      <c r="B94" s="258"/>
      <c r="C94" s="269"/>
      <c r="D94" s="258"/>
      <c r="E94" s="258"/>
      <c r="F94" s="258"/>
      <c r="G94" s="258"/>
      <c r="H94" s="271"/>
      <c r="I94" s="258"/>
      <c r="J94" s="272"/>
      <c r="K94" s="260"/>
      <c r="L94" s="261"/>
      <c r="M94" s="262" t="str">
        <f t="shared" si="1"/>
        <v/>
      </c>
      <c r="N94" s="263" t="str">
        <f t="shared" si="2"/>
        <v/>
      </c>
      <c r="O94" s="264" t="str">
        <f t="shared" si="3"/>
        <v/>
      </c>
      <c r="P94" s="265" t="str">
        <f>IFERROR(__xludf.DUMMYFUNCTION("IF(ISBLANK(A94),"""",IFERROR(IF(H94=""Sell"",VLOOKUP(9^99,FILTER({ROW(P$2:P93),P$2:P93},D$2:D93=D94),2),(VLOOKUP(9^99,FILTER({ROW(P$2:P93),P$2:P93},D$2:D93=D94),2)*VLOOKUP(9^99,FILTER({ROW(O$2:O93),O$2:O93},D$2:D93=D94),2)-N94)/O94),J94))"),"")</f>
        <v/>
      </c>
      <c r="Q94" s="264" t="str">
        <f>IFERROR(__xludf.DUMMYFUNCTION("IFERROR(IF(F94=""Crypto"",B94,(IF(ISBLANK(D94),"""",IF(D94=""Cash"",B94,IF(GOOGLEFINANCE(D94,""CURRENCY"")=""GBX"",""GBP"",GOOGLEFINANCE(D94,""CURRENCY"")))))),B94)"),"")</f>
        <v/>
      </c>
      <c r="R94" s="263" t="str">
        <f>IFERROR(__xludf.DUMMYFUNCTION("IF(ISBLANK(A94),"""",IFERROR(IF(OR(Q94=""GPB"",Q94=""ZAR""),IF(Q94=Dashboard!$L$1,K94,(K94*GOOGLEFINANCE(""CURRENCY:""&amp;Q94&amp;""""&amp;Dashboard!$L$1&amp;""""))/100),IF(Q94=Dashboard!$L$1,K94,K94*GOOGLEFINANCE(""CURRENCY:""&amp;Q94&amp;""""&amp;Dashboard!$L$1&amp;""""))),K94))"),"")</f>
        <v/>
      </c>
      <c r="S94" s="266" t="str">
        <f>IFERROR(__xludf.DUMMYFUNCTION("IF(ISBLANK(A94),"""",IFERROR(IF(OR(Q94=""GPB"",Q94=""ZAR""),IF(Q94=Dashboard!$L$1,M94,(M94*GOOGLEFINANCE(""CURRENCY:""&amp;Q94&amp;""""&amp;Dashboard!$L$1&amp;""""))/100),IF(Q94=Dashboard!$L$1,M94,M94*GOOGLEFINANCE(""CURRENCY:""&amp;Q94&amp;""""&amp;Dashboard!$L$1&amp;""""))),M94))"),"")</f>
        <v/>
      </c>
      <c r="T94" s="264" t="str">
        <f t="shared" si="4"/>
        <v/>
      </c>
      <c r="U94" s="264" t="str">
        <f t="shared" si="5"/>
        <v/>
      </c>
      <c r="V94" s="264" t="str">
        <f t="shared" si="6"/>
        <v/>
      </c>
      <c r="W94" s="267" t="str">
        <f t="shared" si="8"/>
        <v/>
      </c>
      <c r="X94" s="264" t="str">
        <f t="shared" si="7"/>
        <v/>
      </c>
    </row>
    <row r="95" ht="15.75" customHeight="1">
      <c r="A95" s="258"/>
      <c r="B95" s="258"/>
      <c r="C95" s="269"/>
      <c r="D95" s="258"/>
      <c r="E95" s="258"/>
      <c r="F95" s="258"/>
      <c r="G95" s="258"/>
      <c r="H95" s="271"/>
      <c r="I95" s="258"/>
      <c r="J95" s="272"/>
      <c r="K95" s="260"/>
      <c r="L95" s="261"/>
      <c r="M95" s="262" t="str">
        <f t="shared" si="1"/>
        <v/>
      </c>
      <c r="N95" s="263" t="str">
        <f t="shared" si="2"/>
        <v/>
      </c>
      <c r="O95" s="264" t="str">
        <f t="shared" si="3"/>
        <v/>
      </c>
      <c r="P95" s="265" t="str">
        <f>IFERROR(__xludf.DUMMYFUNCTION("IF(ISBLANK(A95),"""",IFERROR(IF(H95=""Sell"",VLOOKUP(9^99,FILTER({ROW(P$2:P94),P$2:P94},D$2:D94=D95),2),(VLOOKUP(9^99,FILTER({ROW(P$2:P94),P$2:P94},D$2:D94=D95),2)*VLOOKUP(9^99,FILTER({ROW(O$2:O94),O$2:O94},D$2:D94=D95),2)-N95)/O95),J95))"),"")</f>
        <v/>
      </c>
      <c r="Q95" s="264" t="str">
        <f>IFERROR(__xludf.DUMMYFUNCTION("IFERROR(IF(F95=""Crypto"",B95,(IF(ISBLANK(D95),"""",IF(D95=""Cash"",B95,IF(GOOGLEFINANCE(D95,""CURRENCY"")=""GBX"",""GBP"",GOOGLEFINANCE(D95,""CURRENCY"")))))),B95)"),"")</f>
        <v/>
      </c>
      <c r="R95" s="263" t="str">
        <f>IFERROR(__xludf.DUMMYFUNCTION("IF(ISBLANK(A95),"""",IFERROR(IF(OR(Q95=""GPB"",Q95=""ZAR""),IF(Q95=Dashboard!$L$1,K95,(K95*GOOGLEFINANCE(""CURRENCY:""&amp;Q95&amp;""""&amp;Dashboard!$L$1&amp;""""))/100),IF(Q95=Dashboard!$L$1,K95,K95*GOOGLEFINANCE(""CURRENCY:""&amp;Q95&amp;""""&amp;Dashboard!$L$1&amp;""""))),K95))"),"")</f>
        <v/>
      </c>
      <c r="S95" s="266" t="str">
        <f>IFERROR(__xludf.DUMMYFUNCTION("IF(ISBLANK(A95),"""",IFERROR(IF(OR(Q95=""GPB"",Q95=""ZAR""),IF(Q95=Dashboard!$L$1,M95,(M95*GOOGLEFINANCE(""CURRENCY:""&amp;Q95&amp;""""&amp;Dashboard!$L$1&amp;""""))/100),IF(Q95=Dashboard!$L$1,M95,M95*GOOGLEFINANCE(""CURRENCY:""&amp;Q95&amp;""""&amp;Dashboard!$L$1&amp;""""))),M95))"),"")</f>
        <v/>
      </c>
      <c r="T95" s="264" t="str">
        <f t="shared" si="4"/>
        <v/>
      </c>
      <c r="U95" s="264" t="str">
        <f t="shared" si="5"/>
        <v/>
      </c>
      <c r="V95" s="264" t="str">
        <f t="shared" si="6"/>
        <v/>
      </c>
      <c r="W95" s="267" t="str">
        <f t="shared" si="8"/>
        <v/>
      </c>
      <c r="X95" s="264" t="str">
        <f t="shared" si="7"/>
        <v/>
      </c>
    </row>
    <row r="96" ht="15.75" customHeight="1">
      <c r="A96" s="258"/>
      <c r="B96" s="258"/>
      <c r="C96" s="269"/>
      <c r="D96" s="258"/>
      <c r="E96" s="258"/>
      <c r="F96" s="258"/>
      <c r="G96" s="258"/>
      <c r="H96" s="271"/>
      <c r="I96" s="258"/>
      <c r="J96" s="272"/>
      <c r="K96" s="260"/>
      <c r="L96" s="261"/>
      <c r="M96" s="262" t="str">
        <f t="shared" si="1"/>
        <v/>
      </c>
      <c r="N96" s="263" t="str">
        <f t="shared" si="2"/>
        <v/>
      </c>
      <c r="O96" s="264" t="str">
        <f t="shared" si="3"/>
        <v/>
      </c>
      <c r="P96" s="265" t="str">
        <f>IFERROR(__xludf.DUMMYFUNCTION("IF(ISBLANK(A96),"""",IFERROR(IF(H96=""Sell"",VLOOKUP(9^99,FILTER({ROW(P$2:P95),P$2:P95},D$2:D95=D96),2),(VLOOKUP(9^99,FILTER({ROW(P$2:P95),P$2:P95},D$2:D95=D96),2)*VLOOKUP(9^99,FILTER({ROW(O$2:O95),O$2:O95},D$2:D95=D96),2)-N96)/O96),J96))"),"")</f>
        <v/>
      </c>
      <c r="Q96" s="264" t="str">
        <f>IFERROR(__xludf.DUMMYFUNCTION("IFERROR(IF(F96=""Crypto"",B96,(IF(ISBLANK(D96),"""",IF(D96=""Cash"",B96,IF(GOOGLEFINANCE(D96,""CURRENCY"")=""GBX"",""GBP"",GOOGLEFINANCE(D96,""CURRENCY"")))))),B96)"),"")</f>
        <v/>
      </c>
      <c r="R96" s="263" t="str">
        <f>IFERROR(__xludf.DUMMYFUNCTION("IF(ISBLANK(A96),"""",IFERROR(IF(OR(Q96=""GPB"",Q96=""ZAR""),IF(Q96=Dashboard!$L$1,K96,(K96*GOOGLEFINANCE(""CURRENCY:""&amp;Q96&amp;""""&amp;Dashboard!$L$1&amp;""""))/100),IF(Q96=Dashboard!$L$1,K96,K96*GOOGLEFINANCE(""CURRENCY:""&amp;Q96&amp;""""&amp;Dashboard!$L$1&amp;""""))),K96))"),"")</f>
        <v/>
      </c>
      <c r="S96" s="266" t="str">
        <f>IFERROR(__xludf.DUMMYFUNCTION("IF(ISBLANK(A96),"""",IFERROR(IF(OR(Q96=""GPB"",Q96=""ZAR""),IF(Q96=Dashboard!$L$1,M96,(M96*GOOGLEFINANCE(""CURRENCY:""&amp;Q96&amp;""""&amp;Dashboard!$L$1&amp;""""))/100),IF(Q96=Dashboard!$L$1,M96,M96*GOOGLEFINANCE(""CURRENCY:""&amp;Q96&amp;""""&amp;Dashboard!$L$1&amp;""""))),M96))"),"")</f>
        <v/>
      </c>
      <c r="T96" s="264" t="str">
        <f t="shared" si="4"/>
        <v/>
      </c>
      <c r="U96" s="264" t="str">
        <f t="shared" si="5"/>
        <v/>
      </c>
      <c r="V96" s="264" t="str">
        <f t="shared" si="6"/>
        <v/>
      </c>
      <c r="W96" s="267" t="str">
        <f t="shared" si="8"/>
        <v/>
      </c>
      <c r="X96" s="264" t="str">
        <f t="shared" si="7"/>
        <v/>
      </c>
    </row>
    <row r="97" ht="15.75" customHeight="1">
      <c r="A97" s="258"/>
      <c r="B97" s="258"/>
      <c r="C97" s="269"/>
      <c r="D97" s="258"/>
      <c r="E97" s="258"/>
      <c r="F97" s="258"/>
      <c r="G97" s="258"/>
      <c r="H97" s="271"/>
      <c r="I97" s="258"/>
      <c r="J97" s="272"/>
      <c r="K97" s="260"/>
      <c r="L97" s="261"/>
      <c r="M97" s="262" t="str">
        <f t="shared" si="1"/>
        <v/>
      </c>
      <c r="N97" s="263" t="str">
        <f t="shared" si="2"/>
        <v/>
      </c>
      <c r="O97" s="264" t="str">
        <f t="shared" si="3"/>
        <v/>
      </c>
      <c r="P97" s="265" t="str">
        <f>IFERROR(__xludf.DUMMYFUNCTION("IF(ISBLANK(A97),"""",IFERROR(IF(H97=""Sell"",VLOOKUP(9^99,FILTER({ROW(P$2:P96),P$2:P96},D$2:D96=D97),2),(VLOOKUP(9^99,FILTER({ROW(P$2:P96),P$2:P96},D$2:D96=D97),2)*VLOOKUP(9^99,FILTER({ROW(O$2:O96),O$2:O96},D$2:D96=D97),2)-N97)/O97),J97))"),"")</f>
        <v/>
      </c>
      <c r="Q97" s="264" t="str">
        <f>IFERROR(__xludf.DUMMYFUNCTION("IFERROR(IF(F97=""Crypto"",B97,(IF(ISBLANK(D97),"""",IF(D97=""Cash"",B97,IF(GOOGLEFINANCE(D97,""CURRENCY"")=""GBX"",""GBP"",GOOGLEFINANCE(D97,""CURRENCY"")))))),B97)"),"")</f>
        <v/>
      </c>
      <c r="R97" s="263" t="str">
        <f>IFERROR(__xludf.DUMMYFUNCTION("IF(ISBLANK(A97),"""",IFERROR(IF(OR(Q97=""GPB"",Q97=""ZAR""),IF(Q97=Dashboard!$L$1,K97,(K97*GOOGLEFINANCE(""CURRENCY:""&amp;Q97&amp;""""&amp;Dashboard!$L$1&amp;""""))/100),IF(Q97=Dashboard!$L$1,K97,K97*GOOGLEFINANCE(""CURRENCY:""&amp;Q97&amp;""""&amp;Dashboard!$L$1&amp;""""))),K97))"),"")</f>
        <v/>
      </c>
      <c r="S97" s="266" t="str">
        <f>IFERROR(__xludf.DUMMYFUNCTION("IF(ISBLANK(A97),"""",IFERROR(IF(OR(Q97=""GPB"",Q97=""ZAR""),IF(Q97=Dashboard!$L$1,M97,(M97*GOOGLEFINANCE(""CURRENCY:""&amp;Q97&amp;""""&amp;Dashboard!$L$1&amp;""""))/100),IF(Q97=Dashboard!$L$1,M97,M97*GOOGLEFINANCE(""CURRENCY:""&amp;Q97&amp;""""&amp;Dashboard!$L$1&amp;""""))),M97))"),"")</f>
        <v/>
      </c>
      <c r="T97" s="264" t="str">
        <f t="shared" si="4"/>
        <v/>
      </c>
      <c r="U97" s="264" t="str">
        <f t="shared" si="5"/>
        <v/>
      </c>
      <c r="V97" s="264" t="str">
        <f t="shared" si="6"/>
        <v/>
      </c>
      <c r="W97" s="267" t="str">
        <f t="shared" si="8"/>
        <v/>
      </c>
      <c r="X97" s="264" t="str">
        <f t="shared" si="7"/>
        <v/>
      </c>
    </row>
    <row r="98" ht="15.75" customHeight="1">
      <c r="A98" s="258"/>
      <c r="B98" s="258"/>
      <c r="C98" s="269"/>
      <c r="D98" s="258"/>
      <c r="E98" s="258"/>
      <c r="F98" s="258"/>
      <c r="G98" s="258"/>
      <c r="H98" s="271"/>
      <c r="I98" s="258"/>
      <c r="J98" s="272"/>
      <c r="K98" s="260"/>
      <c r="L98" s="261"/>
      <c r="M98" s="262" t="str">
        <f t="shared" si="1"/>
        <v/>
      </c>
      <c r="N98" s="263" t="str">
        <f t="shared" si="2"/>
        <v/>
      </c>
      <c r="O98" s="264" t="str">
        <f t="shared" si="3"/>
        <v/>
      </c>
      <c r="P98" s="265" t="str">
        <f>IFERROR(__xludf.DUMMYFUNCTION("IF(ISBLANK(A98),"""",IFERROR(IF(H98=""Sell"",VLOOKUP(9^99,FILTER({ROW(P$2:P97),P$2:P97},D$2:D97=D98),2),(VLOOKUP(9^99,FILTER({ROW(P$2:P97),P$2:P97},D$2:D97=D98),2)*VLOOKUP(9^99,FILTER({ROW(O$2:O97),O$2:O97},D$2:D97=D98),2)-N98)/O98),J98))"),"")</f>
        <v/>
      </c>
      <c r="Q98" s="264" t="str">
        <f>IFERROR(__xludf.DUMMYFUNCTION("IFERROR(IF(F98=""Crypto"",B98,(IF(ISBLANK(D98),"""",IF(D98=""Cash"",B98,IF(GOOGLEFINANCE(D98,""CURRENCY"")=""GBX"",""GBP"",GOOGLEFINANCE(D98,""CURRENCY"")))))),B98)"),"")</f>
        <v/>
      </c>
      <c r="R98" s="263" t="str">
        <f>IFERROR(__xludf.DUMMYFUNCTION("IF(ISBLANK(A98),"""",IFERROR(IF(OR(Q98=""GPB"",Q98=""ZAR""),IF(Q98=Dashboard!$L$1,K98,(K98*GOOGLEFINANCE(""CURRENCY:""&amp;Q98&amp;""""&amp;Dashboard!$L$1&amp;""""))/100),IF(Q98=Dashboard!$L$1,K98,K98*GOOGLEFINANCE(""CURRENCY:""&amp;Q98&amp;""""&amp;Dashboard!$L$1&amp;""""))),K98))"),"")</f>
        <v/>
      </c>
      <c r="S98" s="266" t="str">
        <f>IFERROR(__xludf.DUMMYFUNCTION("IF(ISBLANK(A98),"""",IFERROR(IF(OR(Q98=""GPB"",Q98=""ZAR""),IF(Q98=Dashboard!$L$1,M98,(M98*GOOGLEFINANCE(""CURRENCY:""&amp;Q98&amp;""""&amp;Dashboard!$L$1&amp;""""))/100),IF(Q98=Dashboard!$L$1,M98,M98*GOOGLEFINANCE(""CURRENCY:""&amp;Q98&amp;""""&amp;Dashboard!$L$1&amp;""""))),M98))"),"")</f>
        <v/>
      </c>
      <c r="T98" s="264" t="str">
        <f t="shared" si="4"/>
        <v/>
      </c>
      <c r="U98" s="264" t="str">
        <f t="shared" si="5"/>
        <v/>
      </c>
      <c r="V98" s="264" t="str">
        <f t="shared" si="6"/>
        <v/>
      </c>
      <c r="W98" s="267" t="str">
        <f t="shared" si="8"/>
        <v/>
      </c>
      <c r="X98" s="264" t="str">
        <f t="shared" si="7"/>
        <v/>
      </c>
    </row>
    <row r="99" ht="15.75" customHeight="1">
      <c r="A99" s="258"/>
      <c r="B99" s="258"/>
      <c r="C99" s="269"/>
      <c r="D99" s="258"/>
      <c r="E99" s="258"/>
      <c r="F99" s="258"/>
      <c r="G99" s="258"/>
      <c r="H99" s="271"/>
      <c r="I99" s="258"/>
      <c r="J99" s="272"/>
      <c r="K99" s="260"/>
      <c r="L99" s="261"/>
      <c r="M99" s="262" t="str">
        <f t="shared" si="1"/>
        <v/>
      </c>
      <c r="N99" s="263" t="str">
        <f t="shared" si="2"/>
        <v/>
      </c>
      <c r="O99" s="264" t="str">
        <f t="shared" si="3"/>
        <v/>
      </c>
      <c r="P99" s="265" t="str">
        <f>IFERROR(__xludf.DUMMYFUNCTION("IF(ISBLANK(A99),"""",IFERROR(IF(H99=""Sell"",VLOOKUP(9^99,FILTER({ROW(P$2:P98),P$2:P98},D$2:D98=D99),2),(VLOOKUP(9^99,FILTER({ROW(P$2:P98),P$2:P98},D$2:D98=D99),2)*VLOOKUP(9^99,FILTER({ROW(O$2:O98),O$2:O98},D$2:D98=D99),2)-N99)/O99),J99))"),"")</f>
        <v/>
      </c>
      <c r="Q99" s="264" t="str">
        <f>IFERROR(__xludf.DUMMYFUNCTION("IFERROR(IF(F99=""Crypto"",B99,(IF(ISBLANK(D99),"""",IF(D99=""Cash"",B99,IF(GOOGLEFINANCE(D99,""CURRENCY"")=""GBX"",""GBP"",GOOGLEFINANCE(D99,""CURRENCY"")))))),B99)"),"")</f>
        <v/>
      </c>
      <c r="R99" s="263" t="str">
        <f>IFERROR(__xludf.DUMMYFUNCTION("IF(ISBLANK(A99),"""",IFERROR(IF(OR(Q99=""GPB"",Q99=""ZAR""),IF(Q99=Dashboard!$L$1,K99,(K99*GOOGLEFINANCE(""CURRENCY:""&amp;Q99&amp;""""&amp;Dashboard!$L$1&amp;""""))/100),IF(Q99=Dashboard!$L$1,K99,K99*GOOGLEFINANCE(""CURRENCY:""&amp;Q99&amp;""""&amp;Dashboard!$L$1&amp;""""))),K99))"),"")</f>
        <v/>
      </c>
      <c r="S99" s="266" t="str">
        <f>IFERROR(__xludf.DUMMYFUNCTION("IF(ISBLANK(A99),"""",IFERROR(IF(OR(Q99=""GPB"",Q99=""ZAR""),IF(Q99=Dashboard!$L$1,M99,(M99*GOOGLEFINANCE(""CURRENCY:""&amp;Q99&amp;""""&amp;Dashboard!$L$1&amp;""""))/100),IF(Q99=Dashboard!$L$1,M99,M99*GOOGLEFINANCE(""CURRENCY:""&amp;Q99&amp;""""&amp;Dashboard!$L$1&amp;""""))),M99))"),"")</f>
        <v/>
      </c>
      <c r="T99" s="264" t="str">
        <f t="shared" si="4"/>
        <v/>
      </c>
      <c r="U99" s="264" t="str">
        <f t="shared" si="5"/>
        <v/>
      </c>
      <c r="V99" s="264" t="str">
        <f t="shared" si="6"/>
        <v/>
      </c>
      <c r="W99" s="267" t="str">
        <f t="shared" si="8"/>
        <v/>
      </c>
      <c r="X99" s="264" t="str">
        <f t="shared" si="7"/>
        <v/>
      </c>
    </row>
    <row r="100" ht="15.75" customHeight="1">
      <c r="A100" s="258"/>
      <c r="B100" s="258"/>
      <c r="C100" s="269"/>
      <c r="D100" s="258"/>
      <c r="E100" s="258"/>
      <c r="F100" s="258"/>
      <c r="G100" s="258"/>
      <c r="H100" s="271"/>
      <c r="I100" s="258"/>
      <c r="J100" s="272"/>
      <c r="K100" s="260"/>
      <c r="L100" s="261"/>
      <c r="M100" s="262" t="str">
        <f t="shared" si="1"/>
        <v/>
      </c>
      <c r="N100" s="263" t="str">
        <f t="shared" si="2"/>
        <v/>
      </c>
      <c r="O100" s="264" t="str">
        <f t="shared" si="3"/>
        <v/>
      </c>
      <c r="P100" s="265" t="str">
        <f>IFERROR(__xludf.DUMMYFUNCTION("IF(ISBLANK(A100),"""",IFERROR(IF(H100=""Sell"",VLOOKUP(9^99,FILTER({ROW(P$2:P99),P$2:P99},D$2:D99=D100),2),(VLOOKUP(9^99,FILTER({ROW(P$2:P99),P$2:P99},D$2:D99=D100),2)*VLOOKUP(9^99,FILTER({ROW(O$2:O99),O$2:O99},D$2:D99=D100),2)-N100)/O100),J100))"),"")</f>
        <v/>
      </c>
      <c r="Q100" s="264" t="str">
        <f>IFERROR(__xludf.DUMMYFUNCTION("IFERROR(IF(F100=""Crypto"",B100,(IF(ISBLANK(D100),"""",IF(D100=""Cash"",B100,IF(GOOGLEFINANCE(D100,""CURRENCY"")=""GBX"",""GBP"",GOOGLEFINANCE(D100,""CURRENCY"")))))),B100)"),"")</f>
        <v/>
      </c>
      <c r="R100" s="263" t="str">
        <f>IFERROR(__xludf.DUMMYFUNCTION("IF(ISBLANK(A100),"""",IFERROR(IF(OR(Q100=""GPB"",Q100=""ZAR""),IF(Q100=Dashboard!$L$1,K100,(K100*GOOGLEFINANCE(""CURRENCY:""&amp;Q100&amp;""""&amp;Dashboard!$L$1&amp;""""))/100),IF(Q100=Dashboard!$L$1,K100,K100*GOOGLEFINANCE(""CURRENCY:""&amp;Q100&amp;""""&amp;Dashboard!$L$1&amp;"""")))"&amp;",K100))"),"")</f>
        <v/>
      </c>
      <c r="S100" s="266" t="str">
        <f>IFERROR(__xludf.DUMMYFUNCTION("IF(ISBLANK(A100),"""",IFERROR(IF(OR(Q100=""GPB"",Q100=""ZAR""),IF(Q100=Dashboard!$L$1,M100,(M100*GOOGLEFINANCE(""CURRENCY:""&amp;Q100&amp;""""&amp;Dashboard!$L$1&amp;""""))/100),IF(Q100=Dashboard!$L$1,M100,M100*GOOGLEFINANCE(""CURRENCY:""&amp;Q100&amp;""""&amp;Dashboard!$L$1&amp;"""")))"&amp;",M100))"),"")</f>
        <v/>
      </c>
      <c r="T100" s="264" t="str">
        <f t="shared" si="4"/>
        <v/>
      </c>
      <c r="U100" s="264" t="str">
        <f t="shared" si="5"/>
        <v/>
      </c>
      <c r="V100" s="264" t="str">
        <f t="shared" si="6"/>
        <v/>
      </c>
      <c r="W100" s="267" t="str">
        <f t="shared" si="8"/>
        <v/>
      </c>
      <c r="X100" s="264" t="str">
        <f t="shared" si="7"/>
        <v/>
      </c>
    </row>
    <row r="101" ht="15.75" customHeight="1">
      <c r="A101" s="258"/>
      <c r="B101" s="258"/>
      <c r="C101" s="269"/>
      <c r="D101" s="258"/>
      <c r="E101" s="258"/>
      <c r="F101" s="258"/>
      <c r="G101" s="258"/>
      <c r="H101" s="271"/>
      <c r="I101" s="258"/>
      <c r="J101" s="272"/>
      <c r="K101" s="260"/>
      <c r="L101" s="261"/>
      <c r="M101" s="262" t="str">
        <f t="shared" si="1"/>
        <v/>
      </c>
      <c r="N101" s="263" t="str">
        <f t="shared" si="2"/>
        <v/>
      </c>
      <c r="O101" s="264" t="str">
        <f t="shared" si="3"/>
        <v/>
      </c>
      <c r="P101" s="265" t="str">
        <f>IFERROR(__xludf.DUMMYFUNCTION("IF(ISBLANK(A101),"""",IFERROR(IF(H101=""Sell"",VLOOKUP(9^99,FILTER({ROW(P$2:P100),P$2:P100},D$2:D100=D101),2),(VLOOKUP(9^99,FILTER({ROW(P$2:P100),P$2:P100},D$2:D100=D101),2)*VLOOKUP(9^99,FILTER({ROW(O$2:O100),O$2:O100},D$2:D100=D101),2)-N101)/O101),J101))"),"")</f>
        <v/>
      </c>
      <c r="Q101" s="264" t="str">
        <f>IFERROR(__xludf.DUMMYFUNCTION("IFERROR(IF(F101=""Crypto"",B101,(IF(ISBLANK(D101),"""",IF(D101=""Cash"",B101,IF(GOOGLEFINANCE(D101,""CURRENCY"")=""GBX"",""GBP"",GOOGLEFINANCE(D101,""CURRENCY"")))))),B101)"),"")</f>
        <v/>
      </c>
      <c r="R101" s="263" t="str">
        <f>IFERROR(__xludf.DUMMYFUNCTION("IF(ISBLANK(A101),"""",IFERROR(IF(OR(Q101=""GPB"",Q101=""ZAR""),IF(Q101=Dashboard!$L$1,K101,(K101*GOOGLEFINANCE(""CURRENCY:""&amp;Q101&amp;""""&amp;Dashboard!$L$1&amp;""""))/100),IF(Q101=Dashboard!$L$1,K101,K101*GOOGLEFINANCE(""CURRENCY:""&amp;Q101&amp;""""&amp;Dashboard!$L$1&amp;"""")))"&amp;",K101))"),"")</f>
        <v/>
      </c>
      <c r="S101" s="266" t="str">
        <f>IFERROR(__xludf.DUMMYFUNCTION("IF(ISBLANK(A101),"""",IFERROR(IF(OR(Q101=""GPB"",Q101=""ZAR""),IF(Q101=Dashboard!$L$1,M101,(M101*GOOGLEFINANCE(""CURRENCY:""&amp;Q101&amp;""""&amp;Dashboard!$L$1&amp;""""))/100),IF(Q101=Dashboard!$L$1,M101,M101*GOOGLEFINANCE(""CURRENCY:""&amp;Q101&amp;""""&amp;Dashboard!$L$1&amp;"""")))"&amp;",M101))"),"")</f>
        <v/>
      </c>
      <c r="T101" s="264" t="str">
        <f t="shared" si="4"/>
        <v/>
      </c>
      <c r="U101" s="264" t="str">
        <f t="shared" si="5"/>
        <v/>
      </c>
      <c r="V101" s="264" t="str">
        <f t="shared" si="6"/>
        <v/>
      </c>
      <c r="W101" s="267" t="str">
        <f t="shared" si="8"/>
        <v/>
      </c>
      <c r="X101" s="264" t="str">
        <f t="shared" si="7"/>
        <v/>
      </c>
    </row>
    <row r="102" ht="15.75" customHeight="1">
      <c r="A102" s="258"/>
      <c r="B102" s="258"/>
      <c r="C102" s="269"/>
      <c r="D102" s="258"/>
      <c r="E102" s="258"/>
      <c r="F102" s="258"/>
      <c r="G102" s="258"/>
      <c r="H102" s="271"/>
      <c r="I102" s="258"/>
      <c r="J102" s="272"/>
      <c r="K102" s="260"/>
      <c r="L102" s="261"/>
      <c r="M102" s="262" t="str">
        <f t="shared" si="1"/>
        <v/>
      </c>
      <c r="N102" s="263" t="str">
        <f t="shared" si="2"/>
        <v/>
      </c>
      <c r="O102" s="264" t="str">
        <f t="shared" si="3"/>
        <v/>
      </c>
      <c r="P102" s="265" t="str">
        <f>IFERROR(__xludf.DUMMYFUNCTION("IF(ISBLANK(A102),"""",IFERROR(IF(H102=""Sell"",VLOOKUP(9^99,FILTER({ROW(P$2:P101),P$2:P101},D$2:D101=D102),2),(VLOOKUP(9^99,FILTER({ROW(P$2:P101),P$2:P101},D$2:D101=D102),2)*VLOOKUP(9^99,FILTER({ROW(O$2:O101),O$2:O101},D$2:D101=D102),2)-N102)/O102),J102))"),"")</f>
        <v/>
      </c>
      <c r="Q102" s="264" t="str">
        <f>IFERROR(__xludf.DUMMYFUNCTION("IFERROR(IF(F102=""Crypto"",B102,(IF(ISBLANK(D102),"""",IF(D102=""Cash"",B102,IF(GOOGLEFINANCE(D102,""CURRENCY"")=""GBX"",""GBP"",GOOGLEFINANCE(D102,""CURRENCY"")))))),B102)"),"")</f>
        <v/>
      </c>
      <c r="R102" s="263" t="str">
        <f>IFERROR(__xludf.DUMMYFUNCTION("IF(ISBLANK(A102),"""",IFERROR(IF(OR(Q102=""GPB"",Q102=""ZAR""),IF(Q102=Dashboard!$L$1,K102,(K102*GOOGLEFINANCE(""CURRENCY:""&amp;Q102&amp;""""&amp;Dashboard!$L$1&amp;""""))/100),IF(Q102=Dashboard!$L$1,K102,K102*GOOGLEFINANCE(""CURRENCY:""&amp;Q102&amp;""""&amp;Dashboard!$L$1&amp;"""")))"&amp;",K102))"),"")</f>
        <v/>
      </c>
      <c r="S102" s="266" t="str">
        <f>IFERROR(__xludf.DUMMYFUNCTION("IF(ISBLANK(A102),"""",IFERROR(IF(OR(Q102=""GPB"",Q102=""ZAR""),IF(Q102=Dashboard!$L$1,M102,(M102*GOOGLEFINANCE(""CURRENCY:""&amp;Q102&amp;""""&amp;Dashboard!$L$1&amp;""""))/100),IF(Q102=Dashboard!$L$1,M102,M102*GOOGLEFINANCE(""CURRENCY:""&amp;Q102&amp;""""&amp;Dashboard!$L$1&amp;"""")))"&amp;",M102))"),"")</f>
        <v/>
      </c>
      <c r="T102" s="264" t="str">
        <f t="shared" si="4"/>
        <v/>
      </c>
      <c r="U102" s="264" t="str">
        <f t="shared" si="5"/>
        <v/>
      </c>
      <c r="V102" s="264" t="str">
        <f t="shared" si="6"/>
        <v/>
      </c>
      <c r="W102" s="267" t="str">
        <f t="shared" si="8"/>
        <v/>
      </c>
      <c r="X102" s="264" t="str">
        <f t="shared" si="7"/>
        <v/>
      </c>
    </row>
    <row r="103" ht="15.75" customHeight="1">
      <c r="A103" s="258"/>
      <c r="B103" s="258"/>
      <c r="C103" s="269"/>
      <c r="D103" s="258"/>
      <c r="E103" s="258"/>
      <c r="F103" s="258"/>
      <c r="G103" s="258"/>
      <c r="H103" s="271"/>
      <c r="I103" s="258"/>
      <c r="J103" s="272"/>
      <c r="K103" s="260"/>
      <c r="L103" s="261"/>
      <c r="M103" s="262" t="str">
        <f t="shared" si="1"/>
        <v/>
      </c>
      <c r="N103" s="263" t="str">
        <f t="shared" si="2"/>
        <v/>
      </c>
      <c r="O103" s="264" t="str">
        <f t="shared" si="3"/>
        <v/>
      </c>
      <c r="P103" s="265" t="str">
        <f>IFERROR(__xludf.DUMMYFUNCTION("IF(ISBLANK(A103),"""",IFERROR(IF(H103=""Sell"",VLOOKUP(9^99,FILTER({ROW(P$2:P102),P$2:P102},D$2:D102=D103),2),(VLOOKUP(9^99,FILTER({ROW(P$2:P102),P$2:P102},D$2:D102=D103),2)*VLOOKUP(9^99,FILTER({ROW(O$2:O102),O$2:O102},D$2:D102=D103),2)-N103)/O103),J103))"),"")</f>
        <v/>
      </c>
      <c r="Q103" s="264" t="str">
        <f>IFERROR(__xludf.DUMMYFUNCTION("IFERROR(IF(F103=""Crypto"",B103,(IF(ISBLANK(D103),"""",IF(D103=""Cash"",B103,IF(GOOGLEFINANCE(D103,""CURRENCY"")=""GBX"",""GBP"",GOOGLEFINANCE(D103,""CURRENCY"")))))),B103)"),"")</f>
        <v/>
      </c>
      <c r="R103" s="263" t="str">
        <f>IFERROR(__xludf.DUMMYFUNCTION("IF(ISBLANK(A103),"""",IFERROR(IF(OR(Q103=""GPB"",Q103=""ZAR""),IF(Q103=Dashboard!$L$1,K103,(K103*GOOGLEFINANCE(""CURRENCY:""&amp;Q103&amp;""""&amp;Dashboard!$L$1&amp;""""))/100),IF(Q103=Dashboard!$L$1,K103,K103*GOOGLEFINANCE(""CURRENCY:""&amp;Q103&amp;""""&amp;Dashboard!$L$1&amp;"""")))"&amp;",K103))"),"")</f>
        <v/>
      </c>
      <c r="S103" s="266" t="str">
        <f>IFERROR(__xludf.DUMMYFUNCTION("IF(ISBLANK(A103),"""",IFERROR(IF(OR(Q103=""GPB"",Q103=""ZAR""),IF(Q103=Dashboard!$L$1,M103,(M103*GOOGLEFINANCE(""CURRENCY:""&amp;Q103&amp;""""&amp;Dashboard!$L$1&amp;""""))/100),IF(Q103=Dashboard!$L$1,M103,M103*GOOGLEFINANCE(""CURRENCY:""&amp;Q103&amp;""""&amp;Dashboard!$L$1&amp;"""")))"&amp;",M103))"),"")</f>
        <v/>
      </c>
      <c r="T103" s="264" t="str">
        <f t="shared" si="4"/>
        <v/>
      </c>
      <c r="U103" s="264" t="str">
        <f t="shared" si="5"/>
        <v/>
      </c>
      <c r="V103" s="264" t="str">
        <f t="shared" si="6"/>
        <v/>
      </c>
      <c r="W103" s="267" t="str">
        <f t="shared" si="8"/>
        <v/>
      </c>
      <c r="X103" s="264" t="str">
        <f t="shared" si="7"/>
        <v/>
      </c>
    </row>
    <row r="104" ht="15.75" customHeight="1">
      <c r="A104" s="258"/>
      <c r="B104" s="258"/>
      <c r="C104" s="269"/>
      <c r="D104" s="258"/>
      <c r="E104" s="258"/>
      <c r="F104" s="258"/>
      <c r="G104" s="258"/>
      <c r="H104" s="271"/>
      <c r="I104" s="258"/>
      <c r="J104" s="272"/>
      <c r="K104" s="260"/>
      <c r="L104" s="261"/>
      <c r="M104" s="262" t="str">
        <f t="shared" si="1"/>
        <v/>
      </c>
      <c r="N104" s="263" t="str">
        <f t="shared" si="2"/>
        <v/>
      </c>
      <c r="O104" s="264" t="str">
        <f t="shared" si="3"/>
        <v/>
      </c>
      <c r="P104" s="265" t="str">
        <f>IFERROR(__xludf.DUMMYFUNCTION("IF(ISBLANK(A104),"""",IFERROR(IF(H104=""Sell"",VLOOKUP(9^99,FILTER({ROW(P$2:P103),P$2:P103},D$2:D103=D104),2),(VLOOKUP(9^99,FILTER({ROW(P$2:P103),P$2:P103},D$2:D103=D104),2)*VLOOKUP(9^99,FILTER({ROW(O$2:O103),O$2:O103},D$2:D103=D104),2)-N104)/O104),J104))"),"")</f>
        <v/>
      </c>
      <c r="Q104" s="264" t="str">
        <f>IFERROR(__xludf.DUMMYFUNCTION("IFERROR(IF(F104=""Crypto"",B104,(IF(ISBLANK(D104),"""",IF(D104=""Cash"",B104,IF(GOOGLEFINANCE(D104,""CURRENCY"")=""GBX"",""GBP"",GOOGLEFINANCE(D104,""CURRENCY"")))))),B104)"),"")</f>
        <v/>
      </c>
      <c r="R104" s="263" t="str">
        <f>IFERROR(__xludf.DUMMYFUNCTION("IF(ISBLANK(A104),"""",IFERROR(IF(OR(Q104=""GPB"",Q104=""ZAR""),IF(Q104=Dashboard!$L$1,K104,(K104*GOOGLEFINANCE(""CURRENCY:""&amp;Q104&amp;""""&amp;Dashboard!$L$1&amp;""""))/100),IF(Q104=Dashboard!$L$1,K104,K104*GOOGLEFINANCE(""CURRENCY:""&amp;Q104&amp;""""&amp;Dashboard!$L$1&amp;"""")))"&amp;",K104))"),"")</f>
        <v/>
      </c>
      <c r="S104" s="266" t="str">
        <f>IFERROR(__xludf.DUMMYFUNCTION("IF(ISBLANK(A104),"""",IFERROR(IF(OR(Q104=""GPB"",Q104=""ZAR""),IF(Q104=Dashboard!$L$1,M104,(M104*GOOGLEFINANCE(""CURRENCY:""&amp;Q104&amp;""""&amp;Dashboard!$L$1&amp;""""))/100),IF(Q104=Dashboard!$L$1,M104,M104*GOOGLEFINANCE(""CURRENCY:""&amp;Q104&amp;""""&amp;Dashboard!$L$1&amp;"""")))"&amp;",M104))"),"")</f>
        <v/>
      </c>
      <c r="T104" s="264" t="str">
        <f t="shared" si="4"/>
        <v/>
      </c>
      <c r="U104" s="264" t="str">
        <f t="shared" si="5"/>
        <v/>
      </c>
      <c r="V104" s="264" t="str">
        <f t="shared" si="6"/>
        <v/>
      </c>
      <c r="W104" s="267" t="str">
        <f t="shared" si="8"/>
        <v/>
      </c>
      <c r="X104" s="264" t="str">
        <f t="shared" si="7"/>
        <v/>
      </c>
    </row>
    <row r="105" ht="15.75" customHeight="1">
      <c r="A105" s="258"/>
      <c r="B105" s="258"/>
      <c r="C105" s="269"/>
      <c r="D105" s="258"/>
      <c r="E105" s="258"/>
      <c r="F105" s="258"/>
      <c r="G105" s="258"/>
      <c r="H105" s="271"/>
      <c r="I105" s="258"/>
      <c r="J105" s="272"/>
      <c r="K105" s="260"/>
      <c r="L105" s="261"/>
      <c r="M105" s="262" t="str">
        <f t="shared" si="1"/>
        <v/>
      </c>
      <c r="N105" s="263" t="str">
        <f t="shared" si="2"/>
        <v/>
      </c>
      <c r="O105" s="264" t="str">
        <f t="shared" si="3"/>
        <v/>
      </c>
      <c r="P105" s="265" t="str">
        <f>IFERROR(__xludf.DUMMYFUNCTION("IF(ISBLANK(A105),"""",IFERROR(IF(H105=""Sell"",VLOOKUP(9^99,FILTER({ROW(P$2:P104),P$2:P104},D$2:D104=D105),2),(VLOOKUP(9^99,FILTER({ROW(P$2:P104),P$2:P104},D$2:D104=D105),2)*VLOOKUP(9^99,FILTER({ROW(O$2:O104),O$2:O104},D$2:D104=D105),2)-N105)/O105),J105))"),"")</f>
        <v/>
      </c>
      <c r="Q105" s="264" t="str">
        <f>IFERROR(__xludf.DUMMYFUNCTION("IFERROR(IF(F105=""Crypto"",B105,(IF(ISBLANK(D105),"""",IF(D105=""Cash"",B105,IF(GOOGLEFINANCE(D105,""CURRENCY"")=""GBX"",""GBP"",GOOGLEFINANCE(D105,""CURRENCY"")))))),B105)"),"")</f>
        <v/>
      </c>
      <c r="R105" s="263" t="str">
        <f>IFERROR(__xludf.DUMMYFUNCTION("IF(ISBLANK(A105),"""",IFERROR(IF(OR(Q105=""GPB"",Q105=""ZAR""),IF(Q105=Dashboard!$L$1,K105,(K105*GOOGLEFINANCE(""CURRENCY:""&amp;Q105&amp;""""&amp;Dashboard!$L$1&amp;""""))/100),IF(Q105=Dashboard!$L$1,K105,K105*GOOGLEFINANCE(""CURRENCY:""&amp;Q105&amp;""""&amp;Dashboard!$L$1&amp;"""")))"&amp;",K105))"),"")</f>
        <v/>
      </c>
      <c r="S105" s="266" t="str">
        <f>IFERROR(__xludf.DUMMYFUNCTION("IF(ISBLANK(A105),"""",IFERROR(IF(OR(Q105=""GPB"",Q105=""ZAR""),IF(Q105=Dashboard!$L$1,M105,(M105*GOOGLEFINANCE(""CURRENCY:""&amp;Q105&amp;""""&amp;Dashboard!$L$1&amp;""""))/100),IF(Q105=Dashboard!$L$1,M105,M105*GOOGLEFINANCE(""CURRENCY:""&amp;Q105&amp;""""&amp;Dashboard!$L$1&amp;"""")))"&amp;",M105))"),"")</f>
        <v/>
      </c>
      <c r="T105" s="264" t="str">
        <f t="shared" si="4"/>
        <v/>
      </c>
      <c r="U105" s="264" t="str">
        <f t="shared" si="5"/>
        <v/>
      </c>
      <c r="V105" s="264" t="str">
        <f t="shared" si="6"/>
        <v/>
      </c>
      <c r="W105" s="267" t="str">
        <f t="shared" si="8"/>
        <v/>
      </c>
      <c r="X105" s="264" t="str">
        <f t="shared" si="7"/>
        <v/>
      </c>
    </row>
    <row r="106" ht="15.75" customHeight="1">
      <c r="A106" s="258"/>
      <c r="B106" s="258"/>
      <c r="C106" s="269"/>
      <c r="D106" s="258"/>
      <c r="E106" s="258"/>
      <c r="F106" s="258"/>
      <c r="G106" s="258"/>
      <c r="H106" s="271"/>
      <c r="I106" s="258"/>
      <c r="J106" s="272"/>
      <c r="K106" s="260"/>
      <c r="L106" s="261"/>
      <c r="M106" s="262" t="str">
        <f t="shared" si="1"/>
        <v/>
      </c>
      <c r="N106" s="263" t="str">
        <f t="shared" si="2"/>
        <v/>
      </c>
      <c r="O106" s="264" t="str">
        <f t="shared" si="3"/>
        <v/>
      </c>
      <c r="P106" s="265" t="str">
        <f>IFERROR(__xludf.DUMMYFUNCTION("IF(ISBLANK(A106),"""",IFERROR(IF(H106=""Sell"",VLOOKUP(9^99,FILTER({ROW(P$2:P105),P$2:P105},D$2:D105=D106),2),(VLOOKUP(9^99,FILTER({ROW(P$2:P105),P$2:P105},D$2:D105=D106),2)*VLOOKUP(9^99,FILTER({ROW(O$2:O105),O$2:O105},D$2:D105=D106),2)-N106)/O106),J106))"),"")</f>
        <v/>
      </c>
      <c r="Q106" s="264" t="str">
        <f>IFERROR(__xludf.DUMMYFUNCTION("IFERROR(IF(F106=""Crypto"",B106,(IF(ISBLANK(D106),"""",IF(D106=""Cash"",B106,IF(GOOGLEFINANCE(D106,""CURRENCY"")=""GBX"",""GBP"",GOOGLEFINANCE(D106,""CURRENCY"")))))),B106)"),"")</f>
        <v/>
      </c>
      <c r="R106" s="263" t="str">
        <f>IFERROR(__xludf.DUMMYFUNCTION("IF(ISBLANK(A106),"""",IFERROR(IF(OR(Q106=""GPB"",Q106=""ZAR""),IF(Q106=Dashboard!$L$1,K106,(K106*GOOGLEFINANCE(""CURRENCY:""&amp;Q106&amp;""""&amp;Dashboard!$L$1&amp;""""))/100),IF(Q106=Dashboard!$L$1,K106,K106*GOOGLEFINANCE(""CURRENCY:""&amp;Q106&amp;""""&amp;Dashboard!$L$1&amp;"""")))"&amp;",K106))"),"")</f>
        <v/>
      </c>
      <c r="S106" s="266" t="str">
        <f>IFERROR(__xludf.DUMMYFUNCTION("IF(ISBLANK(A106),"""",IFERROR(IF(OR(Q106=""GPB"",Q106=""ZAR""),IF(Q106=Dashboard!$L$1,M106,(M106*GOOGLEFINANCE(""CURRENCY:""&amp;Q106&amp;""""&amp;Dashboard!$L$1&amp;""""))/100),IF(Q106=Dashboard!$L$1,M106,M106*GOOGLEFINANCE(""CURRENCY:""&amp;Q106&amp;""""&amp;Dashboard!$L$1&amp;"""")))"&amp;",M106))"),"")</f>
        <v/>
      </c>
      <c r="T106" s="264" t="str">
        <f t="shared" si="4"/>
        <v/>
      </c>
      <c r="U106" s="264" t="str">
        <f t="shared" si="5"/>
        <v/>
      </c>
      <c r="V106" s="264" t="str">
        <f t="shared" si="6"/>
        <v/>
      </c>
      <c r="W106" s="267" t="str">
        <f t="shared" si="8"/>
        <v/>
      </c>
      <c r="X106" s="264" t="str">
        <f t="shared" si="7"/>
        <v/>
      </c>
    </row>
    <row r="107" ht="15.75" customHeight="1">
      <c r="A107" s="258"/>
      <c r="B107" s="258"/>
      <c r="C107" s="269"/>
      <c r="D107" s="258"/>
      <c r="E107" s="258"/>
      <c r="F107" s="258"/>
      <c r="G107" s="258"/>
      <c r="H107" s="271"/>
      <c r="I107" s="258"/>
      <c r="J107" s="272"/>
      <c r="K107" s="260"/>
      <c r="L107" s="261"/>
      <c r="M107" s="262" t="str">
        <f t="shared" si="1"/>
        <v/>
      </c>
      <c r="N107" s="263" t="str">
        <f t="shared" si="2"/>
        <v/>
      </c>
      <c r="O107" s="264" t="str">
        <f t="shared" si="3"/>
        <v/>
      </c>
      <c r="P107" s="265" t="str">
        <f>IFERROR(__xludf.DUMMYFUNCTION("IF(ISBLANK(A107),"""",IFERROR(IF(H107=""Sell"",VLOOKUP(9^99,FILTER({ROW(P$2:P106),P$2:P106},D$2:D106=D107),2),(VLOOKUP(9^99,FILTER({ROW(P$2:P106),P$2:P106},D$2:D106=D107),2)*VLOOKUP(9^99,FILTER({ROW(O$2:O106),O$2:O106},D$2:D106=D107),2)-N107)/O107),J107))"),"")</f>
        <v/>
      </c>
      <c r="Q107" s="264" t="str">
        <f>IFERROR(__xludf.DUMMYFUNCTION("IFERROR(IF(F107=""Crypto"",B107,(IF(ISBLANK(D107),"""",IF(D107=""Cash"",B107,IF(GOOGLEFINANCE(D107,""CURRENCY"")=""GBX"",""GBP"",GOOGLEFINANCE(D107,""CURRENCY"")))))),B107)"),"")</f>
        <v/>
      </c>
      <c r="R107" s="263" t="str">
        <f>IFERROR(__xludf.DUMMYFUNCTION("IF(ISBLANK(A107),"""",IFERROR(IF(OR(Q107=""GPB"",Q107=""ZAR""),IF(Q107=Dashboard!$L$1,K107,(K107*GOOGLEFINANCE(""CURRENCY:""&amp;Q107&amp;""""&amp;Dashboard!$L$1&amp;""""))/100),IF(Q107=Dashboard!$L$1,K107,K107*GOOGLEFINANCE(""CURRENCY:""&amp;Q107&amp;""""&amp;Dashboard!$L$1&amp;"""")))"&amp;",K107))"),"")</f>
        <v/>
      </c>
      <c r="S107" s="266" t="str">
        <f>IFERROR(__xludf.DUMMYFUNCTION("IF(ISBLANK(A107),"""",IFERROR(IF(OR(Q107=""GPB"",Q107=""ZAR""),IF(Q107=Dashboard!$L$1,M107,(M107*GOOGLEFINANCE(""CURRENCY:""&amp;Q107&amp;""""&amp;Dashboard!$L$1&amp;""""))/100),IF(Q107=Dashboard!$L$1,M107,M107*GOOGLEFINANCE(""CURRENCY:""&amp;Q107&amp;""""&amp;Dashboard!$L$1&amp;"""")))"&amp;",M107))"),"")</f>
        <v/>
      </c>
      <c r="T107" s="264" t="str">
        <f t="shared" si="4"/>
        <v/>
      </c>
      <c r="U107" s="264" t="str">
        <f t="shared" si="5"/>
        <v/>
      </c>
      <c r="V107" s="264" t="str">
        <f t="shared" si="6"/>
        <v/>
      </c>
      <c r="W107" s="267" t="str">
        <f t="shared" si="8"/>
        <v/>
      </c>
      <c r="X107" s="264" t="str">
        <f t="shared" si="7"/>
        <v/>
      </c>
    </row>
    <row r="108" ht="15.75" customHeight="1">
      <c r="A108" s="258"/>
      <c r="B108" s="258"/>
      <c r="C108" s="269"/>
      <c r="D108" s="258"/>
      <c r="E108" s="258"/>
      <c r="F108" s="258"/>
      <c r="G108" s="258"/>
      <c r="H108" s="271"/>
      <c r="I108" s="258"/>
      <c r="J108" s="272"/>
      <c r="K108" s="260"/>
      <c r="L108" s="261"/>
      <c r="M108" s="262" t="str">
        <f t="shared" si="1"/>
        <v/>
      </c>
      <c r="N108" s="263" t="str">
        <f t="shared" si="2"/>
        <v/>
      </c>
      <c r="O108" s="264" t="str">
        <f t="shared" si="3"/>
        <v/>
      </c>
      <c r="P108" s="265" t="str">
        <f>IFERROR(__xludf.DUMMYFUNCTION("IF(ISBLANK(A108),"""",IFERROR(IF(H108=""Sell"",VLOOKUP(9^99,FILTER({ROW(P$2:P107),P$2:P107},D$2:D107=D108),2),(VLOOKUP(9^99,FILTER({ROW(P$2:P107),P$2:P107},D$2:D107=D108),2)*VLOOKUP(9^99,FILTER({ROW(O$2:O107),O$2:O107},D$2:D107=D108),2)-N108)/O108),J108))"),"")</f>
        <v/>
      </c>
      <c r="Q108" s="264" t="str">
        <f>IFERROR(__xludf.DUMMYFUNCTION("IFERROR(IF(F108=""Crypto"",B108,(IF(ISBLANK(D108),"""",IF(D108=""Cash"",B108,IF(GOOGLEFINANCE(D108,""CURRENCY"")=""GBX"",""GBP"",GOOGLEFINANCE(D108,""CURRENCY"")))))),B108)"),"")</f>
        <v/>
      </c>
      <c r="R108" s="263" t="str">
        <f>IFERROR(__xludf.DUMMYFUNCTION("IF(ISBLANK(A108),"""",IFERROR(IF(OR(Q108=""GPB"",Q108=""ZAR""),IF(Q108=Dashboard!$L$1,K108,(K108*GOOGLEFINANCE(""CURRENCY:""&amp;Q108&amp;""""&amp;Dashboard!$L$1&amp;""""))/100),IF(Q108=Dashboard!$L$1,K108,K108*GOOGLEFINANCE(""CURRENCY:""&amp;Q108&amp;""""&amp;Dashboard!$L$1&amp;"""")))"&amp;",K108))"),"")</f>
        <v/>
      </c>
      <c r="S108" s="266" t="str">
        <f>IFERROR(__xludf.DUMMYFUNCTION("IF(ISBLANK(A108),"""",IFERROR(IF(OR(Q108=""GPB"",Q108=""ZAR""),IF(Q108=Dashboard!$L$1,M108,(M108*GOOGLEFINANCE(""CURRENCY:""&amp;Q108&amp;""""&amp;Dashboard!$L$1&amp;""""))/100),IF(Q108=Dashboard!$L$1,M108,M108*GOOGLEFINANCE(""CURRENCY:""&amp;Q108&amp;""""&amp;Dashboard!$L$1&amp;"""")))"&amp;",M108))"),"")</f>
        <v/>
      </c>
      <c r="T108" s="264" t="str">
        <f t="shared" si="4"/>
        <v/>
      </c>
      <c r="U108" s="264" t="str">
        <f t="shared" si="5"/>
        <v/>
      </c>
      <c r="V108" s="264" t="str">
        <f t="shared" si="6"/>
        <v/>
      </c>
      <c r="W108" s="267" t="str">
        <f t="shared" si="8"/>
        <v/>
      </c>
      <c r="X108" s="264" t="str">
        <f t="shared" si="7"/>
        <v/>
      </c>
    </row>
    <row r="109" ht="15.75" customHeight="1">
      <c r="A109" s="258"/>
      <c r="B109" s="258"/>
      <c r="C109" s="269"/>
      <c r="D109" s="258"/>
      <c r="E109" s="258"/>
      <c r="F109" s="258"/>
      <c r="G109" s="258"/>
      <c r="H109" s="271"/>
      <c r="I109" s="258"/>
      <c r="J109" s="272"/>
      <c r="K109" s="260"/>
      <c r="L109" s="261"/>
      <c r="M109" s="262" t="str">
        <f t="shared" si="1"/>
        <v/>
      </c>
      <c r="N109" s="263" t="str">
        <f t="shared" si="2"/>
        <v/>
      </c>
      <c r="O109" s="264" t="str">
        <f t="shared" si="3"/>
        <v/>
      </c>
      <c r="P109" s="265" t="str">
        <f>IFERROR(__xludf.DUMMYFUNCTION("IF(ISBLANK(A109),"""",IFERROR(IF(H109=""Sell"",VLOOKUP(9^99,FILTER({ROW(P$2:P108),P$2:P108},D$2:D108=D109),2),(VLOOKUP(9^99,FILTER({ROW(P$2:P108),P$2:P108},D$2:D108=D109),2)*VLOOKUP(9^99,FILTER({ROW(O$2:O108),O$2:O108},D$2:D108=D109),2)-N109)/O109),J109))"),"")</f>
        <v/>
      </c>
      <c r="Q109" s="264" t="str">
        <f>IFERROR(__xludf.DUMMYFUNCTION("IFERROR(IF(F109=""Crypto"",B109,(IF(ISBLANK(D109),"""",IF(D109=""Cash"",B109,IF(GOOGLEFINANCE(D109,""CURRENCY"")=""GBX"",""GBP"",GOOGLEFINANCE(D109,""CURRENCY"")))))),B109)"),"")</f>
        <v/>
      </c>
      <c r="R109" s="263" t="str">
        <f>IFERROR(__xludf.DUMMYFUNCTION("IF(ISBLANK(A109),"""",IFERROR(IF(OR(Q109=""GPB"",Q109=""ZAR""),IF(Q109=Dashboard!$L$1,K109,(K109*GOOGLEFINANCE(""CURRENCY:""&amp;Q109&amp;""""&amp;Dashboard!$L$1&amp;""""))/100),IF(Q109=Dashboard!$L$1,K109,K109*GOOGLEFINANCE(""CURRENCY:""&amp;Q109&amp;""""&amp;Dashboard!$L$1&amp;"""")))"&amp;",K109))"),"")</f>
        <v/>
      </c>
      <c r="S109" s="266" t="str">
        <f>IFERROR(__xludf.DUMMYFUNCTION("IF(ISBLANK(A109),"""",IFERROR(IF(OR(Q109=""GPB"",Q109=""ZAR""),IF(Q109=Dashboard!$L$1,M109,(M109*GOOGLEFINANCE(""CURRENCY:""&amp;Q109&amp;""""&amp;Dashboard!$L$1&amp;""""))/100),IF(Q109=Dashboard!$L$1,M109,M109*GOOGLEFINANCE(""CURRENCY:""&amp;Q109&amp;""""&amp;Dashboard!$L$1&amp;"""")))"&amp;",M109))"),"")</f>
        <v/>
      </c>
      <c r="T109" s="264" t="str">
        <f t="shared" si="4"/>
        <v/>
      </c>
      <c r="U109" s="264" t="str">
        <f t="shared" si="5"/>
        <v/>
      </c>
      <c r="V109" s="264" t="str">
        <f t="shared" si="6"/>
        <v/>
      </c>
      <c r="W109" s="267" t="str">
        <f t="shared" si="8"/>
        <v/>
      </c>
      <c r="X109" s="264" t="str">
        <f t="shared" si="7"/>
        <v/>
      </c>
    </row>
    <row r="110" ht="15.75" customHeight="1">
      <c r="A110" s="258"/>
      <c r="B110" s="258"/>
      <c r="C110" s="269"/>
      <c r="D110" s="258"/>
      <c r="E110" s="258"/>
      <c r="F110" s="258"/>
      <c r="G110" s="258"/>
      <c r="H110" s="271"/>
      <c r="I110" s="258"/>
      <c r="J110" s="272"/>
      <c r="K110" s="260"/>
      <c r="L110" s="261"/>
      <c r="M110" s="262" t="str">
        <f t="shared" si="1"/>
        <v/>
      </c>
      <c r="N110" s="263" t="str">
        <f t="shared" si="2"/>
        <v/>
      </c>
      <c r="O110" s="264" t="str">
        <f t="shared" si="3"/>
        <v/>
      </c>
      <c r="P110" s="265" t="str">
        <f>IFERROR(__xludf.DUMMYFUNCTION("IF(ISBLANK(A110),"""",IFERROR(IF(H110=""Sell"",VLOOKUP(9^99,FILTER({ROW(P$2:P109),P$2:P109},D$2:D109=D110),2),(VLOOKUP(9^99,FILTER({ROW(P$2:P109),P$2:P109},D$2:D109=D110),2)*VLOOKUP(9^99,FILTER({ROW(O$2:O109),O$2:O109},D$2:D109=D110),2)-N110)/O110),J110))"),"")</f>
        <v/>
      </c>
      <c r="Q110" s="264" t="str">
        <f>IFERROR(__xludf.DUMMYFUNCTION("IFERROR(IF(F110=""Crypto"",B110,(IF(ISBLANK(D110),"""",IF(D110=""Cash"",B110,IF(GOOGLEFINANCE(D110,""CURRENCY"")=""GBX"",""GBP"",GOOGLEFINANCE(D110,""CURRENCY"")))))),B110)"),"")</f>
        <v/>
      </c>
      <c r="R110" s="263" t="str">
        <f>IFERROR(__xludf.DUMMYFUNCTION("IF(ISBLANK(A110),"""",IFERROR(IF(OR(Q110=""GPB"",Q110=""ZAR""),IF(Q110=Dashboard!$L$1,K110,(K110*GOOGLEFINANCE(""CURRENCY:""&amp;Q110&amp;""""&amp;Dashboard!$L$1&amp;""""))/100),IF(Q110=Dashboard!$L$1,K110,K110*GOOGLEFINANCE(""CURRENCY:""&amp;Q110&amp;""""&amp;Dashboard!$L$1&amp;"""")))"&amp;",K110))"),"")</f>
        <v/>
      </c>
      <c r="S110" s="266" t="str">
        <f>IFERROR(__xludf.DUMMYFUNCTION("IF(ISBLANK(A110),"""",IFERROR(IF(OR(Q110=""GPB"",Q110=""ZAR""),IF(Q110=Dashboard!$L$1,M110,(M110*GOOGLEFINANCE(""CURRENCY:""&amp;Q110&amp;""""&amp;Dashboard!$L$1&amp;""""))/100),IF(Q110=Dashboard!$L$1,M110,M110*GOOGLEFINANCE(""CURRENCY:""&amp;Q110&amp;""""&amp;Dashboard!$L$1&amp;"""")))"&amp;",M110))"),"")</f>
        <v/>
      </c>
      <c r="T110" s="264" t="str">
        <f t="shared" si="4"/>
        <v/>
      </c>
      <c r="U110" s="264" t="str">
        <f t="shared" si="5"/>
        <v/>
      </c>
      <c r="V110" s="264" t="str">
        <f t="shared" si="6"/>
        <v/>
      </c>
      <c r="W110" s="267" t="str">
        <f t="shared" si="8"/>
        <v/>
      </c>
      <c r="X110" s="264" t="str">
        <f t="shared" si="7"/>
        <v/>
      </c>
    </row>
    <row r="111" ht="15.75" customHeight="1">
      <c r="A111" s="258"/>
      <c r="B111" s="258"/>
      <c r="C111" s="269"/>
      <c r="D111" s="258"/>
      <c r="E111" s="258"/>
      <c r="F111" s="258"/>
      <c r="G111" s="258"/>
      <c r="H111" s="271"/>
      <c r="I111" s="258"/>
      <c r="J111" s="272"/>
      <c r="K111" s="260"/>
      <c r="L111" s="261"/>
      <c r="M111" s="262" t="str">
        <f t="shared" si="1"/>
        <v/>
      </c>
      <c r="N111" s="263" t="str">
        <f t="shared" si="2"/>
        <v/>
      </c>
      <c r="O111" s="264" t="str">
        <f t="shared" si="3"/>
        <v/>
      </c>
      <c r="P111" s="265" t="str">
        <f>IFERROR(__xludf.DUMMYFUNCTION("IF(ISBLANK(A111),"""",IFERROR(IF(H111=""Sell"",VLOOKUP(9^99,FILTER({ROW(P$2:P110),P$2:P110},D$2:D110=D111),2),(VLOOKUP(9^99,FILTER({ROW(P$2:P110),P$2:P110},D$2:D110=D111),2)*VLOOKUP(9^99,FILTER({ROW(O$2:O110),O$2:O110},D$2:D110=D111),2)-N111)/O111),J111))"),"")</f>
        <v/>
      </c>
      <c r="Q111" s="264" t="str">
        <f>IFERROR(__xludf.DUMMYFUNCTION("IFERROR(IF(F111=""Crypto"",B111,(IF(ISBLANK(D111),"""",IF(D111=""Cash"",B111,IF(GOOGLEFINANCE(D111,""CURRENCY"")=""GBX"",""GBP"",GOOGLEFINANCE(D111,""CURRENCY"")))))),B111)"),"")</f>
        <v/>
      </c>
      <c r="R111" s="263" t="str">
        <f>IFERROR(__xludf.DUMMYFUNCTION("IF(ISBLANK(A111),"""",IFERROR(IF(OR(Q111=""GPB"",Q111=""ZAR""),IF(Q111=Dashboard!$L$1,K111,(K111*GOOGLEFINANCE(""CURRENCY:""&amp;Q111&amp;""""&amp;Dashboard!$L$1&amp;""""))/100),IF(Q111=Dashboard!$L$1,K111,K111*GOOGLEFINANCE(""CURRENCY:""&amp;Q111&amp;""""&amp;Dashboard!$L$1&amp;"""")))"&amp;",K111))"),"")</f>
        <v/>
      </c>
      <c r="S111" s="266" t="str">
        <f>IFERROR(__xludf.DUMMYFUNCTION("IF(ISBLANK(A111),"""",IFERROR(IF(OR(Q111=""GPB"",Q111=""ZAR""),IF(Q111=Dashboard!$L$1,M111,(M111*GOOGLEFINANCE(""CURRENCY:""&amp;Q111&amp;""""&amp;Dashboard!$L$1&amp;""""))/100),IF(Q111=Dashboard!$L$1,M111,M111*GOOGLEFINANCE(""CURRENCY:""&amp;Q111&amp;""""&amp;Dashboard!$L$1&amp;"""")))"&amp;",M111))"),"")</f>
        <v/>
      </c>
      <c r="T111" s="264" t="str">
        <f t="shared" si="4"/>
        <v/>
      </c>
      <c r="U111" s="264" t="str">
        <f t="shared" si="5"/>
        <v/>
      </c>
      <c r="V111" s="264" t="str">
        <f t="shared" si="6"/>
        <v/>
      </c>
      <c r="W111" s="267" t="str">
        <f t="shared" si="8"/>
        <v/>
      </c>
      <c r="X111" s="264" t="str">
        <f t="shared" si="7"/>
        <v/>
      </c>
    </row>
    <row r="112" ht="15.75" customHeight="1">
      <c r="A112" s="258"/>
      <c r="B112" s="258"/>
      <c r="C112" s="269"/>
      <c r="D112" s="258"/>
      <c r="E112" s="258"/>
      <c r="F112" s="258"/>
      <c r="G112" s="258"/>
      <c r="H112" s="271"/>
      <c r="I112" s="258"/>
      <c r="J112" s="272"/>
      <c r="K112" s="260"/>
      <c r="L112" s="261"/>
      <c r="M112" s="262" t="str">
        <f t="shared" si="1"/>
        <v/>
      </c>
      <c r="N112" s="263" t="str">
        <f t="shared" si="2"/>
        <v/>
      </c>
      <c r="O112" s="264" t="str">
        <f t="shared" si="3"/>
        <v/>
      </c>
      <c r="P112" s="265" t="str">
        <f>IFERROR(__xludf.DUMMYFUNCTION("IF(ISBLANK(A112),"""",IFERROR(IF(H112=""Sell"",VLOOKUP(9^99,FILTER({ROW(P$2:P111),P$2:P111},D$2:D111=D112),2),(VLOOKUP(9^99,FILTER({ROW(P$2:P111),P$2:P111},D$2:D111=D112),2)*VLOOKUP(9^99,FILTER({ROW(O$2:O111),O$2:O111},D$2:D111=D112),2)-N112)/O112),J112))"),"")</f>
        <v/>
      </c>
      <c r="Q112" s="264" t="str">
        <f>IFERROR(__xludf.DUMMYFUNCTION("IFERROR(IF(F112=""Crypto"",B112,(IF(ISBLANK(D112),"""",IF(D112=""Cash"",B112,IF(GOOGLEFINANCE(D112,""CURRENCY"")=""GBX"",""GBP"",GOOGLEFINANCE(D112,""CURRENCY"")))))),B112)"),"")</f>
        <v/>
      </c>
      <c r="R112" s="263" t="str">
        <f>IFERROR(__xludf.DUMMYFUNCTION("IF(ISBLANK(A112),"""",IFERROR(IF(OR(Q112=""GPB"",Q112=""ZAR""),IF(Q112=Dashboard!$L$1,K112,(K112*GOOGLEFINANCE(""CURRENCY:""&amp;Q112&amp;""""&amp;Dashboard!$L$1&amp;""""))/100),IF(Q112=Dashboard!$L$1,K112,K112*GOOGLEFINANCE(""CURRENCY:""&amp;Q112&amp;""""&amp;Dashboard!$L$1&amp;"""")))"&amp;",K112))"),"")</f>
        <v/>
      </c>
      <c r="S112" s="266" t="str">
        <f>IFERROR(__xludf.DUMMYFUNCTION("IF(ISBLANK(A112),"""",IFERROR(IF(OR(Q112=""GPB"",Q112=""ZAR""),IF(Q112=Dashboard!$L$1,M112,(M112*GOOGLEFINANCE(""CURRENCY:""&amp;Q112&amp;""""&amp;Dashboard!$L$1&amp;""""))/100),IF(Q112=Dashboard!$L$1,M112,M112*GOOGLEFINANCE(""CURRENCY:""&amp;Q112&amp;""""&amp;Dashboard!$L$1&amp;"""")))"&amp;",M112))"),"")</f>
        <v/>
      </c>
      <c r="T112" s="264" t="str">
        <f t="shared" si="4"/>
        <v/>
      </c>
      <c r="U112" s="264" t="str">
        <f t="shared" si="5"/>
        <v/>
      </c>
      <c r="V112" s="264" t="str">
        <f t="shared" si="6"/>
        <v/>
      </c>
      <c r="W112" s="267" t="str">
        <f t="shared" si="8"/>
        <v/>
      </c>
      <c r="X112" s="264" t="str">
        <f t="shared" si="7"/>
        <v/>
      </c>
    </row>
    <row r="113" ht="15.75" customHeight="1">
      <c r="A113" s="258"/>
      <c r="B113" s="258"/>
      <c r="C113" s="269"/>
      <c r="D113" s="258"/>
      <c r="E113" s="258"/>
      <c r="F113" s="258"/>
      <c r="G113" s="258"/>
      <c r="H113" s="271"/>
      <c r="I113" s="258"/>
      <c r="J113" s="272"/>
      <c r="K113" s="260"/>
      <c r="L113" s="261"/>
      <c r="M113" s="262" t="str">
        <f t="shared" si="1"/>
        <v/>
      </c>
      <c r="N113" s="263" t="str">
        <f t="shared" si="2"/>
        <v/>
      </c>
      <c r="O113" s="264" t="str">
        <f t="shared" si="3"/>
        <v/>
      </c>
      <c r="P113" s="265" t="str">
        <f>IFERROR(__xludf.DUMMYFUNCTION("IF(ISBLANK(A113),"""",IFERROR(IF(H113=""Sell"",VLOOKUP(9^99,FILTER({ROW(P$2:P112),P$2:P112},D$2:D112=D113),2),(VLOOKUP(9^99,FILTER({ROW(P$2:P112),P$2:P112},D$2:D112=D113),2)*VLOOKUP(9^99,FILTER({ROW(O$2:O112),O$2:O112},D$2:D112=D113),2)-N113)/O113),J113))"),"")</f>
        <v/>
      </c>
      <c r="Q113" s="264" t="str">
        <f>IFERROR(__xludf.DUMMYFUNCTION("IFERROR(IF(F113=""Crypto"",B113,(IF(ISBLANK(D113),"""",IF(D113=""Cash"",B113,IF(GOOGLEFINANCE(D113,""CURRENCY"")=""GBX"",""GBP"",GOOGLEFINANCE(D113,""CURRENCY"")))))),B113)"),"")</f>
        <v/>
      </c>
      <c r="R113" s="263" t="str">
        <f>IFERROR(__xludf.DUMMYFUNCTION("IF(ISBLANK(A113),"""",IFERROR(IF(OR(Q113=""GPB"",Q113=""ZAR""),IF(Q113=Dashboard!$L$1,K113,(K113*GOOGLEFINANCE(""CURRENCY:""&amp;Q113&amp;""""&amp;Dashboard!$L$1&amp;""""))/100),IF(Q113=Dashboard!$L$1,K113,K113*GOOGLEFINANCE(""CURRENCY:""&amp;Q113&amp;""""&amp;Dashboard!$L$1&amp;"""")))"&amp;",K113))"),"")</f>
        <v/>
      </c>
      <c r="S113" s="266" t="str">
        <f>IFERROR(__xludf.DUMMYFUNCTION("IF(ISBLANK(A113),"""",IFERROR(IF(OR(Q113=""GPB"",Q113=""ZAR""),IF(Q113=Dashboard!$L$1,M113,(M113*GOOGLEFINANCE(""CURRENCY:""&amp;Q113&amp;""""&amp;Dashboard!$L$1&amp;""""))/100),IF(Q113=Dashboard!$L$1,M113,M113*GOOGLEFINANCE(""CURRENCY:""&amp;Q113&amp;""""&amp;Dashboard!$L$1&amp;"""")))"&amp;",M113))"),"")</f>
        <v/>
      </c>
      <c r="T113" s="264" t="str">
        <f t="shared" si="4"/>
        <v/>
      </c>
      <c r="U113" s="264" t="str">
        <f t="shared" si="5"/>
        <v/>
      </c>
      <c r="V113" s="264" t="str">
        <f t="shared" si="6"/>
        <v/>
      </c>
      <c r="W113" s="267" t="str">
        <f t="shared" si="8"/>
        <v/>
      </c>
      <c r="X113" s="264" t="str">
        <f t="shared" si="7"/>
        <v/>
      </c>
    </row>
    <row r="114" ht="15.75" customHeight="1">
      <c r="A114" s="258"/>
      <c r="B114" s="258"/>
      <c r="C114" s="269"/>
      <c r="D114" s="258"/>
      <c r="E114" s="258"/>
      <c r="F114" s="258"/>
      <c r="G114" s="258"/>
      <c r="H114" s="271"/>
      <c r="I114" s="258"/>
      <c r="J114" s="272"/>
      <c r="K114" s="260"/>
      <c r="L114" s="261"/>
      <c r="M114" s="262" t="str">
        <f t="shared" si="1"/>
        <v/>
      </c>
      <c r="N114" s="263" t="str">
        <f t="shared" si="2"/>
        <v/>
      </c>
      <c r="O114" s="264" t="str">
        <f t="shared" si="3"/>
        <v/>
      </c>
      <c r="P114" s="265" t="str">
        <f>IFERROR(__xludf.DUMMYFUNCTION("IF(ISBLANK(A114),"""",IFERROR(IF(H114=""Sell"",VLOOKUP(9^99,FILTER({ROW(P$2:P113),P$2:P113},D$2:D113=D114),2),(VLOOKUP(9^99,FILTER({ROW(P$2:P113),P$2:P113},D$2:D113=D114),2)*VLOOKUP(9^99,FILTER({ROW(O$2:O113),O$2:O113},D$2:D113=D114),2)-N114)/O114),J114))"),"")</f>
        <v/>
      </c>
      <c r="Q114" s="264" t="str">
        <f>IFERROR(__xludf.DUMMYFUNCTION("IFERROR(IF(F114=""Crypto"",B114,(IF(ISBLANK(D114),"""",IF(D114=""Cash"",B114,IF(GOOGLEFINANCE(D114,""CURRENCY"")=""GBX"",""GBP"",GOOGLEFINANCE(D114,""CURRENCY"")))))),B114)"),"")</f>
        <v/>
      </c>
      <c r="R114" s="263" t="str">
        <f>IFERROR(__xludf.DUMMYFUNCTION("IF(ISBLANK(A114),"""",IFERROR(IF(OR(Q114=""GPB"",Q114=""ZAR""),IF(Q114=Dashboard!$L$1,K114,(K114*GOOGLEFINANCE(""CURRENCY:""&amp;Q114&amp;""""&amp;Dashboard!$L$1&amp;""""))/100),IF(Q114=Dashboard!$L$1,K114,K114*GOOGLEFINANCE(""CURRENCY:""&amp;Q114&amp;""""&amp;Dashboard!$L$1&amp;"""")))"&amp;",K114))"),"")</f>
        <v/>
      </c>
      <c r="S114" s="266" t="str">
        <f>IFERROR(__xludf.DUMMYFUNCTION("IF(ISBLANK(A114),"""",IFERROR(IF(OR(Q114=""GPB"",Q114=""ZAR""),IF(Q114=Dashboard!$L$1,M114,(M114*GOOGLEFINANCE(""CURRENCY:""&amp;Q114&amp;""""&amp;Dashboard!$L$1&amp;""""))/100),IF(Q114=Dashboard!$L$1,M114,M114*GOOGLEFINANCE(""CURRENCY:""&amp;Q114&amp;""""&amp;Dashboard!$L$1&amp;"""")))"&amp;",M114))"),"")</f>
        <v/>
      </c>
      <c r="T114" s="264" t="str">
        <f t="shared" si="4"/>
        <v/>
      </c>
      <c r="U114" s="264" t="str">
        <f t="shared" si="5"/>
        <v/>
      </c>
      <c r="V114" s="264" t="str">
        <f t="shared" si="6"/>
        <v/>
      </c>
      <c r="W114" s="267" t="str">
        <f t="shared" si="8"/>
        <v/>
      </c>
      <c r="X114" s="264" t="str">
        <f t="shared" si="7"/>
        <v/>
      </c>
    </row>
    <row r="115" ht="15.75" customHeight="1">
      <c r="A115" s="258"/>
      <c r="B115" s="258"/>
      <c r="C115" s="269"/>
      <c r="D115" s="258"/>
      <c r="E115" s="258"/>
      <c r="F115" s="258"/>
      <c r="G115" s="258"/>
      <c r="H115" s="271"/>
      <c r="I115" s="258"/>
      <c r="J115" s="272"/>
      <c r="K115" s="260"/>
      <c r="L115" s="261"/>
      <c r="M115" s="262" t="str">
        <f t="shared" si="1"/>
        <v/>
      </c>
      <c r="N115" s="263" t="str">
        <f t="shared" si="2"/>
        <v/>
      </c>
      <c r="O115" s="264" t="str">
        <f t="shared" si="3"/>
        <v/>
      </c>
      <c r="P115" s="265" t="str">
        <f>IFERROR(__xludf.DUMMYFUNCTION("IF(ISBLANK(A115),"""",IFERROR(IF(H115=""Sell"",VLOOKUP(9^99,FILTER({ROW(P$2:P114),P$2:P114},D$2:D114=D115),2),(VLOOKUP(9^99,FILTER({ROW(P$2:P114),P$2:P114},D$2:D114=D115),2)*VLOOKUP(9^99,FILTER({ROW(O$2:O114),O$2:O114},D$2:D114=D115),2)-N115)/O115),J115))"),"")</f>
        <v/>
      </c>
      <c r="Q115" s="264" t="str">
        <f>IFERROR(__xludf.DUMMYFUNCTION("IFERROR(IF(F115=""Crypto"",B115,(IF(ISBLANK(D115),"""",IF(D115=""Cash"",B115,IF(GOOGLEFINANCE(D115,""CURRENCY"")=""GBX"",""GBP"",GOOGLEFINANCE(D115,""CURRENCY"")))))),B115)"),"")</f>
        <v/>
      </c>
      <c r="R115" s="263" t="str">
        <f>IFERROR(__xludf.DUMMYFUNCTION("IF(ISBLANK(A115),"""",IFERROR(IF(OR(Q115=""GPB"",Q115=""ZAR""),IF(Q115=Dashboard!$L$1,K115,(K115*GOOGLEFINANCE(""CURRENCY:""&amp;Q115&amp;""""&amp;Dashboard!$L$1&amp;""""))/100),IF(Q115=Dashboard!$L$1,K115,K115*GOOGLEFINANCE(""CURRENCY:""&amp;Q115&amp;""""&amp;Dashboard!$L$1&amp;"""")))"&amp;",K115))"),"")</f>
        <v/>
      </c>
      <c r="S115" s="266" t="str">
        <f>IFERROR(__xludf.DUMMYFUNCTION("IF(ISBLANK(A115),"""",IFERROR(IF(OR(Q115=""GPB"",Q115=""ZAR""),IF(Q115=Dashboard!$L$1,M115,(M115*GOOGLEFINANCE(""CURRENCY:""&amp;Q115&amp;""""&amp;Dashboard!$L$1&amp;""""))/100),IF(Q115=Dashboard!$L$1,M115,M115*GOOGLEFINANCE(""CURRENCY:""&amp;Q115&amp;""""&amp;Dashboard!$L$1&amp;"""")))"&amp;",M115))"),"")</f>
        <v/>
      </c>
      <c r="T115" s="264" t="str">
        <f t="shared" si="4"/>
        <v/>
      </c>
      <c r="U115" s="264" t="str">
        <f t="shared" si="5"/>
        <v/>
      </c>
      <c r="V115" s="264" t="str">
        <f t="shared" si="6"/>
        <v/>
      </c>
      <c r="W115" s="267" t="str">
        <f t="shared" si="8"/>
        <v/>
      </c>
      <c r="X115" s="264" t="str">
        <f t="shared" si="7"/>
        <v/>
      </c>
    </row>
    <row r="116" ht="15.75" customHeight="1">
      <c r="A116" s="258"/>
      <c r="B116" s="258"/>
      <c r="C116" s="269"/>
      <c r="D116" s="258"/>
      <c r="E116" s="258"/>
      <c r="F116" s="258"/>
      <c r="G116" s="258"/>
      <c r="H116" s="271"/>
      <c r="I116" s="258"/>
      <c r="J116" s="272"/>
      <c r="K116" s="260"/>
      <c r="L116" s="261"/>
      <c r="M116" s="262" t="str">
        <f t="shared" si="1"/>
        <v/>
      </c>
      <c r="N116" s="263" t="str">
        <f t="shared" si="2"/>
        <v/>
      </c>
      <c r="O116" s="264" t="str">
        <f t="shared" si="3"/>
        <v/>
      </c>
      <c r="P116" s="265" t="str">
        <f>IFERROR(__xludf.DUMMYFUNCTION("IF(ISBLANK(A116),"""",IFERROR(IF(H116=""Sell"",VLOOKUP(9^99,FILTER({ROW(P$2:P115),P$2:P115},D$2:D115=D116),2),(VLOOKUP(9^99,FILTER({ROW(P$2:P115),P$2:P115},D$2:D115=D116),2)*VLOOKUP(9^99,FILTER({ROW(O$2:O115),O$2:O115},D$2:D115=D116),2)-N116)/O116),J116))"),"")</f>
        <v/>
      </c>
      <c r="Q116" s="264" t="str">
        <f>IFERROR(__xludf.DUMMYFUNCTION("IFERROR(IF(F116=""Crypto"",B116,(IF(ISBLANK(D116),"""",IF(D116=""Cash"",B116,IF(GOOGLEFINANCE(D116,""CURRENCY"")=""GBX"",""GBP"",GOOGLEFINANCE(D116,""CURRENCY"")))))),B116)"),"")</f>
        <v/>
      </c>
      <c r="R116" s="263" t="str">
        <f>IFERROR(__xludf.DUMMYFUNCTION("IF(ISBLANK(A116),"""",IFERROR(IF(OR(Q116=""GPB"",Q116=""ZAR""),IF(Q116=Dashboard!$L$1,K116,(K116*GOOGLEFINANCE(""CURRENCY:""&amp;Q116&amp;""""&amp;Dashboard!$L$1&amp;""""))/100),IF(Q116=Dashboard!$L$1,K116,K116*GOOGLEFINANCE(""CURRENCY:""&amp;Q116&amp;""""&amp;Dashboard!$L$1&amp;"""")))"&amp;",K116))"),"")</f>
        <v/>
      </c>
      <c r="S116" s="266" t="str">
        <f>IFERROR(__xludf.DUMMYFUNCTION("IF(ISBLANK(A116),"""",IFERROR(IF(OR(Q116=""GPB"",Q116=""ZAR""),IF(Q116=Dashboard!$L$1,M116,(M116*GOOGLEFINANCE(""CURRENCY:""&amp;Q116&amp;""""&amp;Dashboard!$L$1&amp;""""))/100),IF(Q116=Dashboard!$L$1,M116,M116*GOOGLEFINANCE(""CURRENCY:""&amp;Q116&amp;""""&amp;Dashboard!$L$1&amp;"""")))"&amp;",M116))"),"")</f>
        <v/>
      </c>
      <c r="T116" s="264" t="str">
        <f t="shared" si="4"/>
        <v/>
      </c>
      <c r="U116" s="264" t="str">
        <f t="shared" si="5"/>
        <v/>
      </c>
      <c r="V116" s="264" t="str">
        <f t="shared" si="6"/>
        <v/>
      </c>
      <c r="W116" s="267" t="str">
        <f t="shared" si="8"/>
        <v/>
      </c>
      <c r="X116" s="264" t="str">
        <f t="shared" si="7"/>
        <v/>
      </c>
    </row>
    <row r="117" ht="15.75" customHeight="1">
      <c r="A117" s="258"/>
      <c r="B117" s="258"/>
      <c r="C117" s="269"/>
      <c r="D117" s="258"/>
      <c r="E117" s="258"/>
      <c r="F117" s="258"/>
      <c r="G117" s="258"/>
      <c r="H117" s="271"/>
      <c r="I117" s="258"/>
      <c r="J117" s="272"/>
      <c r="K117" s="260"/>
      <c r="L117" s="261"/>
      <c r="M117" s="262" t="str">
        <f t="shared" si="1"/>
        <v/>
      </c>
      <c r="N117" s="263" t="str">
        <f t="shared" si="2"/>
        <v/>
      </c>
      <c r="O117" s="264" t="str">
        <f t="shared" si="3"/>
        <v/>
      </c>
      <c r="P117" s="265" t="str">
        <f>IFERROR(__xludf.DUMMYFUNCTION("IF(ISBLANK(A117),"""",IFERROR(IF(H117=""Sell"",VLOOKUP(9^99,FILTER({ROW(P$2:P116),P$2:P116},D$2:D116=D117),2),(VLOOKUP(9^99,FILTER({ROW(P$2:P116),P$2:P116},D$2:D116=D117),2)*VLOOKUP(9^99,FILTER({ROW(O$2:O116),O$2:O116},D$2:D116=D117),2)-N117)/O117),J117))"),"")</f>
        <v/>
      </c>
      <c r="Q117" s="264" t="str">
        <f>IFERROR(__xludf.DUMMYFUNCTION("IFERROR(IF(F117=""Crypto"",B117,(IF(ISBLANK(D117),"""",IF(D117=""Cash"",B117,IF(GOOGLEFINANCE(D117,""CURRENCY"")=""GBX"",""GBP"",GOOGLEFINANCE(D117,""CURRENCY"")))))),B117)"),"")</f>
        <v/>
      </c>
      <c r="R117" s="263" t="str">
        <f>IFERROR(__xludf.DUMMYFUNCTION("IF(ISBLANK(A117),"""",IFERROR(IF(OR(Q117=""GPB"",Q117=""ZAR""),IF(Q117=Dashboard!$L$1,K117,(K117*GOOGLEFINANCE(""CURRENCY:""&amp;Q117&amp;""""&amp;Dashboard!$L$1&amp;""""))/100),IF(Q117=Dashboard!$L$1,K117,K117*GOOGLEFINANCE(""CURRENCY:""&amp;Q117&amp;""""&amp;Dashboard!$L$1&amp;"""")))"&amp;",K117))"),"")</f>
        <v/>
      </c>
      <c r="S117" s="266" t="str">
        <f>IFERROR(__xludf.DUMMYFUNCTION("IF(ISBLANK(A117),"""",IFERROR(IF(OR(Q117=""GPB"",Q117=""ZAR""),IF(Q117=Dashboard!$L$1,M117,(M117*GOOGLEFINANCE(""CURRENCY:""&amp;Q117&amp;""""&amp;Dashboard!$L$1&amp;""""))/100),IF(Q117=Dashboard!$L$1,M117,M117*GOOGLEFINANCE(""CURRENCY:""&amp;Q117&amp;""""&amp;Dashboard!$L$1&amp;"""")))"&amp;",M117))"),"")</f>
        <v/>
      </c>
      <c r="T117" s="264" t="str">
        <f t="shared" si="4"/>
        <v/>
      </c>
      <c r="U117" s="264" t="str">
        <f t="shared" si="5"/>
        <v/>
      </c>
      <c r="V117" s="264" t="str">
        <f t="shared" si="6"/>
        <v/>
      </c>
      <c r="W117" s="267" t="str">
        <f t="shared" si="8"/>
        <v/>
      </c>
      <c r="X117" s="264" t="str">
        <f t="shared" si="7"/>
        <v/>
      </c>
    </row>
    <row r="118" ht="15.75" customHeight="1">
      <c r="A118" s="258"/>
      <c r="B118" s="258"/>
      <c r="C118" s="269"/>
      <c r="D118" s="258"/>
      <c r="E118" s="258"/>
      <c r="F118" s="258"/>
      <c r="G118" s="258"/>
      <c r="H118" s="271"/>
      <c r="I118" s="258"/>
      <c r="J118" s="272"/>
      <c r="K118" s="260"/>
      <c r="L118" s="261"/>
      <c r="M118" s="262" t="str">
        <f t="shared" si="1"/>
        <v/>
      </c>
      <c r="N118" s="263" t="str">
        <f t="shared" si="2"/>
        <v/>
      </c>
      <c r="O118" s="264" t="str">
        <f t="shared" si="3"/>
        <v/>
      </c>
      <c r="P118" s="265" t="str">
        <f>IFERROR(__xludf.DUMMYFUNCTION("IF(ISBLANK(A118),"""",IFERROR(IF(H118=""Sell"",VLOOKUP(9^99,FILTER({ROW(P$2:P117),P$2:P117},D$2:D117=D118),2),(VLOOKUP(9^99,FILTER({ROW(P$2:P117),P$2:P117},D$2:D117=D118),2)*VLOOKUP(9^99,FILTER({ROW(O$2:O117),O$2:O117},D$2:D117=D118),2)-N118)/O118),J118))"),"")</f>
        <v/>
      </c>
      <c r="Q118" s="264" t="str">
        <f>IFERROR(__xludf.DUMMYFUNCTION("IFERROR(IF(F118=""Crypto"",B118,(IF(ISBLANK(D118),"""",IF(D118=""Cash"",B118,IF(GOOGLEFINANCE(D118,""CURRENCY"")=""GBX"",""GBP"",GOOGLEFINANCE(D118,""CURRENCY"")))))),B118)"),"")</f>
        <v/>
      </c>
      <c r="R118" s="263" t="str">
        <f>IFERROR(__xludf.DUMMYFUNCTION("IF(ISBLANK(A118),"""",IFERROR(IF(OR(Q118=""GPB"",Q118=""ZAR""),IF(Q118=Dashboard!$L$1,K118,(K118*GOOGLEFINANCE(""CURRENCY:""&amp;Q118&amp;""""&amp;Dashboard!$L$1&amp;""""))/100),IF(Q118=Dashboard!$L$1,K118,K118*GOOGLEFINANCE(""CURRENCY:""&amp;Q118&amp;""""&amp;Dashboard!$L$1&amp;"""")))"&amp;",K118))"),"")</f>
        <v/>
      </c>
      <c r="S118" s="266" t="str">
        <f>IFERROR(__xludf.DUMMYFUNCTION("IF(ISBLANK(A118),"""",IFERROR(IF(OR(Q118=""GPB"",Q118=""ZAR""),IF(Q118=Dashboard!$L$1,M118,(M118*GOOGLEFINANCE(""CURRENCY:""&amp;Q118&amp;""""&amp;Dashboard!$L$1&amp;""""))/100),IF(Q118=Dashboard!$L$1,M118,M118*GOOGLEFINANCE(""CURRENCY:""&amp;Q118&amp;""""&amp;Dashboard!$L$1&amp;"""")))"&amp;",M118))"),"")</f>
        <v/>
      </c>
      <c r="T118" s="264" t="str">
        <f t="shared" si="4"/>
        <v/>
      </c>
      <c r="U118" s="264" t="str">
        <f t="shared" si="5"/>
        <v/>
      </c>
      <c r="V118" s="264" t="str">
        <f t="shared" si="6"/>
        <v/>
      </c>
      <c r="W118" s="267" t="str">
        <f t="shared" si="8"/>
        <v/>
      </c>
      <c r="X118" s="264" t="str">
        <f t="shared" si="7"/>
        <v/>
      </c>
    </row>
    <row r="119" ht="15.75" customHeight="1">
      <c r="A119" s="258"/>
      <c r="B119" s="258"/>
      <c r="C119" s="269"/>
      <c r="D119" s="258"/>
      <c r="E119" s="258"/>
      <c r="F119" s="258"/>
      <c r="G119" s="258"/>
      <c r="H119" s="271"/>
      <c r="I119" s="258"/>
      <c r="J119" s="272"/>
      <c r="K119" s="260"/>
      <c r="L119" s="261"/>
      <c r="M119" s="262" t="str">
        <f t="shared" si="1"/>
        <v/>
      </c>
      <c r="N119" s="263" t="str">
        <f t="shared" si="2"/>
        <v/>
      </c>
      <c r="O119" s="264" t="str">
        <f t="shared" si="3"/>
        <v/>
      </c>
      <c r="P119" s="265" t="str">
        <f>IFERROR(__xludf.DUMMYFUNCTION("IF(ISBLANK(A119),"""",IFERROR(IF(H119=""Sell"",VLOOKUP(9^99,FILTER({ROW(P$2:P118),P$2:P118},D$2:D118=D119),2),(VLOOKUP(9^99,FILTER({ROW(P$2:P118),P$2:P118},D$2:D118=D119),2)*VLOOKUP(9^99,FILTER({ROW(O$2:O118),O$2:O118},D$2:D118=D119),2)-N119)/O119),J119))"),"")</f>
        <v/>
      </c>
      <c r="Q119" s="264" t="str">
        <f>IFERROR(__xludf.DUMMYFUNCTION("IFERROR(IF(F119=""Crypto"",B119,(IF(ISBLANK(D119),"""",IF(D119=""Cash"",B119,IF(GOOGLEFINANCE(D119,""CURRENCY"")=""GBX"",""GBP"",GOOGLEFINANCE(D119,""CURRENCY"")))))),B119)"),"")</f>
        <v/>
      </c>
      <c r="R119" s="263" t="str">
        <f>IFERROR(__xludf.DUMMYFUNCTION("IF(ISBLANK(A119),"""",IFERROR(IF(OR(Q119=""GPB"",Q119=""ZAR""),IF(Q119=Dashboard!$L$1,K119,(K119*GOOGLEFINANCE(""CURRENCY:""&amp;Q119&amp;""""&amp;Dashboard!$L$1&amp;""""))/100),IF(Q119=Dashboard!$L$1,K119,K119*GOOGLEFINANCE(""CURRENCY:""&amp;Q119&amp;""""&amp;Dashboard!$L$1&amp;"""")))"&amp;",K119))"),"")</f>
        <v/>
      </c>
      <c r="S119" s="266" t="str">
        <f>IFERROR(__xludf.DUMMYFUNCTION("IF(ISBLANK(A119),"""",IFERROR(IF(OR(Q119=""GPB"",Q119=""ZAR""),IF(Q119=Dashboard!$L$1,M119,(M119*GOOGLEFINANCE(""CURRENCY:""&amp;Q119&amp;""""&amp;Dashboard!$L$1&amp;""""))/100),IF(Q119=Dashboard!$L$1,M119,M119*GOOGLEFINANCE(""CURRENCY:""&amp;Q119&amp;""""&amp;Dashboard!$L$1&amp;"""")))"&amp;",M119))"),"")</f>
        <v/>
      </c>
      <c r="T119" s="264" t="str">
        <f t="shared" si="4"/>
        <v/>
      </c>
      <c r="U119" s="264" t="str">
        <f t="shared" si="5"/>
        <v/>
      </c>
      <c r="V119" s="264" t="str">
        <f t="shared" si="6"/>
        <v/>
      </c>
      <c r="W119" s="267" t="str">
        <f t="shared" si="8"/>
        <v/>
      </c>
      <c r="X119" s="264" t="str">
        <f t="shared" si="7"/>
        <v/>
      </c>
    </row>
    <row r="120" ht="15.75" customHeight="1">
      <c r="A120" s="258"/>
      <c r="B120" s="258"/>
      <c r="C120" s="269"/>
      <c r="D120" s="258"/>
      <c r="E120" s="258"/>
      <c r="F120" s="258"/>
      <c r="G120" s="258"/>
      <c r="H120" s="271"/>
      <c r="I120" s="258"/>
      <c r="J120" s="272"/>
      <c r="K120" s="260"/>
      <c r="L120" s="261"/>
      <c r="M120" s="262" t="str">
        <f t="shared" si="1"/>
        <v/>
      </c>
      <c r="N120" s="263" t="str">
        <f t="shared" si="2"/>
        <v/>
      </c>
      <c r="O120" s="264" t="str">
        <f t="shared" si="3"/>
        <v/>
      </c>
      <c r="P120" s="265" t="str">
        <f>IFERROR(__xludf.DUMMYFUNCTION("IF(ISBLANK(A120),"""",IFERROR(IF(H120=""Sell"",VLOOKUP(9^99,FILTER({ROW(P$2:P119),P$2:P119},D$2:D119=D120),2),(VLOOKUP(9^99,FILTER({ROW(P$2:P119),P$2:P119},D$2:D119=D120),2)*VLOOKUP(9^99,FILTER({ROW(O$2:O119),O$2:O119},D$2:D119=D120),2)-N120)/O120),J120))"),"")</f>
        <v/>
      </c>
      <c r="Q120" s="264" t="str">
        <f>IFERROR(__xludf.DUMMYFUNCTION("IFERROR(IF(F120=""Crypto"",B120,(IF(ISBLANK(D120),"""",IF(D120=""Cash"",B120,IF(GOOGLEFINANCE(D120,""CURRENCY"")=""GBX"",""GBP"",GOOGLEFINANCE(D120,""CURRENCY"")))))),B120)"),"")</f>
        <v/>
      </c>
      <c r="R120" s="263" t="str">
        <f>IFERROR(__xludf.DUMMYFUNCTION("IF(ISBLANK(A120),"""",IFERROR(IF(OR(Q120=""GPB"",Q120=""ZAR""),IF(Q120=Dashboard!$L$1,K120,(K120*GOOGLEFINANCE(""CURRENCY:""&amp;Q120&amp;""""&amp;Dashboard!$L$1&amp;""""))/100),IF(Q120=Dashboard!$L$1,K120,K120*GOOGLEFINANCE(""CURRENCY:""&amp;Q120&amp;""""&amp;Dashboard!$L$1&amp;"""")))"&amp;",K120))"),"")</f>
        <v/>
      </c>
      <c r="S120" s="266" t="str">
        <f>IFERROR(__xludf.DUMMYFUNCTION("IF(ISBLANK(A120),"""",IFERROR(IF(OR(Q120=""GPB"",Q120=""ZAR""),IF(Q120=Dashboard!$L$1,M120,(M120*GOOGLEFINANCE(""CURRENCY:""&amp;Q120&amp;""""&amp;Dashboard!$L$1&amp;""""))/100),IF(Q120=Dashboard!$L$1,M120,M120*GOOGLEFINANCE(""CURRENCY:""&amp;Q120&amp;""""&amp;Dashboard!$L$1&amp;"""")))"&amp;",M120))"),"")</f>
        <v/>
      </c>
      <c r="T120" s="264" t="str">
        <f t="shared" si="4"/>
        <v/>
      </c>
      <c r="U120" s="264" t="str">
        <f t="shared" si="5"/>
        <v/>
      </c>
      <c r="V120" s="264" t="str">
        <f t="shared" si="6"/>
        <v/>
      </c>
      <c r="W120" s="267" t="str">
        <f t="shared" si="8"/>
        <v/>
      </c>
      <c r="X120" s="264" t="str">
        <f t="shared" si="7"/>
        <v/>
      </c>
    </row>
    <row r="121" ht="15.75" customHeight="1">
      <c r="A121" s="258"/>
      <c r="B121" s="258"/>
      <c r="C121" s="269"/>
      <c r="D121" s="258"/>
      <c r="E121" s="258"/>
      <c r="F121" s="258"/>
      <c r="G121" s="258"/>
      <c r="H121" s="271"/>
      <c r="I121" s="258"/>
      <c r="J121" s="272"/>
      <c r="K121" s="260"/>
      <c r="L121" s="261"/>
      <c r="M121" s="262" t="str">
        <f t="shared" si="1"/>
        <v/>
      </c>
      <c r="N121" s="263" t="str">
        <f t="shared" si="2"/>
        <v/>
      </c>
      <c r="O121" s="264" t="str">
        <f t="shared" si="3"/>
        <v/>
      </c>
      <c r="P121" s="265" t="str">
        <f>IFERROR(__xludf.DUMMYFUNCTION("IF(ISBLANK(A121),"""",IFERROR(IF(H121=""Sell"",VLOOKUP(9^99,FILTER({ROW(P$2:P120),P$2:P120},D$2:D120=D121),2),(VLOOKUP(9^99,FILTER({ROW(P$2:P120),P$2:P120},D$2:D120=D121),2)*VLOOKUP(9^99,FILTER({ROW(O$2:O120),O$2:O120},D$2:D120=D121),2)-N121)/O121),J121))"),"")</f>
        <v/>
      </c>
      <c r="Q121" s="264" t="str">
        <f>IFERROR(__xludf.DUMMYFUNCTION("IFERROR(IF(F121=""Crypto"",B121,(IF(ISBLANK(D121),"""",IF(D121=""Cash"",B121,IF(GOOGLEFINANCE(D121,""CURRENCY"")=""GBX"",""GBP"",GOOGLEFINANCE(D121,""CURRENCY"")))))),B121)"),"")</f>
        <v/>
      </c>
      <c r="R121" s="263" t="str">
        <f>IFERROR(__xludf.DUMMYFUNCTION("IF(ISBLANK(A121),"""",IFERROR(IF(OR(Q121=""GPB"",Q121=""ZAR""),IF(Q121=Dashboard!$L$1,K121,(K121*GOOGLEFINANCE(""CURRENCY:""&amp;Q121&amp;""""&amp;Dashboard!$L$1&amp;""""))/100),IF(Q121=Dashboard!$L$1,K121,K121*GOOGLEFINANCE(""CURRENCY:""&amp;Q121&amp;""""&amp;Dashboard!$L$1&amp;"""")))"&amp;",K121))"),"")</f>
        <v/>
      </c>
      <c r="S121" s="266" t="str">
        <f>IFERROR(__xludf.DUMMYFUNCTION("IF(ISBLANK(A121),"""",IFERROR(IF(OR(Q121=""GPB"",Q121=""ZAR""),IF(Q121=Dashboard!$L$1,M121,(M121*GOOGLEFINANCE(""CURRENCY:""&amp;Q121&amp;""""&amp;Dashboard!$L$1&amp;""""))/100),IF(Q121=Dashboard!$L$1,M121,M121*GOOGLEFINANCE(""CURRENCY:""&amp;Q121&amp;""""&amp;Dashboard!$L$1&amp;"""")))"&amp;",M121))"),"")</f>
        <v/>
      </c>
      <c r="T121" s="264" t="str">
        <f t="shared" si="4"/>
        <v/>
      </c>
      <c r="U121" s="264" t="str">
        <f t="shared" si="5"/>
        <v/>
      </c>
      <c r="V121" s="264" t="str">
        <f t="shared" si="6"/>
        <v/>
      </c>
      <c r="W121" s="267" t="str">
        <f t="shared" si="8"/>
        <v/>
      </c>
      <c r="X121" s="264" t="str">
        <f t="shared" si="7"/>
        <v/>
      </c>
    </row>
    <row r="122" ht="15.75" customHeight="1">
      <c r="A122" s="258"/>
      <c r="B122" s="258"/>
      <c r="C122" s="269"/>
      <c r="D122" s="258"/>
      <c r="E122" s="258"/>
      <c r="F122" s="258"/>
      <c r="G122" s="258"/>
      <c r="H122" s="271"/>
      <c r="I122" s="258"/>
      <c r="J122" s="272"/>
      <c r="K122" s="260"/>
      <c r="L122" s="261"/>
      <c r="M122" s="262" t="str">
        <f t="shared" si="1"/>
        <v/>
      </c>
      <c r="N122" s="263" t="str">
        <f t="shared" si="2"/>
        <v/>
      </c>
      <c r="O122" s="264" t="str">
        <f t="shared" si="3"/>
        <v/>
      </c>
      <c r="P122" s="265" t="str">
        <f>IFERROR(__xludf.DUMMYFUNCTION("IF(ISBLANK(A122),"""",IFERROR(IF(H122=""Sell"",VLOOKUP(9^99,FILTER({ROW(P$2:P121),P$2:P121},D$2:D121=D122),2),(VLOOKUP(9^99,FILTER({ROW(P$2:P121),P$2:P121},D$2:D121=D122),2)*VLOOKUP(9^99,FILTER({ROW(O$2:O121),O$2:O121},D$2:D121=D122),2)-N122)/O122),J122))"),"")</f>
        <v/>
      </c>
      <c r="Q122" s="264" t="str">
        <f>IFERROR(__xludf.DUMMYFUNCTION("IFERROR(IF(F122=""Crypto"",B122,(IF(ISBLANK(D122),"""",IF(D122=""Cash"",B122,IF(GOOGLEFINANCE(D122,""CURRENCY"")=""GBX"",""GBP"",GOOGLEFINANCE(D122,""CURRENCY"")))))),B122)"),"")</f>
        <v/>
      </c>
      <c r="R122" s="263" t="str">
        <f>IFERROR(__xludf.DUMMYFUNCTION("IF(ISBLANK(A122),"""",IFERROR(IF(OR(Q122=""GPB"",Q122=""ZAR""),IF(Q122=Dashboard!$L$1,K122,(K122*GOOGLEFINANCE(""CURRENCY:""&amp;Q122&amp;""""&amp;Dashboard!$L$1&amp;""""))/100),IF(Q122=Dashboard!$L$1,K122,K122*GOOGLEFINANCE(""CURRENCY:""&amp;Q122&amp;""""&amp;Dashboard!$L$1&amp;"""")))"&amp;",K122))"),"")</f>
        <v/>
      </c>
      <c r="S122" s="266" t="str">
        <f>IFERROR(__xludf.DUMMYFUNCTION("IF(ISBLANK(A122),"""",IFERROR(IF(OR(Q122=""GPB"",Q122=""ZAR""),IF(Q122=Dashboard!$L$1,M122,(M122*GOOGLEFINANCE(""CURRENCY:""&amp;Q122&amp;""""&amp;Dashboard!$L$1&amp;""""))/100),IF(Q122=Dashboard!$L$1,M122,M122*GOOGLEFINANCE(""CURRENCY:""&amp;Q122&amp;""""&amp;Dashboard!$L$1&amp;"""")))"&amp;",M122))"),"")</f>
        <v/>
      </c>
      <c r="T122" s="264" t="str">
        <f t="shared" si="4"/>
        <v/>
      </c>
      <c r="U122" s="264" t="str">
        <f t="shared" si="5"/>
        <v/>
      </c>
      <c r="V122" s="264" t="str">
        <f t="shared" si="6"/>
        <v/>
      </c>
      <c r="W122" s="267" t="str">
        <f t="shared" si="8"/>
        <v/>
      </c>
      <c r="X122" s="264" t="str">
        <f t="shared" si="7"/>
        <v/>
      </c>
    </row>
    <row r="123" ht="15.75" customHeight="1">
      <c r="A123" s="258"/>
      <c r="B123" s="258"/>
      <c r="C123" s="269"/>
      <c r="D123" s="258"/>
      <c r="E123" s="258"/>
      <c r="F123" s="258"/>
      <c r="G123" s="258"/>
      <c r="H123" s="271"/>
      <c r="I123" s="258"/>
      <c r="J123" s="272"/>
      <c r="K123" s="260"/>
      <c r="L123" s="261"/>
      <c r="M123" s="262" t="str">
        <f t="shared" si="1"/>
        <v/>
      </c>
      <c r="N123" s="263" t="str">
        <f t="shared" si="2"/>
        <v/>
      </c>
      <c r="O123" s="264" t="str">
        <f t="shared" si="3"/>
        <v/>
      </c>
      <c r="P123" s="265" t="str">
        <f>IFERROR(__xludf.DUMMYFUNCTION("IF(ISBLANK(A123),"""",IFERROR(IF(H123=""Sell"",VLOOKUP(9^99,FILTER({ROW(P$2:P122),P$2:P122},D$2:D122=D123),2),(VLOOKUP(9^99,FILTER({ROW(P$2:P122),P$2:P122},D$2:D122=D123),2)*VLOOKUP(9^99,FILTER({ROW(O$2:O122),O$2:O122},D$2:D122=D123),2)-N123)/O123),J123))"),"")</f>
        <v/>
      </c>
      <c r="Q123" s="264" t="str">
        <f>IFERROR(__xludf.DUMMYFUNCTION("IFERROR(IF(F123=""Crypto"",B123,(IF(ISBLANK(D123),"""",IF(D123=""Cash"",B123,IF(GOOGLEFINANCE(D123,""CURRENCY"")=""GBX"",""GBP"",GOOGLEFINANCE(D123,""CURRENCY"")))))),B123)"),"")</f>
        <v/>
      </c>
      <c r="R123" s="263" t="str">
        <f>IFERROR(__xludf.DUMMYFUNCTION("IF(ISBLANK(A123),"""",IFERROR(IF(OR(Q123=""GPB"",Q123=""ZAR""),IF(Q123=Dashboard!$L$1,K123,(K123*GOOGLEFINANCE(""CURRENCY:""&amp;Q123&amp;""""&amp;Dashboard!$L$1&amp;""""))/100),IF(Q123=Dashboard!$L$1,K123,K123*GOOGLEFINANCE(""CURRENCY:""&amp;Q123&amp;""""&amp;Dashboard!$L$1&amp;"""")))"&amp;",K123))"),"")</f>
        <v/>
      </c>
      <c r="S123" s="266" t="str">
        <f>IFERROR(__xludf.DUMMYFUNCTION("IF(ISBLANK(A123),"""",IFERROR(IF(OR(Q123=""GPB"",Q123=""ZAR""),IF(Q123=Dashboard!$L$1,M123,(M123*GOOGLEFINANCE(""CURRENCY:""&amp;Q123&amp;""""&amp;Dashboard!$L$1&amp;""""))/100),IF(Q123=Dashboard!$L$1,M123,M123*GOOGLEFINANCE(""CURRENCY:""&amp;Q123&amp;""""&amp;Dashboard!$L$1&amp;"""")))"&amp;",M123))"),"")</f>
        <v/>
      </c>
      <c r="T123" s="264" t="str">
        <f t="shared" si="4"/>
        <v/>
      </c>
      <c r="U123" s="264" t="str">
        <f t="shared" si="5"/>
        <v/>
      </c>
      <c r="V123" s="264" t="str">
        <f t="shared" si="6"/>
        <v/>
      </c>
      <c r="W123" s="267" t="str">
        <f t="shared" si="8"/>
        <v/>
      </c>
      <c r="X123" s="264" t="str">
        <f t="shared" si="7"/>
        <v/>
      </c>
    </row>
    <row r="124" ht="15.75" customHeight="1">
      <c r="A124" s="258"/>
      <c r="B124" s="258"/>
      <c r="C124" s="269"/>
      <c r="D124" s="258"/>
      <c r="E124" s="258"/>
      <c r="F124" s="258"/>
      <c r="G124" s="258"/>
      <c r="H124" s="271"/>
      <c r="I124" s="258"/>
      <c r="J124" s="272"/>
      <c r="K124" s="260"/>
      <c r="L124" s="261"/>
      <c r="M124" s="262" t="str">
        <f t="shared" si="1"/>
        <v/>
      </c>
      <c r="N124" s="263" t="str">
        <f t="shared" si="2"/>
        <v/>
      </c>
      <c r="O124" s="264" t="str">
        <f t="shared" si="3"/>
        <v/>
      </c>
      <c r="P124" s="265" t="str">
        <f>IFERROR(__xludf.DUMMYFUNCTION("IF(ISBLANK(A124),"""",IFERROR(IF(H124=""Sell"",VLOOKUP(9^99,FILTER({ROW(P$2:P123),P$2:P123},D$2:D123=D124),2),(VLOOKUP(9^99,FILTER({ROW(P$2:P123),P$2:P123},D$2:D123=D124),2)*VLOOKUP(9^99,FILTER({ROW(O$2:O123),O$2:O123},D$2:D123=D124),2)-N124)/O124),J124))"),"")</f>
        <v/>
      </c>
      <c r="Q124" s="264" t="str">
        <f>IFERROR(__xludf.DUMMYFUNCTION("IFERROR(IF(F124=""Crypto"",B124,(IF(ISBLANK(D124),"""",IF(D124=""Cash"",B124,IF(GOOGLEFINANCE(D124,""CURRENCY"")=""GBX"",""GBP"",GOOGLEFINANCE(D124,""CURRENCY"")))))),B124)"),"")</f>
        <v/>
      </c>
      <c r="R124" s="263" t="str">
        <f>IFERROR(__xludf.DUMMYFUNCTION("IF(ISBLANK(A124),"""",IFERROR(IF(OR(Q124=""GPB"",Q124=""ZAR""),IF(Q124=Dashboard!$L$1,K124,(K124*GOOGLEFINANCE(""CURRENCY:""&amp;Q124&amp;""""&amp;Dashboard!$L$1&amp;""""))/100),IF(Q124=Dashboard!$L$1,K124,K124*GOOGLEFINANCE(""CURRENCY:""&amp;Q124&amp;""""&amp;Dashboard!$L$1&amp;"""")))"&amp;",K124))"),"")</f>
        <v/>
      </c>
      <c r="S124" s="266" t="str">
        <f>IFERROR(__xludf.DUMMYFUNCTION("IF(ISBLANK(A124),"""",IFERROR(IF(OR(Q124=""GPB"",Q124=""ZAR""),IF(Q124=Dashboard!$L$1,M124,(M124*GOOGLEFINANCE(""CURRENCY:""&amp;Q124&amp;""""&amp;Dashboard!$L$1&amp;""""))/100),IF(Q124=Dashboard!$L$1,M124,M124*GOOGLEFINANCE(""CURRENCY:""&amp;Q124&amp;""""&amp;Dashboard!$L$1&amp;"""")))"&amp;",M124))"),"")</f>
        <v/>
      </c>
      <c r="T124" s="264" t="str">
        <f t="shared" si="4"/>
        <v/>
      </c>
      <c r="U124" s="264" t="str">
        <f t="shared" si="5"/>
        <v/>
      </c>
      <c r="V124" s="264" t="str">
        <f t="shared" si="6"/>
        <v/>
      </c>
      <c r="W124" s="267" t="str">
        <f t="shared" si="8"/>
        <v/>
      </c>
      <c r="X124" s="264" t="str">
        <f t="shared" si="7"/>
        <v/>
      </c>
    </row>
    <row r="125" ht="15.75" customHeight="1">
      <c r="A125" s="258"/>
      <c r="B125" s="258"/>
      <c r="C125" s="269"/>
      <c r="D125" s="258"/>
      <c r="E125" s="258"/>
      <c r="F125" s="258"/>
      <c r="G125" s="258"/>
      <c r="H125" s="271"/>
      <c r="I125" s="258"/>
      <c r="J125" s="272"/>
      <c r="K125" s="260"/>
      <c r="L125" s="261"/>
      <c r="M125" s="262" t="str">
        <f t="shared" si="1"/>
        <v/>
      </c>
      <c r="N125" s="263" t="str">
        <f t="shared" si="2"/>
        <v/>
      </c>
      <c r="O125" s="264" t="str">
        <f t="shared" si="3"/>
        <v/>
      </c>
      <c r="P125" s="265" t="str">
        <f>IFERROR(__xludf.DUMMYFUNCTION("IF(ISBLANK(A125),"""",IFERROR(IF(H125=""Sell"",VLOOKUP(9^99,FILTER({ROW(P$2:P124),P$2:P124},D$2:D124=D125),2),(VLOOKUP(9^99,FILTER({ROW(P$2:P124),P$2:P124},D$2:D124=D125),2)*VLOOKUP(9^99,FILTER({ROW(O$2:O124),O$2:O124},D$2:D124=D125),2)-N125)/O125),J125))"),"")</f>
        <v/>
      </c>
      <c r="Q125" s="264" t="str">
        <f>IFERROR(__xludf.DUMMYFUNCTION("IFERROR(IF(F125=""Crypto"",B125,(IF(ISBLANK(D125),"""",IF(D125=""Cash"",B125,IF(GOOGLEFINANCE(D125,""CURRENCY"")=""GBX"",""GBP"",GOOGLEFINANCE(D125,""CURRENCY"")))))),B125)"),"")</f>
        <v/>
      </c>
      <c r="R125" s="263" t="str">
        <f>IFERROR(__xludf.DUMMYFUNCTION("IF(ISBLANK(A125),"""",IFERROR(IF(OR(Q125=""GPB"",Q125=""ZAR""),IF(Q125=Dashboard!$L$1,K125,(K125*GOOGLEFINANCE(""CURRENCY:""&amp;Q125&amp;""""&amp;Dashboard!$L$1&amp;""""))/100),IF(Q125=Dashboard!$L$1,K125,K125*GOOGLEFINANCE(""CURRENCY:""&amp;Q125&amp;""""&amp;Dashboard!$L$1&amp;"""")))"&amp;",K125))"),"")</f>
        <v/>
      </c>
      <c r="S125" s="266" t="str">
        <f>IFERROR(__xludf.DUMMYFUNCTION("IF(ISBLANK(A125),"""",IFERROR(IF(OR(Q125=""GPB"",Q125=""ZAR""),IF(Q125=Dashboard!$L$1,M125,(M125*GOOGLEFINANCE(""CURRENCY:""&amp;Q125&amp;""""&amp;Dashboard!$L$1&amp;""""))/100),IF(Q125=Dashboard!$L$1,M125,M125*GOOGLEFINANCE(""CURRENCY:""&amp;Q125&amp;""""&amp;Dashboard!$L$1&amp;"""")))"&amp;",M125))"),"")</f>
        <v/>
      </c>
      <c r="T125" s="264" t="str">
        <f t="shared" si="4"/>
        <v/>
      </c>
      <c r="U125" s="264" t="str">
        <f t="shared" si="5"/>
        <v/>
      </c>
      <c r="V125" s="264" t="str">
        <f t="shared" si="6"/>
        <v/>
      </c>
      <c r="W125" s="267" t="str">
        <f t="shared" si="8"/>
        <v/>
      </c>
      <c r="X125" s="264" t="str">
        <f t="shared" si="7"/>
        <v/>
      </c>
    </row>
    <row r="126" ht="15.75" customHeight="1">
      <c r="A126" s="258"/>
      <c r="B126" s="258"/>
      <c r="C126" s="269"/>
      <c r="D126" s="258"/>
      <c r="E126" s="258"/>
      <c r="F126" s="258"/>
      <c r="G126" s="258"/>
      <c r="H126" s="271"/>
      <c r="I126" s="258"/>
      <c r="J126" s="272"/>
      <c r="K126" s="260"/>
      <c r="L126" s="261"/>
      <c r="M126" s="262" t="str">
        <f t="shared" si="1"/>
        <v/>
      </c>
      <c r="N126" s="263" t="str">
        <f t="shared" si="2"/>
        <v/>
      </c>
      <c r="O126" s="264" t="str">
        <f t="shared" si="3"/>
        <v/>
      </c>
      <c r="P126" s="265" t="str">
        <f>IFERROR(__xludf.DUMMYFUNCTION("IF(ISBLANK(A126),"""",IFERROR(IF(H126=""Sell"",VLOOKUP(9^99,FILTER({ROW(P$2:P125),P$2:P125},D$2:D125=D126),2),(VLOOKUP(9^99,FILTER({ROW(P$2:P125),P$2:P125},D$2:D125=D126),2)*VLOOKUP(9^99,FILTER({ROW(O$2:O125),O$2:O125},D$2:D125=D126),2)-N126)/O126),J126))"),"")</f>
        <v/>
      </c>
      <c r="Q126" s="264" t="str">
        <f>IFERROR(__xludf.DUMMYFUNCTION("IFERROR(IF(F126=""Crypto"",B126,(IF(ISBLANK(D126),"""",IF(D126=""Cash"",B126,IF(GOOGLEFINANCE(D126,""CURRENCY"")=""GBX"",""GBP"",GOOGLEFINANCE(D126,""CURRENCY"")))))),B126)"),"")</f>
        <v/>
      </c>
      <c r="R126" s="263" t="str">
        <f>IFERROR(__xludf.DUMMYFUNCTION("IF(ISBLANK(A126),"""",IFERROR(IF(OR(Q126=""GPB"",Q126=""ZAR""),IF(Q126=Dashboard!$L$1,K126,(K126*GOOGLEFINANCE(""CURRENCY:""&amp;Q126&amp;""""&amp;Dashboard!$L$1&amp;""""))/100),IF(Q126=Dashboard!$L$1,K126,K126*GOOGLEFINANCE(""CURRENCY:""&amp;Q126&amp;""""&amp;Dashboard!$L$1&amp;"""")))"&amp;",K126))"),"")</f>
        <v/>
      </c>
      <c r="S126" s="266" t="str">
        <f>IFERROR(__xludf.DUMMYFUNCTION("IF(ISBLANK(A126),"""",IFERROR(IF(OR(Q126=""GPB"",Q126=""ZAR""),IF(Q126=Dashboard!$L$1,M126,(M126*GOOGLEFINANCE(""CURRENCY:""&amp;Q126&amp;""""&amp;Dashboard!$L$1&amp;""""))/100),IF(Q126=Dashboard!$L$1,M126,M126*GOOGLEFINANCE(""CURRENCY:""&amp;Q126&amp;""""&amp;Dashboard!$L$1&amp;"""")))"&amp;",M126))"),"")</f>
        <v/>
      </c>
      <c r="T126" s="264" t="str">
        <f t="shared" si="4"/>
        <v/>
      </c>
      <c r="U126" s="264" t="str">
        <f t="shared" si="5"/>
        <v/>
      </c>
      <c r="V126" s="264" t="str">
        <f t="shared" si="6"/>
        <v/>
      </c>
      <c r="W126" s="267" t="str">
        <f t="shared" si="8"/>
        <v/>
      </c>
      <c r="X126" s="264" t="str">
        <f t="shared" si="7"/>
        <v/>
      </c>
    </row>
    <row r="127" ht="15.75" customHeight="1">
      <c r="A127" s="258"/>
      <c r="B127" s="258"/>
      <c r="C127" s="269"/>
      <c r="D127" s="258"/>
      <c r="E127" s="258"/>
      <c r="F127" s="258"/>
      <c r="G127" s="258"/>
      <c r="H127" s="271"/>
      <c r="I127" s="258"/>
      <c r="J127" s="272"/>
      <c r="K127" s="260"/>
      <c r="L127" s="261"/>
      <c r="M127" s="262" t="str">
        <f t="shared" si="1"/>
        <v/>
      </c>
      <c r="N127" s="263" t="str">
        <f t="shared" si="2"/>
        <v/>
      </c>
      <c r="O127" s="264" t="str">
        <f t="shared" si="3"/>
        <v/>
      </c>
      <c r="P127" s="265" t="str">
        <f>IFERROR(__xludf.DUMMYFUNCTION("IF(ISBLANK(A127),"""",IFERROR(IF(H127=""Sell"",VLOOKUP(9^99,FILTER({ROW(P$2:P126),P$2:P126},D$2:D126=D127),2),(VLOOKUP(9^99,FILTER({ROW(P$2:P126),P$2:P126},D$2:D126=D127),2)*VLOOKUP(9^99,FILTER({ROW(O$2:O126),O$2:O126},D$2:D126=D127),2)-N127)/O127),J127))"),"")</f>
        <v/>
      </c>
      <c r="Q127" s="264" t="str">
        <f>IFERROR(__xludf.DUMMYFUNCTION("IFERROR(IF(F127=""Crypto"",B127,(IF(ISBLANK(D127),"""",IF(D127=""Cash"",B127,IF(GOOGLEFINANCE(D127,""CURRENCY"")=""GBX"",""GBP"",GOOGLEFINANCE(D127,""CURRENCY"")))))),B127)"),"")</f>
        <v/>
      </c>
      <c r="R127" s="263" t="str">
        <f>IFERROR(__xludf.DUMMYFUNCTION("IF(ISBLANK(A127),"""",IFERROR(IF(OR(Q127=""GPB"",Q127=""ZAR""),IF(Q127=Dashboard!$L$1,K127,(K127*GOOGLEFINANCE(""CURRENCY:""&amp;Q127&amp;""""&amp;Dashboard!$L$1&amp;""""))/100),IF(Q127=Dashboard!$L$1,K127,K127*GOOGLEFINANCE(""CURRENCY:""&amp;Q127&amp;""""&amp;Dashboard!$L$1&amp;"""")))"&amp;",K127))"),"")</f>
        <v/>
      </c>
      <c r="S127" s="266" t="str">
        <f>IFERROR(__xludf.DUMMYFUNCTION("IF(ISBLANK(A127),"""",IFERROR(IF(OR(Q127=""GPB"",Q127=""ZAR""),IF(Q127=Dashboard!$L$1,M127,(M127*GOOGLEFINANCE(""CURRENCY:""&amp;Q127&amp;""""&amp;Dashboard!$L$1&amp;""""))/100),IF(Q127=Dashboard!$L$1,M127,M127*GOOGLEFINANCE(""CURRENCY:""&amp;Q127&amp;""""&amp;Dashboard!$L$1&amp;"""")))"&amp;",M127))"),"")</f>
        <v/>
      </c>
      <c r="T127" s="264" t="str">
        <f t="shared" si="4"/>
        <v/>
      </c>
      <c r="U127" s="264" t="str">
        <f t="shared" si="5"/>
        <v/>
      </c>
      <c r="V127" s="264" t="str">
        <f t="shared" si="6"/>
        <v/>
      </c>
      <c r="W127" s="267" t="str">
        <f t="shared" si="8"/>
        <v/>
      </c>
      <c r="X127" s="264" t="str">
        <f t="shared" si="7"/>
        <v/>
      </c>
    </row>
    <row r="128" ht="15.75" customHeight="1">
      <c r="A128" s="258"/>
      <c r="B128" s="258"/>
      <c r="C128" s="269"/>
      <c r="D128" s="258"/>
      <c r="E128" s="258"/>
      <c r="F128" s="258"/>
      <c r="G128" s="258"/>
      <c r="H128" s="271"/>
      <c r="I128" s="258"/>
      <c r="J128" s="272"/>
      <c r="K128" s="260"/>
      <c r="L128" s="261"/>
      <c r="M128" s="262" t="str">
        <f t="shared" si="1"/>
        <v/>
      </c>
      <c r="N128" s="263" t="str">
        <f t="shared" si="2"/>
        <v/>
      </c>
      <c r="O128" s="264" t="str">
        <f t="shared" si="3"/>
        <v/>
      </c>
      <c r="P128" s="265" t="str">
        <f>IFERROR(__xludf.DUMMYFUNCTION("IF(ISBLANK(A128),"""",IFERROR(IF(H128=""Sell"",VLOOKUP(9^99,FILTER({ROW(P$2:P127),P$2:P127},D$2:D127=D128),2),(VLOOKUP(9^99,FILTER({ROW(P$2:P127),P$2:P127},D$2:D127=D128),2)*VLOOKUP(9^99,FILTER({ROW(O$2:O127),O$2:O127},D$2:D127=D128),2)-N128)/O128),J128))"),"")</f>
        <v/>
      </c>
      <c r="Q128" s="264" t="str">
        <f>IFERROR(__xludf.DUMMYFUNCTION("IFERROR(IF(F128=""Crypto"",B128,(IF(ISBLANK(D128),"""",IF(D128=""Cash"",B128,IF(GOOGLEFINANCE(D128,""CURRENCY"")=""GBX"",""GBP"",GOOGLEFINANCE(D128,""CURRENCY"")))))),B128)"),"")</f>
        <v/>
      </c>
      <c r="R128" s="263" t="str">
        <f>IFERROR(__xludf.DUMMYFUNCTION("IF(ISBLANK(A128),"""",IFERROR(IF(OR(Q128=""GPB"",Q128=""ZAR""),IF(Q128=Dashboard!$L$1,K128,(K128*GOOGLEFINANCE(""CURRENCY:""&amp;Q128&amp;""""&amp;Dashboard!$L$1&amp;""""))/100),IF(Q128=Dashboard!$L$1,K128,K128*GOOGLEFINANCE(""CURRENCY:""&amp;Q128&amp;""""&amp;Dashboard!$L$1&amp;"""")))"&amp;",K128))"),"")</f>
        <v/>
      </c>
      <c r="S128" s="266" t="str">
        <f>IFERROR(__xludf.DUMMYFUNCTION("IF(ISBLANK(A128),"""",IFERROR(IF(OR(Q128=""GPB"",Q128=""ZAR""),IF(Q128=Dashboard!$L$1,M128,(M128*GOOGLEFINANCE(""CURRENCY:""&amp;Q128&amp;""""&amp;Dashboard!$L$1&amp;""""))/100),IF(Q128=Dashboard!$L$1,M128,M128*GOOGLEFINANCE(""CURRENCY:""&amp;Q128&amp;""""&amp;Dashboard!$L$1&amp;"""")))"&amp;",M128))"),"")</f>
        <v/>
      </c>
      <c r="T128" s="264" t="str">
        <f t="shared" si="4"/>
        <v/>
      </c>
      <c r="U128" s="264" t="str">
        <f t="shared" si="5"/>
        <v/>
      </c>
      <c r="V128" s="264" t="str">
        <f t="shared" si="6"/>
        <v/>
      </c>
      <c r="W128" s="267" t="str">
        <f t="shared" si="8"/>
        <v/>
      </c>
      <c r="X128" s="264" t="str">
        <f t="shared" si="7"/>
        <v/>
      </c>
    </row>
    <row r="129" ht="15.75" customHeight="1">
      <c r="A129" s="258"/>
      <c r="B129" s="258"/>
      <c r="C129" s="269"/>
      <c r="D129" s="258"/>
      <c r="E129" s="258"/>
      <c r="F129" s="258"/>
      <c r="G129" s="258"/>
      <c r="H129" s="271"/>
      <c r="I129" s="258"/>
      <c r="J129" s="272"/>
      <c r="K129" s="260"/>
      <c r="L129" s="261"/>
      <c r="M129" s="262" t="str">
        <f t="shared" si="1"/>
        <v/>
      </c>
      <c r="N129" s="263" t="str">
        <f t="shared" si="2"/>
        <v/>
      </c>
      <c r="O129" s="264" t="str">
        <f t="shared" si="3"/>
        <v/>
      </c>
      <c r="P129" s="265" t="str">
        <f>IFERROR(__xludf.DUMMYFUNCTION("IF(ISBLANK(A129),"""",IFERROR(IF(H129=""Sell"",VLOOKUP(9^99,FILTER({ROW(P$2:P128),P$2:P128},D$2:D128=D129),2),(VLOOKUP(9^99,FILTER({ROW(P$2:P128),P$2:P128},D$2:D128=D129),2)*VLOOKUP(9^99,FILTER({ROW(O$2:O128),O$2:O128},D$2:D128=D129),2)-N129)/O129),J129))"),"")</f>
        <v/>
      </c>
      <c r="Q129" s="264" t="str">
        <f>IFERROR(__xludf.DUMMYFUNCTION("IFERROR(IF(F129=""Crypto"",B129,(IF(ISBLANK(D129),"""",IF(D129=""Cash"",B129,IF(GOOGLEFINANCE(D129,""CURRENCY"")=""GBX"",""GBP"",GOOGLEFINANCE(D129,""CURRENCY"")))))),B129)"),"")</f>
        <v/>
      </c>
      <c r="R129" s="263" t="str">
        <f>IFERROR(__xludf.DUMMYFUNCTION("IF(ISBLANK(A129),"""",IFERROR(IF(OR(Q129=""GPB"",Q129=""ZAR""),IF(Q129=Dashboard!$L$1,K129,(K129*GOOGLEFINANCE(""CURRENCY:""&amp;Q129&amp;""""&amp;Dashboard!$L$1&amp;""""))/100),IF(Q129=Dashboard!$L$1,K129,K129*GOOGLEFINANCE(""CURRENCY:""&amp;Q129&amp;""""&amp;Dashboard!$L$1&amp;"""")))"&amp;",K129))"),"")</f>
        <v/>
      </c>
      <c r="S129" s="266" t="str">
        <f>IFERROR(__xludf.DUMMYFUNCTION("IF(ISBLANK(A129),"""",IFERROR(IF(OR(Q129=""GPB"",Q129=""ZAR""),IF(Q129=Dashboard!$L$1,M129,(M129*GOOGLEFINANCE(""CURRENCY:""&amp;Q129&amp;""""&amp;Dashboard!$L$1&amp;""""))/100),IF(Q129=Dashboard!$L$1,M129,M129*GOOGLEFINANCE(""CURRENCY:""&amp;Q129&amp;""""&amp;Dashboard!$L$1&amp;"""")))"&amp;",M129))"),"")</f>
        <v/>
      </c>
      <c r="T129" s="264" t="str">
        <f t="shared" si="4"/>
        <v/>
      </c>
      <c r="U129" s="264" t="str">
        <f t="shared" si="5"/>
        <v/>
      </c>
      <c r="V129" s="264" t="str">
        <f t="shared" si="6"/>
        <v/>
      </c>
      <c r="W129" s="267" t="str">
        <f t="shared" si="8"/>
        <v/>
      </c>
      <c r="X129" s="264" t="str">
        <f t="shared" si="7"/>
        <v/>
      </c>
    </row>
    <row r="130" ht="15.75" customHeight="1">
      <c r="A130" s="258"/>
      <c r="B130" s="258"/>
      <c r="C130" s="269"/>
      <c r="D130" s="258"/>
      <c r="E130" s="258"/>
      <c r="F130" s="258"/>
      <c r="G130" s="258"/>
      <c r="H130" s="271"/>
      <c r="I130" s="258"/>
      <c r="J130" s="272"/>
      <c r="K130" s="260"/>
      <c r="L130" s="261"/>
      <c r="M130" s="262" t="str">
        <f t="shared" si="1"/>
        <v/>
      </c>
      <c r="N130" s="263" t="str">
        <f t="shared" si="2"/>
        <v/>
      </c>
      <c r="O130" s="264" t="str">
        <f t="shared" si="3"/>
        <v/>
      </c>
      <c r="P130" s="265" t="str">
        <f>IFERROR(__xludf.DUMMYFUNCTION("IF(ISBLANK(A130),"""",IFERROR(IF(H130=""Sell"",VLOOKUP(9^99,FILTER({ROW(P$2:P129),P$2:P129},D$2:D129=D130),2),(VLOOKUP(9^99,FILTER({ROW(P$2:P129),P$2:P129},D$2:D129=D130),2)*VLOOKUP(9^99,FILTER({ROW(O$2:O129),O$2:O129},D$2:D129=D130),2)-N130)/O130),J130))"),"")</f>
        <v/>
      </c>
      <c r="Q130" s="264" t="str">
        <f>IFERROR(__xludf.DUMMYFUNCTION("IFERROR(IF(F130=""Crypto"",B130,(IF(ISBLANK(D130),"""",IF(D130=""Cash"",B130,IF(GOOGLEFINANCE(D130,""CURRENCY"")=""GBX"",""GBP"",GOOGLEFINANCE(D130,""CURRENCY"")))))),B130)"),"")</f>
        <v/>
      </c>
      <c r="R130" s="263" t="str">
        <f>IFERROR(__xludf.DUMMYFUNCTION("IF(ISBLANK(A130),"""",IFERROR(IF(OR(Q130=""GPB"",Q130=""ZAR""),IF(Q130=Dashboard!$L$1,K130,(K130*GOOGLEFINANCE(""CURRENCY:""&amp;Q130&amp;""""&amp;Dashboard!$L$1&amp;""""))/100),IF(Q130=Dashboard!$L$1,K130,K130*GOOGLEFINANCE(""CURRENCY:""&amp;Q130&amp;""""&amp;Dashboard!$L$1&amp;"""")))"&amp;",K130))"),"")</f>
        <v/>
      </c>
      <c r="S130" s="266" t="str">
        <f>IFERROR(__xludf.DUMMYFUNCTION("IF(ISBLANK(A130),"""",IFERROR(IF(OR(Q130=""GPB"",Q130=""ZAR""),IF(Q130=Dashboard!$L$1,M130,(M130*GOOGLEFINANCE(""CURRENCY:""&amp;Q130&amp;""""&amp;Dashboard!$L$1&amp;""""))/100),IF(Q130=Dashboard!$L$1,M130,M130*GOOGLEFINANCE(""CURRENCY:""&amp;Q130&amp;""""&amp;Dashboard!$L$1&amp;"""")))"&amp;",M130))"),"")</f>
        <v/>
      </c>
      <c r="T130" s="264" t="str">
        <f t="shared" si="4"/>
        <v/>
      </c>
      <c r="U130" s="264" t="str">
        <f t="shared" si="5"/>
        <v/>
      </c>
      <c r="V130" s="264" t="str">
        <f t="shared" si="6"/>
        <v/>
      </c>
      <c r="W130" s="267" t="str">
        <f t="shared" si="8"/>
        <v/>
      </c>
      <c r="X130" s="264" t="str">
        <f t="shared" si="7"/>
        <v/>
      </c>
    </row>
    <row r="131" ht="15.75" customHeight="1">
      <c r="A131" s="258"/>
      <c r="B131" s="258"/>
      <c r="C131" s="269"/>
      <c r="D131" s="258"/>
      <c r="E131" s="258"/>
      <c r="F131" s="258"/>
      <c r="G131" s="258"/>
      <c r="H131" s="271"/>
      <c r="I131" s="258"/>
      <c r="J131" s="272"/>
      <c r="K131" s="260"/>
      <c r="L131" s="261"/>
      <c r="M131" s="262" t="str">
        <f t="shared" si="1"/>
        <v/>
      </c>
      <c r="N131" s="263" t="str">
        <f t="shared" si="2"/>
        <v/>
      </c>
      <c r="O131" s="264" t="str">
        <f t="shared" si="3"/>
        <v/>
      </c>
      <c r="P131" s="265" t="str">
        <f>IFERROR(__xludf.DUMMYFUNCTION("IF(ISBLANK(A131),"""",IFERROR(IF(H131=""Sell"",VLOOKUP(9^99,FILTER({ROW(P$2:P130),P$2:P130},D$2:D130=D131),2),(VLOOKUP(9^99,FILTER({ROW(P$2:P130),P$2:P130},D$2:D130=D131),2)*VLOOKUP(9^99,FILTER({ROW(O$2:O130),O$2:O130},D$2:D130=D131),2)-N131)/O131),J131))"),"")</f>
        <v/>
      </c>
      <c r="Q131" s="264" t="str">
        <f>IFERROR(__xludf.DUMMYFUNCTION("IFERROR(IF(F131=""Crypto"",B131,(IF(ISBLANK(D131),"""",IF(D131=""Cash"",B131,IF(GOOGLEFINANCE(D131,""CURRENCY"")=""GBX"",""GBP"",GOOGLEFINANCE(D131,""CURRENCY"")))))),B131)"),"")</f>
        <v/>
      </c>
      <c r="R131" s="263" t="str">
        <f>IFERROR(__xludf.DUMMYFUNCTION("IF(ISBLANK(A131),"""",IFERROR(IF(OR(Q131=""GPB"",Q131=""ZAR""),IF(Q131=Dashboard!$L$1,K131,(K131*GOOGLEFINANCE(""CURRENCY:""&amp;Q131&amp;""""&amp;Dashboard!$L$1&amp;""""))/100),IF(Q131=Dashboard!$L$1,K131,K131*GOOGLEFINANCE(""CURRENCY:""&amp;Q131&amp;""""&amp;Dashboard!$L$1&amp;"""")))"&amp;",K131))"),"")</f>
        <v/>
      </c>
      <c r="S131" s="266" t="str">
        <f>IFERROR(__xludf.DUMMYFUNCTION("IF(ISBLANK(A131),"""",IFERROR(IF(OR(Q131=""GPB"",Q131=""ZAR""),IF(Q131=Dashboard!$L$1,M131,(M131*GOOGLEFINANCE(""CURRENCY:""&amp;Q131&amp;""""&amp;Dashboard!$L$1&amp;""""))/100),IF(Q131=Dashboard!$L$1,M131,M131*GOOGLEFINANCE(""CURRENCY:""&amp;Q131&amp;""""&amp;Dashboard!$L$1&amp;"""")))"&amp;",M131))"),"")</f>
        <v/>
      </c>
      <c r="T131" s="264" t="str">
        <f t="shared" si="4"/>
        <v/>
      </c>
      <c r="U131" s="264" t="str">
        <f t="shared" si="5"/>
        <v/>
      </c>
      <c r="V131" s="264" t="str">
        <f t="shared" si="6"/>
        <v/>
      </c>
      <c r="W131" s="267" t="str">
        <f t="shared" si="8"/>
        <v/>
      </c>
      <c r="X131" s="264" t="str">
        <f t="shared" si="7"/>
        <v/>
      </c>
    </row>
    <row r="132" ht="15.75" customHeight="1">
      <c r="A132" s="258"/>
      <c r="B132" s="258"/>
      <c r="C132" s="269"/>
      <c r="D132" s="258"/>
      <c r="E132" s="258"/>
      <c r="F132" s="258"/>
      <c r="G132" s="258"/>
      <c r="H132" s="271"/>
      <c r="I132" s="258"/>
      <c r="J132" s="272"/>
      <c r="K132" s="260"/>
      <c r="L132" s="261"/>
      <c r="M132" s="262" t="str">
        <f t="shared" si="1"/>
        <v/>
      </c>
      <c r="N132" s="263" t="str">
        <f t="shared" si="2"/>
        <v/>
      </c>
      <c r="O132" s="264" t="str">
        <f t="shared" si="3"/>
        <v/>
      </c>
      <c r="P132" s="265" t="str">
        <f>IFERROR(__xludf.DUMMYFUNCTION("IF(ISBLANK(A132),"""",IFERROR(IF(H132=""Sell"",VLOOKUP(9^99,FILTER({ROW(P$2:P131),P$2:P131},D$2:D131=D132),2),(VLOOKUP(9^99,FILTER({ROW(P$2:P131),P$2:P131},D$2:D131=D132),2)*VLOOKUP(9^99,FILTER({ROW(O$2:O131),O$2:O131},D$2:D131=D132),2)-N132)/O132),J132))"),"")</f>
        <v/>
      </c>
      <c r="Q132" s="264" t="str">
        <f>IFERROR(__xludf.DUMMYFUNCTION("IFERROR(IF(F132=""Crypto"",B132,(IF(ISBLANK(D132),"""",IF(D132=""Cash"",B132,IF(GOOGLEFINANCE(D132,""CURRENCY"")=""GBX"",""GBP"",GOOGLEFINANCE(D132,""CURRENCY"")))))),B132)"),"")</f>
        <v/>
      </c>
      <c r="R132" s="263" t="str">
        <f>IFERROR(__xludf.DUMMYFUNCTION("IF(ISBLANK(A132),"""",IFERROR(IF(OR(Q132=""GPB"",Q132=""ZAR""),IF(Q132=Dashboard!$L$1,K132,(K132*GOOGLEFINANCE(""CURRENCY:""&amp;Q132&amp;""""&amp;Dashboard!$L$1&amp;""""))/100),IF(Q132=Dashboard!$L$1,K132,K132*GOOGLEFINANCE(""CURRENCY:""&amp;Q132&amp;""""&amp;Dashboard!$L$1&amp;"""")))"&amp;",K132))"),"")</f>
        <v/>
      </c>
      <c r="S132" s="266" t="str">
        <f>IFERROR(__xludf.DUMMYFUNCTION("IF(ISBLANK(A132),"""",IFERROR(IF(OR(Q132=""GPB"",Q132=""ZAR""),IF(Q132=Dashboard!$L$1,M132,(M132*GOOGLEFINANCE(""CURRENCY:""&amp;Q132&amp;""""&amp;Dashboard!$L$1&amp;""""))/100),IF(Q132=Dashboard!$L$1,M132,M132*GOOGLEFINANCE(""CURRENCY:""&amp;Q132&amp;""""&amp;Dashboard!$L$1&amp;"""")))"&amp;",M132))"),"")</f>
        <v/>
      </c>
      <c r="T132" s="264" t="str">
        <f t="shared" si="4"/>
        <v/>
      </c>
      <c r="U132" s="264" t="str">
        <f t="shared" si="5"/>
        <v/>
      </c>
      <c r="V132" s="264" t="str">
        <f t="shared" si="6"/>
        <v/>
      </c>
      <c r="W132" s="267" t="str">
        <f t="shared" si="8"/>
        <v/>
      </c>
      <c r="X132" s="264" t="str">
        <f t="shared" si="7"/>
        <v/>
      </c>
    </row>
    <row r="133" ht="15.75" customHeight="1">
      <c r="A133" s="258"/>
      <c r="B133" s="258"/>
      <c r="C133" s="269"/>
      <c r="D133" s="258"/>
      <c r="E133" s="258"/>
      <c r="F133" s="258"/>
      <c r="G133" s="258"/>
      <c r="H133" s="271"/>
      <c r="I133" s="258"/>
      <c r="J133" s="272"/>
      <c r="K133" s="260"/>
      <c r="L133" s="261"/>
      <c r="M133" s="262" t="str">
        <f t="shared" si="1"/>
        <v/>
      </c>
      <c r="N133" s="263" t="str">
        <f t="shared" si="2"/>
        <v/>
      </c>
      <c r="O133" s="264" t="str">
        <f t="shared" si="3"/>
        <v/>
      </c>
      <c r="P133" s="265" t="str">
        <f>IFERROR(__xludf.DUMMYFUNCTION("IF(ISBLANK(A133),"""",IFERROR(IF(H133=""Sell"",VLOOKUP(9^99,FILTER({ROW(P$2:P132),P$2:P132},D$2:D132=D133),2),(VLOOKUP(9^99,FILTER({ROW(P$2:P132),P$2:P132},D$2:D132=D133),2)*VLOOKUP(9^99,FILTER({ROW(O$2:O132),O$2:O132},D$2:D132=D133),2)-N133)/O133),J133))"),"")</f>
        <v/>
      </c>
      <c r="Q133" s="264" t="str">
        <f>IFERROR(__xludf.DUMMYFUNCTION("IFERROR(IF(F133=""Crypto"",B133,(IF(ISBLANK(D133),"""",IF(D133=""Cash"",B133,IF(GOOGLEFINANCE(D133,""CURRENCY"")=""GBX"",""GBP"",GOOGLEFINANCE(D133,""CURRENCY"")))))),B133)"),"")</f>
        <v/>
      </c>
      <c r="R133" s="263" t="str">
        <f>IFERROR(__xludf.DUMMYFUNCTION("IF(ISBLANK(A133),"""",IFERROR(IF(OR(Q133=""GPB"",Q133=""ZAR""),IF(Q133=Dashboard!$L$1,K133,(K133*GOOGLEFINANCE(""CURRENCY:""&amp;Q133&amp;""""&amp;Dashboard!$L$1&amp;""""))/100),IF(Q133=Dashboard!$L$1,K133,K133*GOOGLEFINANCE(""CURRENCY:""&amp;Q133&amp;""""&amp;Dashboard!$L$1&amp;"""")))"&amp;",K133))"),"")</f>
        <v/>
      </c>
      <c r="S133" s="266" t="str">
        <f>IFERROR(__xludf.DUMMYFUNCTION("IF(ISBLANK(A133),"""",IFERROR(IF(OR(Q133=""GPB"",Q133=""ZAR""),IF(Q133=Dashboard!$L$1,M133,(M133*GOOGLEFINANCE(""CURRENCY:""&amp;Q133&amp;""""&amp;Dashboard!$L$1&amp;""""))/100),IF(Q133=Dashboard!$L$1,M133,M133*GOOGLEFINANCE(""CURRENCY:""&amp;Q133&amp;""""&amp;Dashboard!$L$1&amp;"""")))"&amp;",M133))"),"")</f>
        <v/>
      </c>
      <c r="T133" s="264" t="str">
        <f t="shared" si="4"/>
        <v/>
      </c>
      <c r="U133" s="264" t="str">
        <f t="shared" si="5"/>
        <v/>
      </c>
      <c r="V133" s="264" t="str">
        <f t="shared" si="6"/>
        <v/>
      </c>
      <c r="W133" s="267" t="str">
        <f t="shared" si="8"/>
        <v/>
      </c>
      <c r="X133" s="264" t="str">
        <f t="shared" si="7"/>
        <v/>
      </c>
    </row>
    <row r="134" ht="15.75" customHeight="1">
      <c r="A134" s="258"/>
      <c r="B134" s="258"/>
      <c r="C134" s="269"/>
      <c r="D134" s="258"/>
      <c r="E134" s="258"/>
      <c r="F134" s="258"/>
      <c r="G134" s="258"/>
      <c r="H134" s="271"/>
      <c r="I134" s="258"/>
      <c r="J134" s="272"/>
      <c r="K134" s="260"/>
      <c r="L134" s="261"/>
      <c r="M134" s="262" t="str">
        <f t="shared" si="1"/>
        <v/>
      </c>
      <c r="N134" s="263" t="str">
        <f t="shared" si="2"/>
        <v/>
      </c>
      <c r="O134" s="264" t="str">
        <f t="shared" si="3"/>
        <v/>
      </c>
      <c r="P134" s="265" t="str">
        <f>IFERROR(__xludf.DUMMYFUNCTION("IF(ISBLANK(A134),"""",IFERROR(IF(H134=""Sell"",VLOOKUP(9^99,FILTER({ROW(P$2:P133),P$2:P133},D$2:D133=D134),2),(VLOOKUP(9^99,FILTER({ROW(P$2:P133),P$2:P133},D$2:D133=D134),2)*VLOOKUP(9^99,FILTER({ROW(O$2:O133),O$2:O133},D$2:D133=D134),2)-N134)/O134),J134))"),"")</f>
        <v/>
      </c>
      <c r="Q134" s="264" t="str">
        <f>IFERROR(__xludf.DUMMYFUNCTION("IFERROR(IF(F134=""Crypto"",B134,(IF(ISBLANK(D134),"""",IF(D134=""Cash"",B134,IF(GOOGLEFINANCE(D134,""CURRENCY"")=""GBX"",""GBP"",GOOGLEFINANCE(D134,""CURRENCY"")))))),B134)"),"")</f>
        <v/>
      </c>
      <c r="R134" s="263" t="str">
        <f>IFERROR(__xludf.DUMMYFUNCTION("IF(ISBLANK(A134),"""",IFERROR(IF(OR(Q134=""GPB"",Q134=""ZAR""),IF(Q134=Dashboard!$L$1,K134,(K134*GOOGLEFINANCE(""CURRENCY:""&amp;Q134&amp;""""&amp;Dashboard!$L$1&amp;""""))/100),IF(Q134=Dashboard!$L$1,K134,K134*GOOGLEFINANCE(""CURRENCY:""&amp;Q134&amp;""""&amp;Dashboard!$L$1&amp;"""")))"&amp;",K134))"),"")</f>
        <v/>
      </c>
      <c r="S134" s="266" t="str">
        <f>IFERROR(__xludf.DUMMYFUNCTION("IF(ISBLANK(A134),"""",IFERROR(IF(OR(Q134=""GPB"",Q134=""ZAR""),IF(Q134=Dashboard!$L$1,M134,(M134*GOOGLEFINANCE(""CURRENCY:""&amp;Q134&amp;""""&amp;Dashboard!$L$1&amp;""""))/100),IF(Q134=Dashboard!$L$1,M134,M134*GOOGLEFINANCE(""CURRENCY:""&amp;Q134&amp;""""&amp;Dashboard!$L$1&amp;"""")))"&amp;",M134))"),"")</f>
        <v/>
      </c>
      <c r="T134" s="264" t="str">
        <f t="shared" si="4"/>
        <v/>
      </c>
      <c r="U134" s="264" t="str">
        <f t="shared" si="5"/>
        <v/>
      </c>
      <c r="V134" s="264" t="str">
        <f t="shared" si="6"/>
        <v/>
      </c>
      <c r="W134" s="267" t="str">
        <f t="shared" si="8"/>
        <v/>
      </c>
      <c r="X134" s="264" t="str">
        <f t="shared" si="7"/>
        <v/>
      </c>
    </row>
    <row r="135" ht="15.75" customHeight="1">
      <c r="A135" s="258"/>
      <c r="B135" s="258"/>
      <c r="C135" s="269"/>
      <c r="D135" s="258"/>
      <c r="E135" s="258"/>
      <c r="F135" s="258"/>
      <c r="G135" s="258"/>
      <c r="H135" s="271"/>
      <c r="I135" s="258"/>
      <c r="J135" s="272"/>
      <c r="K135" s="260"/>
      <c r="L135" s="261"/>
      <c r="M135" s="262" t="str">
        <f t="shared" si="1"/>
        <v/>
      </c>
      <c r="N135" s="263" t="str">
        <f t="shared" si="2"/>
        <v/>
      </c>
      <c r="O135" s="264" t="str">
        <f t="shared" si="3"/>
        <v/>
      </c>
      <c r="P135" s="265" t="str">
        <f>IFERROR(__xludf.DUMMYFUNCTION("IF(ISBLANK(A135),"""",IFERROR(IF(H135=""Sell"",VLOOKUP(9^99,FILTER({ROW(P$2:P134),P$2:P134},D$2:D134=D135),2),(VLOOKUP(9^99,FILTER({ROW(P$2:P134),P$2:P134},D$2:D134=D135),2)*VLOOKUP(9^99,FILTER({ROW(O$2:O134),O$2:O134},D$2:D134=D135),2)-N135)/O135),J135))"),"")</f>
        <v/>
      </c>
      <c r="Q135" s="264" t="str">
        <f>IFERROR(__xludf.DUMMYFUNCTION("IFERROR(IF(F135=""Crypto"",B135,(IF(ISBLANK(D135),"""",IF(D135=""Cash"",B135,IF(GOOGLEFINANCE(D135,""CURRENCY"")=""GBX"",""GBP"",GOOGLEFINANCE(D135,""CURRENCY"")))))),B135)"),"")</f>
        <v/>
      </c>
      <c r="R135" s="263" t="str">
        <f>IFERROR(__xludf.DUMMYFUNCTION("IF(ISBLANK(A135),"""",IFERROR(IF(OR(Q135=""GPB"",Q135=""ZAR""),IF(Q135=Dashboard!$L$1,K135,(K135*GOOGLEFINANCE(""CURRENCY:""&amp;Q135&amp;""""&amp;Dashboard!$L$1&amp;""""))/100),IF(Q135=Dashboard!$L$1,K135,K135*GOOGLEFINANCE(""CURRENCY:""&amp;Q135&amp;""""&amp;Dashboard!$L$1&amp;"""")))"&amp;",K135))"),"")</f>
        <v/>
      </c>
      <c r="S135" s="266" t="str">
        <f>IFERROR(__xludf.DUMMYFUNCTION("IF(ISBLANK(A135),"""",IFERROR(IF(OR(Q135=""GPB"",Q135=""ZAR""),IF(Q135=Dashboard!$L$1,M135,(M135*GOOGLEFINANCE(""CURRENCY:""&amp;Q135&amp;""""&amp;Dashboard!$L$1&amp;""""))/100),IF(Q135=Dashboard!$L$1,M135,M135*GOOGLEFINANCE(""CURRENCY:""&amp;Q135&amp;""""&amp;Dashboard!$L$1&amp;"""")))"&amp;",M135))"),"")</f>
        <v/>
      </c>
      <c r="T135" s="264" t="str">
        <f t="shared" si="4"/>
        <v/>
      </c>
      <c r="U135" s="264" t="str">
        <f t="shared" si="5"/>
        <v/>
      </c>
      <c r="V135" s="264" t="str">
        <f t="shared" si="6"/>
        <v/>
      </c>
      <c r="W135" s="267" t="str">
        <f t="shared" si="8"/>
        <v/>
      </c>
      <c r="X135" s="264" t="str">
        <f t="shared" si="7"/>
        <v/>
      </c>
    </row>
    <row r="136" ht="15.75" customHeight="1">
      <c r="A136" s="258"/>
      <c r="B136" s="258"/>
      <c r="C136" s="269"/>
      <c r="D136" s="258"/>
      <c r="E136" s="258"/>
      <c r="F136" s="258"/>
      <c r="G136" s="258"/>
      <c r="H136" s="271"/>
      <c r="I136" s="258"/>
      <c r="J136" s="272"/>
      <c r="K136" s="260"/>
      <c r="L136" s="261"/>
      <c r="M136" s="262" t="str">
        <f t="shared" si="1"/>
        <v/>
      </c>
      <c r="N136" s="263" t="str">
        <f t="shared" si="2"/>
        <v/>
      </c>
      <c r="O136" s="264" t="str">
        <f t="shared" si="3"/>
        <v/>
      </c>
      <c r="P136" s="265" t="str">
        <f>IFERROR(__xludf.DUMMYFUNCTION("IF(ISBLANK(A136),"""",IFERROR(IF(H136=""Sell"",VLOOKUP(9^99,FILTER({ROW(P$2:P135),P$2:P135},D$2:D135=D136),2),(VLOOKUP(9^99,FILTER({ROW(P$2:P135),P$2:P135},D$2:D135=D136),2)*VLOOKUP(9^99,FILTER({ROW(O$2:O135),O$2:O135},D$2:D135=D136),2)-N136)/O136),J136))"),"")</f>
        <v/>
      </c>
      <c r="Q136" s="264" t="str">
        <f>IFERROR(__xludf.DUMMYFUNCTION("IFERROR(IF(F136=""Crypto"",B136,(IF(ISBLANK(D136),"""",IF(D136=""Cash"",B136,IF(GOOGLEFINANCE(D136,""CURRENCY"")=""GBX"",""GBP"",GOOGLEFINANCE(D136,""CURRENCY"")))))),B136)"),"")</f>
        <v/>
      </c>
      <c r="R136" s="263" t="str">
        <f>IFERROR(__xludf.DUMMYFUNCTION("IF(ISBLANK(A136),"""",IFERROR(IF(OR(Q136=""GPB"",Q136=""ZAR""),IF(Q136=Dashboard!$L$1,K136,(K136*GOOGLEFINANCE(""CURRENCY:""&amp;Q136&amp;""""&amp;Dashboard!$L$1&amp;""""))/100),IF(Q136=Dashboard!$L$1,K136,K136*GOOGLEFINANCE(""CURRENCY:""&amp;Q136&amp;""""&amp;Dashboard!$L$1&amp;"""")))"&amp;",K136))"),"")</f>
        <v/>
      </c>
      <c r="S136" s="266" t="str">
        <f>IFERROR(__xludf.DUMMYFUNCTION("IF(ISBLANK(A136),"""",IFERROR(IF(OR(Q136=""GPB"",Q136=""ZAR""),IF(Q136=Dashboard!$L$1,M136,(M136*GOOGLEFINANCE(""CURRENCY:""&amp;Q136&amp;""""&amp;Dashboard!$L$1&amp;""""))/100),IF(Q136=Dashboard!$L$1,M136,M136*GOOGLEFINANCE(""CURRENCY:""&amp;Q136&amp;""""&amp;Dashboard!$L$1&amp;"""")))"&amp;",M136))"),"")</f>
        <v/>
      </c>
      <c r="T136" s="264" t="str">
        <f t="shared" si="4"/>
        <v/>
      </c>
      <c r="U136" s="264" t="str">
        <f t="shared" si="5"/>
        <v/>
      </c>
      <c r="V136" s="264" t="str">
        <f t="shared" si="6"/>
        <v/>
      </c>
      <c r="W136" s="267" t="str">
        <f t="shared" si="8"/>
        <v/>
      </c>
      <c r="X136" s="264" t="str">
        <f t="shared" si="7"/>
        <v/>
      </c>
    </row>
    <row r="137" ht="15.75" customHeight="1">
      <c r="A137" s="258"/>
      <c r="B137" s="258"/>
      <c r="C137" s="269"/>
      <c r="D137" s="258"/>
      <c r="E137" s="258"/>
      <c r="F137" s="258"/>
      <c r="G137" s="258"/>
      <c r="H137" s="271"/>
      <c r="I137" s="258"/>
      <c r="J137" s="272"/>
      <c r="K137" s="260"/>
      <c r="L137" s="261"/>
      <c r="M137" s="262" t="str">
        <f t="shared" si="1"/>
        <v/>
      </c>
      <c r="N137" s="263" t="str">
        <f t="shared" si="2"/>
        <v/>
      </c>
      <c r="O137" s="264" t="str">
        <f t="shared" si="3"/>
        <v/>
      </c>
      <c r="P137" s="265" t="str">
        <f>IFERROR(__xludf.DUMMYFUNCTION("IF(ISBLANK(A137),"""",IFERROR(IF(H137=""Sell"",VLOOKUP(9^99,FILTER({ROW(P$2:P136),P$2:P136},D$2:D136=D137),2),(VLOOKUP(9^99,FILTER({ROW(P$2:P136),P$2:P136},D$2:D136=D137),2)*VLOOKUP(9^99,FILTER({ROW(O$2:O136),O$2:O136},D$2:D136=D137),2)-N137)/O137),J137))"),"")</f>
        <v/>
      </c>
      <c r="Q137" s="264" t="str">
        <f>IFERROR(__xludf.DUMMYFUNCTION("IFERROR(IF(F137=""Crypto"",B137,(IF(ISBLANK(D137),"""",IF(D137=""Cash"",B137,IF(GOOGLEFINANCE(D137,""CURRENCY"")=""GBX"",""GBP"",GOOGLEFINANCE(D137,""CURRENCY"")))))),B137)"),"")</f>
        <v/>
      </c>
      <c r="R137" s="263" t="str">
        <f>IFERROR(__xludf.DUMMYFUNCTION("IF(ISBLANK(A137),"""",IFERROR(IF(OR(Q137=""GPB"",Q137=""ZAR""),IF(Q137=Dashboard!$L$1,K137,(K137*GOOGLEFINANCE(""CURRENCY:""&amp;Q137&amp;""""&amp;Dashboard!$L$1&amp;""""))/100),IF(Q137=Dashboard!$L$1,K137,K137*GOOGLEFINANCE(""CURRENCY:""&amp;Q137&amp;""""&amp;Dashboard!$L$1&amp;"""")))"&amp;",K137))"),"")</f>
        <v/>
      </c>
      <c r="S137" s="266" t="str">
        <f>IFERROR(__xludf.DUMMYFUNCTION("IF(ISBLANK(A137),"""",IFERROR(IF(OR(Q137=""GPB"",Q137=""ZAR""),IF(Q137=Dashboard!$L$1,M137,(M137*GOOGLEFINANCE(""CURRENCY:""&amp;Q137&amp;""""&amp;Dashboard!$L$1&amp;""""))/100),IF(Q137=Dashboard!$L$1,M137,M137*GOOGLEFINANCE(""CURRENCY:""&amp;Q137&amp;""""&amp;Dashboard!$L$1&amp;"""")))"&amp;",M137))"),"")</f>
        <v/>
      </c>
      <c r="T137" s="264" t="str">
        <f t="shared" si="4"/>
        <v/>
      </c>
      <c r="U137" s="264" t="str">
        <f t="shared" si="5"/>
        <v/>
      </c>
      <c r="V137" s="264" t="str">
        <f t="shared" si="6"/>
        <v/>
      </c>
      <c r="W137" s="267" t="str">
        <f t="shared" si="8"/>
        <v/>
      </c>
      <c r="X137" s="264" t="str">
        <f t="shared" si="7"/>
        <v/>
      </c>
    </row>
    <row r="138" ht="15.75" customHeight="1">
      <c r="A138" s="258"/>
      <c r="B138" s="258"/>
      <c r="C138" s="269"/>
      <c r="D138" s="258"/>
      <c r="E138" s="258"/>
      <c r="F138" s="258"/>
      <c r="G138" s="258"/>
      <c r="H138" s="271"/>
      <c r="I138" s="258"/>
      <c r="J138" s="272"/>
      <c r="K138" s="260"/>
      <c r="L138" s="261"/>
      <c r="M138" s="262" t="str">
        <f t="shared" si="1"/>
        <v/>
      </c>
      <c r="N138" s="263" t="str">
        <f t="shared" si="2"/>
        <v/>
      </c>
      <c r="O138" s="264" t="str">
        <f t="shared" si="3"/>
        <v/>
      </c>
      <c r="P138" s="265" t="str">
        <f>IFERROR(__xludf.DUMMYFUNCTION("IF(ISBLANK(A138),"""",IFERROR(IF(H138=""Sell"",VLOOKUP(9^99,FILTER({ROW(P$2:P137),P$2:P137},D$2:D137=D138),2),(VLOOKUP(9^99,FILTER({ROW(P$2:P137),P$2:P137},D$2:D137=D138),2)*VLOOKUP(9^99,FILTER({ROW(O$2:O137),O$2:O137},D$2:D137=D138),2)-N138)/O138),J138))"),"")</f>
        <v/>
      </c>
      <c r="Q138" s="264" t="str">
        <f>IFERROR(__xludf.DUMMYFUNCTION("IFERROR(IF(F138=""Crypto"",B138,(IF(ISBLANK(D138),"""",IF(D138=""Cash"",B138,IF(GOOGLEFINANCE(D138,""CURRENCY"")=""GBX"",""GBP"",GOOGLEFINANCE(D138,""CURRENCY"")))))),B138)"),"")</f>
        <v/>
      </c>
      <c r="R138" s="263" t="str">
        <f>IFERROR(__xludf.DUMMYFUNCTION("IF(ISBLANK(A138),"""",IFERROR(IF(OR(Q138=""GPB"",Q138=""ZAR""),IF(Q138=Dashboard!$L$1,K138,(K138*GOOGLEFINANCE(""CURRENCY:""&amp;Q138&amp;""""&amp;Dashboard!$L$1&amp;""""))/100),IF(Q138=Dashboard!$L$1,K138,K138*GOOGLEFINANCE(""CURRENCY:""&amp;Q138&amp;""""&amp;Dashboard!$L$1&amp;"""")))"&amp;",K138))"),"")</f>
        <v/>
      </c>
      <c r="S138" s="266" t="str">
        <f>IFERROR(__xludf.DUMMYFUNCTION("IF(ISBLANK(A138),"""",IFERROR(IF(OR(Q138=""GPB"",Q138=""ZAR""),IF(Q138=Dashboard!$L$1,M138,(M138*GOOGLEFINANCE(""CURRENCY:""&amp;Q138&amp;""""&amp;Dashboard!$L$1&amp;""""))/100),IF(Q138=Dashboard!$L$1,M138,M138*GOOGLEFINANCE(""CURRENCY:""&amp;Q138&amp;""""&amp;Dashboard!$L$1&amp;"""")))"&amp;",M138))"),"")</f>
        <v/>
      </c>
      <c r="T138" s="264" t="str">
        <f t="shared" si="4"/>
        <v/>
      </c>
      <c r="U138" s="264" t="str">
        <f t="shared" si="5"/>
        <v/>
      </c>
      <c r="V138" s="264" t="str">
        <f t="shared" si="6"/>
        <v/>
      </c>
      <c r="W138" s="267" t="str">
        <f t="shared" si="8"/>
        <v/>
      </c>
      <c r="X138" s="264" t="str">
        <f t="shared" si="7"/>
        <v/>
      </c>
    </row>
    <row r="139" ht="15.75" customHeight="1">
      <c r="A139" s="258"/>
      <c r="B139" s="258"/>
      <c r="C139" s="269"/>
      <c r="D139" s="258"/>
      <c r="E139" s="258"/>
      <c r="F139" s="258"/>
      <c r="G139" s="258"/>
      <c r="H139" s="271"/>
      <c r="I139" s="258"/>
      <c r="J139" s="272"/>
      <c r="K139" s="260"/>
      <c r="L139" s="261"/>
      <c r="M139" s="262" t="str">
        <f t="shared" si="1"/>
        <v/>
      </c>
      <c r="N139" s="263" t="str">
        <f t="shared" si="2"/>
        <v/>
      </c>
      <c r="O139" s="264" t="str">
        <f t="shared" si="3"/>
        <v/>
      </c>
      <c r="P139" s="265" t="str">
        <f>IFERROR(__xludf.DUMMYFUNCTION("IF(ISBLANK(A139),"""",IFERROR(IF(H139=""Sell"",VLOOKUP(9^99,FILTER({ROW(P$2:P138),P$2:P138},D$2:D138=D139),2),(VLOOKUP(9^99,FILTER({ROW(P$2:P138),P$2:P138},D$2:D138=D139),2)*VLOOKUP(9^99,FILTER({ROW(O$2:O138),O$2:O138},D$2:D138=D139),2)-N139)/O139),J139))"),"")</f>
        <v/>
      </c>
      <c r="Q139" s="264" t="str">
        <f>IFERROR(__xludf.DUMMYFUNCTION("IFERROR(IF(F139=""Crypto"",B139,(IF(ISBLANK(D139),"""",IF(D139=""Cash"",B139,IF(GOOGLEFINANCE(D139,""CURRENCY"")=""GBX"",""GBP"",GOOGLEFINANCE(D139,""CURRENCY"")))))),B139)"),"")</f>
        <v/>
      </c>
      <c r="R139" s="263" t="str">
        <f>IFERROR(__xludf.DUMMYFUNCTION("IF(ISBLANK(A139),"""",IFERROR(IF(OR(Q139=""GPB"",Q139=""ZAR""),IF(Q139=Dashboard!$L$1,K139,(K139*GOOGLEFINANCE(""CURRENCY:""&amp;Q139&amp;""""&amp;Dashboard!$L$1&amp;""""))/100),IF(Q139=Dashboard!$L$1,K139,K139*GOOGLEFINANCE(""CURRENCY:""&amp;Q139&amp;""""&amp;Dashboard!$L$1&amp;"""")))"&amp;",K139))"),"")</f>
        <v/>
      </c>
      <c r="S139" s="266" t="str">
        <f>IFERROR(__xludf.DUMMYFUNCTION("IF(ISBLANK(A139),"""",IFERROR(IF(OR(Q139=""GPB"",Q139=""ZAR""),IF(Q139=Dashboard!$L$1,M139,(M139*GOOGLEFINANCE(""CURRENCY:""&amp;Q139&amp;""""&amp;Dashboard!$L$1&amp;""""))/100),IF(Q139=Dashboard!$L$1,M139,M139*GOOGLEFINANCE(""CURRENCY:""&amp;Q139&amp;""""&amp;Dashboard!$L$1&amp;"""")))"&amp;",M139))"),"")</f>
        <v/>
      </c>
      <c r="T139" s="264" t="str">
        <f t="shared" si="4"/>
        <v/>
      </c>
      <c r="U139" s="264" t="str">
        <f t="shared" si="5"/>
        <v/>
      </c>
      <c r="V139" s="264" t="str">
        <f t="shared" si="6"/>
        <v/>
      </c>
      <c r="W139" s="267" t="str">
        <f t="shared" si="8"/>
        <v/>
      </c>
      <c r="X139" s="264" t="str">
        <f t="shared" si="7"/>
        <v/>
      </c>
    </row>
    <row r="140" ht="15.75" customHeight="1">
      <c r="A140" s="258"/>
      <c r="B140" s="258"/>
      <c r="C140" s="269"/>
      <c r="D140" s="258"/>
      <c r="E140" s="258"/>
      <c r="F140" s="258"/>
      <c r="G140" s="258"/>
      <c r="H140" s="271"/>
      <c r="I140" s="258"/>
      <c r="J140" s="272"/>
      <c r="K140" s="260"/>
      <c r="L140" s="261"/>
      <c r="M140" s="262" t="str">
        <f t="shared" si="1"/>
        <v/>
      </c>
      <c r="N140" s="263" t="str">
        <f t="shared" si="2"/>
        <v/>
      </c>
      <c r="O140" s="264" t="str">
        <f t="shared" si="3"/>
        <v/>
      </c>
      <c r="P140" s="265" t="str">
        <f>IFERROR(__xludf.DUMMYFUNCTION("IF(ISBLANK(A140),"""",IFERROR(IF(H140=""Sell"",VLOOKUP(9^99,FILTER({ROW(P$2:P139),P$2:P139},D$2:D139=D140),2),(VLOOKUP(9^99,FILTER({ROW(P$2:P139),P$2:P139},D$2:D139=D140),2)*VLOOKUP(9^99,FILTER({ROW(O$2:O139),O$2:O139},D$2:D139=D140),2)-N140)/O140),J140))"),"")</f>
        <v/>
      </c>
      <c r="Q140" s="264" t="str">
        <f>IFERROR(__xludf.DUMMYFUNCTION("IFERROR(IF(F140=""Crypto"",B140,(IF(ISBLANK(D140),"""",IF(D140=""Cash"",B140,IF(GOOGLEFINANCE(D140,""CURRENCY"")=""GBX"",""GBP"",GOOGLEFINANCE(D140,""CURRENCY"")))))),B140)"),"")</f>
        <v/>
      </c>
      <c r="R140" s="263" t="str">
        <f>IFERROR(__xludf.DUMMYFUNCTION("IF(ISBLANK(A140),"""",IFERROR(IF(OR(Q140=""GPB"",Q140=""ZAR""),IF(Q140=Dashboard!$L$1,K140,(K140*GOOGLEFINANCE(""CURRENCY:""&amp;Q140&amp;""""&amp;Dashboard!$L$1&amp;""""))/100),IF(Q140=Dashboard!$L$1,K140,K140*GOOGLEFINANCE(""CURRENCY:""&amp;Q140&amp;""""&amp;Dashboard!$L$1&amp;"""")))"&amp;",K140))"),"")</f>
        <v/>
      </c>
      <c r="S140" s="266" t="str">
        <f>IFERROR(__xludf.DUMMYFUNCTION("IF(ISBLANK(A140),"""",IFERROR(IF(OR(Q140=""GPB"",Q140=""ZAR""),IF(Q140=Dashboard!$L$1,M140,(M140*GOOGLEFINANCE(""CURRENCY:""&amp;Q140&amp;""""&amp;Dashboard!$L$1&amp;""""))/100),IF(Q140=Dashboard!$L$1,M140,M140*GOOGLEFINANCE(""CURRENCY:""&amp;Q140&amp;""""&amp;Dashboard!$L$1&amp;"""")))"&amp;",M140))"),"")</f>
        <v/>
      </c>
      <c r="T140" s="264" t="str">
        <f t="shared" si="4"/>
        <v/>
      </c>
      <c r="U140" s="264" t="str">
        <f t="shared" si="5"/>
        <v/>
      </c>
      <c r="V140" s="264" t="str">
        <f t="shared" si="6"/>
        <v/>
      </c>
      <c r="W140" s="267" t="str">
        <f t="shared" si="8"/>
        <v/>
      </c>
      <c r="X140" s="264" t="str">
        <f t="shared" si="7"/>
        <v/>
      </c>
    </row>
    <row r="141" ht="15.75" customHeight="1">
      <c r="A141" s="258"/>
      <c r="B141" s="258"/>
      <c r="C141" s="269"/>
      <c r="D141" s="258"/>
      <c r="E141" s="258"/>
      <c r="F141" s="258"/>
      <c r="G141" s="258"/>
      <c r="H141" s="271"/>
      <c r="I141" s="258"/>
      <c r="J141" s="272"/>
      <c r="K141" s="260"/>
      <c r="L141" s="261"/>
      <c r="M141" s="262" t="str">
        <f t="shared" si="1"/>
        <v/>
      </c>
      <c r="N141" s="263" t="str">
        <f t="shared" si="2"/>
        <v/>
      </c>
      <c r="O141" s="264" t="str">
        <f t="shared" si="3"/>
        <v/>
      </c>
      <c r="P141" s="265" t="str">
        <f>IFERROR(__xludf.DUMMYFUNCTION("IF(ISBLANK(A141),"""",IFERROR(IF(H141=""Sell"",VLOOKUP(9^99,FILTER({ROW(P$2:P140),P$2:P140},D$2:D140=D141),2),(VLOOKUP(9^99,FILTER({ROW(P$2:P140),P$2:P140},D$2:D140=D141),2)*VLOOKUP(9^99,FILTER({ROW(O$2:O140),O$2:O140},D$2:D140=D141),2)-N141)/O141),J141))"),"")</f>
        <v/>
      </c>
      <c r="Q141" s="264" t="str">
        <f>IFERROR(__xludf.DUMMYFUNCTION("IFERROR(IF(F141=""Crypto"",B141,(IF(ISBLANK(D141),"""",IF(D141=""Cash"",B141,IF(GOOGLEFINANCE(D141,""CURRENCY"")=""GBX"",""GBP"",GOOGLEFINANCE(D141,""CURRENCY"")))))),B141)"),"")</f>
        <v/>
      </c>
      <c r="R141" s="263" t="str">
        <f>IFERROR(__xludf.DUMMYFUNCTION("IF(ISBLANK(A141),"""",IFERROR(IF(OR(Q141=""GPB"",Q141=""ZAR""),IF(Q141=Dashboard!$L$1,K141,(K141*GOOGLEFINANCE(""CURRENCY:""&amp;Q141&amp;""""&amp;Dashboard!$L$1&amp;""""))/100),IF(Q141=Dashboard!$L$1,K141,K141*GOOGLEFINANCE(""CURRENCY:""&amp;Q141&amp;""""&amp;Dashboard!$L$1&amp;"""")))"&amp;",K141))"),"")</f>
        <v/>
      </c>
      <c r="S141" s="266" t="str">
        <f>IFERROR(__xludf.DUMMYFUNCTION("IF(ISBLANK(A141),"""",IFERROR(IF(OR(Q141=""GPB"",Q141=""ZAR""),IF(Q141=Dashboard!$L$1,M141,(M141*GOOGLEFINANCE(""CURRENCY:""&amp;Q141&amp;""""&amp;Dashboard!$L$1&amp;""""))/100),IF(Q141=Dashboard!$L$1,M141,M141*GOOGLEFINANCE(""CURRENCY:""&amp;Q141&amp;""""&amp;Dashboard!$L$1&amp;"""")))"&amp;",M141))"),"")</f>
        <v/>
      </c>
      <c r="T141" s="264" t="str">
        <f t="shared" si="4"/>
        <v/>
      </c>
      <c r="U141" s="264" t="str">
        <f t="shared" si="5"/>
        <v/>
      </c>
      <c r="V141" s="264" t="str">
        <f t="shared" si="6"/>
        <v/>
      </c>
      <c r="W141" s="267" t="str">
        <f t="shared" si="8"/>
        <v/>
      </c>
      <c r="X141" s="264" t="str">
        <f t="shared" si="7"/>
        <v/>
      </c>
    </row>
    <row r="142" ht="15.75" customHeight="1">
      <c r="A142" s="258"/>
      <c r="B142" s="258"/>
      <c r="C142" s="269"/>
      <c r="D142" s="258"/>
      <c r="E142" s="258"/>
      <c r="F142" s="258"/>
      <c r="G142" s="258"/>
      <c r="H142" s="271"/>
      <c r="I142" s="258"/>
      <c r="J142" s="272"/>
      <c r="K142" s="260"/>
      <c r="L142" s="261"/>
      <c r="M142" s="262" t="str">
        <f t="shared" si="1"/>
        <v/>
      </c>
      <c r="N142" s="263" t="str">
        <f t="shared" si="2"/>
        <v/>
      </c>
      <c r="O142" s="264" t="str">
        <f t="shared" si="3"/>
        <v/>
      </c>
      <c r="P142" s="265" t="str">
        <f>IFERROR(__xludf.DUMMYFUNCTION("IF(ISBLANK(A142),"""",IFERROR(IF(H142=""Sell"",VLOOKUP(9^99,FILTER({ROW(P$2:P141),P$2:P141},D$2:D141=D142),2),(VLOOKUP(9^99,FILTER({ROW(P$2:P141),P$2:P141},D$2:D141=D142),2)*VLOOKUP(9^99,FILTER({ROW(O$2:O141),O$2:O141},D$2:D141=D142),2)-N142)/O142),J142))"),"")</f>
        <v/>
      </c>
      <c r="Q142" s="264" t="str">
        <f>IFERROR(__xludf.DUMMYFUNCTION("IFERROR(IF(F142=""Crypto"",B142,(IF(ISBLANK(D142),"""",IF(D142=""Cash"",B142,IF(GOOGLEFINANCE(D142,""CURRENCY"")=""GBX"",""GBP"",GOOGLEFINANCE(D142,""CURRENCY"")))))),B142)"),"")</f>
        <v/>
      </c>
      <c r="R142" s="263" t="str">
        <f>IFERROR(__xludf.DUMMYFUNCTION("IF(ISBLANK(A142),"""",IFERROR(IF(OR(Q142=""GPB"",Q142=""ZAR""),IF(Q142=Dashboard!$L$1,K142,(K142*GOOGLEFINANCE(""CURRENCY:""&amp;Q142&amp;""""&amp;Dashboard!$L$1&amp;""""))/100),IF(Q142=Dashboard!$L$1,K142,K142*GOOGLEFINANCE(""CURRENCY:""&amp;Q142&amp;""""&amp;Dashboard!$L$1&amp;"""")))"&amp;",K142))"),"")</f>
        <v/>
      </c>
      <c r="S142" s="266" t="str">
        <f>IFERROR(__xludf.DUMMYFUNCTION("IF(ISBLANK(A142),"""",IFERROR(IF(OR(Q142=""GPB"",Q142=""ZAR""),IF(Q142=Dashboard!$L$1,M142,(M142*GOOGLEFINANCE(""CURRENCY:""&amp;Q142&amp;""""&amp;Dashboard!$L$1&amp;""""))/100),IF(Q142=Dashboard!$L$1,M142,M142*GOOGLEFINANCE(""CURRENCY:""&amp;Q142&amp;""""&amp;Dashboard!$L$1&amp;"""")))"&amp;",M142))"),"")</f>
        <v/>
      </c>
      <c r="T142" s="264" t="str">
        <f t="shared" si="4"/>
        <v/>
      </c>
      <c r="U142" s="264" t="str">
        <f t="shared" si="5"/>
        <v/>
      </c>
      <c r="V142" s="264" t="str">
        <f t="shared" si="6"/>
        <v/>
      </c>
      <c r="W142" s="267" t="str">
        <f t="shared" si="8"/>
        <v/>
      </c>
      <c r="X142" s="264" t="str">
        <f t="shared" si="7"/>
        <v/>
      </c>
    </row>
    <row r="143" ht="15.75" customHeight="1">
      <c r="A143" s="258"/>
      <c r="B143" s="258"/>
      <c r="C143" s="269"/>
      <c r="D143" s="258"/>
      <c r="E143" s="258"/>
      <c r="F143" s="258"/>
      <c r="G143" s="258"/>
      <c r="H143" s="271"/>
      <c r="I143" s="258"/>
      <c r="J143" s="272"/>
      <c r="K143" s="260"/>
      <c r="L143" s="261"/>
      <c r="M143" s="262" t="str">
        <f t="shared" si="1"/>
        <v/>
      </c>
      <c r="N143" s="263" t="str">
        <f t="shared" si="2"/>
        <v/>
      </c>
      <c r="O143" s="264" t="str">
        <f t="shared" si="3"/>
        <v/>
      </c>
      <c r="P143" s="265" t="str">
        <f>IFERROR(__xludf.DUMMYFUNCTION("IF(ISBLANK(A143),"""",IFERROR(IF(H143=""Sell"",VLOOKUP(9^99,FILTER({ROW(P$2:P142),P$2:P142},D$2:D142=D143),2),(VLOOKUP(9^99,FILTER({ROW(P$2:P142),P$2:P142},D$2:D142=D143),2)*VLOOKUP(9^99,FILTER({ROW(O$2:O142),O$2:O142},D$2:D142=D143),2)-N143)/O143),J143))"),"")</f>
        <v/>
      </c>
      <c r="Q143" s="264" t="str">
        <f>IFERROR(__xludf.DUMMYFUNCTION("IFERROR(IF(F143=""Crypto"",B143,(IF(ISBLANK(D143),"""",IF(D143=""Cash"",B143,IF(GOOGLEFINANCE(D143,""CURRENCY"")=""GBX"",""GBP"",GOOGLEFINANCE(D143,""CURRENCY"")))))),B143)"),"")</f>
        <v/>
      </c>
      <c r="R143" s="263" t="str">
        <f>IFERROR(__xludf.DUMMYFUNCTION("IF(ISBLANK(A143),"""",IFERROR(IF(OR(Q143=""GPB"",Q143=""ZAR""),IF(Q143=Dashboard!$L$1,K143,(K143*GOOGLEFINANCE(""CURRENCY:""&amp;Q143&amp;""""&amp;Dashboard!$L$1&amp;""""))/100),IF(Q143=Dashboard!$L$1,K143,K143*GOOGLEFINANCE(""CURRENCY:""&amp;Q143&amp;""""&amp;Dashboard!$L$1&amp;"""")))"&amp;",K143))"),"")</f>
        <v/>
      </c>
      <c r="S143" s="266" t="str">
        <f>IFERROR(__xludf.DUMMYFUNCTION("IF(ISBLANK(A143),"""",IFERROR(IF(OR(Q143=""GPB"",Q143=""ZAR""),IF(Q143=Dashboard!$L$1,M143,(M143*GOOGLEFINANCE(""CURRENCY:""&amp;Q143&amp;""""&amp;Dashboard!$L$1&amp;""""))/100),IF(Q143=Dashboard!$L$1,M143,M143*GOOGLEFINANCE(""CURRENCY:""&amp;Q143&amp;""""&amp;Dashboard!$L$1&amp;"""")))"&amp;",M143))"),"")</f>
        <v/>
      </c>
      <c r="T143" s="264" t="str">
        <f t="shared" si="4"/>
        <v/>
      </c>
      <c r="U143" s="264" t="str">
        <f t="shared" si="5"/>
        <v/>
      </c>
      <c r="V143" s="264" t="str">
        <f t="shared" si="6"/>
        <v/>
      </c>
      <c r="W143" s="267" t="str">
        <f t="shared" si="8"/>
        <v/>
      </c>
      <c r="X143" s="264" t="str">
        <f t="shared" si="7"/>
        <v/>
      </c>
    </row>
    <row r="144" ht="15.75" customHeight="1">
      <c r="A144" s="258"/>
      <c r="B144" s="258"/>
      <c r="C144" s="269"/>
      <c r="D144" s="258"/>
      <c r="E144" s="258"/>
      <c r="F144" s="258"/>
      <c r="G144" s="258"/>
      <c r="H144" s="271"/>
      <c r="I144" s="258"/>
      <c r="J144" s="272"/>
      <c r="K144" s="260"/>
      <c r="L144" s="261"/>
      <c r="M144" s="262" t="str">
        <f t="shared" si="1"/>
        <v/>
      </c>
      <c r="N144" s="263" t="str">
        <f t="shared" si="2"/>
        <v/>
      </c>
      <c r="O144" s="264" t="str">
        <f t="shared" si="3"/>
        <v/>
      </c>
      <c r="P144" s="265" t="str">
        <f>IFERROR(__xludf.DUMMYFUNCTION("IF(ISBLANK(A144),"""",IFERROR(IF(H144=""Sell"",VLOOKUP(9^99,FILTER({ROW(P$2:P143),P$2:P143},D$2:D143=D144),2),(VLOOKUP(9^99,FILTER({ROW(P$2:P143),P$2:P143},D$2:D143=D144),2)*VLOOKUP(9^99,FILTER({ROW(O$2:O143),O$2:O143},D$2:D143=D144),2)-N144)/O144),J144))"),"")</f>
        <v/>
      </c>
      <c r="Q144" s="264" t="str">
        <f>IFERROR(__xludf.DUMMYFUNCTION("IFERROR(IF(F144=""Crypto"",B144,(IF(ISBLANK(D144),"""",IF(D144=""Cash"",B144,IF(GOOGLEFINANCE(D144,""CURRENCY"")=""GBX"",""GBP"",GOOGLEFINANCE(D144,""CURRENCY"")))))),B144)"),"")</f>
        <v/>
      </c>
      <c r="R144" s="263" t="str">
        <f>IFERROR(__xludf.DUMMYFUNCTION("IF(ISBLANK(A144),"""",IFERROR(IF(OR(Q144=""GPB"",Q144=""ZAR""),IF(Q144=Dashboard!$L$1,K144,(K144*GOOGLEFINANCE(""CURRENCY:""&amp;Q144&amp;""""&amp;Dashboard!$L$1&amp;""""))/100),IF(Q144=Dashboard!$L$1,K144,K144*GOOGLEFINANCE(""CURRENCY:""&amp;Q144&amp;""""&amp;Dashboard!$L$1&amp;"""")))"&amp;",K144))"),"")</f>
        <v/>
      </c>
      <c r="S144" s="266" t="str">
        <f>IFERROR(__xludf.DUMMYFUNCTION("IF(ISBLANK(A144),"""",IFERROR(IF(OR(Q144=""GPB"",Q144=""ZAR""),IF(Q144=Dashboard!$L$1,M144,(M144*GOOGLEFINANCE(""CURRENCY:""&amp;Q144&amp;""""&amp;Dashboard!$L$1&amp;""""))/100),IF(Q144=Dashboard!$L$1,M144,M144*GOOGLEFINANCE(""CURRENCY:""&amp;Q144&amp;""""&amp;Dashboard!$L$1&amp;"""")))"&amp;",M144))"),"")</f>
        <v/>
      </c>
      <c r="T144" s="264" t="str">
        <f t="shared" si="4"/>
        <v/>
      </c>
      <c r="U144" s="264" t="str">
        <f t="shared" si="5"/>
        <v/>
      </c>
      <c r="V144" s="264" t="str">
        <f t="shared" si="6"/>
        <v/>
      </c>
      <c r="W144" s="267" t="str">
        <f t="shared" si="8"/>
        <v/>
      </c>
      <c r="X144" s="264" t="str">
        <f t="shared" si="7"/>
        <v/>
      </c>
    </row>
    <row r="145" ht="15.75" customHeight="1">
      <c r="A145" s="258"/>
      <c r="B145" s="258"/>
      <c r="C145" s="269"/>
      <c r="D145" s="258"/>
      <c r="E145" s="258"/>
      <c r="F145" s="258"/>
      <c r="G145" s="258"/>
      <c r="H145" s="271"/>
      <c r="I145" s="258"/>
      <c r="J145" s="272"/>
      <c r="K145" s="260"/>
      <c r="L145" s="261"/>
      <c r="M145" s="262" t="str">
        <f t="shared" si="1"/>
        <v/>
      </c>
      <c r="N145" s="263" t="str">
        <f t="shared" si="2"/>
        <v/>
      </c>
      <c r="O145" s="264" t="str">
        <f t="shared" si="3"/>
        <v/>
      </c>
      <c r="P145" s="265" t="str">
        <f>IFERROR(__xludf.DUMMYFUNCTION("IF(ISBLANK(A145),"""",IFERROR(IF(H145=""Sell"",VLOOKUP(9^99,FILTER({ROW(P$2:P144),P$2:P144},D$2:D144=D145),2),(VLOOKUP(9^99,FILTER({ROW(P$2:P144),P$2:P144},D$2:D144=D145),2)*VLOOKUP(9^99,FILTER({ROW(O$2:O144),O$2:O144},D$2:D144=D145),2)-N145)/O145),J145))"),"")</f>
        <v/>
      </c>
      <c r="Q145" s="264" t="str">
        <f>IFERROR(__xludf.DUMMYFUNCTION("IFERROR(IF(F145=""Crypto"",B145,(IF(ISBLANK(D145),"""",IF(D145=""Cash"",B145,IF(GOOGLEFINANCE(D145,""CURRENCY"")=""GBX"",""GBP"",GOOGLEFINANCE(D145,""CURRENCY"")))))),B145)"),"")</f>
        <v/>
      </c>
      <c r="R145" s="263" t="str">
        <f>IFERROR(__xludf.DUMMYFUNCTION("IF(ISBLANK(A145),"""",IFERROR(IF(OR(Q145=""GPB"",Q145=""ZAR""),IF(Q145=Dashboard!$L$1,K145,(K145*GOOGLEFINANCE(""CURRENCY:""&amp;Q145&amp;""""&amp;Dashboard!$L$1&amp;""""))/100),IF(Q145=Dashboard!$L$1,K145,K145*GOOGLEFINANCE(""CURRENCY:""&amp;Q145&amp;""""&amp;Dashboard!$L$1&amp;"""")))"&amp;",K145))"),"")</f>
        <v/>
      </c>
      <c r="S145" s="266" t="str">
        <f>IFERROR(__xludf.DUMMYFUNCTION("IF(ISBLANK(A145),"""",IFERROR(IF(OR(Q145=""GPB"",Q145=""ZAR""),IF(Q145=Dashboard!$L$1,M145,(M145*GOOGLEFINANCE(""CURRENCY:""&amp;Q145&amp;""""&amp;Dashboard!$L$1&amp;""""))/100),IF(Q145=Dashboard!$L$1,M145,M145*GOOGLEFINANCE(""CURRENCY:""&amp;Q145&amp;""""&amp;Dashboard!$L$1&amp;"""")))"&amp;",M145))"),"")</f>
        <v/>
      </c>
      <c r="T145" s="264" t="str">
        <f t="shared" si="4"/>
        <v/>
      </c>
      <c r="U145" s="264" t="str">
        <f t="shared" si="5"/>
        <v/>
      </c>
      <c r="V145" s="264" t="str">
        <f t="shared" si="6"/>
        <v/>
      </c>
      <c r="W145" s="267" t="str">
        <f t="shared" si="8"/>
        <v/>
      </c>
      <c r="X145" s="264" t="str">
        <f t="shared" si="7"/>
        <v/>
      </c>
    </row>
    <row r="146" ht="15.75" customHeight="1">
      <c r="A146" s="258"/>
      <c r="B146" s="258"/>
      <c r="C146" s="269"/>
      <c r="D146" s="258"/>
      <c r="E146" s="258"/>
      <c r="F146" s="258"/>
      <c r="G146" s="258"/>
      <c r="H146" s="271"/>
      <c r="I146" s="258"/>
      <c r="J146" s="272"/>
      <c r="K146" s="260"/>
      <c r="L146" s="261"/>
      <c r="M146" s="262" t="str">
        <f t="shared" si="1"/>
        <v/>
      </c>
      <c r="N146" s="263" t="str">
        <f t="shared" si="2"/>
        <v/>
      </c>
      <c r="O146" s="264" t="str">
        <f t="shared" si="3"/>
        <v/>
      </c>
      <c r="P146" s="265" t="str">
        <f>IFERROR(__xludf.DUMMYFUNCTION("IF(ISBLANK(A146),"""",IFERROR(IF(H146=""Sell"",VLOOKUP(9^99,FILTER({ROW(P$2:P145),P$2:P145},D$2:D145=D146),2),(VLOOKUP(9^99,FILTER({ROW(P$2:P145),P$2:P145},D$2:D145=D146),2)*VLOOKUP(9^99,FILTER({ROW(O$2:O145),O$2:O145},D$2:D145=D146),2)-N146)/O146),J146))"),"")</f>
        <v/>
      </c>
      <c r="Q146" s="264" t="str">
        <f>IFERROR(__xludf.DUMMYFUNCTION("IFERROR(IF(F146=""Crypto"",B146,(IF(ISBLANK(D146),"""",IF(D146=""Cash"",B146,IF(GOOGLEFINANCE(D146,""CURRENCY"")=""GBX"",""GBP"",GOOGLEFINANCE(D146,""CURRENCY"")))))),B146)"),"")</f>
        <v/>
      </c>
      <c r="R146" s="263" t="str">
        <f>IFERROR(__xludf.DUMMYFUNCTION("IF(ISBLANK(A146),"""",IFERROR(IF(OR(Q146=""GPB"",Q146=""ZAR""),IF(Q146=Dashboard!$L$1,K146,(K146*GOOGLEFINANCE(""CURRENCY:""&amp;Q146&amp;""""&amp;Dashboard!$L$1&amp;""""))/100),IF(Q146=Dashboard!$L$1,K146,K146*GOOGLEFINANCE(""CURRENCY:""&amp;Q146&amp;""""&amp;Dashboard!$L$1&amp;"""")))"&amp;",K146))"),"")</f>
        <v/>
      </c>
      <c r="S146" s="266" t="str">
        <f>IFERROR(__xludf.DUMMYFUNCTION("IF(ISBLANK(A146),"""",IFERROR(IF(OR(Q146=""GPB"",Q146=""ZAR""),IF(Q146=Dashboard!$L$1,M146,(M146*GOOGLEFINANCE(""CURRENCY:""&amp;Q146&amp;""""&amp;Dashboard!$L$1&amp;""""))/100),IF(Q146=Dashboard!$L$1,M146,M146*GOOGLEFINANCE(""CURRENCY:""&amp;Q146&amp;""""&amp;Dashboard!$L$1&amp;"""")))"&amp;",M146))"),"")</f>
        <v/>
      </c>
      <c r="T146" s="264" t="str">
        <f t="shared" si="4"/>
        <v/>
      </c>
      <c r="U146" s="264" t="str">
        <f t="shared" si="5"/>
        <v/>
      </c>
      <c r="V146" s="264" t="str">
        <f t="shared" si="6"/>
        <v/>
      </c>
      <c r="W146" s="267" t="str">
        <f t="shared" si="8"/>
        <v/>
      </c>
      <c r="X146" s="264" t="str">
        <f t="shared" si="7"/>
        <v/>
      </c>
    </row>
    <row r="147" ht="15.75" customHeight="1">
      <c r="A147" s="258"/>
      <c r="B147" s="258"/>
      <c r="C147" s="269"/>
      <c r="D147" s="258"/>
      <c r="E147" s="258"/>
      <c r="F147" s="258"/>
      <c r="G147" s="258"/>
      <c r="H147" s="271"/>
      <c r="I147" s="258"/>
      <c r="J147" s="272"/>
      <c r="K147" s="260"/>
      <c r="L147" s="261"/>
      <c r="M147" s="262" t="str">
        <f t="shared" si="1"/>
        <v/>
      </c>
      <c r="N147" s="263" t="str">
        <f t="shared" si="2"/>
        <v/>
      </c>
      <c r="O147" s="264" t="str">
        <f t="shared" si="3"/>
        <v/>
      </c>
      <c r="P147" s="265" t="str">
        <f>IFERROR(__xludf.DUMMYFUNCTION("IF(ISBLANK(A147),"""",IFERROR(IF(H147=""Sell"",VLOOKUP(9^99,FILTER({ROW(P$2:P146),P$2:P146},D$2:D146=D147),2),(VLOOKUP(9^99,FILTER({ROW(P$2:P146),P$2:P146},D$2:D146=D147),2)*VLOOKUP(9^99,FILTER({ROW(O$2:O146),O$2:O146},D$2:D146=D147),2)-N147)/O147),J147))"),"")</f>
        <v/>
      </c>
      <c r="Q147" s="264" t="str">
        <f>IFERROR(__xludf.DUMMYFUNCTION("IFERROR(IF(F147=""Crypto"",B147,(IF(ISBLANK(D147),"""",IF(D147=""Cash"",B147,IF(GOOGLEFINANCE(D147,""CURRENCY"")=""GBX"",""GBP"",GOOGLEFINANCE(D147,""CURRENCY"")))))),B147)"),"")</f>
        <v/>
      </c>
      <c r="R147" s="263" t="str">
        <f>IFERROR(__xludf.DUMMYFUNCTION("IF(ISBLANK(A147),"""",IFERROR(IF(OR(Q147=""GPB"",Q147=""ZAR""),IF(Q147=Dashboard!$L$1,K147,(K147*GOOGLEFINANCE(""CURRENCY:""&amp;Q147&amp;""""&amp;Dashboard!$L$1&amp;""""))/100),IF(Q147=Dashboard!$L$1,K147,K147*GOOGLEFINANCE(""CURRENCY:""&amp;Q147&amp;""""&amp;Dashboard!$L$1&amp;"""")))"&amp;",K147))"),"")</f>
        <v/>
      </c>
      <c r="S147" s="266" t="str">
        <f>IFERROR(__xludf.DUMMYFUNCTION("IF(ISBLANK(A147),"""",IFERROR(IF(OR(Q147=""GPB"",Q147=""ZAR""),IF(Q147=Dashboard!$L$1,M147,(M147*GOOGLEFINANCE(""CURRENCY:""&amp;Q147&amp;""""&amp;Dashboard!$L$1&amp;""""))/100),IF(Q147=Dashboard!$L$1,M147,M147*GOOGLEFINANCE(""CURRENCY:""&amp;Q147&amp;""""&amp;Dashboard!$L$1&amp;"""")))"&amp;",M147))"),"")</f>
        <v/>
      </c>
      <c r="T147" s="264" t="str">
        <f t="shared" si="4"/>
        <v/>
      </c>
      <c r="U147" s="264" t="str">
        <f t="shared" si="5"/>
        <v/>
      </c>
      <c r="V147" s="264" t="str">
        <f t="shared" si="6"/>
        <v/>
      </c>
      <c r="W147" s="267" t="str">
        <f t="shared" si="8"/>
        <v/>
      </c>
      <c r="X147" s="264" t="str">
        <f t="shared" si="7"/>
        <v/>
      </c>
    </row>
    <row r="148" ht="15.75" customHeight="1">
      <c r="A148" s="258"/>
      <c r="B148" s="258"/>
      <c r="C148" s="269"/>
      <c r="D148" s="258"/>
      <c r="E148" s="258"/>
      <c r="F148" s="258"/>
      <c r="G148" s="258"/>
      <c r="H148" s="271"/>
      <c r="I148" s="258"/>
      <c r="J148" s="272"/>
      <c r="K148" s="260"/>
      <c r="L148" s="261"/>
      <c r="M148" s="262" t="str">
        <f t="shared" si="1"/>
        <v/>
      </c>
      <c r="N148" s="263" t="str">
        <f t="shared" si="2"/>
        <v/>
      </c>
      <c r="O148" s="264" t="str">
        <f t="shared" si="3"/>
        <v/>
      </c>
      <c r="P148" s="265" t="str">
        <f>IFERROR(__xludf.DUMMYFUNCTION("IF(ISBLANK(A148),"""",IFERROR(IF(H148=""Sell"",VLOOKUP(9^99,FILTER({ROW(P$2:P147),P$2:P147},D$2:D147=D148),2),(VLOOKUP(9^99,FILTER({ROW(P$2:P147),P$2:P147},D$2:D147=D148),2)*VLOOKUP(9^99,FILTER({ROW(O$2:O147),O$2:O147},D$2:D147=D148),2)-N148)/O148),J148))"),"")</f>
        <v/>
      </c>
      <c r="Q148" s="264" t="str">
        <f>IFERROR(__xludf.DUMMYFUNCTION("IFERROR(IF(F148=""Crypto"",B148,(IF(ISBLANK(D148),"""",IF(D148=""Cash"",B148,IF(GOOGLEFINANCE(D148,""CURRENCY"")=""GBX"",""GBP"",GOOGLEFINANCE(D148,""CURRENCY"")))))),B148)"),"")</f>
        <v/>
      </c>
      <c r="R148" s="263" t="str">
        <f>IFERROR(__xludf.DUMMYFUNCTION("IF(ISBLANK(A148),"""",IFERROR(IF(OR(Q148=""GPB"",Q148=""ZAR""),IF(Q148=Dashboard!$L$1,K148,(K148*GOOGLEFINANCE(""CURRENCY:""&amp;Q148&amp;""""&amp;Dashboard!$L$1&amp;""""))/100),IF(Q148=Dashboard!$L$1,K148,K148*GOOGLEFINANCE(""CURRENCY:""&amp;Q148&amp;""""&amp;Dashboard!$L$1&amp;"""")))"&amp;",K148))"),"")</f>
        <v/>
      </c>
      <c r="S148" s="266" t="str">
        <f>IFERROR(__xludf.DUMMYFUNCTION("IF(ISBLANK(A148),"""",IFERROR(IF(OR(Q148=""GPB"",Q148=""ZAR""),IF(Q148=Dashboard!$L$1,M148,(M148*GOOGLEFINANCE(""CURRENCY:""&amp;Q148&amp;""""&amp;Dashboard!$L$1&amp;""""))/100),IF(Q148=Dashboard!$L$1,M148,M148*GOOGLEFINANCE(""CURRENCY:""&amp;Q148&amp;""""&amp;Dashboard!$L$1&amp;"""")))"&amp;",M148))"),"")</f>
        <v/>
      </c>
      <c r="T148" s="264" t="str">
        <f t="shared" si="4"/>
        <v/>
      </c>
      <c r="U148" s="264" t="str">
        <f t="shared" si="5"/>
        <v/>
      </c>
      <c r="V148" s="264" t="str">
        <f t="shared" si="6"/>
        <v/>
      </c>
      <c r="W148" s="267" t="str">
        <f t="shared" si="8"/>
        <v/>
      </c>
      <c r="X148" s="264" t="str">
        <f t="shared" si="7"/>
        <v/>
      </c>
    </row>
    <row r="149" ht="15.75" customHeight="1">
      <c r="A149" s="258"/>
      <c r="B149" s="258"/>
      <c r="C149" s="269"/>
      <c r="D149" s="258"/>
      <c r="E149" s="258"/>
      <c r="F149" s="258"/>
      <c r="G149" s="258"/>
      <c r="H149" s="271"/>
      <c r="I149" s="258"/>
      <c r="J149" s="272"/>
      <c r="K149" s="260"/>
      <c r="L149" s="261"/>
      <c r="M149" s="262" t="str">
        <f t="shared" si="1"/>
        <v/>
      </c>
      <c r="N149" s="263" t="str">
        <f t="shared" si="2"/>
        <v/>
      </c>
      <c r="O149" s="264" t="str">
        <f t="shared" si="3"/>
        <v/>
      </c>
      <c r="P149" s="265" t="str">
        <f>IFERROR(__xludf.DUMMYFUNCTION("IF(ISBLANK(A149),"""",IFERROR(IF(H149=""Sell"",VLOOKUP(9^99,FILTER({ROW(P$2:P148),P$2:P148},D$2:D148=D149),2),(VLOOKUP(9^99,FILTER({ROW(P$2:P148),P$2:P148},D$2:D148=D149),2)*VLOOKUP(9^99,FILTER({ROW(O$2:O148),O$2:O148},D$2:D148=D149),2)-N149)/O149),J149))"),"")</f>
        <v/>
      </c>
      <c r="Q149" s="264" t="str">
        <f>IFERROR(__xludf.DUMMYFUNCTION("IFERROR(IF(F149=""Crypto"",B149,(IF(ISBLANK(D149),"""",IF(D149=""Cash"",B149,IF(GOOGLEFINANCE(D149,""CURRENCY"")=""GBX"",""GBP"",GOOGLEFINANCE(D149,""CURRENCY"")))))),B149)"),"")</f>
        <v/>
      </c>
      <c r="R149" s="263" t="str">
        <f>IFERROR(__xludf.DUMMYFUNCTION("IF(ISBLANK(A149),"""",IFERROR(IF(OR(Q149=""GPB"",Q149=""ZAR""),IF(Q149=Dashboard!$L$1,K149,(K149*GOOGLEFINANCE(""CURRENCY:""&amp;Q149&amp;""""&amp;Dashboard!$L$1&amp;""""))/100),IF(Q149=Dashboard!$L$1,K149,K149*GOOGLEFINANCE(""CURRENCY:""&amp;Q149&amp;""""&amp;Dashboard!$L$1&amp;"""")))"&amp;",K149))"),"")</f>
        <v/>
      </c>
      <c r="S149" s="266" t="str">
        <f>IFERROR(__xludf.DUMMYFUNCTION("IF(ISBLANK(A149),"""",IFERROR(IF(OR(Q149=""GPB"",Q149=""ZAR""),IF(Q149=Dashboard!$L$1,M149,(M149*GOOGLEFINANCE(""CURRENCY:""&amp;Q149&amp;""""&amp;Dashboard!$L$1&amp;""""))/100),IF(Q149=Dashboard!$L$1,M149,M149*GOOGLEFINANCE(""CURRENCY:""&amp;Q149&amp;""""&amp;Dashboard!$L$1&amp;"""")))"&amp;",M149))"),"")</f>
        <v/>
      </c>
      <c r="T149" s="264" t="str">
        <f t="shared" si="4"/>
        <v/>
      </c>
      <c r="U149" s="264" t="str">
        <f t="shared" si="5"/>
        <v/>
      </c>
      <c r="V149" s="264" t="str">
        <f t="shared" si="6"/>
        <v/>
      </c>
      <c r="W149" s="267" t="str">
        <f t="shared" si="8"/>
        <v/>
      </c>
      <c r="X149" s="264" t="str">
        <f t="shared" si="7"/>
        <v/>
      </c>
    </row>
    <row r="150" ht="15.75" customHeight="1">
      <c r="A150" s="258"/>
      <c r="B150" s="258"/>
      <c r="C150" s="269"/>
      <c r="D150" s="258"/>
      <c r="E150" s="258"/>
      <c r="F150" s="258"/>
      <c r="G150" s="258"/>
      <c r="H150" s="271"/>
      <c r="I150" s="258"/>
      <c r="J150" s="272"/>
      <c r="K150" s="260"/>
      <c r="L150" s="261"/>
      <c r="M150" s="262" t="str">
        <f t="shared" si="1"/>
        <v/>
      </c>
      <c r="N150" s="263" t="str">
        <f t="shared" si="2"/>
        <v/>
      </c>
      <c r="O150" s="264" t="str">
        <f t="shared" si="3"/>
        <v/>
      </c>
      <c r="P150" s="265" t="str">
        <f>IFERROR(__xludf.DUMMYFUNCTION("IF(ISBLANK(A150),"""",IFERROR(IF(H150=""Sell"",VLOOKUP(9^99,FILTER({ROW(P$2:P149),P$2:P149},D$2:D149=D150),2),(VLOOKUP(9^99,FILTER({ROW(P$2:P149),P$2:P149},D$2:D149=D150),2)*VLOOKUP(9^99,FILTER({ROW(O$2:O149),O$2:O149},D$2:D149=D150),2)-N150)/O150),J150))"),"")</f>
        <v/>
      </c>
      <c r="Q150" s="264" t="str">
        <f>IFERROR(__xludf.DUMMYFUNCTION("IFERROR(IF(F150=""Crypto"",B150,(IF(ISBLANK(D150),"""",IF(D150=""Cash"",B150,IF(GOOGLEFINANCE(D150,""CURRENCY"")=""GBX"",""GBP"",GOOGLEFINANCE(D150,""CURRENCY"")))))),B150)"),"")</f>
        <v/>
      </c>
      <c r="R150" s="263" t="str">
        <f>IFERROR(__xludf.DUMMYFUNCTION("IF(ISBLANK(A150),"""",IFERROR(IF(OR(Q150=""GPB"",Q150=""ZAR""),IF(Q150=Dashboard!$L$1,K150,(K150*GOOGLEFINANCE(""CURRENCY:""&amp;Q150&amp;""""&amp;Dashboard!$L$1&amp;""""))/100),IF(Q150=Dashboard!$L$1,K150,K150*GOOGLEFINANCE(""CURRENCY:""&amp;Q150&amp;""""&amp;Dashboard!$L$1&amp;"""")))"&amp;",K150))"),"")</f>
        <v/>
      </c>
      <c r="S150" s="266" t="str">
        <f>IFERROR(__xludf.DUMMYFUNCTION("IF(ISBLANK(A150),"""",IFERROR(IF(OR(Q150=""GPB"",Q150=""ZAR""),IF(Q150=Dashboard!$L$1,M150,(M150*GOOGLEFINANCE(""CURRENCY:""&amp;Q150&amp;""""&amp;Dashboard!$L$1&amp;""""))/100),IF(Q150=Dashboard!$L$1,M150,M150*GOOGLEFINANCE(""CURRENCY:""&amp;Q150&amp;""""&amp;Dashboard!$L$1&amp;"""")))"&amp;",M150))"),"")</f>
        <v/>
      </c>
      <c r="T150" s="264" t="str">
        <f t="shared" si="4"/>
        <v/>
      </c>
      <c r="U150" s="264" t="str">
        <f t="shared" si="5"/>
        <v/>
      </c>
      <c r="V150" s="264" t="str">
        <f t="shared" si="6"/>
        <v/>
      </c>
      <c r="W150" s="267" t="str">
        <f t="shared" si="8"/>
        <v/>
      </c>
      <c r="X150" s="264" t="str">
        <f t="shared" si="7"/>
        <v/>
      </c>
    </row>
    <row r="151" ht="15.75" customHeight="1">
      <c r="A151" s="258"/>
      <c r="B151" s="258"/>
      <c r="C151" s="269"/>
      <c r="D151" s="258"/>
      <c r="E151" s="258"/>
      <c r="F151" s="258"/>
      <c r="G151" s="258"/>
      <c r="H151" s="271"/>
      <c r="I151" s="258"/>
      <c r="J151" s="272"/>
      <c r="K151" s="260"/>
      <c r="L151" s="261"/>
      <c r="M151" s="262" t="str">
        <f t="shared" si="1"/>
        <v/>
      </c>
      <c r="N151" s="263" t="str">
        <f t="shared" si="2"/>
        <v/>
      </c>
      <c r="O151" s="264" t="str">
        <f t="shared" si="3"/>
        <v/>
      </c>
      <c r="P151" s="265" t="str">
        <f>IFERROR(__xludf.DUMMYFUNCTION("IF(ISBLANK(A151),"""",IFERROR(IF(H151=""Sell"",VLOOKUP(9^99,FILTER({ROW(P$2:P150),P$2:P150},D$2:D150=D151),2),(VLOOKUP(9^99,FILTER({ROW(P$2:P150),P$2:P150},D$2:D150=D151),2)*VLOOKUP(9^99,FILTER({ROW(O$2:O150),O$2:O150},D$2:D150=D151),2)-N151)/O151),J151))"),"")</f>
        <v/>
      </c>
      <c r="Q151" s="264" t="str">
        <f>IFERROR(__xludf.DUMMYFUNCTION("IFERROR(IF(F151=""Crypto"",B151,(IF(ISBLANK(D151),"""",IF(D151=""Cash"",B151,IF(GOOGLEFINANCE(D151,""CURRENCY"")=""GBX"",""GBP"",GOOGLEFINANCE(D151,""CURRENCY"")))))),B151)"),"")</f>
        <v/>
      </c>
      <c r="R151" s="263" t="str">
        <f>IFERROR(__xludf.DUMMYFUNCTION("IF(ISBLANK(A151),"""",IFERROR(IF(OR(Q151=""GPB"",Q151=""ZAR""),IF(Q151=Dashboard!$L$1,K151,(K151*GOOGLEFINANCE(""CURRENCY:""&amp;Q151&amp;""""&amp;Dashboard!$L$1&amp;""""))/100),IF(Q151=Dashboard!$L$1,K151,K151*GOOGLEFINANCE(""CURRENCY:""&amp;Q151&amp;""""&amp;Dashboard!$L$1&amp;"""")))"&amp;",K151))"),"")</f>
        <v/>
      </c>
      <c r="S151" s="266" t="str">
        <f>IFERROR(__xludf.DUMMYFUNCTION("IF(ISBLANK(A151),"""",IFERROR(IF(OR(Q151=""GPB"",Q151=""ZAR""),IF(Q151=Dashboard!$L$1,M151,(M151*GOOGLEFINANCE(""CURRENCY:""&amp;Q151&amp;""""&amp;Dashboard!$L$1&amp;""""))/100),IF(Q151=Dashboard!$L$1,M151,M151*GOOGLEFINANCE(""CURRENCY:""&amp;Q151&amp;""""&amp;Dashboard!$L$1&amp;"""")))"&amp;",M151))"),"")</f>
        <v/>
      </c>
      <c r="T151" s="264" t="str">
        <f t="shared" si="4"/>
        <v/>
      </c>
      <c r="U151" s="264" t="str">
        <f t="shared" si="5"/>
        <v/>
      </c>
      <c r="V151" s="264" t="str">
        <f t="shared" si="6"/>
        <v/>
      </c>
      <c r="W151" s="267" t="str">
        <f t="shared" si="8"/>
        <v/>
      </c>
      <c r="X151" s="264" t="str">
        <f t="shared" si="7"/>
        <v/>
      </c>
    </row>
    <row r="152" ht="15.75" customHeight="1">
      <c r="A152" s="258"/>
      <c r="B152" s="258"/>
      <c r="C152" s="269"/>
      <c r="D152" s="258"/>
      <c r="E152" s="258"/>
      <c r="F152" s="258"/>
      <c r="G152" s="258"/>
      <c r="H152" s="271"/>
      <c r="I152" s="258"/>
      <c r="J152" s="272"/>
      <c r="K152" s="260"/>
      <c r="L152" s="261"/>
      <c r="M152" s="262" t="str">
        <f t="shared" si="1"/>
        <v/>
      </c>
      <c r="N152" s="263" t="str">
        <f t="shared" si="2"/>
        <v/>
      </c>
      <c r="O152" s="264" t="str">
        <f t="shared" si="3"/>
        <v/>
      </c>
      <c r="P152" s="265" t="str">
        <f>IFERROR(__xludf.DUMMYFUNCTION("IF(ISBLANK(A152),"""",IFERROR(IF(H152=""Sell"",VLOOKUP(9^99,FILTER({ROW(P$2:P151),P$2:P151},D$2:D151=D152),2),(VLOOKUP(9^99,FILTER({ROW(P$2:P151),P$2:P151},D$2:D151=D152),2)*VLOOKUP(9^99,FILTER({ROW(O$2:O151),O$2:O151},D$2:D151=D152),2)-N152)/O152),J152))"),"")</f>
        <v/>
      </c>
      <c r="Q152" s="264" t="str">
        <f>IFERROR(__xludf.DUMMYFUNCTION("IFERROR(IF(F152=""Crypto"",B152,(IF(ISBLANK(D152),"""",IF(D152=""Cash"",B152,IF(GOOGLEFINANCE(D152,""CURRENCY"")=""GBX"",""GBP"",GOOGLEFINANCE(D152,""CURRENCY"")))))),B152)"),"")</f>
        <v/>
      </c>
      <c r="R152" s="263" t="str">
        <f>IFERROR(__xludf.DUMMYFUNCTION("IF(ISBLANK(A152),"""",IFERROR(IF(OR(Q152=""GPB"",Q152=""ZAR""),IF(Q152=Dashboard!$L$1,K152,(K152*GOOGLEFINANCE(""CURRENCY:""&amp;Q152&amp;""""&amp;Dashboard!$L$1&amp;""""))/100),IF(Q152=Dashboard!$L$1,K152,K152*GOOGLEFINANCE(""CURRENCY:""&amp;Q152&amp;""""&amp;Dashboard!$L$1&amp;"""")))"&amp;",K152))"),"")</f>
        <v/>
      </c>
      <c r="S152" s="266" t="str">
        <f>IFERROR(__xludf.DUMMYFUNCTION("IF(ISBLANK(A152),"""",IFERROR(IF(OR(Q152=""GPB"",Q152=""ZAR""),IF(Q152=Dashboard!$L$1,M152,(M152*GOOGLEFINANCE(""CURRENCY:""&amp;Q152&amp;""""&amp;Dashboard!$L$1&amp;""""))/100),IF(Q152=Dashboard!$L$1,M152,M152*GOOGLEFINANCE(""CURRENCY:""&amp;Q152&amp;""""&amp;Dashboard!$L$1&amp;"""")))"&amp;",M152))"),"")</f>
        <v/>
      </c>
      <c r="T152" s="264" t="str">
        <f t="shared" si="4"/>
        <v/>
      </c>
      <c r="U152" s="264" t="str">
        <f t="shared" si="5"/>
        <v/>
      </c>
      <c r="V152" s="264" t="str">
        <f t="shared" si="6"/>
        <v/>
      </c>
      <c r="W152" s="267" t="str">
        <f t="shared" si="8"/>
        <v/>
      </c>
      <c r="X152" s="264" t="str">
        <f t="shared" si="7"/>
        <v/>
      </c>
    </row>
    <row r="153" ht="15.75" customHeight="1">
      <c r="A153" s="258"/>
      <c r="B153" s="258"/>
      <c r="C153" s="269"/>
      <c r="D153" s="258"/>
      <c r="E153" s="258"/>
      <c r="F153" s="258"/>
      <c r="G153" s="258"/>
      <c r="H153" s="271"/>
      <c r="I153" s="258"/>
      <c r="J153" s="272"/>
      <c r="K153" s="260"/>
      <c r="L153" s="261"/>
      <c r="M153" s="262" t="str">
        <f t="shared" si="1"/>
        <v/>
      </c>
      <c r="N153" s="263" t="str">
        <f t="shared" si="2"/>
        <v/>
      </c>
      <c r="O153" s="264" t="str">
        <f t="shared" si="3"/>
        <v/>
      </c>
      <c r="P153" s="265" t="str">
        <f>IFERROR(__xludf.DUMMYFUNCTION("IF(ISBLANK(A153),"""",IFERROR(IF(H153=""Sell"",VLOOKUP(9^99,FILTER({ROW(P$2:P152),P$2:P152},D$2:D152=D153),2),(VLOOKUP(9^99,FILTER({ROW(P$2:P152),P$2:P152},D$2:D152=D153),2)*VLOOKUP(9^99,FILTER({ROW(O$2:O152),O$2:O152},D$2:D152=D153),2)-N153)/O153),J153))"),"")</f>
        <v/>
      </c>
      <c r="Q153" s="264" t="str">
        <f>IFERROR(__xludf.DUMMYFUNCTION("IFERROR(IF(F153=""Crypto"",B153,(IF(ISBLANK(D153),"""",IF(D153=""Cash"",B153,IF(GOOGLEFINANCE(D153,""CURRENCY"")=""GBX"",""GBP"",GOOGLEFINANCE(D153,""CURRENCY"")))))),B153)"),"")</f>
        <v/>
      </c>
      <c r="R153" s="263" t="str">
        <f>IFERROR(__xludf.DUMMYFUNCTION("IF(ISBLANK(A153),"""",IFERROR(IF(OR(Q153=""GPB"",Q153=""ZAR""),IF(Q153=Dashboard!$L$1,K153,(K153*GOOGLEFINANCE(""CURRENCY:""&amp;Q153&amp;""""&amp;Dashboard!$L$1&amp;""""))/100),IF(Q153=Dashboard!$L$1,K153,K153*GOOGLEFINANCE(""CURRENCY:""&amp;Q153&amp;""""&amp;Dashboard!$L$1&amp;"""")))"&amp;",K153))"),"")</f>
        <v/>
      </c>
      <c r="S153" s="266" t="str">
        <f>IFERROR(__xludf.DUMMYFUNCTION("IF(ISBLANK(A153),"""",IFERROR(IF(OR(Q153=""GPB"",Q153=""ZAR""),IF(Q153=Dashboard!$L$1,M153,(M153*GOOGLEFINANCE(""CURRENCY:""&amp;Q153&amp;""""&amp;Dashboard!$L$1&amp;""""))/100),IF(Q153=Dashboard!$L$1,M153,M153*GOOGLEFINANCE(""CURRENCY:""&amp;Q153&amp;""""&amp;Dashboard!$L$1&amp;"""")))"&amp;",M153))"),"")</f>
        <v/>
      </c>
      <c r="T153" s="264" t="str">
        <f t="shared" si="4"/>
        <v/>
      </c>
      <c r="U153" s="264" t="str">
        <f t="shared" si="5"/>
        <v/>
      </c>
      <c r="V153" s="264" t="str">
        <f t="shared" si="6"/>
        <v/>
      </c>
      <c r="W153" s="267" t="str">
        <f t="shared" si="8"/>
        <v/>
      </c>
      <c r="X153" s="264" t="str">
        <f t="shared" si="7"/>
        <v/>
      </c>
    </row>
    <row r="154" ht="15.75" customHeight="1">
      <c r="A154" s="258"/>
      <c r="B154" s="258"/>
      <c r="C154" s="269"/>
      <c r="D154" s="258"/>
      <c r="E154" s="258"/>
      <c r="F154" s="258"/>
      <c r="G154" s="258"/>
      <c r="H154" s="271"/>
      <c r="I154" s="258"/>
      <c r="J154" s="272"/>
      <c r="K154" s="260"/>
      <c r="L154" s="261"/>
      <c r="M154" s="262" t="str">
        <f t="shared" si="1"/>
        <v/>
      </c>
      <c r="N154" s="263" t="str">
        <f t="shared" si="2"/>
        <v/>
      </c>
      <c r="O154" s="264" t="str">
        <f t="shared" si="3"/>
        <v/>
      </c>
      <c r="P154" s="265" t="str">
        <f>IFERROR(__xludf.DUMMYFUNCTION("IF(ISBLANK(A154),"""",IFERROR(IF(H154=""Sell"",VLOOKUP(9^99,FILTER({ROW(P$2:P153),P$2:P153},D$2:D153=D154),2),(VLOOKUP(9^99,FILTER({ROW(P$2:P153),P$2:P153},D$2:D153=D154),2)*VLOOKUP(9^99,FILTER({ROW(O$2:O153),O$2:O153},D$2:D153=D154),2)-N154)/O154),J154))"),"")</f>
        <v/>
      </c>
      <c r="Q154" s="264" t="str">
        <f>IFERROR(__xludf.DUMMYFUNCTION("IFERROR(IF(F154=""Crypto"",B154,(IF(ISBLANK(D154),"""",IF(D154=""Cash"",B154,IF(GOOGLEFINANCE(D154,""CURRENCY"")=""GBX"",""GBP"",GOOGLEFINANCE(D154,""CURRENCY"")))))),B154)"),"")</f>
        <v/>
      </c>
      <c r="R154" s="263" t="str">
        <f>IFERROR(__xludf.DUMMYFUNCTION("IF(ISBLANK(A154),"""",IFERROR(IF(OR(Q154=""GPB"",Q154=""ZAR""),IF(Q154=Dashboard!$L$1,K154,(K154*GOOGLEFINANCE(""CURRENCY:""&amp;Q154&amp;""""&amp;Dashboard!$L$1&amp;""""))/100),IF(Q154=Dashboard!$L$1,K154,K154*GOOGLEFINANCE(""CURRENCY:""&amp;Q154&amp;""""&amp;Dashboard!$L$1&amp;"""")))"&amp;",K154))"),"")</f>
        <v/>
      </c>
      <c r="S154" s="266" t="str">
        <f>IFERROR(__xludf.DUMMYFUNCTION("IF(ISBLANK(A154),"""",IFERROR(IF(OR(Q154=""GPB"",Q154=""ZAR""),IF(Q154=Dashboard!$L$1,M154,(M154*GOOGLEFINANCE(""CURRENCY:""&amp;Q154&amp;""""&amp;Dashboard!$L$1&amp;""""))/100),IF(Q154=Dashboard!$L$1,M154,M154*GOOGLEFINANCE(""CURRENCY:""&amp;Q154&amp;""""&amp;Dashboard!$L$1&amp;"""")))"&amp;",M154))"),"")</f>
        <v/>
      </c>
      <c r="T154" s="264" t="str">
        <f t="shared" si="4"/>
        <v/>
      </c>
      <c r="U154" s="264" t="str">
        <f t="shared" si="5"/>
        <v/>
      </c>
      <c r="V154" s="264" t="str">
        <f t="shared" si="6"/>
        <v/>
      </c>
      <c r="W154" s="267" t="str">
        <f t="shared" si="8"/>
        <v/>
      </c>
      <c r="X154" s="264" t="str">
        <f t="shared" si="7"/>
        <v/>
      </c>
    </row>
    <row r="155" ht="15.75" customHeight="1">
      <c r="A155" s="258"/>
      <c r="B155" s="258"/>
      <c r="C155" s="269"/>
      <c r="D155" s="258"/>
      <c r="E155" s="258"/>
      <c r="F155" s="258"/>
      <c r="G155" s="258"/>
      <c r="H155" s="271"/>
      <c r="I155" s="258"/>
      <c r="J155" s="272"/>
      <c r="K155" s="260"/>
      <c r="L155" s="261"/>
      <c r="M155" s="262" t="str">
        <f t="shared" si="1"/>
        <v/>
      </c>
      <c r="N155" s="263" t="str">
        <f t="shared" si="2"/>
        <v/>
      </c>
      <c r="O155" s="264" t="str">
        <f t="shared" si="3"/>
        <v/>
      </c>
      <c r="P155" s="265" t="str">
        <f>IFERROR(__xludf.DUMMYFUNCTION("IF(ISBLANK(A155),"""",IFERROR(IF(H155=""Sell"",VLOOKUP(9^99,FILTER({ROW(P$2:P154),P$2:P154},D$2:D154=D155),2),(VLOOKUP(9^99,FILTER({ROW(P$2:P154),P$2:P154},D$2:D154=D155),2)*VLOOKUP(9^99,FILTER({ROW(O$2:O154),O$2:O154},D$2:D154=D155),2)-N155)/O155),J155))"),"")</f>
        <v/>
      </c>
      <c r="Q155" s="264" t="str">
        <f>IFERROR(__xludf.DUMMYFUNCTION("IFERROR(IF(F155=""Crypto"",B155,(IF(ISBLANK(D155),"""",IF(D155=""Cash"",B155,IF(GOOGLEFINANCE(D155,""CURRENCY"")=""GBX"",""GBP"",GOOGLEFINANCE(D155,""CURRENCY"")))))),B155)"),"")</f>
        <v/>
      </c>
      <c r="R155" s="263" t="str">
        <f>IFERROR(__xludf.DUMMYFUNCTION("IF(ISBLANK(A155),"""",IFERROR(IF(OR(Q155=""GPB"",Q155=""ZAR""),IF(Q155=Dashboard!$L$1,K155,(K155*GOOGLEFINANCE(""CURRENCY:""&amp;Q155&amp;""""&amp;Dashboard!$L$1&amp;""""))/100),IF(Q155=Dashboard!$L$1,K155,K155*GOOGLEFINANCE(""CURRENCY:""&amp;Q155&amp;""""&amp;Dashboard!$L$1&amp;"""")))"&amp;",K155))"),"")</f>
        <v/>
      </c>
      <c r="S155" s="266" t="str">
        <f>IFERROR(__xludf.DUMMYFUNCTION("IF(ISBLANK(A155),"""",IFERROR(IF(OR(Q155=""GPB"",Q155=""ZAR""),IF(Q155=Dashboard!$L$1,M155,(M155*GOOGLEFINANCE(""CURRENCY:""&amp;Q155&amp;""""&amp;Dashboard!$L$1&amp;""""))/100),IF(Q155=Dashboard!$L$1,M155,M155*GOOGLEFINANCE(""CURRENCY:""&amp;Q155&amp;""""&amp;Dashboard!$L$1&amp;"""")))"&amp;",M155))"),"")</f>
        <v/>
      </c>
      <c r="T155" s="264" t="str">
        <f t="shared" si="4"/>
        <v/>
      </c>
      <c r="U155" s="264" t="str">
        <f t="shared" si="5"/>
        <v/>
      </c>
      <c r="V155" s="264" t="str">
        <f t="shared" si="6"/>
        <v/>
      </c>
      <c r="W155" s="267" t="str">
        <f t="shared" si="8"/>
        <v/>
      </c>
      <c r="X155" s="264" t="str">
        <f t="shared" si="7"/>
        <v/>
      </c>
    </row>
    <row r="156" ht="15.75" customHeight="1">
      <c r="A156" s="258"/>
      <c r="B156" s="258"/>
      <c r="C156" s="269"/>
      <c r="D156" s="258"/>
      <c r="E156" s="258"/>
      <c r="F156" s="258"/>
      <c r="G156" s="258"/>
      <c r="H156" s="271"/>
      <c r="I156" s="258"/>
      <c r="J156" s="272"/>
      <c r="K156" s="260"/>
      <c r="L156" s="261"/>
      <c r="M156" s="262" t="str">
        <f t="shared" si="1"/>
        <v/>
      </c>
      <c r="N156" s="263" t="str">
        <f t="shared" si="2"/>
        <v/>
      </c>
      <c r="O156" s="264" t="str">
        <f t="shared" si="3"/>
        <v/>
      </c>
      <c r="P156" s="265" t="str">
        <f>IFERROR(__xludf.DUMMYFUNCTION("IF(ISBLANK(A156),"""",IFERROR(IF(H156=""Sell"",VLOOKUP(9^99,FILTER({ROW(P$2:P155),P$2:P155},D$2:D155=D156),2),(VLOOKUP(9^99,FILTER({ROW(P$2:P155),P$2:P155},D$2:D155=D156),2)*VLOOKUP(9^99,FILTER({ROW(O$2:O155),O$2:O155},D$2:D155=D156),2)-N156)/O156),J156))"),"")</f>
        <v/>
      </c>
      <c r="Q156" s="264" t="str">
        <f>IFERROR(__xludf.DUMMYFUNCTION("IFERROR(IF(F156=""Crypto"",B156,(IF(ISBLANK(D156),"""",IF(D156=""Cash"",B156,IF(GOOGLEFINANCE(D156,""CURRENCY"")=""GBX"",""GBP"",GOOGLEFINANCE(D156,""CURRENCY"")))))),B156)"),"")</f>
        <v/>
      </c>
      <c r="R156" s="263" t="str">
        <f>IFERROR(__xludf.DUMMYFUNCTION("IF(ISBLANK(A156),"""",IFERROR(IF(OR(Q156=""GPB"",Q156=""ZAR""),IF(Q156=Dashboard!$L$1,K156,(K156*GOOGLEFINANCE(""CURRENCY:""&amp;Q156&amp;""""&amp;Dashboard!$L$1&amp;""""))/100),IF(Q156=Dashboard!$L$1,K156,K156*GOOGLEFINANCE(""CURRENCY:""&amp;Q156&amp;""""&amp;Dashboard!$L$1&amp;"""")))"&amp;",K156))"),"")</f>
        <v/>
      </c>
      <c r="S156" s="266" t="str">
        <f>IFERROR(__xludf.DUMMYFUNCTION("IF(ISBLANK(A156),"""",IFERROR(IF(OR(Q156=""GPB"",Q156=""ZAR""),IF(Q156=Dashboard!$L$1,M156,(M156*GOOGLEFINANCE(""CURRENCY:""&amp;Q156&amp;""""&amp;Dashboard!$L$1&amp;""""))/100),IF(Q156=Dashboard!$L$1,M156,M156*GOOGLEFINANCE(""CURRENCY:""&amp;Q156&amp;""""&amp;Dashboard!$L$1&amp;"""")))"&amp;",M156))"),"")</f>
        <v/>
      </c>
      <c r="T156" s="264" t="str">
        <f t="shared" si="4"/>
        <v/>
      </c>
      <c r="U156" s="264" t="str">
        <f t="shared" si="5"/>
        <v/>
      </c>
      <c r="V156" s="264" t="str">
        <f t="shared" si="6"/>
        <v/>
      </c>
      <c r="W156" s="267" t="str">
        <f t="shared" si="8"/>
        <v/>
      </c>
      <c r="X156" s="264" t="str">
        <f t="shared" si="7"/>
        <v/>
      </c>
    </row>
    <row r="157" ht="15.75" customHeight="1">
      <c r="A157" s="258"/>
      <c r="B157" s="258"/>
      <c r="C157" s="269"/>
      <c r="D157" s="258"/>
      <c r="E157" s="258"/>
      <c r="F157" s="258"/>
      <c r="G157" s="258"/>
      <c r="H157" s="271"/>
      <c r="I157" s="258"/>
      <c r="J157" s="272"/>
      <c r="K157" s="260"/>
      <c r="L157" s="261"/>
      <c r="M157" s="262" t="str">
        <f t="shared" si="1"/>
        <v/>
      </c>
      <c r="N157" s="263" t="str">
        <f t="shared" si="2"/>
        <v/>
      </c>
      <c r="O157" s="264" t="str">
        <f t="shared" si="3"/>
        <v/>
      </c>
      <c r="P157" s="265" t="str">
        <f>IFERROR(__xludf.DUMMYFUNCTION("IF(ISBLANK(A157),"""",IFERROR(IF(H157=""Sell"",VLOOKUP(9^99,FILTER({ROW(P$2:P156),P$2:P156},D$2:D156=D157),2),(VLOOKUP(9^99,FILTER({ROW(P$2:P156),P$2:P156},D$2:D156=D157),2)*VLOOKUP(9^99,FILTER({ROW(O$2:O156),O$2:O156},D$2:D156=D157),2)-N157)/O157),J157))"),"")</f>
        <v/>
      </c>
      <c r="Q157" s="264" t="str">
        <f>IFERROR(__xludf.DUMMYFUNCTION("IFERROR(IF(F157=""Crypto"",B157,(IF(ISBLANK(D157),"""",IF(D157=""Cash"",B157,IF(GOOGLEFINANCE(D157,""CURRENCY"")=""GBX"",""GBP"",GOOGLEFINANCE(D157,""CURRENCY"")))))),B157)"),"")</f>
        <v/>
      </c>
      <c r="R157" s="263" t="str">
        <f>IFERROR(__xludf.DUMMYFUNCTION("IF(ISBLANK(A157),"""",IFERROR(IF(OR(Q157=""GPB"",Q157=""ZAR""),IF(Q157=Dashboard!$L$1,K157,(K157*GOOGLEFINANCE(""CURRENCY:""&amp;Q157&amp;""""&amp;Dashboard!$L$1&amp;""""))/100),IF(Q157=Dashboard!$L$1,K157,K157*GOOGLEFINANCE(""CURRENCY:""&amp;Q157&amp;""""&amp;Dashboard!$L$1&amp;"""")))"&amp;",K157))"),"")</f>
        <v/>
      </c>
      <c r="S157" s="266" t="str">
        <f>IFERROR(__xludf.DUMMYFUNCTION("IF(ISBLANK(A157),"""",IFERROR(IF(OR(Q157=""GPB"",Q157=""ZAR""),IF(Q157=Dashboard!$L$1,M157,(M157*GOOGLEFINANCE(""CURRENCY:""&amp;Q157&amp;""""&amp;Dashboard!$L$1&amp;""""))/100),IF(Q157=Dashboard!$L$1,M157,M157*GOOGLEFINANCE(""CURRENCY:""&amp;Q157&amp;""""&amp;Dashboard!$L$1&amp;"""")))"&amp;",M157))"),"")</f>
        <v/>
      </c>
      <c r="T157" s="264" t="str">
        <f t="shared" si="4"/>
        <v/>
      </c>
      <c r="U157" s="264" t="str">
        <f t="shared" si="5"/>
        <v/>
      </c>
      <c r="V157" s="264" t="str">
        <f t="shared" si="6"/>
        <v/>
      </c>
      <c r="W157" s="267" t="str">
        <f t="shared" si="8"/>
        <v/>
      </c>
      <c r="X157" s="264" t="str">
        <f t="shared" si="7"/>
        <v/>
      </c>
    </row>
    <row r="158" ht="15.75" customHeight="1">
      <c r="A158" s="258"/>
      <c r="B158" s="258"/>
      <c r="C158" s="269"/>
      <c r="D158" s="258"/>
      <c r="E158" s="258"/>
      <c r="F158" s="258"/>
      <c r="G158" s="258"/>
      <c r="H158" s="271"/>
      <c r="I158" s="258"/>
      <c r="J158" s="272"/>
      <c r="K158" s="260"/>
      <c r="L158" s="261"/>
      <c r="M158" s="262" t="str">
        <f t="shared" si="1"/>
        <v/>
      </c>
      <c r="N158" s="263" t="str">
        <f t="shared" si="2"/>
        <v/>
      </c>
      <c r="O158" s="264" t="str">
        <f t="shared" si="3"/>
        <v/>
      </c>
      <c r="P158" s="265" t="str">
        <f>IFERROR(__xludf.DUMMYFUNCTION("IF(ISBLANK(A158),"""",IFERROR(IF(H158=""Sell"",VLOOKUP(9^99,FILTER({ROW(P$2:P157),P$2:P157},D$2:D157=D158),2),(VLOOKUP(9^99,FILTER({ROW(P$2:P157),P$2:P157},D$2:D157=D158),2)*VLOOKUP(9^99,FILTER({ROW(O$2:O157),O$2:O157},D$2:D157=D158),2)-N158)/O158),J158))"),"")</f>
        <v/>
      </c>
      <c r="Q158" s="264" t="str">
        <f>IFERROR(__xludf.DUMMYFUNCTION("IFERROR(IF(F158=""Crypto"",B158,(IF(ISBLANK(D158),"""",IF(D158=""Cash"",B158,IF(GOOGLEFINANCE(D158,""CURRENCY"")=""GBX"",""GBP"",GOOGLEFINANCE(D158,""CURRENCY"")))))),B158)"),"")</f>
        <v/>
      </c>
      <c r="R158" s="263" t="str">
        <f>IFERROR(__xludf.DUMMYFUNCTION("IF(ISBLANK(A158),"""",IFERROR(IF(OR(Q158=""GPB"",Q158=""ZAR""),IF(Q158=Dashboard!$L$1,K158,(K158*GOOGLEFINANCE(""CURRENCY:""&amp;Q158&amp;""""&amp;Dashboard!$L$1&amp;""""))/100),IF(Q158=Dashboard!$L$1,K158,K158*GOOGLEFINANCE(""CURRENCY:""&amp;Q158&amp;""""&amp;Dashboard!$L$1&amp;"""")))"&amp;",K158))"),"")</f>
        <v/>
      </c>
      <c r="S158" s="266" t="str">
        <f>IFERROR(__xludf.DUMMYFUNCTION("IF(ISBLANK(A158),"""",IFERROR(IF(OR(Q158=""GPB"",Q158=""ZAR""),IF(Q158=Dashboard!$L$1,M158,(M158*GOOGLEFINANCE(""CURRENCY:""&amp;Q158&amp;""""&amp;Dashboard!$L$1&amp;""""))/100),IF(Q158=Dashboard!$L$1,M158,M158*GOOGLEFINANCE(""CURRENCY:""&amp;Q158&amp;""""&amp;Dashboard!$L$1&amp;"""")))"&amp;",M158))"),"")</f>
        <v/>
      </c>
      <c r="T158" s="264" t="str">
        <f t="shared" si="4"/>
        <v/>
      </c>
      <c r="U158" s="264" t="str">
        <f t="shared" si="5"/>
        <v/>
      </c>
      <c r="V158" s="264" t="str">
        <f t="shared" si="6"/>
        <v/>
      </c>
      <c r="W158" s="267" t="str">
        <f t="shared" si="8"/>
        <v/>
      </c>
      <c r="X158" s="264" t="str">
        <f t="shared" si="7"/>
        <v/>
      </c>
    </row>
    <row r="159" ht="15.75" customHeight="1">
      <c r="A159" s="258"/>
      <c r="B159" s="258"/>
      <c r="C159" s="269"/>
      <c r="D159" s="258"/>
      <c r="E159" s="258"/>
      <c r="F159" s="258"/>
      <c r="G159" s="258"/>
      <c r="H159" s="271"/>
      <c r="I159" s="258"/>
      <c r="J159" s="272"/>
      <c r="K159" s="260"/>
      <c r="L159" s="261"/>
      <c r="M159" s="262" t="str">
        <f t="shared" si="1"/>
        <v/>
      </c>
      <c r="N159" s="263" t="str">
        <f t="shared" si="2"/>
        <v/>
      </c>
      <c r="O159" s="264" t="str">
        <f t="shared" si="3"/>
        <v/>
      </c>
      <c r="P159" s="265" t="str">
        <f>IFERROR(__xludf.DUMMYFUNCTION("IF(ISBLANK(A159),"""",IFERROR(IF(H159=""Sell"",VLOOKUP(9^99,FILTER({ROW(P$2:P158),P$2:P158},D$2:D158=D159),2),(VLOOKUP(9^99,FILTER({ROW(P$2:P158),P$2:P158},D$2:D158=D159),2)*VLOOKUP(9^99,FILTER({ROW(O$2:O158),O$2:O158},D$2:D158=D159),2)-N159)/O159),J159))"),"")</f>
        <v/>
      </c>
      <c r="Q159" s="264" t="str">
        <f>IFERROR(__xludf.DUMMYFUNCTION("IFERROR(IF(F159=""Crypto"",B159,(IF(ISBLANK(D159),"""",IF(D159=""Cash"",B159,IF(GOOGLEFINANCE(D159,""CURRENCY"")=""GBX"",""GBP"",GOOGLEFINANCE(D159,""CURRENCY"")))))),B159)"),"")</f>
        <v/>
      </c>
      <c r="R159" s="263" t="str">
        <f>IFERROR(__xludf.DUMMYFUNCTION("IF(ISBLANK(A159),"""",IFERROR(IF(OR(Q159=""GPB"",Q159=""ZAR""),IF(Q159=Dashboard!$L$1,K159,(K159*GOOGLEFINANCE(""CURRENCY:""&amp;Q159&amp;""""&amp;Dashboard!$L$1&amp;""""))/100),IF(Q159=Dashboard!$L$1,K159,K159*GOOGLEFINANCE(""CURRENCY:""&amp;Q159&amp;""""&amp;Dashboard!$L$1&amp;"""")))"&amp;",K159))"),"")</f>
        <v/>
      </c>
      <c r="S159" s="266" t="str">
        <f>IFERROR(__xludf.DUMMYFUNCTION("IF(ISBLANK(A159),"""",IFERROR(IF(OR(Q159=""GPB"",Q159=""ZAR""),IF(Q159=Dashboard!$L$1,M159,(M159*GOOGLEFINANCE(""CURRENCY:""&amp;Q159&amp;""""&amp;Dashboard!$L$1&amp;""""))/100),IF(Q159=Dashboard!$L$1,M159,M159*GOOGLEFINANCE(""CURRENCY:""&amp;Q159&amp;""""&amp;Dashboard!$L$1&amp;"""")))"&amp;",M159))"),"")</f>
        <v/>
      </c>
      <c r="T159" s="264" t="str">
        <f t="shared" si="4"/>
        <v/>
      </c>
      <c r="U159" s="264" t="str">
        <f t="shared" si="5"/>
        <v/>
      </c>
      <c r="V159" s="264" t="str">
        <f t="shared" si="6"/>
        <v/>
      </c>
      <c r="W159" s="267" t="str">
        <f t="shared" si="8"/>
        <v/>
      </c>
      <c r="X159" s="264" t="str">
        <f t="shared" si="7"/>
        <v/>
      </c>
    </row>
    <row r="160" ht="15.75" customHeight="1">
      <c r="A160" s="258"/>
      <c r="B160" s="258"/>
      <c r="C160" s="269"/>
      <c r="D160" s="258"/>
      <c r="E160" s="258"/>
      <c r="F160" s="258"/>
      <c r="G160" s="258"/>
      <c r="H160" s="271"/>
      <c r="I160" s="258"/>
      <c r="J160" s="272"/>
      <c r="K160" s="260"/>
      <c r="L160" s="261"/>
      <c r="M160" s="262" t="str">
        <f t="shared" si="1"/>
        <v/>
      </c>
      <c r="N160" s="263" t="str">
        <f t="shared" si="2"/>
        <v/>
      </c>
      <c r="O160" s="264" t="str">
        <f t="shared" si="3"/>
        <v/>
      </c>
      <c r="P160" s="265" t="str">
        <f>IFERROR(__xludf.DUMMYFUNCTION("IF(ISBLANK(A160),"""",IFERROR(IF(H160=""Sell"",VLOOKUP(9^99,FILTER({ROW(P$2:P159),P$2:P159},D$2:D159=D160),2),(VLOOKUP(9^99,FILTER({ROW(P$2:P159),P$2:P159},D$2:D159=D160),2)*VLOOKUP(9^99,FILTER({ROW(O$2:O159),O$2:O159},D$2:D159=D160),2)-N160)/O160),J160))"),"")</f>
        <v/>
      </c>
      <c r="Q160" s="264" t="str">
        <f>IFERROR(__xludf.DUMMYFUNCTION("IFERROR(IF(F160=""Crypto"",B160,(IF(ISBLANK(D160),"""",IF(D160=""Cash"",B160,IF(GOOGLEFINANCE(D160,""CURRENCY"")=""GBX"",""GBP"",GOOGLEFINANCE(D160,""CURRENCY"")))))),B160)"),"")</f>
        <v/>
      </c>
      <c r="R160" s="263" t="str">
        <f>IFERROR(__xludf.DUMMYFUNCTION("IF(ISBLANK(A160),"""",IFERROR(IF(OR(Q160=""GPB"",Q160=""ZAR""),IF(Q160=Dashboard!$L$1,K160,(K160*GOOGLEFINANCE(""CURRENCY:""&amp;Q160&amp;""""&amp;Dashboard!$L$1&amp;""""))/100),IF(Q160=Dashboard!$L$1,K160,K160*GOOGLEFINANCE(""CURRENCY:""&amp;Q160&amp;""""&amp;Dashboard!$L$1&amp;"""")))"&amp;",K160))"),"")</f>
        <v/>
      </c>
      <c r="S160" s="266" t="str">
        <f>IFERROR(__xludf.DUMMYFUNCTION("IF(ISBLANK(A160),"""",IFERROR(IF(OR(Q160=""GPB"",Q160=""ZAR""),IF(Q160=Dashboard!$L$1,M160,(M160*GOOGLEFINANCE(""CURRENCY:""&amp;Q160&amp;""""&amp;Dashboard!$L$1&amp;""""))/100),IF(Q160=Dashboard!$L$1,M160,M160*GOOGLEFINANCE(""CURRENCY:""&amp;Q160&amp;""""&amp;Dashboard!$L$1&amp;"""")))"&amp;",M160))"),"")</f>
        <v/>
      </c>
      <c r="T160" s="264" t="str">
        <f t="shared" si="4"/>
        <v/>
      </c>
      <c r="U160" s="264" t="str">
        <f t="shared" si="5"/>
        <v/>
      </c>
      <c r="V160" s="264" t="str">
        <f t="shared" si="6"/>
        <v/>
      </c>
      <c r="W160" s="267" t="str">
        <f t="shared" si="8"/>
        <v/>
      </c>
      <c r="X160" s="264" t="str">
        <f t="shared" si="7"/>
        <v/>
      </c>
    </row>
    <row r="161" ht="15.75" customHeight="1">
      <c r="A161" s="258"/>
      <c r="B161" s="258"/>
      <c r="C161" s="269"/>
      <c r="D161" s="258"/>
      <c r="E161" s="258"/>
      <c r="F161" s="258"/>
      <c r="G161" s="258"/>
      <c r="H161" s="271"/>
      <c r="I161" s="258"/>
      <c r="J161" s="272"/>
      <c r="K161" s="260"/>
      <c r="L161" s="261"/>
      <c r="M161" s="262" t="str">
        <f t="shared" si="1"/>
        <v/>
      </c>
      <c r="N161" s="263" t="str">
        <f t="shared" si="2"/>
        <v/>
      </c>
      <c r="O161" s="264" t="str">
        <f t="shared" si="3"/>
        <v/>
      </c>
      <c r="P161" s="265" t="str">
        <f>IFERROR(__xludf.DUMMYFUNCTION("IF(ISBLANK(A161),"""",IFERROR(IF(H161=""Sell"",VLOOKUP(9^99,FILTER({ROW(P$2:P160),P$2:P160},D$2:D160=D161),2),(VLOOKUP(9^99,FILTER({ROW(P$2:P160),P$2:P160},D$2:D160=D161),2)*VLOOKUP(9^99,FILTER({ROW(O$2:O160),O$2:O160},D$2:D160=D161),2)-N161)/O161),J161))"),"")</f>
        <v/>
      </c>
      <c r="Q161" s="264" t="str">
        <f>IFERROR(__xludf.DUMMYFUNCTION("IFERROR(IF(F161=""Crypto"",B161,(IF(ISBLANK(D161),"""",IF(D161=""Cash"",B161,IF(GOOGLEFINANCE(D161,""CURRENCY"")=""GBX"",""GBP"",GOOGLEFINANCE(D161,""CURRENCY"")))))),B161)"),"")</f>
        <v/>
      </c>
      <c r="R161" s="263" t="str">
        <f>IFERROR(__xludf.DUMMYFUNCTION("IF(ISBLANK(A161),"""",IFERROR(IF(OR(Q161=""GPB"",Q161=""ZAR""),IF(Q161=Dashboard!$L$1,K161,(K161*GOOGLEFINANCE(""CURRENCY:""&amp;Q161&amp;""""&amp;Dashboard!$L$1&amp;""""))/100),IF(Q161=Dashboard!$L$1,K161,K161*GOOGLEFINANCE(""CURRENCY:""&amp;Q161&amp;""""&amp;Dashboard!$L$1&amp;"""")))"&amp;",K161))"),"")</f>
        <v/>
      </c>
      <c r="S161" s="266" t="str">
        <f>IFERROR(__xludf.DUMMYFUNCTION("IF(ISBLANK(A161),"""",IFERROR(IF(OR(Q161=""GPB"",Q161=""ZAR""),IF(Q161=Dashboard!$L$1,M161,(M161*GOOGLEFINANCE(""CURRENCY:""&amp;Q161&amp;""""&amp;Dashboard!$L$1&amp;""""))/100),IF(Q161=Dashboard!$L$1,M161,M161*GOOGLEFINANCE(""CURRENCY:""&amp;Q161&amp;""""&amp;Dashboard!$L$1&amp;"""")))"&amp;",M161))"),"")</f>
        <v/>
      </c>
      <c r="T161" s="264" t="str">
        <f t="shared" si="4"/>
        <v/>
      </c>
      <c r="U161" s="264" t="str">
        <f t="shared" si="5"/>
        <v/>
      </c>
      <c r="V161" s="264" t="str">
        <f t="shared" si="6"/>
        <v/>
      </c>
      <c r="W161" s="267" t="str">
        <f t="shared" si="8"/>
        <v/>
      </c>
      <c r="X161" s="264" t="str">
        <f t="shared" si="7"/>
        <v/>
      </c>
    </row>
    <row r="162" ht="15.75" customHeight="1">
      <c r="A162" s="258"/>
      <c r="B162" s="258"/>
      <c r="C162" s="269"/>
      <c r="D162" s="258"/>
      <c r="E162" s="258"/>
      <c r="F162" s="258"/>
      <c r="G162" s="258"/>
      <c r="H162" s="271"/>
      <c r="I162" s="258"/>
      <c r="J162" s="272"/>
      <c r="K162" s="260"/>
      <c r="L162" s="261"/>
      <c r="M162" s="262" t="str">
        <f t="shared" si="1"/>
        <v/>
      </c>
      <c r="N162" s="263" t="str">
        <f t="shared" si="2"/>
        <v/>
      </c>
      <c r="O162" s="264" t="str">
        <f t="shared" si="3"/>
        <v/>
      </c>
      <c r="P162" s="265" t="str">
        <f>IFERROR(__xludf.DUMMYFUNCTION("IF(ISBLANK(A162),"""",IFERROR(IF(H162=""Sell"",VLOOKUP(9^99,FILTER({ROW(P$2:P161),P$2:P161},D$2:D161=D162),2),(VLOOKUP(9^99,FILTER({ROW(P$2:P161),P$2:P161},D$2:D161=D162),2)*VLOOKUP(9^99,FILTER({ROW(O$2:O161),O$2:O161},D$2:D161=D162),2)-N162)/O162),J162))"),"")</f>
        <v/>
      </c>
      <c r="Q162" s="264" t="str">
        <f>IFERROR(__xludf.DUMMYFUNCTION("IFERROR(IF(F162=""Crypto"",B162,(IF(ISBLANK(D162),"""",IF(D162=""Cash"",B162,IF(GOOGLEFINANCE(D162,""CURRENCY"")=""GBX"",""GBP"",GOOGLEFINANCE(D162,""CURRENCY"")))))),B162)"),"")</f>
        <v/>
      </c>
      <c r="R162" s="263" t="str">
        <f>IFERROR(__xludf.DUMMYFUNCTION("IF(ISBLANK(A162),"""",IFERROR(IF(OR(Q162=""GPB"",Q162=""ZAR""),IF(Q162=Dashboard!$L$1,K162,(K162*GOOGLEFINANCE(""CURRENCY:""&amp;Q162&amp;""""&amp;Dashboard!$L$1&amp;""""))/100),IF(Q162=Dashboard!$L$1,K162,K162*GOOGLEFINANCE(""CURRENCY:""&amp;Q162&amp;""""&amp;Dashboard!$L$1&amp;"""")))"&amp;",K162))"),"")</f>
        <v/>
      </c>
      <c r="S162" s="266" t="str">
        <f>IFERROR(__xludf.DUMMYFUNCTION("IF(ISBLANK(A162),"""",IFERROR(IF(OR(Q162=""GPB"",Q162=""ZAR""),IF(Q162=Dashboard!$L$1,M162,(M162*GOOGLEFINANCE(""CURRENCY:""&amp;Q162&amp;""""&amp;Dashboard!$L$1&amp;""""))/100),IF(Q162=Dashboard!$L$1,M162,M162*GOOGLEFINANCE(""CURRENCY:""&amp;Q162&amp;""""&amp;Dashboard!$L$1&amp;"""")))"&amp;",M162))"),"")</f>
        <v/>
      </c>
      <c r="T162" s="264" t="str">
        <f t="shared" si="4"/>
        <v/>
      </c>
      <c r="U162" s="264" t="str">
        <f t="shared" si="5"/>
        <v/>
      </c>
      <c r="V162" s="264" t="str">
        <f t="shared" si="6"/>
        <v/>
      </c>
      <c r="W162" s="267" t="str">
        <f t="shared" si="8"/>
        <v/>
      </c>
      <c r="X162" s="264" t="str">
        <f t="shared" si="7"/>
        <v/>
      </c>
    </row>
    <row r="163" ht="15.75" customHeight="1">
      <c r="A163" s="258"/>
      <c r="B163" s="258"/>
      <c r="C163" s="269"/>
      <c r="D163" s="258"/>
      <c r="E163" s="258"/>
      <c r="F163" s="258"/>
      <c r="G163" s="258"/>
      <c r="H163" s="271"/>
      <c r="I163" s="258"/>
      <c r="J163" s="272"/>
      <c r="K163" s="260"/>
      <c r="L163" s="261"/>
      <c r="M163" s="262" t="str">
        <f t="shared" si="1"/>
        <v/>
      </c>
      <c r="N163" s="263" t="str">
        <f t="shared" si="2"/>
        <v/>
      </c>
      <c r="O163" s="264" t="str">
        <f t="shared" si="3"/>
        <v/>
      </c>
      <c r="P163" s="265" t="str">
        <f>IFERROR(__xludf.DUMMYFUNCTION("IF(ISBLANK(A163),"""",IFERROR(IF(H163=""Sell"",VLOOKUP(9^99,FILTER({ROW(P$2:P162),P$2:P162},D$2:D162=D163),2),(VLOOKUP(9^99,FILTER({ROW(P$2:P162),P$2:P162},D$2:D162=D163),2)*VLOOKUP(9^99,FILTER({ROW(O$2:O162),O$2:O162},D$2:D162=D163),2)-N163)/O163),J163))"),"")</f>
        <v/>
      </c>
      <c r="Q163" s="264" t="str">
        <f>IFERROR(__xludf.DUMMYFUNCTION("IFERROR(IF(F163=""Crypto"",B163,(IF(ISBLANK(D163),"""",IF(D163=""Cash"",B163,IF(GOOGLEFINANCE(D163,""CURRENCY"")=""GBX"",""GBP"",GOOGLEFINANCE(D163,""CURRENCY"")))))),B163)"),"")</f>
        <v/>
      </c>
      <c r="R163" s="263" t="str">
        <f>IFERROR(__xludf.DUMMYFUNCTION("IF(ISBLANK(A163),"""",IFERROR(IF(OR(Q163=""GPB"",Q163=""ZAR""),IF(Q163=Dashboard!$L$1,K163,(K163*GOOGLEFINANCE(""CURRENCY:""&amp;Q163&amp;""""&amp;Dashboard!$L$1&amp;""""))/100),IF(Q163=Dashboard!$L$1,K163,K163*GOOGLEFINANCE(""CURRENCY:""&amp;Q163&amp;""""&amp;Dashboard!$L$1&amp;"""")))"&amp;",K163))"),"")</f>
        <v/>
      </c>
      <c r="S163" s="266" t="str">
        <f>IFERROR(__xludf.DUMMYFUNCTION("IF(ISBLANK(A163),"""",IFERROR(IF(OR(Q163=""GPB"",Q163=""ZAR""),IF(Q163=Dashboard!$L$1,M163,(M163*GOOGLEFINANCE(""CURRENCY:""&amp;Q163&amp;""""&amp;Dashboard!$L$1&amp;""""))/100),IF(Q163=Dashboard!$L$1,M163,M163*GOOGLEFINANCE(""CURRENCY:""&amp;Q163&amp;""""&amp;Dashboard!$L$1&amp;"""")))"&amp;",M163))"),"")</f>
        <v/>
      </c>
      <c r="T163" s="264" t="str">
        <f t="shared" si="4"/>
        <v/>
      </c>
      <c r="U163" s="264" t="str">
        <f t="shared" si="5"/>
        <v/>
      </c>
      <c r="V163" s="264" t="str">
        <f t="shared" si="6"/>
        <v/>
      </c>
      <c r="W163" s="267" t="str">
        <f t="shared" si="8"/>
        <v/>
      </c>
      <c r="X163" s="264" t="str">
        <f t="shared" si="7"/>
        <v/>
      </c>
    </row>
    <row r="164" ht="15.75" customHeight="1">
      <c r="A164" s="258"/>
      <c r="B164" s="258"/>
      <c r="C164" s="269"/>
      <c r="D164" s="258"/>
      <c r="E164" s="258"/>
      <c r="F164" s="258"/>
      <c r="G164" s="258"/>
      <c r="H164" s="271"/>
      <c r="I164" s="258"/>
      <c r="J164" s="272"/>
      <c r="K164" s="260"/>
      <c r="L164" s="261"/>
      <c r="M164" s="262" t="str">
        <f t="shared" si="1"/>
        <v/>
      </c>
      <c r="N164" s="263" t="str">
        <f t="shared" si="2"/>
        <v/>
      </c>
      <c r="O164" s="264" t="str">
        <f t="shared" si="3"/>
        <v/>
      </c>
      <c r="P164" s="265" t="str">
        <f>IFERROR(__xludf.DUMMYFUNCTION("IF(ISBLANK(A164),"""",IFERROR(IF(H164=""Sell"",VLOOKUP(9^99,FILTER({ROW(P$2:P163),P$2:P163},D$2:D163=D164),2),(VLOOKUP(9^99,FILTER({ROW(P$2:P163),P$2:P163},D$2:D163=D164),2)*VLOOKUP(9^99,FILTER({ROW(O$2:O163),O$2:O163},D$2:D163=D164),2)-N164)/O164),J164))"),"")</f>
        <v/>
      </c>
      <c r="Q164" s="264" t="str">
        <f>IFERROR(__xludf.DUMMYFUNCTION("IFERROR(IF(F164=""Crypto"",B164,(IF(ISBLANK(D164),"""",IF(D164=""Cash"",B164,IF(GOOGLEFINANCE(D164,""CURRENCY"")=""GBX"",""GBP"",GOOGLEFINANCE(D164,""CURRENCY"")))))),B164)"),"")</f>
        <v/>
      </c>
      <c r="R164" s="263" t="str">
        <f>IFERROR(__xludf.DUMMYFUNCTION("IF(ISBLANK(A164),"""",IFERROR(IF(OR(Q164=""GPB"",Q164=""ZAR""),IF(Q164=Dashboard!$L$1,K164,(K164*GOOGLEFINANCE(""CURRENCY:""&amp;Q164&amp;""""&amp;Dashboard!$L$1&amp;""""))/100),IF(Q164=Dashboard!$L$1,K164,K164*GOOGLEFINANCE(""CURRENCY:""&amp;Q164&amp;""""&amp;Dashboard!$L$1&amp;"""")))"&amp;",K164))"),"")</f>
        <v/>
      </c>
      <c r="S164" s="266" t="str">
        <f>IFERROR(__xludf.DUMMYFUNCTION("IF(ISBLANK(A164),"""",IFERROR(IF(OR(Q164=""GPB"",Q164=""ZAR""),IF(Q164=Dashboard!$L$1,M164,(M164*GOOGLEFINANCE(""CURRENCY:""&amp;Q164&amp;""""&amp;Dashboard!$L$1&amp;""""))/100),IF(Q164=Dashboard!$L$1,M164,M164*GOOGLEFINANCE(""CURRENCY:""&amp;Q164&amp;""""&amp;Dashboard!$L$1&amp;"""")))"&amp;",M164))"),"")</f>
        <v/>
      </c>
      <c r="T164" s="264" t="str">
        <f t="shared" si="4"/>
        <v/>
      </c>
      <c r="U164" s="264" t="str">
        <f t="shared" si="5"/>
        <v/>
      </c>
      <c r="V164" s="264" t="str">
        <f t="shared" si="6"/>
        <v/>
      </c>
      <c r="W164" s="267" t="str">
        <f t="shared" si="8"/>
        <v/>
      </c>
      <c r="X164" s="264" t="str">
        <f t="shared" si="7"/>
        <v/>
      </c>
    </row>
    <row r="165" ht="15.75" customHeight="1">
      <c r="A165" s="258"/>
      <c r="B165" s="258"/>
      <c r="C165" s="269"/>
      <c r="D165" s="258"/>
      <c r="E165" s="258"/>
      <c r="F165" s="258"/>
      <c r="G165" s="258"/>
      <c r="H165" s="271"/>
      <c r="I165" s="258"/>
      <c r="J165" s="272"/>
      <c r="K165" s="260"/>
      <c r="L165" s="261"/>
      <c r="M165" s="262" t="str">
        <f t="shared" si="1"/>
        <v/>
      </c>
      <c r="N165" s="263" t="str">
        <f t="shared" si="2"/>
        <v/>
      </c>
      <c r="O165" s="264" t="str">
        <f t="shared" si="3"/>
        <v/>
      </c>
      <c r="P165" s="265" t="str">
        <f>IFERROR(__xludf.DUMMYFUNCTION("IF(ISBLANK(A165),"""",IFERROR(IF(H165=""Sell"",VLOOKUP(9^99,FILTER({ROW(P$2:P164),P$2:P164},D$2:D164=D165),2),(VLOOKUP(9^99,FILTER({ROW(P$2:P164),P$2:P164},D$2:D164=D165),2)*VLOOKUP(9^99,FILTER({ROW(O$2:O164),O$2:O164},D$2:D164=D165),2)-N165)/O165),J165))"),"")</f>
        <v/>
      </c>
      <c r="Q165" s="264" t="str">
        <f>IFERROR(__xludf.DUMMYFUNCTION("IFERROR(IF(F165=""Crypto"",B165,(IF(ISBLANK(D165),"""",IF(D165=""Cash"",B165,IF(GOOGLEFINANCE(D165,""CURRENCY"")=""GBX"",""GBP"",GOOGLEFINANCE(D165,""CURRENCY"")))))),B165)"),"")</f>
        <v/>
      </c>
      <c r="R165" s="263" t="str">
        <f>IFERROR(__xludf.DUMMYFUNCTION("IF(ISBLANK(A165),"""",IFERROR(IF(OR(Q165=""GPB"",Q165=""ZAR""),IF(Q165=Dashboard!$L$1,K165,(K165*GOOGLEFINANCE(""CURRENCY:""&amp;Q165&amp;""""&amp;Dashboard!$L$1&amp;""""))/100),IF(Q165=Dashboard!$L$1,K165,K165*GOOGLEFINANCE(""CURRENCY:""&amp;Q165&amp;""""&amp;Dashboard!$L$1&amp;"""")))"&amp;",K165))"),"")</f>
        <v/>
      </c>
      <c r="S165" s="266" t="str">
        <f>IFERROR(__xludf.DUMMYFUNCTION("IF(ISBLANK(A165),"""",IFERROR(IF(OR(Q165=""GPB"",Q165=""ZAR""),IF(Q165=Dashboard!$L$1,M165,(M165*GOOGLEFINANCE(""CURRENCY:""&amp;Q165&amp;""""&amp;Dashboard!$L$1&amp;""""))/100),IF(Q165=Dashboard!$L$1,M165,M165*GOOGLEFINANCE(""CURRENCY:""&amp;Q165&amp;""""&amp;Dashboard!$L$1&amp;"""")))"&amp;",M165))"),"")</f>
        <v/>
      </c>
      <c r="T165" s="264" t="str">
        <f t="shared" si="4"/>
        <v/>
      </c>
      <c r="U165" s="264" t="str">
        <f t="shared" si="5"/>
        <v/>
      </c>
      <c r="V165" s="264" t="str">
        <f t="shared" si="6"/>
        <v/>
      </c>
      <c r="W165" s="267" t="str">
        <f t="shared" si="8"/>
        <v/>
      </c>
      <c r="X165" s="264" t="str">
        <f t="shared" si="7"/>
        <v/>
      </c>
    </row>
    <row r="166" ht="15.75" customHeight="1">
      <c r="A166" s="258"/>
      <c r="B166" s="258"/>
      <c r="C166" s="269"/>
      <c r="D166" s="258"/>
      <c r="E166" s="258"/>
      <c r="F166" s="258"/>
      <c r="G166" s="258"/>
      <c r="H166" s="271"/>
      <c r="I166" s="258"/>
      <c r="J166" s="272"/>
      <c r="K166" s="260"/>
      <c r="L166" s="261"/>
      <c r="M166" s="262" t="str">
        <f t="shared" si="1"/>
        <v/>
      </c>
      <c r="N166" s="263" t="str">
        <f t="shared" si="2"/>
        <v/>
      </c>
      <c r="O166" s="264" t="str">
        <f t="shared" si="3"/>
        <v/>
      </c>
      <c r="P166" s="265" t="str">
        <f>IFERROR(__xludf.DUMMYFUNCTION("IF(ISBLANK(A166),"""",IFERROR(IF(H166=""Sell"",VLOOKUP(9^99,FILTER({ROW(P$2:P165),P$2:P165},D$2:D165=D166),2),(VLOOKUP(9^99,FILTER({ROW(P$2:P165),P$2:P165},D$2:D165=D166),2)*VLOOKUP(9^99,FILTER({ROW(O$2:O165),O$2:O165},D$2:D165=D166),2)-N166)/O166),J166))"),"")</f>
        <v/>
      </c>
      <c r="Q166" s="264" t="str">
        <f>IFERROR(__xludf.DUMMYFUNCTION("IFERROR(IF(F166=""Crypto"",B166,(IF(ISBLANK(D166),"""",IF(D166=""Cash"",B166,IF(GOOGLEFINANCE(D166,""CURRENCY"")=""GBX"",""GBP"",GOOGLEFINANCE(D166,""CURRENCY"")))))),B166)"),"")</f>
        <v/>
      </c>
      <c r="R166" s="263" t="str">
        <f>IFERROR(__xludf.DUMMYFUNCTION("IF(ISBLANK(A166),"""",IFERROR(IF(OR(Q166=""GPB"",Q166=""ZAR""),IF(Q166=Dashboard!$L$1,K166,(K166*GOOGLEFINANCE(""CURRENCY:""&amp;Q166&amp;""""&amp;Dashboard!$L$1&amp;""""))/100),IF(Q166=Dashboard!$L$1,K166,K166*GOOGLEFINANCE(""CURRENCY:""&amp;Q166&amp;""""&amp;Dashboard!$L$1&amp;"""")))"&amp;",K166))"),"")</f>
        <v/>
      </c>
      <c r="S166" s="266" t="str">
        <f>IFERROR(__xludf.DUMMYFUNCTION("IF(ISBLANK(A166),"""",IFERROR(IF(OR(Q166=""GPB"",Q166=""ZAR""),IF(Q166=Dashboard!$L$1,M166,(M166*GOOGLEFINANCE(""CURRENCY:""&amp;Q166&amp;""""&amp;Dashboard!$L$1&amp;""""))/100),IF(Q166=Dashboard!$L$1,M166,M166*GOOGLEFINANCE(""CURRENCY:""&amp;Q166&amp;""""&amp;Dashboard!$L$1&amp;"""")))"&amp;",M166))"),"")</f>
        <v/>
      </c>
      <c r="T166" s="264" t="str">
        <f t="shared" si="4"/>
        <v/>
      </c>
      <c r="U166" s="264" t="str">
        <f t="shared" si="5"/>
        <v/>
      </c>
      <c r="V166" s="264" t="str">
        <f t="shared" si="6"/>
        <v/>
      </c>
      <c r="W166" s="267" t="str">
        <f t="shared" si="8"/>
        <v/>
      </c>
      <c r="X166" s="264" t="str">
        <f t="shared" si="7"/>
        <v/>
      </c>
    </row>
    <row r="167" ht="15.75" customHeight="1">
      <c r="A167" s="258"/>
      <c r="B167" s="258"/>
      <c r="C167" s="269"/>
      <c r="D167" s="258"/>
      <c r="E167" s="258"/>
      <c r="F167" s="258"/>
      <c r="G167" s="258"/>
      <c r="H167" s="271"/>
      <c r="I167" s="258"/>
      <c r="J167" s="272"/>
      <c r="K167" s="260"/>
      <c r="L167" s="261"/>
      <c r="M167" s="262" t="str">
        <f t="shared" si="1"/>
        <v/>
      </c>
      <c r="N167" s="263" t="str">
        <f t="shared" si="2"/>
        <v/>
      </c>
      <c r="O167" s="264" t="str">
        <f t="shared" si="3"/>
        <v/>
      </c>
      <c r="P167" s="265" t="str">
        <f>IFERROR(__xludf.DUMMYFUNCTION("IF(ISBLANK(A167),"""",IFERROR(IF(H167=""Sell"",VLOOKUP(9^99,FILTER({ROW(P$2:P166),P$2:P166},D$2:D166=D167),2),(VLOOKUP(9^99,FILTER({ROW(P$2:P166),P$2:P166},D$2:D166=D167),2)*VLOOKUP(9^99,FILTER({ROW(O$2:O166),O$2:O166},D$2:D166=D167),2)-N167)/O167),J167))"),"")</f>
        <v/>
      </c>
      <c r="Q167" s="264" t="str">
        <f>IFERROR(__xludf.DUMMYFUNCTION("IFERROR(IF(F167=""Crypto"",B167,(IF(ISBLANK(D167),"""",IF(D167=""Cash"",B167,IF(GOOGLEFINANCE(D167,""CURRENCY"")=""GBX"",""GBP"",GOOGLEFINANCE(D167,""CURRENCY"")))))),B167)"),"")</f>
        <v/>
      </c>
      <c r="R167" s="263" t="str">
        <f>IFERROR(__xludf.DUMMYFUNCTION("IF(ISBLANK(A167),"""",IFERROR(IF(OR(Q167=""GPB"",Q167=""ZAR""),IF(Q167=Dashboard!$L$1,K167,(K167*GOOGLEFINANCE(""CURRENCY:""&amp;Q167&amp;""""&amp;Dashboard!$L$1&amp;""""))/100),IF(Q167=Dashboard!$L$1,K167,K167*GOOGLEFINANCE(""CURRENCY:""&amp;Q167&amp;""""&amp;Dashboard!$L$1&amp;"""")))"&amp;",K167))"),"")</f>
        <v/>
      </c>
      <c r="S167" s="266" t="str">
        <f>IFERROR(__xludf.DUMMYFUNCTION("IF(ISBLANK(A167),"""",IFERROR(IF(OR(Q167=""GPB"",Q167=""ZAR""),IF(Q167=Dashboard!$L$1,M167,(M167*GOOGLEFINANCE(""CURRENCY:""&amp;Q167&amp;""""&amp;Dashboard!$L$1&amp;""""))/100),IF(Q167=Dashboard!$L$1,M167,M167*GOOGLEFINANCE(""CURRENCY:""&amp;Q167&amp;""""&amp;Dashboard!$L$1&amp;"""")))"&amp;",M167))"),"")</f>
        <v/>
      </c>
      <c r="T167" s="264" t="str">
        <f t="shared" si="4"/>
        <v/>
      </c>
      <c r="U167" s="264" t="str">
        <f t="shared" si="5"/>
        <v/>
      </c>
      <c r="V167" s="264" t="str">
        <f t="shared" si="6"/>
        <v/>
      </c>
      <c r="W167" s="267" t="str">
        <f t="shared" si="8"/>
        <v/>
      </c>
      <c r="X167" s="264" t="str">
        <f t="shared" si="7"/>
        <v/>
      </c>
    </row>
    <row r="168" ht="15.75" customHeight="1">
      <c r="A168" s="258"/>
      <c r="B168" s="258"/>
      <c r="C168" s="269"/>
      <c r="D168" s="258"/>
      <c r="E168" s="258"/>
      <c r="F168" s="258"/>
      <c r="G168" s="258"/>
      <c r="H168" s="271"/>
      <c r="I168" s="258"/>
      <c r="J168" s="272"/>
      <c r="K168" s="260"/>
      <c r="L168" s="261"/>
      <c r="M168" s="262" t="str">
        <f t="shared" si="1"/>
        <v/>
      </c>
      <c r="N168" s="263" t="str">
        <f t="shared" si="2"/>
        <v/>
      </c>
      <c r="O168" s="264" t="str">
        <f t="shared" si="3"/>
        <v/>
      </c>
      <c r="P168" s="265" t="str">
        <f>IFERROR(__xludf.DUMMYFUNCTION("IF(ISBLANK(A168),"""",IFERROR(IF(H168=""Sell"",VLOOKUP(9^99,FILTER({ROW(P$2:P167),P$2:P167},D$2:D167=D168),2),(VLOOKUP(9^99,FILTER({ROW(P$2:P167),P$2:P167},D$2:D167=D168),2)*VLOOKUP(9^99,FILTER({ROW(O$2:O167),O$2:O167},D$2:D167=D168),2)-N168)/O168),J168))"),"")</f>
        <v/>
      </c>
      <c r="Q168" s="264" t="str">
        <f>IFERROR(__xludf.DUMMYFUNCTION("IFERROR(IF(F168=""Crypto"",B168,(IF(ISBLANK(D168),"""",IF(D168=""Cash"",B168,IF(GOOGLEFINANCE(D168,""CURRENCY"")=""GBX"",""GBP"",GOOGLEFINANCE(D168,""CURRENCY"")))))),B168)"),"")</f>
        <v/>
      </c>
      <c r="R168" s="263" t="str">
        <f>IFERROR(__xludf.DUMMYFUNCTION("IF(ISBLANK(A168),"""",IFERROR(IF(OR(Q168=""GPB"",Q168=""ZAR""),IF(Q168=Dashboard!$L$1,K168,(K168*GOOGLEFINANCE(""CURRENCY:""&amp;Q168&amp;""""&amp;Dashboard!$L$1&amp;""""))/100),IF(Q168=Dashboard!$L$1,K168,K168*GOOGLEFINANCE(""CURRENCY:""&amp;Q168&amp;""""&amp;Dashboard!$L$1&amp;"""")))"&amp;",K168))"),"")</f>
        <v/>
      </c>
      <c r="S168" s="266" t="str">
        <f>IFERROR(__xludf.DUMMYFUNCTION("IF(ISBLANK(A168),"""",IFERROR(IF(OR(Q168=""GPB"",Q168=""ZAR""),IF(Q168=Dashboard!$L$1,M168,(M168*GOOGLEFINANCE(""CURRENCY:""&amp;Q168&amp;""""&amp;Dashboard!$L$1&amp;""""))/100),IF(Q168=Dashboard!$L$1,M168,M168*GOOGLEFINANCE(""CURRENCY:""&amp;Q168&amp;""""&amp;Dashboard!$L$1&amp;"""")))"&amp;",M168))"),"")</f>
        <v/>
      </c>
      <c r="T168" s="264" t="str">
        <f t="shared" si="4"/>
        <v/>
      </c>
      <c r="U168" s="264" t="str">
        <f t="shared" si="5"/>
        <v/>
      </c>
      <c r="V168" s="264" t="str">
        <f t="shared" si="6"/>
        <v/>
      </c>
      <c r="W168" s="267" t="str">
        <f t="shared" si="8"/>
        <v/>
      </c>
      <c r="X168" s="264" t="str">
        <f t="shared" si="7"/>
        <v/>
      </c>
    </row>
    <row r="169" ht="15.75" customHeight="1">
      <c r="A169" s="258"/>
      <c r="B169" s="258"/>
      <c r="C169" s="269"/>
      <c r="D169" s="258"/>
      <c r="E169" s="258"/>
      <c r="F169" s="258"/>
      <c r="G169" s="258"/>
      <c r="H169" s="271"/>
      <c r="I169" s="258"/>
      <c r="J169" s="272"/>
      <c r="K169" s="260"/>
      <c r="L169" s="261"/>
      <c r="M169" s="262" t="str">
        <f t="shared" si="1"/>
        <v/>
      </c>
      <c r="N169" s="263" t="str">
        <f t="shared" si="2"/>
        <v/>
      </c>
      <c r="O169" s="264" t="str">
        <f t="shared" si="3"/>
        <v/>
      </c>
      <c r="P169" s="265" t="str">
        <f>IFERROR(__xludf.DUMMYFUNCTION("IF(ISBLANK(A169),"""",IFERROR(IF(H169=""Sell"",VLOOKUP(9^99,FILTER({ROW(P$2:P168),P$2:P168},D$2:D168=D169),2),(VLOOKUP(9^99,FILTER({ROW(P$2:P168),P$2:P168},D$2:D168=D169),2)*VLOOKUP(9^99,FILTER({ROW(O$2:O168),O$2:O168},D$2:D168=D169),2)-N169)/O169),J169))"),"")</f>
        <v/>
      </c>
      <c r="Q169" s="264" t="str">
        <f>IFERROR(__xludf.DUMMYFUNCTION("IFERROR(IF(F169=""Crypto"",B169,(IF(ISBLANK(D169),"""",IF(D169=""Cash"",B169,IF(GOOGLEFINANCE(D169,""CURRENCY"")=""GBX"",""GBP"",GOOGLEFINANCE(D169,""CURRENCY"")))))),B169)"),"")</f>
        <v/>
      </c>
      <c r="R169" s="263" t="str">
        <f>IFERROR(__xludf.DUMMYFUNCTION("IF(ISBLANK(A169),"""",IFERROR(IF(OR(Q169=""GPB"",Q169=""ZAR""),IF(Q169=Dashboard!$L$1,K169,(K169*GOOGLEFINANCE(""CURRENCY:""&amp;Q169&amp;""""&amp;Dashboard!$L$1&amp;""""))/100),IF(Q169=Dashboard!$L$1,K169,K169*GOOGLEFINANCE(""CURRENCY:""&amp;Q169&amp;""""&amp;Dashboard!$L$1&amp;"""")))"&amp;",K169))"),"")</f>
        <v/>
      </c>
      <c r="S169" s="266" t="str">
        <f>IFERROR(__xludf.DUMMYFUNCTION("IF(ISBLANK(A169),"""",IFERROR(IF(OR(Q169=""GPB"",Q169=""ZAR""),IF(Q169=Dashboard!$L$1,M169,(M169*GOOGLEFINANCE(""CURRENCY:""&amp;Q169&amp;""""&amp;Dashboard!$L$1&amp;""""))/100),IF(Q169=Dashboard!$L$1,M169,M169*GOOGLEFINANCE(""CURRENCY:""&amp;Q169&amp;""""&amp;Dashboard!$L$1&amp;"""")))"&amp;",M169))"),"")</f>
        <v/>
      </c>
      <c r="T169" s="264" t="str">
        <f t="shared" si="4"/>
        <v/>
      </c>
      <c r="U169" s="264" t="str">
        <f t="shared" si="5"/>
        <v/>
      </c>
      <c r="V169" s="264" t="str">
        <f t="shared" si="6"/>
        <v/>
      </c>
      <c r="W169" s="267" t="str">
        <f t="shared" si="8"/>
        <v/>
      </c>
      <c r="X169" s="264" t="str">
        <f t="shared" si="7"/>
        <v/>
      </c>
    </row>
    <row r="170" ht="15.75" customHeight="1">
      <c r="A170" s="258"/>
      <c r="B170" s="258"/>
      <c r="C170" s="269"/>
      <c r="D170" s="258"/>
      <c r="E170" s="258"/>
      <c r="F170" s="258"/>
      <c r="G170" s="258"/>
      <c r="H170" s="271"/>
      <c r="I170" s="258"/>
      <c r="J170" s="272"/>
      <c r="K170" s="260"/>
      <c r="L170" s="261"/>
      <c r="M170" s="262" t="str">
        <f t="shared" si="1"/>
        <v/>
      </c>
      <c r="N170" s="263" t="str">
        <f t="shared" si="2"/>
        <v/>
      </c>
      <c r="O170" s="264" t="str">
        <f t="shared" si="3"/>
        <v/>
      </c>
      <c r="P170" s="265" t="str">
        <f>IFERROR(__xludf.DUMMYFUNCTION("IF(ISBLANK(A170),"""",IFERROR(IF(H170=""Sell"",VLOOKUP(9^99,FILTER({ROW(P$2:P169),P$2:P169},D$2:D169=D170),2),(VLOOKUP(9^99,FILTER({ROW(P$2:P169),P$2:P169},D$2:D169=D170),2)*VLOOKUP(9^99,FILTER({ROW(O$2:O169),O$2:O169},D$2:D169=D170),2)-N170)/O170),J170))"),"")</f>
        <v/>
      </c>
      <c r="Q170" s="264" t="str">
        <f>IFERROR(__xludf.DUMMYFUNCTION("IFERROR(IF(F170=""Crypto"",B170,(IF(ISBLANK(D170),"""",IF(D170=""Cash"",B170,IF(GOOGLEFINANCE(D170,""CURRENCY"")=""GBX"",""GBP"",GOOGLEFINANCE(D170,""CURRENCY"")))))),B170)"),"")</f>
        <v/>
      </c>
      <c r="R170" s="263" t="str">
        <f>IFERROR(__xludf.DUMMYFUNCTION("IF(ISBLANK(A170),"""",IFERROR(IF(OR(Q170=""GPB"",Q170=""ZAR""),IF(Q170=Dashboard!$L$1,K170,(K170*GOOGLEFINANCE(""CURRENCY:""&amp;Q170&amp;""""&amp;Dashboard!$L$1&amp;""""))/100),IF(Q170=Dashboard!$L$1,K170,K170*GOOGLEFINANCE(""CURRENCY:""&amp;Q170&amp;""""&amp;Dashboard!$L$1&amp;"""")))"&amp;",K170))"),"")</f>
        <v/>
      </c>
      <c r="S170" s="266" t="str">
        <f>IFERROR(__xludf.DUMMYFUNCTION("IF(ISBLANK(A170),"""",IFERROR(IF(OR(Q170=""GPB"",Q170=""ZAR""),IF(Q170=Dashboard!$L$1,M170,(M170*GOOGLEFINANCE(""CURRENCY:""&amp;Q170&amp;""""&amp;Dashboard!$L$1&amp;""""))/100),IF(Q170=Dashboard!$L$1,M170,M170*GOOGLEFINANCE(""CURRENCY:""&amp;Q170&amp;""""&amp;Dashboard!$L$1&amp;"""")))"&amp;",M170))"),"")</f>
        <v/>
      </c>
      <c r="T170" s="264" t="str">
        <f t="shared" si="4"/>
        <v/>
      </c>
      <c r="U170" s="264" t="str">
        <f t="shared" si="5"/>
        <v/>
      </c>
      <c r="V170" s="264" t="str">
        <f t="shared" si="6"/>
        <v/>
      </c>
      <c r="W170" s="267" t="str">
        <f t="shared" si="8"/>
        <v/>
      </c>
      <c r="X170" s="264" t="str">
        <f t="shared" si="7"/>
        <v/>
      </c>
    </row>
    <row r="171" ht="15.75" customHeight="1">
      <c r="A171" s="258"/>
      <c r="B171" s="258"/>
      <c r="C171" s="269"/>
      <c r="D171" s="258"/>
      <c r="E171" s="258"/>
      <c r="F171" s="258"/>
      <c r="G171" s="258"/>
      <c r="H171" s="271"/>
      <c r="I171" s="258"/>
      <c r="J171" s="272"/>
      <c r="K171" s="260"/>
      <c r="L171" s="261"/>
      <c r="M171" s="262" t="str">
        <f t="shared" si="1"/>
        <v/>
      </c>
      <c r="N171" s="263" t="str">
        <f t="shared" si="2"/>
        <v/>
      </c>
      <c r="O171" s="264" t="str">
        <f t="shared" si="3"/>
        <v/>
      </c>
      <c r="P171" s="265" t="str">
        <f>IFERROR(__xludf.DUMMYFUNCTION("IF(ISBLANK(A171),"""",IFERROR(IF(H171=""Sell"",VLOOKUP(9^99,FILTER({ROW(P$2:P170),P$2:P170},D$2:D170=D171),2),(VLOOKUP(9^99,FILTER({ROW(P$2:P170),P$2:P170},D$2:D170=D171),2)*VLOOKUP(9^99,FILTER({ROW(O$2:O170),O$2:O170},D$2:D170=D171),2)-N171)/O171),J171))"),"")</f>
        <v/>
      </c>
      <c r="Q171" s="264" t="str">
        <f>IFERROR(__xludf.DUMMYFUNCTION("IFERROR(IF(F171=""Crypto"",B171,(IF(ISBLANK(D171),"""",IF(D171=""Cash"",B171,IF(GOOGLEFINANCE(D171,""CURRENCY"")=""GBX"",""GBP"",GOOGLEFINANCE(D171,""CURRENCY"")))))),B171)"),"")</f>
        <v/>
      </c>
      <c r="R171" s="263" t="str">
        <f>IFERROR(__xludf.DUMMYFUNCTION("IF(ISBLANK(A171),"""",IFERROR(IF(OR(Q171=""GPB"",Q171=""ZAR""),IF(Q171=Dashboard!$L$1,K171,(K171*GOOGLEFINANCE(""CURRENCY:""&amp;Q171&amp;""""&amp;Dashboard!$L$1&amp;""""))/100),IF(Q171=Dashboard!$L$1,K171,K171*GOOGLEFINANCE(""CURRENCY:""&amp;Q171&amp;""""&amp;Dashboard!$L$1&amp;"""")))"&amp;",K171))"),"")</f>
        <v/>
      </c>
      <c r="S171" s="266" t="str">
        <f>IFERROR(__xludf.DUMMYFUNCTION("IF(ISBLANK(A171),"""",IFERROR(IF(OR(Q171=""GPB"",Q171=""ZAR""),IF(Q171=Dashboard!$L$1,M171,(M171*GOOGLEFINANCE(""CURRENCY:""&amp;Q171&amp;""""&amp;Dashboard!$L$1&amp;""""))/100),IF(Q171=Dashboard!$L$1,M171,M171*GOOGLEFINANCE(""CURRENCY:""&amp;Q171&amp;""""&amp;Dashboard!$L$1&amp;"""")))"&amp;",M171))"),"")</f>
        <v/>
      </c>
      <c r="T171" s="264" t="str">
        <f t="shared" si="4"/>
        <v/>
      </c>
      <c r="U171" s="264" t="str">
        <f t="shared" si="5"/>
        <v/>
      </c>
      <c r="V171" s="264" t="str">
        <f t="shared" si="6"/>
        <v/>
      </c>
      <c r="W171" s="267" t="str">
        <f t="shared" si="8"/>
        <v/>
      </c>
      <c r="X171" s="264" t="str">
        <f t="shared" si="7"/>
        <v/>
      </c>
    </row>
    <row r="172" ht="15.75" customHeight="1">
      <c r="A172" s="258"/>
      <c r="B172" s="258"/>
      <c r="C172" s="269"/>
      <c r="D172" s="258"/>
      <c r="E172" s="258"/>
      <c r="F172" s="258"/>
      <c r="G172" s="258"/>
      <c r="H172" s="271"/>
      <c r="I172" s="258"/>
      <c r="J172" s="272"/>
      <c r="K172" s="260"/>
      <c r="L172" s="261"/>
      <c r="M172" s="262" t="str">
        <f t="shared" si="1"/>
        <v/>
      </c>
      <c r="N172" s="263" t="str">
        <f t="shared" si="2"/>
        <v/>
      </c>
      <c r="O172" s="264" t="str">
        <f t="shared" si="3"/>
        <v/>
      </c>
      <c r="P172" s="265" t="str">
        <f>IFERROR(__xludf.DUMMYFUNCTION("IF(ISBLANK(A172),"""",IFERROR(IF(H172=""Sell"",VLOOKUP(9^99,FILTER({ROW(P$2:P171),P$2:P171},D$2:D171=D172),2),(VLOOKUP(9^99,FILTER({ROW(P$2:P171),P$2:P171},D$2:D171=D172),2)*VLOOKUP(9^99,FILTER({ROW(O$2:O171),O$2:O171},D$2:D171=D172),2)-N172)/O172),J172))"),"")</f>
        <v/>
      </c>
      <c r="Q172" s="264" t="str">
        <f>IFERROR(__xludf.DUMMYFUNCTION("IFERROR(IF(F172=""Crypto"",B172,(IF(ISBLANK(D172),"""",IF(D172=""Cash"",B172,IF(GOOGLEFINANCE(D172,""CURRENCY"")=""GBX"",""GBP"",GOOGLEFINANCE(D172,""CURRENCY"")))))),B172)"),"")</f>
        <v/>
      </c>
      <c r="R172" s="263" t="str">
        <f>IFERROR(__xludf.DUMMYFUNCTION("IF(ISBLANK(A172),"""",IFERROR(IF(OR(Q172=""GPB"",Q172=""ZAR""),IF(Q172=Dashboard!$L$1,K172,(K172*GOOGLEFINANCE(""CURRENCY:""&amp;Q172&amp;""""&amp;Dashboard!$L$1&amp;""""))/100),IF(Q172=Dashboard!$L$1,K172,K172*GOOGLEFINANCE(""CURRENCY:""&amp;Q172&amp;""""&amp;Dashboard!$L$1&amp;"""")))"&amp;",K172))"),"")</f>
        <v/>
      </c>
      <c r="S172" s="266" t="str">
        <f>IFERROR(__xludf.DUMMYFUNCTION("IF(ISBLANK(A172),"""",IFERROR(IF(OR(Q172=""GPB"",Q172=""ZAR""),IF(Q172=Dashboard!$L$1,M172,(M172*GOOGLEFINANCE(""CURRENCY:""&amp;Q172&amp;""""&amp;Dashboard!$L$1&amp;""""))/100),IF(Q172=Dashboard!$L$1,M172,M172*GOOGLEFINANCE(""CURRENCY:""&amp;Q172&amp;""""&amp;Dashboard!$L$1&amp;"""")))"&amp;",M172))"),"")</f>
        <v/>
      </c>
      <c r="T172" s="264" t="str">
        <f t="shared" si="4"/>
        <v/>
      </c>
      <c r="U172" s="264" t="str">
        <f t="shared" si="5"/>
        <v/>
      </c>
      <c r="V172" s="264" t="str">
        <f t="shared" si="6"/>
        <v/>
      </c>
      <c r="W172" s="267" t="str">
        <f t="shared" si="8"/>
        <v/>
      </c>
      <c r="X172" s="264" t="str">
        <f t="shared" si="7"/>
        <v/>
      </c>
    </row>
    <row r="173" ht="15.75" customHeight="1">
      <c r="A173" s="258"/>
      <c r="B173" s="258"/>
      <c r="C173" s="269"/>
      <c r="D173" s="258"/>
      <c r="E173" s="258"/>
      <c r="F173" s="258"/>
      <c r="G173" s="258"/>
      <c r="H173" s="271"/>
      <c r="I173" s="258"/>
      <c r="J173" s="272"/>
      <c r="K173" s="260"/>
      <c r="L173" s="261"/>
      <c r="M173" s="262" t="str">
        <f t="shared" si="1"/>
        <v/>
      </c>
      <c r="N173" s="263" t="str">
        <f t="shared" si="2"/>
        <v/>
      </c>
      <c r="O173" s="264" t="str">
        <f t="shared" si="3"/>
        <v/>
      </c>
      <c r="P173" s="265" t="str">
        <f>IFERROR(__xludf.DUMMYFUNCTION("IF(ISBLANK(A173),"""",IFERROR(IF(H173=""Sell"",VLOOKUP(9^99,FILTER({ROW(P$2:P172),P$2:P172},D$2:D172=D173),2),(VLOOKUP(9^99,FILTER({ROW(P$2:P172),P$2:P172},D$2:D172=D173),2)*VLOOKUP(9^99,FILTER({ROW(O$2:O172),O$2:O172},D$2:D172=D173),2)-N173)/O173),J173))"),"")</f>
        <v/>
      </c>
      <c r="Q173" s="264" t="str">
        <f>IFERROR(__xludf.DUMMYFUNCTION("IFERROR(IF(F173=""Crypto"",B173,(IF(ISBLANK(D173),"""",IF(D173=""Cash"",B173,IF(GOOGLEFINANCE(D173,""CURRENCY"")=""GBX"",""GBP"",GOOGLEFINANCE(D173,""CURRENCY"")))))),B173)"),"")</f>
        <v/>
      </c>
      <c r="R173" s="263" t="str">
        <f>IFERROR(__xludf.DUMMYFUNCTION("IF(ISBLANK(A173),"""",IFERROR(IF(OR(Q173=""GPB"",Q173=""ZAR""),IF(Q173=Dashboard!$L$1,K173,(K173*GOOGLEFINANCE(""CURRENCY:""&amp;Q173&amp;""""&amp;Dashboard!$L$1&amp;""""))/100),IF(Q173=Dashboard!$L$1,K173,K173*GOOGLEFINANCE(""CURRENCY:""&amp;Q173&amp;""""&amp;Dashboard!$L$1&amp;"""")))"&amp;",K173))"),"")</f>
        <v/>
      </c>
      <c r="S173" s="266" t="str">
        <f>IFERROR(__xludf.DUMMYFUNCTION("IF(ISBLANK(A173),"""",IFERROR(IF(OR(Q173=""GPB"",Q173=""ZAR""),IF(Q173=Dashboard!$L$1,M173,(M173*GOOGLEFINANCE(""CURRENCY:""&amp;Q173&amp;""""&amp;Dashboard!$L$1&amp;""""))/100),IF(Q173=Dashboard!$L$1,M173,M173*GOOGLEFINANCE(""CURRENCY:""&amp;Q173&amp;""""&amp;Dashboard!$L$1&amp;"""")))"&amp;",M173))"),"")</f>
        <v/>
      </c>
      <c r="T173" s="264" t="str">
        <f t="shared" si="4"/>
        <v/>
      </c>
      <c r="U173" s="264" t="str">
        <f t="shared" si="5"/>
        <v/>
      </c>
      <c r="V173" s="264" t="str">
        <f t="shared" si="6"/>
        <v/>
      </c>
      <c r="W173" s="267" t="str">
        <f t="shared" si="8"/>
        <v/>
      </c>
      <c r="X173" s="264" t="str">
        <f t="shared" si="7"/>
        <v/>
      </c>
    </row>
    <row r="174" ht="15.75" customHeight="1">
      <c r="A174" s="258"/>
      <c r="B174" s="258"/>
      <c r="C174" s="269"/>
      <c r="D174" s="258"/>
      <c r="E174" s="258"/>
      <c r="F174" s="258"/>
      <c r="G174" s="258"/>
      <c r="H174" s="271"/>
      <c r="I174" s="258"/>
      <c r="J174" s="272"/>
      <c r="K174" s="260"/>
      <c r="L174" s="261"/>
      <c r="M174" s="262" t="str">
        <f t="shared" si="1"/>
        <v/>
      </c>
      <c r="N174" s="263" t="str">
        <f t="shared" si="2"/>
        <v/>
      </c>
      <c r="O174" s="264" t="str">
        <f t="shared" si="3"/>
        <v/>
      </c>
      <c r="P174" s="265" t="str">
        <f>IFERROR(__xludf.DUMMYFUNCTION("IF(ISBLANK(A174),"""",IFERROR(IF(H174=""Sell"",VLOOKUP(9^99,FILTER({ROW(P$2:P173),P$2:P173},D$2:D173=D174),2),(VLOOKUP(9^99,FILTER({ROW(P$2:P173),P$2:P173},D$2:D173=D174),2)*VLOOKUP(9^99,FILTER({ROW(O$2:O173),O$2:O173},D$2:D173=D174),2)-N174)/O174),J174))"),"")</f>
        <v/>
      </c>
      <c r="Q174" s="264" t="str">
        <f>IFERROR(__xludf.DUMMYFUNCTION("IFERROR(IF(F174=""Crypto"",B174,(IF(ISBLANK(D174),"""",IF(D174=""Cash"",B174,IF(GOOGLEFINANCE(D174,""CURRENCY"")=""GBX"",""GBP"",GOOGLEFINANCE(D174,""CURRENCY"")))))),B174)"),"")</f>
        <v/>
      </c>
      <c r="R174" s="263" t="str">
        <f>IFERROR(__xludf.DUMMYFUNCTION("IF(ISBLANK(A174),"""",IFERROR(IF(OR(Q174=""GPB"",Q174=""ZAR""),IF(Q174=Dashboard!$L$1,K174,(K174*GOOGLEFINANCE(""CURRENCY:""&amp;Q174&amp;""""&amp;Dashboard!$L$1&amp;""""))/100),IF(Q174=Dashboard!$L$1,K174,K174*GOOGLEFINANCE(""CURRENCY:""&amp;Q174&amp;""""&amp;Dashboard!$L$1&amp;"""")))"&amp;",K174))"),"")</f>
        <v/>
      </c>
      <c r="S174" s="266" t="str">
        <f>IFERROR(__xludf.DUMMYFUNCTION("IF(ISBLANK(A174),"""",IFERROR(IF(OR(Q174=""GPB"",Q174=""ZAR""),IF(Q174=Dashboard!$L$1,M174,(M174*GOOGLEFINANCE(""CURRENCY:""&amp;Q174&amp;""""&amp;Dashboard!$L$1&amp;""""))/100),IF(Q174=Dashboard!$L$1,M174,M174*GOOGLEFINANCE(""CURRENCY:""&amp;Q174&amp;""""&amp;Dashboard!$L$1&amp;"""")))"&amp;",M174))"),"")</f>
        <v/>
      </c>
      <c r="T174" s="264" t="str">
        <f t="shared" si="4"/>
        <v/>
      </c>
      <c r="U174" s="264" t="str">
        <f t="shared" si="5"/>
        <v/>
      </c>
      <c r="V174" s="264" t="str">
        <f t="shared" si="6"/>
        <v/>
      </c>
      <c r="W174" s="267" t="str">
        <f t="shared" si="8"/>
        <v/>
      </c>
      <c r="X174" s="264" t="str">
        <f t="shared" si="7"/>
        <v/>
      </c>
    </row>
    <row r="175" ht="15.75" customHeight="1">
      <c r="A175" s="258"/>
      <c r="B175" s="258"/>
      <c r="C175" s="269"/>
      <c r="D175" s="258"/>
      <c r="E175" s="258"/>
      <c r="F175" s="258"/>
      <c r="G175" s="258"/>
      <c r="H175" s="271"/>
      <c r="I175" s="258"/>
      <c r="J175" s="272"/>
      <c r="K175" s="260"/>
      <c r="L175" s="261"/>
      <c r="M175" s="262" t="str">
        <f t="shared" si="1"/>
        <v/>
      </c>
      <c r="N175" s="263" t="str">
        <f t="shared" si="2"/>
        <v/>
      </c>
      <c r="O175" s="264" t="str">
        <f t="shared" si="3"/>
        <v/>
      </c>
      <c r="P175" s="265" t="str">
        <f>IFERROR(__xludf.DUMMYFUNCTION("IF(ISBLANK(A175),"""",IFERROR(IF(H175=""Sell"",VLOOKUP(9^99,FILTER({ROW(P$2:P174),P$2:P174},D$2:D174=D175),2),(VLOOKUP(9^99,FILTER({ROW(P$2:P174),P$2:P174},D$2:D174=D175),2)*VLOOKUP(9^99,FILTER({ROW(O$2:O174),O$2:O174},D$2:D174=D175),2)-N175)/O175),J175))"),"")</f>
        <v/>
      </c>
      <c r="Q175" s="264" t="str">
        <f>IFERROR(__xludf.DUMMYFUNCTION("IFERROR(IF(F175=""Crypto"",B175,(IF(ISBLANK(D175),"""",IF(D175=""Cash"",B175,IF(GOOGLEFINANCE(D175,""CURRENCY"")=""GBX"",""GBP"",GOOGLEFINANCE(D175,""CURRENCY"")))))),B175)"),"")</f>
        <v/>
      </c>
      <c r="R175" s="263" t="str">
        <f>IFERROR(__xludf.DUMMYFUNCTION("IF(ISBLANK(A175),"""",IFERROR(IF(OR(Q175=""GPB"",Q175=""ZAR""),IF(Q175=Dashboard!$L$1,K175,(K175*GOOGLEFINANCE(""CURRENCY:""&amp;Q175&amp;""""&amp;Dashboard!$L$1&amp;""""))/100),IF(Q175=Dashboard!$L$1,K175,K175*GOOGLEFINANCE(""CURRENCY:""&amp;Q175&amp;""""&amp;Dashboard!$L$1&amp;"""")))"&amp;",K175))"),"")</f>
        <v/>
      </c>
      <c r="S175" s="266" t="str">
        <f>IFERROR(__xludf.DUMMYFUNCTION("IF(ISBLANK(A175),"""",IFERROR(IF(OR(Q175=""GPB"",Q175=""ZAR""),IF(Q175=Dashboard!$L$1,M175,(M175*GOOGLEFINANCE(""CURRENCY:""&amp;Q175&amp;""""&amp;Dashboard!$L$1&amp;""""))/100),IF(Q175=Dashboard!$L$1,M175,M175*GOOGLEFINANCE(""CURRENCY:""&amp;Q175&amp;""""&amp;Dashboard!$L$1&amp;"""")))"&amp;",M175))"),"")</f>
        <v/>
      </c>
      <c r="T175" s="264" t="str">
        <f t="shared" si="4"/>
        <v/>
      </c>
      <c r="U175" s="264" t="str">
        <f t="shared" si="5"/>
        <v/>
      </c>
      <c r="V175" s="264" t="str">
        <f t="shared" si="6"/>
        <v/>
      </c>
      <c r="W175" s="267" t="str">
        <f t="shared" si="8"/>
        <v/>
      </c>
      <c r="X175" s="264" t="str">
        <f t="shared" si="7"/>
        <v/>
      </c>
    </row>
    <row r="176" ht="15.75" customHeight="1">
      <c r="A176" s="258"/>
      <c r="B176" s="258"/>
      <c r="C176" s="269"/>
      <c r="D176" s="258"/>
      <c r="E176" s="258"/>
      <c r="F176" s="258"/>
      <c r="G176" s="258"/>
      <c r="H176" s="271"/>
      <c r="I176" s="258"/>
      <c r="J176" s="272"/>
      <c r="K176" s="260"/>
      <c r="L176" s="261"/>
      <c r="M176" s="262" t="str">
        <f t="shared" si="1"/>
        <v/>
      </c>
      <c r="N176" s="263" t="str">
        <f t="shared" si="2"/>
        <v/>
      </c>
      <c r="O176" s="264" t="str">
        <f t="shared" si="3"/>
        <v/>
      </c>
      <c r="P176" s="265" t="str">
        <f>IFERROR(__xludf.DUMMYFUNCTION("IF(ISBLANK(A176),"""",IFERROR(IF(H176=""Sell"",VLOOKUP(9^99,FILTER({ROW(P$2:P175),P$2:P175},D$2:D175=D176),2),(VLOOKUP(9^99,FILTER({ROW(P$2:P175),P$2:P175},D$2:D175=D176),2)*VLOOKUP(9^99,FILTER({ROW(O$2:O175),O$2:O175},D$2:D175=D176),2)-N176)/O176),J176))"),"")</f>
        <v/>
      </c>
      <c r="Q176" s="264" t="str">
        <f>IFERROR(__xludf.DUMMYFUNCTION("IFERROR(IF(F176=""Crypto"",B176,(IF(ISBLANK(D176),"""",IF(D176=""Cash"",B176,IF(GOOGLEFINANCE(D176,""CURRENCY"")=""GBX"",""GBP"",GOOGLEFINANCE(D176,""CURRENCY"")))))),B176)"),"")</f>
        <v/>
      </c>
      <c r="R176" s="263" t="str">
        <f>IFERROR(__xludf.DUMMYFUNCTION("IF(ISBLANK(A176),"""",IFERROR(IF(OR(Q176=""GPB"",Q176=""ZAR""),IF(Q176=Dashboard!$L$1,K176,(K176*GOOGLEFINANCE(""CURRENCY:""&amp;Q176&amp;""""&amp;Dashboard!$L$1&amp;""""))/100),IF(Q176=Dashboard!$L$1,K176,K176*GOOGLEFINANCE(""CURRENCY:""&amp;Q176&amp;""""&amp;Dashboard!$L$1&amp;"""")))"&amp;",K176))"),"")</f>
        <v/>
      </c>
      <c r="S176" s="266" t="str">
        <f>IFERROR(__xludf.DUMMYFUNCTION("IF(ISBLANK(A176),"""",IFERROR(IF(OR(Q176=""GPB"",Q176=""ZAR""),IF(Q176=Dashboard!$L$1,M176,(M176*GOOGLEFINANCE(""CURRENCY:""&amp;Q176&amp;""""&amp;Dashboard!$L$1&amp;""""))/100),IF(Q176=Dashboard!$L$1,M176,M176*GOOGLEFINANCE(""CURRENCY:""&amp;Q176&amp;""""&amp;Dashboard!$L$1&amp;"""")))"&amp;",M176))"),"")</f>
        <v/>
      </c>
      <c r="T176" s="264" t="str">
        <f t="shared" si="4"/>
        <v/>
      </c>
      <c r="U176" s="264" t="str">
        <f t="shared" si="5"/>
        <v/>
      </c>
      <c r="V176" s="264" t="str">
        <f t="shared" si="6"/>
        <v/>
      </c>
      <c r="W176" s="267" t="str">
        <f t="shared" si="8"/>
        <v/>
      </c>
      <c r="X176" s="264" t="str">
        <f t="shared" si="7"/>
        <v/>
      </c>
    </row>
    <row r="177" ht="15.75" customHeight="1">
      <c r="A177" s="258"/>
      <c r="B177" s="258"/>
      <c r="C177" s="269"/>
      <c r="D177" s="258"/>
      <c r="E177" s="258"/>
      <c r="F177" s="258"/>
      <c r="G177" s="258"/>
      <c r="H177" s="271"/>
      <c r="I177" s="258"/>
      <c r="J177" s="272"/>
      <c r="K177" s="260"/>
      <c r="L177" s="261"/>
      <c r="M177" s="262" t="str">
        <f t="shared" si="1"/>
        <v/>
      </c>
      <c r="N177" s="263" t="str">
        <f t="shared" si="2"/>
        <v/>
      </c>
      <c r="O177" s="264" t="str">
        <f t="shared" si="3"/>
        <v/>
      </c>
      <c r="P177" s="265" t="str">
        <f>IFERROR(__xludf.DUMMYFUNCTION("IF(ISBLANK(A177),"""",IFERROR(IF(H177=""Sell"",VLOOKUP(9^99,FILTER({ROW(P$2:P176),P$2:P176},D$2:D176=D177),2),(VLOOKUP(9^99,FILTER({ROW(P$2:P176),P$2:P176},D$2:D176=D177),2)*VLOOKUP(9^99,FILTER({ROW(O$2:O176),O$2:O176},D$2:D176=D177),2)-N177)/O177),J177))"),"")</f>
        <v/>
      </c>
      <c r="Q177" s="264" t="str">
        <f>IFERROR(__xludf.DUMMYFUNCTION("IFERROR(IF(F177=""Crypto"",B177,(IF(ISBLANK(D177),"""",IF(D177=""Cash"",B177,IF(GOOGLEFINANCE(D177,""CURRENCY"")=""GBX"",""GBP"",GOOGLEFINANCE(D177,""CURRENCY"")))))),B177)"),"")</f>
        <v/>
      </c>
      <c r="R177" s="263" t="str">
        <f>IFERROR(__xludf.DUMMYFUNCTION("IF(ISBLANK(A177),"""",IFERROR(IF(OR(Q177=""GPB"",Q177=""ZAR""),IF(Q177=Dashboard!$L$1,K177,(K177*GOOGLEFINANCE(""CURRENCY:""&amp;Q177&amp;""""&amp;Dashboard!$L$1&amp;""""))/100),IF(Q177=Dashboard!$L$1,K177,K177*GOOGLEFINANCE(""CURRENCY:""&amp;Q177&amp;""""&amp;Dashboard!$L$1&amp;"""")))"&amp;",K177))"),"")</f>
        <v/>
      </c>
      <c r="S177" s="266" t="str">
        <f>IFERROR(__xludf.DUMMYFUNCTION("IF(ISBLANK(A177),"""",IFERROR(IF(OR(Q177=""GPB"",Q177=""ZAR""),IF(Q177=Dashboard!$L$1,M177,(M177*GOOGLEFINANCE(""CURRENCY:""&amp;Q177&amp;""""&amp;Dashboard!$L$1&amp;""""))/100),IF(Q177=Dashboard!$L$1,M177,M177*GOOGLEFINANCE(""CURRENCY:""&amp;Q177&amp;""""&amp;Dashboard!$L$1&amp;"""")))"&amp;",M177))"),"")</f>
        <v/>
      </c>
      <c r="T177" s="264" t="str">
        <f t="shared" si="4"/>
        <v/>
      </c>
      <c r="U177" s="264" t="str">
        <f t="shared" si="5"/>
        <v/>
      </c>
      <c r="V177" s="264" t="str">
        <f t="shared" si="6"/>
        <v/>
      </c>
      <c r="W177" s="267" t="str">
        <f t="shared" si="8"/>
        <v/>
      </c>
      <c r="X177" s="264" t="str">
        <f t="shared" si="7"/>
        <v/>
      </c>
    </row>
    <row r="178" ht="15.75" customHeight="1">
      <c r="A178" s="258"/>
      <c r="B178" s="258"/>
      <c r="C178" s="269"/>
      <c r="D178" s="258"/>
      <c r="E178" s="258"/>
      <c r="F178" s="258"/>
      <c r="G178" s="258"/>
      <c r="H178" s="271"/>
      <c r="I178" s="258"/>
      <c r="J178" s="272"/>
      <c r="K178" s="260"/>
      <c r="L178" s="261"/>
      <c r="M178" s="262" t="str">
        <f t="shared" si="1"/>
        <v/>
      </c>
      <c r="N178" s="263" t="str">
        <f t="shared" si="2"/>
        <v/>
      </c>
      <c r="O178" s="264" t="str">
        <f t="shared" si="3"/>
        <v/>
      </c>
      <c r="P178" s="265" t="str">
        <f>IFERROR(__xludf.DUMMYFUNCTION("IF(ISBLANK(A178),"""",IFERROR(IF(H178=""Sell"",VLOOKUP(9^99,FILTER({ROW(P$2:P177),P$2:P177},D$2:D177=D178),2),(VLOOKUP(9^99,FILTER({ROW(P$2:P177),P$2:P177},D$2:D177=D178),2)*VLOOKUP(9^99,FILTER({ROW(O$2:O177),O$2:O177},D$2:D177=D178),2)-N178)/O178),J178))"),"")</f>
        <v/>
      </c>
      <c r="Q178" s="264" t="str">
        <f>IFERROR(__xludf.DUMMYFUNCTION("IFERROR(IF(F178=""Crypto"",B178,(IF(ISBLANK(D178),"""",IF(D178=""Cash"",B178,IF(GOOGLEFINANCE(D178,""CURRENCY"")=""GBX"",""GBP"",GOOGLEFINANCE(D178,""CURRENCY"")))))),B178)"),"")</f>
        <v/>
      </c>
      <c r="R178" s="263" t="str">
        <f>IFERROR(__xludf.DUMMYFUNCTION("IF(ISBLANK(A178),"""",IFERROR(IF(OR(Q178=""GPB"",Q178=""ZAR""),IF(Q178=Dashboard!$L$1,K178,(K178*GOOGLEFINANCE(""CURRENCY:""&amp;Q178&amp;""""&amp;Dashboard!$L$1&amp;""""))/100),IF(Q178=Dashboard!$L$1,K178,K178*GOOGLEFINANCE(""CURRENCY:""&amp;Q178&amp;""""&amp;Dashboard!$L$1&amp;"""")))"&amp;",K178))"),"")</f>
        <v/>
      </c>
      <c r="S178" s="266" t="str">
        <f>IFERROR(__xludf.DUMMYFUNCTION("IF(ISBLANK(A178),"""",IFERROR(IF(OR(Q178=""GPB"",Q178=""ZAR""),IF(Q178=Dashboard!$L$1,M178,(M178*GOOGLEFINANCE(""CURRENCY:""&amp;Q178&amp;""""&amp;Dashboard!$L$1&amp;""""))/100),IF(Q178=Dashboard!$L$1,M178,M178*GOOGLEFINANCE(""CURRENCY:""&amp;Q178&amp;""""&amp;Dashboard!$L$1&amp;"""")))"&amp;",M178))"),"")</f>
        <v/>
      </c>
      <c r="T178" s="264" t="str">
        <f t="shared" si="4"/>
        <v/>
      </c>
      <c r="U178" s="264" t="str">
        <f t="shared" si="5"/>
        <v/>
      </c>
      <c r="V178" s="264" t="str">
        <f t="shared" si="6"/>
        <v/>
      </c>
      <c r="W178" s="267" t="str">
        <f t="shared" si="8"/>
        <v/>
      </c>
      <c r="X178" s="264" t="str">
        <f t="shared" si="7"/>
        <v/>
      </c>
    </row>
    <row r="179" ht="15.75" customHeight="1">
      <c r="A179" s="258"/>
      <c r="B179" s="258"/>
      <c r="C179" s="269"/>
      <c r="D179" s="258"/>
      <c r="E179" s="258"/>
      <c r="F179" s="258"/>
      <c r="G179" s="258"/>
      <c r="H179" s="271"/>
      <c r="I179" s="258"/>
      <c r="J179" s="272"/>
      <c r="K179" s="260"/>
      <c r="L179" s="261"/>
      <c r="M179" s="262" t="str">
        <f t="shared" si="1"/>
        <v/>
      </c>
      <c r="N179" s="263" t="str">
        <f t="shared" si="2"/>
        <v/>
      </c>
      <c r="O179" s="264" t="str">
        <f t="shared" si="3"/>
        <v/>
      </c>
      <c r="P179" s="265" t="str">
        <f>IFERROR(__xludf.DUMMYFUNCTION("IF(ISBLANK(A179),"""",IFERROR(IF(H179=""Sell"",VLOOKUP(9^99,FILTER({ROW(P$2:P178),P$2:P178},D$2:D178=D179),2),(VLOOKUP(9^99,FILTER({ROW(P$2:P178),P$2:P178},D$2:D178=D179),2)*VLOOKUP(9^99,FILTER({ROW(O$2:O178),O$2:O178},D$2:D178=D179),2)-N179)/O179),J179))"),"")</f>
        <v/>
      </c>
      <c r="Q179" s="264" t="str">
        <f>IFERROR(__xludf.DUMMYFUNCTION("IFERROR(IF(F179=""Crypto"",B179,(IF(ISBLANK(D179),"""",IF(D179=""Cash"",B179,IF(GOOGLEFINANCE(D179,""CURRENCY"")=""GBX"",""GBP"",GOOGLEFINANCE(D179,""CURRENCY"")))))),B179)"),"")</f>
        <v/>
      </c>
      <c r="R179" s="263" t="str">
        <f>IFERROR(__xludf.DUMMYFUNCTION("IF(ISBLANK(A179),"""",IFERROR(IF(OR(Q179=""GPB"",Q179=""ZAR""),IF(Q179=Dashboard!$L$1,K179,(K179*GOOGLEFINANCE(""CURRENCY:""&amp;Q179&amp;""""&amp;Dashboard!$L$1&amp;""""))/100),IF(Q179=Dashboard!$L$1,K179,K179*GOOGLEFINANCE(""CURRENCY:""&amp;Q179&amp;""""&amp;Dashboard!$L$1&amp;"""")))"&amp;",K179))"),"")</f>
        <v/>
      </c>
      <c r="S179" s="266" t="str">
        <f>IFERROR(__xludf.DUMMYFUNCTION("IF(ISBLANK(A179),"""",IFERROR(IF(OR(Q179=""GPB"",Q179=""ZAR""),IF(Q179=Dashboard!$L$1,M179,(M179*GOOGLEFINANCE(""CURRENCY:""&amp;Q179&amp;""""&amp;Dashboard!$L$1&amp;""""))/100),IF(Q179=Dashboard!$L$1,M179,M179*GOOGLEFINANCE(""CURRENCY:""&amp;Q179&amp;""""&amp;Dashboard!$L$1&amp;"""")))"&amp;",M179))"),"")</f>
        <v/>
      </c>
      <c r="T179" s="264" t="str">
        <f t="shared" si="4"/>
        <v/>
      </c>
      <c r="U179" s="264" t="str">
        <f t="shared" si="5"/>
        <v/>
      </c>
      <c r="V179" s="264" t="str">
        <f t="shared" si="6"/>
        <v/>
      </c>
      <c r="W179" s="267" t="str">
        <f t="shared" si="8"/>
        <v/>
      </c>
      <c r="X179" s="264" t="str">
        <f t="shared" si="7"/>
        <v/>
      </c>
    </row>
    <row r="180" ht="15.75" customHeight="1">
      <c r="A180" s="258"/>
      <c r="B180" s="258"/>
      <c r="C180" s="269"/>
      <c r="D180" s="258"/>
      <c r="E180" s="258"/>
      <c r="F180" s="258"/>
      <c r="G180" s="258"/>
      <c r="H180" s="271"/>
      <c r="I180" s="258"/>
      <c r="J180" s="272"/>
      <c r="K180" s="260"/>
      <c r="L180" s="261"/>
      <c r="M180" s="262" t="str">
        <f t="shared" si="1"/>
        <v/>
      </c>
      <c r="N180" s="263" t="str">
        <f t="shared" si="2"/>
        <v/>
      </c>
      <c r="O180" s="264" t="str">
        <f t="shared" si="3"/>
        <v/>
      </c>
      <c r="P180" s="265" t="str">
        <f>IFERROR(__xludf.DUMMYFUNCTION("IF(ISBLANK(A180),"""",IFERROR(IF(H180=""Sell"",VLOOKUP(9^99,FILTER({ROW(P$2:P179),P$2:P179},D$2:D179=D180),2),(VLOOKUP(9^99,FILTER({ROW(P$2:P179),P$2:P179},D$2:D179=D180),2)*VLOOKUP(9^99,FILTER({ROW(O$2:O179),O$2:O179},D$2:D179=D180),2)-N180)/O180),J180))"),"")</f>
        <v/>
      </c>
      <c r="Q180" s="264" t="str">
        <f>IFERROR(__xludf.DUMMYFUNCTION("IFERROR(IF(F180=""Crypto"",B180,(IF(ISBLANK(D180),"""",IF(D180=""Cash"",B180,IF(GOOGLEFINANCE(D180,""CURRENCY"")=""GBX"",""GBP"",GOOGLEFINANCE(D180,""CURRENCY"")))))),B180)"),"")</f>
        <v/>
      </c>
      <c r="R180" s="263" t="str">
        <f>IFERROR(__xludf.DUMMYFUNCTION("IF(ISBLANK(A180),"""",IFERROR(IF(OR(Q180=""GPB"",Q180=""ZAR""),IF(Q180=Dashboard!$L$1,K180,(K180*GOOGLEFINANCE(""CURRENCY:""&amp;Q180&amp;""""&amp;Dashboard!$L$1&amp;""""))/100),IF(Q180=Dashboard!$L$1,K180,K180*GOOGLEFINANCE(""CURRENCY:""&amp;Q180&amp;""""&amp;Dashboard!$L$1&amp;"""")))"&amp;",K180))"),"")</f>
        <v/>
      </c>
      <c r="S180" s="266" t="str">
        <f>IFERROR(__xludf.DUMMYFUNCTION("IF(ISBLANK(A180),"""",IFERROR(IF(OR(Q180=""GPB"",Q180=""ZAR""),IF(Q180=Dashboard!$L$1,M180,(M180*GOOGLEFINANCE(""CURRENCY:""&amp;Q180&amp;""""&amp;Dashboard!$L$1&amp;""""))/100),IF(Q180=Dashboard!$L$1,M180,M180*GOOGLEFINANCE(""CURRENCY:""&amp;Q180&amp;""""&amp;Dashboard!$L$1&amp;"""")))"&amp;",M180))"),"")</f>
        <v/>
      </c>
      <c r="T180" s="264" t="str">
        <f t="shared" si="4"/>
        <v/>
      </c>
      <c r="U180" s="264" t="str">
        <f t="shared" si="5"/>
        <v/>
      </c>
      <c r="V180" s="264" t="str">
        <f t="shared" si="6"/>
        <v/>
      </c>
      <c r="W180" s="267" t="str">
        <f t="shared" si="8"/>
        <v/>
      </c>
      <c r="X180" s="264" t="str">
        <f t="shared" si="7"/>
        <v/>
      </c>
    </row>
    <row r="181" ht="15.75" customHeight="1">
      <c r="A181" s="258"/>
      <c r="B181" s="258"/>
      <c r="C181" s="269"/>
      <c r="D181" s="258"/>
      <c r="E181" s="258"/>
      <c r="F181" s="258"/>
      <c r="G181" s="258"/>
      <c r="H181" s="271"/>
      <c r="I181" s="258"/>
      <c r="J181" s="272"/>
      <c r="K181" s="260"/>
      <c r="L181" s="261"/>
      <c r="M181" s="262" t="str">
        <f t="shared" si="1"/>
        <v/>
      </c>
      <c r="N181" s="263" t="str">
        <f t="shared" si="2"/>
        <v/>
      </c>
      <c r="O181" s="264" t="str">
        <f t="shared" si="3"/>
        <v/>
      </c>
      <c r="P181" s="265" t="str">
        <f>IFERROR(__xludf.DUMMYFUNCTION("IF(ISBLANK(A181),"""",IFERROR(IF(H181=""Sell"",VLOOKUP(9^99,FILTER({ROW(P$2:P180),P$2:P180},D$2:D180=D181),2),(VLOOKUP(9^99,FILTER({ROW(P$2:P180),P$2:P180},D$2:D180=D181),2)*VLOOKUP(9^99,FILTER({ROW(O$2:O180),O$2:O180},D$2:D180=D181),2)-N181)/O181),J181))"),"")</f>
        <v/>
      </c>
      <c r="Q181" s="264" t="str">
        <f>IFERROR(__xludf.DUMMYFUNCTION("IFERROR(IF(F181=""Crypto"",B181,(IF(ISBLANK(D181),"""",IF(D181=""Cash"",B181,IF(GOOGLEFINANCE(D181,""CURRENCY"")=""GBX"",""GBP"",GOOGLEFINANCE(D181,""CURRENCY"")))))),B181)"),"")</f>
        <v/>
      </c>
      <c r="R181" s="263" t="str">
        <f>IFERROR(__xludf.DUMMYFUNCTION("IF(ISBLANK(A181),"""",IFERROR(IF(OR(Q181=""GPB"",Q181=""ZAR""),IF(Q181=Dashboard!$L$1,K181,(K181*GOOGLEFINANCE(""CURRENCY:""&amp;Q181&amp;""""&amp;Dashboard!$L$1&amp;""""))/100),IF(Q181=Dashboard!$L$1,K181,K181*GOOGLEFINANCE(""CURRENCY:""&amp;Q181&amp;""""&amp;Dashboard!$L$1&amp;"""")))"&amp;",K181))"),"")</f>
        <v/>
      </c>
      <c r="S181" s="266" t="str">
        <f>IFERROR(__xludf.DUMMYFUNCTION("IF(ISBLANK(A181),"""",IFERROR(IF(OR(Q181=""GPB"",Q181=""ZAR""),IF(Q181=Dashboard!$L$1,M181,(M181*GOOGLEFINANCE(""CURRENCY:""&amp;Q181&amp;""""&amp;Dashboard!$L$1&amp;""""))/100),IF(Q181=Dashboard!$L$1,M181,M181*GOOGLEFINANCE(""CURRENCY:""&amp;Q181&amp;""""&amp;Dashboard!$L$1&amp;"""")))"&amp;",M181))"),"")</f>
        <v/>
      </c>
      <c r="T181" s="264" t="str">
        <f t="shared" si="4"/>
        <v/>
      </c>
      <c r="U181" s="264" t="str">
        <f t="shared" si="5"/>
        <v/>
      </c>
      <c r="V181" s="264" t="str">
        <f t="shared" si="6"/>
        <v/>
      </c>
      <c r="W181" s="267" t="str">
        <f t="shared" si="8"/>
        <v/>
      </c>
      <c r="X181" s="264" t="str">
        <f t="shared" si="7"/>
        <v/>
      </c>
    </row>
    <row r="182" ht="15.75" customHeight="1">
      <c r="A182" s="258"/>
      <c r="B182" s="258"/>
      <c r="C182" s="269"/>
      <c r="D182" s="258"/>
      <c r="E182" s="258"/>
      <c r="F182" s="258"/>
      <c r="G182" s="258"/>
      <c r="H182" s="271"/>
      <c r="I182" s="258"/>
      <c r="J182" s="272"/>
      <c r="K182" s="260"/>
      <c r="L182" s="261"/>
      <c r="M182" s="262" t="str">
        <f t="shared" si="1"/>
        <v/>
      </c>
      <c r="N182" s="263" t="str">
        <f t="shared" si="2"/>
        <v/>
      </c>
      <c r="O182" s="264" t="str">
        <f t="shared" si="3"/>
        <v/>
      </c>
      <c r="P182" s="265" t="str">
        <f>IFERROR(__xludf.DUMMYFUNCTION("IF(ISBLANK(A182),"""",IFERROR(IF(H182=""Sell"",VLOOKUP(9^99,FILTER({ROW(P$2:P181),P$2:P181},D$2:D181=D182),2),(VLOOKUP(9^99,FILTER({ROW(P$2:P181),P$2:P181},D$2:D181=D182),2)*VLOOKUP(9^99,FILTER({ROW(O$2:O181),O$2:O181},D$2:D181=D182),2)-N182)/O182),J182))"),"")</f>
        <v/>
      </c>
      <c r="Q182" s="264" t="str">
        <f>IFERROR(__xludf.DUMMYFUNCTION("IFERROR(IF(F182=""Crypto"",B182,(IF(ISBLANK(D182),"""",IF(D182=""Cash"",B182,IF(GOOGLEFINANCE(D182,""CURRENCY"")=""GBX"",""GBP"",GOOGLEFINANCE(D182,""CURRENCY"")))))),B182)"),"")</f>
        <v/>
      </c>
      <c r="R182" s="263" t="str">
        <f>IFERROR(__xludf.DUMMYFUNCTION("IF(ISBLANK(A182),"""",IFERROR(IF(OR(Q182=""GPB"",Q182=""ZAR""),IF(Q182=Dashboard!$L$1,K182,(K182*GOOGLEFINANCE(""CURRENCY:""&amp;Q182&amp;""""&amp;Dashboard!$L$1&amp;""""))/100),IF(Q182=Dashboard!$L$1,K182,K182*GOOGLEFINANCE(""CURRENCY:""&amp;Q182&amp;""""&amp;Dashboard!$L$1&amp;"""")))"&amp;",K182))"),"")</f>
        <v/>
      </c>
      <c r="S182" s="266" t="str">
        <f>IFERROR(__xludf.DUMMYFUNCTION("IF(ISBLANK(A182),"""",IFERROR(IF(OR(Q182=""GPB"",Q182=""ZAR""),IF(Q182=Dashboard!$L$1,M182,(M182*GOOGLEFINANCE(""CURRENCY:""&amp;Q182&amp;""""&amp;Dashboard!$L$1&amp;""""))/100),IF(Q182=Dashboard!$L$1,M182,M182*GOOGLEFINANCE(""CURRENCY:""&amp;Q182&amp;""""&amp;Dashboard!$L$1&amp;"""")))"&amp;",M182))"),"")</f>
        <v/>
      </c>
      <c r="T182" s="264" t="str">
        <f t="shared" si="4"/>
        <v/>
      </c>
      <c r="U182" s="264" t="str">
        <f t="shared" si="5"/>
        <v/>
      </c>
      <c r="V182" s="264" t="str">
        <f t="shared" si="6"/>
        <v/>
      </c>
      <c r="W182" s="267" t="str">
        <f t="shared" si="8"/>
        <v/>
      </c>
      <c r="X182" s="264" t="str">
        <f t="shared" si="7"/>
        <v/>
      </c>
    </row>
    <row r="183" ht="15.75" customHeight="1">
      <c r="A183" s="258"/>
      <c r="B183" s="258"/>
      <c r="C183" s="269"/>
      <c r="D183" s="258"/>
      <c r="E183" s="258"/>
      <c r="F183" s="258"/>
      <c r="G183" s="258"/>
      <c r="H183" s="271"/>
      <c r="I183" s="258"/>
      <c r="J183" s="272"/>
      <c r="K183" s="260"/>
      <c r="L183" s="261"/>
      <c r="M183" s="262" t="str">
        <f t="shared" si="1"/>
        <v/>
      </c>
      <c r="N183" s="263" t="str">
        <f t="shared" si="2"/>
        <v/>
      </c>
      <c r="O183" s="264" t="str">
        <f t="shared" si="3"/>
        <v/>
      </c>
      <c r="P183" s="265" t="str">
        <f>IFERROR(__xludf.DUMMYFUNCTION("IF(ISBLANK(A183),"""",IFERROR(IF(H183=""Sell"",VLOOKUP(9^99,FILTER({ROW(P$2:P182),P$2:P182},D$2:D182=D183),2),(VLOOKUP(9^99,FILTER({ROW(P$2:P182),P$2:P182},D$2:D182=D183),2)*VLOOKUP(9^99,FILTER({ROW(O$2:O182),O$2:O182},D$2:D182=D183),2)-N183)/O183),J183))"),"")</f>
        <v/>
      </c>
      <c r="Q183" s="264" t="str">
        <f>IFERROR(__xludf.DUMMYFUNCTION("IFERROR(IF(F183=""Crypto"",B183,(IF(ISBLANK(D183),"""",IF(D183=""Cash"",B183,IF(GOOGLEFINANCE(D183,""CURRENCY"")=""GBX"",""GBP"",GOOGLEFINANCE(D183,""CURRENCY"")))))),B183)"),"")</f>
        <v/>
      </c>
      <c r="R183" s="263" t="str">
        <f>IFERROR(__xludf.DUMMYFUNCTION("IF(ISBLANK(A183),"""",IFERROR(IF(OR(Q183=""GPB"",Q183=""ZAR""),IF(Q183=Dashboard!$L$1,K183,(K183*GOOGLEFINANCE(""CURRENCY:""&amp;Q183&amp;""""&amp;Dashboard!$L$1&amp;""""))/100),IF(Q183=Dashboard!$L$1,K183,K183*GOOGLEFINANCE(""CURRENCY:""&amp;Q183&amp;""""&amp;Dashboard!$L$1&amp;"""")))"&amp;",K183))"),"")</f>
        <v/>
      </c>
      <c r="S183" s="266" t="str">
        <f>IFERROR(__xludf.DUMMYFUNCTION("IF(ISBLANK(A183),"""",IFERROR(IF(OR(Q183=""GPB"",Q183=""ZAR""),IF(Q183=Dashboard!$L$1,M183,(M183*GOOGLEFINANCE(""CURRENCY:""&amp;Q183&amp;""""&amp;Dashboard!$L$1&amp;""""))/100),IF(Q183=Dashboard!$L$1,M183,M183*GOOGLEFINANCE(""CURRENCY:""&amp;Q183&amp;""""&amp;Dashboard!$L$1&amp;"""")))"&amp;",M183))"),"")</f>
        <v/>
      </c>
      <c r="T183" s="264" t="str">
        <f t="shared" si="4"/>
        <v/>
      </c>
      <c r="U183" s="264" t="str">
        <f t="shared" si="5"/>
        <v/>
      </c>
      <c r="V183" s="264" t="str">
        <f t="shared" si="6"/>
        <v/>
      </c>
      <c r="W183" s="267" t="str">
        <f t="shared" si="8"/>
        <v/>
      </c>
      <c r="X183" s="264" t="str">
        <f t="shared" si="7"/>
        <v/>
      </c>
    </row>
    <row r="184" ht="15.75" customHeight="1">
      <c r="A184" s="258"/>
      <c r="B184" s="258"/>
      <c r="C184" s="269"/>
      <c r="D184" s="258"/>
      <c r="E184" s="258"/>
      <c r="F184" s="258"/>
      <c r="G184" s="258"/>
      <c r="H184" s="271"/>
      <c r="I184" s="258"/>
      <c r="J184" s="272"/>
      <c r="K184" s="260"/>
      <c r="L184" s="261"/>
      <c r="M184" s="262" t="str">
        <f t="shared" si="1"/>
        <v/>
      </c>
      <c r="N184" s="263" t="str">
        <f t="shared" si="2"/>
        <v/>
      </c>
      <c r="O184" s="264" t="str">
        <f t="shared" si="3"/>
        <v/>
      </c>
      <c r="P184" s="265" t="str">
        <f>IFERROR(__xludf.DUMMYFUNCTION("IF(ISBLANK(A184),"""",IFERROR(IF(H184=""Sell"",VLOOKUP(9^99,FILTER({ROW(P$2:P183),P$2:P183},D$2:D183=D184),2),(VLOOKUP(9^99,FILTER({ROW(P$2:P183),P$2:P183},D$2:D183=D184),2)*VLOOKUP(9^99,FILTER({ROW(O$2:O183),O$2:O183},D$2:D183=D184),2)-N184)/O184),J184))"),"")</f>
        <v/>
      </c>
      <c r="Q184" s="264" t="str">
        <f>IFERROR(__xludf.DUMMYFUNCTION("IFERROR(IF(F184=""Crypto"",B184,(IF(ISBLANK(D184),"""",IF(D184=""Cash"",B184,IF(GOOGLEFINANCE(D184,""CURRENCY"")=""GBX"",""GBP"",GOOGLEFINANCE(D184,""CURRENCY"")))))),B184)"),"")</f>
        <v/>
      </c>
      <c r="R184" s="263" t="str">
        <f>IFERROR(__xludf.DUMMYFUNCTION("IF(ISBLANK(A184),"""",IFERROR(IF(OR(Q184=""GPB"",Q184=""ZAR""),IF(Q184=Dashboard!$L$1,K184,(K184*GOOGLEFINANCE(""CURRENCY:""&amp;Q184&amp;""""&amp;Dashboard!$L$1&amp;""""))/100),IF(Q184=Dashboard!$L$1,K184,K184*GOOGLEFINANCE(""CURRENCY:""&amp;Q184&amp;""""&amp;Dashboard!$L$1&amp;"""")))"&amp;",K184))"),"")</f>
        <v/>
      </c>
      <c r="S184" s="266" t="str">
        <f>IFERROR(__xludf.DUMMYFUNCTION("IF(ISBLANK(A184),"""",IFERROR(IF(OR(Q184=""GPB"",Q184=""ZAR""),IF(Q184=Dashboard!$L$1,M184,(M184*GOOGLEFINANCE(""CURRENCY:""&amp;Q184&amp;""""&amp;Dashboard!$L$1&amp;""""))/100),IF(Q184=Dashboard!$L$1,M184,M184*GOOGLEFINANCE(""CURRENCY:""&amp;Q184&amp;""""&amp;Dashboard!$L$1&amp;"""")))"&amp;",M184))"),"")</f>
        <v/>
      </c>
      <c r="T184" s="264" t="str">
        <f t="shared" si="4"/>
        <v/>
      </c>
      <c r="U184" s="264" t="str">
        <f t="shared" si="5"/>
        <v/>
      </c>
      <c r="V184" s="264" t="str">
        <f t="shared" si="6"/>
        <v/>
      </c>
      <c r="W184" s="267" t="str">
        <f t="shared" si="8"/>
        <v/>
      </c>
      <c r="X184" s="264" t="str">
        <f t="shared" si="7"/>
        <v/>
      </c>
    </row>
    <row r="185" ht="15.75" customHeight="1">
      <c r="A185" s="258"/>
      <c r="B185" s="258"/>
      <c r="C185" s="269"/>
      <c r="D185" s="258"/>
      <c r="E185" s="258"/>
      <c r="F185" s="258"/>
      <c r="G185" s="258"/>
      <c r="H185" s="271"/>
      <c r="I185" s="258"/>
      <c r="J185" s="272"/>
      <c r="K185" s="260"/>
      <c r="L185" s="261"/>
      <c r="M185" s="262" t="str">
        <f t="shared" si="1"/>
        <v/>
      </c>
      <c r="N185" s="263" t="str">
        <f t="shared" si="2"/>
        <v/>
      </c>
      <c r="O185" s="264" t="str">
        <f t="shared" si="3"/>
        <v/>
      </c>
      <c r="P185" s="265" t="str">
        <f>IFERROR(__xludf.DUMMYFUNCTION("IF(ISBLANK(A185),"""",IFERROR(IF(H185=""Sell"",VLOOKUP(9^99,FILTER({ROW(P$2:P184),P$2:P184},D$2:D184=D185),2),(VLOOKUP(9^99,FILTER({ROW(P$2:P184),P$2:P184},D$2:D184=D185),2)*VLOOKUP(9^99,FILTER({ROW(O$2:O184),O$2:O184},D$2:D184=D185),2)-N185)/O185),J185))"),"")</f>
        <v/>
      </c>
      <c r="Q185" s="264" t="str">
        <f>IFERROR(__xludf.DUMMYFUNCTION("IFERROR(IF(F185=""Crypto"",B185,(IF(ISBLANK(D185),"""",IF(D185=""Cash"",B185,IF(GOOGLEFINANCE(D185,""CURRENCY"")=""GBX"",""GBP"",GOOGLEFINANCE(D185,""CURRENCY"")))))),B185)"),"")</f>
        <v/>
      </c>
      <c r="R185" s="263" t="str">
        <f>IFERROR(__xludf.DUMMYFUNCTION("IF(ISBLANK(A185),"""",IFERROR(IF(OR(Q185=""GPB"",Q185=""ZAR""),IF(Q185=Dashboard!$L$1,K185,(K185*GOOGLEFINANCE(""CURRENCY:""&amp;Q185&amp;""""&amp;Dashboard!$L$1&amp;""""))/100),IF(Q185=Dashboard!$L$1,K185,K185*GOOGLEFINANCE(""CURRENCY:""&amp;Q185&amp;""""&amp;Dashboard!$L$1&amp;"""")))"&amp;",K185))"),"")</f>
        <v/>
      </c>
      <c r="S185" s="266" t="str">
        <f>IFERROR(__xludf.DUMMYFUNCTION("IF(ISBLANK(A185),"""",IFERROR(IF(OR(Q185=""GPB"",Q185=""ZAR""),IF(Q185=Dashboard!$L$1,M185,(M185*GOOGLEFINANCE(""CURRENCY:""&amp;Q185&amp;""""&amp;Dashboard!$L$1&amp;""""))/100),IF(Q185=Dashboard!$L$1,M185,M185*GOOGLEFINANCE(""CURRENCY:""&amp;Q185&amp;""""&amp;Dashboard!$L$1&amp;"""")))"&amp;",M185))"),"")</f>
        <v/>
      </c>
      <c r="T185" s="264" t="str">
        <f t="shared" si="4"/>
        <v/>
      </c>
      <c r="U185" s="264" t="str">
        <f t="shared" si="5"/>
        <v/>
      </c>
      <c r="V185" s="264" t="str">
        <f t="shared" si="6"/>
        <v/>
      </c>
      <c r="W185" s="267" t="str">
        <f t="shared" si="8"/>
        <v/>
      </c>
      <c r="X185" s="264" t="str">
        <f t="shared" si="7"/>
        <v/>
      </c>
    </row>
    <row r="186" ht="15.75" customHeight="1">
      <c r="A186" s="258"/>
      <c r="B186" s="258"/>
      <c r="C186" s="269"/>
      <c r="D186" s="258"/>
      <c r="E186" s="258"/>
      <c r="F186" s="258"/>
      <c r="G186" s="258"/>
      <c r="H186" s="271"/>
      <c r="I186" s="258"/>
      <c r="J186" s="272"/>
      <c r="K186" s="260"/>
      <c r="L186" s="261"/>
      <c r="M186" s="262" t="str">
        <f t="shared" si="1"/>
        <v/>
      </c>
      <c r="N186" s="263" t="str">
        <f t="shared" si="2"/>
        <v/>
      </c>
      <c r="O186" s="264" t="str">
        <f t="shared" si="3"/>
        <v/>
      </c>
      <c r="P186" s="265" t="str">
        <f>IFERROR(__xludf.DUMMYFUNCTION("IF(ISBLANK(A186),"""",IFERROR(IF(H186=""Sell"",VLOOKUP(9^99,FILTER({ROW(P$2:P185),P$2:P185},D$2:D185=D186),2),(VLOOKUP(9^99,FILTER({ROW(P$2:P185),P$2:P185},D$2:D185=D186),2)*VLOOKUP(9^99,FILTER({ROW(O$2:O185),O$2:O185},D$2:D185=D186),2)-N186)/O186),J186))"),"")</f>
        <v/>
      </c>
      <c r="Q186" s="264" t="str">
        <f>IFERROR(__xludf.DUMMYFUNCTION("IFERROR(IF(F186=""Crypto"",B186,(IF(ISBLANK(D186),"""",IF(D186=""Cash"",B186,IF(GOOGLEFINANCE(D186,""CURRENCY"")=""GBX"",""GBP"",GOOGLEFINANCE(D186,""CURRENCY"")))))),B186)"),"")</f>
        <v/>
      </c>
      <c r="R186" s="263" t="str">
        <f>IFERROR(__xludf.DUMMYFUNCTION("IF(ISBLANK(A186),"""",IFERROR(IF(OR(Q186=""GPB"",Q186=""ZAR""),IF(Q186=Dashboard!$L$1,K186,(K186*GOOGLEFINANCE(""CURRENCY:""&amp;Q186&amp;""""&amp;Dashboard!$L$1&amp;""""))/100),IF(Q186=Dashboard!$L$1,K186,K186*GOOGLEFINANCE(""CURRENCY:""&amp;Q186&amp;""""&amp;Dashboard!$L$1&amp;"""")))"&amp;",K186))"),"")</f>
        <v/>
      </c>
      <c r="S186" s="266" t="str">
        <f>IFERROR(__xludf.DUMMYFUNCTION("IF(ISBLANK(A186),"""",IFERROR(IF(OR(Q186=""GPB"",Q186=""ZAR""),IF(Q186=Dashboard!$L$1,M186,(M186*GOOGLEFINANCE(""CURRENCY:""&amp;Q186&amp;""""&amp;Dashboard!$L$1&amp;""""))/100),IF(Q186=Dashboard!$L$1,M186,M186*GOOGLEFINANCE(""CURRENCY:""&amp;Q186&amp;""""&amp;Dashboard!$L$1&amp;"""")))"&amp;",M186))"),"")</f>
        <v/>
      </c>
      <c r="T186" s="264" t="str">
        <f t="shared" si="4"/>
        <v/>
      </c>
      <c r="U186" s="264" t="str">
        <f t="shared" si="5"/>
        <v/>
      </c>
      <c r="V186" s="264" t="str">
        <f t="shared" si="6"/>
        <v/>
      </c>
      <c r="W186" s="267" t="str">
        <f t="shared" si="8"/>
        <v/>
      </c>
      <c r="X186" s="264" t="str">
        <f t="shared" si="7"/>
        <v/>
      </c>
    </row>
    <row r="187" ht="15.75" customHeight="1">
      <c r="A187" s="258"/>
      <c r="B187" s="258"/>
      <c r="C187" s="269"/>
      <c r="D187" s="258"/>
      <c r="E187" s="258"/>
      <c r="F187" s="258"/>
      <c r="G187" s="258"/>
      <c r="H187" s="271"/>
      <c r="I187" s="258"/>
      <c r="J187" s="272"/>
      <c r="K187" s="260"/>
      <c r="L187" s="261"/>
      <c r="M187" s="262" t="str">
        <f t="shared" si="1"/>
        <v/>
      </c>
      <c r="N187" s="263" t="str">
        <f t="shared" si="2"/>
        <v/>
      </c>
      <c r="O187" s="264" t="str">
        <f t="shared" si="3"/>
        <v/>
      </c>
      <c r="P187" s="265" t="str">
        <f>IFERROR(__xludf.DUMMYFUNCTION("IF(ISBLANK(A187),"""",IFERROR(IF(H187=""Sell"",VLOOKUP(9^99,FILTER({ROW(P$2:P186),P$2:P186},D$2:D186=D187),2),(VLOOKUP(9^99,FILTER({ROW(P$2:P186),P$2:P186},D$2:D186=D187),2)*VLOOKUP(9^99,FILTER({ROW(O$2:O186),O$2:O186},D$2:D186=D187),2)-N187)/O187),J187))"),"")</f>
        <v/>
      </c>
      <c r="Q187" s="264" t="str">
        <f>IFERROR(__xludf.DUMMYFUNCTION("IFERROR(IF(F187=""Crypto"",B187,(IF(ISBLANK(D187),"""",IF(D187=""Cash"",B187,IF(GOOGLEFINANCE(D187,""CURRENCY"")=""GBX"",""GBP"",GOOGLEFINANCE(D187,""CURRENCY"")))))),B187)"),"")</f>
        <v/>
      </c>
      <c r="R187" s="263" t="str">
        <f>IFERROR(__xludf.DUMMYFUNCTION("IF(ISBLANK(A187),"""",IFERROR(IF(OR(Q187=""GPB"",Q187=""ZAR""),IF(Q187=Dashboard!$L$1,K187,(K187*GOOGLEFINANCE(""CURRENCY:""&amp;Q187&amp;""""&amp;Dashboard!$L$1&amp;""""))/100),IF(Q187=Dashboard!$L$1,K187,K187*GOOGLEFINANCE(""CURRENCY:""&amp;Q187&amp;""""&amp;Dashboard!$L$1&amp;"""")))"&amp;",K187))"),"")</f>
        <v/>
      </c>
      <c r="S187" s="266" t="str">
        <f>IFERROR(__xludf.DUMMYFUNCTION("IF(ISBLANK(A187),"""",IFERROR(IF(OR(Q187=""GPB"",Q187=""ZAR""),IF(Q187=Dashboard!$L$1,M187,(M187*GOOGLEFINANCE(""CURRENCY:""&amp;Q187&amp;""""&amp;Dashboard!$L$1&amp;""""))/100),IF(Q187=Dashboard!$L$1,M187,M187*GOOGLEFINANCE(""CURRENCY:""&amp;Q187&amp;""""&amp;Dashboard!$L$1&amp;"""")))"&amp;",M187))"),"")</f>
        <v/>
      </c>
      <c r="T187" s="264" t="str">
        <f t="shared" si="4"/>
        <v/>
      </c>
      <c r="U187" s="264" t="str">
        <f t="shared" si="5"/>
        <v/>
      </c>
      <c r="V187" s="264" t="str">
        <f t="shared" si="6"/>
        <v/>
      </c>
      <c r="W187" s="267" t="str">
        <f t="shared" si="8"/>
        <v/>
      </c>
      <c r="X187" s="264" t="str">
        <f t="shared" si="7"/>
        <v/>
      </c>
    </row>
    <row r="188" ht="15.75" customHeight="1">
      <c r="A188" s="258"/>
      <c r="B188" s="258"/>
      <c r="C188" s="269"/>
      <c r="D188" s="258"/>
      <c r="E188" s="258"/>
      <c r="F188" s="258"/>
      <c r="G188" s="258"/>
      <c r="H188" s="271"/>
      <c r="I188" s="258"/>
      <c r="J188" s="272"/>
      <c r="K188" s="260"/>
      <c r="L188" s="261"/>
      <c r="M188" s="262" t="str">
        <f t="shared" si="1"/>
        <v/>
      </c>
      <c r="N188" s="263" t="str">
        <f t="shared" si="2"/>
        <v/>
      </c>
      <c r="O188" s="264" t="str">
        <f t="shared" si="3"/>
        <v/>
      </c>
      <c r="P188" s="265" t="str">
        <f>IFERROR(__xludf.DUMMYFUNCTION("IF(ISBLANK(A188),"""",IFERROR(IF(H188=""Sell"",VLOOKUP(9^99,FILTER({ROW(P$2:P187),P$2:P187},D$2:D187=D188),2),(VLOOKUP(9^99,FILTER({ROW(P$2:P187),P$2:P187},D$2:D187=D188),2)*VLOOKUP(9^99,FILTER({ROW(O$2:O187),O$2:O187},D$2:D187=D188),2)-N188)/O188),J188))"),"")</f>
        <v/>
      </c>
      <c r="Q188" s="264" t="str">
        <f>IFERROR(__xludf.DUMMYFUNCTION("IFERROR(IF(F188=""Crypto"",B188,(IF(ISBLANK(D188),"""",IF(D188=""Cash"",B188,IF(GOOGLEFINANCE(D188,""CURRENCY"")=""GBX"",""GBP"",GOOGLEFINANCE(D188,""CURRENCY"")))))),B188)"),"")</f>
        <v/>
      </c>
      <c r="R188" s="263" t="str">
        <f>IFERROR(__xludf.DUMMYFUNCTION("IF(ISBLANK(A188),"""",IFERROR(IF(OR(Q188=""GPB"",Q188=""ZAR""),IF(Q188=Dashboard!$L$1,K188,(K188*GOOGLEFINANCE(""CURRENCY:""&amp;Q188&amp;""""&amp;Dashboard!$L$1&amp;""""))/100),IF(Q188=Dashboard!$L$1,K188,K188*GOOGLEFINANCE(""CURRENCY:""&amp;Q188&amp;""""&amp;Dashboard!$L$1&amp;"""")))"&amp;",K188))"),"")</f>
        <v/>
      </c>
      <c r="S188" s="266" t="str">
        <f>IFERROR(__xludf.DUMMYFUNCTION("IF(ISBLANK(A188),"""",IFERROR(IF(OR(Q188=""GPB"",Q188=""ZAR""),IF(Q188=Dashboard!$L$1,M188,(M188*GOOGLEFINANCE(""CURRENCY:""&amp;Q188&amp;""""&amp;Dashboard!$L$1&amp;""""))/100),IF(Q188=Dashboard!$L$1,M188,M188*GOOGLEFINANCE(""CURRENCY:""&amp;Q188&amp;""""&amp;Dashboard!$L$1&amp;"""")))"&amp;",M188))"),"")</f>
        <v/>
      </c>
      <c r="T188" s="264" t="str">
        <f t="shared" si="4"/>
        <v/>
      </c>
      <c r="U188" s="264" t="str">
        <f t="shared" si="5"/>
        <v/>
      </c>
      <c r="V188" s="264" t="str">
        <f t="shared" si="6"/>
        <v/>
      </c>
      <c r="W188" s="267" t="str">
        <f t="shared" si="8"/>
        <v/>
      </c>
      <c r="X188" s="264" t="str">
        <f t="shared" si="7"/>
        <v/>
      </c>
    </row>
    <row r="189" ht="15.75" customHeight="1">
      <c r="A189" s="258"/>
      <c r="B189" s="258"/>
      <c r="C189" s="269"/>
      <c r="D189" s="258"/>
      <c r="E189" s="258"/>
      <c r="F189" s="258"/>
      <c r="G189" s="258"/>
      <c r="H189" s="271"/>
      <c r="I189" s="258"/>
      <c r="J189" s="272"/>
      <c r="K189" s="260"/>
      <c r="L189" s="261"/>
      <c r="M189" s="262" t="str">
        <f t="shared" si="1"/>
        <v/>
      </c>
      <c r="N189" s="263" t="str">
        <f t="shared" si="2"/>
        <v/>
      </c>
      <c r="O189" s="264" t="str">
        <f t="shared" si="3"/>
        <v/>
      </c>
      <c r="P189" s="265" t="str">
        <f>IFERROR(__xludf.DUMMYFUNCTION("IF(ISBLANK(A189),"""",IFERROR(IF(H189=""Sell"",VLOOKUP(9^99,FILTER({ROW(P$2:P188),P$2:P188},D$2:D188=D189),2),(VLOOKUP(9^99,FILTER({ROW(P$2:P188),P$2:P188},D$2:D188=D189),2)*VLOOKUP(9^99,FILTER({ROW(O$2:O188),O$2:O188},D$2:D188=D189),2)-N189)/O189),J189))"),"")</f>
        <v/>
      </c>
      <c r="Q189" s="264" t="str">
        <f>IFERROR(__xludf.DUMMYFUNCTION("IFERROR(IF(F189=""Crypto"",B189,(IF(ISBLANK(D189),"""",IF(D189=""Cash"",B189,IF(GOOGLEFINANCE(D189,""CURRENCY"")=""GBX"",""GBP"",GOOGLEFINANCE(D189,""CURRENCY"")))))),B189)"),"")</f>
        <v/>
      </c>
      <c r="R189" s="263" t="str">
        <f>IFERROR(__xludf.DUMMYFUNCTION("IF(ISBLANK(A189),"""",IFERROR(IF(OR(Q189=""GPB"",Q189=""ZAR""),IF(Q189=Dashboard!$L$1,K189,(K189*GOOGLEFINANCE(""CURRENCY:""&amp;Q189&amp;""""&amp;Dashboard!$L$1&amp;""""))/100),IF(Q189=Dashboard!$L$1,K189,K189*GOOGLEFINANCE(""CURRENCY:""&amp;Q189&amp;""""&amp;Dashboard!$L$1&amp;"""")))"&amp;",K189))"),"")</f>
        <v/>
      </c>
      <c r="S189" s="266" t="str">
        <f>IFERROR(__xludf.DUMMYFUNCTION("IF(ISBLANK(A189),"""",IFERROR(IF(OR(Q189=""GPB"",Q189=""ZAR""),IF(Q189=Dashboard!$L$1,M189,(M189*GOOGLEFINANCE(""CURRENCY:""&amp;Q189&amp;""""&amp;Dashboard!$L$1&amp;""""))/100),IF(Q189=Dashboard!$L$1,M189,M189*GOOGLEFINANCE(""CURRENCY:""&amp;Q189&amp;""""&amp;Dashboard!$L$1&amp;"""")))"&amp;",M189))"),"")</f>
        <v/>
      </c>
      <c r="T189" s="264" t="str">
        <f t="shared" si="4"/>
        <v/>
      </c>
      <c r="U189" s="264" t="str">
        <f t="shared" si="5"/>
        <v/>
      </c>
      <c r="V189" s="264" t="str">
        <f t="shared" si="6"/>
        <v/>
      </c>
      <c r="W189" s="267" t="str">
        <f t="shared" si="8"/>
        <v/>
      </c>
      <c r="X189" s="264" t="str">
        <f t="shared" si="7"/>
        <v/>
      </c>
    </row>
    <row r="190" ht="15.75" customHeight="1">
      <c r="A190" s="258"/>
      <c r="B190" s="258"/>
      <c r="C190" s="269"/>
      <c r="D190" s="258"/>
      <c r="E190" s="258"/>
      <c r="F190" s="258"/>
      <c r="G190" s="258"/>
      <c r="H190" s="271"/>
      <c r="I190" s="258"/>
      <c r="J190" s="272"/>
      <c r="K190" s="260"/>
      <c r="L190" s="261"/>
      <c r="M190" s="262" t="str">
        <f t="shared" si="1"/>
        <v/>
      </c>
      <c r="N190" s="263" t="str">
        <f t="shared" si="2"/>
        <v/>
      </c>
      <c r="O190" s="264" t="str">
        <f t="shared" si="3"/>
        <v/>
      </c>
      <c r="P190" s="265" t="str">
        <f>IFERROR(__xludf.DUMMYFUNCTION("IF(ISBLANK(A190),"""",IFERROR(IF(H190=""Sell"",VLOOKUP(9^99,FILTER({ROW(P$2:P189),P$2:P189},D$2:D189=D190),2),(VLOOKUP(9^99,FILTER({ROW(P$2:P189),P$2:P189},D$2:D189=D190),2)*VLOOKUP(9^99,FILTER({ROW(O$2:O189),O$2:O189},D$2:D189=D190),2)-N190)/O190),J190))"),"")</f>
        <v/>
      </c>
      <c r="Q190" s="264" t="str">
        <f>IFERROR(__xludf.DUMMYFUNCTION("IFERROR(IF(F190=""Crypto"",B190,(IF(ISBLANK(D190),"""",IF(D190=""Cash"",B190,IF(GOOGLEFINANCE(D190,""CURRENCY"")=""GBX"",""GBP"",GOOGLEFINANCE(D190,""CURRENCY"")))))),B190)"),"")</f>
        <v/>
      </c>
      <c r="R190" s="263" t="str">
        <f>IFERROR(__xludf.DUMMYFUNCTION("IF(ISBLANK(A190),"""",IFERROR(IF(OR(Q190=""GPB"",Q190=""ZAR""),IF(Q190=Dashboard!$L$1,K190,(K190*GOOGLEFINANCE(""CURRENCY:""&amp;Q190&amp;""""&amp;Dashboard!$L$1&amp;""""))/100),IF(Q190=Dashboard!$L$1,K190,K190*GOOGLEFINANCE(""CURRENCY:""&amp;Q190&amp;""""&amp;Dashboard!$L$1&amp;"""")))"&amp;",K190))"),"")</f>
        <v/>
      </c>
      <c r="S190" s="266" t="str">
        <f>IFERROR(__xludf.DUMMYFUNCTION("IF(ISBLANK(A190),"""",IFERROR(IF(OR(Q190=""GPB"",Q190=""ZAR""),IF(Q190=Dashboard!$L$1,M190,(M190*GOOGLEFINANCE(""CURRENCY:""&amp;Q190&amp;""""&amp;Dashboard!$L$1&amp;""""))/100),IF(Q190=Dashboard!$L$1,M190,M190*GOOGLEFINANCE(""CURRENCY:""&amp;Q190&amp;""""&amp;Dashboard!$L$1&amp;"""")))"&amp;",M190))"),"")</f>
        <v/>
      </c>
      <c r="T190" s="264" t="str">
        <f t="shared" si="4"/>
        <v/>
      </c>
      <c r="U190" s="264" t="str">
        <f t="shared" si="5"/>
        <v/>
      </c>
      <c r="V190" s="264" t="str">
        <f t="shared" si="6"/>
        <v/>
      </c>
      <c r="W190" s="267" t="str">
        <f t="shared" si="8"/>
        <v/>
      </c>
      <c r="X190" s="264" t="str">
        <f t="shared" si="7"/>
        <v/>
      </c>
    </row>
    <row r="191" ht="15.75" customHeight="1">
      <c r="A191" s="258"/>
      <c r="B191" s="258"/>
      <c r="C191" s="269"/>
      <c r="D191" s="258"/>
      <c r="E191" s="258"/>
      <c r="F191" s="258"/>
      <c r="G191" s="258"/>
      <c r="H191" s="271"/>
      <c r="I191" s="258"/>
      <c r="J191" s="272"/>
      <c r="K191" s="260"/>
      <c r="L191" s="261"/>
      <c r="M191" s="262" t="str">
        <f t="shared" si="1"/>
        <v/>
      </c>
      <c r="N191" s="263" t="str">
        <f t="shared" si="2"/>
        <v/>
      </c>
      <c r="O191" s="264" t="str">
        <f t="shared" si="3"/>
        <v/>
      </c>
      <c r="P191" s="265" t="str">
        <f>IFERROR(__xludf.DUMMYFUNCTION("IF(ISBLANK(A191),"""",IFERROR(IF(H191=""Sell"",VLOOKUP(9^99,FILTER({ROW(P$2:P190),P$2:P190},D$2:D190=D191),2),(VLOOKUP(9^99,FILTER({ROW(P$2:P190),P$2:P190},D$2:D190=D191),2)*VLOOKUP(9^99,FILTER({ROW(O$2:O190),O$2:O190},D$2:D190=D191),2)-N191)/O191),J191))"),"")</f>
        <v/>
      </c>
      <c r="Q191" s="264" t="str">
        <f>IFERROR(__xludf.DUMMYFUNCTION("IFERROR(IF(F191=""Crypto"",B191,(IF(ISBLANK(D191),"""",IF(D191=""Cash"",B191,IF(GOOGLEFINANCE(D191,""CURRENCY"")=""GBX"",""GBP"",GOOGLEFINANCE(D191,""CURRENCY"")))))),B191)"),"")</f>
        <v/>
      </c>
      <c r="R191" s="263" t="str">
        <f>IFERROR(__xludf.DUMMYFUNCTION("IF(ISBLANK(A191),"""",IFERROR(IF(OR(Q191=""GPB"",Q191=""ZAR""),IF(Q191=Dashboard!$L$1,K191,(K191*GOOGLEFINANCE(""CURRENCY:""&amp;Q191&amp;""""&amp;Dashboard!$L$1&amp;""""))/100),IF(Q191=Dashboard!$L$1,K191,K191*GOOGLEFINANCE(""CURRENCY:""&amp;Q191&amp;""""&amp;Dashboard!$L$1&amp;"""")))"&amp;",K191))"),"")</f>
        <v/>
      </c>
      <c r="S191" s="266" t="str">
        <f>IFERROR(__xludf.DUMMYFUNCTION("IF(ISBLANK(A191),"""",IFERROR(IF(OR(Q191=""GPB"",Q191=""ZAR""),IF(Q191=Dashboard!$L$1,M191,(M191*GOOGLEFINANCE(""CURRENCY:""&amp;Q191&amp;""""&amp;Dashboard!$L$1&amp;""""))/100),IF(Q191=Dashboard!$L$1,M191,M191*GOOGLEFINANCE(""CURRENCY:""&amp;Q191&amp;""""&amp;Dashboard!$L$1&amp;"""")))"&amp;",M191))"),"")</f>
        <v/>
      </c>
      <c r="T191" s="264" t="str">
        <f t="shared" si="4"/>
        <v/>
      </c>
      <c r="U191" s="264" t="str">
        <f t="shared" si="5"/>
        <v/>
      </c>
      <c r="V191" s="264" t="str">
        <f t="shared" si="6"/>
        <v/>
      </c>
      <c r="W191" s="267" t="str">
        <f t="shared" si="8"/>
        <v/>
      </c>
      <c r="X191" s="264" t="str">
        <f t="shared" si="7"/>
        <v/>
      </c>
    </row>
    <row r="192" ht="15.75" customHeight="1">
      <c r="A192" s="258"/>
      <c r="B192" s="258"/>
      <c r="C192" s="269"/>
      <c r="D192" s="258"/>
      <c r="E192" s="258"/>
      <c r="F192" s="258"/>
      <c r="G192" s="258"/>
      <c r="H192" s="271"/>
      <c r="I192" s="258"/>
      <c r="J192" s="272"/>
      <c r="K192" s="260"/>
      <c r="L192" s="261"/>
      <c r="M192" s="262" t="str">
        <f t="shared" si="1"/>
        <v/>
      </c>
      <c r="N192" s="263" t="str">
        <f t="shared" si="2"/>
        <v/>
      </c>
      <c r="O192" s="264" t="str">
        <f t="shared" si="3"/>
        <v/>
      </c>
      <c r="P192" s="265" t="str">
        <f>IFERROR(__xludf.DUMMYFUNCTION("IF(ISBLANK(A192),"""",IFERROR(IF(H192=""Sell"",VLOOKUP(9^99,FILTER({ROW(P$2:P191),P$2:P191},D$2:D191=D192),2),(VLOOKUP(9^99,FILTER({ROW(P$2:P191),P$2:P191},D$2:D191=D192),2)*VLOOKUP(9^99,FILTER({ROW(O$2:O191),O$2:O191},D$2:D191=D192),2)-N192)/O192),J192))"),"")</f>
        <v/>
      </c>
      <c r="Q192" s="264" t="str">
        <f>IFERROR(__xludf.DUMMYFUNCTION("IFERROR(IF(F192=""Crypto"",B192,(IF(ISBLANK(D192),"""",IF(D192=""Cash"",B192,IF(GOOGLEFINANCE(D192,""CURRENCY"")=""GBX"",""GBP"",GOOGLEFINANCE(D192,""CURRENCY"")))))),B192)"),"")</f>
        <v/>
      </c>
      <c r="R192" s="263" t="str">
        <f>IFERROR(__xludf.DUMMYFUNCTION("IF(ISBLANK(A192),"""",IFERROR(IF(OR(Q192=""GPB"",Q192=""ZAR""),IF(Q192=Dashboard!$L$1,K192,(K192*GOOGLEFINANCE(""CURRENCY:""&amp;Q192&amp;""""&amp;Dashboard!$L$1&amp;""""))/100),IF(Q192=Dashboard!$L$1,K192,K192*GOOGLEFINANCE(""CURRENCY:""&amp;Q192&amp;""""&amp;Dashboard!$L$1&amp;"""")))"&amp;",K192))"),"")</f>
        <v/>
      </c>
      <c r="S192" s="266" t="str">
        <f>IFERROR(__xludf.DUMMYFUNCTION("IF(ISBLANK(A192),"""",IFERROR(IF(OR(Q192=""GPB"",Q192=""ZAR""),IF(Q192=Dashboard!$L$1,M192,(M192*GOOGLEFINANCE(""CURRENCY:""&amp;Q192&amp;""""&amp;Dashboard!$L$1&amp;""""))/100),IF(Q192=Dashboard!$L$1,M192,M192*GOOGLEFINANCE(""CURRENCY:""&amp;Q192&amp;""""&amp;Dashboard!$L$1&amp;"""")))"&amp;",M192))"),"")</f>
        <v/>
      </c>
      <c r="T192" s="264" t="str">
        <f t="shared" si="4"/>
        <v/>
      </c>
      <c r="U192" s="264" t="str">
        <f t="shared" si="5"/>
        <v/>
      </c>
      <c r="V192" s="264" t="str">
        <f t="shared" si="6"/>
        <v/>
      </c>
      <c r="W192" s="267" t="str">
        <f t="shared" si="8"/>
        <v/>
      </c>
      <c r="X192" s="264" t="str">
        <f t="shared" si="7"/>
        <v/>
      </c>
    </row>
    <row r="193" ht="15.75" customHeight="1">
      <c r="A193" s="258"/>
      <c r="B193" s="258"/>
      <c r="C193" s="269"/>
      <c r="D193" s="258"/>
      <c r="E193" s="258"/>
      <c r="F193" s="258"/>
      <c r="G193" s="258"/>
      <c r="H193" s="271"/>
      <c r="I193" s="258"/>
      <c r="J193" s="272"/>
      <c r="K193" s="260"/>
      <c r="L193" s="261"/>
      <c r="M193" s="262" t="str">
        <f t="shared" si="1"/>
        <v/>
      </c>
      <c r="N193" s="263" t="str">
        <f t="shared" si="2"/>
        <v/>
      </c>
      <c r="O193" s="264" t="str">
        <f t="shared" si="3"/>
        <v/>
      </c>
      <c r="P193" s="265" t="str">
        <f>IFERROR(__xludf.DUMMYFUNCTION("IF(ISBLANK(A193),"""",IFERROR(IF(H193=""Sell"",VLOOKUP(9^99,FILTER({ROW(P$2:P192),P$2:P192},D$2:D192=D193),2),(VLOOKUP(9^99,FILTER({ROW(P$2:P192),P$2:P192},D$2:D192=D193),2)*VLOOKUP(9^99,FILTER({ROW(O$2:O192),O$2:O192},D$2:D192=D193),2)-N193)/O193),J193))"),"")</f>
        <v/>
      </c>
      <c r="Q193" s="264" t="str">
        <f>IFERROR(__xludf.DUMMYFUNCTION("IFERROR(IF(F193=""Crypto"",B193,(IF(ISBLANK(D193),"""",IF(D193=""Cash"",B193,IF(GOOGLEFINANCE(D193,""CURRENCY"")=""GBX"",""GBP"",GOOGLEFINANCE(D193,""CURRENCY"")))))),B193)"),"")</f>
        <v/>
      </c>
      <c r="R193" s="263" t="str">
        <f>IFERROR(__xludf.DUMMYFUNCTION("IF(ISBLANK(A193),"""",IFERROR(IF(OR(Q193=""GPB"",Q193=""ZAR""),IF(Q193=Dashboard!$L$1,K193,(K193*GOOGLEFINANCE(""CURRENCY:""&amp;Q193&amp;""""&amp;Dashboard!$L$1&amp;""""))/100),IF(Q193=Dashboard!$L$1,K193,K193*GOOGLEFINANCE(""CURRENCY:""&amp;Q193&amp;""""&amp;Dashboard!$L$1&amp;"""")))"&amp;",K193))"),"")</f>
        <v/>
      </c>
      <c r="S193" s="266" t="str">
        <f>IFERROR(__xludf.DUMMYFUNCTION("IF(ISBLANK(A193),"""",IFERROR(IF(OR(Q193=""GPB"",Q193=""ZAR""),IF(Q193=Dashboard!$L$1,M193,(M193*GOOGLEFINANCE(""CURRENCY:""&amp;Q193&amp;""""&amp;Dashboard!$L$1&amp;""""))/100),IF(Q193=Dashboard!$L$1,M193,M193*GOOGLEFINANCE(""CURRENCY:""&amp;Q193&amp;""""&amp;Dashboard!$L$1&amp;"""")))"&amp;",M193))"),"")</f>
        <v/>
      </c>
      <c r="T193" s="264" t="str">
        <f t="shared" si="4"/>
        <v/>
      </c>
      <c r="U193" s="264" t="str">
        <f t="shared" si="5"/>
        <v/>
      </c>
      <c r="V193" s="264" t="str">
        <f t="shared" si="6"/>
        <v/>
      </c>
      <c r="W193" s="267" t="str">
        <f t="shared" si="8"/>
        <v/>
      </c>
      <c r="X193" s="264" t="str">
        <f t="shared" si="7"/>
        <v/>
      </c>
    </row>
    <row r="194" ht="15.75" customHeight="1">
      <c r="A194" s="258"/>
      <c r="B194" s="258"/>
      <c r="C194" s="269"/>
      <c r="D194" s="258"/>
      <c r="E194" s="258"/>
      <c r="F194" s="258"/>
      <c r="G194" s="258"/>
      <c r="H194" s="271"/>
      <c r="I194" s="258"/>
      <c r="J194" s="272"/>
      <c r="K194" s="260"/>
      <c r="L194" s="261"/>
      <c r="M194" s="262" t="str">
        <f t="shared" si="1"/>
        <v/>
      </c>
      <c r="N194" s="263" t="str">
        <f t="shared" si="2"/>
        <v/>
      </c>
      <c r="O194" s="264" t="str">
        <f t="shared" si="3"/>
        <v/>
      </c>
      <c r="P194" s="265" t="str">
        <f>IFERROR(__xludf.DUMMYFUNCTION("IF(ISBLANK(A194),"""",IFERROR(IF(H194=""Sell"",VLOOKUP(9^99,FILTER({ROW(P$2:P193),P$2:P193},D$2:D193=D194),2),(VLOOKUP(9^99,FILTER({ROW(P$2:P193),P$2:P193},D$2:D193=D194),2)*VLOOKUP(9^99,FILTER({ROW(O$2:O193),O$2:O193},D$2:D193=D194),2)-N194)/O194),J194))"),"")</f>
        <v/>
      </c>
      <c r="Q194" s="264" t="str">
        <f>IFERROR(__xludf.DUMMYFUNCTION("IFERROR(IF(F194=""Crypto"",B194,(IF(ISBLANK(D194),"""",IF(D194=""Cash"",B194,IF(GOOGLEFINANCE(D194,""CURRENCY"")=""GBX"",""GBP"",GOOGLEFINANCE(D194,""CURRENCY"")))))),B194)"),"")</f>
        <v/>
      </c>
      <c r="R194" s="263" t="str">
        <f>IFERROR(__xludf.DUMMYFUNCTION("IF(ISBLANK(A194),"""",IFERROR(IF(OR(Q194=""GPB"",Q194=""ZAR""),IF(Q194=Dashboard!$L$1,K194,(K194*GOOGLEFINANCE(""CURRENCY:""&amp;Q194&amp;""""&amp;Dashboard!$L$1&amp;""""))/100),IF(Q194=Dashboard!$L$1,K194,K194*GOOGLEFINANCE(""CURRENCY:""&amp;Q194&amp;""""&amp;Dashboard!$L$1&amp;"""")))"&amp;",K194))"),"")</f>
        <v/>
      </c>
      <c r="S194" s="266" t="str">
        <f>IFERROR(__xludf.DUMMYFUNCTION("IF(ISBLANK(A194),"""",IFERROR(IF(OR(Q194=""GPB"",Q194=""ZAR""),IF(Q194=Dashboard!$L$1,M194,(M194*GOOGLEFINANCE(""CURRENCY:""&amp;Q194&amp;""""&amp;Dashboard!$L$1&amp;""""))/100),IF(Q194=Dashboard!$L$1,M194,M194*GOOGLEFINANCE(""CURRENCY:""&amp;Q194&amp;""""&amp;Dashboard!$L$1&amp;"""")))"&amp;",M194))"),"")</f>
        <v/>
      </c>
      <c r="T194" s="264" t="str">
        <f t="shared" si="4"/>
        <v/>
      </c>
      <c r="U194" s="264" t="str">
        <f t="shared" si="5"/>
        <v/>
      </c>
      <c r="V194" s="264" t="str">
        <f t="shared" si="6"/>
        <v/>
      </c>
      <c r="W194" s="267" t="str">
        <f t="shared" si="8"/>
        <v/>
      </c>
      <c r="X194" s="264" t="str">
        <f t="shared" si="7"/>
        <v/>
      </c>
    </row>
    <row r="195" ht="15.75" customHeight="1">
      <c r="A195" s="258"/>
      <c r="B195" s="258"/>
      <c r="C195" s="269"/>
      <c r="D195" s="258"/>
      <c r="E195" s="258"/>
      <c r="F195" s="258"/>
      <c r="G195" s="258"/>
      <c r="H195" s="271"/>
      <c r="I195" s="258"/>
      <c r="J195" s="272"/>
      <c r="K195" s="260"/>
      <c r="L195" s="261"/>
      <c r="M195" s="262" t="str">
        <f t="shared" si="1"/>
        <v/>
      </c>
      <c r="N195" s="263" t="str">
        <f t="shared" si="2"/>
        <v/>
      </c>
      <c r="O195" s="264" t="str">
        <f t="shared" si="3"/>
        <v/>
      </c>
      <c r="P195" s="265" t="str">
        <f>IFERROR(__xludf.DUMMYFUNCTION("IF(ISBLANK(A195),"""",IFERROR(IF(H195=""Sell"",VLOOKUP(9^99,FILTER({ROW(P$2:P194),P$2:P194},D$2:D194=D195),2),(VLOOKUP(9^99,FILTER({ROW(P$2:P194),P$2:P194},D$2:D194=D195),2)*VLOOKUP(9^99,FILTER({ROW(O$2:O194),O$2:O194},D$2:D194=D195),2)-N195)/O195),J195))"),"")</f>
        <v/>
      </c>
      <c r="Q195" s="264" t="str">
        <f>IFERROR(__xludf.DUMMYFUNCTION("IFERROR(IF(F195=""Crypto"",B195,(IF(ISBLANK(D195),"""",IF(D195=""Cash"",B195,IF(GOOGLEFINANCE(D195,""CURRENCY"")=""GBX"",""GBP"",GOOGLEFINANCE(D195,""CURRENCY"")))))),B195)"),"")</f>
        <v/>
      </c>
      <c r="R195" s="263" t="str">
        <f>IFERROR(__xludf.DUMMYFUNCTION("IF(ISBLANK(A195),"""",IFERROR(IF(OR(Q195=""GPB"",Q195=""ZAR""),IF(Q195=Dashboard!$L$1,K195,(K195*GOOGLEFINANCE(""CURRENCY:""&amp;Q195&amp;""""&amp;Dashboard!$L$1&amp;""""))/100),IF(Q195=Dashboard!$L$1,K195,K195*GOOGLEFINANCE(""CURRENCY:""&amp;Q195&amp;""""&amp;Dashboard!$L$1&amp;"""")))"&amp;",K195))"),"")</f>
        <v/>
      </c>
      <c r="S195" s="266" t="str">
        <f>IFERROR(__xludf.DUMMYFUNCTION("IF(ISBLANK(A195),"""",IFERROR(IF(OR(Q195=""GPB"",Q195=""ZAR""),IF(Q195=Dashboard!$L$1,M195,(M195*GOOGLEFINANCE(""CURRENCY:""&amp;Q195&amp;""""&amp;Dashboard!$L$1&amp;""""))/100),IF(Q195=Dashboard!$L$1,M195,M195*GOOGLEFINANCE(""CURRENCY:""&amp;Q195&amp;""""&amp;Dashboard!$L$1&amp;"""")))"&amp;",M195))"),"")</f>
        <v/>
      </c>
      <c r="T195" s="264" t="str">
        <f t="shared" si="4"/>
        <v/>
      </c>
      <c r="U195" s="264" t="str">
        <f t="shared" si="5"/>
        <v/>
      </c>
      <c r="V195" s="264" t="str">
        <f t="shared" si="6"/>
        <v/>
      </c>
      <c r="W195" s="267" t="str">
        <f t="shared" si="8"/>
        <v/>
      </c>
      <c r="X195" s="264" t="str">
        <f t="shared" si="7"/>
        <v/>
      </c>
    </row>
    <row r="196" ht="15.75" customHeight="1">
      <c r="A196" s="258"/>
      <c r="B196" s="258"/>
      <c r="C196" s="269"/>
      <c r="D196" s="258"/>
      <c r="E196" s="258"/>
      <c r="F196" s="258"/>
      <c r="G196" s="258"/>
      <c r="H196" s="271"/>
      <c r="I196" s="258"/>
      <c r="J196" s="272"/>
      <c r="K196" s="260"/>
      <c r="L196" s="261"/>
      <c r="M196" s="262" t="str">
        <f t="shared" si="1"/>
        <v/>
      </c>
      <c r="N196" s="263" t="str">
        <f t="shared" si="2"/>
        <v/>
      </c>
      <c r="O196" s="264" t="str">
        <f t="shared" si="3"/>
        <v/>
      </c>
      <c r="P196" s="265" t="str">
        <f>IFERROR(__xludf.DUMMYFUNCTION("IF(ISBLANK(A196),"""",IFERROR(IF(H196=""Sell"",VLOOKUP(9^99,FILTER({ROW(P$2:P195),P$2:P195},D$2:D195=D196),2),(VLOOKUP(9^99,FILTER({ROW(P$2:P195),P$2:P195},D$2:D195=D196),2)*VLOOKUP(9^99,FILTER({ROW(O$2:O195),O$2:O195},D$2:D195=D196),2)-N196)/O196),J196))"),"")</f>
        <v/>
      </c>
      <c r="Q196" s="264" t="str">
        <f>IFERROR(__xludf.DUMMYFUNCTION("IFERROR(IF(F196=""Crypto"",B196,(IF(ISBLANK(D196),"""",IF(D196=""Cash"",B196,IF(GOOGLEFINANCE(D196,""CURRENCY"")=""GBX"",""GBP"",GOOGLEFINANCE(D196,""CURRENCY"")))))),B196)"),"")</f>
        <v/>
      </c>
      <c r="R196" s="263" t="str">
        <f>IFERROR(__xludf.DUMMYFUNCTION("IF(ISBLANK(A196),"""",IFERROR(IF(OR(Q196=""GPB"",Q196=""ZAR""),IF(Q196=Dashboard!$L$1,K196,(K196*GOOGLEFINANCE(""CURRENCY:""&amp;Q196&amp;""""&amp;Dashboard!$L$1&amp;""""))/100),IF(Q196=Dashboard!$L$1,K196,K196*GOOGLEFINANCE(""CURRENCY:""&amp;Q196&amp;""""&amp;Dashboard!$L$1&amp;"""")))"&amp;",K196))"),"")</f>
        <v/>
      </c>
      <c r="S196" s="266" t="str">
        <f>IFERROR(__xludf.DUMMYFUNCTION("IF(ISBLANK(A196),"""",IFERROR(IF(OR(Q196=""GPB"",Q196=""ZAR""),IF(Q196=Dashboard!$L$1,M196,(M196*GOOGLEFINANCE(""CURRENCY:""&amp;Q196&amp;""""&amp;Dashboard!$L$1&amp;""""))/100),IF(Q196=Dashboard!$L$1,M196,M196*GOOGLEFINANCE(""CURRENCY:""&amp;Q196&amp;""""&amp;Dashboard!$L$1&amp;"""")))"&amp;",M196))"),"")</f>
        <v/>
      </c>
      <c r="T196" s="264" t="str">
        <f t="shared" si="4"/>
        <v/>
      </c>
      <c r="U196" s="264" t="str">
        <f t="shared" si="5"/>
        <v/>
      </c>
      <c r="V196" s="264" t="str">
        <f t="shared" si="6"/>
        <v/>
      </c>
      <c r="W196" s="267" t="str">
        <f t="shared" si="8"/>
        <v/>
      </c>
      <c r="X196" s="264" t="str">
        <f t="shared" si="7"/>
        <v/>
      </c>
    </row>
    <row r="197" ht="15.75" customHeight="1">
      <c r="A197" s="258"/>
      <c r="B197" s="258"/>
      <c r="C197" s="269"/>
      <c r="D197" s="258"/>
      <c r="E197" s="258"/>
      <c r="F197" s="258"/>
      <c r="G197" s="258"/>
      <c r="H197" s="271"/>
      <c r="I197" s="258"/>
      <c r="J197" s="272"/>
      <c r="K197" s="260"/>
      <c r="L197" s="261"/>
      <c r="M197" s="262" t="str">
        <f t="shared" si="1"/>
        <v/>
      </c>
      <c r="N197" s="263" t="str">
        <f t="shared" si="2"/>
        <v/>
      </c>
      <c r="O197" s="264" t="str">
        <f t="shared" si="3"/>
        <v/>
      </c>
      <c r="P197" s="265" t="str">
        <f>IFERROR(__xludf.DUMMYFUNCTION("IF(ISBLANK(A197),"""",IFERROR(IF(H197=""Sell"",VLOOKUP(9^99,FILTER({ROW(P$2:P196),P$2:P196},D$2:D196=D197),2),(VLOOKUP(9^99,FILTER({ROW(P$2:P196),P$2:P196},D$2:D196=D197),2)*VLOOKUP(9^99,FILTER({ROW(O$2:O196),O$2:O196},D$2:D196=D197),2)-N197)/O197),J197))"),"")</f>
        <v/>
      </c>
      <c r="Q197" s="264" t="str">
        <f>IFERROR(__xludf.DUMMYFUNCTION("IFERROR(IF(F197=""Crypto"",B197,(IF(ISBLANK(D197),"""",IF(D197=""Cash"",B197,IF(GOOGLEFINANCE(D197,""CURRENCY"")=""GBX"",""GBP"",GOOGLEFINANCE(D197,""CURRENCY"")))))),B197)"),"")</f>
        <v/>
      </c>
      <c r="R197" s="263" t="str">
        <f>IFERROR(__xludf.DUMMYFUNCTION("IF(ISBLANK(A197),"""",IFERROR(IF(OR(Q197=""GPB"",Q197=""ZAR""),IF(Q197=Dashboard!$L$1,K197,(K197*GOOGLEFINANCE(""CURRENCY:""&amp;Q197&amp;""""&amp;Dashboard!$L$1&amp;""""))/100),IF(Q197=Dashboard!$L$1,K197,K197*GOOGLEFINANCE(""CURRENCY:""&amp;Q197&amp;""""&amp;Dashboard!$L$1&amp;"""")))"&amp;",K197))"),"")</f>
        <v/>
      </c>
      <c r="S197" s="266" t="str">
        <f>IFERROR(__xludf.DUMMYFUNCTION("IF(ISBLANK(A197),"""",IFERROR(IF(OR(Q197=""GPB"",Q197=""ZAR""),IF(Q197=Dashboard!$L$1,M197,(M197*GOOGLEFINANCE(""CURRENCY:""&amp;Q197&amp;""""&amp;Dashboard!$L$1&amp;""""))/100),IF(Q197=Dashboard!$L$1,M197,M197*GOOGLEFINANCE(""CURRENCY:""&amp;Q197&amp;""""&amp;Dashboard!$L$1&amp;"""")))"&amp;",M197))"),"")</f>
        <v/>
      </c>
      <c r="T197" s="264" t="str">
        <f t="shared" si="4"/>
        <v/>
      </c>
      <c r="U197" s="264" t="str">
        <f t="shared" si="5"/>
        <v/>
      </c>
      <c r="V197" s="264" t="str">
        <f t="shared" si="6"/>
        <v/>
      </c>
      <c r="W197" s="267" t="str">
        <f t="shared" si="8"/>
        <v/>
      </c>
      <c r="X197" s="264" t="str">
        <f t="shared" si="7"/>
        <v/>
      </c>
    </row>
    <row r="198" ht="15.75" customHeight="1">
      <c r="A198" s="258"/>
      <c r="B198" s="258"/>
      <c r="C198" s="269"/>
      <c r="D198" s="258"/>
      <c r="E198" s="258"/>
      <c r="F198" s="258"/>
      <c r="G198" s="258"/>
      <c r="H198" s="271"/>
      <c r="I198" s="258"/>
      <c r="J198" s="272"/>
      <c r="K198" s="260"/>
      <c r="L198" s="261"/>
      <c r="M198" s="262" t="str">
        <f t="shared" si="1"/>
        <v/>
      </c>
      <c r="N198" s="263" t="str">
        <f t="shared" si="2"/>
        <v/>
      </c>
      <c r="O198" s="264" t="str">
        <f t="shared" si="3"/>
        <v/>
      </c>
      <c r="P198" s="265" t="str">
        <f>IFERROR(__xludf.DUMMYFUNCTION("IF(ISBLANK(A198),"""",IFERROR(IF(H198=""Sell"",VLOOKUP(9^99,FILTER({ROW(P$2:P197),P$2:P197},D$2:D197=D198),2),(VLOOKUP(9^99,FILTER({ROW(P$2:P197),P$2:P197},D$2:D197=D198),2)*VLOOKUP(9^99,FILTER({ROW(O$2:O197),O$2:O197},D$2:D197=D198),2)-N198)/O198),J198))"),"")</f>
        <v/>
      </c>
      <c r="Q198" s="264" t="str">
        <f>IFERROR(__xludf.DUMMYFUNCTION("IFERROR(IF(F198=""Crypto"",B198,(IF(ISBLANK(D198),"""",IF(D198=""Cash"",B198,IF(GOOGLEFINANCE(D198,""CURRENCY"")=""GBX"",""GBP"",GOOGLEFINANCE(D198,""CURRENCY"")))))),B198)"),"")</f>
        <v/>
      </c>
      <c r="R198" s="263" t="str">
        <f>IFERROR(__xludf.DUMMYFUNCTION("IF(ISBLANK(A198),"""",IFERROR(IF(OR(Q198=""GPB"",Q198=""ZAR""),IF(Q198=Dashboard!$L$1,K198,(K198*GOOGLEFINANCE(""CURRENCY:""&amp;Q198&amp;""""&amp;Dashboard!$L$1&amp;""""))/100),IF(Q198=Dashboard!$L$1,K198,K198*GOOGLEFINANCE(""CURRENCY:""&amp;Q198&amp;""""&amp;Dashboard!$L$1&amp;"""")))"&amp;",K198))"),"")</f>
        <v/>
      </c>
      <c r="S198" s="266" t="str">
        <f>IFERROR(__xludf.DUMMYFUNCTION("IF(ISBLANK(A198),"""",IFERROR(IF(OR(Q198=""GPB"",Q198=""ZAR""),IF(Q198=Dashboard!$L$1,M198,(M198*GOOGLEFINANCE(""CURRENCY:""&amp;Q198&amp;""""&amp;Dashboard!$L$1&amp;""""))/100),IF(Q198=Dashboard!$L$1,M198,M198*GOOGLEFINANCE(""CURRENCY:""&amp;Q198&amp;""""&amp;Dashboard!$L$1&amp;"""")))"&amp;",M198))"),"")</f>
        <v/>
      </c>
      <c r="T198" s="264" t="str">
        <f t="shared" si="4"/>
        <v/>
      </c>
      <c r="U198" s="264" t="str">
        <f t="shared" si="5"/>
        <v/>
      </c>
      <c r="V198" s="264" t="str">
        <f t="shared" si="6"/>
        <v/>
      </c>
      <c r="W198" s="267" t="str">
        <f t="shared" si="8"/>
        <v/>
      </c>
      <c r="X198" s="264" t="str">
        <f t="shared" si="7"/>
        <v/>
      </c>
    </row>
    <row r="199" ht="15.75" customHeight="1">
      <c r="A199" s="258"/>
      <c r="B199" s="258"/>
      <c r="C199" s="269"/>
      <c r="D199" s="258"/>
      <c r="E199" s="258"/>
      <c r="F199" s="258"/>
      <c r="G199" s="258"/>
      <c r="H199" s="271"/>
      <c r="I199" s="258"/>
      <c r="J199" s="272"/>
      <c r="K199" s="260"/>
      <c r="L199" s="261"/>
      <c r="M199" s="262" t="str">
        <f t="shared" si="1"/>
        <v/>
      </c>
      <c r="N199" s="263" t="str">
        <f t="shared" si="2"/>
        <v/>
      </c>
      <c r="O199" s="264" t="str">
        <f t="shared" si="3"/>
        <v/>
      </c>
      <c r="P199" s="265" t="str">
        <f>IFERROR(__xludf.DUMMYFUNCTION("IF(ISBLANK(A199),"""",IFERROR(IF(H199=""Sell"",VLOOKUP(9^99,FILTER({ROW(P$2:P198),P$2:P198},D$2:D198=D199),2),(VLOOKUP(9^99,FILTER({ROW(P$2:P198),P$2:P198},D$2:D198=D199),2)*VLOOKUP(9^99,FILTER({ROW(O$2:O198),O$2:O198},D$2:D198=D199),2)-N199)/O199),J199))"),"")</f>
        <v/>
      </c>
      <c r="Q199" s="264" t="str">
        <f>IFERROR(__xludf.DUMMYFUNCTION("IFERROR(IF(F199=""Crypto"",B199,(IF(ISBLANK(D199),"""",IF(D199=""Cash"",B199,IF(GOOGLEFINANCE(D199,""CURRENCY"")=""GBX"",""GBP"",GOOGLEFINANCE(D199,""CURRENCY"")))))),B199)"),"")</f>
        <v/>
      </c>
      <c r="R199" s="263" t="str">
        <f>IFERROR(__xludf.DUMMYFUNCTION("IF(ISBLANK(A199),"""",IFERROR(IF(OR(Q199=""GPB"",Q199=""ZAR""),IF(Q199=Dashboard!$L$1,K199,(K199*GOOGLEFINANCE(""CURRENCY:""&amp;Q199&amp;""""&amp;Dashboard!$L$1&amp;""""))/100),IF(Q199=Dashboard!$L$1,K199,K199*GOOGLEFINANCE(""CURRENCY:""&amp;Q199&amp;""""&amp;Dashboard!$L$1&amp;"""")))"&amp;",K199))"),"")</f>
        <v/>
      </c>
      <c r="S199" s="266" t="str">
        <f>IFERROR(__xludf.DUMMYFUNCTION("IF(ISBLANK(A199),"""",IFERROR(IF(OR(Q199=""GPB"",Q199=""ZAR""),IF(Q199=Dashboard!$L$1,M199,(M199*GOOGLEFINANCE(""CURRENCY:""&amp;Q199&amp;""""&amp;Dashboard!$L$1&amp;""""))/100),IF(Q199=Dashboard!$L$1,M199,M199*GOOGLEFINANCE(""CURRENCY:""&amp;Q199&amp;""""&amp;Dashboard!$L$1&amp;"""")))"&amp;",M199))"),"")</f>
        <v/>
      </c>
      <c r="T199" s="264" t="str">
        <f t="shared" si="4"/>
        <v/>
      </c>
      <c r="U199" s="264" t="str">
        <f t="shared" si="5"/>
        <v/>
      </c>
      <c r="V199" s="264" t="str">
        <f t="shared" si="6"/>
        <v/>
      </c>
      <c r="W199" s="267" t="str">
        <f t="shared" si="8"/>
        <v/>
      </c>
      <c r="X199" s="264" t="str">
        <f t="shared" si="7"/>
        <v/>
      </c>
    </row>
    <row r="200" ht="15.75" customHeight="1">
      <c r="A200" s="258"/>
      <c r="B200" s="258"/>
      <c r="C200" s="269"/>
      <c r="D200" s="258"/>
      <c r="E200" s="258"/>
      <c r="F200" s="258"/>
      <c r="G200" s="258"/>
      <c r="H200" s="271"/>
      <c r="I200" s="258"/>
      <c r="J200" s="272"/>
      <c r="K200" s="260"/>
      <c r="L200" s="261"/>
      <c r="M200" s="262" t="str">
        <f t="shared" si="1"/>
        <v/>
      </c>
      <c r="N200" s="263" t="str">
        <f t="shared" si="2"/>
        <v/>
      </c>
      <c r="O200" s="264" t="str">
        <f t="shared" si="3"/>
        <v/>
      </c>
      <c r="P200" s="265" t="str">
        <f>IFERROR(__xludf.DUMMYFUNCTION("IF(ISBLANK(A200),"""",IFERROR(IF(H200=""Sell"",VLOOKUP(9^99,FILTER({ROW(P$2:P199),P$2:P199},D$2:D199=D200),2),(VLOOKUP(9^99,FILTER({ROW(P$2:P199),P$2:P199},D$2:D199=D200),2)*VLOOKUP(9^99,FILTER({ROW(O$2:O199),O$2:O199},D$2:D199=D200),2)-N200)/O200),J200))"),"")</f>
        <v/>
      </c>
      <c r="Q200" s="264" t="str">
        <f>IFERROR(__xludf.DUMMYFUNCTION("IFERROR(IF(F200=""Crypto"",B200,(IF(ISBLANK(D200),"""",IF(D200=""Cash"",B200,IF(GOOGLEFINANCE(D200,""CURRENCY"")=""GBX"",""GBP"",GOOGLEFINANCE(D200,""CURRENCY"")))))),B200)"),"")</f>
        <v/>
      </c>
      <c r="R200" s="263" t="str">
        <f>IFERROR(__xludf.DUMMYFUNCTION("IF(ISBLANK(A200),"""",IFERROR(IF(OR(Q200=""GPB"",Q200=""ZAR""),IF(Q200=Dashboard!$L$1,K200,(K200*GOOGLEFINANCE(""CURRENCY:""&amp;Q200&amp;""""&amp;Dashboard!$L$1&amp;""""))/100),IF(Q200=Dashboard!$L$1,K200,K200*GOOGLEFINANCE(""CURRENCY:""&amp;Q200&amp;""""&amp;Dashboard!$L$1&amp;"""")))"&amp;",K200))"),"")</f>
        <v/>
      </c>
      <c r="S200" s="266" t="str">
        <f>IFERROR(__xludf.DUMMYFUNCTION("IF(ISBLANK(A200),"""",IFERROR(IF(OR(Q200=""GPB"",Q200=""ZAR""),IF(Q200=Dashboard!$L$1,M200,(M200*GOOGLEFINANCE(""CURRENCY:""&amp;Q200&amp;""""&amp;Dashboard!$L$1&amp;""""))/100),IF(Q200=Dashboard!$L$1,M200,M200*GOOGLEFINANCE(""CURRENCY:""&amp;Q200&amp;""""&amp;Dashboard!$L$1&amp;"""")))"&amp;",M200))"),"")</f>
        <v/>
      </c>
      <c r="T200" s="264" t="str">
        <f t="shared" si="4"/>
        <v/>
      </c>
      <c r="U200" s="264" t="str">
        <f t="shared" si="5"/>
        <v/>
      </c>
      <c r="V200" s="264" t="str">
        <f t="shared" si="6"/>
        <v/>
      </c>
      <c r="W200" s="267" t="str">
        <f t="shared" si="8"/>
        <v/>
      </c>
      <c r="X200" s="264" t="str">
        <f t="shared" si="7"/>
        <v/>
      </c>
    </row>
    <row r="201" ht="15.75" customHeight="1">
      <c r="A201" s="258"/>
      <c r="B201" s="258"/>
      <c r="C201" s="269"/>
      <c r="D201" s="258"/>
      <c r="E201" s="258"/>
      <c r="F201" s="258"/>
      <c r="G201" s="258"/>
      <c r="H201" s="271"/>
      <c r="I201" s="258"/>
      <c r="J201" s="272"/>
      <c r="K201" s="260"/>
      <c r="L201" s="261"/>
      <c r="M201" s="262" t="str">
        <f t="shared" si="1"/>
        <v/>
      </c>
      <c r="N201" s="263" t="str">
        <f t="shared" si="2"/>
        <v/>
      </c>
      <c r="O201" s="264" t="str">
        <f t="shared" si="3"/>
        <v/>
      </c>
      <c r="P201" s="265" t="str">
        <f>IFERROR(__xludf.DUMMYFUNCTION("IF(ISBLANK(A201),"""",IFERROR(IF(H201=""Sell"",VLOOKUP(9^99,FILTER({ROW(P$2:P200),P$2:P200},D$2:D200=D201),2),(VLOOKUP(9^99,FILTER({ROW(P$2:P200),P$2:P200},D$2:D200=D201),2)*VLOOKUP(9^99,FILTER({ROW(O$2:O200),O$2:O200},D$2:D200=D201),2)-N201)/O201),J201))"),"")</f>
        <v/>
      </c>
      <c r="Q201" s="264" t="str">
        <f>IFERROR(__xludf.DUMMYFUNCTION("IFERROR(IF(F201=""Crypto"",B201,(IF(ISBLANK(D201),"""",IF(D201=""Cash"",B201,IF(GOOGLEFINANCE(D201,""CURRENCY"")=""GBX"",""GBP"",GOOGLEFINANCE(D201,""CURRENCY"")))))),B201)"),"")</f>
        <v/>
      </c>
      <c r="R201" s="263" t="str">
        <f>IFERROR(__xludf.DUMMYFUNCTION("IF(ISBLANK(A201),"""",IFERROR(IF(OR(Q201=""GPB"",Q201=""ZAR""),IF(Q201=Dashboard!$L$1,K201,(K201*GOOGLEFINANCE(""CURRENCY:""&amp;Q201&amp;""""&amp;Dashboard!$L$1&amp;""""))/100),IF(Q201=Dashboard!$L$1,K201,K201*GOOGLEFINANCE(""CURRENCY:""&amp;Q201&amp;""""&amp;Dashboard!$L$1&amp;"""")))"&amp;",K201))"),"")</f>
        <v/>
      </c>
      <c r="S201" s="266" t="str">
        <f>IFERROR(__xludf.DUMMYFUNCTION("IF(ISBLANK(A201),"""",IFERROR(IF(OR(Q201=""GPB"",Q201=""ZAR""),IF(Q201=Dashboard!$L$1,M201,(M201*GOOGLEFINANCE(""CURRENCY:""&amp;Q201&amp;""""&amp;Dashboard!$L$1&amp;""""))/100),IF(Q201=Dashboard!$L$1,M201,M201*GOOGLEFINANCE(""CURRENCY:""&amp;Q201&amp;""""&amp;Dashboard!$L$1&amp;"""")))"&amp;",M201))"),"")</f>
        <v/>
      </c>
      <c r="T201" s="264" t="str">
        <f t="shared" si="4"/>
        <v/>
      </c>
      <c r="U201" s="264" t="str">
        <f t="shared" si="5"/>
        <v/>
      </c>
      <c r="V201" s="264" t="str">
        <f t="shared" si="6"/>
        <v/>
      </c>
      <c r="W201" s="267" t="str">
        <f t="shared" si="8"/>
        <v/>
      </c>
      <c r="X201" s="264" t="str">
        <f t="shared" si="7"/>
        <v/>
      </c>
    </row>
    <row r="202" ht="15.75" customHeight="1">
      <c r="A202" s="258"/>
      <c r="B202" s="258"/>
      <c r="C202" s="269"/>
      <c r="D202" s="258"/>
      <c r="E202" s="258"/>
      <c r="F202" s="258"/>
      <c r="G202" s="258"/>
      <c r="H202" s="271"/>
      <c r="I202" s="258"/>
      <c r="J202" s="272"/>
      <c r="K202" s="260"/>
      <c r="L202" s="261"/>
      <c r="M202" s="262" t="str">
        <f t="shared" si="1"/>
        <v/>
      </c>
      <c r="N202" s="263" t="str">
        <f t="shared" si="2"/>
        <v/>
      </c>
      <c r="O202" s="264" t="str">
        <f t="shared" si="3"/>
        <v/>
      </c>
      <c r="P202" s="265" t="str">
        <f>IFERROR(__xludf.DUMMYFUNCTION("IF(ISBLANK(A202),"""",IFERROR(IF(H202=""Sell"",VLOOKUP(9^99,FILTER({ROW(P$2:P201),P$2:P201},D$2:D201=D202),2),(VLOOKUP(9^99,FILTER({ROW(P$2:P201),P$2:P201},D$2:D201=D202),2)*VLOOKUP(9^99,FILTER({ROW(O$2:O201),O$2:O201},D$2:D201=D202),2)-N202)/O202),J202))"),"")</f>
        <v/>
      </c>
      <c r="Q202" s="264" t="str">
        <f>IFERROR(__xludf.DUMMYFUNCTION("IFERROR(IF(F202=""Crypto"",B202,(IF(ISBLANK(D202),"""",IF(D202=""Cash"",B202,IF(GOOGLEFINANCE(D202,""CURRENCY"")=""GBX"",""GBP"",GOOGLEFINANCE(D202,""CURRENCY"")))))),B202)"),"")</f>
        <v/>
      </c>
      <c r="R202" s="263" t="str">
        <f>IFERROR(__xludf.DUMMYFUNCTION("IF(ISBLANK(A202),"""",IFERROR(IF(OR(Q202=""GPB"",Q202=""ZAR""),IF(Q202=Dashboard!$L$1,K202,(K202*GOOGLEFINANCE(""CURRENCY:""&amp;Q202&amp;""""&amp;Dashboard!$L$1&amp;""""))/100),IF(Q202=Dashboard!$L$1,K202,K202*GOOGLEFINANCE(""CURRENCY:""&amp;Q202&amp;""""&amp;Dashboard!$L$1&amp;"""")))"&amp;",K202))"),"")</f>
        <v/>
      </c>
      <c r="S202" s="266" t="str">
        <f>IFERROR(__xludf.DUMMYFUNCTION("IF(ISBLANK(A202),"""",IFERROR(IF(OR(Q202=""GPB"",Q202=""ZAR""),IF(Q202=Dashboard!$L$1,M202,(M202*GOOGLEFINANCE(""CURRENCY:""&amp;Q202&amp;""""&amp;Dashboard!$L$1&amp;""""))/100),IF(Q202=Dashboard!$L$1,M202,M202*GOOGLEFINANCE(""CURRENCY:""&amp;Q202&amp;""""&amp;Dashboard!$L$1&amp;"""")))"&amp;",M202))"),"")</f>
        <v/>
      </c>
      <c r="T202" s="264" t="str">
        <f t="shared" si="4"/>
        <v/>
      </c>
      <c r="U202" s="264" t="str">
        <f t="shared" si="5"/>
        <v/>
      </c>
      <c r="V202" s="264" t="str">
        <f t="shared" si="6"/>
        <v/>
      </c>
      <c r="W202" s="267" t="str">
        <f t="shared" si="8"/>
        <v/>
      </c>
      <c r="X202" s="264" t="str">
        <f t="shared" si="7"/>
        <v/>
      </c>
    </row>
    <row r="203" ht="15.75" customHeight="1">
      <c r="A203" s="258"/>
      <c r="B203" s="258"/>
      <c r="C203" s="269"/>
      <c r="D203" s="258"/>
      <c r="E203" s="258"/>
      <c r="F203" s="258"/>
      <c r="G203" s="258"/>
      <c r="H203" s="271"/>
      <c r="I203" s="258"/>
      <c r="J203" s="272"/>
      <c r="K203" s="260"/>
      <c r="L203" s="261"/>
      <c r="M203" s="262" t="str">
        <f t="shared" si="1"/>
        <v/>
      </c>
      <c r="N203" s="263" t="str">
        <f t="shared" si="2"/>
        <v/>
      </c>
      <c r="O203" s="264" t="str">
        <f t="shared" si="3"/>
        <v/>
      </c>
      <c r="P203" s="265" t="str">
        <f>IFERROR(__xludf.DUMMYFUNCTION("IF(ISBLANK(A203),"""",IFERROR(IF(H203=""Sell"",VLOOKUP(9^99,FILTER({ROW(P$2:P202),P$2:P202},D$2:D202=D203),2),(VLOOKUP(9^99,FILTER({ROW(P$2:P202),P$2:P202},D$2:D202=D203),2)*VLOOKUP(9^99,FILTER({ROW(O$2:O202),O$2:O202},D$2:D202=D203),2)-N203)/O203),J203))"),"")</f>
        <v/>
      </c>
      <c r="Q203" s="264" t="str">
        <f>IFERROR(__xludf.DUMMYFUNCTION("IFERROR(IF(F203=""Crypto"",B203,(IF(ISBLANK(D203),"""",IF(D203=""Cash"",B203,IF(GOOGLEFINANCE(D203,""CURRENCY"")=""GBX"",""GBP"",GOOGLEFINANCE(D203,""CURRENCY"")))))),B203)"),"")</f>
        <v/>
      </c>
      <c r="R203" s="263" t="str">
        <f>IFERROR(__xludf.DUMMYFUNCTION("IF(ISBLANK(A203),"""",IFERROR(IF(OR(Q203=""GPB"",Q203=""ZAR""),IF(Q203=Dashboard!$L$1,K203,(K203*GOOGLEFINANCE(""CURRENCY:""&amp;Q203&amp;""""&amp;Dashboard!$L$1&amp;""""))/100),IF(Q203=Dashboard!$L$1,K203,K203*GOOGLEFINANCE(""CURRENCY:""&amp;Q203&amp;""""&amp;Dashboard!$L$1&amp;"""")))"&amp;",K203))"),"")</f>
        <v/>
      </c>
      <c r="S203" s="266" t="str">
        <f>IFERROR(__xludf.DUMMYFUNCTION("IF(ISBLANK(A203),"""",IFERROR(IF(OR(Q203=""GPB"",Q203=""ZAR""),IF(Q203=Dashboard!$L$1,M203,(M203*GOOGLEFINANCE(""CURRENCY:""&amp;Q203&amp;""""&amp;Dashboard!$L$1&amp;""""))/100),IF(Q203=Dashboard!$L$1,M203,M203*GOOGLEFINANCE(""CURRENCY:""&amp;Q203&amp;""""&amp;Dashboard!$L$1&amp;"""")))"&amp;",M203))"),"")</f>
        <v/>
      </c>
      <c r="T203" s="264" t="str">
        <f t="shared" si="4"/>
        <v/>
      </c>
      <c r="U203" s="264" t="str">
        <f t="shared" si="5"/>
        <v/>
      </c>
      <c r="V203" s="264" t="str">
        <f t="shared" si="6"/>
        <v/>
      </c>
      <c r="W203" s="267" t="str">
        <f t="shared" si="8"/>
        <v/>
      </c>
      <c r="X203" s="264" t="str">
        <f t="shared" si="7"/>
        <v/>
      </c>
    </row>
    <row r="204" ht="15.75" customHeight="1">
      <c r="A204" s="258"/>
      <c r="B204" s="258"/>
      <c r="C204" s="269"/>
      <c r="D204" s="258"/>
      <c r="E204" s="258"/>
      <c r="F204" s="258"/>
      <c r="G204" s="258"/>
      <c r="H204" s="271"/>
      <c r="I204" s="258"/>
      <c r="J204" s="272"/>
      <c r="K204" s="260"/>
      <c r="L204" s="261"/>
      <c r="M204" s="262" t="str">
        <f t="shared" si="1"/>
        <v/>
      </c>
      <c r="N204" s="263" t="str">
        <f t="shared" si="2"/>
        <v/>
      </c>
      <c r="O204" s="264" t="str">
        <f t="shared" si="3"/>
        <v/>
      </c>
      <c r="P204" s="265" t="str">
        <f>IFERROR(__xludf.DUMMYFUNCTION("IF(ISBLANK(A204),"""",IFERROR(IF(H204=""Sell"",VLOOKUP(9^99,FILTER({ROW(P$2:P203),P$2:P203},D$2:D203=D204),2),(VLOOKUP(9^99,FILTER({ROW(P$2:P203),P$2:P203},D$2:D203=D204),2)*VLOOKUP(9^99,FILTER({ROW(O$2:O203),O$2:O203},D$2:D203=D204),2)-N204)/O204),J204))"),"")</f>
        <v/>
      </c>
      <c r="Q204" s="264" t="str">
        <f>IFERROR(__xludf.DUMMYFUNCTION("IFERROR(IF(F204=""Crypto"",B204,(IF(ISBLANK(D204),"""",IF(D204=""Cash"",B204,IF(GOOGLEFINANCE(D204,""CURRENCY"")=""GBX"",""GBP"",GOOGLEFINANCE(D204,""CURRENCY"")))))),B204)"),"")</f>
        <v/>
      </c>
      <c r="R204" s="263" t="str">
        <f>IFERROR(__xludf.DUMMYFUNCTION("IF(ISBLANK(A204),"""",IFERROR(IF(OR(Q204=""GPB"",Q204=""ZAR""),IF(Q204=Dashboard!$L$1,K204,(K204*GOOGLEFINANCE(""CURRENCY:""&amp;Q204&amp;""""&amp;Dashboard!$L$1&amp;""""))/100),IF(Q204=Dashboard!$L$1,K204,K204*GOOGLEFINANCE(""CURRENCY:""&amp;Q204&amp;""""&amp;Dashboard!$L$1&amp;"""")))"&amp;",K204))"),"")</f>
        <v/>
      </c>
      <c r="S204" s="266" t="str">
        <f>IFERROR(__xludf.DUMMYFUNCTION("IF(ISBLANK(A204),"""",IFERROR(IF(OR(Q204=""GPB"",Q204=""ZAR""),IF(Q204=Dashboard!$L$1,M204,(M204*GOOGLEFINANCE(""CURRENCY:""&amp;Q204&amp;""""&amp;Dashboard!$L$1&amp;""""))/100),IF(Q204=Dashboard!$L$1,M204,M204*GOOGLEFINANCE(""CURRENCY:""&amp;Q204&amp;""""&amp;Dashboard!$L$1&amp;"""")))"&amp;",M204))"),"")</f>
        <v/>
      </c>
      <c r="T204" s="264" t="str">
        <f t="shared" si="4"/>
        <v/>
      </c>
      <c r="U204" s="264" t="str">
        <f t="shared" si="5"/>
        <v/>
      </c>
      <c r="V204" s="264" t="str">
        <f t="shared" si="6"/>
        <v/>
      </c>
      <c r="W204" s="267" t="str">
        <f t="shared" si="8"/>
        <v/>
      </c>
      <c r="X204" s="264" t="str">
        <f t="shared" si="7"/>
        <v/>
      </c>
    </row>
    <row r="205" ht="15.75" customHeight="1">
      <c r="A205" s="258"/>
      <c r="B205" s="258"/>
      <c r="C205" s="269"/>
      <c r="D205" s="258"/>
      <c r="E205" s="258"/>
      <c r="F205" s="258"/>
      <c r="G205" s="258"/>
      <c r="H205" s="271"/>
      <c r="I205" s="258"/>
      <c r="J205" s="272"/>
      <c r="K205" s="260"/>
      <c r="L205" s="261"/>
      <c r="M205" s="262" t="str">
        <f t="shared" si="1"/>
        <v/>
      </c>
      <c r="N205" s="263" t="str">
        <f t="shared" si="2"/>
        <v/>
      </c>
      <c r="O205" s="264" t="str">
        <f t="shared" si="3"/>
        <v/>
      </c>
      <c r="P205" s="265" t="str">
        <f>IFERROR(__xludf.DUMMYFUNCTION("IF(ISBLANK(A205),"""",IFERROR(IF(H205=""Sell"",VLOOKUP(9^99,FILTER({ROW(P$2:P204),P$2:P204},D$2:D204=D205),2),(VLOOKUP(9^99,FILTER({ROW(P$2:P204),P$2:P204},D$2:D204=D205),2)*VLOOKUP(9^99,FILTER({ROW(O$2:O204),O$2:O204},D$2:D204=D205),2)-N205)/O205),J205))"),"")</f>
        <v/>
      </c>
      <c r="Q205" s="264" t="str">
        <f>IFERROR(__xludf.DUMMYFUNCTION("IFERROR(IF(F205=""Crypto"",B205,(IF(ISBLANK(D205),"""",IF(D205=""Cash"",B205,IF(GOOGLEFINANCE(D205,""CURRENCY"")=""GBX"",""GBP"",GOOGLEFINANCE(D205,""CURRENCY"")))))),B205)"),"")</f>
        <v/>
      </c>
      <c r="R205" s="263" t="str">
        <f>IFERROR(__xludf.DUMMYFUNCTION("IF(ISBLANK(A205),"""",IFERROR(IF(OR(Q205=""GPB"",Q205=""ZAR""),IF(Q205=Dashboard!$L$1,K205,(K205*GOOGLEFINANCE(""CURRENCY:""&amp;Q205&amp;""""&amp;Dashboard!$L$1&amp;""""))/100),IF(Q205=Dashboard!$L$1,K205,K205*GOOGLEFINANCE(""CURRENCY:""&amp;Q205&amp;""""&amp;Dashboard!$L$1&amp;"""")))"&amp;",K205))"),"")</f>
        <v/>
      </c>
      <c r="S205" s="266" t="str">
        <f>IFERROR(__xludf.DUMMYFUNCTION("IF(ISBLANK(A205),"""",IFERROR(IF(OR(Q205=""GPB"",Q205=""ZAR""),IF(Q205=Dashboard!$L$1,M205,(M205*GOOGLEFINANCE(""CURRENCY:""&amp;Q205&amp;""""&amp;Dashboard!$L$1&amp;""""))/100),IF(Q205=Dashboard!$L$1,M205,M205*GOOGLEFINANCE(""CURRENCY:""&amp;Q205&amp;""""&amp;Dashboard!$L$1&amp;"""")))"&amp;",M205))"),"")</f>
        <v/>
      </c>
      <c r="T205" s="264" t="str">
        <f t="shared" si="4"/>
        <v/>
      </c>
      <c r="U205" s="264" t="str">
        <f t="shared" si="5"/>
        <v/>
      </c>
      <c r="V205" s="264" t="str">
        <f t="shared" si="6"/>
        <v/>
      </c>
      <c r="W205" s="267" t="str">
        <f t="shared" si="8"/>
        <v/>
      </c>
      <c r="X205" s="264" t="str">
        <f t="shared" si="7"/>
        <v/>
      </c>
    </row>
    <row r="206" ht="15.75" customHeight="1">
      <c r="A206" s="258"/>
      <c r="B206" s="258"/>
      <c r="C206" s="269"/>
      <c r="D206" s="258"/>
      <c r="E206" s="258"/>
      <c r="F206" s="258"/>
      <c r="G206" s="258"/>
      <c r="H206" s="271"/>
      <c r="I206" s="258"/>
      <c r="J206" s="272"/>
      <c r="K206" s="260"/>
      <c r="L206" s="261"/>
      <c r="M206" s="262" t="str">
        <f t="shared" si="1"/>
        <v/>
      </c>
      <c r="N206" s="263" t="str">
        <f t="shared" si="2"/>
        <v/>
      </c>
      <c r="O206" s="264" t="str">
        <f t="shared" si="3"/>
        <v/>
      </c>
      <c r="P206" s="265" t="str">
        <f>IFERROR(__xludf.DUMMYFUNCTION("IF(ISBLANK(A206),"""",IFERROR(IF(H206=""Sell"",VLOOKUP(9^99,FILTER({ROW(P$2:P205),P$2:P205},D$2:D205=D206),2),(VLOOKUP(9^99,FILTER({ROW(P$2:P205),P$2:P205},D$2:D205=D206),2)*VLOOKUP(9^99,FILTER({ROW(O$2:O205),O$2:O205},D$2:D205=D206),2)-N206)/O206),J206))"),"")</f>
        <v/>
      </c>
      <c r="Q206" s="264" t="str">
        <f>IFERROR(__xludf.DUMMYFUNCTION("IFERROR(IF(F206=""Crypto"",B206,(IF(ISBLANK(D206),"""",IF(D206=""Cash"",B206,IF(GOOGLEFINANCE(D206,""CURRENCY"")=""GBX"",""GBP"",GOOGLEFINANCE(D206,""CURRENCY"")))))),B206)"),"")</f>
        <v/>
      </c>
      <c r="R206" s="263" t="str">
        <f>IFERROR(__xludf.DUMMYFUNCTION("IF(ISBLANK(A206),"""",IFERROR(IF(OR(Q206=""GPB"",Q206=""ZAR""),IF(Q206=Dashboard!$L$1,K206,(K206*GOOGLEFINANCE(""CURRENCY:""&amp;Q206&amp;""""&amp;Dashboard!$L$1&amp;""""))/100),IF(Q206=Dashboard!$L$1,K206,K206*GOOGLEFINANCE(""CURRENCY:""&amp;Q206&amp;""""&amp;Dashboard!$L$1&amp;"""")))"&amp;",K206))"),"")</f>
        <v/>
      </c>
      <c r="S206" s="266" t="str">
        <f>IFERROR(__xludf.DUMMYFUNCTION("IF(ISBLANK(A206),"""",IFERROR(IF(OR(Q206=""GPB"",Q206=""ZAR""),IF(Q206=Dashboard!$L$1,M206,(M206*GOOGLEFINANCE(""CURRENCY:""&amp;Q206&amp;""""&amp;Dashboard!$L$1&amp;""""))/100),IF(Q206=Dashboard!$L$1,M206,M206*GOOGLEFINANCE(""CURRENCY:""&amp;Q206&amp;""""&amp;Dashboard!$L$1&amp;"""")))"&amp;",M206))"),"")</f>
        <v/>
      </c>
      <c r="T206" s="264" t="str">
        <f t="shared" si="4"/>
        <v/>
      </c>
      <c r="U206" s="264" t="str">
        <f t="shared" si="5"/>
        <v/>
      </c>
      <c r="V206" s="264" t="str">
        <f t="shared" si="6"/>
        <v/>
      </c>
      <c r="W206" s="267" t="str">
        <f t="shared" si="8"/>
        <v/>
      </c>
      <c r="X206" s="264" t="str">
        <f t="shared" si="7"/>
        <v/>
      </c>
    </row>
    <row r="207" ht="15.75" customHeight="1">
      <c r="A207" s="258"/>
      <c r="B207" s="258"/>
      <c r="C207" s="269"/>
      <c r="D207" s="258"/>
      <c r="E207" s="258"/>
      <c r="F207" s="258"/>
      <c r="G207" s="258"/>
      <c r="H207" s="271"/>
      <c r="I207" s="258"/>
      <c r="J207" s="272"/>
      <c r="K207" s="260"/>
      <c r="L207" s="261"/>
      <c r="M207" s="262" t="str">
        <f t="shared" si="1"/>
        <v/>
      </c>
      <c r="N207" s="263" t="str">
        <f t="shared" si="2"/>
        <v/>
      </c>
      <c r="O207" s="264" t="str">
        <f t="shared" si="3"/>
        <v/>
      </c>
      <c r="P207" s="265" t="str">
        <f>IFERROR(__xludf.DUMMYFUNCTION("IF(ISBLANK(A207),"""",IFERROR(IF(H207=""Sell"",VLOOKUP(9^99,FILTER({ROW(P$2:P206),P$2:P206},D$2:D206=D207),2),(VLOOKUP(9^99,FILTER({ROW(P$2:P206),P$2:P206},D$2:D206=D207),2)*VLOOKUP(9^99,FILTER({ROW(O$2:O206),O$2:O206},D$2:D206=D207),2)-N207)/O207),J207))"),"")</f>
        <v/>
      </c>
      <c r="Q207" s="264" t="str">
        <f>IFERROR(__xludf.DUMMYFUNCTION("IFERROR(IF(F207=""Crypto"",B207,(IF(ISBLANK(D207),"""",IF(D207=""Cash"",B207,IF(GOOGLEFINANCE(D207,""CURRENCY"")=""GBX"",""GBP"",GOOGLEFINANCE(D207,""CURRENCY"")))))),B207)"),"")</f>
        <v/>
      </c>
      <c r="R207" s="263" t="str">
        <f>IFERROR(__xludf.DUMMYFUNCTION("IF(ISBLANK(A207),"""",IFERROR(IF(OR(Q207=""GPB"",Q207=""ZAR""),IF(Q207=Dashboard!$L$1,K207,(K207*GOOGLEFINANCE(""CURRENCY:""&amp;Q207&amp;""""&amp;Dashboard!$L$1&amp;""""))/100),IF(Q207=Dashboard!$L$1,K207,K207*GOOGLEFINANCE(""CURRENCY:""&amp;Q207&amp;""""&amp;Dashboard!$L$1&amp;"""")))"&amp;",K207))"),"")</f>
        <v/>
      </c>
      <c r="S207" s="266" t="str">
        <f>IFERROR(__xludf.DUMMYFUNCTION("IF(ISBLANK(A207),"""",IFERROR(IF(OR(Q207=""GPB"",Q207=""ZAR""),IF(Q207=Dashboard!$L$1,M207,(M207*GOOGLEFINANCE(""CURRENCY:""&amp;Q207&amp;""""&amp;Dashboard!$L$1&amp;""""))/100),IF(Q207=Dashboard!$L$1,M207,M207*GOOGLEFINANCE(""CURRENCY:""&amp;Q207&amp;""""&amp;Dashboard!$L$1&amp;"""")))"&amp;",M207))"),"")</f>
        <v/>
      </c>
      <c r="T207" s="264" t="str">
        <f t="shared" si="4"/>
        <v/>
      </c>
      <c r="U207" s="264" t="str">
        <f t="shared" si="5"/>
        <v/>
      </c>
      <c r="V207" s="264" t="str">
        <f t="shared" si="6"/>
        <v/>
      </c>
      <c r="W207" s="267" t="str">
        <f t="shared" si="8"/>
        <v/>
      </c>
      <c r="X207" s="264" t="str">
        <f t="shared" si="7"/>
        <v/>
      </c>
    </row>
    <row r="208" ht="15.75" customHeight="1">
      <c r="A208" s="258"/>
      <c r="B208" s="258"/>
      <c r="C208" s="269"/>
      <c r="D208" s="258"/>
      <c r="E208" s="258"/>
      <c r="F208" s="258"/>
      <c r="G208" s="258"/>
      <c r="H208" s="271"/>
      <c r="I208" s="258"/>
      <c r="J208" s="272"/>
      <c r="K208" s="260"/>
      <c r="L208" s="261"/>
      <c r="M208" s="262" t="str">
        <f t="shared" si="1"/>
        <v/>
      </c>
      <c r="N208" s="263" t="str">
        <f t="shared" si="2"/>
        <v/>
      </c>
      <c r="O208" s="264" t="str">
        <f t="shared" si="3"/>
        <v/>
      </c>
      <c r="P208" s="265" t="str">
        <f>IFERROR(__xludf.DUMMYFUNCTION("IF(ISBLANK(A208),"""",IFERROR(IF(H208=""Sell"",VLOOKUP(9^99,FILTER({ROW(P$2:P207),P$2:P207},D$2:D207=D208),2),(VLOOKUP(9^99,FILTER({ROW(P$2:P207),P$2:P207},D$2:D207=D208),2)*VLOOKUP(9^99,FILTER({ROW(O$2:O207),O$2:O207},D$2:D207=D208),2)-N208)/O208),J208))"),"")</f>
        <v/>
      </c>
      <c r="Q208" s="264" t="str">
        <f>IFERROR(__xludf.DUMMYFUNCTION("IFERROR(IF(F208=""Crypto"",B208,(IF(ISBLANK(D208),"""",IF(D208=""Cash"",B208,IF(GOOGLEFINANCE(D208,""CURRENCY"")=""GBX"",""GBP"",GOOGLEFINANCE(D208,""CURRENCY"")))))),B208)"),"")</f>
        <v/>
      </c>
      <c r="R208" s="263" t="str">
        <f>IFERROR(__xludf.DUMMYFUNCTION("IF(ISBLANK(A208),"""",IFERROR(IF(OR(Q208=""GPB"",Q208=""ZAR""),IF(Q208=Dashboard!$L$1,K208,(K208*GOOGLEFINANCE(""CURRENCY:""&amp;Q208&amp;""""&amp;Dashboard!$L$1&amp;""""))/100),IF(Q208=Dashboard!$L$1,K208,K208*GOOGLEFINANCE(""CURRENCY:""&amp;Q208&amp;""""&amp;Dashboard!$L$1&amp;"""")))"&amp;",K208))"),"")</f>
        <v/>
      </c>
      <c r="S208" s="266" t="str">
        <f>IFERROR(__xludf.DUMMYFUNCTION("IF(ISBLANK(A208),"""",IFERROR(IF(OR(Q208=""GPB"",Q208=""ZAR""),IF(Q208=Dashboard!$L$1,M208,(M208*GOOGLEFINANCE(""CURRENCY:""&amp;Q208&amp;""""&amp;Dashboard!$L$1&amp;""""))/100),IF(Q208=Dashboard!$L$1,M208,M208*GOOGLEFINANCE(""CURRENCY:""&amp;Q208&amp;""""&amp;Dashboard!$L$1&amp;"""")))"&amp;",M208))"),"")</f>
        <v/>
      </c>
      <c r="T208" s="264" t="str">
        <f t="shared" si="4"/>
        <v/>
      </c>
      <c r="U208" s="264" t="str">
        <f t="shared" si="5"/>
        <v/>
      </c>
      <c r="V208" s="264" t="str">
        <f t="shared" si="6"/>
        <v/>
      </c>
      <c r="W208" s="267" t="str">
        <f t="shared" si="8"/>
        <v/>
      </c>
      <c r="X208" s="264" t="str">
        <f t="shared" si="7"/>
        <v/>
      </c>
    </row>
    <row r="209" ht="15.75" customHeight="1">
      <c r="A209" s="258"/>
      <c r="B209" s="258"/>
      <c r="C209" s="269"/>
      <c r="D209" s="258"/>
      <c r="E209" s="258"/>
      <c r="F209" s="258"/>
      <c r="G209" s="258"/>
      <c r="H209" s="271"/>
      <c r="I209" s="258"/>
      <c r="J209" s="272"/>
      <c r="K209" s="260"/>
      <c r="L209" s="261"/>
      <c r="M209" s="262" t="str">
        <f t="shared" si="1"/>
        <v/>
      </c>
      <c r="N209" s="263" t="str">
        <f t="shared" si="2"/>
        <v/>
      </c>
      <c r="O209" s="264" t="str">
        <f t="shared" si="3"/>
        <v/>
      </c>
      <c r="P209" s="265" t="str">
        <f>IFERROR(__xludf.DUMMYFUNCTION("IF(ISBLANK(A209),"""",IFERROR(IF(H209=""Sell"",VLOOKUP(9^99,FILTER({ROW(P$2:P208),P$2:P208},D$2:D208=D209),2),(VLOOKUP(9^99,FILTER({ROW(P$2:P208),P$2:P208},D$2:D208=D209),2)*VLOOKUP(9^99,FILTER({ROW(O$2:O208),O$2:O208},D$2:D208=D209),2)-N209)/O209),J209))"),"")</f>
        <v/>
      </c>
      <c r="Q209" s="264" t="str">
        <f>IFERROR(__xludf.DUMMYFUNCTION("IFERROR(IF(F209=""Crypto"",B209,(IF(ISBLANK(D209),"""",IF(D209=""Cash"",B209,IF(GOOGLEFINANCE(D209,""CURRENCY"")=""GBX"",""GBP"",GOOGLEFINANCE(D209,""CURRENCY"")))))),B209)"),"")</f>
        <v/>
      </c>
      <c r="R209" s="263" t="str">
        <f>IFERROR(__xludf.DUMMYFUNCTION("IF(ISBLANK(A209),"""",IFERROR(IF(OR(Q209=""GPB"",Q209=""ZAR""),IF(Q209=Dashboard!$L$1,K209,(K209*GOOGLEFINANCE(""CURRENCY:""&amp;Q209&amp;""""&amp;Dashboard!$L$1&amp;""""))/100),IF(Q209=Dashboard!$L$1,K209,K209*GOOGLEFINANCE(""CURRENCY:""&amp;Q209&amp;""""&amp;Dashboard!$L$1&amp;"""")))"&amp;",K209))"),"")</f>
        <v/>
      </c>
      <c r="S209" s="266" t="str">
        <f>IFERROR(__xludf.DUMMYFUNCTION("IF(ISBLANK(A209),"""",IFERROR(IF(OR(Q209=""GPB"",Q209=""ZAR""),IF(Q209=Dashboard!$L$1,M209,(M209*GOOGLEFINANCE(""CURRENCY:""&amp;Q209&amp;""""&amp;Dashboard!$L$1&amp;""""))/100),IF(Q209=Dashboard!$L$1,M209,M209*GOOGLEFINANCE(""CURRENCY:""&amp;Q209&amp;""""&amp;Dashboard!$L$1&amp;"""")))"&amp;",M209))"),"")</f>
        <v/>
      </c>
      <c r="T209" s="264" t="str">
        <f t="shared" si="4"/>
        <v/>
      </c>
      <c r="U209" s="264" t="str">
        <f t="shared" si="5"/>
        <v/>
      </c>
      <c r="V209" s="264" t="str">
        <f t="shared" si="6"/>
        <v/>
      </c>
      <c r="W209" s="267" t="str">
        <f t="shared" si="8"/>
        <v/>
      </c>
      <c r="X209" s="264" t="str">
        <f t="shared" si="7"/>
        <v/>
      </c>
    </row>
    <row r="210" ht="15.75" customHeight="1">
      <c r="A210" s="258"/>
      <c r="B210" s="258"/>
      <c r="C210" s="269"/>
      <c r="D210" s="258"/>
      <c r="E210" s="258"/>
      <c r="F210" s="258"/>
      <c r="G210" s="258"/>
      <c r="H210" s="271"/>
      <c r="I210" s="258"/>
      <c r="J210" s="272"/>
      <c r="K210" s="260"/>
      <c r="L210" s="261"/>
      <c r="M210" s="262" t="str">
        <f t="shared" si="1"/>
        <v/>
      </c>
      <c r="N210" s="263" t="str">
        <f t="shared" si="2"/>
        <v/>
      </c>
      <c r="O210" s="264" t="str">
        <f t="shared" si="3"/>
        <v/>
      </c>
      <c r="P210" s="265" t="str">
        <f>IFERROR(__xludf.DUMMYFUNCTION("IF(ISBLANK(A210),"""",IFERROR(IF(H210=""Sell"",VLOOKUP(9^99,FILTER({ROW(P$2:P209),P$2:P209},D$2:D209=D210),2),(VLOOKUP(9^99,FILTER({ROW(P$2:P209),P$2:P209},D$2:D209=D210),2)*VLOOKUP(9^99,FILTER({ROW(O$2:O209),O$2:O209},D$2:D209=D210),2)-N210)/O210),J210))"),"")</f>
        <v/>
      </c>
      <c r="Q210" s="264" t="str">
        <f>IFERROR(__xludf.DUMMYFUNCTION("IFERROR(IF(F210=""Crypto"",B210,(IF(ISBLANK(D210),"""",IF(D210=""Cash"",B210,IF(GOOGLEFINANCE(D210,""CURRENCY"")=""GBX"",""GBP"",GOOGLEFINANCE(D210,""CURRENCY"")))))),B210)"),"")</f>
        <v/>
      </c>
      <c r="R210" s="263" t="str">
        <f>IFERROR(__xludf.DUMMYFUNCTION("IF(ISBLANK(A210),"""",IFERROR(IF(OR(Q210=""GPB"",Q210=""ZAR""),IF(Q210=Dashboard!$L$1,K210,(K210*GOOGLEFINANCE(""CURRENCY:""&amp;Q210&amp;""""&amp;Dashboard!$L$1&amp;""""))/100),IF(Q210=Dashboard!$L$1,K210,K210*GOOGLEFINANCE(""CURRENCY:""&amp;Q210&amp;""""&amp;Dashboard!$L$1&amp;"""")))"&amp;",K210))"),"")</f>
        <v/>
      </c>
      <c r="S210" s="266" t="str">
        <f>IFERROR(__xludf.DUMMYFUNCTION("IF(ISBLANK(A210),"""",IFERROR(IF(OR(Q210=""GPB"",Q210=""ZAR""),IF(Q210=Dashboard!$L$1,M210,(M210*GOOGLEFINANCE(""CURRENCY:""&amp;Q210&amp;""""&amp;Dashboard!$L$1&amp;""""))/100),IF(Q210=Dashboard!$L$1,M210,M210*GOOGLEFINANCE(""CURRENCY:""&amp;Q210&amp;""""&amp;Dashboard!$L$1&amp;"""")))"&amp;",M210))"),"")</f>
        <v/>
      </c>
      <c r="T210" s="264" t="str">
        <f t="shared" si="4"/>
        <v/>
      </c>
      <c r="U210" s="264" t="str">
        <f t="shared" si="5"/>
        <v/>
      </c>
      <c r="V210" s="264" t="str">
        <f t="shared" si="6"/>
        <v/>
      </c>
      <c r="W210" s="267" t="str">
        <f t="shared" si="8"/>
        <v/>
      </c>
      <c r="X210" s="264" t="str">
        <f t="shared" si="7"/>
        <v/>
      </c>
    </row>
    <row r="211" ht="15.75" customHeight="1">
      <c r="A211" s="258"/>
      <c r="B211" s="258"/>
      <c r="C211" s="269"/>
      <c r="D211" s="258"/>
      <c r="E211" s="258"/>
      <c r="F211" s="258"/>
      <c r="G211" s="258"/>
      <c r="H211" s="271"/>
      <c r="I211" s="258"/>
      <c r="J211" s="272"/>
      <c r="K211" s="260"/>
      <c r="L211" s="261"/>
      <c r="M211" s="262" t="str">
        <f t="shared" si="1"/>
        <v/>
      </c>
      <c r="N211" s="263" t="str">
        <f t="shared" si="2"/>
        <v/>
      </c>
      <c r="O211" s="264" t="str">
        <f t="shared" si="3"/>
        <v/>
      </c>
      <c r="P211" s="265" t="str">
        <f>IFERROR(__xludf.DUMMYFUNCTION("IF(ISBLANK(A211),"""",IFERROR(IF(H211=""Sell"",VLOOKUP(9^99,FILTER({ROW(P$2:P210),P$2:P210},D$2:D210=D211),2),(VLOOKUP(9^99,FILTER({ROW(P$2:P210),P$2:P210},D$2:D210=D211),2)*VLOOKUP(9^99,FILTER({ROW(O$2:O210),O$2:O210},D$2:D210=D211),2)-N211)/O211),J211))"),"")</f>
        <v/>
      </c>
      <c r="Q211" s="264" t="str">
        <f>IFERROR(__xludf.DUMMYFUNCTION("IFERROR(IF(F211=""Crypto"",B211,(IF(ISBLANK(D211),"""",IF(D211=""Cash"",B211,IF(GOOGLEFINANCE(D211,""CURRENCY"")=""GBX"",""GBP"",GOOGLEFINANCE(D211,""CURRENCY"")))))),B211)"),"")</f>
        <v/>
      </c>
      <c r="R211" s="263" t="str">
        <f>IFERROR(__xludf.DUMMYFUNCTION("IF(ISBLANK(A211),"""",IFERROR(IF(OR(Q211=""GPB"",Q211=""ZAR""),IF(Q211=Dashboard!$L$1,K211,(K211*GOOGLEFINANCE(""CURRENCY:""&amp;Q211&amp;""""&amp;Dashboard!$L$1&amp;""""))/100),IF(Q211=Dashboard!$L$1,K211,K211*GOOGLEFINANCE(""CURRENCY:""&amp;Q211&amp;""""&amp;Dashboard!$L$1&amp;"""")))"&amp;",K211))"),"")</f>
        <v/>
      </c>
      <c r="S211" s="266" t="str">
        <f>IFERROR(__xludf.DUMMYFUNCTION("IF(ISBLANK(A211),"""",IFERROR(IF(OR(Q211=""GPB"",Q211=""ZAR""),IF(Q211=Dashboard!$L$1,M211,(M211*GOOGLEFINANCE(""CURRENCY:""&amp;Q211&amp;""""&amp;Dashboard!$L$1&amp;""""))/100),IF(Q211=Dashboard!$L$1,M211,M211*GOOGLEFINANCE(""CURRENCY:""&amp;Q211&amp;""""&amp;Dashboard!$L$1&amp;"""")))"&amp;",M211))"),"")</f>
        <v/>
      </c>
      <c r="T211" s="264" t="str">
        <f t="shared" si="4"/>
        <v/>
      </c>
      <c r="U211" s="264" t="str">
        <f t="shared" si="5"/>
        <v/>
      </c>
      <c r="V211" s="264" t="str">
        <f t="shared" si="6"/>
        <v/>
      </c>
      <c r="W211" s="267" t="str">
        <f t="shared" si="8"/>
        <v/>
      </c>
      <c r="X211" s="264" t="str">
        <f t="shared" si="7"/>
        <v/>
      </c>
    </row>
    <row r="212" ht="15.75" customHeight="1">
      <c r="A212" s="258"/>
      <c r="B212" s="258"/>
      <c r="C212" s="269"/>
      <c r="D212" s="258"/>
      <c r="E212" s="258"/>
      <c r="F212" s="258"/>
      <c r="G212" s="258"/>
      <c r="H212" s="271"/>
      <c r="I212" s="258"/>
      <c r="J212" s="272"/>
      <c r="K212" s="260"/>
      <c r="L212" s="261"/>
      <c r="M212" s="262" t="str">
        <f t="shared" si="1"/>
        <v/>
      </c>
      <c r="N212" s="263" t="str">
        <f t="shared" si="2"/>
        <v/>
      </c>
      <c r="O212" s="264" t="str">
        <f t="shared" si="3"/>
        <v/>
      </c>
      <c r="P212" s="265" t="str">
        <f>IFERROR(__xludf.DUMMYFUNCTION("IF(ISBLANK(A212),"""",IFERROR(IF(H212=""Sell"",VLOOKUP(9^99,FILTER({ROW(P$2:P211),P$2:P211},D$2:D211=D212),2),(VLOOKUP(9^99,FILTER({ROW(P$2:P211),P$2:P211},D$2:D211=D212),2)*VLOOKUP(9^99,FILTER({ROW(O$2:O211),O$2:O211},D$2:D211=D212),2)-N212)/O212),J212))"),"")</f>
        <v/>
      </c>
      <c r="Q212" s="264" t="str">
        <f>IFERROR(__xludf.DUMMYFUNCTION("IFERROR(IF(F212=""Crypto"",B212,(IF(ISBLANK(D212),"""",IF(D212=""Cash"",B212,IF(GOOGLEFINANCE(D212,""CURRENCY"")=""GBX"",""GBP"",GOOGLEFINANCE(D212,""CURRENCY"")))))),B212)"),"")</f>
        <v/>
      </c>
      <c r="R212" s="263" t="str">
        <f>IFERROR(__xludf.DUMMYFUNCTION("IF(ISBLANK(A212),"""",IFERROR(IF(OR(Q212=""GPB"",Q212=""ZAR""),IF(Q212=Dashboard!$L$1,K212,(K212*GOOGLEFINANCE(""CURRENCY:""&amp;Q212&amp;""""&amp;Dashboard!$L$1&amp;""""))/100),IF(Q212=Dashboard!$L$1,K212,K212*GOOGLEFINANCE(""CURRENCY:""&amp;Q212&amp;""""&amp;Dashboard!$L$1&amp;"""")))"&amp;",K212))"),"")</f>
        <v/>
      </c>
      <c r="S212" s="266" t="str">
        <f>IFERROR(__xludf.DUMMYFUNCTION("IF(ISBLANK(A212),"""",IFERROR(IF(OR(Q212=""GPB"",Q212=""ZAR""),IF(Q212=Dashboard!$L$1,M212,(M212*GOOGLEFINANCE(""CURRENCY:""&amp;Q212&amp;""""&amp;Dashboard!$L$1&amp;""""))/100),IF(Q212=Dashboard!$L$1,M212,M212*GOOGLEFINANCE(""CURRENCY:""&amp;Q212&amp;""""&amp;Dashboard!$L$1&amp;"""")))"&amp;",M212))"),"")</f>
        <v/>
      </c>
      <c r="T212" s="264" t="str">
        <f t="shared" si="4"/>
        <v/>
      </c>
      <c r="U212" s="264" t="str">
        <f t="shared" si="5"/>
        <v/>
      </c>
      <c r="V212" s="264" t="str">
        <f t="shared" si="6"/>
        <v/>
      </c>
      <c r="W212" s="267" t="str">
        <f t="shared" si="8"/>
        <v/>
      </c>
      <c r="X212" s="264" t="str">
        <f t="shared" si="7"/>
        <v/>
      </c>
    </row>
    <row r="213" ht="15.75" customHeight="1">
      <c r="A213" s="258"/>
      <c r="B213" s="258"/>
      <c r="C213" s="269"/>
      <c r="D213" s="258"/>
      <c r="E213" s="258"/>
      <c r="F213" s="258"/>
      <c r="G213" s="258"/>
      <c r="H213" s="271"/>
      <c r="I213" s="258"/>
      <c r="J213" s="272"/>
      <c r="K213" s="260"/>
      <c r="L213" s="261"/>
      <c r="M213" s="262" t="str">
        <f t="shared" si="1"/>
        <v/>
      </c>
      <c r="N213" s="263" t="str">
        <f t="shared" si="2"/>
        <v/>
      </c>
      <c r="O213" s="264" t="str">
        <f t="shared" si="3"/>
        <v/>
      </c>
      <c r="P213" s="265" t="str">
        <f>IFERROR(__xludf.DUMMYFUNCTION("IF(ISBLANK(A213),"""",IFERROR(IF(H213=""Sell"",VLOOKUP(9^99,FILTER({ROW(P$2:P212),P$2:P212},D$2:D212=D213),2),(VLOOKUP(9^99,FILTER({ROW(P$2:P212),P$2:P212},D$2:D212=D213),2)*VLOOKUP(9^99,FILTER({ROW(O$2:O212),O$2:O212},D$2:D212=D213),2)-N213)/O213),J213))"),"")</f>
        <v/>
      </c>
      <c r="Q213" s="264" t="str">
        <f>IFERROR(__xludf.DUMMYFUNCTION("IFERROR(IF(F213=""Crypto"",B213,(IF(ISBLANK(D213),"""",IF(D213=""Cash"",B213,IF(GOOGLEFINANCE(D213,""CURRENCY"")=""GBX"",""GBP"",GOOGLEFINANCE(D213,""CURRENCY"")))))),B213)"),"")</f>
        <v/>
      </c>
      <c r="R213" s="263" t="str">
        <f>IFERROR(__xludf.DUMMYFUNCTION("IF(ISBLANK(A213),"""",IFERROR(IF(OR(Q213=""GPB"",Q213=""ZAR""),IF(Q213=Dashboard!$L$1,K213,(K213*GOOGLEFINANCE(""CURRENCY:""&amp;Q213&amp;""""&amp;Dashboard!$L$1&amp;""""))/100),IF(Q213=Dashboard!$L$1,K213,K213*GOOGLEFINANCE(""CURRENCY:""&amp;Q213&amp;""""&amp;Dashboard!$L$1&amp;"""")))"&amp;",K213))"),"")</f>
        <v/>
      </c>
      <c r="S213" s="266" t="str">
        <f>IFERROR(__xludf.DUMMYFUNCTION("IF(ISBLANK(A213),"""",IFERROR(IF(OR(Q213=""GPB"",Q213=""ZAR""),IF(Q213=Dashboard!$L$1,M213,(M213*GOOGLEFINANCE(""CURRENCY:""&amp;Q213&amp;""""&amp;Dashboard!$L$1&amp;""""))/100),IF(Q213=Dashboard!$L$1,M213,M213*GOOGLEFINANCE(""CURRENCY:""&amp;Q213&amp;""""&amp;Dashboard!$L$1&amp;"""")))"&amp;",M213))"),"")</f>
        <v/>
      </c>
      <c r="T213" s="264" t="str">
        <f t="shared" si="4"/>
        <v/>
      </c>
      <c r="U213" s="264" t="str">
        <f t="shared" si="5"/>
        <v/>
      </c>
      <c r="V213" s="264" t="str">
        <f t="shared" si="6"/>
        <v/>
      </c>
      <c r="W213" s="267" t="str">
        <f t="shared" si="8"/>
        <v/>
      </c>
      <c r="X213" s="264" t="str">
        <f t="shared" si="7"/>
        <v/>
      </c>
    </row>
    <row r="214" ht="15.75" customHeight="1">
      <c r="A214" s="258"/>
      <c r="B214" s="258"/>
      <c r="C214" s="269"/>
      <c r="D214" s="258"/>
      <c r="E214" s="258"/>
      <c r="F214" s="258"/>
      <c r="G214" s="258"/>
      <c r="H214" s="271"/>
      <c r="I214" s="258"/>
      <c r="J214" s="272"/>
      <c r="K214" s="260"/>
      <c r="L214" s="261"/>
      <c r="M214" s="262" t="str">
        <f t="shared" si="1"/>
        <v/>
      </c>
      <c r="N214" s="263" t="str">
        <f t="shared" si="2"/>
        <v/>
      </c>
      <c r="O214" s="264" t="str">
        <f t="shared" si="3"/>
        <v/>
      </c>
      <c r="P214" s="265" t="str">
        <f>IFERROR(__xludf.DUMMYFUNCTION("IF(ISBLANK(A214),"""",IFERROR(IF(H214=""Sell"",VLOOKUP(9^99,FILTER({ROW(P$2:P213),P$2:P213},D$2:D213=D214),2),(VLOOKUP(9^99,FILTER({ROW(P$2:P213),P$2:P213},D$2:D213=D214),2)*VLOOKUP(9^99,FILTER({ROW(O$2:O213),O$2:O213},D$2:D213=D214),2)-N214)/O214),J214))"),"")</f>
        <v/>
      </c>
      <c r="Q214" s="264" t="str">
        <f>IFERROR(__xludf.DUMMYFUNCTION("IFERROR(IF(F214=""Crypto"",B214,(IF(ISBLANK(D214),"""",IF(D214=""Cash"",B214,IF(GOOGLEFINANCE(D214,""CURRENCY"")=""GBX"",""GBP"",GOOGLEFINANCE(D214,""CURRENCY"")))))),B214)"),"")</f>
        <v/>
      </c>
      <c r="R214" s="263" t="str">
        <f>IFERROR(__xludf.DUMMYFUNCTION("IF(ISBLANK(A214),"""",IFERROR(IF(OR(Q214=""GPB"",Q214=""ZAR""),IF(Q214=Dashboard!$L$1,K214,(K214*GOOGLEFINANCE(""CURRENCY:""&amp;Q214&amp;""""&amp;Dashboard!$L$1&amp;""""))/100),IF(Q214=Dashboard!$L$1,K214,K214*GOOGLEFINANCE(""CURRENCY:""&amp;Q214&amp;""""&amp;Dashboard!$L$1&amp;"""")))"&amp;",K214))"),"")</f>
        <v/>
      </c>
      <c r="S214" s="266" t="str">
        <f>IFERROR(__xludf.DUMMYFUNCTION("IF(ISBLANK(A214),"""",IFERROR(IF(OR(Q214=""GPB"",Q214=""ZAR""),IF(Q214=Dashboard!$L$1,M214,(M214*GOOGLEFINANCE(""CURRENCY:""&amp;Q214&amp;""""&amp;Dashboard!$L$1&amp;""""))/100),IF(Q214=Dashboard!$L$1,M214,M214*GOOGLEFINANCE(""CURRENCY:""&amp;Q214&amp;""""&amp;Dashboard!$L$1&amp;"""")))"&amp;",M214))"),"")</f>
        <v/>
      </c>
      <c r="T214" s="264" t="str">
        <f t="shared" si="4"/>
        <v/>
      </c>
      <c r="U214" s="264" t="str">
        <f t="shared" si="5"/>
        <v/>
      </c>
      <c r="V214" s="264" t="str">
        <f t="shared" si="6"/>
        <v/>
      </c>
      <c r="W214" s="267" t="str">
        <f t="shared" si="8"/>
        <v/>
      </c>
      <c r="X214" s="264" t="str">
        <f t="shared" si="7"/>
        <v/>
      </c>
    </row>
    <row r="215" ht="15.75" customHeight="1">
      <c r="A215" s="258"/>
      <c r="B215" s="258"/>
      <c r="C215" s="269"/>
      <c r="D215" s="258"/>
      <c r="E215" s="258"/>
      <c r="F215" s="258"/>
      <c r="G215" s="258"/>
      <c r="H215" s="271"/>
      <c r="I215" s="258"/>
      <c r="J215" s="272"/>
      <c r="K215" s="260"/>
      <c r="L215" s="261"/>
      <c r="M215" s="262" t="str">
        <f t="shared" si="1"/>
        <v/>
      </c>
      <c r="N215" s="263" t="str">
        <f t="shared" si="2"/>
        <v/>
      </c>
      <c r="O215" s="264" t="str">
        <f t="shared" si="3"/>
        <v/>
      </c>
      <c r="P215" s="265" t="str">
        <f>IFERROR(__xludf.DUMMYFUNCTION("IF(ISBLANK(A215),"""",IFERROR(IF(H215=""Sell"",VLOOKUP(9^99,FILTER({ROW(P$2:P214),P$2:P214},D$2:D214=D215),2),(VLOOKUP(9^99,FILTER({ROW(P$2:P214),P$2:P214},D$2:D214=D215),2)*VLOOKUP(9^99,FILTER({ROW(O$2:O214),O$2:O214},D$2:D214=D215),2)-N215)/O215),J215))"),"")</f>
        <v/>
      </c>
      <c r="Q215" s="264" t="str">
        <f>IFERROR(__xludf.DUMMYFUNCTION("IFERROR(IF(F215=""Crypto"",B215,(IF(ISBLANK(D215),"""",IF(D215=""Cash"",B215,IF(GOOGLEFINANCE(D215,""CURRENCY"")=""GBX"",""GBP"",GOOGLEFINANCE(D215,""CURRENCY"")))))),B215)"),"")</f>
        <v/>
      </c>
      <c r="R215" s="263" t="str">
        <f>IFERROR(__xludf.DUMMYFUNCTION("IF(ISBLANK(A215),"""",IFERROR(IF(OR(Q215=""GPB"",Q215=""ZAR""),IF(Q215=Dashboard!$L$1,K215,(K215*GOOGLEFINANCE(""CURRENCY:""&amp;Q215&amp;""""&amp;Dashboard!$L$1&amp;""""))/100),IF(Q215=Dashboard!$L$1,K215,K215*GOOGLEFINANCE(""CURRENCY:""&amp;Q215&amp;""""&amp;Dashboard!$L$1&amp;"""")))"&amp;",K215))"),"")</f>
        <v/>
      </c>
      <c r="S215" s="266" t="str">
        <f>IFERROR(__xludf.DUMMYFUNCTION("IF(ISBLANK(A215),"""",IFERROR(IF(OR(Q215=""GPB"",Q215=""ZAR""),IF(Q215=Dashboard!$L$1,M215,(M215*GOOGLEFINANCE(""CURRENCY:""&amp;Q215&amp;""""&amp;Dashboard!$L$1&amp;""""))/100),IF(Q215=Dashboard!$L$1,M215,M215*GOOGLEFINANCE(""CURRENCY:""&amp;Q215&amp;""""&amp;Dashboard!$L$1&amp;"""")))"&amp;",M215))"),"")</f>
        <v/>
      </c>
      <c r="T215" s="264" t="str">
        <f t="shared" si="4"/>
        <v/>
      </c>
      <c r="U215" s="264" t="str">
        <f t="shared" si="5"/>
        <v/>
      </c>
      <c r="V215" s="264" t="str">
        <f t="shared" si="6"/>
        <v/>
      </c>
      <c r="W215" s="267" t="str">
        <f t="shared" si="8"/>
        <v/>
      </c>
      <c r="X215" s="264" t="str">
        <f t="shared" si="7"/>
        <v/>
      </c>
    </row>
    <row r="216" ht="15.75" customHeight="1">
      <c r="A216" s="258"/>
      <c r="B216" s="258"/>
      <c r="C216" s="269"/>
      <c r="D216" s="258"/>
      <c r="E216" s="258"/>
      <c r="F216" s="258"/>
      <c r="G216" s="258"/>
      <c r="H216" s="271"/>
      <c r="I216" s="258"/>
      <c r="J216" s="272"/>
      <c r="K216" s="260"/>
      <c r="L216" s="261"/>
      <c r="M216" s="262" t="str">
        <f t="shared" si="1"/>
        <v/>
      </c>
      <c r="N216" s="263" t="str">
        <f t="shared" si="2"/>
        <v/>
      </c>
      <c r="O216" s="264" t="str">
        <f t="shared" si="3"/>
        <v/>
      </c>
      <c r="P216" s="265" t="str">
        <f>IFERROR(__xludf.DUMMYFUNCTION("IF(ISBLANK(A216),"""",IFERROR(IF(H216=""Sell"",VLOOKUP(9^99,FILTER({ROW(P$2:P215),P$2:P215},D$2:D215=D216),2),(VLOOKUP(9^99,FILTER({ROW(P$2:P215),P$2:P215},D$2:D215=D216),2)*VLOOKUP(9^99,FILTER({ROW(O$2:O215),O$2:O215},D$2:D215=D216),2)-N216)/O216),J216))"),"")</f>
        <v/>
      </c>
      <c r="Q216" s="264" t="str">
        <f>IFERROR(__xludf.DUMMYFUNCTION("IFERROR(IF(F216=""Crypto"",B216,(IF(ISBLANK(D216),"""",IF(D216=""Cash"",B216,IF(GOOGLEFINANCE(D216,""CURRENCY"")=""GBX"",""GBP"",GOOGLEFINANCE(D216,""CURRENCY"")))))),B216)"),"")</f>
        <v/>
      </c>
      <c r="R216" s="263" t="str">
        <f>IFERROR(__xludf.DUMMYFUNCTION("IF(ISBLANK(A216),"""",IFERROR(IF(OR(Q216=""GPB"",Q216=""ZAR""),IF(Q216=Dashboard!$L$1,K216,(K216*GOOGLEFINANCE(""CURRENCY:""&amp;Q216&amp;""""&amp;Dashboard!$L$1&amp;""""))/100),IF(Q216=Dashboard!$L$1,K216,K216*GOOGLEFINANCE(""CURRENCY:""&amp;Q216&amp;""""&amp;Dashboard!$L$1&amp;"""")))"&amp;",K216))"),"")</f>
        <v/>
      </c>
      <c r="S216" s="266" t="str">
        <f>IFERROR(__xludf.DUMMYFUNCTION("IF(ISBLANK(A216),"""",IFERROR(IF(OR(Q216=""GPB"",Q216=""ZAR""),IF(Q216=Dashboard!$L$1,M216,(M216*GOOGLEFINANCE(""CURRENCY:""&amp;Q216&amp;""""&amp;Dashboard!$L$1&amp;""""))/100),IF(Q216=Dashboard!$L$1,M216,M216*GOOGLEFINANCE(""CURRENCY:""&amp;Q216&amp;""""&amp;Dashboard!$L$1&amp;"""")))"&amp;",M216))"),"")</f>
        <v/>
      </c>
      <c r="T216" s="264" t="str">
        <f t="shared" si="4"/>
        <v/>
      </c>
      <c r="U216" s="264" t="str">
        <f t="shared" si="5"/>
        <v/>
      </c>
      <c r="V216" s="264" t="str">
        <f t="shared" si="6"/>
        <v/>
      </c>
      <c r="W216" s="267" t="str">
        <f t="shared" si="8"/>
        <v/>
      </c>
      <c r="X216" s="264" t="str">
        <f t="shared" si="7"/>
        <v/>
      </c>
    </row>
    <row r="217" ht="15.75" customHeight="1">
      <c r="A217" s="258"/>
      <c r="B217" s="258"/>
      <c r="C217" s="269"/>
      <c r="D217" s="258"/>
      <c r="E217" s="258"/>
      <c r="F217" s="258"/>
      <c r="G217" s="258"/>
      <c r="H217" s="271"/>
      <c r="I217" s="258"/>
      <c r="J217" s="272"/>
      <c r="K217" s="260"/>
      <c r="L217" s="261"/>
      <c r="M217" s="262" t="str">
        <f t="shared" si="1"/>
        <v/>
      </c>
      <c r="N217" s="263" t="str">
        <f t="shared" si="2"/>
        <v/>
      </c>
      <c r="O217" s="264" t="str">
        <f t="shared" si="3"/>
        <v/>
      </c>
      <c r="P217" s="265" t="str">
        <f>IFERROR(__xludf.DUMMYFUNCTION("IF(ISBLANK(A217),"""",IFERROR(IF(H217=""Sell"",VLOOKUP(9^99,FILTER({ROW(P$2:P216),P$2:P216},D$2:D216=D217),2),(VLOOKUP(9^99,FILTER({ROW(P$2:P216),P$2:P216},D$2:D216=D217),2)*VLOOKUP(9^99,FILTER({ROW(O$2:O216),O$2:O216},D$2:D216=D217),2)-N217)/O217),J217))"),"")</f>
        <v/>
      </c>
      <c r="Q217" s="264" t="str">
        <f>IFERROR(__xludf.DUMMYFUNCTION("IFERROR(IF(F217=""Crypto"",B217,(IF(ISBLANK(D217),"""",IF(D217=""Cash"",B217,IF(GOOGLEFINANCE(D217,""CURRENCY"")=""GBX"",""GBP"",GOOGLEFINANCE(D217,""CURRENCY"")))))),B217)"),"")</f>
        <v/>
      </c>
      <c r="R217" s="263" t="str">
        <f>IFERROR(__xludf.DUMMYFUNCTION("IF(ISBLANK(A217),"""",IFERROR(IF(OR(Q217=""GPB"",Q217=""ZAR""),IF(Q217=Dashboard!$L$1,K217,(K217*GOOGLEFINANCE(""CURRENCY:""&amp;Q217&amp;""""&amp;Dashboard!$L$1&amp;""""))/100),IF(Q217=Dashboard!$L$1,K217,K217*GOOGLEFINANCE(""CURRENCY:""&amp;Q217&amp;""""&amp;Dashboard!$L$1&amp;"""")))"&amp;",K217))"),"")</f>
        <v/>
      </c>
      <c r="S217" s="266" t="str">
        <f>IFERROR(__xludf.DUMMYFUNCTION("IF(ISBLANK(A217),"""",IFERROR(IF(OR(Q217=""GPB"",Q217=""ZAR""),IF(Q217=Dashboard!$L$1,M217,(M217*GOOGLEFINANCE(""CURRENCY:""&amp;Q217&amp;""""&amp;Dashboard!$L$1&amp;""""))/100),IF(Q217=Dashboard!$L$1,M217,M217*GOOGLEFINANCE(""CURRENCY:""&amp;Q217&amp;""""&amp;Dashboard!$L$1&amp;"""")))"&amp;",M217))"),"")</f>
        <v/>
      </c>
      <c r="T217" s="264" t="str">
        <f t="shared" si="4"/>
        <v/>
      </c>
      <c r="U217" s="264" t="str">
        <f t="shared" si="5"/>
        <v/>
      </c>
      <c r="V217" s="264" t="str">
        <f t="shared" si="6"/>
        <v/>
      </c>
      <c r="W217" s="267" t="str">
        <f t="shared" si="8"/>
        <v/>
      </c>
      <c r="X217" s="264" t="str">
        <f t="shared" si="7"/>
        <v/>
      </c>
    </row>
    <row r="218" ht="15.75" customHeight="1">
      <c r="A218" s="258"/>
      <c r="B218" s="258"/>
      <c r="C218" s="269"/>
      <c r="D218" s="258"/>
      <c r="E218" s="258"/>
      <c r="F218" s="258"/>
      <c r="G218" s="258"/>
      <c r="H218" s="271"/>
      <c r="I218" s="258"/>
      <c r="J218" s="272"/>
      <c r="K218" s="260"/>
      <c r="L218" s="261"/>
      <c r="M218" s="262" t="str">
        <f t="shared" si="1"/>
        <v/>
      </c>
      <c r="N218" s="263" t="str">
        <f t="shared" si="2"/>
        <v/>
      </c>
      <c r="O218" s="264" t="str">
        <f t="shared" si="3"/>
        <v/>
      </c>
      <c r="P218" s="265" t="str">
        <f>IFERROR(__xludf.DUMMYFUNCTION("IF(ISBLANK(A218),"""",IFERROR(IF(H218=""Sell"",VLOOKUP(9^99,FILTER({ROW(P$2:P217),P$2:P217},D$2:D217=D218),2),(VLOOKUP(9^99,FILTER({ROW(P$2:P217),P$2:P217},D$2:D217=D218),2)*VLOOKUP(9^99,FILTER({ROW(O$2:O217),O$2:O217},D$2:D217=D218),2)-N218)/O218),J218))"),"")</f>
        <v/>
      </c>
      <c r="Q218" s="264" t="str">
        <f>IFERROR(__xludf.DUMMYFUNCTION("IFERROR(IF(F218=""Crypto"",B218,(IF(ISBLANK(D218),"""",IF(D218=""Cash"",B218,IF(GOOGLEFINANCE(D218,""CURRENCY"")=""GBX"",""GBP"",GOOGLEFINANCE(D218,""CURRENCY"")))))),B218)"),"")</f>
        <v/>
      </c>
      <c r="R218" s="263" t="str">
        <f>IFERROR(__xludf.DUMMYFUNCTION("IF(ISBLANK(A218),"""",IFERROR(IF(OR(Q218=""GPB"",Q218=""ZAR""),IF(Q218=Dashboard!$L$1,K218,(K218*GOOGLEFINANCE(""CURRENCY:""&amp;Q218&amp;""""&amp;Dashboard!$L$1&amp;""""))/100),IF(Q218=Dashboard!$L$1,K218,K218*GOOGLEFINANCE(""CURRENCY:""&amp;Q218&amp;""""&amp;Dashboard!$L$1&amp;"""")))"&amp;",K218))"),"")</f>
        <v/>
      </c>
      <c r="S218" s="266" t="str">
        <f>IFERROR(__xludf.DUMMYFUNCTION("IF(ISBLANK(A218),"""",IFERROR(IF(OR(Q218=""GPB"",Q218=""ZAR""),IF(Q218=Dashboard!$L$1,M218,(M218*GOOGLEFINANCE(""CURRENCY:""&amp;Q218&amp;""""&amp;Dashboard!$L$1&amp;""""))/100),IF(Q218=Dashboard!$L$1,M218,M218*GOOGLEFINANCE(""CURRENCY:""&amp;Q218&amp;""""&amp;Dashboard!$L$1&amp;"""")))"&amp;",M218))"),"")</f>
        <v/>
      </c>
      <c r="T218" s="264" t="str">
        <f t="shared" si="4"/>
        <v/>
      </c>
      <c r="U218" s="264" t="str">
        <f t="shared" si="5"/>
        <v/>
      </c>
      <c r="V218" s="264" t="str">
        <f t="shared" si="6"/>
        <v/>
      </c>
      <c r="W218" s="267" t="str">
        <f t="shared" si="8"/>
        <v/>
      </c>
      <c r="X218" s="264" t="str">
        <f t="shared" si="7"/>
        <v/>
      </c>
    </row>
    <row r="219" ht="15.75" customHeight="1">
      <c r="A219" s="258"/>
      <c r="B219" s="258"/>
      <c r="C219" s="269"/>
      <c r="D219" s="258"/>
      <c r="E219" s="258"/>
      <c r="F219" s="258"/>
      <c r="G219" s="258"/>
      <c r="H219" s="271"/>
      <c r="I219" s="258"/>
      <c r="J219" s="272"/>
      <c r="K219" s="260"/>
      <c r="L219" s="261"/>
      <c r="M219" s="262" t="str">
        <f t="shared" si="1"/>
        <v/>
      </c>
      <c r="N219" s="263" t="str">
        <f t="shared" si="2"/>
        <v/>
      </c>
      <c r="O219" s="264" t="str">
        <f t="shared" si="3"/>
        <v/>
      </c>
      <c r="P219" s="265" t="str">
        <f>IFERROR(__xludf.DUMMYFUNCTION("IF(ISBLANK(A219),"""",IFERROR(IF(H219=""Sell"",VLOOKUP(9^99,FILTER({ROW(P$2:P218),P$2:P218},D$2:D218=D219),2),(VLOOKUP(9^99,FILTER({ROW(P$2:P218),P$2:P218},D$2:D218=D219),2)*VLOOKUP(9^99,FILTER({ROW(O$2:O218),O$2:O218},D$2:D218=D219),2)-N219)/O219),J219))"),"")</f>
        <v/>
      </c>
      <c r="Q219" s="264" t="str">
        <f>IFERROR(__xludf.DUMMYFUNCTION("IFERROR(IF(F219=""Crypto"",B219,(IF(ISBLANK(D219),"""",IF(D219=""Cash"",B219,IF(GOOGLEFINANCE(D219,""CURRENCY"")=""GBX"",""GBP"",GOOGLEFINANCE(D219,""CURRENCY"")))))),B219)"),"")</f>
        <v/>
      </c>
      <c r="R219" s="263" t="str">
        <f>IFERROR(__xludf.DUMMYFUNCTION("IF(ISBLANK(A219),"""",IFERROR(IF(OR(Q219=""GPB"",Q219=""ZAR""),IF(Q219=Dashboard!$L$1,K219,(K219*GOOGLEFINANCE(""CURRENCY:""&amp;Q219&amp;""""&amp;Dashboard!$L$1&amp;""""))/100),IF(Q219=Dashboard!$L$1,K219,K219*GOOGLEFINANCE(""CURRENCY:""&amp;Q219&amp;""""&amp;Dashboard!$L$1&amp;"""")))"&amp;",K219))"),"")</f>
        <v/>
      </c>
      <c r="S219" s="266" t="str">
        <f>IFERROR(__xludf.DUMMYFUNCTION("IF(ISBLANK(A219),"""",IFERROR(IF(OR(Q219=""GPB"",Q219=""ZAR""),IF(Q219=Dashboard!$L$1,M219,(M219*GOOGLEFINANCE(""CURRENCY:""&amp;Q219&amp;""""&amp;Dashboard!$L$1&amp;""""))/100),IF(Q219=Dashboard!$L$1,M219,M219*GOOGLEFINANCE(""CURRENCY:""&amp;Q219&amp;""""&amp;Dashboard!$L$1&amp;"""")))"&amp;",M219))"),"")</f>
        <v/>
      </c>
      <c r="T219" s="264" t="str">
        <f t="shared" si="4"/>
        <v/>
      </c>
      <c r="U219" s="264" t="str">
        <f t="shared" si="5"/>
        <v/>
      </c>
      <c r="V219" s="264" t="str">
        <f t="shared" si="6"/>
        <v/>
      </c>
      <c r="W219" s="267" t="str">
        <f t="shared" si="8"/>
        <v/>
      </c>
      <c r="X219" s="264" t="str">
        <f t="shared" si="7"/>
        <v/>
      </c>
    </row>
    <row r="220" ht="15.75" customHeight="1">
      <c r="A220" s="258"/>
      <c r="B220" s="258"/>
      <c r="C220" s="269"/>
      <c r="D220" s="258"/>
      <c r="E220" s="258"/>
      <c r="F220" s="258"/>
      <c r="G220" s="258"/>
      <c r="H220" s="271"/>
      <c r="I220" s="258"/>
      <c r="J220" s="272"/>
      <c r="K220" s="260"/>
      <c r="L220" s="261"/>
      <c r="M220" s="262" t="str">
        <f t="shared" si="1"/>
        <v/>
      </c>
      <c r="N220" s="263" t="str">
        <f t="shared" si="2"/>
        <v/>
      </c>
      <c r="O220" s="264" t="str">
        <f t="shared" si="3"/>
        <v/>
      </c>
      <c r="P220" s="265" t="str">
        <f>IFERROR(__xludf.DUMMYFUNCTION("IF(ISBLANK(A220),"""",IFERROR(IF(H220=""Sell"",VLOOKUP(9^99,FILTER({ROW(P$2:P219),P$2:P219},D$2:D219=D220),2),(VLOOKUP(9^99,FILTER({ROW(P$2:P219),P$2:P219},D$2:D219=D220),2)*VLOOKUP(9^99,FILTER({ROW(O$2:O219),O$2:O219},D$2:D219=D220),2)-N220)/O220),J220))"),"")</f>
        <v/>
      </c>
      <c r="Q220" s="264" t="str">
        <f>IFERROR(__xludf.DUMMYFUNCTION("IFERROR(IF(F220=""Crypto"",B220,(IF(ISBLANK(D220),"""",IF(D220=""Cash"",B220,IF(GOOGLEFINANCE(D220,""CURRENCY"")=""GBX"",""GBP"",GOOGLEFINANCE(D220,""CURRENCY"")))))),B220)"),"")</f>
        <v/>
      </c>
      <c r="R220" s="263" t="str">
        <f>IFERROR(__xludf.DUMMYFUNCTION("IF(ISBLANK(A220),"""",IFERROR(IF(OR(Q220=""GPB"",Q220=""ZAR""),IF(Q220=Dashboard!$L$1,K220,(K220*GOOGLEFINANCE(""CURRENCY:""&amp;Q220&amp;""""&amp;Dashboard!$L$1&amp;""""))/100),IF(Q220=Dashboard!$L$1,K220,K220*GOOGLEFINANCE(""CURRENCY:""&amp;Q220&amp;""""&amp;Dashboard!$L$1&amp;"""")))"&amp;",K220))"),"")</f>
        <v/>
      </c>
      <c r="S220" s="266" t="str">
        <f>IFERROR(__xludf.DUMMYFUNCTION("IF(ISBLANK(A220),"""",IFERROR(IF(OR(Q220=""GPB"",Q220=""ZAR""),IF(Q220=Dashboard!$L$1,M220,(M220*GOOGLEFINANCE(""CURRENCY:""&amp;Q220&amp;""""&amp;Dashboard!$L$1&amp;""""))/100),IF(Q220=Dashboard!$L$1,M220,M220*GOOGLEFINANCE(""CURRENCY:""&amp;Q220&amp;""""&amp;Dashboard!$L$1&amp;"""")))"&amp;",M220))"),"")</f>
        <v/>
      </c>
      <c r="T220" s="264" t="str">
        <f t="shared" si="4"/>
        <v/>
      </c>
      <c r="U220" s="264" t="str">
        <f t="shared" si="5"/>
        <v/>
      </c>
      <c r="V220" s="264" t="str">
        <f t="shared" si="6"/>
        <v/>
      </c>
      <c r="W220" s="267" t="str">
        <f t="shared" si="8"/>
        <v/>
      </c>
      <c r="X220" s="264" t="str">
        <f t="shared" si="7"/>
        <v/>
      </c>
    </row>
    <row r="221" ht="15.75" customHeight="1">
      <c r="A221" s="258"/>
      <c r="B221" s="258"/>
      <c r="C221" s="269"/>
      <c r="D221" s="258"/>
      <c r="E221" s="258"/>
      <c r="F221" s="258"/>
      <c r="G221" s="258"/>
      <c r="H221" s="271"/>
      <c r="I221" s="258"/>
      <c r="J221" s="272"/>
      <c r="K221" s="260"/>
      <c r="L221" s="261"/>
      <c r="M221" s="262" t="str">
        <f t="shared" si="1"/>
        <v/>
      </c>
      <c r="N221" s="263" t="str">
        <f t="shared" si="2"/>
        <v/>
      </c>
      <c r="O221" s="264" t="str">
        <f t="shared" si="3"/>
        <v/>
      </c>
      <c r="P221" s="265" t="str">
        <f>IFERROR(__xludf.DUMMYFUNCTION("IF(ISBLANK(A221),"""",IFERROR(IF(H221=""Sell"",VLOOKUP(9^99,FILTER({ROW(P$2:P220),P$2:P220},D$2:D220=D221),2),(VLOOKUP(9^99,FILTER({ROW(P$2:P220),P$2:P220},D$2:D220=D221),2)*VLOOKUP(9^99,FILTER({ROW(O$2:O220),O$2:O220},D$2:D220=D221),2)-N221)/O221),J221))"),"")</f>
        <v/>
      </c>
      <c r="Q221" s="264" t="str">
        <f>IFERROR(__xludf.DUMMYFUNCTION("IFERROR(IF(F221=""Crypto"",B221,(IF(ISBLANK(D221),"""",IF(D221=""Cash"",B221,IF(GOOGLEFINANCE(D221,""CURRENCY"")=""GBX"",""GBP"",GOOGLEFINANCE(D221,""CURRENCY"")))))),B221)"),"")</f>
        <v/>
      </c>
      <c r="R221" s="263" t="str">
        <f>IFERROR(__xludf.DUMMYFUNCTION("IF(ISBLANK(A221),"""",IFERROR(IF(OR(Q221=""GPB"",Q221=""ZAR""),IF(Q221=Dashboard!$L$1,K221,(K221*GOOGLEFINANCE(""CURRENCY:""&amp;Q221&amp;""""&amp;Dashboard!$L$1&amp;""""))/100),IF(Q221=Dashboard!$L$1,K221,K221*GOOGLEFINANCE(""CURRENCY:""&amp;Q221&amp;""""&amp;Dashboard!$L$1&amp;"""")))"&amp;",K221))"),"")</f>
        <v/>
      </c>
      <c r="S221" s="266" t="str">
        <f>IFERROR(__xludf.DUMMYFUNCTION("IF(ISBLANK(A221),"""",IFERROR(IF(OR(Q221=""GPB"",Q221=""ZAR""),IF(Q221=Dashboard!$L$1,M221,(M221*GOOGLEFINANCE(""CURRENCY:""&amp;Q221&amp;""""&amp;Dashboard!$L$1&amp;""""))/100),IF(Q221=Dashboard!$L$1,M221,M221*GOOGLEFINANCE(""CURRENCY:""&amp;Q221&amp;""""&amp;Dashboard!$L$1&amp;"""")))"&amp;",M221))"),"")</f>
        <v/>
      </c>
      <c r="T221" s="264" t="str">
        <f t="shared" si="4"/>
        <v/>
      </c>
      <c r="U221" s="264" t="str">
        <f t="shared" si="5"/>
        <v/>
      </c>
      <c r="V221" s="264" t="str">
        <f t="shared" si="6"/>
        <v/>
      </c>
      <c r="W221" s="267" t="str">
        <f t="shared" si="8"/>
        <v/>
      </c>
      <c r="X221" s="264" t="str">
        <f t="shared" si="7"/>
        <v/>
      </c>
    </row>
    <row r="222" ht="15.75" customHeight="1">
      <c r="A222" s="258"/>
      <c r="B222" s="258"/>
      <c r="C222" s="269"/>
      <c r="D222" s="258"/>
      <c r="E222" s="258"/>
      <c r="F222" s="258"/>
      <c r="G222" s="258"/>
      <c r="H222" s="271"/>
      <c r="I222" s="258"/>
      <c r="J222" s="272"/>
      <c r="K222" s="260"/>
      <c r="L222" s="261"/>
      <c r="M222" s="262" t="str">
        <f t="shared" si="1"/>
        <v/>
      </c>
      <c r="N222" s="263" t="str">
        <f t="shared" si="2"/>
        <v/>
      </c>
      <c r="O222" s="264" t="str">
        <f t="shared" si="3"/>
        <v/>
      </c>
      <c r="P222" s="265" t="str">
        <f>IFERROR(__xludf.DUMMYFUNCTION("IF(ISBLANK(A222),"""",IFERROR(IF(H222=""Sell"",VLOOKUP(9^99,FILTER({ROW(P$2:P221),P$2:P221},D$2:D221=D222),2),(VLOOKUP(9^99,FILTER({ROW(P$2:P221),P$2:P221},D$2:D221=D222),2)*VLOOKUP(9^99,FILTER({ROW(O$2:O221),O$2:O221},D$2:D221=D222),2)-N222)/O222),J222))"),"")</f>
        <v/>
      </c>
      <c r="Q222" s="264" t="str">
        <f>IFERROR(__xludf.DUMMYFUNCTION("IFERROR(IF(F222=""Crypto"",B222,(IF(ISBLANK(D222),"""",IF(D222=""Cash"",B222,IF(GOOGLEFINANCE(D222,""CURRENCY"")=""GBX"",""GBP"",GOOGLEFINANCE(D222,""CURRENCY"")))))),B222)"),"")</f>
        <v/>
      </c>
      <c r="R222" s="263" t="str">
        <f>IFERROR(__xludf.DUMMYFUNCTION("IF(ISBLANK(A222),"""",IFERROR(IF(OR(Q222=""GPB"",Q222=""ZAR""),IF(Q222=Dashboard!$L$1,K222,(K222*GOOGLEFINANCE(""CURRENCY:""&amp;Q222&amp;""""&amp;Dashboard!$L$1&amp;""""))/100),IF(Q222=Dashboard!$L$1,K222,K222*GOOGLEFINANCE(""CURRENCY:""&amp;Q222&amp;""""&amp;Dashboard!$L$1&amp;"""")))"&amp;",K222))"),"")</f>
        <v/>
      </c>
      <c r="S222" s="266" t="str">
        <f>IFERROR(__xludf.DUMMYFUNCTION("IF(ISBLANK(A222),"""",IFERROR(IF(OR(Q222=""GPB"",Q222=""ZAR""),IF(Q222=Dashboard!$L$1,M222,(M222*GOOGLEFINANCE(""CURRENCY:""&amp;Q222&amp;""""&amp;Dashboard!$L$1&amp;""""))/100),IF(Q222=Dashboard!$L$1,M222,M222*GOOGLEFINANCE(""CURRENCY:""&amp;Q222&amp;""""&amp;Dashboard!$L$1&amp;"""")))"&amp;",M222))"),"")</f>
        <v/>
      </c>
      <c r="T222" s="264" t="str">
        <f t="shared" si="4"/>
        <v/>
      </c>
      <c r="U222" s="264" t="str">
        <f t="shared" si="5"/>
        <v/>
      </c>
      <c r="V222" s="264" t="str">
        <f t="shared" si="6"/>
        <v/>
      </c>
      <c r="W222" s="267" t="str">
        <f t="shared" si="8"/>
        <v/>
      </c>
      <c r="X222" s="264" t="str">
        <f t="shared" si="7"/>
        <v/>
      </c>
    </row>
    <row r="223" ht="15.75" customHeight="1">
      <c r="A223" s="258"/>
      <c r="B223" s="258"/>
      <c r="C223" s="269"/>
      <c r="D223" s="258"/>
      <c r="E223" s="258"/>
      <c r="F223" s="258"/>
      <c r="G223" s="258"/>
      <c r="H223" s="271"/>
      <c r="I223" s="258"/>
      <c r="J223" s="272"/>
      <c r="K223" s="260"/>
      <c r="L223" s="261"/>
      <c r="M223" s="262" t="str">
        <f t="shared" si="1"/>
        <v/>
      </c>
      <c r="N223" s="263" t="str">
        <f t="shared" si="2"/>
        <v/>
      </c>
      <c r="O223" s="264" t="str">
        <f t="shared" si="3"/>
        <v/>
      </c>
      <c r="P223" s="265" t="str">
        <f>IFERROR(__xludf.DUMMYFUNCTION("IF(ISBLANK(A223),"""",IFERROR(IF(H223=""Sell"",VLOOKUP(9^99,FILTER({ROW(P$2:P222),P$2:P222},D$2:D222=D223),2),(VLOOKUP(9^99,FILTER({ROW(P$2:P222),P$2:P222},D$2:D222=D223),2)*VLOOKUP(9^99,FILTER({ROW(O$2:O222),O$2:O222},D$2:D222=D223),2)-N223)/O223),J223))"),"")</f>
        <v/>
      </c>
      <c r="Q223" s="264" t="str">
        <f>IFERROR(__xludf.DUMMYFUNCTION("IFERROR(IF(F223=""Crypto"",B223,(IF(ISBLANK(D223),"""",IF(D223=""Cash"",B223,IF(GOOGLEFINANCE(D223,""CURRENCY"")=""GBX"",""GBP"",GOOGLEFINANCE(D223,""CURRENCY"")))))),B223)"),"")</f>
        <v/>
      </c>
      <c r="R223" s="263" t="str">
        <f>IFERROR(__xludf.DUMMYFUNCTION("IF(ISBLANK(A223),"""",IFERROR(IF(OR(Q223=""GPB"",Q223=""ZAR""),IF(Q223=Dashboard!$L$1,K223,(K223*GOOGLEFINANCE(""CURRENCY:""&amp;Q223&amp;""""&amp;Dashboard!$L$1&amp;""""))/100),IF(Q223=Dashboard!$L$1,K223,K223*GOOGLEFINANCE(""CURRENCY:""&amp;Q223&amp;""""&amp;Dashboard!$L$1&amp;"""")))"&amp;",K223))"),"")</f>
        <v/>
      </c>
      <c r="S223" s="266" t="str">
        <f>IFERROR(__xludf.DUMMYFUNCTION("IF(ISBLANK(A223),"""",IFERROR(IF(OR(Q223=""GPB"",Q223=""ZAR""),IF(Q223=Dashboard!$L$1,M223,(M223*GOOGLEFINANCE(""CURRENCY:""&amp;Q223&amp;""""&amp;Dashboard!$L$1&amp;""""))/100),IF(Q223=Dashboard!$L$1,M223,M223*GOOGLEFINANCE(""CURRENCY:""&amp;Q223&amp;""""&amp;Dashboard!$L$1&amp;"""")))"&amp;",M223))"),"")</f>
        <v/>
      </c>
      <c r="T223" s="264" t="str">
        <f t="shared" si="4"/>
        <v/>
      </c>
      <c r="U223" s="264" t="str">
        <f t="shared" si="5"/>
        <v/>
      </c>
      <c r="V223" s="264" t="str">
        <f t="shared" si="6"/>
        <v/>
      </c>
      <c r="W223" s="267" t="str">
        <f t="shared" si="8"/>
        <v/>
      </c>
      <c r="X223" s="264" t="str">
        <f t="shared" si="7"/>
        <v/>
      </c>
    </row>
    <row r="224" ht="15.75" customHeight="1">
      <c r="A224" s="258"/>
      <c r="B224" s="258"/>
      <c r="C224" s="269"/>
      <c r="D224" s="258"/>
      <c r="E224" s="258"/>
      <c r="F224" s="258"/>
      <c r="G224" s="258"/>
      <c r="H224" s="271"/>
      <c r="I224" s="258"/>
      <c r="J224" s="272"/>
      <c r="K224" s="260"/>
      <c r="L224" s="261"/>
      <c r="M224" s="262" t="str">
        <f t="shared" si="1"/>
        <v/>
      </c>
      <c r="N224" s="263" t="str">
        <f t="shared" si="2"/>
        <v/>
      </c>
      <c r="O224" s="264" t="str">
        <f t="shared" si="3"/>
        <v/>
      </c>
      <c r="P224" s="265" t="str">
        <f>IFERROR(__xludf.DUMMYFUNCTION("IF(ISBLANK(A224),"""",IFERROR(IF(H224=""Sell"",VLOOKUP(9^99,FILTER({ROW(P$2:P223),P$2:P223},D$2:D223=D224),2),(VLOOKUP(9^99,FILTER({ROW(P$2:P223),P$2:P223},D$2:D223=D224),2)*VLOOKUP(9^99,FILTER({ROW(O$2:O223),O$2:O223},D$2:D223=D224),2)-N224)/O224),J224))"),"")</f>
        <v/>
      </c>
      <c r="Q224" s="264" t="str">
        <f>IFERROR(__xludf.DUMMYFUNCTION("IFERROR(IF(F224=""Crypto"",B224,(IF(ISBLANK(D224),"""",IF(D224=""Cash"",B224,IF(GOOGLEFINANCE(D224,""CURRENCY"")=""GBX"",""GBP"",GOOGLEFINANCE(D224,""CURRENCY"")))))),B224)"),"")</f>
        <v/>
      </c>
      <c r="R224" s="263" t="str">
        <f>IFERROR(__xludf.DUMMYFUNCTION("IF(ISBLANK(A224),"""",IFERROR(IF(OR(Q224=""GPB"",Q224=""ZAR""),IF(Q224=Dashboard!$L$1,K224,(K224*GOOGLEFINANCE(""CURRENCY:""&amp;Q224&amp;""""&amp;Dashboard!$L$1&amp;""""))/100),IF(Q224=Dashboard!$L$1,K224,K224*GOOGLEFINANCE(""CURRENCY:""&amp;Q224&amp;""""&amp;Dashboard!$L$1&amp;"""")))"&amp;",K224))"),"")</f>
        <v/>
      </c>
      <c r="S224" s="266" t="str">
        <f>IFERROR(__xludf.DUMMYFUNCTION("IF(ISBLANK(A224),"""",IFERROR(IF(OR(Q224=""GPB"",Q224=""ZAR""),IF(Q224=Dashboard!$L$1,M224,(M224*GOOGLEFINANCE(""CURRENCY:""&amp;Q224&amp;""""&amp;Dashboard!$L$1&amp;""""))/100),IF(Q224=Dashboard!$L$1,M224,M224*GOOGLEFINANCE(""CURRENCY:""&amp;Q224&amp;""""&amp;Dashboard!$L$1&amp;"""")))"&amp;",M224))"),"")</f>
        <v/>
      </c>
      <c r="T224" s="264" t="str">
        <f t="shared" si="4"/>
        <v/>
      </c>
      <c r="U224" s="264" t="str">
        <f t="shared" si="5"/>
        <v/>
      </c>
      <c r="V224" s="264" t="str">
        <f t="shared" si="6"/>
        <v/>
      </c>
      <c r="W224" s="267" t="str">
        <f t="shared" si="8"/>
        <v/>
      </c>
      <c r="X224" s="264" t="str">
        <f t="shared" si="7"/>
        <v/>
      </c>
    </row>
    <row r="225" ht="15.75" customHeight="1">
      <c r="A225" s="258"/>
      <c r="B225" s="258"/>
      <c r="C225" s="269"/>
      <c r="D225" s="258"/>
      <c r="E225" s="258"/>
      <c r="F225" s="258"/>
      <c r="G225" s="258"/>
      <c r="H225" s="271"/>
      <c r="I225" s="258"/>
      <c r="J225" s="272"/>
      <c r="K225" s="260"/>
      <c r="L225" s="261"/>
      <c r="M225" s="262" t="str">
        <f t="shared" si="1"/>
        <v/>
      </c>
      <c r="N225" s="263" t="str">
        <f t="shared" si="2"/>
        <v/>
      </c>
      <c r="O225" s="264" t="str">
        <f t="shared" si="3"/>
        <v/>
      </c>
      <c r="P225" s="265" t="str">
        <f>IFERROR(__xludf.DUMMYFUNCTION("IF(ISBLANK(A225),"""",IFERROR(IF(H225=""Sell"",VLOOKUP(9^99,FILTER({ROW(P$2:P224),P$2:P224},D$2:D224=D225),2),(VLOOKUP(9^99,FILTER({ROW(P$2:P224),P$2:P224},D$2:D224=D225),2)*VLOOKUP(9^99,FILTER({ROW(O$2:O224),O$2:O224},D$2:D224=D225),2)-N225)/O225),J225))"),"")</f>
        <v/>
      </c>
      <c r="Q225" s="264" t="str">
        <f>IFERROR(__xludf.DUMMYFUNCTION("IFERROR(IF(F225=""Crypto"",B225,(IF(ISBLANK(D225),"""",IF(D225=""Cash"",B225,IF(GOOGLEFINANCE(D225,""CURRENCY"")=""GBX"",""GBP"",GOOGLEFINANCE(D225,""CURRENCY"")))))),B225)"),"")</f>
        <v/>
      </c>
      <c r="R225" s="263" t="str">
        <f>IFERROR(__xludf.DUMMYFUNCTION("IF(ISBLANK(A225),"""",IFERROR(IF(OR(Q225=""GPB"",Q225=""ZAR""),IF(Q225=Dashboard!$L$1,K225,(K225*GOOGLEFINANCE(""CURRENCY:""&amp;Q225&amp;""""&amp;Dashboard!$L$1&amp;""""))/100),IF(Q225=Dashboard!$L$1,K225,K225*GOOGLEFINANCE(""CURRENCY:""&amp;Q225&amp;""""&amp;Dashboard!$L$1&amp;"""")))"&amp;",K225))"),"")</f>
        <v/>
      </c>
      <c r="S225" s="266" t="str">
        <f>IFERROR(__xludf.DUMMYFUNCTION("IF(ISBLANK(A225),"""",IFERROR(IF(OR(Q225=""GPB"",Q225=""ZAR""),IF(Q225=Dashboard!$L$1,M225,(M225*GOOGLEFINANCE(""CURRENCY:""&amp;Q225&amp;""""&amp;Dashboard!$L$1&amp;""""))/100),IF(Q225=Dashboard!$L$1,M225,M225*GOOGLEFINANCE(""CURRENCY:""&amp;Q225&amp;""""&amp;Dashboard!$L$1&amp;"""")))"&amp;",M225))"),"")</f>
        <v/>
      </c>
      <c r="T225" s="264" t="str">
        <f t="shared" si="4"/>
        <v/>
      </c>
      <c r="U225" s="264" t="str">
        <f t="shared" si="5"/>
        <v/>
      </c>
      <c r="V225" s="264" t="str">
        <f t="shared" si="6"/>
        <v/>
      </c>
      <c r="W225" s="267" t="str">
        <f t="shared" si="8"/>
        <v/>
      </c>
      <c r="X225" s="264" t="str">
        <f t="shared" si="7"/>
        <v/>
      </c>
    </row>
    <row r="226" ht="15.75" customHeight="1">
      <c r="A226" s="258"/>
      <c r="B226" s="258"/>
      <c r="C226" s="269"/>
      <c r="D226" s="258"/>
      <c r="E226" s="258"/>
      <c r="F226" s="258"/>
      <c r="G226" s="258"/>
      <c r="H226" s="271"/>
      <c r="I226" s="258"/>
      <c r="J226" s="272"/>
      <c r="K226" s="260"/>
      <c r="L226" s="261"/>
      <c r="M226" s="262" t="str">
        <f t="shared" si="1"/>
        <v/>
      </c>
      <c r="N226" s="263" t="str">
        <f t="shared" si="2"/>
        <v/>
      </c>
      <c r="O226" s="264" t="str">
        <f t="shared" si="3"/>
        <v/>
      </c>
      <c r="P226" s="265" t="str">
        <f>IFERROR(__xludf.DUMMYFUNCTION("IF(ISBLANK(A226),"""",IFERROR(IF(H226=""Sell"",VLOOKUP(9^99,FILTER({ROW(P$2:P225),P$2:P225},D$2:D225=D226),2),(VLOOKUP(9^99,FILTER({ROW(P$2:P225),P$2:P225},D$2:D225=D226),2)*VLOOKUP(9^99,FILTER({ROW(O$2:O225),O$2:O225},D$2:D225=D226),2)-N226)/O226),J226))"),"")</f>
        <v/>
      </c>
      <c r="Q226" s="264" t="str">
        <f>IFERROR(__xludf.DUMMYFUNCTION("IFERROR(IF(F226=""Crypto"",B226,(IF(ISBLANK(D226),"""",IF(D226=""Cash"",B226,IF(GOOGLEFINANCE(D226,""CURRENCY"")=""GBX"",""GBP"",GOOGLEFINANCE(D226,""CURRENCY"")))))),B226)"),"")</f>
        <v/>
      </c>
      <c r="R226" s="263" t="str">
        <f>IFERROR(__xludf.DUMMYFUNCTION("IF(ISBLANK(A226),"""",IFERROR(IF(OR(Q226=""GPB"",Q226=""ZAR""),IF(Q226=Dashboard!$L$1,K226,(K226*GOOGLEFINANCE(""CURRENCY:""&amp;Q226&amp;""""&amp;Dashboard!$L$1&amp;""""))/100),IF(Q226=Dashboard!$L$1,K226,K226*GOOGLEFINANCE(""CURRENCY:""&amp;Q226&amp;""""&amp;Dashboard!$L$1&amp;"""")))"&amp;",K226))"),"")</f>
        <v/>
      </c>
      <c r="S226" s="266" t="str">
        <f>IFERROR(__xludf.DUMMYFUNCTION("IF(ISBLANK(A226),"""",IFERROR(IF(OR(Q226=""GPB"",Q226=""ZAR""),IF(Q226=Dashboard!$L$1,M226,(M226*GOOGLEFINANCE(""CURRENCY:""&amp;Q226&amp;""""&amp;Dashboard!$L$1&amp;""""))/100),IF(Q226=Dashboard!$L$1,M226,M226*GOOGLEFINANCE(""CURRENCY:""&amp;Q226&amp;""""&amp;Dashboard!$L$1&amp;"""")))"&amp;",M226))"),"")</f>
        <v/>
      </c>
      <c r="T226" s="264" t="str">
        <f t="shared" si="4"/>
        <v/>
      </c>
      <c r="U226" s="264" t="str">
        <f t="shared" si="5"/>
        <v/>
      </c>
      <c r="V226" s="264" t="str">
        <f t="shared" si="6"/>
        <v/>
      </c>
      <c r="W226" s="267" t="str">
        <f t="shared" si="8"/>
        <v/>
      </c>
      <c r="X226" s="264" t="str">
        <f t="shared" si="7"/>
        <v/>
      </c>
    </row>
    <row r="227" ht="15.75" customHeight="1">
      <c r="A227" s="258"/>
      <c r="B227" s="258"/>
      <c r="C227" s="269"/>
      <c r="D227" s="258"/>
      <c r="E227" s="258"/>
      <c r="F227" s="258"/>
      <c r="G227" s="258"/>
      <c r="H227" s="271"/>
      <c r="I227" s="258"/>
      <c r="J227" s="272"/>
      <c r="K227" s="260"/>
      <c r="L227" s="261"/>
      <c r="M227" s="262" t="str">
        <f t="shared" si="1"/>
        <v/>
      </c>
      <c r="N227" s="263" t="str">
        <f t="shared" si="2"/>
        <v/>
      </c>
      <c r="O227" s="264" t="str">
        <f t="shared" si="3"/>
        <v/>
      </c>
      <c r="P227" s="265" t="str">
        <f>IFERROR(__xludf.DUMMYFUNCTION("IF(ISBLANK(A227),"""",IFERROR(IF(H227=""Sell"",VLOOKUP(9^99,FILTER({ROW(P$2:P226),P$2:P226},D$2:D226=D227),2),(VLOOKUP(9^99,FILTER({ROW(P$2:P226),P$2:P226},D$2:D226=D227),2)*VLOOKUP(9^99,FILTER({ROW(O$2:O226),O$2:O226},D$2:D226=D227),2)-N227)/O227),J227))"),"")</f>
        <v/>
      </c>
      <c r="Q227" s="264" t="str">
        <f>IFERROR(__xludf.DUMMYFUNCTION("IFERROR(IF(F227=""Crypto"",B227,(IF(ISBLANK(D227),"""",IF(D227=""Cash"",B227,IF(GOOGLEFINANCE(D227,""CURRENCY"")=""GBX"",""GBP"",GOOGLEFINANCE(D227,""CURRENCY"")))))),B227)"),"")</f>
        <v/>
      </c>
      <c r="R227" s="263" t="str">
        <f>IFERROR(__xludf.DUMMYFUNCTION("IF(ISBLANK(A227),"""",IFERROR(IF(OR(Q227=""GPB"",Q227=""ZAR""),IF(Q227=Dashboard!$L$1,K227,(K227*GOOGLEFINANCE(""CURRENCY:""&amp;Q227&amp;""""&amp;Dashboard!$L$1&amp;""""))/100),IF(Q227=Dashboard!$L$1,K227,K227*GOOGLEFINANCE(""CURRENCY:""&amp;Q227&amp;""""&amp;Dashboard!$L$1&amp;"""")))"&amp;",K227))"),"")</f>
        <v/>
      </c>
      <c r="S227" s="266" t="str">
        <f>IFERROR(__xludf.DUMMYFUNCTION("IF(ISBLANK(A227),"""",IFERROR(IF(OR(Q227=""GPB"",Q227=""ZAR""),IF(Q227=Dashboard!$L$1,M227,(M227*GOOGLEFINANCE(""CURRENCY:""&amp;Q227&amp;""""&amp;Dashboard!$L$1&amp;""""))/100),IF(Q227=Dashboard!$L$1,M227,M227*GOOGLEFINANCE(""CURRENCY:""&amp;Q227&amp;""""&amp;Dashboard!$L$1&amp;"""")))"&amp;",M227))"),"")</f>
        <v/>
      </c>
      <c r="T227" s="264" t="str">
        <f t="shared" si="4"/>
        <v/>
      </c>
      <c r="U227" s="264" t="str">
        <f t="shared" si="5"/>
        <v/>
      </c>
      <c r="V227" s="264" t="str">
        <f t="shared" si="6"/>
        <v/>
      </c>
      <c r="W227" s="267" t="str">
        <f t="shared" si="8"/>
        <v/>
      </c>
      <c r="X227" s="264" t="str">
        <f t="shared" si="7"/>
        <v/>
      </c>
    </row>
    <row r="228" ht="15.75" customHeight="1">
      <c r="A228" s="258"/>
      <c r="B228" s="258"/>
      <c r="C228" s="269"/>
      <c r="D228" s="258"/>
      <c r="E228" s="258"/>
      <c r="F228" s="258"/>
      <c r="G228" s="258"/>
      <c r="H228" s="271"/>
      <c r="I228" s="258"/>
      <c r="J228" s="272"/>
      <c r="K228" s="260"/>
      <c r="L228" s="261"/>
      <c r="M228" s="262" t="str">
        <f t="shared" si="1"/>
        <v/>
      </c>
      <c r="N228" s="263" t="str">
        <f t="shared" si="2"/>
        <v/>
      </c>
      <c r="O228" s="264" t="str">
        <f t="shared" si="3"/>
        <v/>
      </c>
      <c r="P228" s="265" t="str">
        <f>IFERROR(__xludf.DUMMYFUNCTION("IF(ISBLANK(A228),"""",IFERROR(IF(H228=""Sell"",VLOOKUP(9^99,FILTER({ROW(P$2:P227),P$2:P227},D$2:D227=D228),2),(VLOOKUP(9^99,FILTER({ROW(P$2:P227),P$2:P227},D$2:D227=D228),2)*VLOOKUP(9^99,FILTER({ROW(O$2:O227),O$2:O227},D$2:D227=D228),2)-N228)/O228),J228))"),"")</f>
        <v/>
      </c>
      <c r="Q228" s="264" t="str">
        <f>IFERROR(__xludf.DUMMYFUNCTION("IFERROR(IF(F228=""Crypto"",B228,(IF(ISBLANK(D228),"""",IF(D228=""Cash"",B228,IF(GOOGLEFINANCE(D228,""CURRENCY"")=""GBX"",""GBP"",GOOGLEFINANCE(D228,""CURRENCY"")))))),B228)"),"")</f>
        <v/>
      </c>
      <c r="R228" s="263" t="str">
        <f>IFERROR(__xludf.DUMMYFUNCTION("IF(ISBLANK(A228),"""",IFERROR(IF(OR(Q228=""GPB"",Q228=""ZAR""),IF(Q228=Dashboard!$L$1,K228,(K228*GOOGLEFINANCE(""CURRENCY:""&amp;Q228&amp;""""&amp;Dashboard!$L$1&amp;""""))/100),IF(Q228=Dashboard!$L$1,K228,K228*GOOGLEFINANCE(""CURRENCY:""&amp;Q228&amp;""""&amp;Dashboard!$L$1&amp;"""")))"&amp;",K228))"),"")</f>
        <v/>
      </c>
      <c r="S228" s="266" t="str">
        <f>IFERROR(__xludf.DUMMYFUNCTION("IF(ISBLANK(A228),"""",IFERROR(IF(OR(Q228=""GPB"",Q228=""ZAR""),IF(Q228=Dashboard!$L$1,M228,(M228*GOOGLEFINANCE(""CURRENCY:""&amp;Q228&amp;""""&amp;Dashboard!$L$1&amp;""""))/100),IF(Q228=Dashboard!$L$1,M228,M228*GOOGLEFINANCE(""CURRENCY:""&amp;Q228&amp;""""&amp;Dashboard!$L$1&amp;"""")))"&amp;",M228))"),"")</f>
        <v/>
      </c>
      <c r="T228" s="264" t="str">
        <f t="shared" si="4"/>
        <v/>
      </c>
      <c r="U228" s="264" t="str">
        <f t="shared" si="5"/>
        <v/>
      </c>
      <c r="V228" s="264" t="str">
        <f t="shared" si="6"/>
        <v/>
      </c>
      <c r="W228" s="267" t="str">
        <f t="shared" si="8"/>
        <v/>
      </c>
      <c r="X228" s="264" t="str">
        <f t="shared" si="7"/>
        <v/>
      </c>
    </row>
    <row r="229" ht="15.75" customHeight="1">
      <c r="A229" s="258"/>
      <c r="B229" s="258"/>
      <c r="C229" s="269"/>
      <c r="D229" s="258"/>
      <c r="E229" s="258"/>
      <c r="F229" s="258"/>
      <c r="G229" s="258"/>
      <c r="H229" s="271"/>
      <c r="I229" s="258"/>
      <c r="J229" s="272"/>
      <c r="K229" s="260"/>
      <c r="L229" s="261"/>
      <c r="M229" s="262" t="str">
        <f t="shared" si="1"/>
        <v/>
      </c>
      <c r="N229" s="263" t="str">
        <f t="shared" si="2"/>
        <v/>
      </c>
      <c r="O229" s="264" t="str">
        <f t="shared" si="3"/>
        <v/>
      </c>
      <c r="P229" s="265" t="str">
        <f>IFERROR(__xludf.DUMMYFUNCTION("IF(ISBLANK(A229),"""",IFERROR(IF(H229=""Sell"",VLOOKUP(9^99,FILTER({ROW(P$2:P228),P$2:P228},D$2:D228=D229),2),(VLOOKUP(9^99,FILTER({ROW(P$2:P228),P$2:P228},D$2:D228=D229),2)*VLOOKUP(9^99,FILTER({ROW(O$2:O228),O$2:O228},D$2:D228=D229),2)-N229)/O229),J229))"),"")</f>
        <v/>
      </c>
      <c r="Q229" s="264" t="str">
        <f>IFERROR(__xludf.DUMMYFUNCTION("IFERROR(IF(F229=""Crypto"",B229,(IF(ISBLANK(D229),"""",IF(D229=""Cash"",B229,IF(GOOGLEFINANCE(D229,""CURRENCY"")=""GBX"",""GBP"",GOOGLEFINANCE(D229,""CURRENCY"")))))),B229)"),"")</f>
        <v/>
      </c>
      <c r="R229" s="263" t="str">
        <f>IFERROR(__xludf.DUMMYFUNCTION("IF(ISBLANK(A229),"""",IFERROR(IF(OR(Q229=""GPB"",Q229=""ZAR""),IF(Q229=Dashboard!$L$1,K229,(K229*GOOGLEFINANCE(""CURRENCY:""&amp;Q229&amp;""""&amp;Dashboard!$L$1&amp;""""))/100),IF(Q229=Dashboard!$L$1,K229,K229*GOOGLEFINANCE(""CURRENCY:""&amp;Q229&amp;""""&amp;Dashboard!$L$1&amp;"""")))"&amp;",K229))"),"")</f>
        <v/>
      </c>
      <c r="S229" s="266" t="str">
        <f>IFERROR(__xludf.DUMMYFUNCTION("IF(ISBLANK(A229),"""",IFERROR(IF(OR(Q229=""GPB"",Q229=""ZAR""),IF(Q229=Dashboard!$L$1,M229,(M229*GOOGLEFINANCE(""CURRENCY:""&amp;Q229&amp;""""&amp;Dashboard!$L$1&amp;""""))/100),IF(Q229=Dashboard!$L$1,M229,M229*GOOGLEFINANCE(""CURRENCY:""&amp;Q229&amp;""""&amp;Dashboard!$L$1&amp;"""")))"&amp;",M229))"),"")</f>
        <v/>
      </c>
      <c r="T229" s="264" t="str">
        <f t="shared" si="4"/>
        <v/>
      </c>
      <c r="U229" s="264" t="str">
        <f t="shared" si="5"/>
        <v/>
      </c>
      <c r="V229" s="264" t="str">
        <f t="shared" si="6"/>
        <v/>
      </c>
      <c r="W229" s="267" t="str">
        <f t="shared" si="8"/>
        <v/>
      </c>
      <c r="X229" s="264" t="str">
        <f t="shared" si="7"/>
        <v/>
      </c>
    </row>
    <row r="230" ht="15.75" customHeight="1">
      <c r="A230" s="258"/>
      <c r="B230" s="258"/>
      <c r="C230" s="269"/>
      <c r="D230" s="258"/>
      <c r="E230" s="258"/>
      <c r="F230" s="258"/>
      <c r="G230" s="258"/>
      <c r="H230" s="271"/>
      <c r="I230" s="258"/>
      <c r="J230" s="272"/>
      <c r="K230" s="260"/>
      <c r="L230" s="261"/>
      <c r="M230" s="262" t="str">
        <f t="shared" si="1"/>
        <v/>
      </c>
      <c r="N230" s="263" t="str">
        <f t="shared" si="2"/>
        <v/>
      </c>
      <c r="O230" s="264" t="str">
        <f t="shared" si="3"/>
        <v/>
      </c>
      <c r="P230" s="265" t="str">
        <f>IFERROR(__xludf.DUMMYFUNCTION("IF(ISBLANK(A230),"""",IFERROR(IF(H230=""Sell"",VLOOKUP(9^99,FILTER({ROW(P$2:P229),P$2:P229},D$2:D229=D230),2),(VLOOKUP(9^99,FILTER({ROW(P$2:P229),P$2:P229},D$2:D229=D230),2)*VLOOKUP(9^99,FILTER({ROW(O$2:O229),O$2:O229},D$2:D229=D230),2)-N230)/O230),J230))"),"")</f>
        <v/>
      </c>
      <c r="Q230" s="264" t="str">
        <f>IFERROR(__xludf.DUMMYFUNCTION("IFERROR(IF(F230=""Crypto"",B230,(IF(ISBLANK(D230),"""",IF(D230=""Cash"",B230,IF(GOOGLEFINANCE(D230,""CURRENCY"")=""GBX"",""GBP"",GOOGLEFINANCE(D230,""CURRENCY"")))))),B230)"),"")</f>
        <v/>
      </c>
      <c r="R230" s="263" t="str">
        <f>IFERROR(__xludf.DUMMYFUNCTION("IF(ISBLANK(A230),"""",IFERROR(IF(OR(Q230=""GPB"",Q230=""ZAR""),IF(Q230=Dashboard!$L$1,K230,(K230*GOOGLEFINANCE(""CURRENCY:""&amp;Q230&amp;""""&amp;Dashboard!$L$1&amp;""""))/100),IF(Q230=Dashboard!$L$1,K230,K230*GOOGLEFINANCE(""CURRENCY:""&amp;Q230&amp;""""&amp;Dashboard!$L$1&amp;"""")))"&amp;",K230))"),"")</f>
        <v/>
      </c>
      <c r="S230" s="266" t="str">
        <f>IFERROR(__xludf.DUMMYFUNCTION("IF(ISBLANK(A230),"""",IFERROR(IF(OR(Q230=""GPB"",Q230=""ZAR""),IF(Q230=Dashboard!$L$1,M230,(M230*GOOGLEFINANCE(""CURRENCY:""&amp;Q230&amp;""""&amp;Dashboard!$L$1&amp;""""))/100),IF(Q230=Dashboard!$L$1,M230,M230*GOOGLEFINANCE(""CURRENCY:""&amp;Q230&amp;""""&amp;Dashboard!$L$1&amp;"""")))"&amp;",M230))"),"")</f>
        <v/>
      </c>
      <c r="T230" s="264" t="str">
        <f t="shared" si="4"/>
        <v/>
      </c>
      <c r="U230" s="264" t="str">
        <f t="shared" si="5"/>
        <v/>
      </c>
      <c r="V230" s="264" t="str">
        <f t="shared" si="6"/>
        <v/>
      </c>
      <c r="W230" s="267" t="str">
        <f t="shared" si="8"/>
        <v/>
      </c>
      <c r="X230" s="264" t="str">
        <f t="shared" si="7"/>
        <v/>
      </c>
    </row>
    <row r="231" ht="15.75" customHeight="1">
      <c r="A231" s="258"/>
      <c r="B231" s="258"/>
      <c r="C231" s="269"/>
      <c r="D231" s="258"/>
      <c r="E231" s="258"/>
      <c r="F231" s="258"/>
      <c r="G231" s="258"/>
      <c r="H231" s="271"/>
      <c r="I231" s="258"/>
      <c r="J231" s="272"/>
      <c r="K231" s="260"/>
      <c r="L231" s="261"/>
      <c r="M231" s="262" t="str">
        <f t="shared" si="1"/>
        <v/>
      </c>
      <c r="N231" s="263" t="str">
        <f t="shared" si="2"/>
        <v/>
      </c>
      <c r="O231" s="264" t="str">
        <f t="shared" si="3"/>
        <v/>
      </c>
      <c r="P231" s="265" t="str">
        <f>IFERROR(__xludf.DUMMYFUNCTION("IF(ISBLANK(A231),"""",IFERROR(IF(H231=""Sell"",VLOOKUP(9^99,FILTER({ROW(P$2:P230),P$2:P230},D$2:D230=D231),2),(VLOOKUP(9^99,FILTER({ROW(P$2:P230),P$2:P230},D$2:D230=D231),2)*VLOOKUP(9^99,FILTER({ROW(O$2:O230),O$2:O230},D$2:D230=D231),2)-N231)/O231),J231))"),"")</f>
        <v/>
      </c>
      <c r="Q231" s="264" t="str">
        <f>IFERROR(__xludf.DUMMYFUNCTION("IFERROR(IF(F231=""Crypto"",B231,(IF(ISBLANK(D231),"""",IF(D231=""Cash"",B231,IF(GOOGLEFINANCE(D231,""CURRENCY"")=""GBX"",""GBP"",GOOGLEFINANCE(D231,""CURRENCY"")))))),B231)"),"")</f>
        <v/>
      </c>
      <c r="R231" s="263" t="str">
        <f>IFERROR(__xludf.DUMMYFUNCTION("IF(ISBLANK(A231),"""",IFERROR(IF(OR(Q231=""GPB"",Q231=""ZAR""),IF(Q231=Dashboard!$L$1,K231,(K231*GOOGLEFINANCE(""CURRENCY:""&amp;Q231&amp;""""&amp;Dashboard!$L$1&amp;""""))/100),IF(Q231=Dashboard!$L$1,K231,K231*GOOGLEFINANCE(""CURRENCY:""&amp;Q231&amp;""""&amp;Dashboard!$L$1&amp;"""")))"&amp;",K231))"),"")</f>
        <v/>
      </c>
      <c r="S231" s="266" t="str">
        <f>IFERROR(__xludf.DUMMYFUNCTION("IF(ISBLANK(A231),"""",IFERROR(IF(OR(Q231=""GPB"",Q231=""ZAR""),IF(Q231=Dashboard!$L$1,M231,(M231*GOOGLEFINANCE(""CURRENCY:""&amp;Q231&amp;""""&amp;Dashboard!$L$1&amp;""""))/100),IF(Q231=Dashboard!$L$1,M231,M231*GOOGLEFINANCE(""CURRENCY:""&amp;Q231&amp;""""&amp;Dashboard!$L$1&amp;"""")))"&amp;",M231))"),"")</f>
        <v/>
      </c>
      <c r="T231" s="264" t="str">
        <f t="shared" si="4"/>
        <v/>
      </c>
      <c r="U231" s="264" t="str">
        <f t="shared" si="5"/>
        <v/>
      </c>
      <c r="V231" s="264" t="str">
        <f t="shared" si="6"/>
        <v/>
      </c>
      <c r="W231" s="267" t="str">
        <f t="shared" si="8"/>
        <v/>
      </c>
      <c r="X231" s="264" t="str">
        <f t="shared" si="7"/>
        <v/>
      </c>
    </row>
    <row r="232" ht="15.75" customHeight="1">
      <c r="A232" s="258"/>
      <c r="B232" s="258"/>
      <c r="C232" s="269"/>
      <c r="D232" s="258"/>
      <c r="E232" s="258"/>
      <c r="F232" s="258"/>
      <c r="G232" s="258"/>
      <c r="H232" s="271"/>
      <c r="I232" s="258"/>
      <c r="J232" s="272"/>
      <c r="K232" s="260"/>
      <c r="L232" s="261"/>
      <c r="M232" s="262" t="str">
        <f t="shared" si="1"/>
        <v/>
      </c>
      <c r="N232" s="263" t="str">
        <f t="shared" si="2"/>
        <v/>
      </c>
      <c r="O232" s="264" t="str">
        <f t="shared" si="3"/>
        <v/>
      </c>
      <c r="P232" s="265" t="str">
        <f>IFERROR(__xludf.DUMMYFUNCTION("IF(ISBLANK(A232),"""",IFERROR(IF(H232=""Sell"",VLOOKUP(9^99,FILTER({ROW(P$2:P231),P$2:P231},D$2:D231=D232),2),(VLOOKUP(9^99,FILTER({ROW(P$2:P231),P$2:P231},D$2:D231=D232),2)*VLOOKUP(9^99,FILTER({ROW(O$2:O231),O$2:O231},D$2:D231=D232),2)-N232)/O232),J232))"),"")</f>
        <v/>
      </c>
      <c r="Q232" s="264" t="str">
        <f>IFERROR(__xludf.DUMMYFUNCTION("IFERROR(IF(F232=""Crypto"",B232,(IF(ISBLANK(D232),"""",IF(D232=""Cash"",B232,IF(GOOGLEFINANCE(D232,""CURRENCY"")=""GBX"",""GBP"",GOOGLEFINANCE(D232,""CURRENCY"")))))),B232)"),"")</f>
        <v/>
      </c>
      <c r="R232" s="263" t="str">
        <f>IFERROR(__xludf.DUMMYFUNCTION("IF(ISBLANK(A232),"""",IFERROR(IF(OR(Q232=""GPB"",Q232=""ZAR""),IF(Q232=Dashboard!$L$1,K232,(K232*GOOGLEFINANCE(""CURRENCY:""&amp;Q232&amp;""""&amp;Dashboard!$L$1&amp;""""))/100),IF(Q232=Dashboard!$L$1,K232,K232*GOOGLEFINANCE(""CURRENCY:""&amp;Q232&amp;""""&amp;Dashboard!$L$1&amp;"""")))"&amp;",K232))"),"")</f>
        <v/>
      </c>
      <c r="S232" s="266" t="str">
        <f>IFERROR(__xludf.DUMMYFUNCTION("IF(ISBLANK(A232),"""",IFERROR(IF(OR(Q232=""GPB"",Q232=""ZAR""),IF(Q232=Dashboard!$L$1,M232,(M232*GOOGLEFINANCE(""CURRENCY:""&amp;Q232&amp;""""&amp;Dashboard!$L$1&amp;""""))/100),IF(Q232=Dashboard!$L$1,M232,M232*GOOGLEFINANCE(""CURRENCY:""&amp;Q232&amp;""""&amp;Dashboard!$L$1&amp;"""")))"&amp;",M232))"),"")</f>
        <v/>
      </c>
      <c r="T232" s="264" t="str">
        <f t="shared" si="4"/>
        <v/>
      </c>
      <c r="U232" s="264" t="str">
        <f t="shared" si="5"/>
        <v/>
      </c>
      <c r="V232" s="264" t="str">
        <f t="shared" si="6"/>
        <v/>
      </c>
      <c r="W232" s="267" t="str">
        <f t="shared" si="8"/>
        <v/>
      </c>
      <c r="X232" s="264" t="str">
        <f t="shared" si="7"/>
        <v/>
      </c>
    </row>
    <row r="233" ht="15.75" customHeight="1">
      <c r="A233" s="258"/>
      <c r="B233" s="258"/>
      <c r="C233" s="269"/>
      <c r="D233" s="258"/>
      <c r="E233" s="258"/>
      <c r="F233" s="258"/>
      <c r="G233" s="258"/>
      <c r="H233" s="271"/>
      <c r="I233" s="258"/>
      <c r="J233" s="272"/>
      <c r="K233" s="260"/>
      <c r="L233" s="261"/>
      <c r="M233" s="262" t="str">
        <f t="shared" si="1"/>
        <v/>
      </c>
      <c r="N233" s="263" t="str">
        <f t="shared" si="2"/>
        <v/>
      </c>
      <c r="O233" s="264" t="str">
        <f t="shared" si="3"/>
        <v/>
      </c>
      <c r="P233" s="265" t="str">
        <f>IFERROR(__xludf.DUMMYFUNCTION("IF(ISBLANK(A233),"""",IFERROR(IF(H233=""Sell"",VLOOKUP(9^99,FILTER({ROW(P$2:P232),P$2:P232},D$2:D232=D233),2),(VLOOKUP(9^99,FILTER({ROW(P$2:P232),P$2:P232},D$2:D232=D233),2)*VLOOKUP(9^99,FILTER({ROW(O$2:O232),O$2:O232},D$2:D232=D233),2)-N233)/O233),J233))"),"")</f>
        <v/>
      </c>
      <c r="Q233" s="264" t="str">
        <f>IFERROR(__xludf.DUMMYFUNCTION("IFERROR(IF(F233=""Crypto"",B233,(IF(ISBLANK(D233),"""",IF(D233=""Cash"",B233,IF(GOOGLEFINANCE(D233,""CURRENCY"")=""GBX"",""GBP"",GOOGLEFINANCE(D233,""CURRENCY"")))))),B233)"),"")</f>
        <v/>
      </c>
      <c r="R233" s="263" t="str">
        <f>IFERROR(__xludf.DUMMYFUNCTION("IF(ISBLANK(A233),"""",IFERROR(IF(OR(Q233=""GPB"",Q233=""ZAR""),IF(Q233=Dashboard!$L$1,K233,(K233*GOOGLEFINANCE(""CURRENCY:""&amp;Q233&amp;""""&amp;Dashboard!$L$1&amp;""""))/100),IF(Q233=Dashboard!$L$1,K233,K233*GOOGLEFINANCE(""CURRENCY:""&amp;Q233&amp;""""&amp;Dashboard!$L$1&amp;"""")))"&amp;",K233))"),"")</f>
        <v/>
      </c>
      <c r="S233" s="266" t="str">
        <f>IFERROR(__xludf.DUMMYFUNCTION("IF(ISBLANK(A233),"""",IFERROR(IF(OR(Q233=""GPB"",Q233=""ZAR""),IF(Q233=Dashboard!$L$1,M233,(M233*GOOGLEFINANCE(""CURRENCY:""&amp;Q233&amp;""""&amp;Dashboard!$L$1&amp;""""))/100),IF(Q233=Dashboard!$L$1,M233,M233*GOOGLEFINANCE(""CURRENCY:""&amp;Q233&amp;""""&amp;Dashboard!$L$1&amp;"""")))"&amp;",M233))"),"")</f>
        <v/>
      </c>
      <c r="T233" s="264" t="str">
        <f t="shared" si="4"/>
        <v/>
      </c>
      <c r="U233" s="264" t="str">
        <f t="shared" si="5"/>
        <v/>
      </c>
      <c r="V233" s="264" t="str">
        <f t="shared" si="6"/>
        <v/>
      </c>
      <c r="W233" s="267" t="str">
        <f t="shared" si="8"/>
        <v/>
      </c>
      <c r="X233" s="264" t="str">
        <f t="shared" si="7"/>
        <v/>
      </c>
    </row>
    <row r="234" ht="15.75" customHeight="1">
      <c r="A234" s="258"/>
      <c r="B234" s="258"/>
      <c r="C234" s="269"/>
      <c r="D234" s="258"/>
      <c r="E234" s="258"/>
      <c r="F234" s="258"/>
      <c r="G234" s="258"/>
      <c r="H234" s="271"/>
      <c r="I234" s="258"/>
      <c r="J234" s="272"/>
      <c r="K234" s="260"/>
      <c r="L234" s="261"/>
      <c r="M234" s="262" t="str">
        <f t="shared" si="1"/>
        <v/>
      </c>
      <c r="N234" s="263" t="str">
        <f t="shared" si="2"/>
        <v/>
      </c>
      <c r="O234" s="264" t="str">
        <f t="shared" si="3"/>
        <v/>
      </c>
      <c r="P234" s="265" t="str">
        <f>IFERROR(__xludf.DUMMYFUNCTION("IF(ISBLANK(A234),"""",IFERROR(IF(H234=""Sell"",VLOOKUP(9^99,FILTER({ROW(P$2:P233),P$2:P233},D$2:D233=D234),2),(VLOOKUP(9^99,FILTER({ROW(P$2:P233),P$2:P233},D$2:D233=D234),2)*VLOOKUP(9^99,FILTER({ROW(O$2:O233),O$2:O233},D$2:D233=D234),2)-N234)/O234),J234))"),"")</f>
        <v/>
      </c>
      <c r="Q234" s="264" t="str">
        <f>IFERROR(__xludf.DUMMYFUNCTION("IFERROR(IF(F234=""Crypto"",B234,(IF(ISBLANK(D234),"""",IF(D234=""Cash"",B234,IF(GOOGLEFINANCE(D234,""CURRENCY"")=""GBX"",""GBP"",GOOGLEFINANCE(D234,""CURRENCY"")))))),B234)"),"")</f>
        <v/>
      </c>
      <c r="R234" s="263" t="str">
        <f>IFERROR(__xludf.DUMMYFUNCTION("IF(ISBLANK(A234),"""",IFERROR(IF(OR(Q234=""GPB"",Q234=""ZAR""),IF(Q234=Dashboard!$L$1,K234,(K234*GOOGLEFINANCE(""CURRENCY:""&amp;Q234&amp;""""&amp;Dashboard!$L$1&amp;""""))/100),IF(Q234=Dashboard!$L$1,K234,K234*GOOGLEFINANCE(""CURRENCY:""&amp;Q234&amp;""""&amp;Dashboard!$L$1&amp;"""")))"&amp;",K234))"),"")</f>
        <v/>
      </c>
      <c r="S234" s="266" t="str">
        <f>IFERROR(__xludf.DUMMYFUNCTION("IF(ISBLANK(A234),"""",IFERROR(IF(OR(Q234=""GPB"",Q234=""ZAR""),IF(Q234=Dashboard!$L$1,M234,(M234*GOOGLEFINANCE(""CURRENCY:""&amp;Q234&amp;""""&amp;Dashboard!$L$1&amp;""""))/100),IF(Q234=Dashboard!$L$1,M234,M234*GOOGLEFINANCE(""CURRENCY:""&amp;Q234&amp;""""&amp;Dashboard!$L$1&amp;"""")))"&amp;",M234))"),"")</f>
        <v/>
      </c>
      <c r="T234" s="264" t="str">
        <f t="shared" si="4"/>
        <v/>
      </c>
      <c r="U234" s="264" t="str">
        <f t="shared" si="5"/>
        <v/>
      </c>
      <c r="V234" s="264" t="str">
        <f t="shared" si="6"/>
        <v/>
      </c>
      <c r="W234" s="267" t="str">
        <f t="shared" si="8"/>
        <v/>
      </c>
      <c r="X234" s="264" t="str">
        <f t="shared" si="7"/>
        <v/>
      </c>
    </row>
    <row r="235" ht="15.75" customHeight="1">
      <c r="A235" s="258"/>
      <c r="B235" s="258"/>
      <c r="C235" s="269"/>
      <c r="D235" s="258"/>
      <c r="E235" s="258"/>
      <c r="F235" s="258"/>
      <c r="G235" s="258"/>
      <c r="H235" s="271"/>
      <c r="I235" s="258"/>
      <c r="J235" s="272"/>
      <c r="K235" s="260"/>
      <c r="L235" s="261"/>
      <c r="M235" s="262" t="str">
        <f t="shared" si="1"/>
        <v/>
      </c>
      <c r="N235" s="263" t="str">
        <f t="shared" si="2"/>
        <v/>
      </c>
      <c r="O235" s="264" t="str">
        <f t="shared" si="3"/>
        <v/>
      </c>
      <c r="P235" s="265" t="str">
        <f>IFERROR(__xludf.DUMMYFUNCTION("IF(ISBLANK(A235),"""",IFERROR(IF(H235=""Sell"",VLOOKUP(9^99,FILTER({ROW(P$2:P234),P$2:P234},D$2:D234=D235),2),(VLOOKUP(9^99,FILTER({ROW(P$2:P234),P$2:P234},D$2:D234=D235),2)*VLOOKUP(9^99,FILTER({ROW(O$2:O234),O$2:O234},D$2:D234=D235),2)-N235)/O235),J235))"),"")</f>
        <v/>
      </c>
      <c r="Q235" s="264" t="str">
        <f>IFERROR(__xludf.DUMMYFUNCTION("IFERROR(IF(F235=""Crypto"",B235,(IF(ISBLANK(D235),"""",IF(D235=""Cash"",B235,IF(GOOGLEFINANCE(D235,""CURRENCY"")=""GBX"",""GBP"",GOOGLEFINANCE(D235,""CURRENCY"")))))),B235)"),"")</f>
        <v/>
      </c>
      <c r="R235" s="263" t="str">
        <f>IFERROR(__xludf.DUMMYFUNCTION("IF(ISBLANK(A235),"""",IFERROR(IF(OR(Q235=""GPB"",Q235=""ZAR""),IF(Q235=Dashboard!$L$1,K235,(K235*GOOGLEFINANCE(""CURRENCY:""&amp;Q235&amp;""""&amp;Dashboard!$L$1&amp;""""))/100),IF(Q235=Dashboard!$L$1,K235,K235*GOOGLEFINANCE(""CURRENCY:""&amp;Q235&amp;""""&amp;Dashboard!$L$1&amp;"""")))"&amp;",K235))"),"")</f>
        <v/>
      </c>
      <c r="S235" s="266" t="str">
        <f>IFERROR(__xludf.DUMMYFUNCTION("IF(ISBLANK(A235),"""",IFERROR(IF(OR(Q235=""GPB"",Q235=""ZAR""),IF(Q235=Dashboard!$L$1,M235,(M235*GOOGLEFINANCE(""CURRENCY:""&amp;Q235&amp;""""&amp;Dashboard!$L$1&amp;""""))/100),IF(Q235=Dashboard!$L$1,M235,M235*GOOGLEFINANCE(""CURRENCY:""&amp;Q235&amp;""""&amp;Dashboard!$L$1&amp;"""")))"&amp;",M235))"),"")</f>
        <v/>
      </c>
      <c r="T235" s="264" t="str">
        <f t="shared" si="4"/>
        <v/>
      </c>
      <c r="U235" s="264" t="str">
        <f t="shared" si="5"/>
        <v/>
      </c>
      <c r="V235" s="264" t="str">
        <f t="shared" si="6"/>
        <v/>
      </c>
      <c r="W235" s="267" t="str">
        <f t="shared" si="8"/>
        <v/>
      </c>
      <c r="X235" s="264" t="str">
        <f t="shared" si="7"/>
        <v/>
      </c>
    </row>
    <row r="236" ht="15.75" customHeight="1">
      <c r="A236" s="258"/>
      <c r="B236" s="258"/>
      <c r="C236" s="269"/>
      <c r="D236" s="258"/>
      <c r="E236" s="258"/>
      <c r="F236" s="258"/>
      <c r="G236" s="258"/>
      <c r="H236" s="271"/>
      <c r="I236" s="258"/>
      <c r="J236" s="272"/>
      <c r="K236" s="260"/>
      <c r="L236" s="261"/>
      <c r="M236" s="262" t="str">
        <f t="shared" si="1"/>
        <v/>
      </c>
      <c r="N236" s="263" t="str">
        <f t="shared" si="2"/>
        <v/>
      </c>
      <c r="O236" s="264" t="str">
        <f t="shared" si="3"/>
        <v/>
      </c>
      <c r="P236" s="265" t="str">
        <f>IFERROR(__xludf.DUMMYFUNCTION("IF(ISBLANK(A236),"""",IFERROR(IF(H236=""Sell"",VLOOKUP(9^99,FILTER({ROW(P$2:P235),P$2:P235},D$2:D235=D236),2),(VLOOKUP(9^99,FILTER({ROW(P$2:P235),P$2:P235},D$2:D235=D236),2)*VLOOKUP(9^99,FILTER({ROW(O$2:O235),O$2:O235},D$2:D235=D236),2)-N236)/O236),J236))"),"")</f>
        <v/>
      </c>
      <c r="Q236" s="264" t="str">
        <f>IFERROR(__xludf.DUMMYFUNCTION("IFERROR(IF(F236=""Crypto"",B236,(IF(ISBLANK(D236),"""",IF(D236=""Cash"",B236,IF(GOOGLEFINANCE(D236,""CURRENCY"")=""GBX"",""GBP"",GOOGLEFINANCE(D236,""CURRENCY"")))))),B236)"),"")</f>
        <v/>
      </c>
      <c r="R236" s="263" t="str">
        <f>IFERROR(__xludf.DUMMYFUNCTION("IF(ISBLANK(A236),"""",IFERROR(IF(OR(Q236=""GPB"",Q236=""ZAR""),IF(Q236=Dashboard!$L$1,K236,(K236*GOOGLEFINANCE(""CURRENCY:""&amp;Q236&amp;""""&amp;Dashboard!$L$1&amp;""""))/100),IF(Q236=Dashboard!$L$1,K236,K236*GOOGLEFINANCE(""CURRENCY:""&amp;Q236&amp;""""&amp;Dashboard!$L$1&amp;"""")))"&amp;",K236))"),"")</f>
        <v/>
      </c>
      <c r="S236" s="266" t="str">
        <f>IFERROR(__xludf.DUMMYFUNCTION("IF(ISBLANK(A236),"""",IFERROR(IF(OR(Q236=""GPB"",Q236=""ZAR""),IF(Q236=Dashboard!$L$1,M236,(M236*GOOGLEFINANCE(""CURRENCY:""&amp;Q236&amp;""""&amp;Dashboard!$L$1&amp;""""))/100),IF(Q236=Dashboard!$L$1,M236,M236*GOOGLEFINANCE(""CURRENCY:""&amp;Q236&amp;""""&amp;Dashboard!$L$1&amp;"""")))"&amp;",M236))"),"")</f>
        <v/>
      </c>
      <c r="T236" s="264" t="str">
        <f t="shared" si="4"/>
        <v/>
      </c>
      <c r="U236" s="264" t="str">
        <f t="shared" si="5"/>
        <v/>
      </c>
      <c r="V236" s="264" t="str">
        <f t="shared" si="6"/>
        <v/>
      </c>
      <c r="W236" s="267" t="str">
        <f t="shared" si="8"/>
        <v/>
      </c>
      <c r="X236" s="264" t="str">
        <f t="shared" si="7"/>
        <v/>
      </c>
    </row>
    <row r="237" ht="15.75" customHeight="1">
      <c r="A237" s="258"/>
      <c r="B237" s="258"/>
      <c r="C237" s="269"/>
      <c r="D237" s="258"/>
      <c r="E237" s="258"/>
      <c r="F237" s="258"/>
      <c r="G237" s="258"/>
      <c r="H237" s="271"/>
      <c r="I237" s="258"/>
      <c r="J237" s="272"/>
      <c r="K237" s="260"/>
      <c r="L237" s="261"/>
      <c r="M237" s="262" t="str">
        <f t="shared" si="1"/>
        <v/>
      </c>
      <c r="N237" s="263" t="str">
        <f t="shared" si="2"/>
        <v/>
      </c>
      <c r="O237" s="264" t="str">
        <f t="shared" si="3"/>
        <v/>
      </c>
      <c r="P237" s="265" t="str">
        <f>IFERROR(__xludf.DUMMYFUNCTION("IF(ISBLANK(A237),"""",IFERROR(IF(H237=""Sell"",VLOOKUP(9^99,FILTER({ROW(P$2:P236),P$2:P236},D$2:D236=D237),2),(VLOOKUP(9^99,FILTER({ROW(P$2:P236),P$2:P236},D$2:D236=D237),2)*VLOOKUP(9^99,FILTER({ROW(O$2:O236),O$2:O236},D$2:D236=D237),2)-N237)/O237),J237))"),"")</f>
        <v/>
      </c>
      <c r="Q237" s="264" t="str">
        <f>IFERROR(__xludf.DUMMYFUNCTION("IFERROR(IF(F237=""Crypto"",B237,(IF(ISBLANK(D237),"""",IF(D237=""Cash"",B237,IF(GOOGLEFINANCE(D237,""CURRENCY"")=""GBX"",""GBP"",GOOGLEFINANCE(D237,""CURRENCY"")))))),B237)"),"")</f>
        <v/>
      </c>
      <c r="R237" s="263" t="str">
        <f>IFERROR(__xludf.DUMMYFUNCTION("IF(ISBLANK(A237),"""",IFERROR(IF(OR(Q237=""GPB"",Q237=""ZAR""),IF(Q237=Dashboard!$L$1,K237,(K237*GOOGLEFINANCE(""CURRENCY:""&amp;Q237&amp;""""&amp;Dashboard!$L$1&amp;""""))/100),IF(Q237=Dashboard!$L$1,K237,K237*GOOGLEFINANCE(""CURRENCY:""&amp;Q237&amp;""""&amp;Dashboard!$L$1&amp;"""")))"&amp;",K237))"),"")</f>
        <v/>
      </c>
      <c r="S237" s="266" t="str">
        <f>IFERROR(__xludf.DUMMYFUNCTION("IF(ISBLANK(A237),"""",IFERROR(IF(OR(Q237=""GPB"",Q237=""ZAR""),IF(Q237=Dashboard!$L$1,M237,(M237*GOOGLEFINANCE(""CURRENCY:""&amp;Q237&amp;""""&amp;Dashboard!$L$1&amp;""""))/100),IF(Q237=Dashboard!$L$1,M237,M237*GOOGLEFINANCE(""CURRENCY:""&amp;Q237&amp;""""&amp;Dashboard!$L$1&amp;"""")))"&amp;",M237))"),"")</f>
        <v/>
      </c>
      <c r="T237" s="264" t="str">
        <f t="shared" si="4"/>
        <v/>
      </c>
      <c r="U237" s="264" t="str">
        <f t="shared" si="5"/>
        <v/>
      </c>
      <c r="V237" s="264" t="str">
        <f t="shared" si="6"/>
        <v/>
      </c>
      <c r="W237" s="267" t="str">
        <f t="shared" si="8"/>
        <v/>
      </c>
      <c r="X237" s="264" t="str">
        <f t="shared" si="7"/>
        <v/>
      </c>
    </row>
    <row r="238" ht="15.75" customHeight="1">
      <c r="A238" s="258"/>
      <c r="B238" s="258"/>
      <c r="C238" s="269"/>
      <c r="D238" s="258"/>
      <c r="E238" s="258"/>
      <c r="F238" s="258"/>
      <c r="G238" s="258"/>
      <c r="H238" s="271"/>
      <c r="I238" s="258"/>
      <c r="J238" s="272"/>
      <c r="K238" s="260"/>
      <c r="L238" s="261"/>
      <c r="M238" s="262" t="str">
        <f t="shared" si="1"/>
        <v/>
      </c>
      <c r="N238" s="263" t="str">
        <f t="shared" si="2"/>
        <v/>
      </c>
      <c r="O238" s="264" t="str">
        <f t="shared" si="3"/>
        <v/>
      </c>
      <c r="P238" s="265" t="str">
        <f>IFERROR(__xludf.DUMMYFUNCTION("IF(ISBLANK(A238),"""",IFERROR(IF(H238=""Sell"",VLOOKUP(9^99,FILTER({ROW(P$2:P237),P$2:P237},D$2:D237=D238),2),(VLOOKUP(9^99,FILTER({ROW(P$2:P237),P$2:P237},D$2:D237=D238),2)*VLOOKUP(9^99,FILTER({ROW(O$2:O237),O$2:O237},D$2:D237=D238),2)-N238)/O238),J238))"),"")</f>
        <v/>
      </c>
      <c r="Q238" s="264" t="str">
        <f>IFERROR(__xludf.DUMMYFUNCTION("IFERROR(IF(F238=""Crypto"",B238,(IF(ISBLANK(D238),"""",IF(D238=""Cash"",B238,IF(GOOGLEFINANCE(D238,""CURRENCY"")=""GBX"",""GBP"",GOOGLEFINANCE(D238,""CURRENCY"")))))),B238)"),"")</f>
        <v/>
      </c>
      <c r="R238" s="263" t="str">
        <f>IFERROR(__xludf.DUMMYFUNCTION("IF(ISBLANK(A238),"""",IFERROR(IF(OR(Q238=""GPB"",Q238=""ZAR""),IF(Q238=Dashboard!$L$1,K238,(K238*GOOGLEFINANCE(""CURRENCY:""&amp;Q238&amp;""""&amp;Dashboard!$L$1&amp;""""))/100),IF(Q238=Dashboard!$L$1,K238,K238*GOOGLEFINANCE(""CURRENCY:""&amp;Q238&amp;""""&amp;Dashboard!$L$1&amp;"""")))"&amp;",K238))"),"")</f>
        <v/>
      </c>
      <c r="S238" s="266" t="str">
        <f>IFERROR(__xludf.DUMMYFUNCTION("IF(ISBLANK(A238),"""",IFERROR(IF(OR(Q238=""GPB"",Q238=""ZAR""),IF(Q238=Dashboard!$L$1,M238,(M238*GOOGLEFINANCE(""CURRENCY:""&amp;Q238&amp;""""&amp;Dashboard!$L$1&amp;""""))/100),IF(Q238=Dashboard!$L$1,M238,M238*GOOGLEFINANCE(""CURRENCY:""&amp;Q238&amp;""""&amp;Dashboard!$L$1&amp;"""")))"&amp;",M238))"),"")</f>
        <v/>
      </c>
      <c r="T238" s="264" t="str">
        <f t="shared" si="4"/>
        <v/>
      </c>
      <c r="U238" s="264" t="str">
        <f t="shared" si="5"/>
        <v/>
      </c>
      <c r="V238" s="264" t="str">
        <f t="shared" si="6"/>
        <v/>
      </c>
      <c r="W238" s="267" t="str">
        <f t="shared" si="8"/>
        <v/>
      </c>
      <c r="X238" s="264" t="str">
        <f t="shared" si="7"/>
        <v/>
      </c>
    </row>
    <row r="239" ht="15.75" customHeight="1">
      <c r="A239" s="258"/>
      <c r="B239" s="258"/>
      <c r="C239" s="269"/>
      <c r="D239" s="258"/>
      <c r="E239" s="258"/>
      <c r="F239" s="258"/>
      <c r="G239" s="258"/>
      <c r="H239" s="271"/>
      <c r="I239" s="258"/>
      <c r="J239" s="272"/>
      <c r="K239" s="260"/>
      <c r="L239" s="261"/>
      <c r="M239" s="262" t="str">
        <f t="shared" si="1"/>
        <v/>
      </c>
      <c r="N239" s="263" t="str">
        <f t="shared" si="2"/>
        <v/>
      </c>
      <c r="O239" s="264" t="str">
        <f t="shared" si="3"/>
        <v/>
      </c>
      <c r="P239" s="265" t="str">
        <f>IFERROR(__xludf.DUMMYFUNCTION("IF(ISBLANK(A239),"""",IFERROR(IF(H239=""Sell"",VLOOKUP(9^99,FILTER({ROW(P$2:P238),P$2:P238},D$2:D238=D239),2),(VLOOKUP(9^99,FILTER({ROW(P$2:P238),P$2:P238},D$2:D238=D239),2)*VLOOKUP(9^99,FILTER({ROW(O$2:O238),O$2:O238},D$2:D238=D239),2)-N239)/O239),J239))"),"")</f>
        <v/>
      </c>
      <c r="Q239" s="264" t="str">
        <f>IFERROR(__xludf.DUMMYFUNCTION("IFERROR(IF(F239=""Crypto"",B239,(IF(ISBLANK(D239),"""",IF(D239=""Cash"",B239,IF(GOOGLEFINANCE(D239,""CURRENCY"")=""GBX"",""GBP"",GOOGLEFINANCE(D239,""CURRENCY"")))))),B239)"),"")</f>
        <v/>
      </c>
      <c r="R239" s="263" t="str">
        <f>IFERROR(__xludf.DUMMYFUNCTION("IF(ISBLANK(A239),"""",IFERROR(IF(OR(Q239=""GPB"",Q239=""ZAR""),IF(Q239=Dashboard!$L$1,K239,(K239*GOOGLEFINANCE(""CURRENCY:""&amp;Q239&amp;""""&amp;Dashboard!$L$1&amp;""""))/100),IF(Q239=Dashboard!$L$1,K239,K239*GOOGLEFINANCE(""CURRENCY:""&amp;Q239&amp;""""&amp;Dashboard!$L$1&amp;"""")))"&amp;",K239))"),"")</f>
        <v/>
      </c>
      <c r="S239" s="266" t="str">
        <f>IFERROR(__xludf.DUMMYFUNCTION("IF(ISBLANK(A239),"""",IFERROR(IF(OR(Q239=""GPB"",Q239=""ZAR""),IF(Q239=Dashboard!$L$1,M239,(M239*GOOGLEFINANCE(""CURRENCY:""&amp;Q239&amp;""""&amp;Dashboard!$L$1&amp;""""))/100),IF(Q239=Dashboard!$L$1,M239,M239*GOOGLEFINANCE(""CURRENCY:""&amp;Q239&amp;""""&amp;Dashboard!$L$1&amp;"""")))"&amp;",M239))"),"")</f>
        <v/>
      </c>
      <c r="T239" s="264" t="str">
        <f t="shared" si="4"/>
        <v/>
      </c>
      <c r="U239" s="264" t="str">
        <f t="shared" si="5"/>
        <v/>
      </c>
      <c r="V239" s="264" t="str">
        <f t="shared" si="6"/>
        <v/>
      </c>
      <c r="W239" s="267" t="str">
        <f t="shared" si="8"/>
        <v/>
      </c>
      <c r="X239" s="264" t="str">
        <f t="shared" si="7"/>
        <v/>
      </c>
    </row>
    <row r="240" ht="15.75" customHeight="1">
      <c r="A240" s="258"/>
      <c r="B240" s="258"/>
      <c r="C240" s="269"/>
      <c r="D240" s="258"/>
      <c r="E240" s="258"/>
      <c r="F240" s="258"/>
      <c r="G240" s="258"/>
      <c r="H240" s="271"/>
      <c r="I240" s="258"/>
      <c r="J240" s="272"/>
      <c r="K240" s="260"/>
      <c r="L240" s="261"/>
      <c r="M240" s="262" t="str">
        <f t="shared" si="1"/>
        <v/>
      </c>
      <c r="N240" s="263" t="str">
        <f t="shared" si="2"/>
        <v/>
      </c>
      <c r="O240" s="264" t="str">
        <f t="shared" si="3"/>
        <v/>
      </c>
      <c r="P240" s="265" t="str">
        <f>IFERROR(__xludf.DUMMYFUNCTION("IF(ISBLANK(A240),"""",IFERROR(IF(H240=""Sell"",VLOOKUP(9^99,FILTER({ROW(P$2:P239),P$2:P239},D$2:D239=D240),2),(VLOOKUP(9^99,FILTER({ROW(P$2:P239),P$2:P239},D$2:D239=D240),2)*VLOOKUP(9^99,FILTER({ROW(O$2:O239),O$2:O239},D$2:D239=D240),2)-N240)/O240),J240))"),"")</f>
        <v/>
      </c>
      <c r="Q240" s="264" t="str">
        <f>IFERROR(__xludf.DUMMYFUNCTION("IFERROR(IF(F240=""Crypto"",B240,(IF(ISBLANK(D240),"""",IF(D240=""Cash"",B240,IF(GOOGLEFINANCE(D240,""CURRENCY"")=""GBX"",""GBP"",GOOGLEFINANCE(D240,""CURRENCY"")))))),B240)"),"")</f>
        <v/>
      </c>
      <c r="R240" s="263" t="str">
        <f>IFERROR(__xludf.DUMMYFUNCTION("IF(ISBLANK(A240),"""",IFERROR(IF(OR(Q240=""GPB"",Q240=""ZAR""),IF(Q240=Dashboard!$L$1,K240,(K240*GOOGLEFINANCE(""CURRENCY:""&amp;Q240&amp;""""&amp;Dashboard!$L$1&amp;""""))/100),IF(Q240=Dashboard!$L$1,K240,K240*GOOGLEFINANCE(""CURRENCY:""&amp;Q240&amp;""""&amp;Dashboard!$L$1&amp;"""")))"&amp;",K240))"),"")</f>
        <v/>
      </c>
      <c r="S240" s="266" t="str">
        <f>IFERROR(__xludf.DUMMYFUNCTION("IF(ISBLANK(A240),"""",IFERROR(IF(OR(Q240=""GPB"",Q240=""ZAR""),IF(Q240=Dashboard!$L$1,M240,(M240*GOOGLEFINANCE(""CURRENCY:""&amp;Q240&amp;""""&amp;Dashboard!$L$1&amp;""""))/100),IF(Q240=Dashboard!$L$1,M240,M240*GOOGLEFINANCE(""CURRENCY:""&amp;Q240&amp;""""&amp;Dashboard!$L$1&amp;"""")))"&amp;",M240))"),"")</f>
        <v/>
      </c>
      <c r="T240" s="264" t="str">
        <f t="shared" si="4"/>
        <v/>
      </c>
      <c r="U240" s="264" t="str">
        <f t="shared" si="5"/>
        <v/>
      </c>
      <c r="V240" s="264" t="str">
        <f t="shared" si="6"/>
        <v/>
      </c>
      <c r="W240" s="267" t="str">
        <f t="shared" si="8"/>
        <v/>
      </c>
      <c r="X240" s="264" t="str">
        <f t="shared" si="7"/>
        <v/>
      </c>
    </row>
    <row r="241" ht="15.75" customHeight="1">
      <c r="A241" s="258"/>
      <c r="B241" s="258"/>
      <c r="C241" s="269"/>
      <c r="D241" s="258"/>
      <c r="E241" s="258"/>
      <c r="F241" s="258"/>
      <c r="G241" s="258"/>
      <c r="H241" s="271"/>
      <c r="I241" s="258"/>
      <c r="J241" s="272"/>
      <c r="K241" s="260"/>
      <c r="L241" s="261"/>
      <c r="M241" s="262" t="str">
        <f t="shared" si="1"/>
        <v/>
      </c>
      <c r="N241" s="263" t="str">
        <f t="shared" si="2"/>
        <v/>
      </c>
      <c r="O241" s="264" t="str">
        <f t="shared" si="3"/>
        <v/>
      </c>
      <c r="P241" s="265" t="str">
        <f>IFERROR(__xludf.DUMMYFUNCTION("IF(ISBLANK(A241),"""",IFERROR(IF(H241=""Sell"",VLOOKUP(9^99,FILTER({ROW(P$2:P240),P$2:P240},D$2:D240=D241),2),(VLOOKUP(9^99,FILTER({ROW(P$2:P240),P$2:P240},D$2:D240=D241),2)*VLOOKUP(9^99,FILTER({ROW(O$2:O240),O$2:O240},D$2:D240=D241),2)-N241)/O241),J241))"),"")</f>
        <v/>
      </c>
      <c r="Q241" s="264" t="str">
        <f>IFERROR(__xludf.DUMMYFUNCTION("IFERROR(IF(F241=""Crypto"",B241,(IF(ISBLANK(D241),"""",IF(D241=""Cash"",B241,IF(GOOGLEFINANCE(D241,""CURRENCY"")=""GBX"",""GBP"",GOOGLEFINANCE(D241,""CURRENCY"")))))),B241)"),"")</f>
        <v/>
      </c>
      <c r="R241" s="263" t="str">
        <f>IFERROR(__xludf.DUMMYFUNCTION("IF(ISBLANK(A241),"""",IFERROR(IF(OR(Q241=""GPB"",Q241=""ZAR""),IF(Q241=Dashboard!$L$1,K241,(K241*GOOGLEFINANCE(""CURRENCY:""&amp;Q241&amp;""""&amp;Dashboard!$L$1&amp;""""))/100),IF(Q241=Dashboard!$L$1,K241,K241*GOOGLEFINANCE(""CURRENCY:""&amp;Q241&amp;""""&amp;Dashboard!$L$1&amp;"""")))"&amp;",K241))"),"")</f>
        <v/>
      </c>
      <c r="S241" s="266" t="str">
        <f>IFERROR(__xludf.DUMMYFUNCTION("IF(ISBLANK(A241),"""",IFERROR(IF(OR(Q241=""GPB"",Q241=""ZAR""),IF(Q241=Dashboard!$L$1,M241,(M241*GOOGLEFINANCE(""CURRENCY:""&amp;Q241&amp;""""&amp;Dashboard!$L$1&amp;""""))/100),IF(Q241=Dashboard!$L$1,M241,M241*GOOGLEFINANCE(""CURRENCY:""&amp;Q241&amp;""""&amp;Dashboard!$L$1&amp;"""")))"&amp;",M241))"),"")</f>
        <v/>
      </c>
      <c r="T241" s="264" t="str">
        <f t="shared" si="4"/>
        <v/>
      </c>
      <c r="U241" s="264" t="str">
        <f t="shared" si="5"/>
        <v/>
      </c>
      <c r="V241" s="264" t="str">
        <f t="shared" si="6"/>
        <v/>
      </c>
      <c r="W241" s="267" t="str">
        <f t="shared" si="8"/>
        <v/>
      </c>
      <c r="X241" s="264" t="str">
        <f t="shared" si="7"/>
        <v/>
      </c>
    </row>
    <row r="242" ht="15.75" customHeight="1">
      <c r="A242" s="258"/>
      <c r="B242" s="258"/>
      <c r="C242" s="269"/>
      <c r="D242" s="258"/>
      <c r="E242" s="258"/>
      <c r="F242" s="258"/>
      <c r="G242" s="258"/>
      <c r="H242" s="271"/>
      <c r="I242" s="258"/>
      <c r="J242" s="272"/>
      <c r="K242" s="260"/>
      <c r="L242" s="261"/>
      <c r="M242" s="262" t="str">
        <f t="shared" si="1"/>
        <v/>
      </c>
      <c r="N242" s="263" t="str">
        <f t="shared" si="2"/>
        <v/>
      </c>
      <c r="O242" s="264" t="str">
        <f t="shared" si="3"/>
        <v/>
      </c>
      <c r="P242" s="265" t="str">
        <f>IFERROR(__xludf.DUMMYFUNCTION("IF(ISBLANK(A242),"""",IFERROR(IF(H242=""Sell"",VLOOKUP(9^99,FILTER({ROW(P$2:P241),P$2:P241},D$2:D241=D242),2),(VLOOKUP(9^99,FILTER({ROW(P$2:P241),P$2:P241},D$2:D241=D242),2)*VLOOKUP(9^99,FILTER({ROW(O$2:O241),O$2:O241},D$2:D241=D242),2)-N242)/O242),J242))"),"")</f>
        <v/>
      </c>
      <c r="Q242" s="264" t="str">
        <f>IFERROR(__xludf.DUMMYFUNCTION("IFERROR(IF(F242=""Crypto"",B242,(IF(ISBLANK(D242),"""",IF(D242=""Cash"",B242,IF(GOOGLEFINANCE(D242,""CURRENCY"")=""GBX"",""GBP"",GOOGLEFINANCE(D242,""CURRENCY"")))))),B242)"),"")</f>
        <v/>
      </c>
      <c r="R242" s="263" t="str">
        <f>IFERROR(__xludf.DUMMYFUNCTION("IF(ISBLANK(A242),"""",IFERROR(IF(OR(Q242=""GPB"",Q242=""ZAR""),IF(Q242=Dashboard!$L$1,K242,(K242*GOOGLEFINANCE(""CURRENCY:""&amp;Q242&amp;""""&amp;Dashboard!$L$1&amp;""""))/100),IF(Q242=Dashboard!$L$1,K242,K242*GOOGLEFINANCE(""CURRENCY:""&amp;Q242&amp;""""&amp;Dashboard!$L$1&amp;"""")))"&amp;",K242))"),"")</f>
        <v/>
      </c>
      <c r="S242" s="266" t="str">
        <f>IFERROR(__xludf.DUMMYFUNCTION("IF(ISBLANK(A242),"""",IFERROR(IF(OR(Q242=""GPB"",Q242=""ZAR""),IF(Q242=Dashboard!$L$1,M242,(M242*GOOGLEFINANCE(""CURRENCY:""&amp;Q242&amp;""""&amp;Dashboard!$L$1&amp;""""))/100),IF(Q242=Dashboard!$L$1,M242,M242*GOOGLEFINANCE(""CURRENCY:""&amp;Q242&amp;""""&amp;Dashboard!$L$1&amp;"""")))"&amp;",M242))"),"")</f>
        <v/>
      </c>
      <c r="T242" s="264" t="str">
        <f t="shared" si="4"/>
        <v/>
      </c>
      <c r="U242" s="264" t="str">
        <f t="shared" si="5"/>
        <v/>
      </c>
      <c r="V242" s="264" t="str">
        <f t="shared" si="6"/>
        <v/>
      </c>
      <c r="W242" s="267" t="str">
        <f t="shared" si="8"/>
        <v/>
      </c>
      <c r="X242" s="264" t="str">
        <f t="shared" si="7"/>
        <v/>
      </c>
    </row>
    <row r="243" ht="15.75" customHeight="1">
      <c r="A243" s="258"/>
      <c r="B243" s="258"/>
      <c r="C243" s="269"/>
      <c r="D243" s="258"/>
      <c r="E243" s="258"/>
      <c r="F243" s="258"/>
      <c r="G243" s="258"/>
      <c r="H243" s="271"/>
      <c r="I243" s="258"/>
      <c r="J243" s="272"/>
      <c r="K243" s="260"/>
      <c r="L243" s="261"/>
      <c r="M243" s="262" t="str">
        <f t="shared" si="1"/>
        <v/>
      </c>
      <c r="N243" s="263" t="str">
        <f t="shared" si="2"/>
        <v/>
      </c>
      <c r="O243" s="264" t="str">
        <f t="shared" si="3"/>
        <v/>
      </c>
      <c r="P243" s="265" t="str">
        <f>IFERROR(__xludf.DUMMYFUNCTION("IF(ISBLANK(A243),"""",IFERROR(IF(H243=""Sell"",VLOOKUP(9^99,FILTER({ROW(P$2:P242),P$2:P242},D$2:D242=D243),2),(VLOOKUP(9^99,FILTER({ROW(P$2:P242),P$2:P242},D$2:D242=D243),2)*VLOOKUP(9^99,FILTER({ROW(O$2:O242),O$2:O242},D$2:D242=D243),2)-N243)/O243),J243))"),"")</f>
        <v/>
      </c>
      <c r="Q243" s="264" t="str">
        <f>IFERROR(__xludf.DUMMYFUNCTION("IFERROR(IF(F243=""Crypto"",B243,(IF(ISBLANK(D243),"""",IF(D243=""Cash"",B243,IF(GOOGLEFINANCE(D243,""CURRENCY"")=""GBX"",""GBP"",GOOGLEFINANCE(D243,""CURRENCY"")))))),B243)"),"")</f>
        <v/>
      </c>
      <c r="R243" s="263" t="str">
        <f>IFERROR(__xludf.DUMMYFUNCTION("IF(ISBLANK(A243),"""",IFERROR(IF(OR(Q243=""GPB"",Q243=""ZAR""),IF(Q243=Dashboard!$L$1,K243,(K243*GOOGLEFINANCE(""CURRENCY:""&amp;Q243&amp;""""&amp;Dashboard!$L$1&amp;""""))/100),IF(Q243=Dashboard!$L$1,K243,K243*GOOGLEFINANCE(""CURRENCY:""&amp;Q243&amp;""""&amp;Dashboard!$L$1&amp;"""")))"&amp;",K243))"),"")</f>
        <v/>
      </c>
      <c r="S243" s="266" t="str">
        <f>IFERROR(__xludf.DUMMYFUNCTION("IF(ISBLANK(A243),"""",IFERROR(IF(OR(Q243=""GPB"",Q243=""ZAR""),IF(Q243=Dashboard!$L$1,M243,(M243*GOOGLEFINANCE(""CURRENCY:""&amp;Q243&amp;""""&amp;Dashboard!$L$1&amp;""""))/100),IF(Q243=Dashboard!$L$1,M243,M243*GOOGLEFINANCE(""CURRENCY:""&amp;Q243&amp;""""&amp;Dashboard!$L$1&amp;"""")))"&amp;",M243))"),"")</f>
        <v/>
      </c>
      <c r="T243" s="264" t="str">
        <f t="shared" si="4"/>
        <v/>
      </c>
      <c r="U243" s="264" t="str">
        <f t="shared" si="5"/>
        <v/>
      </c>
      <c r="V243" s="264" t="str">
        <f t="shared" si="6"/>
        <v/>
      </c>
      <c r="W243" s="267" t="str">
        <f t="shared" si="8"/>
        <v/>
      </c>
      <c r="X243" s="264" t="str">
        <f t="shared" si="7"/>
        <v/>
      </c>
    </row>
    <row r="244" ht="15.75" customHeight="1">
      <c r="A244" s="258"/>
      <c r="B244" s="258"/>
      <c r="C244" s="269"/>
      <c r="D244" s="258"/>
      <c r="E244" s="258"/>
      <c r="F244" s="258"/>
      <c r="G244" s="258"/>
      <c r="H244" s="271"/>
      <c r="I244" s="258"/>
      <c r="J244" s="272"/>
      <c r="K244" s="260"/>
      <c r="L244" s="261"/>
      <c r="M244" s="262" t="str">
        <f t="shared" si="1"/>
        <v/>
      </c>
      <c r="N244" s="263" t="str">
        <f t="shared" si="2"/>
        <v/>
      </c>
      <c r="O244" s="264" t="str">
        <f t="shared" si="3"/>
        <v/>
      </c>
      <c r="P244" s="265" t="str">
        <f>IFERROR(__xludf.DUMMYFUNCTION("IF(ISBLANK(A244),"""",IFERROR(IF(H244=""Sell"",VLOOKUP(9^99,FILTER({ROW(P$2:P243),P$2:P243},D$2:D243=D244),2),(VLOOKUP(9^99,FILTER({ROW(P$2:P243),P$2:P243},D$2:D243=D244),2)*VLOOKUP(9^99,FILTER({ROW(O$2:O243),O$2:O243},D$2:D243=D244),2)-N244)/O244),J244))"),"")</f>
        <v/>
      </c>
      <c r="Q244" s="264" t="str">
        <f>IFERROR(__xludf.DUMMYFUNCTION("IFERROR(IF(F244=""Crypto"",B244,(IF(ISBLANK(D244),"""",IF(D244=""Cash"",B244,IF(GOOGLEFINANCE(D244,""CURRENCY"")=""GBX"",""GBP"",GOOGLEFINANCE(D244,""CURRENCY"")))))),B244)"),"")</f>
        <v/>
      </c>
      <c r="R244" s="263" t="str">
        <f>IFERROR(__xludf.DUMMYFUNCTION("IF(ISBLANK(A244),"""",IFERROR(IF(OR(Q244=""GPB"",Q244=""ZAR""),IF(Q244=Dashboard!$L$1,K244,(K244*GOOGLEFINANCE(""CURRENCY:""&amp;Q244&amp;""""&amp;Dashboard!$L$1&amp;""""))/100),IF(Q244=Dashboard!$L$1,K244,K244*GOOGLEFINANCE(""CURRENCY:""&amp;Q244&amp;""""&amp;Dashboard!$L$1&amp;"""")))"&amp;",K244))"),"")</f>
        <v/>
      </c>
      <c r="S244" s="266" t="str">
        <f>IFERROR(__xludf.DUMMYFUNCTION("IF(ISBLANK(A244),"""",IFERROR(IF(OR(Q244=""GPB"",Q244=""ZAR""),IF(Q244=Dashboard!$L$1,M244,(M244*GOOGLEFINANCE(""CURRENCY:""&amp;Q244&amp;""""&amp;Dashboard!$L$1&amp;""""))/100),IF(Q244=Dashboard!$L$1,M244,M244*GOOGLEFINANCE(""CURRENCY:""&amp;Q244&amp;""""&amp;Dashboard!$L$1&amp;"""")))"&amp;",M244))"),"")</f>
        <v/>
      </c>
      <c r="T244" s="264" t="str">
        <f t="shared" si="4"/>
        <v/>
      </c>
      <c r="U244" s="264" t="str">
        <f t="shared" si="5"/>
        <v/>
      </c>
      <c r="V244" s="264" t="str">
        <f t="shared" si="6"/>
        <v/>
      </c>
      <c r="W244" s="267" t="str">
        <f t="shared" si="8"/>
        <v/>
      </c>
      <c r="X244" s="264" t="str">
        <f t="shared" si="7"/>
        <v/>
      </c>
    </row>
    <row r="245" ht="15.75" customHeight="1">
      <c r="A245" s="258"/>
      <c r="B245" s="258"/>
      <c r="C245" s="269"/>
      <c r="D245" s="258"/>
      <c r="E245" s="258"/>
      <c r="F245" s="258"/>
      <c r="G245" s="258"/>
      <c r="H245" s="271"/>
      <c r="I245" s="258"/>
      <c r="J245" s="272"/>
      <c r="K245" s="260"/>
      <c r="L245" s="261"/>
      <c r="M245" s="262" t="str">
        <f t="shared" si="1"/>
        <v/>
      </c>
      <c r="N245" s="263" t="str">
        <f t="shared" si="2"/>
        <v/>
      </c>
      <c r="O245" s="264" t="str">
        <f t="shared" si="3"/>
        <v/>
      </c>
      <c r="P245" s="265" t="str">
        <f>IFERROR(__xludf.DUMMYFUNCTION("IF(ISBLANK(A245),"""",IFERROR(IF(H245=""Sell"",VLOOKUP(9^99,FILTER({ROW(P$2:P244),P$2:P244},D$2:D244=D245),2),(VLOOKUP(9^99,FILTER({ROW(P$2:P244),P$2:P244},D$2:D244=D245),2)*VLOOKUP(9^99,FILTER({ROW(O$2:O244),O$2:O244},D$2:D244=D245),2)-N245)/O245),J245))"),"")</f>
        <v/>
      </c>
      <c r="Q245" s="264" t="str">
        <f>IFERROR(__xludf.DUMMYFUNCTION("IFERROR(IF(F245=""Crypto"",B245,(IF(ISBLANK(D245),"""",IF(D245=""Cash"",B245,IF(GOOGLEFINANCE(D245,""CURRENCY"")=""GBX"",""GBP"",GOOGLEFINANCE(D245,""CURRENCY"")))))),B245)"),"")</f>
        <v/>
      </c>
      <c r="R245" s="263" t="str">
        <f>IFERROR(__xludf.DUMMYFUNCTION("IF(ISBLANK(A245),"""",IFERROR(IF(OR(Q245=""GPB"",Q245=""ZAR""),IF(Q245=Dashboard!$L$1,K245,(K245*GOOGLEFINANCE(""CURRENCY:""&amp;Q245&amp;""""&amp;Dashboard!$L$1&amp;""""))/100),IF(Q245=Dashboard!$L$1,K245,K245*GOOGLEFINANCE(""CURRENCY:""&amp;Q245&amp;""""&amp;Dashboard!$L$1&amp;"""")))"&amp;",K245))"),"")</f>
        <v/>
      </c>
      <c r="S245" s="266" t="str">
        <f>IFERROR(__xludf.DUMMYFUNCTION("IF(ISBLANK(A245),"""",IFERROR(IF(OR(Q245=""GPB"",Q245=""ZAR""),IF(Q245=Dashboard!$L$1,M245,(M245*GOOGLEFINANCE(""CURRENCY:""&amp;Q245&amp;""""&amp;Dashboard!$L$1&amp;""""))/100),IF(Q245=Dashboard!$L$1,M245,M245*GOOGLEFINANCE(""CURRENCY:""&amp;Q245&amp;""""&amp;Dashboard!$L$1&amp;"""")))"&amp;",M245))"),"")</f>
        <v/>
      </c>
      <c r="T245" s="264" t="str">
        <f t="shared" si="4"/>
        <v/>
      </c>
      <c r="U245" s="264" t="str">
        <f t="shared" si="5"/>
        <v/>
      </c>
      <c r="V245" s="264" t="str">
        <f t="shared" si="6"/>
        <v/>
      </c>
      <c r="W245" s="267" t="str">
        <f t="shared" si="8"/>
        <v/>
      </c>
      <c r="X245" s="264" t="str">
        <f t="shared" si="7"/>
        <v/>
      </c>
    </row>
    <row r="246" ht="15.75" customHeight="1">
      <c r="A246" s="258"/>
      <c r="B246" s="258"/>
      <c r="C246" s="269"/>
      <c r="D246" s="258"/>
      <c r="E246" s="258"/>
      <c r="F246" s="258"/>
      <c r="G246" s="258"/>
      <c r="H246" s="271"/>
      <c r="I246" s="258"/>
      <c r="J246" s="272"/>
      <c r="K246" s="260"/>
      <c r="L246" s="261"/>
      <c r="M246" s="262" t="str">
        <f t="shared" si="1"/>
        <v/>
      </c>
      <c r="N246" s="263" t="str">
        <f t="shared" si="2"/>
        <v/>
      </c>
      <c r="O246" s="264" t="str">
        <f t="shared" si="3"/>
        <v/>
      </c>
      <c r="P246" s="265" t="str">
        <f>IFERROR(__xludf.DUMMYFUNCTION("IF(ISBLANK(A246),"""",IFERROR(IF(H246=""Sell"",VLOOKUP(9^99,FILTER({ROW(P$2:P245),P$2:P245},D$2:D245=D246),2),(VLOOKUP(9^99,FILTER({ROW(P$2:P245),P$2:P245},D$2:D245=D246),2)*VLOOKUP(9^99,FILTER({ROW(O$2:O245),O$2:O245},D$2:D245=D246),2)-N246)/O246),J246))"),"")</f>
        <v/>
      </c>
      <c r="Q246" s="264" t="str">
        <f>IFERROR(__xludf.DUMMYFUNCTION("IFERROR(IF(F246=""Crypto"",B246,(IF(ISBLANK(D246),"""",IF(D246=""Cash"",B246,IF(GOOGLEFINANCE(D246,""CURRENCY"")=""GBX"",""GBP"",GOOGLEFINANCE(D246,""CURRENCY"")))))),B246)"),"")</f>
        <v/>
      </c>
      <c r="R246" s="263" t="str">
        <f>IFERROR(__xludf.DUMMYFUNCTION("IF(ISBLANK(A246),"""",IFERROR(IF(OR(Q246=""GPB"",Q246=""ZAR""),IF(Q246=Dashboard!$L$1,K246,(K246*GOOGLEFINANCE(""CURRENCY:""&amp;Q246&amp;""""&amp;Dashboard!$L$1&amp;""""))/100),IF(Q246=Dashboard!$L$1,K246,K246*GOOGLEFINANCE(""CURRENCY:""&amp;Q246&amp;""""&amp;Dashboard!$L$1&amp;"""")))"&amp;",K246))"),"")</f>
        <v/>
      </c>
      <c r="S246" s="266" t="str">
        <f>IFERROR(__xludf.DUMMYFUNCTION("IF(ISBLANK(A246),"""",IFERROR(IF(OR(Q246=""GPB"",Q246=""ZAR""),IF(Q246=Dashboard!$L$1,M246,(M246*GOOGLEFINANCE(""CURRENCY:""&amp;Q246&amp;""""&amp;Dashboard!$L$1&amp;""""))/100),IF(Q246=Dashboard!$L$1,M246,M246*GOOGLEFINANCE(""CURRENCY:""&amp;Q246&amp;""""&amp;Dashboard!$L$1&amp;"""")))"&amp;",M246))"),"")</f>
        <v/>
      </c>
      <c r="T246" s="264" t="str">
        <f t="shared" si="4"/>
        <v/>
      </c>
      <c r="U246" s="264" t="str">
        <f t="shared" si="5"/>
        <v/>
      </c>
      <c r="V246" s="264" t="str">
        <f t="shared" si="6"/>
        <v/>
      </c>
      <c r="W246" s="267" t="str">
        <f t="shared" si="8"/>
        <v/>
      </c>
      <c r="X246" s="264" t="str">
        <f t="shared" si="7"/>
        <v/>
      </c>
    </row>
    <row r="247" ht="15.75" customHeight="1">
      <c r="A247" s="258"/>
      <c r="B247" s="258"/>
      <c r="C247" s="269"/>
      <c r="D247" s="258"/>
      <c r="E247" s="258"/>
      <c r="F247" s="258"/>
      <c r="G247" s="258"/>
      <c r="H247" s="271"/>
      <c r="I247" s="258"/>
      <c r="J247" s="272"/>
      <c r="K247" s="260"/>
      <c r="L247" s="261"/>
      <c r="M247" s="262" t="str">
        <f t="shared" si="1"/>
        <v/>
      </c>
      <c r="N247" s="263" t="str">
        <f t="shared" si="2"/>
        <v/>
      </c>
      <c r="O247" s="264" t="str">
        <f t="shared" si="3"/>
        <v/>
      </c>
      <c r="P247" s="265" t="str">
        <f>IFERROR(__xludf.DUMMYFUNCTION("IF(ISBLANK(A247),"""",IFERROR(IF(H247=""Sell"",VLOOKUP(9^99,FILTER({ROW(P$2:P246),P$2:P246},D$2:D246=D247),2),(VLOOKUP(9^99,FILTER({ROW(P$2:P246),P$2:P246},D$2:D246=D247),2)*VLOOKUP(9^99,FILTER({ROW(O$2:O246),O$2:O246},D$2:D246=D247),2)-N247)/O247),J247))"),"")</f>
        <v/>
      </c>
      <c r="Q247" s="264" t="str">
        <f>IFERROR(__xludf.DUMMYFUNCTION("IFERROR(IF(F247=""Crypto"",B247,(IF(ISBLANK(D247),"""",IF(D247=""Cash"",B247,IF(GOOGLEFINANCE(D247,""CURRENCY"")=""GBX"",""GBP"",GOOGLEFINANCE(D247,""CURRENCY"")))))),B247)"),"")</f>
        <v/>
      </c>
      <c r="R247" s="263" t="str">
        <f>IFERROR(__xludf.DUMMYFUNCTION("IF(ISBLANK(A247),"""",IFERROR(IF(OR(Q247=""GPB"",Q247=""ZAR""),IF(Q247=Dashboard!$L$1,K247,(K247*GOOGLEFINANCE(""CURRENCY:""&amp;Q247&amp;""""&amp;Dashboard!$L$1&amp;""""))/100),IF(Q247=Dashboard!$L$1,K247,K247*GOOGLEFINANCE(""CURRENCY:""&amp;Q247&amp;""""&amp;Dashboard!$L$1&amp;"""")))"&amp;",K247))"),"")</f>
        <v/>
      </c>
      <c r="S247" s="266" t="str">
        <f>IFERROR(__xludf.DUMMYFUNCTION("IF(ISBLANK(A247),"""",IFERROR(IF(OR(Q247=""GPB"",Q247=""ZAR""),IF(Q247=Dashboard!$L$1,M247,(M247*GOOGLEFINANCE(""CURRENCY:""&amp;Q247&amp;""""&amp;Dashboard!$L$1&amp;""""))/100),IF(Q247=Dashboard!$L$1,M247,M247*GOOGLEFINANCE(""CURRENCY:""&amp;Q247&amp;""""&amp;Dashboard!$L$1&amp;"""")))"&amp;",M247))"),"")</f>
        <v/>
      </c>
      <c r="T247" s="264" t="str">
        <f t="shared" si="4"/>
        <v/>
      </c>
      <c r="U247" s="264" t="str">
        <f t="shared" si="5"/>
        <v/>
      </c>
      <c r="V247" s="264" t="str">
        <f t="shared" si="6"/>
        <v/>
      </c>
      <c r="W247" s="267" t="str">
        <f t="shared" si="8"/>
        <v/>
      </c>
      <c r="X247" s="264" t="str">
        <f t="shared" si="7"/>
        <v/>
      </c>
    </row>
    <row r="248" ht="15.75" customHeight="1">
      <c r="A248" s="258"/>
      <c r="B248" s="258"/>
      <c r="C248" s="269"/>
      <c r="D248" s="258"/>
      <c r="E248" s="258"/>
      <c r="F248" s="258"/>
      <c r="G248" s="258"/>
      <c r="H248" s="271"/>
      <c r="I248" s="258"/>
      <c r="J248" s="272"/>
      <c r="K248" s="260"/>
      <c r="L248" s="261"/>
      <c r="M248" s="262" t="str">
        <f t="shared" si="1"/>
        <v/>
      </c>
      <c r="N248" s="263" t="str">
        <f t="shared" si="2"/>
        <v/>
      </c>
      <c r="O248" s="264" t="str">
        <f t="shared" si="3"/>
        <v/>
      </c>
      <c r="P248" s="265" t="str">
        <f>IFERROR(__xludf.DUMMYFUNCTION("IF(ISBLANK(A248),"""",IFERROR(IF(H248=""Sell"",VLOOKUP(9^99,FILTER({ROW(P$2:P247),P$2:P247},D$2:D247=D248),2),(VLOOKUP(9^99,FILTER({ROW(P$2:P247),P$2:P247},D$2:D247=D248),2)*VLOOKUP(9^99,FILTER({ROW(O$2:O247),O$2:O247},D$2:D247=D248),2)-N248)/O248),J248))"),"")</f>
        <v/>
      </c>
      <c r="Q248" s="264" t="str">
        <f>IFERROR(__xludf.DUMMYFUNCTION("IFERROR(IF(F248=""Crypto"",B248,(IF(ISBLANK(D248),"""",IF(D248=""Cash"",B248,IF(GOOGLEFINANCE(D248,""CURRENCY"")=""GBX"",""GBP"",GOOGLEFINANCE(D248,""CURRENCY"")))))),B248)"),"")</f>
        <v/>
      </c>
      <c r="R248" s="263" t="str">
        <f>IFERROR(__xludf.DUMMYFUNCTION("IF(ISBLANK(A248),"""",IFERROR(IF(OR(Q248=""GPB"",Q248=""ZAR""),IF(Q248=Dashboard!$L$1,K248,(K248*GOOGLEFINANCE(""CURRENCY:""&amp;Q248&amp;""""&amp;Dashboard!$L$1&amp;""""))/100),IF(Q248=Dashboard!$L$1,K248,K248*GOOGLEFINANCE(""CURRENCY:""&amp;Q248&amp;""""&amp;Dashboard!$L$1&amp;"""")))"&amp;",K248))"),"")</f>
        <v/>
      </c>
      <c r="S248" s="266" t="str">
        <f>IFERROR(__xludf.DUMMYFUNCTION("IF(ISBLANK(A248),"""",IFERROR(IF(OR(Q248=""GPB"",Q248=""ZAR""),IF(Q248=Dashboard!$L$1,M248,(M248*GOOGLEFINANCE(""CURRENCY:""&amp;Q248&amp;""""&amp;Dashboard!$L$1&amp;""""))/100),IF(Q248=Dashboard!$L$1,M248,M248*GOOGLEFINANCE(""CURRENCY:""&amp;Q248&amp;""""&amp;Dashboard!$L$1&amp;"""")))"&amp;",M248))"),"")</f>
        <v/>
      </c>
      <c r="T248" s="264" t="str">
        <f t="shared" si="4"/>
        <v/>
      </c>
      <c r="U248" s="264" t="str">
        <f t="shared" si="5"/>
        <v/>
      </c>
      <c r="V248" s="264" t="str">
        <f t="shared" si="6"/>
        <v/>
      </c>
      <c r="W248" s="267" t="str">
        <f t="shared" si="8"/>
        <v/>
      </c>
      <c r="X248" s="264" t="str">
        <f t="shared" si="7"/>
        <v/>
      </c>
    </row>
    <row r="249" ht="15.75" customHeight="1">
      <c r="A249" s="258"/>
      <c r="B249" s="258"/>
      <c r="C249" s="269"/>
      <c r="D249" s="258"/>
      <c r="E249" s="258"/>
      <c r="F249" s="258"/>
      <c r="G249" s="258"/>
      <c r="H249" s="271"/>
      <c r="I249" s="258"/>
      <c r="J249" s="272"/>
      <c r="K249" s="260"/>
      <c r="L249" s="261"/>
      <c r="M249" s="262" t="str">
        <f t="shared" si="1"/>
        <v/>
      </c>
      <c r="N249" s="263" t="str">
        <f t="shared" si="2"/>
        <v/>
      </c>
      <c r="O249" s="264" t="str">
        <f t="shared" si="3"/>
        <v/>
      </c>
      <c r="P249" s="265" t="str">
        <f>IFERROR(__xludf.DUMMYFUNCTION("IF(ISBLANK(A249),"""",IFERROR(IF(H249=""Sell"",VLOOKUP(9^99,FILTER({ROW(P$2:P248),P$2:P248},D$2:D248=D249),2),(VLOOKUP(9^99,FILTER({ROW(P$2:P248),P$2:P248},D$2:D248=D249),2)*VLOOKUP(9^99,FILTER({ROW(O$2:O248),O$2:O248},D$2:D248=D249),2)-N249)/O249),J249))"),"")</f>
        <v/>
      </c>
      <c r="Q249" s="264" t="str">
        <f>IFERROR(__xludf.DUMMYFUNCTION("IFERROR(IF(F249=""Crypto"",B249,(IF(ISBLANK(D249),"""",IF(D249=""Cash"",B249,IF(GOOGLEFINANCE(D249,""CURRENCY"")=""GBX"",""GBP"",GOOGLEFINANCE(D249,""CURRENCY"")))))),B249)"),"")</f>
        <v/>
      </c>
      <c r="R249" s="263" t="str">
        <f>IFERROR(__xludf.DUMMYFUNCTION("IF(ISBLANK(A249),"""",IFERROR(IF(OR(Q249=""GPB"",Q249=""ZAR""),IF(Q249=Dashboard!$L$1,K249,(K249*GOOGLEFINANCE(""CURRENCY:""&amp;Q249&amp;""""&amp;Dashboard!$L$1&amp;""""))/100),IF(Q249=Dashboard!$L$1,K249,K249*GOOGLEFINANCE(""CURRENCY:""&amp;Q249&amp;""""&amp;Dashboard!$L$1&amp;"""")))"&amp;",K249))"),"")</f>
        <v/>
      </c>
      <c r="S249" s="266" t="str">
        <f>IFERROR(__xludf.DUMMYFUNCTION("IF(ISBLANK(A249),"""",IFERROR(IF(OR(Q249=""GPB"",Q249=""ZAR""),IF(Q249=Dashboard!$L$1,M249,(M249*GOOGLEFINANCE(""CURRENCY:""&amp;Q249&amp;""""&amp;Dashboard!$L$1&amp;""""))/100),IF(Q249=Dashboard!$L$1,M249,M249*GOOGLEFINANCE(""CURRENCY:""&amp;Q249&amp;""""&amp;Dashboard!$L$1&amp;"""")))"&amp;",M249))"),"")</f>
        <v/>
      </c>
      <c r="T249" s="264" t="str">
        <f t="shared" si="4"/>
        <v/>
      </c>
      <c r="U249" s="264" t="str">
        <f t="shared" si="5"/>
        <v/>
      </c>
      <c r="V249" s="264" t="str">
        <f t="shared" si="6"/>
        <v/>
      </c>
      <c r="W249" s="267" t="str">
        <f t="shared" si="8"/>
        <v/>
      </c>
      <c r="X249" s="264" t="str">
        <f t="shared" si="7"/>
        <v/>
      </c>
    </row>
    <row r="250" ht="15.75" customHeight="1">
      <c r="A250" s="258"/>
      <c r="B250" s="258"/>
      <c r="C250" s="269"/>
      <c r="D250" s="258"/>
      <c r="E250" s="258"/>
      <c r="F250" s="258"/>
      <c r="G250" s="258"/>
      <c r="H250" s="271"/>
      <c r="I250" s="258"/>
      <c r="J250" s="272"/>
      <c r="K250" s="260"/>
      <c r="L250" s="261"/>
      <c r="M250" s="262" t="str">
        <f t="shared" si="1"/>
        <v/>
      </c>
      <c r="N250" s="263" t="str">
        <f t="shared" si="2"/>
        <v/>
      </c>
      <c r="O250" s="264" t="str">
        <f t="shared" si="3"/>
        <v/>
      </c>
      <c r="P250" s="265" t="str">
        <f>IFERROR(__xludf.DUMMYFUNCTION("IF(ISBLANK(A250),"""",IFERROR(IF(H250=""Sell"",VLOOKUP(9^99,FILTER({ROW(P$2:P249),P$2:P249},D$2:D249=D250),2),(VLOOKUP(9^99,FILTER({ROW(P$2:P249),P$2:P249},D$2:D249=D250),2)*VLOOKUP(9^99,FILTER({ROW(O$2:O249),O$2:O249},D$2:D249=D250),2)-N250)/O250),J250))"),"")</f>
        <v/>
      </c>
      <c r="Q250" s="264" t="str">
        <f>IFERROR(__xludf.DUMMYFUNCTION("IFERROR(IF(F250=""Crypto"",B250,(IF(ISBLANK(D250),"""",IF(D250=""Cash"",B250,IF(GOOGLEFINANCE(D250,""CURRENCY"")=""GBX"",""GBP"",GOOGLEFINANCE(D250,""CURRENCY"")))))),B250)"),"")</f>
        <v/>
      </c>
      <c r="R250" s="263" t="str">
        <f>IFERROR(__xludf.DUMMYFUNCTION("IF(ISBLANK(A250),"""",IFERROR(IF(OR(Q250=""GPB"",Q250=""ZAR""),IF(Q250=Dashboard!$L$1,K250,(K250*GOOGLEFINANCE(""CURRENCY:""&amp;Q250&amp;""""&amp;Dashboard!$L$1&amp;""""))/100),IF(Q250=Dashboard!$L$1,K250,K250*GOOGLEFINANCE(""CURRENCY:""&amp;Q250&amp;""""&amp;Dashboard!$L$1&amp;"""")))"&amp;",K250))"),"")</f>
        <v/>
      </c>
      <c r="S250" s="266" t="str">
        <f>IFERROR(__xludf.DUMMYFUNCTION("IF(ISBLANK(A250),"""",IFERROR(IF(OR(Q250=""GPB"",Q250=""ZAR""),IF(Q250=Dashboard!$L$1,M250,(M250*GOOGLEFINANCE(""CURRENCY:""&amp;Q250&amp;""""&amp;Dashboard!$L$1&amp;""""))/100),IF(Q250=Dashboard!$L$1,M250,M250*GOOGLEFINANCE(""CURRENCY:""&amp;Q250&amp;""""&amp;Dashboard!$L$1&amp;"""")))"&amp;",M250))"),"")</f>
        <v/>
      </c>
      <c r="T250" s="264" t="str">
        <f t="shared" si="4"/>
        <v/>
      </c>
      <c r="U250" s="264" t="str">
        <f t="shared" si="5"/>
        <v/>
      </c>
      <c r="V250" s="264" t="str">
        <f t="shared" si="6"/>
        <v/>
      </c>
      <c r="W250" s="267" t="str">
        <f t="shared" si="8"/>
        <v/>
      </c>
      <c r="X250" s="264" t="str">
        <f t="shared" si="7"/>
        <v/>
      </c>
    </row>
    <row r="251" ht="15.75" customHeight="1">
      <c r="A251" s="258"/>
      <c r="B251" s="258"/>
      <c r="C251" s="269"/>
      <c r="D251" s="258"/>
      <c r="E251" s="258"/>
      <c r="F251" s="258"/>
      <c r="G251" s="258"/>
      <c r="H251" s="271"/>
      <c r="I251" s="258"/>
      <c r="J251" s="272"/>
      <c r="K251" s="260"/>
      <c r="L251" s="261"/>
      <c r="M251" s="262" t="str">
        <f t="shared" si="1"/>
        <v/>
      </c>
      <c r="N251" s="263" t="str">
        <f t="shared" si="2"/>
        <v/>
      </c>
      <c r="O251" s="264" t="str">
        <f t="shared" si="3"/>
        <v/>
      </c>
      <c r="P251" s="265" t="str">
        <f>IFERROR(__xludf.DUMMYFUNCTION("IF(ISBLANK(A251),"""",IFERROR(IF(H251=""Sell"",VLOOKUP(9^99,FILTER({ROW(P$2:P250),P$2:P250},D$2:D250=D251),2),(VLOOKUP(9^99,FILTER({ROW(P$2:P250),P$2:P250},D$2:D250=D251),2)*VLOOKUP(9^99,FILTER({ROW(O$2:O250),O$2:O250},D$2:D250=D251),2)-N251)/O251),J251))"),"")</f>
        <v/>
      </c>
      <c r="Q251" s="264" t="str">
        <f>IFERROR(__xludf.DUMMYFUNCTION("IFERROR(IF(F251=""Crypto"",B251,(IF(ISBLANK(D251),"""",IF(D251=""Cash"",B251,IF(GOOGLEFINANCE(D251,""CURRENCY"")=""GBX"",""GBP"",GOOGLEFINANCE(D251,""CURRENCY"")))))),B251)"),"")</f>
        <v/>
      </c>
      <c r="R251" s="263" t="str">
        <f>IFERROR(__xludf.DUMMYFUNCTION("IF(ISBLANK(A251),"""",IFERROR(IF(OR(Q251=""GPB"",Q251=""ZAR""),IF(Q251=Dashboard!$L$1,K251,(K251*GOOGLEFINANCE(""CURRENCY:""&amp;Q251&amp;""""&amp;Dashboard!$L$1&amp;""""))/100),IF(Q251=Dashboard!$L$1,K251,K251*GOOGLEFINANCE(""CURRENCY:""&amp;Q251&amp;""""&amp;Dashboard!$L$1&amp;"""")))"&amp;",K251))"),"")</f>
        <v/>
      </c>
      <c r="S251" s="266" t="str">
        <f>IFERROR(__xludf.DUMMYFUNCTION("IF(ISBLANK(A251),"""",IFERROR(IF(OR(Q251=""GPB"",Q251=""ZAR""),IF(Q251=Dashboard!$L$1,M251,(M251*GOOGLEFINANCE(""CURRENCY:""&amp;Q251&amp;""""&amp;Dashboard!$L$1&amp;""""))/100),IF(Q251=Dashboard!$L$1,M251,M251*GOOGLEFINANCE(""CURRENCY:""&amp;Q251&amp;""""&amp;Dashboard!$L$1&amp;"""")))"&amp;",M251))"),"")</f>
        <v/>
      </c>
      <c r="T251" s="264" t="str">
        <f t="shared" si="4"/>
        <v/>
      </c>
      <c r="U251" s="264" t="str">
        <f t="shared" si="5"/>
        <v/>
      </c>
      <c r="V251" s="264" t="str">
        <f t="shared" si="6"/>
        <v/>
      </c>
      <c r="W251" s="267" t="str">
        <f t="shared" si="8"/>
        <v/>
      </c>
      <c r="X251" s="264" t="str">
        <f t="shared" si="7"/>
        <v/>
      </c>
    </row>
    <row r="252" ht="15.75" customHeight="1">
      <c r="A252" s="258"/>
      <c r="B252" s="258"/>
      <c r="C252" s="269"/>
      <c r="D252" s="258"/>
      <c r="E252" s="258"/>
      <c r="F252" s="258"/>
      <c r="G252" s="258"/>
      <c r="H252" s="271"/>
      <c r="I252" s="258"/>
      <c r="J252" s="272"/>
      <c r="K252" s="260"/>
      <c r="L252" s="261"/>
      <c r="M252" s="262" t="str">
        <f t="shared" si="1"/>
        <v/>
      </c>
      <c r="N252" s="263" t="str">
        <f t="shared" si="2"/>
        <v/>
      </c>
      <c r="O252" s="264" t="str">
        <f t="shared" si="3"/>
        <v/>
      </c>
      <c r="P252" s="265" t="str">
        <f>IFERROR(__xludf.DUMMYFUNCTION("IF(ISBLANK(A252),"""",IFERROR(IF(H252=""Sell"",VLOOKUP(9^99,FILTER({ROW(P$2:P251),P$2:P251},D$2:D251=D252),2),(VLOOKUP(9^99,FILTER({ROW(P$2:P251),P$2:P251},D$2:D251=D252),2)*VLOOKUP(9^99,FILTER({ROW(O$2:O251),O$2:O251},D$2:D251=D252),2)-N252)/O252),J252))"),"")</f>
        <v/>
      </c>
      <c r="Q252" s="264" t="str">
        <f>IFERROR(__xludf.DUMMYFUNCTION("IFERROR(IF(F252=""Crypto"",B252,(IF(ISBLANK(D252),"""",IF(D252=""Cash"",B252,IF(GOOGLEFINANCE(D252,""CURRENCY"")=""GBX"",""GBP"",GOOGLEFINANCE(D252,""CURRENCY"")))))),B252)"),"")</f>
        <v/>
      </c>
      <c r="R252" s="263" t="str">
        <f>IFERROR(__xludf.DUMMYFUNCTION("IF(ISBLANK(A252),"""",IFERROR(IF(OR(Q252=""GPB"",Q252=""ZAR""),IF(Q252=Dashboard!$L$1,K252,(K252*GOOGLEFINANCE(""CURRENCY:""&amp;Q252&amp;""""&amp;Dashboard!$L$1&amp;""""))/100),IF(Q252=Dashboard!$L$1,K252,K252*GOOGLEFINANCE(""CURRENCY:""&amp;Q252&amp;""""&amp;Dashboard!$L$1&amp;"""")))"&amp;",K252))"),"")</f>
        <v/>
      </c>
      <c r="S252" s="266" t="str">
        <f>IFERROR(__xludf.DUMMYFUNCTION("IF(ISBLANK(A252),"""",IFERROR(IF(OR(Q252=""GPB"",Q252=""ZAR""),IF(Q252=Dashboard!$L$1,M252,(M252*GOOGLEFINANCE(""CURRENCY:""&amp;Q252&amp;""""&amp;Dashboard!$L$1&amp;""""))/100),IF(Q252=Dashboard!$L$1,M252,M252*GOOGLEFINANCE(""CURRENCY:""&amp;Q252&amp;""""&amp;Dashboard!$L$1&amp;"""")))"&amp;",M252))"),"")</f>
        <v/>
      </c>
      <c r="T252" s="264" t="str">
        <f t="shared" si="4"/>
        <v/>
      </c>
      <c r="U252" s="264" t="str">
        <f t="shared" si="5"/>
        <v/>
      </c>
      <c r="V252" s="264" t="str">
        <f t="shared" si="6"/>
        <v/>
      </c>
      <c r="W252" s="267" t="str">
        <f t="shared" si="8"/>
        <v/>
      </c>
      <c r="X252" s="264" t="str">
        <f t="shared" si="7"/>
        <v/>
      </c>
    </row>
    <row r="253" ht="15.75" customHeight="1">
      <c r="A253" s="258"/>
      <c r="B253" s="258"/>
      <c r="C253" s="269"/>
      <c r="D253" s="258"/>
      <c r="E253" s="258"/>
      <c r="F253" s="258"/>
      <c r="G253" s="258"/>
      <c r="H253" s="271"/>
      <c r="I253" s="258"/>
      <c r="J253" s="272"/>
      <c r="K253" s="260"/>
      <c r="L253" s="261"/>
      <c r="M253" s="262" t="str">
        <f t="shared" si="1"/>
        <v/>
      </c>
      <c r="N253" s="263" t="str">
        <f t="shared" si="2"/>
        <v/>
      </c>
      <c r="O253" s="264" t="str">
        <f t="shared" si="3"/>
        <v/>
      </c>
      <c r="P253" s="265" t="str">
        <f>IFERROR(__xludf.DUMMYFUNCTION("IF(ISBLANK(A253),"""",IFERROR(IF(H253=""Sell"",VLOOKUP(9^99,FILTER({ROW(P$2:P252),P$2:P252},D$2:D252=D253),2),(VLOOKUP(9^99,FILTER({ROW(P$2:P252),P$2:P252},D$2:D252=D253),2)*VLOOKUP(9^99,FILTER({ROW(O$2:O252),O$2:O252},D$2:D252=D253),2)-N253)/O253),J253))"),"")</f>
        <v/>
      </c>
      <c r="Q253" s="264" t="str">
        <f>IFERROR(__xludf.DUMMYFUNCTION("IFERROR(IF(F253=""Crypto"",B253,(IF(ISBLANK(D253),"""",IF(D253=""Cash"",B253,IF(GOOGLEFINANCE(D253,""CURRENCY"")=""GBX"",""GBP"",GOOGLEFINANCE(D253,""CURRENCY"")))))),B253)"),"")</f>
        <v/>
      </c>
      <c r="R253" s="263" t="str">
        <f>IFERROR(__xludf.DUMMYFUNCTION("IF(ISBLANK(A253),"""",IFERROR(IF(OR(Q253=""GPB"",Q253=""ZAR""),IF(Q253=Dashboard!$L$1,K253,(K253*GOOGLEFINANCE(""CURRENCY:""&amp;Q253&amp;""""&amp;Dashboard!$L$1&amp;""""))/100),IF(Q253=Dashboard!$L$1,K253,K253*GOOGLEFINANCE(""CURRENCY:""&amp;Q253&amp;""""&amp;Dashboard!$L$1&amp;"""")))"&amp;",K253))"),"")</f>
        <v/>
      </c>
      <c r="S253" s="266" t="str">
        <f>IFERROR(__xludf.DUMMYFUNCTION("IF(ISBLANK(A253),"""",IFERROR(IF(OR(Q253=""GPB"",Q253=""ZAR""),IF(Q253=Dashboard!$L$1,M253,(M253*GOOGLEFINANCE(""CURRENCY:""&amp;Q253&amp;""""&amp;Dashboard!$L$1&amp;""""))/100),IF(Q253=Dashboard!$L$1,M253,M253*GOOGLEFINANCE(""CURRENCY:""&amp;Q253&amp;""""&amp;Dashboard!$L$1&amp;"""")))"&amp;",M253))"),"")</f>
        <v/>
      </c>
      <c r="T253" s="264" t="str">
        <f t="shared" si="4"/>
        <v/>
      </c>
      <c r="U253" s="264" t="str">
        <f t="shared" si="5"/>
        <v/>
      </c>
      <c r="V253" s="264" t="str">
        <f t="shared" si="6"/>
        <v/>
      </c>
      <c r="W253" s="267" t="str">
        <f t="shared" si="8"/>
        <v/>
      </c>
      <c r="X253" s="264" t="str">
        <f t="shared" si="7"/>
        <v/>
      </c>
    </row>
    <row r="254" ht="15.75" customHeight="1">
      <c r="A254" s="258"/>
      <c r="B254" s="258"/>
      <c r="C254" s="269"/>
      <c r="D254" s="258"/>
      <c r="E254" s="258"/>
      <c r="F254" s="258"/>
      <c r="G254" s="258"/>
      <c r="H254" s="271"/>
      <c r="I254" s="258"/>
      <c r="J254" s="272"/>
      <c r="K254" s="260"/>
      <c r="L254" s="261"/>
      <c r="M254" s="262" t="str">
        <f t="shared" si="1"/>
        <v/>
      </c>
      <c r="N254" s="263" t="str">
        <f t="shared" si="2"/>
        <v/>
      </c>
      <c r="O254" s="264" t="str">
        <f t="shared" si="3"/>
        <v/>
      </c>
      <c r="P254" s="265" t="str">
        <f>IFERROR(__xludf.DUMMYFUNCTION("IF(ISBLANK(A254),"""",IFERROR(IF(H254=""Sell"",VLOOKUP(9^99,FILTER({ROW(P$2:P253),P$2:P253},D$2:D253=D254),2),(VLOOKUP(9^99,FILTER({ROW(P$2:P253),P$2:P253},D$2:D253=D254),2)*VLOOKUP(9^99,FILTER({ROW(O$2:O253),O$2:O253},D$2:D253=D254),2)-N254)/O254),J254))"),"")</f>
        <v/>
      </c>
      <c r="Q254" s="264" t="str">
        <f>IFERROR(__xludf.DUMMYFUNCTION("IFERROR(IF(F254=""Crypto"",B254,(IF(ISBLANK(D254),"""",IF(D254=""Cash"",B254,IF(GOOGLEFINANCE(D254,""CURRENCY"")=""GBX"",""GBP"",GOOGLEFINANCE(D254,""CURRENCY"")))))),B254)"),"")</f>
        <v/>
      </c>
      <c r="R254" s="263" t="str">
        <f>IFERROR(__xludf.DUMMYFUNCTION("IF(ISBLANK(A254),"""",IFERROR(IF(OR(Q254=""GPB"",Q254=""ZAR""),IF(Q254=Dashboard!$L$1,K254,(K254*GOOGLEFINANCE(""CURRENCY:""&amp;Q254&amp;""""&amp;Dashboard!$L$1&amp;""""))/100),IF(Q254=Dashboard!$L$1,K254,K254*GOOGLEFINANCE(""CURRENCY:""&amp;Q254&amp;""""&amp;Dashboard!$L$1&amp;"""")))"&amp;",K254))"),"")</f>
        <v/>
      </c>
      <c r="S254" s="266" t="str">
        <f>IFERROR(__xludf.DUMMYFUNCTION("IF(ISBLANK(A254),"""",IFERROR(IF(OR(Q254=""GPB"",Q254=""ZAR""),IF(Q254=Dashboard!$L$1,M254,(M254*GOOGLEFINANCE(""CURRENCY:""&amp;Q254&amp;""""&amp;Dashboard!$L$1&amp;""""))/100),IF(Q254=Dashboard!$L$1,M254,M254*GOOGLEFINANCE(""CURRENCY:""&amp;Q254&amp;""""&amp;Dashboard!$L$1&amp;"""")))"&amp;",M254))"),"")</f>
        <v/>
      </c>
      <c r="T254" s="264" t="str">
        <f t="shared" si="4"/>
        <v/>
      </c>
      <c r="U254" s="264" t="str">
        <f t="shared" si="5"/>
        <v/>
      </c>
      <c r="V254" s="264" t="str">
        <f t="shared" si="6"/>
        <v/>
      </c>
      <c r="W254" s="267" t="str">
        <f t="shared" si="8"/>
        <v/>
      </c>
      <c r="X254" s="264" t="str">
        <f t="shared" si="7"/>
        <v/>
      </c>
    </row>
    <row r="255" ht="15.75" customHeight="1">
      <c r="A255" s="258"/>
      <c r="B255" s="258"/>
      <c r="C255" s="269"/>
      <c r="D255" s="258"/>
      <c r="E255" s="258"/>
      <c r="F255" s="258"/>
      <c r="G255" s="258"/>
      <c r="H255" s="271"/>
      <c r="I255" s="258"/>
      <c r="J255" s="272"/>
      <c r="K255" s="260"/>
      <c r="L255" s="261"/>
      <c r="M255" s="262" t="str">
        <f t="shared" si="1"/>
        <v/>
      </c>
      <c r="N255" s="263" t="str">
        <f t="shared" si="2"/>
        <v/>
      </c>
      <c r="O255" s="264" t="str">
        <f t="shared" si="3"/>
        <v/>
      </c>
      <c r="P255" s="265" t="str">
        <f>IFERROR(__xludf.DUMMYFUNCTION("IF(ISBLANK(A255),"""",IFERROR(IF(H255=""Sell"",VLOOKUP(9^99,FILTER({ROW(P$2:P254),P$2:P254},D$2:D254=D255),2),(VLOOKUP(9^99,FILTER({ROW(P$2:P254),P$2:P254},D$2:D254=D255),2)*VLOOKUP(9^99,FILTER({ROW(O$2:O254),O$2:O254},D$2:D254=D255),2)-N255)/O255),J255))"),"")</f>
        <v/>
      </c>
      <c r="Q255" s="264" t="str">
        <f>IFERROR(__xludf.DUMMYFUNCTION("IFERROR(IF(F255=""Crypto"",B255,(IF(ISBLANK(D255),"""",IF(D255=""Cash"",B255,IF(GOOGLEFINANCE(D255,""CURRENCY"")=""GBX"",""GBP"",GOOGLEFINANCE(D255,""CURRENCY"")))))),B255)"),"")</f>
        <v/>
      </c>
      <c r="R255" s="263" t="str">
        <f>IFERROR(__xludf.DUMMYFUNCTION("IF(ISBLANK(A255),"""",IFERROR(IF(OR(Q255=""GPB"",Q255=""ZAR""),IF(Q255=Dashboard!$L$1,K255,(K255*GOOGLEFINANCE(""CURRENCY:""&amp;Q255&amp;""""&amp;Dashboard!$L$1&amp;""""))/100),IF(Q255=Dashboard!$L$1,K255,K255*GOOGLEFINANCE(""CURRENCY:""&amp;Q255&amp;""""&amp;Dashboard!$L$1&amp;"""")))"&amp;",K255))"),"")</f>
        <v/>
      </c>
      <c r="S255" s="266" t="str">
        <f>IFERROR(__xludf.DUMMYFUNCTION("IF(ISBLANK(A255),"""",IFERROR(IF(OR(Q255=""GPB"",Q255=""ZAR""),IF(Q255=Dashboard!$L$1,M255,(M255*GOOGLEFINANCE(""CURRENCY:""&amp;Q255&amp;""""&amp;Dashboard!$L$1&amp;""""))/100),IF(Q255=Dashboard!$L$1,M255,M255*GOOGLEFINANCE(""CURRENCY:""&amp;Q255&amp;""""&amp;Dashboard!$L$1&amp;"""")))"&amp;",M255))"),"")</f>
        <v/>
      </c>
      <c r="T255" s="264" t="str">
        <f t="shared" si="4"/>
        <v/>
      </c>
      <c r="U255" s="264" t="str">
        <f t="shared" si="5"/>
        <v/>
      </c>
      <c r="V255" s="264" t="str">
        <f t="shared" si="6"/>
        <v/>
      </c>
      <c r="W255" s="267" t="str">
        <f t="shared" si="8"/>
        <v/>
      </c>
      <c r="X255" s="264" t="str">
        <f t="shared" si="7"/>
        <v/>
      </c>
    </row>
    <row r="256" ht="15.75" customHeight="1">
      <c r="A256" s="258"/>
      <c r="B256" s="258"/>
      <c r="C256" s="269"/>
      <c r="D256" s="258"/>
      <c r="E256" s="258"/>
      <c r="F256" s="258"/>
      <c r="G256" s="258"/>
      <c r="H256" s="271"/>
      <c r="I256" s="258"/>
      <c r="J256" s="272"/>
      <c r="K256" s="260"/>
      <c r="L256" s="261"/>
      <c r="M256" s="262" t="str">
        <f t="shared" si="1"/>
        <v/>
      </c>
      <c r="N256" s="263" t="str">
        <f t="shared" si="2"/>
        <v/>
      </c>
      <c r="O256" s="264" t="str">
        <f t="shared" si="3"/>
        <v/>
      </c>
      <c r="P256" s="265" t="str">
        <f>IFERROR(__xludf.DUMMYFUNCTION("IF(ISBLANK(A256),"""",IFERROR(IF(H256=""Sell"",VLOOKUP(9^99,FILTER({ROW(P$2:P255),P$2:P255},D$2:D255=D256),2),(VLOOKUP(9^99,FILTER({ROW(P$2:P255),P$2:P255},D$2:D255=D256),2)*VLOOKUP(9^99,FILTER({ROW(O$2:O255),O$2:O255},D$2:D255=D256),2)-N256)/O256),J256))"),"")</f>
        <v/>
      </c>
      <c r="Q256" s="264" t="str">
        <f>IFERROR(__xludf.DUMMYFUNCTION("IFERROR(IF(F256=""Crypto"",B256,(IF(ISBLANK(D256),"""",IF(D256=""Cash"",B256,IF(GOOGLEFINANCE(D256,""CURRENCY"")=""GBX"",""GBP"",GOOGLEFINANCE(D256,""CURRENCY"")))))),B256)"),"")</f>
        <v/>
      </c>
      <c r="R256" s="263" t="str">
        <f>IFERROR(__xludf.DUMMYFUNCTION("IF(ISBLANK(A256),"""",IFERROR(IF(OR(Q256=""GPB"",Q256=""ZAR""),IF(Q256=Dashboard!$L$1,K256,(K256*GOOGLEFINANCE(""CURRENCY:""&amp;Q256&amp;""""&amp;Dashboard!$L$1&amp;""""))/100),IF(Q256=Dashboard!$L$1,K256,K256*GOOGLEFINANCE(""CURRENCY:""&amp;Q256&amp;""""&amp;Dashboard!$L$1&amp;"""")))"&amp;",K256))"),"")</f>
        <v/>
      </c>
      <c r="S256" s="266" t="str">
        <f>IFERROR(__xludf.DUMMYFUNCTION("IF(ISBLANK(A256),"""",IFERROR(IF(OR(Q256=""GPB"",Q256=""ZAR""),IF(Q256=Dashboard!$L$1,M256,(M256*GOOGLEFINANCE(""CURRENCY:""&amp;Q256&amp;""""&amp;Dashboard!$L$1&amp;""""))/100),IF(Q256=Dashboard!$L$1,M256,M256*GOOGLEFINANCE(""CURRENCY:""&amp;Q256&amp;""""&amp;Dashboard!$L$1&amp;"""")))"&amp;",M256))"),"")</f>
        <v/>
      </c>
      <c r="T256" s="264" t="str">
        <f t="shared" si="4"/>
        <v/>
      </c>
      <c r="U256" s="264" t="str">
        <f t="shared" si="5"/>
        <v/>
      </c>
      <c r="V256" s="264" t="str">
        <f t="shared" si="6"/>
        <v/>
      </c>
      <c r="W256" s="267" t="str">
        <f t="shared" si="8"/>
        <v/>
      </c>
      <c r="X256" s="264" t="str">
        <f t="shared" si="7"/>
        <v/>
      </c>
    </row>
    <row r="257" ht="15.75" customHeight="1">
      <c r="A257" s="258"/>
      <c r="B257" s="258"/>
      <c r="C257" s="269"/>
      <c r="D257" s="258"/>
      <c r="E257" s="258"/>
      <c r="F257" s="258"/>
      <c r="G257" s="258"/>
      <c r="H257" s="271"/>
      <c r="I257" s="258"/>
      <c r="J257" s="272"/>
      <c r="K257" s="260"/>
      <c r="L257" s="261"/>
      <c r="M257" s="262" t="str">
        <f t="shared" si="1"/>
        <v/>
      </c>
      <c r="N257" s="263" t="str">
        <f t="shared" si="2"/>
        <v/>
      </c>
      <c r="O257" s="264" t="str">
        <f t="shared" si="3"/>
        <v/>
      </c>
      <c r="P257" s="265" t="str">
        <f>IFERROR(__xludf.DUMMYFUNCTION("IF(ISBLANK(A257),"""",IFERROR(IF(H257=""Sell"",VLOOKUP(9^99,FILTER({ROW(P$2:P256),P$2:P256},D$2:D256=D257),2),(VLOOKUP(9^99,FILTER({ROW(P$2:P256),P$2:P256},D$2:D256=D257),2)*VLOOKUP(9^99,FILTER({ROW(O$2:O256),O$2:O256},D$2:D256=D257),2)-N257)/O257),J257))"),"")</f>
        <v/>
      </c>
      <c r="Q257" s="264" t="str">
        <f>IFERROR(__xludf.DUMMYFUNCTION("IFERROR(IF(F257=""Crypto"",B257,(IF(ISBLANK(D257),"""",IF(D257=""Cash"",B257,IF(GOOGLEFINANCE(D257,""CURRENCY"")=""GBX"",""GBP"",GOOGLEFINANCE(D257,""CURRENCY"")))))),B257)"),"")</f>
        <v/>
      </c>
      <c r="R257" s="263" t="str">
        <f>IFERROR(__xludf.DUMMYFUNCTION("IF(ISBLANK(A257),"""",IFERROR(IF(OR(Q257=""GPB"",Q257=""ZAR""),IF(Q257=Dashboard!$L$1,K257,(K257*GOOGLEFINANCE(""CURRENCY:""&amp;Q257&amp;""""&amp;Dashboard!$L$1&amp;""""))/100),IF(Q257=Dashboard!$L$1,K257,K257*GOOGLEFINANCE(""CURRENCY:""&amp;Q257&amp;""""&amp;Dashboard!$L$1&amp;"""")))"&amp;",K257))"),"")</f>
        <v/>
      </c>
      <c r="S257" s="266" t="str">
        <f>IFERROR(__xludf.DUMMYFUNCTION("IF(ISBLANK(A257),"""",IFERROR(IF(OR(Q257=""GPB"",Q257=""ZAR""),IF(Q257=Dashboard!$L$1,M257,(M257*GOOGLEFINANCE(""CURRENCY:""&amp;Q257&amp;""""&amp;Dashboard!$L$1&amp;""""))/100),IF(Q257=Dashboard!$L$1,M257,M257*GOOGLEFINANCE(""CURRENCY:""&amp;Q257&amp;""""&amp;Dashboard!$L$1&amp;"""")))"&amp;",M257))"),"")</f>
        <v/>
      </c>
      <c r="T257" s="264" t="str">
        <f t="shared" si="4"/>
        <v/>
      </c>
      <c r="U257" s="264" t="str">
        <f t="shared" si="5"/>
        <v/>
      </c>
      <c r="V257" s="264" t="str">
        <f t="shared" si="6"/>
        <v/>
      </c>
      <c r="W257" s="267" t="str">
        <f t="shared" si="8"/>
        <v/>
      </c>
      <c r="X257" s="264" t="str">
        <f t="shared" si="7"/>
        <v/>
      </c>
    </row>
    <row r="258" ht="15.75" customHeight="1">
      <c r="A258" s="258"/>
      <c r="B258" s="258"/>
      <c r="C258" s="269"/>
      <c r="D258" s="258"/>
      <c r="E258" s="258"/>
      <c r="F258" s="258"/>
      <c r="G258" s="258"/>
      <c r="H258" s="271"/>
      <c r="I258" s="258"/>
      <c r="J258" s="272"/>
      <c r="K258" s="260"/>
      <c r="L258" s="261"/>
      <c r="M258" s="262" t="str">
        <f t="shared" si="1"/>
        <v/>
      </c>
      <c r="N258" s="263" t="str">
        <f t="shared" si="2"/>
        <v/>
      </c>
      <c r="O258" s="264" t="str">
        <f t="shared" si="3"/>
        <v/>
      </c>
      <c r="P258" s="265" t="str">
        <f>IFERROR(__xludf.DUMMYFUNCTION("IF(ISBLANK(A258),"""",IFERROR(IF(H258=""Sell"",VLOOKUP(9^99,FILTER({ROW(P$2:P257),P$2:P257},D$2:D257=D258),2),(VLOOKUP(9^99,FILTER({ROW(P$2:P257),P$2:P257},D$2:D257=D258),2)*VLOOKUP(9^99,FILTER({ROW(O$2:O257),O$2:O257},D$2:D257=D258),2)-N258)/O258),J258))"),"")</f>
        <v/>
      </c>
      <c r="Q258" s="264" t="str">
        <f>IFERROR(__xludf.DUMMYFUNCTION("IFERROR(IF(F258=""Crypto"",B258,(IF(ISBLANK(D258),"""",IF(D258=""Cash"",B258,IF(GOOGLEFINANCE(D258,""CURRENCY"")=""GBX"",""GBP"",GOOGLEFINANCE(D258,""CURRENCY"")))))),B258)"),"")</f>
        <v/>
      </c>
      <c r="R258" s="263" t="str">
        <f>IFERROR(__xludf.DUMMYFUNCTION("IF(ISBLANK(A258),"""",IFERROR(IF(OR(Q258=""GPB"",Q258=""ZAR""),IF(Q258=Dashboard!$L$1,K258,(K258*GOOGLEFINANCE(""CURRENCY:""&amp;Q258&amp;""""&amp;Dashboard!$L$1&amp;""""))/100),IF(Q258=Dashboard!$L$1,K258,K258*GOOGLEFINANCE(""CURRENCY:""&amp;Q258&amp;""""&amp;Dashboard!$L$1&amp;"""")))"&amp;",K258))"),"")</f>
        <v/>
      </c>
      <c r="S258" s="266" t="str">
        <f>IFERROR(__xludf.DUMMYFUNCTION("IF(ISBLANK(A258),"""",IFERROR(IF(OR(Q258=""GPB"",Q258=""ZAR""),IF(Q258=Dashboard!$L$1,M258,(M258*GOOGLEFINANCE(""CURRENCY:""&amp;Q258&amp;""""&amp;Dashboard!$L$1&amp;""""))/100),IF(Q258=Dashboard!$L$1,M258,M258*GOOGLEFINANCE(""CURRENCY:""&amp;Q258&amp;""""&amp;Dashboard!$L$1&amp;"""")))"&amp;",M258))"),"")</f>
        <v/>
      </c>
      <c r="T258" s="264" t="str">
        <f t="shared" si="4"/>
        <v/>
      </c>
      <c r="U258" s="264" t="str">
        <f t="shared" si="5"/>
        <v/>
      </c>
      <c r="V258" s="264" t="str">
        <f t="shared" si="6"/>
        <v/>
      </c>
      <c r="W258" s="267" t="str">
        <f t="shared" si="8"/>
        <v/>
      </c>
      <c r="X258" s="264" t="str">
        <f t="shared" si="7"/>
        <v/>
      </c>
    </row>
    <row r="259" ht="15.75" customHeight="1">
      <c r="A259" s="258"/>
      <c r="B259" s="258"/>
      <c r="C259" s="269"/>
      <c r="D259" s="258"/>
      <c r="E259" s="258"/>
      <c r="F259" s="258"/>
      <c r="G259" s="258"/>
      <c r="H259" s="271"/>
      <c r="I259" s="258"/>
      <c r="J259" s="272"/>
      <c r="K259" s="260"/>
      <c r="L259" s="261"/>
      <c r="M259" s="262" t="str">
        <f t="shared" si="1"/>
        <v/>
      </c>
      <c r="N259" s="263" t="str">
        <f t="shared" si="2"/>
        <v/>
      </c>
      <c r="O259" s="264" t="str">
        <f t="shared" si="3"/>
        <v/>
      </c>
      <c r="P259" s="265" t="str">
        <f>IFERROR(__xludf.DUMMYFUNCTION("IF(ISBLANK(A259),"""",IFERROR(IF(H259=""Sell"",VLOOKUP(9^99,FILTER({ROW(P$2:P258),P$2:P258},D$2:D258=D259),2),(VLOOKUP(9^99,FILTER({ROW(P$2:P258),P$2:P258},D$2:D258=D259),2)*VLOOKUP(9^99,FILTER({ROW(O$2:O258),O$2:O258},D$2:D258=D259),2)-N259)/O259),J259))"),"")</f>
        <v/>
      </c>
      <c r="Q259" s="264" t="str">
        <f>IFERROR(__xludf.DUMMYFUNCTION("IFERROR(IF(F259=""Crypto"",B259,(IF(ISBLANK(D259),"""",IF(D259=""Cash"",B259,IF(GOOGLEFINANCE(D259,""CURRENCY"")=""GBX"",""GBP"",GOOGLEFINANCE(D259,""CURRENCY"")))))),B259)"),"")</f>
        <v/>
      </c>
      <c r="R259" s="263" t="str">
        <f>IFERROR(__xludf.DUMMYFUNCTION("IF(ISBLANK(A259),"""",IFERROR(IF(OR(Q259=""GPB"",Q259=""ZAR""),IF(Q259=Dashboard!$L$1,K259,(K259*GOOGLEFINANCE(""CURRENCY:""&amp;Q259&amp;""""&amp;Dashboard!$L$1&amp;""""))/100),IF(Q259=Dashboard!$L$1,K259,K259*GOOGLEFINANCE(""CURRENCY:""&amp;Q259&amp;""""&amp;Dashboard!$L$1&amp;"""")))"&amp;",K259))"),"")</f>
        <v/>
      </c>
      <c r="S259" s="266" t="str">
        <f>IFERROR(__xludf.DUMMYFUNCTION("IF(ISBLANK(A259),"""",IFERROR(IF(OR(Q259=""GPB"",Q259=""ZAR""),IF(Q259=Dashboard!$L$1,M259,(M259*GOOGLEFINANCE(""CURRENCY:""&amp;Q259&amp;""""&amp;Dashboard!$L$1&amp;""""))/100),IF(Q259=Dashboard!$L$1,M259,M259*GOOGLEFINANCE(""CURRENCY:""&amp;Q259&amp;""""&amp;Dashboard!$L$1&amp;"""")))"&amp;",M259))"),"")</f>
        <v/>
      </c>
      <c r="T259" s="264" t="str">
        <f t="shared" si="4"/>
        <v/>
      </c>
      <c r="U259" s="264" t="str">
        <f t="shared" si="5"/>
        <v/>
      </c>
      <c r="V259" s="264" t="str">
        <f t="shared" si="6"/>
        <v/>
      </c>
      <c r="W259" s="267" t="str">
        <f t="shared" si="8"/>
        <v/>
      </c>
      <c r="X259" s="264" t="str">
        <f t="shared" si="7"/>
        <v/>
      </c>
    </row>
    <row r="260" ht="15.75" customHeight="1">
      <c r="A260" s="258"/>
      <c r="B260" s="258"/>
      <c r="C260" s="269"/>
      <c r="D260" s="258"/>
      <c r="E260" s="258"/>
      <c r="F260" s="258"/>
      <c r="G260" s="258"/>
      <c r="H260" s="271"/>
      <c r="I260" s="258"/>
      <c r="J260" s="272"/>
      <c r="K260" s="260"/>
      <c r="L260" s="261"/>
      <c r="M260" s="262" t="str">
        <f t="shared" si="1"/>
        <v/>
      </c>
      <c r="N260" s="263" t="str">
        <f t="shared" si="2"/>
        <v/>
      </c>
      <c r="O260" s="264" t="str">
        <f t="shared" si="3"/>
        <v/>
      </c>
      <c r="P260" s="265" t="str">
        <f>IFERROR(__xludf.DUMMYFUNCTION("IF(ISBLANK(A260),"""",IFERROR(IF(H260=""Sell"",VLOOKUP(9^99,FILTER({ROW(P$2:P259),P$2:P259},D$2:D259=D260),2),(VLOOKUP(9^99,FILTER({ROW(P$2:P259),P$2:P259},D$2:D259=D260),2)*VLOOKUP(9^99,FILTER({ROW(O$2:O259),O$2:O259},D$2:D259=D260),2)-N260)/O260),J260))"),"")</f>
        <v/>
      </c>
      <c r="Q260" s="264" t="str">
        <f>IFERROR(__xludf.DUMMYFUNCTION("IFERROR(IF(F260=""Crypto"",B260,(IF(ISBLANK(D260),"""",IF(D260=""Cash"",B260,IF(GOOGLEFINANCE(D260,""CURRENCY"")=""GBX"",""GBP"",GOOGLEFINANCE(D260,""CURRENCY"")))))),B260)"),"")</f>
        <v/>
      </c>
      <c r="R260" s="263" t="str">
        <f>IFERROR(__xludf.DUMMYFUNCTION("IF(ISBLANK(A260),"""",IFERROR(IF(OR(Q260=""GPB"",Q260=""ZAR""),IF(Q260=Dashboard!$L$1,K260,(K260*GOOGLEFINANCE(""CURRENCY:""&amp;Q260&amp;""""&amp;Dashboard!$L$1&amp;""""))/100),IF(Q260=Dashboard!$L$1,K260,K260*GOOGLEFINANCE(""CURRENCY:""&amp;Q260&amp;""""&amp;Dashboard!$L$1&amp;"""")))"&amp;",K260))"),"")</f>
        <v/>
      </c>
      <c r="S260" s="266" t="str">
        <f>IFERROR(__xludf.DUMMYFUNCTION("IF(ISBLANK(A260),"""",IFERROR(IF(OR(Q260=""GPB"",Q260=""ZAR""),IF(Q260=Dashboard!$L$1,M260,(M260*GOOGLEFINANCE(""CURRENCY:""&amp;Q260&amp;""""&amp;Dashboard!$L$1&amp;""""))/100),IF(Q260=Dashboard!$L$1,M260,M260*GOOGLEFINANCE(""CURRENCY:""&amp;Q260&amp;""""&amp;Dashboard!$L$1&amp;"""")))"&amp;",M260))"),"")</f>
        <v/>
      </c>
      <c r="T260" s="264" t="str">
        <f t="shared" si="4"/>
        <v/>
      </c>
      <c r="U260" s="264" t="str">
        <f t="shared" si="5"/>
        <v/>
      </c>
      <c r="V260" s="264" t="str">
        <f t="shared" si="6"/>
        <v/>
      </c>
      <c r="W260" s="267" t="str">
        <f t="shared" si="8"/>
        <v/>
      </c>
      <c r="X260" s="264" t="str">
        <f t="shared" si="7"/>
        <v/>
      </c>
    </row>
    <row r="261" ht="15.75" customHeight="1">
      <c r="A261" s="258"/>
      <c r="B261" s="258"/>
      <c r="C261" s="269"/>
      <c r="D261" s="258"/>
      <c r="E261" s="258"/>
      <c r="F261" s="258"/>
      <c r="G261" s="258"/>
      <c r="H261" s="271"/>
      <c r="I261" s="258"/>
      <c r="J261" s="272"/>
      <c r="K261" s="260"/>
      <c r="L261" s="261"/>
      <c r="M261" s="262" t="str">
        <f t="shared" si="1"/>
        <v/>
      </c>
      <c r="N261" s="263" t="str">
        <f t="shared" si="2"/>
        <v/>
      </c>
      <c r="O261" s="264" t="str">
        <f t="shared" si="3"/>
        <v/>
      </c>
      <c r="P261" s="265" t="str">
        <f>IFERROR(__xludf.DUMMYFUNCTION("IF(ISBLANK(A261),"""",IFERROR(IF(H261=""Sell"",VLOOKUP(9^99,FILTER({ROW(P$2:P260),P$2:P260},D$2:D260=D261),2),(VLOOKUP(9^99,FILTER({ROW(P$2:P260),P$2:P260},D$2:D260=D261),2)*VLOOKUP(9^99,FILTER({ROW(O$2:O260),O$2:O260},D$2:D260=D261),2)-N261)/O261),J261))"),"")</f>
        <v/>
      </c>
      <c r="Q261" s="264" t="str">
        <f>IFERROR(__xludf.DUMMYFUNCTION("IFERROR(IF(F261=""Crypto"",B261,(IF(ISBLANK(D261),"""",IF(D261=""Cash"",B261,IF(GOOGLEFINANCE(D261,""CURRENCY"")=""GBX"",""GBP"",GOOGLEFINANCE(D261,""CURRENCY"")))))),B261)"),"")</f>
        <v/>
      </c>
      <c r="R261" s="263" t="str">
        <f>IFERROR(__xludf.DUMMYFUNCTION("IF(ISBLANK(A261),"""",IFERROR(IF(OR(Q261=""GPB"",Q261=""ZAR""),IF(Q261=Dashboard!$L$1,K261,(K261*GOOGLEFINANCE(""CURRENCY:""&amp;Q261&amp;""""&amp;Dashboard!$L$1&amp;""""))/100),IF(Q261=Dashboard!$L$1,K261,K261*GOOGLEFINANCE(""CURRENCY:""&amp;Q261&amp;""""&amp;Dashboard!$L$1&amp;"""")))"&amp;",K261))"),"")</f>
        <v/>
      </c>
      <c r="S261" s="266" t="str">
        <f>IFERROR(__xludf.DUMMYFUNCTION("IF(ISBLANK(A261),"""",IFERROR(IF(OR(Q261=""GPB"",Q261=""ZAR""),IF(Q261=Dashboard!$L$1,M261,(M261*GOOGLEFINANCE(""CURRENCY:""&amp;Q261&amp;""""&amp;Dashboard!$L$1&amp;""""))/100),IF(Q261=Dashboard!$L$1,M261,M261*GOOGLEFINANCE(""CURRENCY:""&amp;Q261&amp;""""&amp;Dashboard!$L$1&amp;"""")))"&amp;",M261))"),"")</f>
        <v/>
      </c>
      <c r="T261" s="264" t="str">
        <f t="shared" si="4"/>
        <v/>
      </c>
      <c r="U261" s="264" t="str">
        <f t="shared" si="5"/>
        <v/>
      </c>
      <c r="V261" s="264" t="str">
        <f t="shared" si="6"/>
        <v/>
      </c>
      <c r="W261" s="267" t="str">
        <f t="shared" si="8"/>
        <v/>
      </c>
      <c r="X261" s="264" t="str">
        <f t="shared" si="7"/>
        <v/>
      </c>
    </row>
    <row r="262" ht="15.75" customHeight="1">
      <c r="A262" s="258"/>
      <c r="B262" s="258"/>
      <c r="C262" s="269"/>
      <c r="D262" s="258"/>
      <c r="E262" s="258"/>
      <c r="F262" s="258"/>
      <c r="G262" s="258"/>
      <c r="H262" s="271"/>
      <c r="I262" s="258"/>
      <c r="J262" s="272"/>
      <c r="K262" s="260"/>
      <c r="L262" s="261"/>
      <c r="M262" s="262" t="str">
        <f t="shared" si="1"/>
        <v/>
      </c>
      <c r="N262" s="263" t="str">
        <f t="shared" si="2"/>
        <v/>
      </c>
      <c r="O262" s="264" t="str">
        <f t="shared" si="3"/>
        <v/>
      </c>
      <c r="P262" s="265" t="str">
        <f>IFERROR(__xludf.DUMMYFUNCTION("IF(ISBLANK(A262),"""",IFERROR(IF(H262=""Sell"",VLOOKUP(9^99,FILTER({ROW(P$2:P261),P$2:P261},D$2:D261=D262),2),(VLOOKUP(9^99,FILTER({ROW(P$2:P261),P$2:P261},D$2:D261=D262),2)*VLOOKUP(9^99,FILTER({ROW(O$2:O261),O$2:O261},D$2:D261=D262),2)-N262)/O262),J262))"),"")</f>
        <v/>
      </c>
      <c r="Q262" s="264" t="str">
        <f>IFERROR(__xludf.DUMMYFUNCTION("IFERROR(IF(F262=""Crypto"",B262,(IF(ISBLANK(D262),"""",IF(D262=""Cash"",B262,IF(GOOGLEFINANCE(D262,""CURRENCY"")=""GBX"",""GBP"",GOOGLEFINANCE(D262,""CURRENCY"")))))),B262)"),"")</f>
        <v/>
      </c>
      <c r="R262" s="263" t="str">
        <f>IFERROR(__xludf.DUMMYFUNCTION("IF(ISBLANK(A262),"""",IFERROR(IF(OR(Q262=""GPB"",Q262=""ZAR""),IF(Q262=Dashboard!$L$1,K262,(K262*GOOGLEFINANCE(""CURRENCY:""&amp;Q262&amp;""""&amp;Dashboard!$L$1&amp;""""))/100),IF(Q262=Dashboard!$L$1,K262,K262*GOOGLEFINANCE(""CURRENCY:""&amp;Q262&amp;""""&amp;Dashboard!$L$1&amp;"""")))"&amp;",K262))"),"")</f>
        <v/>
      </c>
      <c r="S262" s="266" t="str">
        <f>IFERROR(__xludf.DUMMYFUNCTION("IF(ISBLANK(A262),"""",IFERROR(IF(OR(Q262=""GPB"",Q262=""ZAR""),IF(Q262=Dashboard!$L$1,M262,(M262*GOOGLEFINANCE(""CURRENCY:""&amp;Q262&amp;""""&amp;Dashboard!$L$1&amp;""""))/100),IF(Q262=Dashboard!$L$1,M262,M262*GOOGLEFINANCE(""CURRENCY:""&amp;Q262&amp;""""&amp;Dashboard!$L$1&amp;"""")))"&amp;",M262))"),"")</f>
        <v/>
      </c>
      <c r="T262" s="264" t="str">
        <f t="shared" si="4"/>
        <v/>
      </c>
      <c r="U262" s="264" t="str">
        <f t="shared" si="5"/>
        <v/>
      </c>
      <c r="V262" s="264" t="str">
        <f t="shared" si="6"/>
        <v/>
      </c>
      <c r="W262" s="267" t="str">
        <f t="shared" si="8"/>
        <v/>
      </c>
      <c r="X262" s="264" t="str">
        <f t="shared" si="7"/>
        <v/>
      </c>
    </row>
    <row r="263" ht="15.75" customHeight="1">
      <c r="A263" s="258"/>
      <c r="B263" s="258"/>
      <c r="C263" s="269"/>
      <c r="D263" s="258"/>
      <c r="E263" s="258"/>
      <c r="F263" s="258"/>
      <c r="G263" s="258"/>
      <c r="H263" s="271"/>
      <c r="I263" s="258"/>
      <c r="J263" s="272"/>
      <c r="K263" s="260"/>
      <c r="L263" s="261"/>
      <c r="M263" s="262" t="str">
        <f t="shared" si="1"/>
        <v/>
      </c>
      <c r="N263" s="263" t="str">
        <f t="shared" si="2"/>
        <v/>
      </c>
      <c r="O263" s="264" t="str">
        <f t="shared" si="3"/>
        <v/>
      </c>
      <c r="P263" s="265" t="str">
        <f>IFERROR(__xludf.DUMMYFUNCTION("IF(ISBLANK(A263),"""",IFERROR(IF(H263=""Sell"",VLOOKUP(9^99,FILTER({ROW(P$2:P262),P$2:P262},D$2:D262=D263),2),(VLOOKUP(9^99,FILTER({ROW(P$2:P262),P$2:P262},D$2:D262=D263),2)*VLOOKUP(9^99,FILTER({ROW(O$2:O262),O$2:O262},D$2:D262=D263),2)-N263)/O263),J263))"),"")</f>
        <v/>
      </c>
      <c r="Q263" s="264" t="str">
        <f>IFERROR(__xludf.DUMMYFUNCTION("IFERROR(IF(F263=""Crypto"",B263,(IF(ISBLANK(D263),"""",IF(D263=""Cash"",B263,IF(GOOGLEFINANCE(D263,""CURRENCY"")=""GBX"",""GBP"",GOOGLEFINANCE(D263,""CURRENCY"")))))),B263)"),"")</f>
        <v/>
      </c>
      <c r="R263" s="263" t="str">
        <f>IFERROR(__xludf.DUMMYFUNCTION("IF(ISBLANK(A263),"""",IFERROR(IF(OR(Q263=""GPB"",Q263=""ZAR""),IF(Q263=Dashboard!$L$1,K263,(K263*GOOGLEFINANCE(""CURRENCY:""&amp;Q263&amp;""""&amp;Dashboard!$L$1&amp;""""))/100),IF(Q263=Dashboard!$L$1,K263,K263*GOOGLEFINANCE(""CURRENCY:""&amp;Q263&amp;""""&amp;Dashboard!$L$1&amp;"""")))"&amp;",K263))"),"")</f>
        <v/>
      </c>
      <c r="S263" s="266" t="str">
        <f>IFERROR(__xludf.DUMMYFUNCTION("IF(ISBLANK(A263),"""",IFERROR(IF(OR(Q263=""GPB"",Q263=""ZAR""),IF(Q263=Dashboard!$L$1,M263,(M263*GOOGLEFINANCE(""CURRENCY:""&amp;Q263&amp;""""&amp;Dashboard!$L$1&amp;""""))/100),IF(Q263=Dashboard!$L$1,M263,M263*GOOGLEFINANCE(""CURRENCY:""&amp;Q263&amp;""""&amp;Dashboard!$L$1&amp;"""")))"&amp;",M263))"),"")</f>
        <v/>
      </c>
      <c r="T263" s="264" t="str">
        <f t="shared" si="4"/>
        <v/>
      </c>
      <c r="U263" s="264" t="str">
        <f t="shared" si="5"/>
        <v/>
      </c>
      <c r="V263" s="264" t="str">
        <f t="shared" si="6"/>
        <v/>
      </c>
      <c r="W263" s="267" t="str">
        <f t="shared" si="8"/>
        <v/>
      </c>
      <c r="X263" s="264" t="str">
        <f t="shared" si="7"/>
        <v/>
      </c>
    </row>
    <row r="264" ht="15.75" customHeight="1">
      <c r="A264" s="258"/>
      <c r="B264" s="258"/>
      <c r="C264" s="269"/>
      <c r="D264" s="258"/>
      <c r="E264" s="258"/>
      <c r="F264" s="258"/>
      <c r="G264" s="258"/>
      <c r="H264" s="271"/>
      <c r="I264" s="258"/>
      <c r="J264" s="272"/>
      <c r="K264" s="260"/>
      <c r="L264" s="261"/>
      <c r="M264" s="262" t="str">
        <f t="shared" si="1"/>
        <v/>
      </c>
      <c r="N264" s="263" t="str">
        <f t="shared" si="2"/>
        <v/>
      </c>
      <c r="O264" s="264" t="str">
        <f t="shared" si="3"/>
        <v/>
      </c>
      <c r="P264" s="265" t="str">
        <f>IFERROR(__xludf.DUMMYFUNCTION("IF(ISBLANK(A264),"""",IFERROR(IF(H264=""Sell"",VLOOKUP(9^99,FILTER({ROW(P$2:P263),P$2:P263},D$2:D263=D264),2),(VLOOKUP(9^99,FILTER({ROW(P$2:P263),P$2:P263},D$2:D263=D264),2)*VLOOKUP(9^99,FILTER({ROW(O$2:O263),O$2:O263},D$2:D263=D264),2)-N264)/O264),J264))"),"")</f>
        <v/>
      </c>
      <c r="Q264" s="264" t="str">
        <f>IFERROR(__xludf.DUMMYFUNCTION("IFERROR(IF(F264=""Crypto"",B264,(IF(ISBLANK(D264),"""",IF(D264=""Cash"",B264,IF(GOOGLEFINANCE(D264,""CURRENCY"")=""GBX"",""GBP"",GOOGLEFINANCE(D264,""CURRENCY"")))))),B264)"),"")</f>
        <v/>
      </c>
      <c r="R264" s="263" t="str">
        <f>IFERROR(__xludf.DUMMYFUNCTION("IF(ISBLANK(A264),"""",IFERROR(IF(OR(Q264=""GPB"",Q264=""ZAR""),IF(Q264=Dashboard!$L$1,K264,(K264*GOOGLEFINANCE(""CURRENCY:""&amp;Q264&amp;""""&amp;Dashboard!$L$1&amp;""""))/100),IF(Q264=Dashboard!$L$1,K264,K264*GOOGLEFINANCE(""CURRENCY:""&amp;Q264&amp;""""&amp;Dashboard!$L$1&amp;"""")))"&amp;",K264))"),"")</f>
        <v/>
      </c>
      <c r="S264" s="266" t="str">
        <f>IFERROR(__xludf.DUMMYFUNCTION("IF(ISBLANK(A264),"""",IFERROR(IF(OR(Q264=""GPB"",Q264=""ZAR""),IF(Q264=Dashboard!$L$1,M264,(M264*GOOGLEFINANCE(""CURRENCY:""&amp;Q264&amp;""""&amp;Dashboard!$L$1&amp;""""))/100),IF(Q264=Dashboard!$L$1,M264,M264*GOOGLEFINANCE(""CURRENCY:""&amp;Q264&amp;""""&amp;Dashboard!$L$1&amp;"""")))"&amp;",M264))"),"")</f>
        <v/>
      </c>
      <c r="T264" s="264" t="str">
        <f t="shared" si="4"/>
        <v/>
      </c>
      <c r="U264" s="264" t="str">
        <f t="shared" si="5"/>
        <v/>
      </c>
      <c r="V264" s="264" t="str">
        <f t="shared" si="6"/>
        <v/>
      </c>
      <c r="W264" s="267" t="str">
        <f t="shared" si="8"/>
        <v/>
      </c>
      <c r="X264" s="264" t="str">
        <f t="shared" si="7"/>
        <v/>
      </c>
    </row>
    <row r="265" ht="15.75" customHeight="1">
      <c r="A265" s="258"/>
      <c r="B265" s="258"/>
      <c r="C265" s="269"/>
      <c r="D265" s="258"/>
      <c r="E265" s="258"/>
      <c r="F265" s="258"/>
      <c r="G265" s="258"/>
      <c r="H265" s="271"/>
      <c r="I265" s="258"/>
      <c r="J265" s="272"/>
      <c r="K265" s="260"/>
      <c r="L265" s="261"/>
      <c r="M265" s="262" t="str">
        <f t="shared" si="1"/>
        <v/>
      </c>
      <c r="N265" s="263" t="str">
        <f t="shared" si="2"/>
        <v/>
      </c>
      <c r="O265" s="264" t="str">
        <f t="shared" si="3"/>
        <v/>
      </c>
      <c r="P265" s="265" t="str">
        <f>IFERROR(__xludf.DUMMYFUNCTION("IF(ISBLANK(A265),"""",IFERROR(IF(H265=""Sell"",VLOOKUP(9^99,FILTER({ROW(P$2:P264),P$2:P264},D$2:D264=D265),2),(VLOOKUP(9^99,FILTER({ROW(P$2:P264),P$2:P264},D$2:D264=D265),2)*VLOOKUP(9^99,FILTER({ROW(O$2:O264),O$2:O264},D$2:D264=D265),2)-N265)/O265),J265))"),"")</f>
        <v/>
      </c>
      <c r="Q265" s="264" t="str">
        <f>IFERROR(__xludf.DUMMYFUNCTION("IFERROR(IF(F265=""Crypto"",B265,(IF(ISBLANK(D265),"""",IF(D265=""Cash"",B265,IF(GOOGLEFINANCE(D265,""CURRENCY"")=""GBX"",""GBP"",GOOGLEFINANCE(D265,""CURRENCY"")))))),B265)"),"")</f>
        <v/>
      </c>
      <c r="R265" s="263" t="str">
        <f>IFERROR(__xludf.DUMMYFUNCTION("IF(ISBLANK(A265),"""",IFERROR(IF(OR(Q265=""GPB"",Q265=""ZAR""),IF(Q265=Dashboard!$L$1,K265,(K265*GOOGLEFINANCE(""CURRENCY:""&amp;Q265&amp;""""&amp;Dashboard!$L$1&amp;""""))/100),IF(Q265=Dashboard!$L$1,K265,K265*GOOGLEFINANCE(""CURRENCY:""&amp;Q265&amp;""""&amp;Dashboard!$L$1&amp;"""")))"&amp;",K265))"),"")</f>
        <v/>
      </c>
      <c r="S265" s="266" t="str">
        <f>IFERROR(__xludf.DUMMYFUNCTION("IF(ISBLANK(A265),"""",IFERROR(IF(OR(Q265=""GPB"",Q265=""ZAR""),IF(Q265=Dashboard!$L$1,M265,(M265*GOOGLEFINANCE(""CURRENCY:""&amp;Q265&amp;""""&amp;Dashboard!$L$1&amp;""""))/100),IF(Q265=Dashboard!$L$1,M265,M265*GOOGLEFINANCE(""CURRENCY:""&amp;Q265&amp;""""&amp;Dashboard!$L$1&amp;"""")))"&amp;",M265))"),"")</f>
        <v/>
      </c>
      <c r="T265" s="264" t="str">
        <f t="shared" si="4"/>
        <v/>
      </c>
      <c r="U265" s="264" t="str">
        <f t="shared" si="5"/>
        <v/>
      </c>
      <c r="V265" s="264" t="str">
        <f t="shared" si="6"/>
        <v/>
      </c>
      <c r="W265" s="267" t="str">
        <f t="shared" si="8"/>
        <v/>
      </c>
      <c r="X265" s="264" t="str">
        <f t="shared" si="7"/>
        <v/>
      </c>
    </row>
    <row r="266" ht="15.75" customHeight="1">
      <c r="A266" s="258"/>
      <c r="B266" s="258"/>
      <c r="C266" s="269"/>
      <c r="D266" s="258"/>
      <c r="E266" s="258"/>
      <c r="F266" s="258"/>
      <c r="G266" s="258"/>
      <c r="H266" s="271"/>
      <c r="I266" s="258"/>
      <c r="J266" s="272"/>
      <c r="K266" s="260"/>
      <c r="L266" s="261"/>
      <c r="M266" s="262" t="str">
        <f t="shared" si="1"/>
        <v/>
      </c>
      <c r="N266" s="263" t="str">
        <f t="shared" si="2"/>
        <v/>
      </c>
      <c r="O266" s="264" t="str">
        <f t="shared" si="3"/>
        <v/>
      </c>
      <c r="P266" s="265" t="str">
        <f>IFERROR(__xludf.DUMMYFUNCTION("IF(ISBLANK(A266),"""",IFERROR(IF(H266=""Sell"",VLOOKUP(9^99,FILTER({ROW(P$2:P265),P$2:P265},D$2:D265=D266),2),(VLOOKUP(9^99,FILTER({ROW(P$2:P265),P$2:P265},D$2:D265=D266),2)*VLOOKUP(9^99,FILTER({ROW(O$2:O265),O$2:O265},D$2:D265=D266),2)-N266)/O266),J266))"),"")</f>
        <v/>
      </c>
      <c r="Q266" s="264" t="str">
        <f>IFERROR(__xludf.DUMMYFUNCTION("IFERROR(IF(F266=""Crypto"",B266,(IF(ISBLANK(D266),"""",IF(D266=""Cash"",B266,IF(GOOGLEFINANCE(D266,""CURRENCY"")=""GBX"",""GBP"",GOOGLEFINANCE(D266,""CURRENCY"")))))),B266)"),"")</f>
        <v/>
      </c>
      <c r="R266" s="263" t="str">
        <f>IFERROR(__xludf.DUMMYFUNCTION("IF(ISBLANK(A266),"""",IFERROR(IF(OR(Q266=""GPB"",Q266=""ZAR""),IF(Q266=Dashboard!$L$1,K266,(K266*GOOGLEFINANCE(""CURRENCY:""&amp;Q266&amp;""""&amp;Dashboard!$L$1&amp;""""))/100),IF(Q266=Dashboard!$L$1,K266,K266*GOOGLEFINANCE(""CURRENCY:""&amp;Q266&amp;""""&amp;Dashboard!$L$1&amp;"""")))"&amp;",K266))"),"")</f>
        <v/>
      </c>
      <c r="S266" s="266" t="str">
        <f>IFERROR(__xludf.DUMMYFUNCTION("IF(ISBLANK(A266),"""",IFERROR(IF(OR(Q266=""GPB"",Q266=""ZAR""),IF(Q266=Dashboard!$L$1,M266,(M266*GOOGLEFINANCE(""CURRENCY:""&amp;Q266&amp;""""&amp;Dashboard!$L$1&amp;""""))/100),IF(Q266=Dashboard!$L$1,M266,M266*GOOGLEFINANCE(""CURRENCY:""&amp;Q266&amp;""""&amp;Dashboard!$L$1&amp;"""")))"&amp;",M266))"),"")</f>
        <v/>
      </c>
      <c r="T266" s="264" t="str">
        <f t="shared" si="4"/>
        <v/>
      </c>
      <c r="U266" s="264" t="str">
        <f t="shared" si="5"/>
        <v/>
      </c>
      <c r="V266" s="264" t="str">
        <f t="shared" si="6"/>
        <v/>
      </c>
      <c r="W266" s="267" t="str">
        <f t="shared" si="8"/>
        <v/>
      </c>
      <c r="X266" s="264" t="str">
        <f t="shared" si="7"/>
        <v/>
      </c>
    </row>
    <row r="267" ht="15.75" customHeight="1">
      <c r="A267" s="258"/>
      <c r="B267" s="258"/>
      <c r="C267" s="269"/>
      <c r="D267" s="258"/>
      <c r="E267" s="258"/>
      <c r="F267" s="258"/>
      <c r="G267" s="258"/>
      <c r="H267" s="271"/>
      <c r="I267" s="258"/>
      <c r="J267" s="272"/>
      <c r="K267" s="260"/>
      <c r="L267" s="261"/>
      <c r="M267" s="262" t="str">
        <f t="shared" si="1"/>
        <v/>
      </c>
      <c r="N267" s="263" t="str">
        <f t="shared" si="2"/>
        <v/>
      </c>
      <c r="O267" s="264" t="str">
        <f t="shared" si="3"/>
        <v/>
      </c>
      <c r="P267" s="265" t="str">
        <f>IFERROR(__xludf.DUMMYFUNCTION("IF(ISBLANK(A267),"""",IFERROR(IF(H267=""Sell"",VLOOKUP(9^99,FILTER({ROW(P$2:P266),P$2:P266},D$2:D266=D267),2),(VLOOKUP(9^99,FILTER({ROW(P$2:P266),P$2:P266},D$2:D266=D267),2)*VLOOKUP(9^99,FILTER({ROW(O$2:O266),O$2:O266},D$2:D266=D267),2)-N267)/O267),J267))"),"")</f>
        <v/>
      </c>
      <c r="Q267" s="264" t="str">
        <f>IFERROR(__xludf.DUMMYFUNCTION("IFERROR(IF(F267=""Crypto"",B267,(IF(ISBLANK(D267),"""",IF(D267=""Cash"",B267,IF(GOOGLEFINANCE(D267,""CURRENCY"")=""GBX"",""GBP"",GOOGLEFINANCE(D267,""CURRENCY"")))))),B267)"),"")</f>
        <v/>
      </c>
      <c r="R267" s="263" t="str">
        <f>IFERROR(__xludf.DUMMYFUNCTION("IF(ISBLANK(A267),"""",IFERROR(IF(OR(Q267=""GPB"",Q267=""ZAR""),IF(Q267=Dashboard!$L$1,K267,(K267*GOOGLEFINANCE(""CURRENCY:""&amp;Q267&amp;""""&amp;Dashboard!$L$1&amp;""""))/100),IF(Q267=Dashboard!$L$1,K267,K267*GOOGLEFINANCE(""CURRENCY:""&amp;Q267&amp;""""&amp;Dashboard!$L$1&amp;"""")))"&amp;",K267))"),"")</f>
        <v/>
      </c>
      <c r="S267" s="266" t="str">
        <f>IFERROR(__xludf.DUMMYFUNCTION("IF(ISBLANK(A267),"""",IFERROR(IF(OR(Q267=""GPB"",Q267=""ZAR""),IF(Q267=Dashboard!$L$1,M267,(M267*GOOGLEFINANCE(""CURRENCY:""&amp;Q267&amp;""""&amp;Dashboard!$L$1&amp;""""))/100),IF(Q267=Dashboard!$L$1,M267,M267*GOOGLEFINANCE(""CURRENCY:""&amp;Q267&amp;""""&amp;Dashboard!$L$1&amp;"""")))"&amp;",M267))"),"")</f>
        <v/>
      </c>
      <c r="T267" s="264" t="str">
        <f t="shared" si="4"/>
        <v/>
      </c>
      <c r="U267" s="264" t="str">
        <f t="shared" si="5"/>
        <v/>
      </c>
      <c r="V267" s="264" t="str">
        <f t="shared" si="6"/>
        <v/>
      </c>
      <c r="W267" s="267" t="str">
        <f t="shared" si="8"/>
        <v/>
      </c>
      <c r="X267" s="264" t="str">
        <f t="shared" si="7"/>
        <v/>
      </c>
    </row>
    <row r="268" ht="15.75" customHeight="1">
      <c r="A268" s="258"/>
      <c r="B268" s="258"/>
      <c r="C268" s="269"/>
      <c r="D268" s="258"/>
      <c r="E268" s="258"/>
      <c r="F268" s="258"/>
      <c r="G268" s="258"/>
      <c r="H268" s="271"/>
      <c r="I268" s="258"/>
      <c r="J268" s="272"/>
      <c r="K268" s="260"/>
      <c r="L268" s="261"/>
      <c r="M268" s="262" t="str">
        <f t="shared" si="1"/>
        <v/>
      </c>
      <c r="N268" s="263" t="str">
        <f t="shared" si="2"/>
        <v/>
      </c>
      <c r="O268" s="264" t="str">
        <f t="shared" si="3"/>
        <v/>
      </c>
      <c r="P268" s="265" t="str">
        <f>IFERROR(__xludf.DUMMYFUNCTION("IF(ISBLANK(A268),"""",IFERROR(IF(H268=""Sell"",VLOOKUP(9^99,FILTER({ROW(P$2:P267),P$2:P267},D$2:D267=D268),2),(VLOOKUP(9^99,FILTER({ROW(P$2:P267),P$2:P267},D$2:D267=D268),2)*VLOOKUP(9^99,FILTER({ROW(O$2:O267),O$2:O267},D$2:D267=D268),2)-N268)/O268),J268))"),"")</f>
        <v/>
      </c>
      <c r="Q268" s="264" t="str">
        <f>IFERROR(__xludf.DUMMYFUNCTION("IFERROR(IF(F268=""Crypto"",B268,(IF(ISBLANK(D268),"""",IF(D268=""Cash"",B268,IF(GOOGLEFINANCE(D268,""CURRENCY"")=""GBX"",""GBP"",GOOGLEFINANCE(D268,""CURRENCY"")))))),B268)"),"")</f>
        <v/>
      </c>
      <c r="R268" s="263" t="str">
        <f>IFERROR(__xludf.DUMMYFUNCTION("IF(ISBLANK(A268),"""",IFERROR(IF(OR(Q268=""GPB"",Q268=""ZAR""),IF(Q268=Dashboard!$L$1,K268,(K268*GOOGLEFINANCE(""CURRENCY:""&amp;Q268&amp;""""&amp;Dashboard!$L$1&amp;""""))/100),IF(Q268=Dashboard!$L$1,K268,K268*GOOGLEFINANCE(""CURRENCY:""&amp;Q268&amp;""""&amp;Dashboard!$L$1&amp;"""")))"&amp;",K268))"),"")</f>
        <v/>
      </c>
      <c r="S268" s="266" t="str">
        <f>IFERROR(__xludf.DUMMYFUNCTION("IF(ISBLANK(A268),"""",IFERROR(IF(OR(Q268=""GPB"",Q268=""ZAR""),IF(Q268=Dashboard!$L$1,M268,(M268*GOOGLEFINANCE(""CURRENCY:""&amp;Q268&amp;""""&amp;Dashboard!$L$1&amp;""""))/100),IF(Q268=Dashboard!$L$1,M268,M268*GOOGLEFINANCE(""CURRENCY:""&amp;Q268&amp;""""&amp;Dashboard!$L$1&amp;"""")))"&amp;",M268))"),"")</f>
        <v/>
      </c>
      <c r="T268" s="264" t="str">
        <f t="shared" si="4"/>
        <v/>
      </c>
      <c r="U268" s="264" t="str">
        <f t="shared" si="5"/>
        <v/>
      </c>
      <c r="V268" s="264" t="str">
        <f t="shared" si="6"/>
        <v/>
      </c>
      <c r="W268" s="267" t="str">
        <f t="shared" si="8"/>
        <v/>
      </c>
      <c r="X268" s="264" t="str">
        <f t="shared" si="7"/>
        <v/>
      </c>
    </row>
    <row r="269" ht="15.75" customHeight="1">
      <c r="A269" s="258"/>
      <c r="B269" s="258"/>
      <c r="C269" s="269"/>
      <c r="D269" s="258"/>
      <c r="E269" s="258"/>
      <c r="F269" s="258"/>
      <c r="G269" s="258"/>
      <c r="H269" s="271"/>
      <c r="I269" s="258"/>
      <c r="J269" s="272"/>
      <c r="K269" s="260"/>
      <c r="L269" s="261"/>
      <c r="M269" s="262" t="str">
        <f t="shared" si="1"/>
        <v/>
      </c>
      <c r="N269" s="263" t="str">
        <f t="shared" si="2"/>
        <v/>
      </c>
      <c r="O269" s="264" t="str">
        <f t="shared" si="3"/>
        <v/>
      </c>
      <c r="P269" s="265" t="str">
        <f>IFERROR(__xludf.DUMMYFUNCTION("IF(ISBLANK(A269),"""",IFERROR(IF(H269=""Sell"",VLOOKUP(9^99,FILTER({ROW(P$2:P268),P$2:P268},D$2:D268=D269),2),(VLOOKUP(9^99,FILTER({ROW(P$2:P268),P$2:P268},D$2:D268=D269),2)*VLOOKUP(9^99,FILTER({ROW(O$2:O268),O$2:O268},D$2:D268=D269),2)-N269)/O269),J269))"),"")</f>
        <v/>
      </c>
      <c r="Q269" s="264" t="str">
        <f>IFERROR(__xludf.DUMMYFUNCTION("IFERROR(IF(F269=""Crypto"",B269,(IF(ISBLANK(D269),"""",IF(D269=""Cash"",B269,IF(GOOGLEFINANCE(D269,""CURRENCY"")=""GBX"",""GBP"",GOOGLEFINANCE(D269,""CURRENCY"")))))),B269)"),"")</f>
        <v/>
      </c>
      <c r="R269" s="263" t="str">
        <f>IFERROR(__xludf.DUMMYFUNCTION("IF(ISBLANK(A269),"""",IFERROR(IF(OR(Q269=""GPB"",Q269=""ZAR""),IF(Q269=Dashboard!$L$1,K269,(K269*GOOGLEFINANCE(""CURRENCY:""&amp;Q269&amp;""""&amp;Dashboard!$L$1&amp;""""))/100),IF(Q269=Dashboard!$L$1,K269,K269*GOOGLEFINANCE(""CURRENCY:""&amp;Q269&amp;""""&amp;Dashboard!$L$1&amp;"""")))"&amp;",K269))"),"")</f>
        <v/>
      </c>
      <c r="S269" s="266" t="str">
        <f>IFERROR(__xludf.DUMMYFUNCTION("IF(ISBLANK(A269),"""",IFERROR(IF(OR(Q269=""GPB"",Q269=""ZAR""),IF(Q269=Dashboard!$L$1,M269,(M269*GOOGLEFINANCE(""CURRENCY:""&amp;Q269&amp;""""&amp;Dashboard!$L$1&amp;""""))/100),IF(Q269=Dashboard!$L$1,M269,M269*GOOGLEFINANCE(""CURRENCY:""&amp;Q269&amp;""""&amp;Dashboard!$L$1&amp;"""")))"&amp;",M269))"),"")</f>
        <v/>
      </c>
      <c r="T269" s="264" t="str">
        <f t="shared" si="4"/>
        <v/>
      </c>
      <c r="U269" s="264" t="str">
        <f t="shared" si="5"/>
        <v/>
      </c>
      <c r="V269" s="264" t="str">
        <f t="shared" si="6"/>
        <v/>
      </c>
      <c r="W269" s="267" t="str">
        <f t="shared" si="8"/>
        <v/>
      </c>
      <c r="X269" s="264" t="str">
        <f t="shared" si="7"/>
        <v/>
      </c>
    </row>
    <row r="270" ht="15.75" customHeight="1">
      <c r="A270" s="258"/>
      <c r="B270" s="258"/>
      <c r="C270" s="269"/>
      <c r="D270" s="258"/>
      <c r="E270" s="258"/>
      <c r="F270" s="258"/>
      <c r="G270" s="258"/>
      <c r="H270" s="271"/>
      <c r="I270" s="258"/>
      <c r="J270" s="272"/>
      <c r="K270" s="260"/>
      <c r="L270" s="261"/>
      <c r="M270" s="262" t="str">
        <f t="shared" si="1"/>
        <v/>
      </c>
      <c r="N270" s="263" t="str">
        <f t="shared" si="2"/>
        <v/>
      </c>
      <c r="O270" s="264" t="str">
        <f t="shared" si="3"/>
        <v/>
      </c>
      <c r="P270" s="265" t="str">
        <f>IFERROR(__xludf.DUMMYFUNCTION("IF(ISBLANK(A270),"""",IFERROR(IF(H270=""Sell"",VLOOKUP(9^99,FILTER({ROW(P$2:P269),P$2:P269},D$2:D269=D270),2),(VLOOKUP(9^99,FILTER({ROW(P$2:P269),P$2:P269},D$2:D269=D270),2)*VLOOKUP(9^99,FILTER({ROW(O$2:O269),O$2:O269},D$2:D269=D270),2)-N270)/O270),J270))"),"")</f>
        <v/>
      </c>
      <c r="Q270" s="264" t="str">
        <f>IFERROR(__xludf.DUMMYFUNCTION("IFERROR(IF(F270=""Crypto"",B270,(IF(ISBLANK(D270),"""",IF(D270=""Cash"",B270,IF(GOOGLEFINANCE(D270,""CURRENCY"")=""GBX"",""GBP"",GOOGLEFINANCE(D270,""CURRENCY"")))))),B270)"),"")</f>
        <v/>
      </c>
      <c r="R270" s="263" t="str">
        <f>IFERROR(__xludf.DUMMYFUNCTION("IF(ISBLANK(A270),"""",IFERROR(IF(OR(Q270=""GPB"",Q270=""ZAR""),IF(Q270=Dashboard!$L$1,K270,(K270*GOOGLEFINANCE(""CURRENCY:""&amp;Q270&amp;""""&amp;Dashboard!$L$1&amp;""""))/100),IF(Q270=Dashboard!$L$1,K270,K270*GOOGLEFINANCE(""CURRENCY:""&amp;Q270&amp;""""&amp;Dashboard!$L$1&amp;"""")))"&amp;",K270))"),"")</f>
        <v/>
      </c>
      <c r="S270" s="266" t="str">
        <f>IFERROR(__xludf.DUMMYFUNCTION("IF(ISBLANK(A270),"""",IFERROR(IF(OR(Q270=""GPB"",Q270=""ZAR""),IF(Q270=Dashboard!$L$1,M270,(M270*GOOGLEFINANCE(""CURRENCY:""&amp;Q270&amp;""""&amp;Dashboard!$L$1&amp;""""))/100),IF(Q270=Dashboard!$L$1,M270,M270*GOOGLEFINANCE(""CURRENCY:""&amp;Q270&amp;""""&amp;Dashboard!$L$1&amp;"""")))"&amp;",M270))"),"")</f>
        <v/>
      </c>
      <c r="T270" s="264" t="str">
        <f t="shared" si="4"/>
        <v/>
      </c>
      <c r="U270" s="264" t="str">
        <f t="shared" si="5"/>
        <v/>
      </c>
      <c r="V270" s="264" t="str">
        <f t="shared" si="6"/>
        <v/>
      </c>
      <c r="W270" s="267" t="str">
        <f t="shared" si="8"/>
        <v/>
      </c>
      <c r="X270" s="264" t="str">
        <f t="shared" si="7"/>
        <v/>
      </c>
    </row>
    <row r="271" ht="15.75" customHeight="1">
      <c r="A271" s="258"/>
      <c r="B271" s="258"/>
      <c r="C271" s="269"/>
      <c r="D271" s="258"/>
      <c r="E271" s="258"/>
      <c r="F271" s="258"/>
      <c r="G271" s="258"/>
      <c r="H271" s="271"/>
      <c r="I271" s="258"/>
      <c r="J271" s="272"/>
      <c r="K271" s="260"/>
      <c r="L271" s="261"/>
      <c r="M271" s="262" t="str">
        <f t="shared" si="1"/>
        <v/>
      </c>
      <c r="N271" s="263" t="str">
        <f t="shared" si="2"/>
        <v/>
      </c>
      <c r="O271" s="264" t="str">
        <f t="shared" si="3"/>
        <v/>
      </c>
      <c r="P271" s="265" t="str">
        <f>IFERROR(__xludf.DUMMYFUNCTION("IF(ISBLANK(A271),"""",IFERROR(IF(H271=""Sell"",VLOOKUP(9^99,FILTER({ROW(P$2:P270),P$2:P270},D$2:D270=D271),2),(VLOOKUP(9^99,FILTER({ROW(P$2:P270),P$2:P270},D$2:D270=D271),2)*VLOOKUP(9^99,FILTER({ROW(O$2:O270),O$2:O270},D$2:D270=D271),2)-N271)/O271),J271))"),"")</f>
        <v/>
      </c>
      <c r="Q271" s="264" t="str">
        <f>IFERROR(__xludf.DUMMYFUNCTION("IFERROR(IF(F271=""Crypto"",B271,(IF(ISBLANK(D271),"""",IF(D271=""Cash"",B271,IF(GOOGLEFINANCE(D271,""CURRENCY"")=""GBX"",""GBP"",GOOGLEFINANCE(D271,""CURRENCY"")))))),B271)"),"")</f>
        <v/>
      </c>
      <c r="R271" s="263" t="str">
        <f>IFERROR(__xludf.DUMMYFUNCTION("IF(ISBLANK(A271),"""",IFERROR(IF(OR(Q271=""GPB"",Q271=""ZAR""),IF(Q271=Dashboard!$L$1,K271,(K271*GOOGLEFINANCE(""CURRENCY:""&amp;Q271&amp;""""&amp;Dashboard!$L$1&amp;""""))/100),IF(Q271=Dashboard!$L$1,K271,K271*GOOGLEFINANCE(""CURRENCY:""&amp;Q271&amp;""""&amp;Dashboard!$L$1&amp;"""")))"&amp;",K271))"),"")</f>
        <v/>
      </c>
      <c r="S271" s="266" t="str">
        <f>IFERROR(__xludf.DUMMYFUNCTION("IF(ISBLANK(A271),"""",IFERROR(IF(OR(Q271=""GPB"",Q271=""ZAR""),IF(Q271=Dashboard!$L$1,M271,(M271*GOOGLEFINANCE(""CURRENCY:""&amp;Q271&amp;""""&amp;Dashboard!$L$1&amp;""""))/100),IF(Q271=Dashboard!$L$1,M271,M271*GOOGLEFINANCE(""CURRENCY:""&amp;Q271&amp;""""&amp;Dashboard!$L$1&amp;"""")))"&amp;",M271))"),"")</f>
        <v/>
      </c>
      <c r="T271" s="264" t="str">
        <f t="shared" si="4"/>
        <v/>
      </c>
      <c r="U271" s="264" t="str">
        <f t="shared" si="5"/>
        <v/>
      </c>
      <c r="V271" s="264" t="str">
        <f t="shared" si="6"/>
        <v/>
      </c>
      <c r="W271" s="267" t="str">
        <f t="shared" si="8"/>
        <v/>
      </c>
      <c r="X271" s="264" t="str">
        <f t="shared" si="7"/>
        <v/>
      </c>
    </row>
    <row r="272" ht="15.75" customHeight="1">
      <c r="A272" s="258"/>
      <c r="B272" s="258"/>
      <c r="C272" s="269"/>
      <c r="D272" s="258"/>
      <c r="E272" s="258"/>
      <c r="F272" s="258"/>
      <c r="G272" s="258"/>
      <c r="H272" s="271"/>
      <c r="I272" s="258"/>
      <c r="J272" s="272"/>
      <c r="K272" s="260"/>
      <c r="L272" s="261"/>
      <c r="M272" s="262" t="str">
        <f t="shared" si="1"/>
        <v/>
      </c>
      <c r="N272" s="263" t="str">
        <f t="shared" si="2"/>
        <v/>
      </c>
      <c r="O272" s="264" t="str">
        <f t="shared" si="3"/>
        <v/>
      </c>
      <c r="P272" s="265" t="str">
        <f>IFERROR(__xludf.DUMMYFUNCTION("IF(ISBLANK(A272),"""",IFERROR(IF(H272=""Sell"",VLOOKUP(9^99,FILTER({ROW(P$2:P271),P$2:P271},D$2:D271=D272),2),(VLOOKUP(9^99,FILTER({ROW(P$2:P271),P$2:P271},D$2:D271=D272),2)*VLOOKUP(9^99,FILTER({ROW(O$2:O271),O$2:O271},D$2:D271=D272),2)-N272)/O272),J272))"),"")</f>
        <v/>
      </c>
      <c r="Q272" s="264" t="str">
        <f>IFERROR(__xludf.DUMMYFUNCTION("IFERROR(IF(F272=""Crypto"",B272,(IF(ISBLANK(D272),"""",IF(D272=""Cash"",B272,IF(GOOGLEFINANCE(D272,""CURRENCY"")=""GBX"",""GBP"",GOOGLEFINANCE(D272,""CURRENCY"")))))),B272)"),"")</f>
        <v/>
      </c>
      <c r="R272" s="263" t="str">
        <f>IFERROR(__xludf.DUMMYFUNCTION("IF(ISBLANK(A272),"""",IFERROR(IF(OR(Q272=""GPB"",Q272=""ZAR""),IF(Q272=Dashboard!$L$1,K272,(K272*GOOGLEFINANCE(""CURRENCY:""&amp;Q272&amp;""""&amp;Dashboard!$L$1&amp;""""))/100),IF(Q272=Dashboard!$L$1,K272,K272*GOOGLEFINANCE(""CURRENCY:""&amp;Q272&amp;""""&amp;Dashboard!$L$1&amp;"""")))"&amp;",K272))"),"")</f>
        <v/>
      </c>
      <c r="S272" s="266" t="str">
        <f>IFERROR(__xludf.DUMMYFUNCTION("IF(ISBLANK(A272),"""",IFERROR(IF(OR(Q272=""GPB"",Q272=""ZAR""),IF(Q272=Dashboard!$L$1,M272,(M272*GOOGLEFINANCE(""CURRENCY:""&amp;Q272&amp;""""&amp;Dashboard!$L$1&amp;""""))/100),IF(Q272=Dashboard!$L$1,M272,M272*GOOGLEFINANCE(""CURRENCY:""&amp;Q272&amp;""""&amp;Dashboard!$L$1&amp;"""")))"&amp;",M272))"),"")</f>
        <v/>
      </c>
      <c r="T272" s="264" t="str">
        <f t="shared" si="4"/>
        <v/>
      </c>
      <c r="U272" s="264" t="str">
        <f t="shared" si="5"/>
        <v/>
      </c>
      <c r="V272" s="264" t="str">
        <f t="shared" si="6"/>
        <v/>
      </c>
      <c r="W272" s="267" t="str">
        <f t="shared" si="8"/>
        <v/>
      </c>
      <c r="X272" s="264" t="str">
        <f t="shared" si="7"/>
        <v/>
      </c>
    </row>
    <row r="273" ht="15.75" customHeight="1">
      <c r="A273" s="258"/>
      <c r="B273" s="258"/>
      <c r="C273" s="269"/>
      <c r="D273" s="258"/>
      <c r="E273" s="258"/>
      <c r="F273" s="258"/>
      <c r="G273" s="258"/>
      <c r="H273" s="271"/>
      <c r="I273" s="258"/>
      <c r="J273" s="272"/>
      <c r="K273" s="260"/>
      <c r="L273" s="261"/>
      <c r="M273" s="262" t="str">
        <f t="shared" si="1"/>
        <v/>
      </c>
      <c r="N273" s="263" t="str">
        <f t="shared" si="2"/>
        <v/>
      </c>
      <c r="O273" s="264" t="str">
        <f t="shared" si="3"/>
        <v/>
      </c>
      <c r="P273" s="265" t="str">
        <f>IFERROR(__xludf.DUMMYFUNCTION("IF(ISBLANK(A273),"""",IFERROR(IF(H273=""Sell"",VLOOKUP(9^99,FILTER({ROW(P$2:P272),P$2:P272},D$2:D272=D273),2),(VLOOKUP(9^99,FILTER({ROW(P$2:P272),P$2:P272},D$2:D272=D273),2)*VLOOKUP(9^99,FILTER({ROW(O$2:O272),O$2:O272},D$2:D272=D273),2)-N273)/O273),J273))"),"")</f>
        <v/>
      </c>
      <c r="Q273" s="264" t="str">
        <f>IFERROR(__xludf.DUMMYFUNCTION("IFERROR(IF(F273=""Crypto"",B273,(IF(ISBLANK(D273),"""",IF(D273=""Cash"",B273,IF(GOOGLEFINANCE(D273,""CURRENCY"")=""GBX"",""GBP"",GOOGLEFINANCE(D273,""CURRENCY"")))))),B273)"),"")</f>
        <v/>
      </c>
      <c r="R273" s="263" t="str">
        <f>IFERROR(__xludf.DUMMYFUNCTION("IF(ISBLANK(A273),"""",IFERROR(IF(OR(Q273=""GPB"",Q273=""ZAR""),IF(Q273=Dashboard!$L$1,K273,(K273*GOOGLEFINANCE(""CURRENCY:""&amp;Q273&amp;""""&amp;Dashboard!$L$1&amp;""""))/100),IF(Q273=Dashboard!$L$1,K273,K273*GOOGLEFINANCE(""CURRENCY:""&amp;Q273&amp;""""&amp;Dashboard!$L$1&amp;"""")))"&amp;",K273))"),"")</f>
        <v/>
      </c>
      <c r="S273" s="266" t="str">
        <f>IFERROR(__xludf.DUMMYFUNCTION("IF(ISBLANK(A273),"""",IFERROR(IF(OR(Q273=""GPB"",Q273=""ZAR""),IF(Q273=Dashboard!$L$1,M273,(M273*GOOGLEFINANCE(""CURRENCY:""&amp;Q273&amp;""""&amp;Dashboard!$L$1&amp;""""))/100),IF(Q273=Dashboard!$L$1,M273,M273*GOOGLEFINANCE(""CURRENCY:""&amp;Q273&amp;""""&amp;Dashboard!$L$1&amp;"""")))"&amp;",M273))"),"")</f>
        <v/>
      </c>
      <c r="T273" s="264" t="str">
        <f t="shared" si="4"/>
        <v/>
      </c>
      <c r="U273" s="264" t="str">
        <f t="shared" si="5"/>
        <v/>
      </c>
      <c r="V273" s="264" t="str">
        <f t="shared" si="6"/>
        <v/>
      </c>
      <c r="W273" s="267" t="str">
        <f t="shared" si="8"/>
        <v/>
      </c>
      <c r="X273" s="264" t="str">
        <f t="shared" si="7"/>
        <v/>
      </c>
    </row>
    <row r="274" ht="15.75" customHeight="1">
      <c r="A274" s="258"/>
      <c r="B274" s="258"/>
      <c r="C274" s="269"/>
      <c r="D274" s="258"/>
      <c r="E274" s="258"/>
      <c r="F274" s="258"/>
      <c r="G274" s="258"/>
      <c r="H274" s="271"/>
      <c r="I274" s="258"/>
      <c r="J274" s="272"/>
      <c r="K274" s="260"/>
      <c r="L274" s="261"/>
      <c r="M274" s="262" t="str">
        <f t="shared" si="1"/>
        <v/>
      </c>
      <c r="N274" s="263" t="str">
        <f t="shared" si="2"/>
        <v/>
      </c>
      <c r="O274" s="264" t="str">
        <f t="shared" si="3"/>
        <v/>
      </c>
      <c r="P274" s="265" t="str">
        <f>IFERROR(__xludf.DUMMYFUNCTION("IF(ISBLANK(A274),"""",IFERROR(IF(H274=""Sell"",VLOOKUP(9^99,FILTER({ROW(P$2:P273),P$2:P273},D$2:D273=D274),2),(VLOOKUP(9^99,FILTER({ROW(P$2:P273),P$2:P273},D$2:D273=D274),2)*VLOOKUP(9^99,FILTER({ROW(O$2:O273),O$2:O273},D$2:D273=D274),2)-N274)/O274),J274))"),"")</f>
        <v/>
      </c>
      <c r="Q274" s="264" t="str">
        <f>IFERROR(__xludf.DUMMYFUNCTION("IFERROR(IF(F274=""Crypto"",B274,(IF(ISBLANK(D274),"""",IF(D274=""Cash"",B274,IF(GOOGLEFINANCE(D274,""CURRENCY"")=""GBX"",""GBP"",GOOGLEFINANCE(D274,""CURRENCY"")))))),B274)"),"")</f>
        <v/>
      </c>
      <c r="R274" s="263" t="str">
        <f>IFERROR(__xludf.DUMMYFUNCTION("IF(ISBLANK(A274),"""",IFERROR(IF(OR(Q274=""GPB"",Q274=""ZAR""),IF(Q274=Dashboard!$L$1,K274,(K274*GOOGLEFINANCE(""CURRENCY:""&amp;Q274&amp;""""&amp;Dashboard!$L$1&amp;""""))/100),IF(Q274=Dashboard!$L$1,K274,K274*GOOGLEFINANCE(""CURRENCY:""&amp;Q274&amp;""""&amp;Dashboard!$L$1&amp;"""")))"&amp;",K274))"),"")</f>
        <v/>
      </c>
      <c r="S274" s="266" t="str">
        <f>IFERROR(__xludf.DUMMYFUNCTION("IF(ISBLANK(A274),"""",IFERROR(IF(OR(Q274=""GPB"",Q274=""ZAR""),IF(Q274=Dashboard!$L$1,M274,(M274*GOOGLEFINANCE(""CURRENCY:""&amp;Q274&amp;""""&amp;Dashboard!$L$1&amp;""""))/100),IF(Q274=Dashboard!$L$1,M274,M274*GOOGLEFINANCE(""CURRENCY:""&amp;Q274&amp;""""&amp;Dashboard!$L$1&amp;"""")))"&amp;",M274))"),"")</f>
        <v/>
      </c>
      <c r="T274" s="264" t="str">
        <f t="shared" si="4"/>
        <v/>
      </c>
      <c r="U274" s="264" t="str">
        <f t="shared" si="5"/>
        <v/>
      </c>
      <c r="V274" s="264" t="str">
        <f t="shared" si="6"/>
        <v/>
      </c>
      <c r="W274" s="267" t="str">
        <f t="shared" si="8"/>
        <v/>
      </c>
      <c r="X274" s="264" t="str">
        <f t="shared" si="7"/>
        <v/>
      </c>
    </row>
    <row r="275" ht="15.75" customHeight="1">
      <c r="A275" s="258"/>
      <c r="B275" s="258"/>
      <c r="C275" s="269"/>
      <c r="D275" s="258"/>
      <c r="E275" s="258"/>
      <c r="F275" s="258"/>
      <c r="G275" s="258"/>
      <c r="H275" s="271"/>
      <c r="I275" s="258"/>
      <c r="J275" s="272"/>
      <c r="K275" s="260"/>
      <c r="L275" s="261"/>
      <c r="M275" s="262" t="str">
        <f t="shared" si="1"/>
        <v/>
      </c>
      <c r="N275" s="263" t="str">
        <f t="shared" si="2"/>
        <v/>
      </c>
      <c r="O275" s="264" t="str">
        <f t="shared" si="3"/>
        <v/>
      </c>
      <c r="P275" s="265" t="str">
        <f>IFERROR(__xludf.DUMMYFUNCTION("IF(ISBLANK(A275),"""",IFERROR(IF(H275=""Sell"",VLOOKUP(9^99,FILTER({ROW(P$2:P274),P$2:P274},D$2:D274=D275),2),(VLOOKUP(9^99,FILTER({ROW(P$2:P274),P$2:P274},D$2:D274=D275),2)*VLOOKUP(9^99,FILTER({ROW(O$2:O274),O$2:O274},D$2:D274=D275),2)-N275)/O275),J275))"),"")</f>
        <v/>
      </c>
      <c r="Q275" s="264" t="str">
        <f>IFERROR(__xludf.DUMMYFUNCTION("IFERROR(IF(F275=""Crypto"",B275,(IF(ISBLANK(D275),"""",IF(D275=""Cash"",B275,IF(GOOGLEFINANCE(D275,""CURRENCY"")=""GBX"",""GBP"",GOOGLEFINANCE(D275,""CURRENCY"")))))),B275)"),"")</f>
        <v/>
      </c>
      <c r="R275" s="263" t="str">
        <f>IFERROR(__xludf.DUMMYFUNCTION("IF(ISBLANK(A275),"""",IFERROR(IF(OR(Q275=""GPB"",Q275=""ZAR""),IF(Q275=Dashboard!$L$1,K275,(K275*GOOGLEFINANCE(""CURRENCY:""&amp;Q275&amp;""""&amp;Dashboard!$L$1&amp;""""))/100),IF(Q275=Dashboard!$L$1,K275,K275*GOOGLEFINANCE(""CURRENCY:""&amp;Q275&amp;""""&amp;Dashboard!$L$1&amp;"""")))"&amp;",K275))"),"")</f>
        <v/>
      </c>
      <c r="S275" s="266" t="str">
        <f>IFERROR(__xludf.DUMMYFUNCTION("IF(ISBLANK(A275),"""",IFERROR(IF(OR(Q275=""GPB"",Q275=""ZAR""),IF(Q275=Dashboard!$L$1,M275,(M275*GOOGLEFINANCE(""CURRENCY:""&amp;Q275&amp;""""&amp;Dashboard!$L$1&amp;""""))/100),IF(Q275=Dashboard!$L$1,M275,M275*GOOGLEFINANCE(""CURRENCY:""&amp;Q275&amp;""""&amp;Dashboard!$L$1&amp;"""")))"&amp;",M275))"),"")</f>
        <v/>
      </c>
      <c r="T275" s="264" t="str">
        <f t="shared" si="4"/>
        <v/>
      </c>
      <c r="U275" s="264" t="str">
        <f t="shared" si="5"/>
        <v/>
      </c>
      <c r="V275" s="264" t="str">
        <f t="shared" si="6"/>
        <v/>
      </c>
      <c r="W275" s="267" t="str">
        <f t="shared" si="8"/>
        <v/>
      </c>
      <c r="X275" s="264" t="str">
        <f t="shared" si="7"/>
        <v/>
      </c>
    </row>
    <row r="276" ht="15.75" customHeight="1">
      <c r="A276" s="258"/>
      <c r="B276" s="258"/>
      <c r="C276" s="269"/>
      <c r="D276" s="258"/>
      <c r="E276" s="258"/>
      <c r="F276" s="258"/>
      <c r="G276" s="258"/>
      <c r="H276" s="271"/>
      <c r="I276" s="258"/>
      <c r="J276" s="272"/>
      <c r="K276" s="260"/>
      <c r="L276" s="261"/>
      <c r="M276" s="262" t="str">
        <f t="shared" si="1"/>
        <v/>
      </c>
      <c r="N276" s="263" t="str">
        <f t="shared" si="2"/>
        <v/>
      </c>
      <c r="O276" s="264" t="str">
        <f t="shared" si="3"/>
        <v/>
      </c>
      <c r="P276" s="265" t="str">
        <f>IFERROR(__xludf.DUMMYFUNCTION("IF(ISBLANK(A276),"""",IFERROR(IF(H276=""Sell"",VLOOKUP(9^99,FILTER({ROW(P$2:P275),P$2:P275},D$2:D275=D276),2),(VLOOKUP(9^99,FILTER({ROW(P$2:P275),P$2:P275},D$2:D275=D276),2)*VLOOKUP(9^99,FILTER({ROW(O$2:O275),O$2:O275},D$2:D275=D276),2)-N276)/O276),J276))"),"")</f>
        <v/>
      </c>
      <c r="Q276" s="264" t="str">
        <f>IFERROR(__xludf.DUMMYFUNCTION("IFERROR(IF(F276=""Crypto"",B276,(IF(ISBLANK(D276),"""",IF(D276=""Cash"",B276,IF(GOOGLEFINANCE(D276,""CURRENCY"")=""GBX"",""GBP"",GOOGLEFINANCE(D276,""CURRENCY"")))))),B276)"),"")</f>
        <v/>
      </c>
      <c r="R276" s="263" t="str">
        <f>IFERROR(__xludf.DUMMYFUNCTION("IF(ISBLANK(A276),"""",IFERROR(IF(OR(Q276=""GPB"",Q276=""ZAR""),IF(Q276=Dashboard!$L$1,K276,(K276*GOOGLEFINANCE(""CURRENCY:""&amp;Q276&amp;""""&amp;Dashboard!$L$1&amp;""""))/100),IF(Q276=Dashboard!$L$1,K276,K276*GOOGLEFINANCE(""CURRENCY:""&amp;Q276&amp;""""&amp;Dashboard!$L$1&amp;"""")))"&amp;",K276))"),"")</f>
        <v/>
      </c>
      <c r="S276" s="266" t="str">
        <f>IFERROR(__xludf.DUMMYFUNCTION("IF(ISBLANK(A276),"""",IFERROR(IF(OR(Q276=""GPB"",Q276=""ZAR""),IF(Q276=Dashboard!$L$1,M276,(M276*GOOGLEFINANCE(""CURRENCY:""&amp;Q276&amp;""""&amp;Dashboard!$L$1&amp;""""))/100),IF(Q276=Dashboard!$L$1,M276,M276*GOOGLEFINANCE(""CURRENCY:""&amp;Q276&amp;""""&amp;Dashboard!$L$1&amp;"""")))"&amp;",M276))"),"")</f>
        <v/>
      </c>
      <c r="T276" s="264" t="str">
        <f t="shared" si="4"/>
        <v/>
      </c>
      <c r="U276" s="264" t="str">
        <f t="shared" si="5"/>
        <v/>
      </c>
      <c r="V276" s="264" t="str">
        <f t="shared" si="6"/>
        <v/>
      </c>
      <c r="W276" s="267" t="str">
        <f t="shared" si="8"/>
        <v/>
      </c>
      <c r="X276" s="264" t="str">
        <f t="shared" si="7"/>
        <v/>
      </c>
    </row>
    <row r="277" ht="15.75" customHeight="1">
      <c r="A277" s="258"/>
      <c r="B277" s="258"/>
      <c r="C277" s="269"/>
      <c r="D277" s="258"/>
      <c r="E277" s="258"/>
      <c r="F277" s="258"/>
      <c r="G277" s="258"/>
      <c r="H277" s="271"/>
      <c r="I277" s="258"/>
      <c r="J277" s="272"/>
      <c r="K277" s="260"/>
      <c r="L277" s="261"/>
      <c r="M277" s="262" t="str">
        <f t="shared" si="1"/>
        <v/>
      </c>
      <c r="N277" s="263" t="str">
        <f t="shared" si="2"/>
        <v/>
      </c>
      <c r="O277" s="264" t="str">
        <f t="shared" si="3"/>
        <v/>
      </c>
      <c r="P277" s="265" t="str">
        <f>IFERROR(__xludf.DUMMYFUNCTION("IF(ISBLANK(A277),"""",IFERROR(IF(H277=""Sell"",VLOOKUP(9^99,FILTER({ROW(P$2:P276),P$2:P276},D$2:D276=D277),2),(VLOOKUP(9^99,FILTER({ROW(P$2:P276),P$2:P276},D$2:D276=D277),2)*VLOOKUP(9^99,FILTER({ROW(O$2:O276),O$2:O276},D$2:D276=D277),2)-N277)/O277),J277))"),"")</f>
        <v/>
      </c>
      <c r="Q277" s="264" t="str">
        <f>IFERROR(__xludf.DUMMYFUNCTION("IFERROR(IF(F277=""Crypto"",B277,(IF(ISBLANK(D277),"""",IF(D277=""Cash"",B277,IF(GOOGLEFINANCE(D277,""CURRENCY"")=""GBX"",""GBP"",GOOGLEFINANCE(D277,""CURRENCY"")))))),B277)"),"")</f>
        <v/>
      </c>
      <c r="R277" s="263" t="str">
        <f>IFERROR(__xludf.DUMMYFUNCTION("IF(ISBLANK(A277),"""",IFERROR(IF(OR(Q277=""GPB"",Q277=""ZAR""),IF(Q277=Dashboard!$L$1,K277,(K277*GOOGLEFINANCE(""CURRENCY:""&amp;Q277&amp;""""&amp;Dashboard!$L$1&amp;""""))/100),IF(Q277=Dashboard!$L$1,K277,K277*GOOGLEFINANCE(""CURRENCY:""&amp;Q277&amp;""""&amp;Dashboard!$L$1&amp;"""")))"&amp;",K277))"),"")</f>
        <v/>
      </c>
      <c r="S277" s="266" t="str">
        <f>IFERROR(__xludf.DUMMYFUNCTION("IF(ISBLANK(A277),"""",IFERROR(IF(OR(Q277=""GPB"",Q277=""ZAR""),IF(Q277=Dashboard!$L$1,M277,(M277*GOOGLEFINANCE(""CURRENCY:""&amp;Q277&amp;""""&amp;Dashboard!$L$1&amp;""""))/100),IF(Q277=Dashboard!$L$1,M277,M277*GOOGLEFINANCE(""CURRENCY:""&amp;Q277&amp;""""&amp;Dashboard!$L$1&amp;"""")))"&amp;",M277))"),"")</f>
        <v/>
      </c>
      <c r="T277" s="264" t="str">
        <f t="shared" si="4"/>
        <v/>
      </c>
      <c r="U277" s="264" t="str">
        <f t="shared" si="5"/>
        <v/>
      </c>
      <c r="V277" s="264" t="str">
        <f t="shared" si="6"/>
        <v/>
      </c>
      <c r="W277" s="267" t="str">
        <f t="shared" si="8"/>
        <v/>
      </c>
      <c r="X277" s="264" t="str">
        <f t="shared" si="7"/>
        <v/>
      </c>
    </row>
    <row r="278" ht="15.75" customHeight="1">
      <c r="A278" s="258"/>
      <c r="B278" s="258"/>
      <c r="C278" s="269"/>
      <c r="D278" s="258"/>
      <c r="E278" s="258"/>
      <c r="F278" s="258"/>
      <c r="G278" s="258"/>
      <c r="H278" s="271"/>
      <c r="I278" s="258"/>
      <c r="J278" s="272"/>
      <c r="K278" s="260"/>
      <c r="L278" s="261"/>
      <c r="M278" s="262" t="str">
        <f t="shared" si="1"/>
        <v/>
      </c>
      <c r="N278" s="263" t="str">
        <f t="shared" si="2"/>
        <v/>
      </c>
      <c r="O278" s="264" t="str">
        <f t="shared" si="3"/>
        <v/>
      </c>
      <c r="P278" s="265" t="str">
        <f>IFERROR(__xludf.DUMMYFUNCTION("IF(ISBLANK(A278),"""",IFERROR(IF(H278=""Sell"",VLOOKUP(9^99,FILTER({ROW(P$2:P277),P$2:P277},D$2:D277=D278),2),(VLOOKUP(9^99,FILTER({ROW(P$2:P277),P$2:P277},D$2:D277=D278),2)*VLOOKUP(9^99,FILTER({ROW(O$2:O277),O$2:O277},D$2:D277=D278),2)-N278)/O278),J278))"),"")</f>
        <v/>
      </c>
      <c r="Q278" s="264" t="str">
        <f>IFERROR(__xludf.DUMMYFUNCTION("IFERROR(IF(F278=""Crypto"",B278,(IF(ISBLANK(D278),"""",IF(D278=""Cash"",B278,IF(GOOGLEFINANCE(D278,""CURRENCY"")=""GBX"",""GBP"",GOOGLEFINANCE(D278,""CURRENCY"")))))),B278)"),"")</f>
        <v/>
      </c>
      <c r="R278" s="263" t="str">
        <f>IFERROR(__xludf.DUMMYFUNCTION("IF(ISBLANK(A278),"""",IFERROR(IF(OR(Q278=""GPB"",Q278=""ZAR""),IF(Q278=Dashboard!$L$1,K278,(K278*GOOGLEFINANCE(""CURRENCY:""&amp;Q278&amp;""""&amp;Dashboard!$L$1&amp;""""))/100),IF(Q278=Dashboard!$L$1,K278,K278*GOOGLEFINANCE(""CURRENCY:""&amp;Q278&amp;""""&amp;Dashboard!$L$1&amp;"""")))"&amp;",K278))"),"")</f>
        <v/>
      </c>
      <c r="S278" s="266" t="str">
        <f>IFERROR(__xludf.DUMMYFUNCTION("IF(ISBLANK(A278),"""",IFERROR(IF(OR(Q278=""GPB"",Q278=""ZAR""),IF(Q278=Dashboard!$L$1,M278,(M278*GOOGLEFINANCE(""CURRENCY:""&amp;Q278&amp;""""&amp;Dashboard!$L$1&amp;""""))/100),IF(Q278=Dashboard!$L$1,M278,M278*GOOGLEFINANCE(""CURRENCY:""&amp;Q278&amp;""""&amp;Dashboard!$L$1&amp;"""")))"&amp;",M278))"),"")</f>
        <v/>
      </c>
      <c r="T278" s="264" t="str">
        <f t="shared" si="4"/>
        <v/>
      </c>
      <c r="U278" s="264" t="str">
        <f t="shared" si="5"/>
        <v/>
      </c>
      <c r="V278" s="264" t="str">
        <f t="shared" si="6"/>
        <v/>
      </c>
      <c r="W278" s="267" t="str">
        <f t="shared" si="8"/>
        <v/>
      </c>
      <c r="X278" s="264" t="str">
        <f t="shared" si="7"/>
        <v/>
      </c>
    </row>
    <row r="279" ht="15.75" customHeight="1">
      <c r="A279" s="258"/>
      <c r="B279" s="258"/>
      <c r="C279" s="269"/>
      <c r="D279" s="258"/>
      <c r="E279" s="258"/>
      <c r="F279" s="258"/>
      <c r="G279" s="258"/>
      <c r="H279" s="271"/>
      <c r="I279" s="258"/>
      <c r="J279" s="272"/>
      <c r="K279" s="260"/>
      <c r="L279" s="261"/>
      <c r="M279" s="262" t="str">
        <f t="shared" si="1"/>
        <v/>
      </c>
      <c r="N279" s="263" t="str">
        <f t="shared" si="2"/>
        <v/>
      </c>
      <c r="O279" s="264" t="str">
        <f t="shared" si="3"/>
        <v/>
      </c>
      <c r="P279" s="265" t="str">
        <f>IFERROR(__xludf.DUMMYFUNCTION("IF(ISBLANK(A279),"""",IFERROR(IF(H279=""Sell"",VLOOKUP(9^99,FILTER({ROW(P$2:P278),P$2:P278},D$2:D278=D279),2),(VLOOKUP(9^99,FILTER({ROW(P$2:P278),P$2:P278},D$2:D278=D279),2)*VLOOKUP(9^99,FILTER({ROW(O$2:O278),O$2:O278},D$2:D278=D279),2)-N279)/O279),J279))"),"")</f>
        <v/>
      </c>
      <c r="Q279" s="264" t="str">
        <f>IFERROR(__xludf.DUMMYFUNCTION("IFERROR(IF(F279=""Crypto"",B279,(IF(ISBLANK(D279),"""",IF(D279=""Cash"",B279,IF(GOOGLEFINANCE(D279,""CURRENCY"")=""GBX"",""GBP"",GOOGLEFINANCE(D279,""CURRENCY"")))))),B279)"),"")</f>
        <v/>
      </c>
      <c r="R279" s="263" t="str">
        <f>IFERROR(__xludf.DUMMYFUNCTION("IF(ISBLANK(A279),"""",IFERROR(IF(OR(Q279=""GPB"",Q279=""ZAR""),IF(Q279=Dashboard!$L$1,K279,(K279*GOOGLEFINANCE(""CURRENCY:""&amp;Q279&amp;""""&amp;Dashboard!$L$1&amp;""""))/100),IF(Q279=Dashboard!$L$1,K279,K279*GOOGLEFINANCE(""CURRENCY:""&amp;Q279&amp;""""&amp;Dashboard!$L$1&amp;"""")))"&amp;",K279))"),"")</f>
        <v/>
      </c>
      <c r="S279" s="266" t="str">
        <f>IFERROR(__xludf.DUMMYFUNCTION("IF(ISBLANK(A279),"""",IFERROR(IF(OR(Q279=""GPB"",Q279=""ZAR""),IF(Q279=Dashboard!$L$1,M279,(M279*GOOGLEFINANCE(""CURRENCY:""&amp;Q279&amp;""""&amp;Dashboard!$L$1&amp;""""))/100),IF(Q279=Dashboard!$L$1,M279,M279*GOOGLEFINANCE(""CURRENCY:""&amp;Q279&amp;""""&amp;Dashboard!$L$1&amp;"""")))"&amp;",M279))"),"")</f>
        <v/>
      </c>
      <c r="T279" s="264" t="str">
        <f t="shared" si="4"/>
        <v/>
      </c>
      <c r="U279" s="264" t="str">
        <f t="shared" si="5"/>
        <v/>
      </c>
      <c r="V279" s="264" t="str">
        <f t="shared" si="6"/>
        <v/>
      </c>
      <c r="W279" s="267" t="str">
        <f t="shared" si="8"/>
        <v/>
      </c>
      <c r="X279" s="264" t="str">
        <f t="shared" si="7"/>
        <v/>
      </c>
    </row>
    <row r="280" ht="15.75" customHeight="1">
      <c r="A280" s="258"/>
      <c r="B280" s="258"/>
      <c r="C280" s="269"/>
      <c r="D280" s="258"/>
      <c r="E280" s="258"/>
      <c r="F280" s="258"/>
      <c r="G280" s="258"/>
      <c r="H280" s="271"/>
      <c r="I280" s="258"/>
      <c r="J280" s="272"/>
      <c r="K280" s="260"/>
      <c r="L280" s="261"/>
      <c r="M280" s="262" t="str">
        <f t="shared" si="1"/>
        <v/>
      </c>
      <c r="N280" s="263" t="str">
        <f t="shared" si="2"/>
        <v/>
      </c>
      <c r="O280" s="264" t="str">
        <f t="shared" si="3"/>
        <v/>
      </c>
      <c r="P280" s="265" t="str">
        <f>IFERROR(__xludf.DUMMYFUNCTION("IF(ISBLANK(A280),"""",IFERROR(IF(H280=""Sell"",VLOOKUP(9^99,FILTER({ROW(P$2:P279),P$2:P279},D$2:D279=D280),2),(VLOOKUP(9^99,FILTER({ROW(P$2:P279),P$2:P279},D$2:D279=D280),2)*VLOOKUP(9^99,FILTER({ROW(O$2:O279),O$2:O279},D$2:D279=D280),2)-N280)/O280),J280))"),"")</f>
        <v/>
      </c>
      <c r="Q280" s="264" t="str">
        <f>IFERROR(__xludf.DUMMYFUNCTION("IFERROR(IF(F280=""Crypto"",B280,(IF(ISBLANK(D280),"""",IF(D280=""Cash"",B280,IF(GOOGLEFINANCE(D280,""CURRENCY"")=""GBX"",""GBP"",GOOGLEFINANCE(D280,""CURRENCY"")))))),B280)"),"")</f>
        <v/>
      </c>
      <c r="R280" s="263" t="str">
        <f>IFERROR(__xludf.DUMMYFUNCTION("IF(ISBLANK(A280),"""",IFERROR(IF(OR(Q280=""GPB"",Q280=""ZAR""),IF(Q280=Dashboard!$L$1,K280,(K280*GOOGLEFINANCE(""CURRENCY:""&amp;Q280&amp;""""&amp;Dashboard!$L$1&amp;""""))/100),IF(Q280=Dashboard!$L$1,K280,K280*GOOGLEFINANCE(""CURRENCY:""&amp;Q280&amp;""""&amp;Dashboard!$L$1&amp;"""")))"&amp;",K280))"),"")</f>
        <v/>
      </c>
      <c r="S280" s="266" t="str">
        <f>IFERROR(__xludf.DUMMYFUNCTION("IF(ISBLANK(A280),"""",IFERROR(IF(OR(Q280=""GPB"",Q280=""ZAR""),IF(Q280=Dashboard!$L$1,M280,(M280*GOOGLEFINANCE(""CURRENCY:""&amp;Q280&amp;""""&amp;Dashboard!$L$1&amp;""""))/100),IF(Q280=Dashboard!$L$1,M280,M280*GOOGLEFINANCE(""CURRENCY:""&amp;Q280&amp;""""&amp;Dashboard!$L$1&amp;"""")))"&amp;",M280))"),"")</f>
        <v/>
      </c>
      <c r="T280" s="264" t="str">
        <f t="shared" si="4"/>
        <v/>
      </c>
      <c r="U280" s="264" t="str">
        <f t="shared" si="5"/>
        <v/>
      </c>
      <c r="V280" s="264" t="str">
        <f t="shared" si="6"/>
        <v/>
      </c>
      <c r="W280" s="267" t="str">
        <f t="shared" si="8"/>
        <v/>
      </c>
      <c r="X280" s="264" t="str">
        <f t="shared" si="7"/>
        <v/>
      </c>
    </row>
    <row r="281" ht="15.75" customHeight="1">
      <c r="A281" s="258"/>
      <c r="B281" s="258"/>
      <c r="C281" s="269"/>
      <c r="D281" s="258"/>
      <c r="E281" s="258"/>
      <c r="F281" s="258"/>
      <c r="G281" s="258"/>
      <c r="H281" s="271"/>
      <c r="I281" s="258"/>
      <c r="J281" s="272"/>
      <c r="K281" s="260"/>
      <c r="L281" s="261"/>
      <c r="M281" s="262" t="str">
        <f t="shared" si="1"/>
        <v/>
      </c>
      <c r="N281" s="263" t="str">
        <f t="shared" si="2"/>
        <v/>
      </c>
      <c r="O281" s="264" t="str">
        <f t="shared" si="3"/>
        <v/>
      </c>
      <c r="P281" s="265" t="str">
        <f>IFERROR(__xludf.DUMMYFUNCTION("IF(ISBLANK(A281),"""",IFERROR(IF(H281=""Sell"",VLOOKUP(9^99,FILTER({ROW(P$2:P280),P$2:P280},D$2:D280=D281),2),(VLOOKUP(9^99,FILTER({ROW(P$2:P280),P$2:P280},D$2:D280=D281),2)*VLOOKUP(9^99,FILTER({ROW(O$2:O280),O$2:O280},D$2:D280=D281),2)-N281)/O281),J281))"),"")</f>
        <v/>
      </c>
      <c r="Q281" s="264" t="str">
        <f>IFERROR(__xludf.DUMMYFUNCTION("IFERROR(IF(F281=""Crypto"",B281,(IF(ISBLANK(D281),"""",IF(D281=""Cash"",B281,IF(GOOGLEFINANCE(D281,""CURRENCY"")=""GBX"",""GBP"",GOOGLEFINANCE(D281,""CURRENCY"")))))),B281)"),"")</f>
        <v/>
      </c>
      <c r="R281" s="263" t="str">
        <f>IFERROR(__xludf.DUMMYFUNCTION("IF(ISBLANK(A281),"""",IFERROR(IF(OR(Q281=""GPB"",Q281=""ZAR""),IF(Q281=Dashboard!$L$1,K281,(K281*GOOGLEFINANCE(""CURRENCY:""&amp;Q281&amp;""""&amp;Dashboard!$L$1&amp;""""))/100),IF(Q281=Dashboard!$L$1,K281,K281*GOOGLEFINANCE(""CURRENCY:""&amp;Q281&amp;""""&amp;Dashboard!$L$1&amp;"""")))"&amp;",K281))"),"")</f>
        <v/>
      </c>
      <c r="S281" s="266" t="str">
        <f>IFERROR(__xludf.DUMMYFUNCTION("IF(ISBLANK(A281),"""",IFERROR(IF(OR(Q281=""GPB"",Q281=""ZAR""),IF(Q281=Dashboard!$L$1,M281,(M281*GOOGLEFINANCE(""CURRENCY:""&amp;Q281&amp;""""&amp;Dashboard!$L$1&amp;""""))/100),IF(Q281=Dashboard!$L$1,M281,M281*GOOGLEFINANCE(""CURRENCY:""&amp;Q281&amp;""""&amp;Dashboard!$L$1&amp;"""")))"&amp;",M281))"),"")</f>
        <v/>
      </c>
      <c r="T281" s="264" t="str">
        <f t="shared" si="4"/>
        <v/>
      </c>
      <c r="U281" s="264" t="str">
        <f t="shared" si="5"/>
        <v/>
      </c>
      <c r="V281" s="264" t="str">
        <f t="shared" si="6"/>
        <v/>
      </c>
      <c r="W281" s="267" t="str">
        <f t="shared" si="8"/>
        <v/>
      </c>
      <c r="X281" s="264" t="str">
        <f t="shared" si="7"/>
        <v/>
      </c>
    </row>
    <row r="282" ht="15.75" customHeight="1">
      <c r="A282" s="258"/>
      <c r="B282" s="258"/>
      <c r="C282" s="269"/>
      <c r="D282" s="258"/>
      <c r="E282" s="258"/>
      <c r="F282" s="258"/>
      <c r="G282" s="258"/>
      <c r="H282" s="271"/>
      <c r="I282" s="258"/>
      <c r="J282" s="272"/>
      <c r="K282" s="260"/>
      <c r="L282" s="261"/>
      <c r="M282" s="262" t="str">
        <f t="shared" si="1"/>
        <v/>
      </c>
      <c r="N282" s="263" t="str">
        <f t="shared" si="2"/>
        <v/>
      </c>
      <c r="O282" s="264" t="str">
        <f t="shared" si="3"/>
        <v/>
      </c>
      <c r="P282" s="265" t="str">
        <f>IFERROR(__xludf.DUMMYFUNCTION("IF(ISBLANK(A282),"""",IFERROR(IF(H282=""Sell"",VLOOKUP(9^99,FILTER({ROW(P$2:P281),P$2:P281},D$2:D281=D282),2),(VLOOKUP(9^99,FILTER({ROW(P$2:P281),P$2:P281},D$2:D281=D282),2)*VLOOKUP(9^99,FILTER({ROW(O$2:O281),O$2:O281},D$2:D281=D282),2)-N282)/O282),J282))"),"")</f>
        <v/>
      </c>
      <c r="Q282" s="264" t="str">
        <f>IFERROR(__xludf.DUMMYFUNCTION("IFERROR(IF(F282=""Crypto"",B282,(IF(ISBLANK(D282),"""",IF(D282=""Cash"",B282,IF(GOOGLEFINANCE(D282,""CURRENCY"")=""GBX"",""GBP"",GOOGLEFINANCE(D282,""CURRENCY"")))))),B282)"),"")</f>
        <v/>
      </c>
      <c r="R282" s="263" t="str">
        <f>IFERROR(__xludf.DUMMYFUNCTION("IF(ISBLANK(A282),"""",IFERROR(IF(OR(Q282=""GPB"",Q282=""ZAR""),IF(Q282=Dashboard!$L$1,K282,(K282*GOOGLEFINANCE(""CURRENCY:""&amp;Q282&amp;""""&amp;Dashboard!$L$1&amp;""""))/100),IF(Q282=Dashboard!$L$1,K282,K282*GOOGLEFINANCE(""CURRENCY:""&amp;Q282&amp;""""&amp;Dashboard!$L$1&amp;"""")))"&amp;",K282))"),"")</f>
        <v/>
      </c>
      <c r="S282" s="266" t="str">
        <f>IFERROR(__xludf.DUMMYFUNCTION("IF(ISBLANK(A282),"""",IFERROR(IF(OR(Q282=""GPB"",Q282=""ZAR""),IF(Q282=Dashboard!$L$1,M282,(M282*GOOGLEFINANCE(""CURRENCY:""&amp;Q282&amp;""""&amp;Dashboard!$L$1&amp;""""))/100),IF(Q282=Dashboard!$L$1,M282,M282*GOOGLEFINANCE(""CURRENCY:""&amp;Q282&amp;""""&amp;Dashboard!$L$1&amp;"""")))"&amp;",M282))"),"")</f>
        <v/>
      </c>
      <c r="T282" s="264" t="str">
        <f t="shared" si="4"/>
        <v/>
      </c>
      <c r="U282" s="264" t="str">
        <f t="shared" si="5"/>
        <v/>
      </c>
      <c r="V282" s="264" t="str">
        <f t="shared" si="6"/>
        <v/>
      </c>
      <c r="W282" s="267" t="str">
        <f t="shared" si="8"/>
        <v/>
      </c>
      <c r="X282" s="264" t="str">
        <f t="shared" si="7"/>
        <v/>
      </c>
    </row>
    <row r="283" ht="15.75" customHeight="1">
      <c r="A283" s="258"/>
      <c r="B283" s="258"/>
      <c r="C283" s="269"/>
      <c r="D283" s="258"/>
      <c r="E283" s="258"/>
      <c r="F283" s="258"/>
      <c r="G283" s="258"/>
      <c r="H283" s="271"/>
      <c r="I283" s="258"/>
      <c r="J283" s="272"/>
      <c r="K283" s="260"/>
      <c r="L283" s="261"/>
      <c r="M283" s="262" t="str">
        <f t="shared" si="1"/>
        <v/>
      </c>
      <c r="N283" s="263" t="str">
        <f t="shared" si="2"/>
        <v/>
      </c>
      <c r="O283" s="264" t="str">
        <f t="shared" si="3"/>
        <v/>
      </c>
      <c r="P283" s="265" t="str">
        <f>IFERROR(__xludf.DUMMYFUNCTION("IF(ISBLANK(A283),"""",IFERROR(IF(H283=""Sell"",VLOOKUP(9^99,FILTER({ROW(P$2:P282),P$2:P282},D$2:D282=D283),2),(VLOOKUP(9^99,FILTER({ROW(P$2:P282),P$2:P282},D$2:D282=D283),2)*VLOOKUP(9^99,FILTER({ROW(O$2:O282),O$2:O282},D$2:D282=D283),2)-N283)/O283),J283))"),"")</f>
        <v/>
      </c>
      <c r="Q283" s="264" t="str">
        <f>IFERROR(__xludf.DUMMYFUNCTION("IFERROR(IF(F283=""Crypto"",B283,(IF(ISBLANK(D283),"""",IF(D283=""Cash"",B283,IF(GOOGLEFINANCE(D283,""CURRENCY"")=""GBX"",""GBP"",GOOGLEFINANCE(D283,""CURRENCY"")))))),B283)"),"")</f>
        <v/>
      </c>
      <c r="R283" s="263" t="str">
        <f>IFERROR(__xludf.DUMMYFUNCTION("IF(ISBLANK(A283),"""",IFERROR(IF(OR(Q283=""GPB"",Q283=""ZAR""),IF(Q283=Dashboard!$L$1,K283,(K283*GOOGLEFINANCE(""CURRENCY:""&amp;Q283&amp;""""&amp;Dashboard!$L$1&amp;""""))/100),IF(Q283=Dashboard!$L$1,K283,K283*GOOGLEFINANCE(""CURRENCY:""&amp;Q283&amp;""""&amp;Dashboard!$L$1&amp;"""")))"&amp;",K283))"),"")</f>
        <v/>
      </c>
      <c r="S283" s="266" t="str">
        <f>IFERROR(__xludf.DUMMYFUNCTION("IF(ISBLANK(A283),"""",IFERROR(IF(OR(Q283=""GPB"",Q283=""ZAR""),IF(Q283=Dashboard!$L$1,M283,(M283*GOOGLEFINANCE(""CURRENCY:""&amp;Q283&amp;""""&amp;Dashboard!$L$1&amp;""""))/100),IF(Q283=Dashboard!$L$1,M283,M283*GOOGLEFINANCE(""CURRENCY:""&amp;Q283&amp;""""&amp;Dashboard!$L$1&amp;"""")))"&amp;",M283))"),"")</f>
        <v/>
      </c>
      <c r="T283" s="264" t="str">
        <f t="shared" si="4"/>
        <v/>
      </c>
      <c r="U283" s="264" t="str">
        <f t="shared" si="5"/>
        <v/>
      </c>
      <c r="V283" s="264" t="str">
        <f t="shared" si="6"/>
        <v/>
      </c>
      <c r="W283" s="267" t="str">
        <f t="shared" si="8"/>
        <v/>
      </c>
      <c r="X283" s="264" t="str">
        <f t="shared" si="7"/>
        <v/>
      </c>
    </row>
    <row r="284" ht="15.75" customHeight="1">
      <c r="A284" s="258"/>
      <c r="B284" s="258"/>
      <c r="C284" s="269"/>
      <c r="D284" s="258"/>
      <c r="E284" s="258"/>
      <c r="F284" s="258"/>
      <c r="G284" s="258"/>
      <c r="H284" s="271"/>
      <c r="I284" s="258"/>
      <c r="J284" s="272"/>
      <c r="K284" s="260"/>
      <c r="L284" s="261"/>
      <c r="M284" s="262" t="str">
        <f t="shared" si="1"/>
        <v/>
      </c>
      <c r="N284" s="263" t="str">
        <f t="shared" si="2"/>
        <v/>
      </c>
      <c r="O284" s="264" t="str">
        <f t="shared" si="3"/>
        <v/>
      </c>
      <c r="P284" s="265" t="str">
        <f>IFERROR(__xludf.DUMMYFUNCTION("IF(ISBLANK(A284),"""",IFERROR(IF(H284=""Sell"",VLOOKUP(9^99,FILTER({ROW(P$2:P283),P$2:P283},D$2:D283=D284),2),(VLOOKUP(9^99,FILTER({ROW(P$2:P283),P$2:P283},D$2:D283=D284),2)*VLOOKUP(9^99,FILTER({ROW(O$2:O283),O$2:O283},D$2:D283=D284),2)-N284)/O284),J284))"),"")</f>
        <v/>
      </c>
      <c r="Q284" s="264" t="str">
        <f>IFERROR(__xludf.DUMMYFUNCTION("IFERROR(IF(F284=""Crypto"",B284,(IF(ISBLANK(D284),"""",IF(D284=""Cash"",B284,IF(GOOGLEFINANCE(D284,""CURRENCY"")=""GBX"",""GBP"",GOOGLEFINANCE(D284,""CURRENCY"")))))),B284)"),"")</f>
        <v/>
      </c>
      <c r="R284" s="263" t="str">
        <f>IFERROR(__xludf.DUMMYFUNCTION("IF(ISBLANK(A284),"""",IFERROR(IF(OR(Q284=""GPB"",Q284=""ZAR""),IF(Q284=Dashboard!$L$1,K284,(K284*GOOGLEFINANCE(""CURRENCY:""&amp;Q284&amp;""""&amp;Dashboard!$L$1&amp;""""))/100),IF(Q284=Dashboard!$L$1,K284,K284*GOOGLEFINANCE(""CURRENCY:""&amp;Q284&amp;""""&amp;Dashboard!$L$1&amp;"""")))"&amp;",K284))"),"")</f>
        <v/>
      </c>
      <c r="S284" s="266" t="str">
        <f>IFERROR(__xludf.DUMMYFUNCTION("IF(ISBLANK(A284),"""",IFERROR(IF(OR(Q284=""GPB"",Q284=""ZAR""),IF(Q284=Dashboard!$L$1,M284,(M284*GOOGLEFINANCE(""CURRENCY:""&amp;Q284&amp;""""&amp;Dashboard!$L$1&amp;""""))/100),IF(Q284=Dashboard!$L$1,M284,M284*GOOGLEFINANCE(""CURRENCY:""&amp;Q284&amp;""""&amp;Dashboard!$L$1&amp;"""")))"&amp;",M284))"),"")</f>
        <v/>
      </c>
      <c r="T284" s="264" t="str">
        <f t="shared" si="4"/>
        <v/>
      </c>
      <c r="U284" s="264" t="str">
        <f t="shared" si="5"/>
        <v/>
      </c>
      <c r="V284" s="264" t="str">
        <f t="shared" si="6"/>
        <v/>
      </c>
      <c r="W284" s="267" t="str">
        <f t="shared" si="8"/>
        <v/>
      </c>
      <c r="X284" s="264" t="str">
        <f t="shared" si="7"/>
        <v/>
      </c>
    </row>
    <row r="285" ht="15.75" customHeight="1">
      <c r="A285" s="258"/>
      <c r="B285" s="258"/>
      <c r="C285" s="269"/>
      <c r="D285" s="258"/>
      <c r="E285" s="258"/>
      <c r="F285" s="258"/>
      <c r="G285" s="258"/>
      <c r="H285" s="271"/>
      <c r="I285" s="258"/>
      <c r="J285" s="272"/>
      <c r="K285" s="260"/>
      <c r="L285" s="261"/>
      <c r="M285" s="262" t="str">
        <f t="shared" si="1"/>
        <v/>
      </c>
      <c r="N285" s="263" t="str">
        <f t="shared" si="2"/>
        <v/>
      </c>
      <c r="O285" s="264" t="str">
        <f t="shared" si="3"/>
        <v/>
      </c>
      <c r="P285" s="265" t="str">
        <f>IFERROR(__xludf.DUMMYFUNCTION("IF(ISBLANK(A285),"""",IFERROR(IF(H285=""Sell"",VLOOKUP(9^99,FILTER({ROW(P$2:P284),P$2:P284},D$2:D284=D285),2),(VLOOKUP(9^99,FILTER({ROW(P$2:P284),P$2:P284},D$2:D284=D285),2)*VLOOKUP(9^99,FILTER({ROW(O$2:O284),O$2:O284},D$2:D284=D285),2)-N285)/O285),J285))"),"")</f>
        <v/>
      </c>
      <c r="Q285" s="264" t="str">
        <f>IFERROR(__xludf.DUMMYFUNCTION("IFERROR(IF(F285=""Crypto"",B285,(IF(ISBLANK(D285),"""",IF(D285=""Cash"",B285,IF(GOOGLEFINANCE(D285,""CURRENCY"")=""GBX"",""GBP"",GOOGLEFINANCE(D285,""CURRENCY"")))))),B285)"),"")</f>
        <v/>
      </c>
      <c r="R285" s="263" t="str">
        <f>IFERROR(__xludf.DUMMYFUNCTION("IF(ISBLANK(A285),"""",IFERROR(IF(OR(Q285=""GPB"",Q285=""ZAR""),IF(Q285=Dashboard!$L$1,K285,(K285*GOOGLEFINANCE(""CURRENCY:""&amp;Q285&amp;""""&amp;Dashboard!$L$1&amp;""""))/100),IF(Q285=Dashboard!$L$1,K285,K285*GOOGLEFINANCE(""CURRENCY:""&amp;Q285&amp;""""&amp;Dashboard!$L$1&amp;"""")))"&amp;",K285))"),"")</f>
        <v/>
      </c>
      <c r="S285" s="266" t="str">
        <f>IFERROR(__xludf.DUMMYFUNCTION("IF(ISBLANK(A285),"""",IFERROR(IF(OR(Q285=""GPB"",Q285=""ZAR""),IF(Q285=Dashboard!$L$1,M285,(M285*GOOGLEFINANCE(""CURRENCY:""&amp;Q285&amp;""""&amp;Dashboard!$L$1&amp;""""))/100),IF(Q285=Dashboard!$L$1,M285,M285*GOOGLEFINANCE(""CURRENCY:""&amp;Q285&amp;""""&amp;Dashboard!$L$1&amp;"""")))"&amp;",M285))"),"")</f>
        <v/>
      </c>
      <c r="T285" s="264" t="str">
        <f t="shared" si="4"/>
        <v/>
      </c>
      <c r="U285" s="264" t="str">
        <f t="shared" si="5"/>
        <v/>
      </c>
      <c r="V285" s="264" t="str">
        <f t="shared" si="6"/>
        <v/>
      </c>
      <c r="W285" s="267" t="str">
        <f t="shared" si="8"/>
        <v/>
      </c>
      <c r="X285" s="264" t="str">
        <f t="shared" si="7"/>
        <v/>
      </c>
    </row>
    <row r="286" ht="15.75" customHeight="1">
      <c r="A286" s="258"/>
      <c r="B286" s="258"/>
      <c r="C286" s="269"/>
      <c r="D286" s="258"/>
      <c r="E286" s="258"/>
      <c r="F286" s="258"/>
      <c r="G286" s="258"/>
      <c r="H286" s="271"/>
      <c r="I286" s="258"/>
      <c r="J286" s="272"/>
      <c r="K286" s="260"/>
      <c r="L286" s="261"/>
      <c r="M286" s="262" t="str">
        <f t="shared" si="1"/>
        <v/>
      </c>
      <c r="N286" s="263" t="str">
        <f t="shared" si="2"/>
        <v/>
      </c>
      <c r="O286" s="264" t="str">
        <f t="shared" si="3"/>
        <v/>
      </c>
      <c r="P286" s="265" t="str">
        <f>IFERROR(__xludf.DUMMYFUNCTION("IF(ISBLANK(A286),"""",IFERROR(IF(H286=""Sell"",VLOOKUP(9^99,FILTER({ROW(P$2:P285),P$2:P285},D$2:D285=D286),2),(VLOOKUP(9^99,FILTER({ROW(P$2:P285),P$2:P285},D$2:D285=D286),2)*VLOOKUP(9^99,FILTER({ROW(O$2:O285),O$2:O285},D$2:D285=D286),2)-N286)/O286),J286))"),"")</f>
        <v/>
      </c>
      <c r="Q286" s="264" t="str">
        <f>IFERROR(__xludf.DUMMYFUNCTION("IFERROR(IF(F286=""Crypto"",B286,(IF(ISBLANK(D286),"""",IF(D286=""Cash"",B286,IF(GOOGLEFINANCE(D286,""CURRENCY"")=""GBX"",""GBP"",GOOGLEFINANCE(D286,""CURRENCY"")))))),B286)"),"")</f>
        <v/>
      </c>
      <c r="R286" s="263" t="str">
        <f>IFERROR(__xludf.DUMMYFUNCTION("IF(ISBLANK(A286),"""",IFERROR(IF(OR(Q286=""GPB"",Q286=""ZAR""),IF(Q286=Dashboard!$L$1,K286,(K286*GOOGLEFINANCE(""CURRENCY:""&amp;Q286&amp;""""&amp;Dashboard!$L$1&amp;""""))/100),IF(Q286=Dashboard!$L$1,K286,K286*GOOGLEFINANCE(""CURRENCY:""&amp;Q286&amp;""""&amp;Dashboard!$L$1&amp;"""")))"&amp;",K286))"),"")</f>
        <v/>
      </c>
      <c r="S286" s="266" t="str">
        <f>IFERROR(__xludf.DUMMYFUNCTION("IF(ISBLANK(A286),"""",IFERROR(IF(OR(Q286=""GPB"",Q286=""ZAR""),IF(Q286=Dashboard!$L$1,M286,(M286*GOOGLEFINANCE(""CURRENCY:""&amp;Q286&amp;""""&amp;Dashboard!$L$1&amp;""""))/100),IF(Q286=Dashboard!$L$1,M286,M286*GOOGLEFINANCE(""CURRENCY:""&amp;Q286&amp;""""&amp;Dashboard!$L$1&amp;"""")))"&amp;",M286))"),"")</f>
        <v/>
      </c>
      <c r="T286" s="264" t="str">
        <f t="shared" si="4"/>
        <v/>
      </c>
      <c r="U286" s="264" t="str">
        <f t="shared" si="5"/>
        <v/>
      </c>
      <c r="V286" s="264" t="str">
        <f t="shared" si="6"/>
        <v/>
      </c>
      <c r="W286" s="267" t="str">
        <f t="shared" si="8"/>
        <v/>
      </c>
      <c r="X286" s="264" t="str">
        <f t="shared" si="7"/>
        <v/>
      </c>
    </row>
    <row r="287" ht="15.75" customHeight="1">
      <c r="A287" s="258"/>
      <c r="B287" s="258"/>
      <c r="C287" s="269"/>
      <c r="D287" s="258"/>
      <c r="E287" s="258"/>
      <c r="F287" s="258"/>
      <c r="G287" s="258"/>
      <c r="H287" s="271"/>
      <c r="I287" s="258"/>
      <c r="J287" s="272"/>
      <c r="K287" s="260"/>
      <c r="L287" s="261"/>
      <c r="M287" s="262" t="str">
        <f t="shared" si="1"/>
        <v/>
      </c>
      <c r="N287" s="263" t="str">
        <f t="shared" si="2"/>
        <v/>
      </c>
      <c r="O287" s="264" t="str">
        <f t="shared" si="3"/>
        <v/>
      </c>
      <c r="P287" s="265" t="str">
        <f>IFERROR(__xludf.DUMMYFUNCTION("IF(ISBLANK(A287),"""",IFERROR(IF(H287=""Sell"",VLOOKUP(9^99,FILTER({ROW(P$2:P286),P$2:P286},D$2:D286=D287),2),(VLOOKUP(9^99,FILTER({ROW(P$2:P286),P$2:P286},D$2:D286=D287),2)*VLOOKUP(9^99,FILTER({ROW(O$2:O286),O$2:O286},D$2:D286=D287),2)-N287)/O287),J287))"),"")</f>
        <v/>
      </c>
      <c r="Q287" s="264" t="str">
        <f>IFERROR(__xludf.DUMMYFUNCTION("IFERROR(IF(F287=""Crypto"",B287,(IF(ISBLANK(D287),"""",IF(D287=""Cash"",B287,IF(GOOGLEFINANCE(D287,""CURRENCY"")=""GBX"",""GBP"",GOOGLEFINANCE(D287,""CURRENCY"")))))),B287)"),"")</f>
        <v/>
      </c>
      <c r="R287" s="263" t="str">
        <f>IFERROR(__xludf.DUMMYFUNCTION("IF(ISBLANK(A287),"""",IFERROR(IF(OR(Q287=""GPB"",Q287=""ZAR""),IF(Q287=Dashboard!$L$1,K287,(K287*GOOGLEFINANCE(""CURRENCY:""&amp;Q287&amp;""""&amp;Dashboard!$L$1&amp;""""))/100),IF(Q287=Dashboard!$L$1,K287,K287*GOOGLEFINANCE(""CURRENCY:""&amp;Q287&amp;""""&amp;Dashboard!$L$1&amp;"""")))"&amp;",K287))"),"")</f>
        <v/>
      </c>
      <c r="S287" s="266" t="str">
        <f>IFERROR(__xludf.DUMMYFUNCTION("IF(ISBLANK(A287),"""",IFERROR(IF(OR(Q287=""GPB"",Q287=""ZAR""),IF(Q287=Dashboard!$L$1,M287,(M287*GOOGLEFINANCE(""CURRENCY:""&amp;Q287&amp;""""&amp;Dashboard!$L$1&amp;""""))/100),IF(Q287=Dashboard!$L$1,M287,M287*GOOGLEFINANCE(""CURRENCY:""&amp;Q287&amp;""""&amp;Dashboard!$L$1&amp;"""")))"&amp;",M287))"),"")</f>
        <v/>
      </c>
      <c r="T287" s="264" t="str">
        <f t="shared" si="4"/>
        <v/>
      </c>
      <c r="U287" s="264" t="str">
        <f t="shared" si="5"/>
        <v/>
      </c>
      <c r="V287" s="264" t="str">
        <f t="shared" si="6"/>
        <v/>
      </c>
      <c r="W287" s="267" t="str">
        <f t="shared" si="8"/>
        <v/>
      </c>
      <c r="X287" s="264" t="str">
        <f t="shared" si="7"/>
        <v/>
      </c>
    </row>
    <row r="288" ht="15.75" customHeight="1">
      <c r="A288" s="258"/>
      <c r="B288" s="258"/>
      <c r="C288" s="269"/>
      <c r="D288" s="258"/>
      <c r="E288" s="258"/>
      <c r="F288" s="258"/>
      <c r="G288" s="258"/>
      <c r="H288" s="271"/>
      <c r="I288" s="258"/>
      <c r="J288" s="272"/>
      <c r="K288" s="260"/>
      <c r="L288" s="261"/>
      <c r="M288" s="262" t="str">
        <f t="shared" si="1"/>
        <v/>
      </c>
      <c r="N288" s="263" t="str">
        <f t="shared" si="2"/>
        <v/>
      </c>
      <c r="O288" s="264" t="str">
        <f t="shared" si="3"/>
        <v/>
      </c>
      <c r="P288" s="265" t="str">
        <f>IFERROR(__xludf.DUMMYFUNCTION("IF(ISBLANK(A288),"""",IFERROR(IF(H288=""Sell"",VLOOKUP(9^99,FILTER({ROW(P$2:P287),P$2:P287},D$2:D287=D288),2),(VLOOKUP(9^99,FILTER({ROW(P$2:P287),P$2:P287},D$2:D287=D288),2)*VLOOKUP(9^99,FILTER({ROW(O$2:O287),O$2:O287},D$2:D287=D288),2)-N288)/O288),J288))"),"")</f>
        <v/>
      </c>
      <c r="Q288" s="264" t="str">
        <f>IFERROR(__xludf.DUMMYFUNCTION("IFERROR(IF(F288=""Crypto"",B288,(IF(ISBLANK(D288),"""",IF(D288=""Cash"",B288,IF(GOOGLEFINANCE(D288,""CURRENCY"")=""GBX"",""GBP"",GOOGLEFINANCE(D288,""CURRENCY"")))))),B288)"),"")</f>
        <v/>
      </c>
      <c r="R288" s="263" t="str">
        <f>IFERROR(__xludf.DUMMYFUNCTION("IF(ISBLANK(A288),"""",IFERROR(IF(OR(Q288=""GPB"",Q288=""ZAR""),IF(Q288=Dashboard!$L$1,K288,(K288*GOOGLEFINANCE(""CURRENCY:""&amp;Q288&amp;""""&amp;Dashboard!$L$1&amp;""""))/100),IF(Q288=Dashboard!$L$1,K288,K288*GOOGLEFINANCE(""CURRENCY:""&amp;Q288&amp;""""&amp;Dashboard!$L$1&amp;"""")))"&amp;",K288))"),"")</f>
        <v/>
      </c>
      <c r="S288" s="266" t="str">
        <f>IFERROR(__xludf.DUMMYFUNCTION("IF(ISBLANK(A288),"""",IFERROR(IF(OR(Q288=""GPB"",Q288=""ZAR""),IF(Q288=Dashboard!$L$1,M288,(M288*GOOGLEFINANCE(""CURRENCY:""&amp;Q288&amp;""""&amp;Dashboard!$L$1&amp;""""))/100),IF(Q288=Dashboard!$L$1,M288,M288*GOOGLEFINANCE(""CURRENCY:""&amp;Q288&amp;""""&amp;Dashboard!$L$1&amp;"""")))"&amp;",M288))"),"")</f>
        <v/>
      </c>
      <c r="T288" s="264" t="str">
        <f t="shared" si="4"/>
        <v/>
      </c>
      <c r="U288" s="264" t="str">
        <f t="shared" si="5"/>
        <v/>
      </c>
      <c r="V288" s="264" t="str">
        <f t="shared" si="6"/>
        <v/>
      </c>
      <c r="W288" s="267" t="str">
        <f t="shared" si="8"/>
        <v/>
      </c>
      <c r="X288" s="264" t="str">
        <f t="shared" si="7"/>
        <v/>
      </c>
    </row>
    <row r="289" ht="15.75" customHeight="1">
      <c r="A289" s="258"/>
      <c r="B289" s="258"/>
      <c r="C289" s="269"/>
      <c r="D289" s="258"/>
      <c r="E289" s="258"/>
      <c r="F289" s="258"/>
      <c r="G289" s="258"/>
      <c r="H289" s="271"/>
      <c r="I289" s="258"/>
      <c r="J289" s="272"/>
      <c r="K289" s="260"/>
      <c r="L289" s="261"/>
      <c r="M289" s="262" t="str">
        <f t="shared" si="1"/>
        <v/>
      </c>
      <c r="N289" s="263" t="str">
        <f t="shared" si="2"/>
        <v/>
      </c>
      <c r="O289" s="264" t="str">
        <f t="shared" si="3"/>
        <v/>
      </c>
      <c r="P289" s="265" t="str">
        <f>IFERROR(__xludf.DUMMYFUNCTION("IF(ISBLANK(A289),"""",IFERROR(IF(H289=""Sell"",VLOOKUP(9^99,FILTER({ROW(P$2:P288),P$2:P288},D$2:D288=D289),2),(VLOOKUP(9^99,FILTER({ROW(P$2:P288),P$2:P288},D$2:D288=D289),2)*VLOOKUP(9^99,FILTER({ROW(O$2:O288),O$2:O288},D$2:D288=D289),2)-N289)/O289),J289))"),"")</f>
        <v/>
      </c>
      <c r="Q289" s="264" t="str">
        <f>IFERROR(__xludf.DUMMYFUNCTION("IFERROR(IF(F289=""Crypto"",B289,(IF(ISBLANK(D289),"""",IF(D289=""Cash"",B289,IF(GOOGLEFINANCE(D289,""CURRENCY"")=""GBX"",""GBP"",GOOGLEFINANCE(D289,""CURRENCY"")))))),B289)"),"")</f>
        <v/>
      </c>
      <c r="R289" s="263" t="str">
        <f>IFERROR(__xludf.DUMMYFUNCTION("IF(ISBLANK(A289),"""",IFERROR(IF(OR(Q289=""GPB"",Q289=""ZAR""),IF(Q289=Dashboard!$L$1,K289,(K289*GOOGLEFINANCE(""CURRENCY:""&amp;Q289&amp;""""&amp;Dashboard!$L$1&amp;""""))/100),IF(Q289=Dashboard!$L$1,K289,K289*GOOGLEFINANCE(""CURRENCY:""&amp;Q289&amp;""""&amp;Dashboard!$L$1&amp;"""")))"&amp;",K289))"),"")</f>
        <v/>
      </c>
      <c r="S289" s="266" t="str">
        <f>IFERROR(__xludf.DUMMYFUNCTION("IF(ISBLANK(A289),"""",IFERROR(IF(OR(Q289=""GPB"",Q289=""ZAR""),IF(Q289=Dashboard!$L$1,M289,(M289*GOOGLEFINANCE(""CURRENCY:""&amp;Q289&amp;""""&amp;Dashboard!$L$1&amp;""""))/100),IF(Q289=Dashboard!$L$1,M289,M289*GOOGLEFINANCE(""CURRENCY:""&amp;Q289&amp;""""&amp;Dashboard!$L$1&amp;"""")))"&amp;",M289))"),"")</f>
        <v/>
      </c>
      <c r="T289" s="264" t="str">
        <f t="shared" si="4"/>
        <v/>
      </c>
      <c r="U289" s="264" t="str">
        <f t="shared" si="5"/>
        <v/>
      </c>
      <c r="V289" s="264" t="str">
        <f t="shared" si="6"/>
        <v/>
      </c>
      <c r="W289" s="267" t="str">
        <f t="shared" si="8"/>
        <v/>
      </c>
      <c r="X289" s="264" t="str">
        <f t="shared" si="7"/>
        <v/>
      </c>
    </row>
    <row r="290" ht="15.75" customHeight="1">
      <c r="A290" s="258"/>
      <c r="B290" s="258"/>
      <c r="C290" s="269"/>
      <c r="D290" s="258"/>
      <c r="E290" s="258"/>
      <c r="F290" s="258"/>
      <c r="G290" s="258"/>
      <c r="H290" s="271"/>
      <c r="I290" s="258"/>
      <c r="J290" s="272"/>
      <c r="K290" s="260"/>
      <c r="L290" s="261"/>
      <c r="M290" s="262" t="str">
        <f t="shared" si="1"/>
        <v/>
      </c>
      <c r="N290" s="263" t="str">
        <f t="shared" si="2"/>
        <v/>
      </c>
      <c r="O290" s="264" t="str">
        <f t="shared" si="3"/>
        <v/>
      </c>
      <c r="P290" s="265" t="str">
        <f>IFERROR(__xludf.DUMMYFUNCTION("IF(ISBLANK(A290),"""",IFERROR(IF(H290=""Sell"",VLOOKUP(9^99,FILTER({ROW(P$2:P289),P$2:P289},D$2:D289=D290),2),(VLOOKUP(9^99,FILTER({ROW(P$2:P289),P$2:P289},D$2:D289=D290),2)*VLOOKUP(9^99,FILTER({ROW(O$2:O289),O$2:O289},D$2:D289=D290),2)-N290)/O290),J290))"),"")</f>
        <v/>
      </c>
      <c r="Q290" s="264" t="str">
        <f>IFERROR(__xludf.DUMMYFUNCTION("IFERROR(IF(F290=""Crypto"",B290,(IF(ISBLANK(D290),"""",IF(D290=""Cash"",B290,IF(GOOGLEFINANCE(D290,""CURRENCY"")=""GBX"",""GBP"",GOOGLEFINANCE(D290,""CURRENCY"")))))),B290)"),"")</f>
        <v/>
      </c>
      <c r="R290" s="263" t="str">
        <f>IFERROR(__xludf.DUMMYFUNCTION("IF(ISBLANK(A290),"""",IFERROR(IF(OR(Q290=""GPB"",Q290=""ZAR""),IF(Q290=Dashboard!$L$1,K290,(K290*GOOGLEFINANCE(""CURRENCY:""&amp;Q290&amp;""""&amp;Dashboard!$L$1&amp;""""))/100),IF(Q290=Dashboard!$L$1,K290,K290*GOOGLEFINANCE(""CURRENCY:""&amp;Q290&amp;""""&amp;Dashboard!$L$1&amp;"""")))"&amp;",K290))"),"")</f>
        <v/>
      </c>
      <c r="S290" s="266" t="str">
        <f>IFERROR(__xludf.DUMMYFUNCTION("IF(ISBLANK(A290),"""",IFERROR(IF(OR(Q290=""GPB"",Q290=""ZAR""),IF(Q290=Dashboard!$L$1,M290,(M290*GOOGLEFINANCE(""CURRENCY:""&amp;Q290&amp;""""&amp;Dashboard!$L$1&amp;""""))/100),IF(Q290=Dashboard!$L$1,M290,M290*GOOGLEFINANCE(""CURRENCY:""&amp;Q290&amp;""""&amp;Dashboard!$L$1&amp;"""")))"&amp;",M290))"),"")</f>
        <v/>
      </c>
      <c r="T290" s="264" t="str">
        <f t="shared" si="4"/>
        <v/>
      </c>
      <c r="U290" s="264" t="str">
        <f t="shared" si="5"/>
        <v/>
      </c>
      <c r="V290" s="264" t="str">
        <f t="shared" si="6"/>
        <v/>
      </c>
      <c r="W290" s="267" t="str">
        <f t="shared" si="8"/>
        <v/>
      </c>
      <c r="X290" s="264" t="str">
        <f t="shared" si="7"/>
        <v/>
      </c>
    </row>
    <row r="291" ht="15.75" customHeight="1">
      <c r="A291" s="258"/>
      <c r="B291" s="258"/>
      <c r="C291" s="269"/>
      <c r="D291" s="258"/>
      <c r="E291" s="258"/>
      <c r="F291" s="258"/>
      <c r="G291" s="258"/>
      <c r="H291" s="271"/>
      <c r="I291" s="258"/>
      <c r="J291" s="272"/>
      <c r="K291" s="260"/>
      <c r="L291" s="261"/>
      <c r="M291" s="262" t="str">
        <f t="shared" si="1"/>
        <v/>
      </c>
      <c r="N291" s="263" t="str">
        <f t="shared" si="2"/>
        <v/>
      </c>
      <c r="O291" s="264" t="str">
        <f t="shared" si="3"/>
        <v/>
      </c>
      <c r="P291" s="265" t="str">
        <f>IFERROR(__xludf.DUMMYFUNCTION("IF(ISBLANK(A291),"""",IFERROR(IF(H291=""Sell"",VLOOKUP(9^99,FILTER({ROW(P$2:P290),P$2:P290},D$2:D290=D291),2),(VLOOKUP(9^99,FILTER({ROW(P$2:P290),P$2:P290},D$2:D290=D291),2)*VLOOKUP(9^99,FILTER({ROW(O$2:O290),O$2:O290},D$2:D290=D291),2)-N291)/O291),J291))"),"")</f>
        <v/>
      </c>
      <c r="Q291" s="264" t="str">
        <f>IFERROR(__xludf.DUMMYFUNCTION("IFERROR(IF(F291=""Crypto"",B291,(IF(ISBLANK(D291),"""",IF(D291=""Cash"",B291,IF(GOOGLEFINANCE(D291,""CURRENCY"")=""GBX"",""GBP"",GOOGLEFINANCE(D291,""CURRENCY"")))))),B291)"),"")</f>
        <v/>
      </c>
      <c r="R291" s="263" t="str">
        <f>IFERROR(__xludf.DUMMYFUNCTION("IF(ISBLANK(A291),"""",IFERROR(IF(OR(Q291=""GPB"",Q291=""ZAR""),IF(Q291=Dashboard!$L$1,K291,(K291*GOOGLEFINANCE(""CURRENCY:""&amp;Q291&amp;""""&amp;Dashboard!$L$1&amp;""""))/100),IF(Q291=Dashboard!$L$1,K291,K291*GOOGLEFINANCE(""CURRENCY:""&amp;Q291&amp;""""&amp;Dashboard!$L$1&amp;"""")))"&amp;",K291))"),"")</f>
        <v/>
      </c>
      <c r="S291" s="266" t="str">
        <f>IFERROR(__xludf.DUMMYFUNCTION("IF(ISBLANK(A291),"""",IFERROR(IF(OR(Q291=""GPB"",Q291=""ZAR""),IF(Q291=Dashboard!$L$1,M291,(M291*GOOGLEFINANCE(""CURRENCY:""&amp;Q291&amp;""""&amp;Dashboard!$L$1&amp;""""))/100),IF(Q291=Dashboard!$L$1,M291,M291*GOOGLEFINANCE(""CURRENCY:""&amp;Q291&amp;""""&amp;Dashboard!$L$1&amp;"""")))"&amp;",M291))"),"")</f>
        <v/>
      </c>
      <c r="T291" s="264" t="str">
        <f t="shared" si="4"/>
        <v/>
      </c>
      <c r="U291" s="264" t="str">
        <f t="shared" si="5"/>
        <v/>
      </c>
      <c r="V291" s="264" t="str">
        <f t="shared" si="6"/>
        <v/>
      </c>
      <c r="W291" s="267" t="str">
        <f t="shared" si="8"/>
        <v/>
      </c>
      <c r="X291" s="264" t="str">
        <f t="shared" si="7"/>
        <v/>
      </c>
    </row>
    <row r="292" ht="15.75" customHeight="1">
      <c r="A292" s="258"/>
      <c r="B292" s="258"/>
      <c r="C292" s="269"/>
      <c r="D292" s="258"/>
      <c r="E292" s="258"/>
      <c r="F292" s="258"/>
      <c r="G292" s="258"/>
      <c r="H292" s="271"/>
      <c r="I292" s="258"/>
      <c r="J292" s="272"/>
      <c r="K292" s="260"/>
      <c r="L292" s="261"/>
      <c r="M292" s="262" t="str">
        <f t="shared" si="1"/>
        <v/>
      </c>
      <c r="N292" s="263" t="str">
        <f t="shared" si="2"/>
        <v/>
      </c>
      <c r="O292" s="264" t="str">
        <f t="shared" si="3"/>
        <v/>
      </c>
      <c r="P292" s="265" t="str">
        <f>IFERROR(__xludf.DUMMYFUNCTION("IF(ISBLANK(A292),"""",IFERROR(IF(H292=""Sell"",VLOOKUP(9^99,FILTER({ROW(P$2:P291),P$2:P291},D$2:D291=D292),2),(VLOOKUP(9^99,FILTER({ROW(P$2:P291),P$2:P291},D$2:D291=D292),2)*VLOOKUP(9^99,FILTER({ROW(O$2:O291),O$2:O291},D$2:D291=D292),2)-N292)/O292),J292))"),"")</f>
        <v/>
      </c>
      <c r="Q292" s="264" t="str">
        <f>IFERROR(__xludf.DUMMYFUNCTION("IFERROR(IF(F292=""Crypto"",B292,(IF(ISBLANK(D292),"""",IF(D292=""Cash"",B292,IF(GOOGLEFINANCE(D292,""CURRENCY"")=""GBX"",""GBP"",GOOGLEFINANCE(D292,""CURRENCY"")))))),B292)"),"")</f>
        <v/>
      </c>
      <c r="R292" s="263" t="str">
        <f>IFERROR(__xludf.DUMMYFUNCTION("IF(ISBLANK(A292),"""",IFERROR(IF(OR(Q292=""GPB"",Q292=""ZAR""),IF(Q292=Dashboard!$L$1,K292,(K292*GOOGLEFINANCE(""CURRENCY:""&amp;Q292&amp;""""&amp;Dashboard!$L$1&amp;""""))/100),IF(Q292=Dashboard!$L$1,K292,K292*GOOGLEFINANCE(""CURRENCY:""&amp;Q292&amp;""""&amp;Dashboard!$L$1&amp;"""")))"&amp;",K292))"),"")</f>
        <v/>
      </c>
      <c r="S292" s="266" t="str">
        <f>IFERROR(__xludf.DUMMYFUNCTION("IF(ISBLANK(A292),"""",IFERROR(IF(OR(Q292=""GPB"",Q292=""ZAR""),IF(Q292=Dashboard!$L$1,M292,(M292*GOOGLEFINANCE(""CURRENCY:""&amp;Q292&amp;""""&amp;Dashboard!$L$1&amp;""""))/100),IF(Q292=Dashboard!$L$1,M292,M292*GOOGLEFINANCE(""CURRENCY:""&amp;Q292&amp;""""&amp;Dashboard!$L$1&amp;"""")))"&amp;",M292))"),"")</f>
        <v/>
      </c>
      <c r="T292" s="264" t="str">
        <f t="shared" si="4"/>
        <v/>
      </c>
      <c r="U292" s="264" t="str">
        <f t="shared" si="5"/>
        <v/>
      </c>
      <c r="V292" s="264" t="str">
        <f t="shared" si="6"/>
        <v/>
      </c>
      <c r="W292" s="267" t="str">
        <f t="shared" si="8"/>
        <v/>
      </c>
      <c r="X292" s="264" t="str">
        <f t="shared" si="7"/>
        <v/>
      </c>
    </row>
    <row r="293" ht="15.75" customHeight="1">
      <c r="A293" s="258"/>
      <c r="B293" s="258"/>
      <c r="C293" s="269"/>
      <c r="D293" s="258"/>
      <c r="E293" s="258"/>
      <c r="F293" s="258"/>
      <c r="G293" s="258"/>
      <c r="H293" s="271"/>
      <c r="I293" s="258"/>
      <c r="J293" s="272"/>
      <c r="K293" s="260"/>
      <c r="L293" s="261"/>
      <c r="M293" s="262" t="str">
        <f t="shared" si="1"/>
        <v/>
      </c>
      <c r="N293" s="263" t="str">
        <f t="shared" si="2"/>
        <v/>
      </c>
      <c r="O293" s="264" t="str">
        <f t="shared" si="3"/>
        <v/>
      </c>
      <c r="P293" s="265" t="str">
        <f>IFERROR(__xludf.DUMMYFUNCTION("IF(ISBLANK(A293),"""",IFERROR(IF(H293=""Sell"",VLOOKUP(9^99,FILTER({ROW(P$2:P292),P$2:P292},D$2:D292=D293),2),(VLOOKUP(9^99,FILTER({ROW(P$2:P292),P$2:P292},D$2:D292=D293),2)*VLOOKUP(9^99,FILTER({ROW(O$2:O292),O$2:O292},D$2:D292=D293),2)-N293)/O293),J293))"),"")</f>
        <v/>
      </c>
      <c r="Q293" s="264" t="str">
        <f>IFERROR(__xludf.DUMMYFUNCTION("IFERROR(IF(F293=""Crypto"",B293,(IF(ISBLANK(D293),"""",IF(D293=""Cash"",B293,IF(GOOGLEFINANCE(D293,""CURRENCY"")=""GBX"",""GBP"",GOOGLEFINANCE(D293,""CURRENCY"")))))),B293)"),"")</f>
        <v/>
      </c>
      <c r="R293" s="263" t="str">
        <f>IFERROR(__xludf.DUMMYFUNCTION("IF(ISBLANK(A293),"""",IFERROR(IF(OR(Q293=""GPB"",Q293=""ZAR""),IF(Q293=Dashboard!$L$1,K293,(K293*GOOGLEFINANCE(""CURRENCY:""&amp;Q293&amp;""""&amp;Dashboard!$L$1&amp;""""))/100),IF(Q293=Dashboard!$L$1,K293,K293*GOOGLEFINANCE(""CURRENCY:""&amp;Q293&amp;""""&amp;Dashboard!$L$1&amp;"""")))"&amp;",K293))"),"")</f>
        <v/>
      </c>
      <c r="S293" s="266" t="str">
        <f>IFERROR(__xludf.DUMMYFUNCTION("IF(ISBLANK(A293),"""",IFERROR(IF(OR(Q293=""GPB"",Q293=""ZAR""),IF(Q293=Dashboard!$L$1,M293,(M293*GOOGLEFINANCE(""CURRENCY:""&amp;Q293&amp;""""&amp;Dashboard!$L$1&amp;""""))/100),IF(Q293=Dashboard!$L$1,M293,M293*GOOGLEFINANCE(""CURRENCY:""&amp;Q293&amp;""""&amp;Dashboard!$L$1&amp;"""")))"&amp;",M293))"),"")</f>
        <v/>
      </c>
      <c r="T293" s="264" t="str">
        <f t="shared" si="4"/>
        <v/>
      </c>
      <c r="U293" s="264" t="str">
        <f t="shared" si="5"/>
        <v/>
      </c>
      <c r="V293" s="264" t="str">
        <f t="shared" si="6"/>
        <v/>
      </c>
      <c r="W293" s="267" t="str">
        <f t="shared" si="8"/>
        <v/>
      </c>
      <c r="X293" s="264" t="str">
        <f t="shared" si="7"/>
        <v/>
      </c>
    </row>
    <row r="294" ht="15.75" customHeight="1">
      <c r="A294" s="258"/>
      <c r="B294" s="258"/>
      <c r="C294" s="269"/>
      <c r="D294" s="258"/>
      <c r="E294" s="258"/>
      <c r="F294" s="258"/>
      <c r="G294" s="258"/>
      <c r="H294" s="271"/>
      <c r="I294" s="258"/>
      <c r="J294" s="272"/>
      <c r="K294" s="260"/>
      <c r="L294" s="261"/>
      <c r="M294" s="262" t="str">
        <f t="shared" si="1"/>
        <v/>
      </c>
      <c r="N294" s="263" t="str">
        <f t="shared" si="2"/>
        <v/>
      </c>
      <c r="O294" s="264" t="str">
        <f t="shared" si="3"/>
        <v/>
      </c>
      <c r="P294" s="265" t="str">
        <f>IFERROR(__xludf.DUMMYFUNCTION("IF(ISBLANK(A294),"""",IFERROR(IF(H294=""Sell"",VLOOKUP(9^99,FILTER({ROW(P$2:P293),P$2:P293},D$2:D293=D294),2),(VLOOKUP(9^99,FILTER({ROW(P$2:P293),P$2:P293},D$2:D293=D294),2)*VLOOKUP(9^99,FILTER({ROW(O$2:O293),O$2:O293},D$2:D293=D294),2)-N294)/O294),J294))"),"")</f>
        <v/>
      </c>
      <c r="Q294" s="264" t="str">
        <f>IFERROR(__xludf.DUMMYFUNCTION("IFERROR(IF(F294=""Crypto"",B294,(IF(ISBLANK(D294),"""",IF(D294=""Cash"",B294,IF(GOOGLEFINANCE(D294,""CURRENCY"")=""GBX"",""GBP"",GOOGLEFINANCE(D294,""CURRENCY"")))))),B294)"),"")</f>
        <v/>
      </c>
      <c r="R294" s="263" t="str">
        <f>IFERROR(__xludf.DUMMYFUNCTION("IF(ISBLANK(A294),"""",IFERROR(IF(OR(Q294=""GPB"",Q294=""ZAR""),IF(Q294=Dashboard!$L$1,K294,(K294*GOOGLEFINANCE(""CURRENCY:""&amp;Q294&amp;""""&amp;Dashboard!$L$1&amp;""""))/100),IF(Q294=Dashboard!$L$1,K294,K294*GOOGLEFINANCE(""CURRENCY:""&amp;Q294&amp;""""&amp;Dashboard!$L$1&amp;"""")))"&amp;",K294))"),"")</f>
        <v/>
      </c>
      <c r="S294" s="266" t="str">
        <f>IFERROR(__xludf.DUMMYFUNCTION("IF(ISBLANK(A294),"""",IFERROR(IF(OR(Q294=""GPB"",Q294=""ZAR""),IF(Q294=Dashboard!$L$1,M294,(M294*GOOGLEFINANCE(""CURRENCY:""&amp;Q294&amp;""""&amp;Dashboard!$L$1&amp;""""))/100),IF(Q294=Dashboard!$L$1,M294,M294*GOOGLEFINANCE(""CURRENCY:""&amp;Q294&amp;""""&amp;Dashboard!$L$1&amp;"""")))"&amp;",M294))"),"")</f>
        <v/>
      </c>
      <c r="T294" s="264" t="str">
        <f t="shared" si="4"/>
        <v/>
      </c>
      <c r="U294" s="264" t="str">
        <f t="shared" si="5"/>
        <v/>
      </c>
      <c r="V294" s="264" t="str">
        <f t="shared" si="6"/>
        <v/>
      </c>
      <c r="W294" s="267" t="str">
        <f t="shared" si="8"/>
        <v/>
      </c>
      <c r="X294" s="264" t="str">
        <f t="shared" si="7"/>
        <v/>
      </c>
    </row>
    <row r="295" ht="15.75" customHeight="1">
      <c r="A295" s="258"/>
      <c r="B295" s="258"/>
      <c r="C295" s="269"/>
      <c r="D295" s="258"/>
      <c r="E295" s="258"/>
      <c r="F295" s="258"/>
      <c r="G295" s="258"/>
      <c r="H295" s="271"/>
      <c r="I295" s="258"/>
      <c r="J295" s="272"/>
      <c r="K295" s="260"/>
      <c r="L295" s="261"/>
      <c r="M295" s="262" t="str">
        <f t="shared" si="1"/>
        <v/>
      </c>
      <c r="N295" s="263" t="str">
        <f t="shared" si="2"/>
        <v/>
      </c>
      <c r="O295" s="264" t="str">
        <f t="shared" si="3"/>
        <v/>
      </c>
      <c r="P295" s="265" t="str">
        <f>IFERROR(__xludf.DUMMYFUNCTION("IF(ISBLANK(A295),"""",IFERROR(IF(H295=""Sell"",VLOOKUP(9^99,FILTER({ROW(P$2:P294),P$2:P294},D$2:D294=D295),2),(VLOOKUP(9^99,FILTER({ROW(P$2:P294),P$2:P294},D$2:D294=D295),2)*VLOOKUP(9^99,FILTER({ROW(O$2:O294),O$2:O294},D$2:D294=D295),2)-N295)/O295),J295))"),"")</f>
        <v/>
      </c>
      <c r="Q295" s="264" t="str">
        <f>IFERROR(__xludf.DUMMYFUNCTION("IFERROR(IF(F295=""Crypto"",B295,(IF(ISBLANK(D295),"""",IF(D295=""Cash"",B295,IF(GOOGLEFINANCE(D295,""CURRENCY"")=""GBX"",""GBP"",GOOGLEFINANCE(D295,""CURRENCY"")))))),B295)"),"")</f>
        <v/>
      </c>
      <c r="R295" s="263" t="str">
        <f>IFERROR(__xludf.DUMMYFUNCTION("IF(ISBLANK(A295),"""",IFERROR(IF(OR(Q295=""GPB"",Q295=""ZAR""),IF(Q295=Dashboard!$L$1,K295,(K295*GOOGLEFINANCE(""CURRENCY:""&amp;Q295&amp;""""&amp;Dashboard!$L$1&amp;""""))/100),IF(Q295=Dashboard!$L$1,K295,K295*GOOGLEFINANCE(""CURRENCY:""&amp;Q295&amp;""""&amp;Dashboard!$L$1&amp;"""")))"&amp;",K295))"),"")</f>
        <v/>
      </c>
      <c r="S295" s="266" t="str">
        <f>IFERROR(__xludf.DUMMYFUNCTION("IF(ISBLANK(A295),"""",IFERROR(IF(OR(Q295=""GPB"",Q295=""ZAR""),IF(Q295=Dashboard!$L$1,M295,(M295*GOOGLEFINANCE(""CURRENCY:""&amp;Q295&amp;""""&amp;Dashboard!$L$1&amp;""""))/100),IF(Q295=Dashboard!$L$1,M295,M295*GOOGLEFINANCE(""CURRENCY:""&amp;Q295&amp;""""&amp;Dashboard!$L$1&amp;"""")))"&amp;",M295))"),"")</f>
        <v/>
      </c>
      <c r="T295" s="264" t="str">
        <f t="shared" si="4"/>
        <v/>
      </c>
      <c r="U295" s="264" t="str">
        <f t="shared" si="5"/>
        <v/>
      </c>
      <c r="V295" s="264" t="str">
        <f t="shared" si="6"/>
        <v/>
      </c>
      <c r="W295" s="267" t="str">
        <f t="shared" si="8"/>
        <v/>
      </c>
      <c r="X295" s="264" t="str">
        <f t="shared" si="7"/>
        <v/>
      </c>
    </row>
    <row r="296" ht="15.75" customHeight="1">
      <c r="A296" s="258"/>
      <c r="B296" s="258"/>
      <c r="C296" s="269"/>
      <c r="D296" s="258"/>
      <c r="E296" s="258"/>
      <c r="F296" s="258"/>
      <c r="G296" s="258"/>
      <c r="H296" s="271"/>
      <c r="I296" s="258"/>
      <c r="J296" s="272"/>
      <c r="K296" s="260"/>
      <c r="L296" s="261"/>
      <c r="M296" s="262" t="str">
        <f t="shared" si="1"/>
        <v/>
      </c>
      <c r="N296" s="263" t="str">
        <f t="shared" si="2"/>
        <v/>
      </c>
      <c r="O296" s="264" t="str">
        <f t="shared" si="3"/>
        <v/>
      </c>
      <c r="P296" s="265" t="str">
        <f>IFERROR(__xludf.DUMMYFUNCTION("IF(ISBLANK(A296),"""",IFERROR(IF(H296=""Sell"",VLOOKUP(9^99,FILTER({ROW(P$2:P295),P$2:P295},D$2:D295=D296),2),(VLOOKUP(9^99,FILTER({ROW(P$2:P295),P$2:P295},D$2:D295=D296),2)*VLOOKUP(9^99,FILTER({ROW(O$2:O295),O$2:O295},D$2:D295=D296),2)-N296)/O296),J296))"),"")</f>
        <v/>
      </c>
      <c r="Q296" s="264" t="str">
        <f>IFERROR(__xludf.DUMMYFUNCTION("IFERROR(IF(F296=""Crypto"",B296,(IF(ISBLANK(D296),"""",IF(D296=""Cash"",B296,IF(GOOGLEFINANCE(D296,""CURRENCY"")=""GBX"",""GBP"",GOOGLEFINANCE(D296,""CURRENCY"")))))),B296)"),"")</f>
        <v/>
      </c>
      <c r="R296" s="263" t="str">
        <f>IFERROR(__xludf.DUMMYFUNCTION("IF(ISBLANK(A296),"""",IFERROR(IF(OR(Q296=""GPB"",Q296=""ZAR""),IF(Q296=Dashboard!$L$1,K296,(K296*GOOGLEFINANCE(""CURRENCY:""&amp;Q296&amp;""""&amp;Dashboard!$L$1&amp;""""))/100),IF(Q296=Dashboard!$L$1,K296,K296*GOOGLEFINANCE(""CURRENCY:""&amp;Q296&amp;""""&amp;Dashboard!$L$1&amp;"""")))"&amp;",K296))"),"")</f>
        <v/>
      </c>
      <c r="S296" s="266" t="str">
        <f>IFERROR(__xludf.DUMMYFUNCTION("IF(ISBLANK(A296),"""",IFERROR(IF(OR(Q296=""GPB"",Q296=""ZAR""),IF(Q296=Dashboard!$L$1,M296,(M296*GOOGLEFINANCE(""CURRENCY:""&amp;Q296&amp;""""&amp;Dashboard!$L$1&amp;""""))/100),IF(Q296=Dashboard!$L$1,M296,M296*GOOGLEFINANCE(""CURRENCY:""&amp;Q296&amp;""""&amp;Dashboard!$L$1&amp;"""")))"&amp;",M296))"),"")</f>
        <v/>
      </c>
      <c r="T296" s="264" t="str">
        <f t="shared" si="4"/>
        <v/>
      </c>
      <c r="U296" s="264" t="str">
        <f t="shared" si="5"/>
        <v/>
      </c>
      <c r="V296" s="264" t="str">
        <f t="shared" si="6"/>
        <v/>
      </c>
      <c r="W296" s="267" t="str">
        <f t="shared" si="8"/>
        <v/>
      </c>
      <c r="X296" s="264" t="str">
        <f t="shared" si="7"/>
        <v/>
      </c>
    </row>
    <row r="297" ht="15.75" customHeight="1">
      <c r="A297" s="258"/>
      <c r="B297" s="258"/>
      <c r="C297" s="269"/>
      <c r="D297" s="258"/>
      <c r="E297" s="258"/>
      <c r="F297" s="258"/>
      <c r="G297" s="258"/>
      <c r="H297" s="271"/>
      <c r="I297" s="258"/>
      <c r="J297" s="272"/>
      <c r="K297" s="260"/>
      <c r="L297" s="261"/>
      <c r="M297" s="262" t="str">
        <f t="shared" si="1"/>
        <v/>
      </c>
      <c r="N297" s="263" t="str">
        <f t="shared" si="2"/>
        <v/>
      </c>
      <c r="O297" s="264" t="str">
        <f t="shared" si="3"/>
        <v/>
      </c>
      <c r="P297" s="265" t="str">
        <f>IFERROR(__xludf.DUMMYFUNCTION("IF(ISBLANK(A297),"""",IFERROR(IF(H297=""Sell"",VLOOKUP(9^99,FILTER({ROW(P$2:P296),P$2:P296},D$2:D296=D297),2),(VLOOKUP(9^99,FILTER({ROW(P$2:P296),P$2:P296},D$2:D296=D297),2)*VLOOKUP(9^99,FILTER({ROW(O$2:O296),O$2:O296},D$2:D296=D297),2)-N297)/O297),J297))"),"")</f>
        <v/>
      </c>
      <c r="Q297" s="264" t="str">
        <f>IFERROR(__xludf.DUMMYFUNCTION("IFERROR(IF(F297=""Crypto"",B297,(IF(ISBLANK(D297),"""",IF(D297=""Cash"",B297,IF(GOOGLEFINANCE(D297,""CURRENCY"")=""GBX"",""GBP"",GOOGLEFINANCE(D297,""CURRENCY"")))))),B297)"),"")</f>
        <v/>
      </c>
      <c r="R297" s="263" t="str">
        <f>IFERROR(__xludf.DUMMYFUNCTION("IF(ISBLANK(A297),"""",IFERROR(IF(OR(Q297=""GPB"",Q297=""ZAR""),IF(Q297=Dashboard!$L$1,K297,(K297*GOOGLEFINANCE(""CURRENCY:""&amp;Q297&amp;""""&amp;Dashboard!$L$1&amp;""""))/100),IF(Q297=Dashboard!$L$1,K297,K297*GOOGLEFINANCE(""CURRENCY:""&amp;Q297&amp;""""&amp;Dashboard!$L$1&amp;"""")))"&amp;",K297))"),"")</f>
        <v/>
      </c>
      <c r="S297" s="266" t="str">
        <f>IFERROR(__xludf.DUMMYFUNCTION("IF(ISBLANK(A297),"""",IFERROR(IF(OR(Q297=""GPB"",Q297=""ZAR""),IF(Q297=Dashboard!$L$1,M297,(M297*GOOGLEFINANCE(""CURRENCY:""&amp;Q297&amp;""""&amp;Dashboard!$L$1&amp;""""))/100),IF(Q297=Dashboard!$L$1,M297,M297*GOOGLEFINANCE(""CURRENCY:""&amp;Q297&amp;""""&amp;Dashboard!$L$1&amp;"""")))"&amp;",M297))"),"")</f>
        <v/>
      </c>
      <c r="T297" s="264" t="str">
        <f t="shared" si="4"/>
        <v/>
      </c>
      <c r="U297" s="264" t="str">
        <f t="shared" si="5"/>
        <v/>
      </c>
      <c r="V297" s="264" t="str">
        <f t="shared" si="6"/>
        <v/>
      </c>
      <c r="W297" s="267" t="str">
        <f t="shared" si="8"/>
        <v/>
      </c>
      <c r="X297" s="264" t="str">
        <f t="shared" si="7"/>
        <v/>
      </c>
    </row>
    <row r="298" ht="15.75" customHeight="1">
      <c r="A298" s="258"/>
      <c r="B298" s="258"/>
      <c r="C298" s="269"/>
      <c r="D298" s="258"/>
      <c r="E298" s="258"/>
      <c r="F298" s="258"/>
      <c r="G298" s="258"/>
      <c r="H298" s="271"/>
      <c r="I298" s="258"/>
      <c r="J298" s="272"/>
      <c r="K298" s="260"/>
      <c r="L298" s="261"/>
      <c r="M298" s="262" t="str">
        <f t="shared" si="1"/>
        <v/>
      </c>
      <c r="N298" s="263" t="str">
        <f t="shared" si="2"/>
        <v/>
      </c>
      <c r="O298" s="264" t="str">
        <f t="shared" si="3"/>
        <v/>
      </c>
      <c r="P298" s="265" t="str">
        <f>IFERROR(__xludf.DUMMYFUNCTION("IF(ISBLANK(A298),"""",IFERROR(IF(H298=""Sell"",VLOOKUP(9^99,FILTER({ROW(P$2:P297),P$2:P297},D$2:D297=D298),2),(VLOOKUP(9^99,FILTER({ROW(P$2:P297),P$2:P297},D$2:D297=D298),2)*VLOOKUP(9^99,FILTER({ROW(O$2:O297),O$2:O297},D$2:D297=D298),2)-N298)/O298),J298))"),"")</f>
        <v/>
      </c>
      <c r="Q298" s="264" t="str">
        <f>IFERROR(__xludf.DUMMYFUNCTION("IFERROR(IF(F298=""Crypto"",B298,(IF(ISBLANK(D298),"""",IF(D298=""Cash"",B298,IF(GOOGLEFINANCE(D298,""CURRENCY"")=""GBX"",""GBP"",GOOGLEFINANCE(D298,""CURRENCY"")))))),B298)"),"")</f>
        <v/>
      </c>
      <c r="R298" s="263" t="str">
        <f>IFERROR(__xludf.DUMMYFUNCTION("IF(ISBLANK(A298),"""",IFERROR(IF(OR(Q298=""GPB"",Q298=""ZAR""),IF(Q298=Dashboard!$L$1,K298,(K298*GOOGLEFINANCE(""CURRENCY:""&amp;Q298&amp;""""&amp;Dashboard!$L$1&amp;""""))/100),IF(Q298=Dashboard!$L$1,K298,K298*GOOGLEFINANCE(""CURRENCY:""&amp;Q298&amp;""""&amp;Dashboard!$L$1&amp;"""")))"&amp;",K298))"),"")</f>
        <v/>
      </c>
      <c r="S298" s="266" t="str">
        <f>IFERROR(__xludf.DUMMYFUNCTION("IF(ISBLANK(A298),"""",IFERROR(IF(OR(Q298=""GPB"",Q298=""ZAR""),IF(Q298=Dashboard!$L$1,M298,(M298*GOOGLEFINANCE(""CURRENCY:""&amp;Q298&amp;""""&amp;Dashboard!$L$1&amp;""""))/100),IF(Q298=Dashboard!$L$1,M298,M298*GOOGLEFINANCE(""CURRENCY:""&amp;Q298&amp;""""&amp;Dashboard!$L$1&amp;"""")))"&amp;",M298))"),"")</f>
        <v/>
      </c>
      <c r="T298" s="264" t="str">
        <f t="shared" si="4"/>
        <v/>
      </c>
      <c r="U298" s="264" t="str">
        <f t="shared" si="5"/>
        <v/>
      </c>
      <c r="V298" s="264" t="str">
        <f t="shared" si="6"/>
        <v/>
      </c>
      <c r="W298" s="267" t="str">
        <f t="shared" si="8"/>
        <v/>
      </c>
      <c r="X298" s="264" t="str">
        <f t="shared" si="7"/>
        <v/>
      </c>
    </row>
    <row r="299" ht="15.75" customHeight="1">
      <c r="A299" s="258"/>
      <c r="B299" s="258"/>
      <c r="C299" s="269"/>
      <c r="D299" s="258"/>
      <c r="E299" s="258"/>
      <c r="F299" s="258"/>
      <c r="G299" s="258"/>
      <c r="H299" s="271"/>
      <c r="I299" s="258"/>
      <c r="J299" s="272"/>
      <c r="K299" s="260"/>
      <c r="L299" s="261"/>
      <c r="M299" s="262" t="str">
        <f t="shared" si="1"/>
        <v/>
      </c>
      <c r="N299" s="263" t="str">
        <f t="shared" si="2"/>
        <v/>
      </c>
      <c r="O299" s="264" t="str">
        <f t="shared" si="3"/>
        <v/>
      </c>
      <c r="P299" s="265" t="str">
        <f>IFERROR(__xludf.DUMMYFUNCTION("IF(ISBLANK(A299),"""",IFERROR(IF(H299=""Sell"",VLOOKUP(9^99,FILTER({ROW(P$2:P298),P$2:P298},D$2:D298=D299),2),(VLOOKUP(9^99,FILTER({ROW(P$2:P298),P$2:P298},D$2:D298=D299),2)*VLOOKUP(9^99,FILTER({ROW(O$2:O298),O$2:O298},D$2:D298=D299),2)-N299)/O299),J299))"),"")</f>
        <v/>
      </c>
      <c r="Q299" s="264" t="str">
        <f>IFERROR(__xludf.DUMMYFUNCTION("IFERROR(IF(F299=""Crypto"",B299,(IF(ISBLANK(D299),"""",IF(D299=""Cash"",B299,IF(GOOGLEFINANCE(D299,""CURRENCY"")=""GBX"",""GBP"",GOOGLEFINANCE(D299,""CURRENCY"")))))),B299)"),"")</f>
        <v/>
      </c>
      <c r="R299" s="263" t="str">
        <f>IFERROR(__xludf.DUMMYFUNCTION("IF(ISBLANK(A299),"""",IFERROR(IF(OR(Q299=""GPB"",Q299=""ZAR""),IF(Q299=Dashboard!$L$1,K299,(K299*GOOGLEFINANCE(""CURRENCY:""&amp;Q299&amp;""""&amp;Dashboard!$L$1&amp;""""))/100),IF(Q299=Dashboard!$L$1,K299,K299*GOOGLEFINANCE(""CURRENCY:""&amp;Q299&amp;""""&amp;Dashboard!$L$1&amp;"""")))"&amp;",K299))"),"")</f>
        <v/>
      </c>
      <c r="S299" s="266" t="str">
        <f>IFERROR(__xludf.DUMMYFUNCTION("IF(ISBLANK(A299),"""",IFERROR(IF(OR(Q299=""GPB"",Q299=""ZAR""),IF(Q299=Dashboard!$L$1,M299,(M299*GOOGLEFINANCE(""CURRENCY:""&amp;Q299&amp;""""&amp;Dashboard!$L$1&amp;""""))/100),IF(Q299=Dashboard!$L$1,M299,M299*GOOGLEFINANCE(""CURRENCY:""&amp;Q299&amp;""""&amp;Dashboard!$L$1&amp;"""")))"&amp;",M299))"),"")</f>
        <v/>
      </c>
      <c r="T299" s="264" t="str">
        <f t="shared" si="4"/>
        <v/>
      </c>
      <c r="U299" s="264" t="str">
        <f t="shared" si="5"/>
        <v/>
      </c>
      <c r="V299" s="264" t="str">
        <f t="shared" si="6"/>
        <v/>
      </c>
      <c r="W299" s="267" t="str">
        <f t="shared" si="8"/>
        <v/>
      </c>
      <c r="X299" s="264" t="str">
        <f t="shared" si="7"/>
        <v/>
      </c>
    </row>
    <row r="300" ht="15.75" customHeight="1">
      <c r="A300" s="258"/>
      <c r="B300" s="258"/>
      <c r="C300" s="269"/>
      <c r="D300" s="258"/>
      <c r="E300" s="258"/>
      <c r="F300" s="258"/>
      <c r="G300" s="258"/>
      <c r="H300" s="271"/>
      <c r="I300" s="258"/>
      <c r="J300" s="272"/>
      <c r="K300" s="260"/>
      <c r="L300" s="261"/>
      <c r="M300" s="262" t="str">
        <f t="shared" si="1"/>
        <v/>
      </c>
      <c r="N300" s="263" t="str">
        <f t="shared" si="2"/>
        <v/>
      </c>
      <c r="O300" s="264" t="str">
        <f t="shared" si="3"/>
        <v/>
      </c>
      <c r="P300" s="265" t="str">
        <f>IFERROR(__xludf.DUMMYFUNCTION("IF(ISBLANK(A300),"""",IFERROR(IF(H300=""Sell"",VLOOKUP(9^99,FILTER({ROW(P$2:P299),P$2:P299},D$2:D299=D300),2),(VLOOKUP(9^99,FILTER({ROW(P$2:P299),P$2:P299},D$2:D299=D300),2)*VLOOKUP(9^99,FILTER({ROW(O$2:O299),O$2:O299},D$2:D299=D300),2)-N300)/O300),J300))"),"")</f>
        <v/>
      </c>
      <c r="Q300" s="264" t="str">
        <f>IFERROR(__xludf.DUMMYFUNCTION("IFERROR(IF(F300=""Crypto"",B300,(IF(ISBLANK(D300),"""",IF(D300=""Cash"",B300,IF(GOOGLEFINANCE(D300,""CURRENCY"")=""GBX"",""GBP"",GOOGLEFINANCE(D300,""CURRENCY"")))))),B300)"),"")</f>
        <v/>
      </c>
      <c r="R300" s="263" t="str">
        <f>IFERROR(__xludf.DUMMYFUNCTION("IF(ISBLANK(A300),"""",IFERROR(IF(OR(Q300=""GPB"",Q300=""ZAR""),IF(Q300=Dashboard!$L$1,K300,(K300*GOOGLEFINANCE(""CURRENCY:""&amp;Q300&amp;""""&amp;Dashboard!$L$1&amp;""""))/100),IF(Q300=Dashboard!$L$1,K300,K300*GOOGLEFINANCE(""CURRENCY:""&amp;Q300&amp;""""&amp;Dashboard!$L$1&amp;"""")))"&amp;",K300))"),"")</f>
        <v/>
      </c>
      <c r="S300" s="266" t="str">
        <f>IFERROR(__xludf.DUMMYFUNCTION("IF(ISBLANK(A300),"""",IFERROR(IF(OR(Q300=""GPB"",Q300=""ZAR""),IF(Q300=Dashboard!$L$1,M300,(M300*GOOGLEFINANCE(""CURRENCY:""&amp;Q300&amp;""""&amp;Dashboard!$L$1&amp;""""))/100),IF(Q300=Dashboard!$L$1,M300,M300*GOOGLEFINANCE(""CURRENCY:""&amp;Q300&amp;""""&amp;Dashboard!$L$1&amp;"""")))"&amp;",M300))"),"")</f>
        <v/>
      </c>
      <c r="T300" s="264" t="str">
        <f t="shared" si="4"/>
        <v/>
      </c>
      <c r="U300" s="264" t="str">
        <f t="shared" si="5"/>
        <v/>
      </c>
      <c r="V300" s="264" t="str">
        <f t="shared" si="6"/>
        <v/>
      </c>
      <c r="W300" s="267" t="str">
        <f t="shared" si="8"/>
        <v/>
      </c>
      <c r="X300" s="264" t="str">
        <f t="shared" si="7"/>
        <v/>
      </c>
    </row>
    <row r="301" ht="15.75" customHeight="1">
      <c r="A301" s="258"/>
      <c r="B301" s="258"/>
      <c r="C301" s="269"/>
      <c r="D301" s="258"/>
      <c r="E301" s="258"/>
      <c r="F301" s="258"/>
      <c r="G301" s="258"/>
      <c r="H301" s="271"/>
      <c r="I301" s="258"/>
      <c r="J301" s="272"/>
      <c r="K301" s="260"/>
      <c r="L301" s="261"/>
      <c r="M301" s="262" t="str">
        <f t="shared" si="1"/>
        <v/>
      </c>
      <c r="N301" s="263" t="str">
        <f t="shared" si="2"/>
        <v/>
      </c>
      <c r="O301" s="264" t="str">
        <f t="shared" si="3"/>
        <v/>
      </c>
      <c r="P301" s="265" t="str">
        <f>IFERROR(__xludf.DUMMYFUNCTION("IF(ISBLANK(A301),"""",IFERROR(IF(H301=""Sell"",VLOOKUP(9^99,FILTER({ROW(P$2:P300),P$2:P300},D$2:D300=D301),2),(VLOOKUP(9^99,FILTER({ROW(P$2:P300),P$2:P300},D$2:D300=D301),2)*VLOOKUP(9^99,FILTER({ROW(O$2:O300),O$2:O300},D$2:D300=D301),2)-N301)/O301),J301))"),"")</f>
        <v/>
      </c>
      <c r="Q301" s="264" t="str">
        <f>IFERROR(__xludf.DUMMYFUNCTION("IFERROR(IF(F301=""Crypto"",B301,(IF(ISBLANK(D301),"""",IF(D301=""Cash"",B301,IF(GOOGLEFINANCE(D301,""CURRENCY"")=""GBX"",""GBP"",GOOGLEFINANCE(D301,""CURRENCY"")))))),B301)"),"")</f>
        <v/>
      </c>
      <c r="R301" s="263" t="str">
        <f>IFERROR(__xludf.DUMMYFUNCTION("IF(ISBLANK(A301),"""",IFERROR(IF(OR(Q301=""GPB"",Q301=""ZAR""),IF(Q301=Dashboard!$L$1,K301,(K301*GOOGLEFINANCE(""CURRENCY:""&amp;Q301&amp;""""&amp;Dashboard!$L$1&amp;""""))/100),IF(Q301=Dashboard!$L$1,K301,K301*GOOGLEFINANCE(""CURRENCY:""&amp;Q301&amp;""""&amp;Dashboard!$L$1&amp;"""")))"&amp;",K301))"),"")</f>
        <v/>
      </c>
      <c r="S301" s="266" t="str">
        <f>IFERROR(__xludf.DUMMYFUNCTION("IF(ISBLANK(A301),"""",IFERROR(IF(OR(Q301=""GPB"",Q301=""ZAR""),IF(Q301=Dashboard!$L$1,M301,(M301*GOOGLEFINANCE(""CURRENCY:""&amp;Q301&amp;""""&amp;Dashboard!$L$1&amp;""""))/100),IF(Q301=Dashboard!$L$1,M301,M301*GOOGLEFINANCE(""CURRENCY:""&amp;Q301&amp;""""&amp;Dashboard!$L$1&amp;"""")))"&amp;",M301))"),"")</f>
        <v/>
      </c>
      <c r="T301" s="264" t="str">
        <f t="shared" si="4"/>
        <v/>
      </c>
      <c r="U301" s="264" t="str">
        <f t="shared" si="5"/>
        <v/>
      </c>
      <c r="V301" s="264" t="str">
        <f t="shared" si="6"/>
        <v/>
      </c>
      <c r="W301" s="267" t="str">
        <f t="shared" si="8"/>
        <v/>
      </c>
      <c r="X301" s="264" t="str">
        <f t="shared" si="7"/>
        <v/>
      </c>
    </row>
    <row r="302" ht="15.75" customHeight="1">
      <c r="A302" s="258"/>
      <c r="B302" s="258"/>
      <c r="C302" s="269"/>
      <c r="D302" s="258"/>
      <c r="E302" s="258"/>
      <c r="F302" s="258"/>
      <c r="G302" s="258"/>
      <c r="H302" s="271"/>
      <c r="I302" s="258"/>
      <c r="J302" s="272"/>
      <c r="K302" s="260"/>
      <c r="L302" s="261"/>
      <c r="M302" s="262" t="str">
        <f t="shared" si="1"/>
        <v/>
      </c>
      <c r="N302" s="263" t="str">
        <f t="shared" si="2"/>
        <v/>
      </c>
      <c r="O302" s="264" t="str">
        <f t="shared" si="3"/>
        <v/>
      </c>
      <c r="P302" s="265" t="str">
        <f>IFERROR(__xludf.DUMMYFUNCTION("IF(ISBLANK(A302),"""",IFERROR(IF(H302=""Sell"",VLOOKUP(9^99,FILTER({ROW(P$2:P301),P$2:P301},D$2:D301=D302),2),(VLOOKUP(9^99,FILTER({ROW(P$2:P301),P$2:P301},D$2:D301=D302),2)*VLOOKUP(9^99,FILTER({ROW(O$2:O301),O$2:O301},D$2:D301=D302),2)-N302)/O302),J302))"),"")</f>
        <v/>
      </c>
      <c r="Q302" s="264" t="str">
        <f>IFERROR(__xludf.DUMMYFUNCTION("IFERROR(IF(F302=""Crypto"",B302,(IF(ISBLANK(D302),"""",IF(D302=""Cash"",B302,IF(GOOGLEFINANCE(D302,""CURRENCY"")=""GBX"",""GBP"",GOOGLEFINANCE(D302,""CURRENCY"")))))),B302)"),"")</f>
        <v/>
      </c>
      <c r="R302" s="263" t="str">
        <f>IFERROR(__xludf.DUMMYFUNCTION("IF(ISBLANK(A302),"""",IFERROR(IF(OR(Q302=""GPB"",Q302=""ZAR""),IF(Q302=Dashboard!$L$1,K302,(K302*GOOGLEFINANCE(""CURRENCY:""&amp;Q302&amp;""""&amp;Dashboard!$L$1&amp;""""))/100),IF(Q302=Dashboard!$L$1,K302,K302*GOOGLEFINANCE(""CURRENCY:""&amp;Q302&amp;""""&amp;Dashboard!$L$1&amp;"""")))"&amp;",K302))"),"")</f>
        <v/>
      </c>
      <c r="S302" s="266" t="str">
        <f>IFERROR(__xludf.DUMMYFUNCTION("IF(ISBLANK(A302),"""",IFERROR(IF(OR(Q302=""GPB"",Q302=""ZAR""),IF(Q302=Dashboard!$L$1,M302,(M302*GOOGLEFINANCE(""CURRENCY:""&amp;Q302&amp;""""&amp;Dashboard!$L$1&amp;""""))/100),IF(Q302=Dashboard!$L$1,M302,M302*GOOGLEFINANCE(""CURRENCY:""&amp;Q302&amp;""""&amp;Dashboard!$L$1&amp;"""")))"&amp;",M302))"),"")</f>
        <v/>
      </c>
      <c r="T302" s="264" t="str">
        <f t="shared" si="4"/>
        <v/>
      </c>
      <c r="U302" s="264" t="str">
        <f t="shared" si="5"/>
        <v/>
      </c>
      <c r="V302" s="264" t="str">
        <f t="shared" si="6"/>
        <v/>
      </c>
      <c r="W302" s="267" t="str">
        <f t="shared" si="8"/>
        <v/>
      </c>
      <c r="X302" s="264" t="str">
        <f t="shared" si="7"/>
        <v/>
      </c>
    </row>
    <row r="303" ht="15.75" customHeight="1">
      <c r="A303" s="258"/>
      <c r="B303" s="258"/>
      <c r="C303" s="269"/>
      <c r="D303" s="258"/>
      <c r="E303" s="258"/>
      <c r="F303" s="258"/>
      <c r="G303" s="258"/>
      <c r="H303" s="271"/>
      <c r="I303" s="258"/>
      <c r="J303" s="272"/>
      <c r="K303" s="260"/>
      <c r="L303" s="261"/>
      <c r="M303" s="262" t="str">
        <f t="shared" si="1"/>
        <v/>
      </c>
      <c r="N303" s="263" t="str">
        <f t="shared" si="2"/>
        <v/>
      </c>
      <c r="O303" s="264" t="str">
        <f t="shared" si="3"/>
        <v/>
      </c>
      <c r="P303" s="265" t="str">
        <f>IFERROR(__xludf.DUMMYFUNCTION("IF(ISBLANK(A303),"""",IFERROR(IF(H303=""Sell"",VLOOKUP(9^99,FILTER({ROW(P$2:P302),P$2:P302},D$2:D302=D303),2),(VLOOKUP(9^99,FILTER({ROW(P$2:P302),P$2:P302},D$2:D302=D303),2)*VLOOKUP(9^99,FILTER({ROW(O$2:O302),O$2:O302},D$2:D302=D303),2)-N303)/O303),J303))"),"")</f>
        <v/>
      </c>
      <c r="Q303" s="264" t="str">
        <f>IFERROR(__xludf.DUMMYFUNCTION("IFERROR(IF(F303=""Crypto"",B303,(IF(ISBLANK(D303),"""",IF(D303=""Cash"",B303,IF(GOOGLEFINANCE(D303,""CURRENCY"")=""GBX"",""GBP"",GOOGLEFINANCE(D303,""CURRENCY"")))))),B303)"),"")</f>
        <v/>
      </c>
      <c r="R303" s="263" t="str">
        <f>IFERROR(__xludf.DUMMYFUNCTION("IF(ISBLANK(A303),"""",IFERROR(IF(OR(Q303=""GPB"",Q303=""ZAR""),IF(Q303=Dashboard!$L$1,K303,(K303*GOOGLEFINANCE(""CURRENCY:""&amp;Q303&amp;""""&amp;Dashboard!$L$1&amp;""""))/100),IF(Q303=Dashboard!$L$1,K303,K303*GOOGLEFINANCE(""CURRENCY:""&amp;Q303&amp;""""&amp;Dashboard!$L$1&amp;"""")))"&amp;",K303))"),"")</f>
        <v/>
      </c>
      <c r="S303" s="266" t="str">
        <f>IFERROR(__xludf.DUMMYFUNCTION("IF(ISBLANK(A303),"""",IFERROR(IF(OR(Q303=""GPB"",Q303=""ZAR""),IF(Q303=Dashboard!$L$1,M303,(M303*GOOGLEFINANCE(""CURRENCY:""&amp;Q303&amp;""""&amp;Dashboard!$L$1&amp;""""))/100),IF(Q303=Dashboard!$L$1,M303,M303*GOOGLEFINANCE(""CURRENCY:""&amp;Q303&amp;""""&amp;Dashboard!$L$1&amp;"""")))"&amp;",M303))"),"")</f>
        <v/>
      </c>
      <c r="T303" s="264" t="str">
        <f t="shared" si="4"/>
        <v/>
      </c>
      <c r="U303" s="264" t="str">
        <f t="shared" si="5"/>
        <v/>
      </c>
      <c r="V303" s="264" t="str">
        <f t="shared" si="6"/>
        <v/>
      </c>
      <c r="W303" s="267" t="str">
        <f t="shared" si="8"/>
        <v/>
      </c>
      <c r="X303" s="264" t="str">
        <f t="shared" si="7"/>
        <v/>
      </c>
    </row>
    <row r="304" ht="15.75" customHeight="1">
      <c r="A304" s="258"/>
      <c r="B304" s="258"/>
      <c r="C304" s="269"/>
      <c r="D304" s="258"/>
      <c r="E304" s="258"/>
      <c r="F304" s="258"/>
      <c r="G304" s="258"/>
      <c r="H304" s="271"/>
      <c r="I304" s="258"/>
      <c r="J304" s="272"/>
      <c r="K304" s="260"/>
      <c r="L304" s="261"/>
      <c r="M304" s="262" t="str">
        <f t="shared" si="1"/>
        <v/>
      </c>
      <c r="N304" s="263" t="str">
        <f t="shared" si="2"/>
        <v/>
      </c>
      <c r="O304" s="264" t="str">
        <f t="shared" si="3"/>
        <v/>
      </c>
      <c r="P304" s="265" t="str">
        <f>IFERROR(__xludf.DUMMYFUNCTION("IF(ISBLANK(A304),"""",IFERROR(IF(H304=""Sell"",VLOOKUP(9^99,FILTER({ROW(P$2:P303),P$2:P303},D$2:D303=D304),2),(VLOOKUP(9^99,FILTER({ROW(P$2:P303),P$2:P303},D$2:D303=D304),2)*VLOOKUP(9^99,FILTER({ROW(O$2:O303),O$2:O303},D$2:D303=D304),2)-N304)/O304),J304))"),"")</f>
        <v/>
      </c>
      <c r="Q304" s="264" t="str">
        <f>IFERROR(__xludf.DUMMYFUNCTION("IFERROR(IF(F304=""Crypto"",B304,(IF(ISBLANK(D304),"""",IF(D304=""Cash"",B304,IF(GOOGLEFINANCE(D304,""CURRENCY"")=""GBX"",""GBP"",GOOGLEFINANCE(D304,""CURRENCY"")))))),B304)"),"")</f>
        <v/>
      </c>
      <c r="R304" s="263" t="str">
        <f>IFERROR(__xludf.DUMMYFUNCTION("IF(ISBLANK(A304),"""",IFERROR(IF(OR(Q304=""GPB"",Q304=""ZAR""),IF(Q304=Dashboard!$L$1,K304,(K304*GOOGLEFINANCE(""CURRENCY:""&amp;Q304&amp;""""&amp;Dashboard!$L$1&amp;""""))/100),IF(Q304=Dashboard!$L$1,K304,K304*GOOGLEFINANCE(""CURRENCY:""&amp;Q304&amp;""""&amp;Dashboard!$L$1&amp;"""")))"&amp;",K304))"),"")</f>
        <v/>
      </c>
      <c r="S304" s="266" t="str">
        <f>IFERROR(__xludf.DUMMYFUNCTION("IF(ISBLANK(A304),"""",IFERROR(IF(OR(Q304=""GPB"",Q304=""ZAR""),IF(Q304=Dashboard!$L$1,M304,(M304*GOOGLEFINANCE(""CURRENCY:""&amp;Q304&amp;""""&amp;Dashboard!$L$1&amp;""""))/100),IF(Q304=Dashboard!$L$1,M304,M304*GOOGLEFINANCE(""CURRENCY:""&amp;Q304&amp;""""&amp;Dashboard!$L$1&amp;"""")))"&amp;",M304))"),"")</f>
        <v/>
      </c>
      <c r="T304" s="264" t="str">
        <f t="shared" si="4"/>
        <v/>
      </c>
      <c r="U304" s="264" t="str">
        <f t="shared" si="5"/>
        <v/>
      </c>
      <c r="V304" s="264" t="str">
        <f t="shared" si="6"/>
        <v/>
      </c>
      <c r="W304" s="267" t="str">
        <f t="shared" si="8"/>
        <v/>
      </c>
      <c r="X304" s="264" t="str">
        <f t="shared" si="7"/>
        <v/>
      </c>
    </row>
    <row r="305" ht="15.75" customHeight="1">
      <c r="A305" s="258"/>
      <c r="B305" s="258"/>
      <c r="C305" s="269"/>
      <c r="D305" s="258"/>
      <c r="E305" s="258"/>
      <c r="F305" s="258"/>
      <c r="G305" s="258"/>
      <c r="H305" s="271"/>
      <c r="I305" s="258"/>
      <c r="J305" s="272"/>
      <c r="K305" s="260"/>
      <c r="L305" s="261"/>
      <c r="M305" s="262" t="str">
        <f t="shared" si="1"/>
        <v/>
      </c>
      <c r="N305" s="263" t="str">
        <f t="shared" si="2"/>
        <v/>
      </c>
      <c r="O305" s="264" t="str">
        <f t="shared" si="3"/>
        <v/>
      </c>
      <c r="P305" s="265" t="str">
        <f>IFERROR(__xludf.DUMMYFUNCTION("IF(ISBLANK(A305),"""",IFERROR(IF(H305=""Sell"",VLOOKUP(9^99,FILTER({ROW(P$2:P304),P$2:P304},D$2:D304=D305),2),(VLOOKUP(9^99,FILTER({ROW(P$2:P304),P$2:P304},D$2:D304=D305),2)*VLOOKUP(9^99,FILTER({ROW(O$2:O304),O$2:O304},D$2:D304=D305),2)-N305)/O305),J305))"),"")</f>
        <v/>
      </c>
      <c r="Q305" s="264" t="str">
        <f>IFERROR(__xludf.DUMMYFUNCTION("IFERROR(IF(F305=""Crypto"",B305,(IF(ISBLANK(D305),"""",IF(D305=""Cash"",B305,IF(GOOGLEFINANCE(D305,""CURRENCY"")=""GBX"",""GBP"",GOOGLEFINANCE(D305,""CURRENCY"")))))),B305)"),"")</f>
        <v/>
      </c>
      <c r="R305" s="263" t="str">
        <f>IFERROR(__xludf.DUMMYFUNCTION("IF(ISBLANK(A305),"""",IFERROR(IF(OR(Q305=""GPB"",Q305=""ZAR""),IF(Q305=Dashboard!$L$1,K305,(K305*GOOGLEFINANCE(""CURRENCY:""&amp;Q305&amp;""""&amp;Dashboard!$L$1&amp;""""))/100),IF(Q305=Dashboard!$L$1,K305,K305*GOOGLEFINANCE(""CURRENCY:""&amp;Q305&amp;""""&amp;Dashboard!$L$1&amp;"""")))"&amp;",K305))"),"")</f>
        <v/>
      </c>
      <c r="S305" s="266" t="str">
        <f>IFERROR(__xludf.DUMMYFUNCTION("IF(ISBLANK(A305),"""",IFERROR(IF(OR(Q305=""GPB"",Q305=""ZAR""),IF(Q305=Dashboard!$L$1,M305,(M305*GOOGLEFINANCE(""CURRENCY:""&amp;Q305&amp;""""&amp;Dashboard!$L$1&amp;""""))/100),IF(Q305=Dashboard!$L$1,M305,M305*GOOGLEFINANCE(""CURRENCY:""&amp;Q305&amp;""""&amp;Dashboard!$L$1&amp;"""")))"&amp;",M305))"),"")</f>
        <v/>
      </c>
      <c r="T305" s="264" t="str">
        <f t="shared" si="4"/>
        <v/>
      </c>
      <c r="U305" s="264" t="str">
        <f t="shared" si="5"/>
        <v/>
      </c>
      <c r="V305" s="264" t="str">
        <f t="shared" si="6"/>
        <v/>
      </c>
      <c r="W305" s="267" t="str">
        <f t="shared" si="8"/>
        <v/>
      </c>
      <c r="X305" s="264" t="str">
        <f t="shared" si="7"/>
        <v/>
      </c>
    </row>
    <row r="306" ht="15.75" customHeight="1">
      <c r="A306" s="258"/>
      <c r="B306" s="258"/>
      <c r="C306" s="269"/>
      <c r="D306" s="258"/>
      <c r="E306" s="258"/>
      <c r="F306" s="258"/>
      <c r="G306" s="258"/>
      <c r="H306" s="271"/>
      <c r="I306" s="258"/>
      <c r="J306" s="272"/>
      <c r="K306" s="260"/>
      <c r="L306" s="261"/>
      <c r="M306" s="262" t="str">
        <f t="shared" si="1"/>
        <v/>
      </c>
      <c r="N306" s="263" t="str">
        <f t="shared" si="2"/>
        <v/>
      </c>
      <c r="O306" s="264" t="str">
        <f t="shared" si="3"/>
        <v/>
      </c>
      <c r="P306" s="265" t="str">
        <f>IFERROR(__xludf.DUMMYFUNCTION("IF(ISBLANK(A306),"""",IFERROR(IF(H306=""Sell"",VLOOKUP(9^99,FILTER({ROW(P$2:P305),P$2:P305},D$2:D305=D306),2),(VLOOKUP(9^99,FILTER({ROW(P$2:P305),P$2:P305},D$2:D305=D306),2)*VLOOKUP(9^99,FILTER({ROW(O$2:O305),O$2:O305},D$2:D305=D306),2)-N306)/O306),J306))"),"")</f>
        <v/>
      </c>
      <c r="Q306" s="264" t="str">
        <f>IFERROR(__xludf.DUMMYFUNCTION("IFERROR(IF(F306=""Crypto"",B306,(IF(ISBLANK(D306),"""",IF(D306=""Cash"",B306,IF(GOOGLEFINANCE(D306,""CURRENCY"")=""GBX"",""GBP"",GOOGLEFINANCE(D306,""CURRENCY"")))))),B306)"),"")</f>
        <v/>
      </c>
      <c r="R306" s="263" t="str">
        <f>IFERROR(__xludf.DUMMYFUNCTION("IF(ISBLANK(A306),"""",IFERROR(IF(OR(Q306=""GPB"",Q306=""ZAR""),IF(Q306=Dashboard!$L$1,K306,(K306*GOOGLEFINANCE(""CURRENCY:""&amp;Q306&amp;""""&amp;Dashboard!$L$1&amp;""""))/100),IF(Q306=Dashboard!$L$1,K306,K306*GOOGLEFINANCE(""CURRENCY:""&amp;Q306&amp;""""&amp;Dashboard!$L$1&amp;"""")))"&amp;",K306))"),"")</f>
        <v/>
      </c>
      <c r="S306" s="266" t="str">
        <f>IFERROR(__xludf.DUMMYFUNCTION("IF(ISBLANK(A306),"""",IFERROR(IF(OR(Q306=""GPB"",Q306=""ZAR""),IF(Q306=Dashboard!$L$1,M306,(M306*GOOGLEFINANCE(""CURRENCY:""&amp;Q306&amp;""""&amp;Dashboard!$L$1&amp;""""))/100),IF(Q306=Dashboard!$L$1,M306,M306*GOOGLEFINANCE(""CURRENCY:""&amp;Q306&amp;""""&amp;Dashboard!$L$1&amp;"""")))"&amp;",M306))"),"")</f>
        <v/>
      </c>
      <c r="T306" s="264" t="str">
        <f t="shared" si="4"/>
        <v/>
      </c>
      <c r="U306" s="264" t="str">
        <f t="shared" si="5"/>
        <v/>
      </c>
      <c r="V306" s="264" t="str">
        <f t="shared" si="6"/>
        <v/>
      </c>
      <c r="W306" s="267" t="str">
        <f t="shared" si="8"/>
        <v/>
      </c>
      <c r="X306" s="264" t="str">
        <f t="shared" si="7"/>
        <v/>
      </c>
    </row>
    <row r="307" ht="15.75" customHeight="1">
      <c r="A307" s="258"/>
      <c r="B307" s="258"/>
      <c r="C307" s="269"/>
      <c r="D307" s="258"/>
      <c r="E307" s="258"/>
      <c r="F307" s="258"/>
      <c r="G307" s="258"/>
      <c r="H307" s="271"/>
      <c r="I307" s="258"/>
      <c r="J307" s="272"/>
      <c r="K307" s="260"/>
      <c r="L307" s="261"/>
      <c r="M307" s="262" t="str">
        <f t="shared" si="1"/>
        <v/>
      </c>
      <c r="N307" s="263" t="str">
        <f t="shared" si="2"/>
        <v/>
      </c>
      <c r="O307" s="264" t="str">
        <f t="shared" si="3"/>
        <v/>
      </c>
      <c r="P307" s="265" t="str">
        <f>IFERROR(__xludf.DUMMYFUNCTION("IF(ISBLANK(A307),"""",IFERROR(IF(H307=""Sell"",VLOOKUP(9^99,FILTER({ROW(P$2:P306),P$2:P306},D$2:D306=D307),2),(VLOOKUP(9^99,FILTER({ROW(P$2:P306),P$2:P306},D$2:D306=D307),2)*VLOOKUP(9^99,FILTER({ROW(O$2:O306),O$2:O306},D$2:D306=D307),2)-N307)/O307),J307))"),"")</f>
        <v/>
      </c>
      <c r="Q307" s="264" t="str">
        <f>IFERROR(__xludf.DUMMYFUNCTION("IFERROR(IF(F307=""Crypto"",B307,(IF(ISBLANK(D307),"""",IF(D307=""Cash"",B307,IF(GOOGLEFINANCE(D307,""CURRENCY"")=""GBX"",""GBP"",GOOGLEFINANCE(D307,""CURRENCY"")))))),B307)"),"")</f>
        <v/>
      </c>
      <c r="R307" s="263" t="str">
        <f>IFERROR(__xludf.DUMMYFUNCTION("IF(ISBLANK(A307),"""",IFERROR(IF(OR(Q307=""GPB"",Q307=""ZAR""),IF(Q307=Dashboard!$L$1,K307,(K307*GOOGLEFINANCE(""CURRENCY:""&amp;Q307&amp;""""&amp;Dashboard!$L$1&amp;""""))/100),IF(Q307=Dashboard!$L$1,K307,K307*GOOGLEFINANCE(""CURRENCY:""&amp;Q307&amp;""""&amp;Dashboard!$L$1&amp;"""")))"&amp;",K307))"),"")</f>
        <v/>
      </c>
      <c r="S307" s="266" t="str">
        <f>IFERROR(__xludf.DUMMYFUNCTION("IF(ISBLANK(A307),"""",IFERROR(IF(OR(Q307=""GPB"",Q307=""ZAR""),IF(Q307=Dashboard!$L$1,M307,(M307*GOOGLEFINANCE(""CURRENCY:""&amp;Q307&amp;""""&amp;Dashboard!$L$1&amp;""""))/100),IF(Q307=Dashboard!$L$1,M307,M307*GOOGLEFINANCE(""CURRENCY:""&amp;Q307&amp;""""&amp;Dashboard!$L$1&amp;"""")))"&amp;",M307))"),"")</f>
        <v/>
      </c>
      <c r="T307" s="264" t="str">
        <f t="shared" si="4"/>
        <v/>
      </c>
      <c r="U307" s="264" t="str">
        <f t="shared" si="5"/>
        <v/>
      </c>
      <c r="V307" s="264" t="str">
        <f t="shared" si="6"/>
        <v/>
      </c>
      <c r="W307" s="267" t="str">
        <f t="shared" si="8"/>
        <v/>
      </c>
      <c r="X307" s="264" t="str">
        <f t="shared" si="7"/>
        <v/>
      </c>
    </row>
    <row r="308" ht="15.75" customHeight="1">
      <c r="A308" s="258"/>
      <c r="B308" s="258"/>
      <c r="C308" s="269"/>
      <c r="D308" s="258"/>
      <c r="E308" s="258"/>
      <c r="F308" s="258"/>
      <c r="G308" s="258"/>
      <c r="H308" s="271"/>
      <c r="I308" s="258"/>
      <c r="J308" s="272"/>
      <c r="K308" s="260"/>
      <c r="L308" s="261"/>
      <c r="M308" s="262" t="str">
        <f t="shared" si="1"/>
        <v/>
      </c>
      <c r="N308" s="263" t="str">
        <f t="shared" si="2"/>
        <v/>
      </c>
      <c r="O308" s="264" t="str">
        <f t="shared" si="3"/>
        <v/>
      </c>
      <c r="P308" s="265" t="str">
        <f>IFERROR(__xludf.DUMMYFUNCTION("IF(ISBLANK(A308),"""",IFERROR(IF(H308=""Sell"",VLOOKUP(9^99,FILTER({ROW(P$2:P307),P$2:P307},D$2:D307=D308),2),(VLOOKUP(9^99,FILTER({ROW(P$2:P307),P$2:P307},D$2:D307=D308),2)*VLOOKUP(9^99,FILTER({ROW(O$2:O307),O$2:O307},D$2:D307=D308),2)-N308)/O308),J308))"),"")</f>
        <v/>
      </c>
      <c r="Q308" s="264" t="str">
        <f>IFERROR(__xludf.DUMMYFUNCTION("IFERROR(IF(F308=""Crypto"",B308,(IF(ISBLANK(D308),"""",IF(D308=""Cash"",B308,IF(GOOGLEFINANCE(D308,""CURRENCY"")=""GBX"",""GBP"",GOOGLEFINANCE(D308,""CURRENCY"")))))),B308)"),"")</f>
        <v/>
      </c>
      <c r="R308" s="263" t="str">
        <f>IFERROR(__xludf.DUMMYFUNCTION("IF(ISBLANK(A308),"""",IFERROR(IF(OR(Q308=""GPB"",Q308=""ZAR""),IF(Q308=Dashboard!$L$1,K308,(K308*GOOGLEFINANCE(""CURRENCY:""&amp;Q308&amp;""""&amp;Dashboard!$L$1&amp;""""))/100),IF(Q308=Dashboard!$L$1,K308,K308*GOOGLEFINANCE(""CURRENCY:""&amp;Q308&amp;""""&amp;Dashboard!$L$1&amp;"""")))"&amp;",K308))"),"")</f>
        <v/>
      </c>
      <c r="S308" s="266" t="str">
        <f>IFERROR(__xludf.DUMMYFUNCTION("IF(ISBLANK(A308),"""",IFERROR(IF(OR(Q308=""GPB"",Q308=""ZAR""),IF(Q308=Dashboard!$L$1,M308,(M308*GOOGLEFINANCE(""CURRENCY:""&amp;Q308&amp;""""&amp;Dashboard!$L$1&amp;""""))/100),IF(Q308=Dashboard!$L$1,M308,M308*GOOGLEFINANCE(""CURRENCY:""&amp;Q308&amp;""""&amp;Dashboard!$L$1&amp;"""")))"&amp;",M308))"),"")</f>
        <v/>
      </c>
      <c r="T308" s="264" t="str">
        <f t="shared" si="4"/>
        <v/>
      </c>
      <c r="U308" s="264" t="str">
        <f t="shared" si="5"/>
        <v/>
      </c>
      <c r="V308" s="264" t="str">
        <f t="shared" si="6"/>
        <v/>
      </c>
      <c r="W308" s="267" t="str">
        <f t="shared" si="8"/>
        <v/>
      </c>
      <c r="X308" s="264" t="str">
        <f t="shared" si="7"/>
        <v/>
      </c>
    </row>
    <row r="309" ht="15.75" customHeight="1">
      <c r="A309" s="258"/>
      <c r="B309" s="258"/>
      <c r="C309" s="269"/>
      <c r="D309" s="258"/>
      <c r="E309" s="258"/>
      <c r="F309" s="258"/>
      <c r="G309" s="258"/>
      <c r="H309" s="271"/>
      <c r="I309" s="258"/>
      <c r="J309" s="272"/>
      <c r="K309" s="260"/>
      <c r="L309" s="261"/>
      <c r="M309" s="262" t="str">
        <f t="shared" si="1"/>
        <v/>
      </c>
      <c r="N309" s="263" t="str">
        <f t="shared" si="2"/>
        <v/>
      </c>
      <c r="O309" s="264" t="str">
        <f t="shared" si="3"/>
        <v/>
      </c>
      <c r="P309" s="265" t="str">
        <f>IFERROR(__xludf.DUMMYFUNCTION("IF(ISBLANK(A309),"""",IFERROR(IF(H309=""Sell"",VLOOKUP(9^99,FILTER({ROW(P$2:P308),P$2:P308},D$2:D308=D309),2),(VLOOKUP(9^99,FILTER({ROW(P$2:P308),P$2:P308},D$2:D308=D309),2)*VLOOKUP(9^99,FILTER({ROW(O$2:O308),O$2:O308},D$2:D308=D309),2)-N309)/O309),J309))"),"")</f>
        <v/>
      </c>
      <c r="Q309" s="264" t="str">
        <f>IFERROR(__xludf.DUMMYFUNCTION("IFERROR(IF(F309=""Crypto"",B309,(IF(ISBLANK(D309),"""",IF(D309=""Cash"",B309,IF(GOOGLEFINANCE(D309,""CURRENCY"")=""GBX"",""GBP"",GOOGLEFINANCE(D309,""CURRENCY"")))))),B309)"),"")</f>
        <v/>
      </c>
      <c r="R309" s="263" t="str">
        <f>IFERROR(__xludf.DUMMYFUNCTION("IF(ISBLANK(A309),"""",IFERROR(IF(OR(Q309=""GPB"",Q309=""ZAR""),IF(Q309=Dashboard!$L$1,K309,(K309*GOOGLEFINANCE(""CURRENCY:""&amp;Q309&amp;""""&amp;Dashboard!$L$1&amp;""""))/100),IF(Q309=Dashboard!$L$1,K309,K309*GOOGLEFINANCE(""CURRENCY:""&amp;Q309&amp;""""&amp;Dashboard!$L$1&amp;"""")))"&amp;",K309))"),"")</f>
        <v/>
      </c>
      <c r="S309" s="266" t="str">
        <f>IFERROR(__xludf.DUMMYFUNCTION("IF(ISBLANK(A309),"""",IFERROR(IF(OR(Q309=""GPB"",Q309=""ZAR""),IF(Q309=Dashboard!$L$1,M309,(M309*GOOGLEFINANCE(""CURRENCY:""&amp;Q309&amp;""""&amp;Dashboard!$L$1&amp;""""))/100),IF(Q309=Dashboard!$L$1,M309,M309*GOOGLEFINANCE(""CURRENCY:""&amp;Q309&amp;""""&amp;Dashboard!$L$1&amp;"""")))"&amp;",M309))"),"")</f>
        <v/>
      </c>
      <c r="T309" s="264" t="str">
        <f t="shared" si="4"/>
        <v/>
      </c>
      <c r="U309" s="264" t="str">
        <f t="shared" si="5"/>
        <v/>
      </c>
      <c r="V309" s="264" t="str">
        <f t="shared" si="6"/>
        <v/>
      </c>
      <c r="W309" s="267" t="str">
        <f t="shared" si="8"/>
        <v/>
      </c>
      <c r="X309" s="264" t="str">
        <f t="shared" si="7"/>
        <v/>
      </c>
    </row>
    <row r="310" ht="15.75" customHeight="1">
      <c r="A310" s="258"/>
      <c r="B310" s="258"/>
      <c r="C310" s="269"/>
      <c r="D310" s="258"/>
      <c r="E310" s="258"/>
      <c r="F310" s="258"/>
      <c r="G310" s="258"/>
      <c r="H310" s="271"/>
      <c r="I310" s="258"/>
      <c r="J310" s="272"/>
      <c r="K310" s="260"/>
      <c r="L310" s="261"/>
      <c r="M310" s="262" t="str">
        <f t="shared" si="1"/>
        <v/>
      </c>
      <c r="N310" s="263" t="str">
        <f t="shared" si="2"/>
        <v/>
      </c>
      <c r="O310" s="264" t="str">
        <f t="shared" si="3"/>
        <v/>
      </c>
      <c r="P310" s="265" t="str">
        <f>IFERROR(__xludf.DUMMYFUNCTION("IF(ISBLANK(A310),"""",IFERROR(IF(H310=""Sell"",VLOOKUP(9^99,FILTER({ROW(P$2:P309),P$2:P309},D$2:D309=D310),2),(VLOOKUP(9^99,FILTER({ROW(P$2:P309),P$2:P309},D$2:D309=D310),2)*VLOOKUP(9^99,FILTER({ROW(O$2:O309),O$2:O309},D$2:D309=D310),2)-N310)/O310),J310))"),"")</f>
        <v/>
      </c>
      <c r="Q310" s="264" t="str">
        <f>IFERROR(__xludf.DUMMYFUNCTION("IFERROR(IF(F310=""Crypto"",B310,(IF(ISBLANK(D310),"""",IF(D310=""Cash"",B310,IF(GOOGLEFINANCE(D310,""CURRENCY"")=""GBX"",""GBP"",GOOGLEFINANCE(D310,""CURRENCY"")))))),B310)"),"")</f>
        <v/>
      </c>
      <c r="R310" s="263" t="str">
        <f>IFERROR(__xludf.DUMMYFUNCTION("IF(ISBLANK(A310),"""",IFERROR(IF(OR(Q310=""GPB"",Q310=""ZAR""),IF(Q310=Dashboard!$L$1,K310,(K310*GOOGLEFINANCE(""CURRENCY:""&amp;Q310&amp;""""&amp;Dashboard!$L$1&amp;""""))/100),IF(Q310=Dashboard!$L$1,K310,K310*GOOGLEFINANCE(""CURRENCY:""&amp;Q310&amp;""""&amp;Dashboard!$L$1&amp;"""")))"&amp;",K310))"),"")</f>
        <v/>
      </c>
      <c r="S310" s="266" t="str">
        <f>IFERROR(__xludf.DUMMYFUNCTION("IF(ISBLANK(A310),"""",IFERROR(IF(OR(Q310=""GPB"",Q310=""ZAR""),IF(Q310=Dashboard!$L$1,M310,(M310*GOOGLEFINANCE(""CURRENCY:""&amp;Q310&amp;""""&amp;Dashboard!$L$1&amp;""""))/100),IF(Q310=Dashboard!$L$1,M310,M310*GOOGLEFINANCE(""CURRENCY:""&amp;Q310&amp;""""&amp;Dashboard!$L$1&amp;"""")))"&amp;",M310))"),"")</f>
        <v/>
      </c>
      <c r="T310" s="264" t="str">
        <f t="shared" si="4"/>
        <v/>
      </c>
      <c r="U310" s="264" t="str">
        <f t="shared" si="5"/>
        <v/>
      </c>
      <c r="V310" s="264" t="str">
        <f t="shared" si="6"/>
        <v/>
      </c>
      <c r="W310" s="267" t="str">
        <f t="shared" si="8"/>
        <v/>
      </c>
      <c r="X310" s="264" t="str">
        <f t="shared" si="7"/>
        <v/>
      </c>
    </row>
    <row r="311" ht="15.75" customHeight="1">
      <c r="A311" s="258"/>
      <c r="B311" s="258"/>
      <c r="C311" s="269"/>
      <c r="D311" s="258"/>
      <c r="E311" s="258"/>
      <c r="F311" s="258"/>
      <c r="G311" s="258"/>
      <c r="H311" s="271"/>
      <c r="I311" s="258"/>
      <c r="J311" s="272"/>
      <c r="K311" s="260"/>
      <c r="L311" s="261"/>
      <c r="M311" s="262" t="str">
        <f t="shared" si="1"/>
        <v/>
      </c>
      <c r="N311" s="263" t="str">
        <f t="shared" si="2"/>
        <v/>
      </c>
      <c r="O311" s="264" t="str">
        <f t="shared" si="3"/>
        <v/>
      </c>
      <c r="P311" s="265" t="str">
        <f>IFERROR(__xludf.DUMMYFUNCTION("IF(ISBLANK(A311),"""",IFERROR(IF(H311=""Sell"",VLOOKUP(9^99,FILTER({ROW(P$2:P310),P$2:P310},D$2:D310=D311),2),(VLOOKUP(9^99,FILTER({ROW(P$2:P310),P$2:P310},D$2:D310=D311),2)*VLOOKUP(9^99,FILTER({ROW(O$2:O310),O$2:O310},D$2:D310=D311),2)-N311)/O311),J311))"),"")</f>
        <v/>
      </c>
      <c r="Q311" s="264" t="str">
        <f>IFERROR(__xludf.DUMMYFUNCTION("IFERROR(IF(F311=""Crypto"",B311,(IF(ISBLANK(D311),"""",IF(D311=""Cash"",B311,IF(GOOGLEFINANCE(D311,""CURRENCY"")=""GBX"",""GBP"",GOOGLEFINANCE(D311,""CURRENCY"")))))),B311)"),"")</f>
        <v/>
      </c>
      <c r="R311" s="263" t="str">
        <f>IFERROR(__xludf.DUMMYFUNCTION("IF(ISBLANK(A311),"""",IFERROR(IF(OR(Q311=""GPB"",Q311=""ZAR""),IF(Q311=Dashboard!$L$1,K311,(K311*GOOGLEFINANCE(""CURRENCY:""&amp;Q311&amp;""""&amp;Dashboard!$L$1&amp;""""))/100),IF(Q311=Dashboard!$L$1,K311,K311*GOOGLEFINANCE(""CURRENCY:""&amp;Q311&amp;""""&amp;Dashboard!$L$1&amp;"""")))"&amp;",K311))"),"")</f>
        <v/>
      </c>
      <c r="S311" s="266" t="str">
        <f>IFERROR(__xludf.DUMMYFUNCTION("IF(ISBLANK(A311),"""",IFERROR(IF(OR(Q311=""GPB"",Q311=""ZAR""),IF(Q311=Dashboard!$L$1,M311,(M311*GOOGLEFINANCE(""CURRENCY:""&amp;Q311&amp;""""&amp;Dashboard!$L$1&amp;""""))/100),IF(Q311=Dashboard!$L$1,M311,M311*GOOGLEFINANCE(""CURRENCY:""&amp;Q311&amp;""""&amp;Dashboard!$L$1&amp;"""")))"&amp;",M311))"),"")</f>
        <v/>
      </c>
      <c r="T311" s="264" t="str">
        <f t="shared" si="4"/>
        <v/>
      </c>
      <c r="U311" s="264" t="str">
        <f t="shared" si="5"/>
        <v/>
      </c>
      <c r="V311" s="264" t="str">
        <f t="shared" si="6"/>
        <v/>
      </c>
      <c r="W311" s="267" t="str">
        <f t="shared" si="8"/>
        <v/>
      </c>
      <c r="X311" s="264" t="str">
        <f t="shared" si="7"/>
        <v/>
      </c>
    </row>
    <row r="312" ht="15.75" customHeight="1">
      <c r="A312" s="258"/>
      <c r="B312" s="258"/>
      <c r="C312" s="269"/>
      <c r="D312" s="258"/>
      <c r="E312" s="258"/>
      <c r="F312" s="258"/>
      <c r="G312" s="258"/>
      <c r="H312" s="271"/>
      <c r="I312" s="258"/>
      <c r="J312" s="272"/>
      <c r="K312" s="260"/>
      <c r="L312" s="261"/>
      <c r="M312" s="262" t="str">
        <f t="shared" si="1"/>
        <v/>
      </c>
      <c r="N312" s="263" t="str">
        <f t="shared" si="2"/>
        <v/>
      </c>
      <c r="O312" s="264" t="str">
        <f t="shared" si="3"/>
        <v/>
      </c>
      <c r="P312" s="265" t="str">
        <f>IFERROR(__xludf.DUMMYFUNCTION("IF(ISBLANK(A312),"""",IFERROR(IF(H312=""Sell"",VLOOKUP(9^99,FILTER({ROW(P$2:P311),P$2:P311},D$2:D311=D312),2),(VLOOKUP(9^99,FILTER({ROW(P$2:P311),P$2:P311},D$2:D311=D312),2)*VLOOKUP(9^99,FILTER({ROW(O$2:O311),O$2:O311},D$2:D311=D312),2)-N312)/O312),J312))"),"")</f>
        <v/>
      </c>
      <c r="Q312" s="264" t="str">
        <f>IFERROR(__xludf.DUMMYFUNCTION("IFERROR(IF(F312=""Crypto"",B312,(IF(ISBLANK(D312),"""",IF(D312=""Cash"",B312,IF(GOOGLEFINANCE(D312,""CURRENCY"")=""GBX"",""GBP"",GOOGLEFINANCE(D312,""CURRENCY"")))))),B312)"),"")</f>
        <v/>
      </c>
      <c r="R312" s="263" t="str">
        <f>IFERROR(__xludf.DUMMYFUNCTION("IF(ISBLANK(A312),"""",IFERROR(IF(OR(Q312=""GPB"",Q312=""ZAR""),IF(Q312=Dashboard!$L$1,K312,(K312*GOOGLEFINANCE(""CURRENCY:""&amp;Q312&amp;""""&amp;Dashboard!$L$1&amp;""""))/100),IF(Q312=Dashboard!$L$1,K312,K312*GOOGLEFINANCE(""CURRENCY:""&amp;Q312&amp;""""&amp;Dashboard!$L$1&amp;"""")))"&amp;",K312))"),"")</f>
        <v/>
      </c>
      <c r="S312" s="266" t="str">
        <f>IFERROR(__xludf.DUMMYFUNCTION("IF(ISBLANK(A312),"""",IFERROR(IF(OR(Q312=""GPB"",Q312=""ZAR""),IF(Q312=Dashboard!$L$1,M312,(M312*GOOGLEFINANCE(""CURRENCY:""&amp;Q312&amp;""""&amp;Dashboard!$L$1&amp;""""))/100),IF(Q312=Dashboard!$L$1,M312,M312*GOOGLEFINANCE(""CURRENCY:""&amp;Q312&amp;""""&amp;Dashboard!$L$1&amp;"""")))"&amp;",M312))"),"")</f>
        <v/>
      </c>
      <c r="T312" s="264" t="str">
        <f t="shared" si="4"/>
        <v/>
      </c>
      <c r="U312" s="264" t="str">
        <f t="shared" si="5"/>
        <v/>
      </c>
      <c r="V312" s="264" t="str">
        <f t="shared" si="6"/>
        <v/>
      </c>
      <c r="W312" s="267" t="str">
        <f t="shared" si="8"/>
        <v/>
      </c>
      <c r="X312" s="264" t="str">
        <f t="shared" si="7"/>
        <v/>
      </c>
    </row>
    <row r="313" ht="15.75" customHeight="1">
      <c r="A313" s="258"/>
      <c r="B313" s="258"/>
      <c r="C313" s="269"/>
      <c r="D313" s="258"/>
      <c r="E313" s="258"/>
      <c r="F313" s="258"/>
      <c r="G313" s="258"/>
      <c r="H313" s="271"/>
      <c r="I313" s="258"/>
      <c r="J313" s="272"/>
      <c r="K313" s="260"/>
      <c r="L313" s="261"/>
      <c r="M313" s="262" t="str">
        <f t="shared" si="1"/>
        <v/>
      </c>
      <c r="N313" s="263" t="str">
        <f t="shared" si="2"/>
        <v/>
      </c>
      <c r="O313" s="264" t="str">
        <f t="shared" si="3"/>
        <v/>
      </c>
      <c r="P313" s="265" t="str">
        <f>IFERROR(__xludf.DUMMYFUNCTION("IF(ISBLANK(A313),"""",IFERROR(IF(H313=""Sell"",VLOOKUP(9^99,FILTER({ROW(P$2:P312),P$2:P312},D$2:D312=D313),2),(VLOOKUP(9^99,FILTER({ROW(P$2:P312),P$2:P312},D$2:D312=D313),2)*VLOOKUP(9^99,FILTER({ROW(O$2:O312),O$2:O312},D$2:D312=D313),2)-N313)/O313),J313))"),"")</f>
        <v/>
      </c>
      <c r="Q313" s="264" t="str">
        <f>IFERROR(__xludf.DUMMYFUNCTION("IFERROR(IF(F313=""Crypto"",B313,(IF(ISBLANK(D313),"""",IF(D313=""Cash"",B313,IF(GOOGLEFINANCE(D313,""CURRENCY"")=""GBX"",""GBP"",GOOGLEFINANCE(D313,""CURRENCY"")))))),B313)"),"")</f>
        <v/>
      </c>
      <c r="R313" s="263" t="str">
        <f>IFERROR(__xludf.DUMMYFUNCTION("IF(ISBLANK(A313),"""",IFERROR(IF(OR(Q313=""GPB"",Q313=""ZAR""),IF(Q313=Dashboard!$L$1,K313,(K313*GOOGLEFINANCE(""CURRENCY:""&amp;Q313&amp;""""&amp;Dashboard!$L$1&amp;""""))/100),IF(Q313=Dashboard!$L$1,K313,K313*GOOGLEFINANCE(""CURRENCY:""&amp;Q313&amp;""""&amp;Dashboard!$L$1&amp;"""")))"&amp;",K313))"),"")</f>
        <v/>
      </c>
      <c r="S313" s="266" t="str">
        <f>IFERROR(__xludf.DUMMYFUNCTION("IF(ISBLANK(A313),"""",IFERROR(IF(OR(Q313=""GPB"",Q313=""ZAR""),IF(Q313=Dashboard!$L$1,M313,(M313*GOOGLEFINANCE(""CURRENCY:""&amp;Q313&amp;""""&amp;Dashboard!$L$1&amp;""""))/100),IF(Q313=Dashboard!$L$1,M313,M313*GOOGLEFINANCE(""CURRENCY:""&amp;Q313&amp;""""&amp;Dashboard!$L$1&amp;"""")))"&amp;",M313))"),"")</f>
        <v/>
      </c>
      <c r="T313" s="264" t="str">
        <f t="shared" si="4"/>
        <v/>
      </c>
      <c r="U313" s="264" t="str">
        <f t="shared" si="5"/>
        <v/>
      </c>
      <c r="V313" s="264" t="str">
        <f t="shared" si="6"/>
        <v/>
      </c>
      <c r="W313" s="267" t="str">
        <f t="shared" si="8"/>
        <v/>
      </c>
      <c r="X313" s="264" t="str">
        <f t="shared" si="7"/>
        <v/>
      </c>
    </row>
    <row r="314" ht="15.75" customHeight="1">
      <c r="A314" s="258"/>
      <c r="B314" s="258"/>
      <c r="C314" s="269"/>
      <c r="D314" s="258"/>
      <c r="E314" s="258"/>
      <c r="F314" s="258"/>
      <c r="G314" s="258"/>
      <c r="H314" s="271"/>
      <c r="I314" s="258"/>
      <c r="J314" s="272"/>
      <c r="K314" s="260"/>
      <c r="L314" s="261"/>
      <c r="M314" s="262" t="str">
        <f t="shared" si="1"/>
        <v/>
      </c>
      <c r="N314" s="263" t="str">
        <f t="shared" si="2"/>
        <v/>
      </c>
      <c r="O314" s="264" t="str">
        <f t="shared" si="3"/>
        <v/>
      </c>
      <c r="P314" s="265" t="str">
        <f>IFERROR(__xludf.DUMMYFUNCTION("IF(ISBLANK(A314),"""",IFERROR(IF(H314=""Sell"",VLOOKUP(9^99,FILTER({ROW(P$2:P313),P$2:P313},D$2:D313=D314),2),(VLOOKUP(9^99,FILTER({ROW(P$2:P313),P$2:P313},D$2:D313=D314),2)*VLOOKUP(9^99,FILTER({ROW(O$2:O313),O$2:O313},D$2:D313=D314),2)-N314)/O314),J314))"),"")</f>
        <v/>
      </c>
      <c r="Q314" s="264" t="str">
        <f>IFERROR(__xludf.DUMMYFUNCTION("IFERROR(IF(F314=""Crypto"",B314,(IF(ISBLANK(D314),"""",IF(D314=""Cash"",B314,IF(GOOGLEFINANCE(D314,""CURRENCY"")=""GBX"",""GBP"",GOOGLEFINANCE(D314,""CURRENCY"")))))),B314)"),"")</f>
        <v/>
      </c>
      <c r="R314" s="263" t="str">
        <f>IFERROR(__xludf.DUMMYFUNCTION("IF(ISBLANK(A314),"""",IFERROR(IF(OR(Q314=""GPB"",Q314=""ZAR""),IF(Q314=Dashboard!$L$1,K314,(K314*GOOGLEFINANCE(""CURRENCY:""&amp;Q314&amp;""""&amp;Dashboard!$L$1&amp;""""))/100),IF(Q314=Dashboard!$L$1,K314,K314*GOOGLEFINANCE(""CURRENCY:""&amp;Q314&amp;""""&amp;Dashboard!$L$1&amp;"""")))"&amp;",K314))"),"")</f>
        <v/>
      </c>
      <c r="S314" s="266" t="str">
        <f>IFERROR(__xludf.DUMMYFUNCTION("IF(ISBLANK(A314),"""",IFERROR(IF(OR(Q314=""GPB"",Q314=""ZAR""),IF(Q314=Dashboard!$L$1,M314,(M314*GOOGLEFINANCE(""CURRENCY:""&amp;Q314&amp;""""&amp;Dashboard!$L$1&amp;""""))/100),IF(Q314=Dashboard!$L$1,M314,M314*GOOGLEFINANCE(""CURRENCY:""&amp;Q314&amp;""""&amp;Dashboard!$L$1&amp;"""")))"&amp;",M314))"),"")</f>
        <v/>
      </c>
      <c r="T314" s="264" t="str">
        <f t="shared" si="4"/>
        <v/>
      </c>
      <c r="U314" s="264" t="str">
        <f t="shared" si="5"/>
        <v/>
      </c>
      <c r="V314" s="264" t="str">
        <f t="shared" si="6"/>
        <v/>
      </c>
      <c r="W314" s="267" t="str">
        <f t="shared" si="8"/>
        <v/>
      </c>
      <c r="X314" s="264" t="str">
        <f t="shared" si="7"/>
        <v/>
      </c>
    </row>
    <row r="315" ht="15.75" customHeight="1">
      <c r="A315" s="258"/>
      <c r="B315" s="258"/>
      <c r="C315" s="269"/>
      <c r="D315" s="258"/>
      <c r="E315" s="258"/>
      <c r="F315" s="258"/>
      <c r="G315" s="258"/>
      <c r="H315" s="271"/>
      <c r="I315" s="258"/>
      <c r="J315" s="272"/>
      <c r="K315" s="260"/>
      <c r="L315" s="261"/>
      <c r="M315" s="262" t="str">
        <f t="shared" si="1"/>
        <v/>
      </c>
      <c r="N315" s="263" t="str">
        <f t="shared" si="2"/>
        <v/>
      </c>
      <c r="O315" s="264" t="str">
        <f t="shared" si="3"/>
        <v/>
      </c>
      <c r="P315" s="265" t="str">
        <f>IFERROR(__xludf.DUMMYFUNCTION("IF(ISBLANK(A315),"""",IFERROR(IF(H315=""Sell"",VLOOKUP(9^99,FILTER({ROW(P$2:P314),P$2:P314},D$2:D314=D315),2),(VLOOKUP(9^99,FILTER({ROW(P$2:P314),P$2:P314},D$2:D314=D315),2)*VLOOKUP(9^99,FILTER({ROW(O$2:O314),O$2:O314},D$2:D314=D315),2)-N315)/O315),J315))"),"")</f>
        <v/>
      </c>
      <c r="Q315" s="264" t="str">
        <f>IFERROR(__xludf.DUMMYFUNCTION("IFERROR(IF(F315=""Crypto"",B315,(IF(ISBLANK(D315),"""",IF(D315=""Cash"",B315,IF(GOOGLEFINANCE(D315,""CURRENCY"")=""GBX"",""GBP"",GOOGLEFINANCE(D315,""CURRENCY"")))))),B315)"),"")</f>
        <v/>
      </c>
      <c r="R315" s="263" t="str">
        <f>IFERROR(__xludf.DUMMYFUNCTION("IF(ISBLANK(A315),"""",IFERROR(IF(OR(Q315=""GPB"",Q315=""ZAR""),IF(Q315=Dashboard!$L$1,K315,(K315*GOOGLEFINANCE(""CURRENCY:""&amp;Q315&amp;""""&amp;Dashboard!$L$1&amp;""""))/100),IF(Q315=Dashboard!$L$1,K315,K315*GOOGLEFINANCE(""CURRENCY:""&amp;Q315&amp;""""&amp;Dashboard!$L$1&amp;"""")))"&amp;",K315))"),"")</f>
        <v/>
      </c>
      <c r="S315" s="266" t="str">
        <f>IFERROR(__xludf.DUMMYFUNCTION("IF(ISBLANK(A315),"""",IFERROR(IF(OR(Q315=""GPB"",Q315=""ZAR""),IF(Q315=Dashboard!$L$1,M315,(M315*GOOGLEFINANCE(""CURRENCY:""&amp;Q315&amp;""""&amp;Dashboard!$L$1&amp;""""))/100),IF(Q315=Dashboard!$L$1,M315,M315*GOOGLEFINANCE(""CURRENCY:""&amp;Q315&amp;""""&amp;Dashboard!$L$1&amp;"""")))"&amp;",M315))"),"")</f>
        <v/>
      </c>
      <c r="T315" s="264" t="str">
        <f t="shared" si="4"/>
        <v/>
      </c>
      <c r="U315" s="264" t="str">
        <f t="shared" si="5"/>
        <v/>
      </c>
      <c r="V315" s="264" t="str">
        <f t="shared" si="6"/>
        <v/>
      </c>
      <c r="W315" s="267" t="str">
        <f t="shared" si="8"/>
        <v/>
      </c>
      <c r="X315" s="264" t="str">
        <f t="shared" si="7"/>
        <v/>
      </c>
    </row>
    <row r="316" ht="15.75" customHeight="1">
      <c r="A316" s="258"/>
      <c r="B316" s="258"/>
      <c r="C316" s="269"/>
      <c r="D316" s="258"/>
      <c r="E316" s="258"/>
      <c r="F316" s="258"/>
      <c r="G316" s="258"/>
      <c r="H316" s="271"/>
      <c r="I316" s="258"/>
      <c r="J316" s="272"/>
      <c r="K316" s="260"/>
      <c r="L316" s="261"/>
      <c r="M316" s="262" t="str">
        <f t="shared" si="1"/>
        <v/>
      </c>
      <c r="N316" s="263" t="str">
        <f t="shared" si="2"/>
        <v/>
      </c>
      <c r="O316" s="264" t="str">
        <f t="shared" si="3"/>
        <v/>
      </c>
      <c r="P316" s="265" t="str">
        <f>IFERROR(__xludf.DUMMYFUNCTION("IF(ISBLANK(A316),"""",IFERROR(IF(H316=""Sell"",VLOOKUP(9^99,FILTER({ROW(P$2:P315),P$2:P315},D$2:D315=D316),2),(VLOOKUP(9^99,FILTER({ROW(P$2:P315),P$2:P315},D$2:D315=D316),2)*VLOOKUP(9^99,FILTER({ROW(O$2:O315),O$2:O315},D$2:D315=D316),2)-N316)/O316),J316))"),"")</f>
        <v/>
      </c>
      <c r="Q316" s="264" t="str">
        <f>IFERROR(__xludf.DUMMYFUNCTION("IFERROR(IF(F316=""Crypto"",B316,(IF(ISBLANK(D316),"""",IF(D316=""Cash"",B316,IF(GOOGLEFINANCE(D316,""CURRENCY"")=""GBX"",""GBP"",GOOGLEFINANCE(D316,""CURRENCY"")))))),B316)"),"")</f>
        <v/>
      </c>
      <c r="R316" s="263" t="str">
        <f>IFERROR(__xludf.DUMMYFUNCTION("IF(ISBLANK(A316),"""",IFERROR(IF(OR(Q316=""GPB"",Q316=""ZAR""),IF(Q316=Dashboard!$L$1,K316,(K316*GOOGLEFINANCE(""CURRENCY:""&amp;Q316&amp;""""&amp;Dashboard!$L$1&amp;""""))/100),IF(Q316=Dashboard!$L$1,K316,K316*GOOGLEFINANCE(""CURRENCY:""&amp;Q316&amp;""""&amp;Dashboard!$L$1&amp;"""")))"&amp;",K316))"),"")</f>
        <v/>
      </c>
      <c r="S316" s="266" t="str">
        <f>IFERROR(__xludf.DUMMYFUNCTION("IF(ISBLANK(A316),"""",IFERROR(IF(OR(Q316=""GPB"",Q316=""ZAR""),IF(Q316=Dashboard!$L$1,M316,(M316*GOOGLEFINANCE(""CURRENCY:""&amp;Q316&amp;""""&amp;Dashboard!$L$1&amp;""""))/100),IF(Q316=Dashboard!$L$1,M316,M316*GOOGLEFINANCE(""CURRENCY:""&amp;Q316&amp;""""&amp;Dashboard!$L$1&amp;"""")))"&amp;",M316))"),"")</f>
        <v/>
      </c>
      <c r="T316" s="264" t="str">
        <f t="shared" si="4"/>
        <v/>
      </c>
      <c r="U316" s="264" t="str">
        <f t="shared" si="5"/>
        <v/>
      </c>
      <c r="V316" s="264" t="str">
        <f t="shared" si="6"/>
        <v/>
      </c>
      <c r="W316" s="267" t="str">
        <f t="shared" si="8"/>
        <v/>
      </c>
      <c r="X316" s="264" t="str">
        <f t="shared" si="7"/>
        <v/>
      </c>
    </row>
    <row r="317" ht="15.75" customHeight="1">
      <c r="A317" s="258"/>
      <c r="B317" s="258"/>
      <c r="C317" s="269"/>
      <c r="D317" s="258"/>
      <c r="E317" s="258"/>
      <c r="F317" s="258"/>
      <c r="G317" s="258"/>
      <c r="H317" s="271"/>
      <c r="I317" s="258"/>
      <c r="J317" s="272"/>
      <c r="K317" s="260"/>
      <c r="L317" s="261"/>
      <c r="M317" s="262" t="str">
        <f t="shared" si="1"/>
        <v/>
      </c>
      <c r="N317" s="263" t="str">
        <f t="shared" si="2"/>
        <v/>
      </c>
      <c r="O317" s="264" t="str">
        <f t="shared" si="3"/>
        <v/>
      </c>
      <c r="P317" s="265" t="str">
        <f>IFERROR(__xludf.DUMMYFUNCTION("IF(ISBLANK(A317),"""",IFERROR(IF(H317=""Sell"",VLOOKUP(9^99,FILTER({ROW(P$2:P316),P$2:P316},D$2:D316=D317),2),(VLOOKUP(9^99,FILTER({ROW(P$2:P316),P$2:P316},D$2:D316=D317),2)*VLOOKUP(9^99,FILTER({ROW(O$2:O316),O$2:O316},D$2:D316=D317),2)-N317)/O317),J317))"),"")</f>
        <v/>
      </c>
      <c r="Q317" s="264" t="str">
        <f>IFERROR(__xludf.DUMMYFUNCTION("IFERROR(IF(F317=""Crypto"",B317,(IF(ISBLANK(D317),"""",IF(D317=""Cash"",B317,IF(GOOGLEFINANCE(D317,""CURRENCY"")=""GBX"",""GBP"",GOOGLEFINANCE(D317,""CURRENCY"")))))),B317)"),"")</f>
        <v/>
      </c>
      <c r="R317" s="263" t="str">
        <f>IFERROR(__xludf.DUMMYFUNCTION("IF(ISBLANK(A317),"""",IFERROR(IF(OR(Q317=""GPB"",Q317=""ZAR""),IF(Q317=Dashboard!$L$1,K317,(K317*GOOGLEFINANCE(""CURRENCY:""&amp;Q317&amp;""""&amp;Dashboard!$L$1&amp;""""))/100),IF(Q317=Dashboard!$L$1,K317,K317*GOOGLEFINANCE(""CURRENCY:""&amp;Q317&amp;""""&amp;Dashboard!$L$1&amp;"""")))"&amp;",K317))"),"")</f>
        <v/>
      </c>
      <c r="S317" s="266" t="str">
        <f>IFERROR(__xludf.DUMMYFUNCTION("IF(ISBLANK(A317),"""",IFERROR(IF(OR(Q317=""GPB"",Q317=""ZAR""),IF(Q317=Dashboard!$L$1,M317,(M317*GOOGLEFINANCE(""CURRENCY:""&amp;Q317&amp;""""&amp;Dashboard!$L$1&amp;""""))/100),IF(Q317=Dashboard!$L$1,M317,M317*GOOGLEFINANCE(""CURRENCY:""&amp;Q317&amp;""""&amp;Dashboard!$L$1&amp;"""")))"&amp;",M317))"),"")</f>
        <v/>
      </c>
      <c r="T317" s="264" t="str">
        <f t="shared" si="4"/>
        <v/>
      </c>
      <c r="U317" s="264" t="str">
        <f t="shared" si="5"/>
        <v/>
      </c>
      <c r="V317" s="264" t="str">
        <f t="shared" si="6"/>
        <v/>
      </c>
      <c r="W317" s="267" t="str">
        <f t="shared" si="8"/>
        <v/>
      </c>
      <c r="X317" s="264" t="str">
        <f t="shared" si="7"/>
        <v/>
      </c>
    </row>
    <row r="318" ht="15.75" customHeight="1">
      <c r="A318" s="258"/>
      <c r="B318" s="258"/>
      <c r="C318" s="269"/>
      <c r="D318" s="258"/>
      <c r="E318" s="258"/>
      <c r="F318" s="258"/>
      <c r="G318" s="258"/>
      <c r="H318" s="271"/>
      <c r="I318" s="258"/>
      <c r="J318" s="272"/>
      <c r="K318" s="260"/>
      <c r="L318" s="261"/>
      <c r="M318" s="262" t="str">
        <f t="shared" si="1"/>
        <v/>
      </c>
      <c r="N318" s="263" t="str">
        <f t="shared" si="2"/>
        <v/>
      </c>
      <c r="O318" s="264" t="str">
        <f t="shared" si="3"/>
        <v/>
      </c>
      <c r="P318" s="265" t="str">
        <f>IFERROR(__xludf.DUMMYFUNCTION("IF(ISBLANK(A318),"""",IFERROR(IF(H318=""Sell"",VLOOKUP(9^99,FILTER({ROW(P$2:P317),P$2:P317},D$2:D317=D318),2),(VLOOKUP(9^99,FILTER({ROW(P$2:P317),P$2:P317},D$2:D317=D318),2)*VLOOKUP(9^99,FILTER({ROW(O$2:O317),O$2:O317},D$2:D317=D318),2)-N318)/O318),J318))"),"")</f>
        <v/>
      </c>
      <c r="Q318" s="264" t="str">
        <f>IFERROR(__xludf.DUMMYFUNCTION("IFERROR(IF(F318=""Crypto"",B318,(IF(ISBLANK(D318),"""",IF(D318=""Cash"",B318,IF(GOOGLEFINANCE(D318,""CURRENCY"")=""GBX"",""GBP"",GOOGLEFINANCE(D318,""CURRENCY"")))))),B318)"),"")</f>
        <v/>
      </c>
      <c r="R318" s="263" t="str">
        <f>IFERROR(__xludf.DUMMYFUNCTION("IF(ISBLANK(A318),"""",IFERROR(IF(OR(Q318=""GPB"",Q318=""ZAR""),IF(Q318=Dashboard!$L$1,K318,(K318*GOOGLEFINANCE(""CURRENCY:""&amp;Q318&amp;""""&amp;Dashboard!$L$1&amp;""""))/100),IF(Q318=Dashboard!$L$1,K318,K318*GOOGLEFINANCE(""CURRENCY:""&amp;Q318&amp;""""&amp;Dashboard!$L$1&amp;"""")))"&amp;",K318))"),"")</f>
        <v/>
      </c>
      <c r="S318" s="266" t="str">
        <f>IFERROR(__xludf.DUMMYFUNCTION("IF(ISBLANK(A318),"""",IFERROR(IF(OR(Q318=""GPB"",Q318=""ZAR""),IF(Q318=Dashboard!$L$1,M318,(M318*GOOGLEFINANCE(""CURRENCY:""&amp;Q318&amp;""""&amp;Dashboard!$L$1&amp;""""))/100),IF(Q318=Dashboard!$L$1,M318,M318*GOOGLEFINANCE(""CURRENCY:""&amp;Q318&amp;""""&amp;Dashboard!$L$1&amp;"""")))"&amp;",M318))"),"")</f>
        <v/>
      </c>
      <c r="T318" s="264" t="str">
        <f t="shared" si="4"/>
        <v/>
      </c>
      <c r="U318" s="264" t="str">
        <f t="shared" si="5"/>
        <v/>
      </c>
      <c r="V318" s="264" t="str">
        <f t="shared" si="6"/>
        <v/>
      </c>
      <c r="W318" s="267" t="str">
        <f t="shared" si="8"/>
        <v/>
      </c>
      <c r="X318" s="264" t="str">
        <f t="shared" si="7"/>
        <v/>
      </c>
    </row>
    <row r="319" ht="15.75" customHeight="1">
      <c r="A319" s="258"/>
      <c r="B319" s="258"/>
      <c r="C319" s="269"/>
      <c r="D319" s="258"/>
      <c r="E319" s="258"/>
      <c r="F319" s="258"/>
      <c r="G319" s="258"/>
      <c r="H319" s="271"/>
      <c r="I319" s="258"/>
      <c r="J319" s="272"/>
      <c r="K319" s="260"/>
      <c r="L319" s="261"/>
      <c r="M319" s="262" t="str">
        <f t="shared" si="1"/>
        <v/>
      </c>
      <c r="N319" s="263" t="str">
        <f t="shared" si="2"/>
        <v/>
      </c>
      <c r="O319" s="264" t="str">
        <f t="shared" si="3"/>
        <v/>
      </c>
      <c r="P319" s="265" t="str">
        <f>IFERROR(__xludf.DUMMYFUNCTION("IF(ISBLANK(A319),"""",IFERROR(IF(H319=""Sell"",VLOOKUP(9^99,FILTER({ROW(P$2:P318),P$2:P318},D$2:D318=D319),2),(VLOOKUP(9^99,FILTER({ROW(P$2:P318),P$2:P318},D$2:D318=D319),2)*VLOOKUP(9^99,FILTER({ROW(O$2:O318),O$2:O318},D$2:D318=D319),2)-N319)/O319),J319))"),"")</f>
        <v/>
      </c>
      <c r="Q319" s="264" t="str">
        <f>IFERROR(__xludf.DUMMYFUNCTION("IFERROR(IF(F319=""Crypto"",B319,(IF(ISBLANK(D319),"""",IF(D319=""Cash"",B319,IF(GOOGLEFINANCE(D319,""CURRENCY"")=""GBX"",""GBP"",GOOGLEFINANCE(D319,""CURRENCY"")))))),B319)"),"")</f>
        <v/>
      </c>
      <c r="R319" s="263" t="str">
        <f>IFERROR(__xludf.DUMMYFUNCTION("IF(ISBLANK(A319),"""",IFERROR(IF(OR(Q319=""GPB"",Q319=""ZAR""),IF(Q319=Dashboard!$L$1,K319,(K319*GOOGLEFINANCE(""CURRENCY:""&amp;Q319&amp;""""&amp;Dashboard!$L$1&amp;""""))/100),IF(Q319=Dashboard!$L$1,K319,K319*GOOGLEFINANCE(""CURRENCY:""&amp;Q319&amp;""""&amp;Dashboard!$L$1&amp;"""")))"&amp;",K319))"),"")</f>
        <v/>
      </c>
      <c r="S319" s="266" t="str">
        <f>IFERROR(__xludf.DUMMYFUNCTION("IF(ISBLANK(A319),"""",IFERROR(IF(OR(Q319=""GPB"",Q319=""ZAR""),IF(Q319=Dashboard!$L$1,M319,(M319*GOOGLEFINANCE(""CURRENCY:""&amp;Q319&amp;""""&amp;Dashboard!$L$1&amp;""""))/100),IF(Q319=Dashboard!$L$1,M319,M319*GOOGLEFINANCE(""CURRENCY:""&amp;Q319&amp;""""&amp;Dashboard!$L$1&amp;"""")))"&amp;",M319))"),"")</f>
        <v/>
      </c>
      <c r="T319" s="264" t="str">
        <f t="shared" si="4"/>
        <v/>
      </c>
      <c r="U319" s="264" t="str">
        <f t="shared" si="5"/>
        <v/>
      </c>
      <c r="V319" s="264" t="str">
        <f t="shared" si="6"/>
        <v/>
      </c>
      <c r="W319" s="267" t="str">
        <f t="shared" si="8"/>
        <v/>
      </c>
      <c r="X319" s="264" t="str">
        <f t="shared" si="7"/>
        <v/>
      </c>
    </row>
    <row r="320" ht="15.75" customHeight="1">
      <c r="A320" s="258"/>
      <c r="B320" s="258"/>
      <c r="C320" s="269"/>
      <c r="D320" s="258"/>
      <c r="E320" s="258"/>
      <c r="F320" s="258"/>
      <c r="G320" s="258"/>
      <c r="H320" s="271"/>
      <c r="I320" s="258"/>
      <c r="J320" s="272"/>
      <c r="K320" s="260"/>
      <c r="L320" s="261"/>
      <c r="M320" s="262" t="str">
        <f t="shared" si="1"/>
        <v/>
      </c>
      <c r="N320" s="263" t="str">
        <f t="shared" si="2"/>
        <v/>
      </c>
      <c r="O320" s="264" t="str">
        <f t="shared" si="3"/>
        <v/>
      </c>
      <c r="P320" s="265" t="str">
        <f>IFERROR(__xludf.DUMMYFUNCTION("IF(ISBLANK(A320),"""",IFERROR(IF(H320=""Sell"",VLOOKUP(9^99,FILTER({ROW(P$2:P319),P$2:P319},D$2:D319=D320),2),(VLOOKUP(9^99,FILTER({ROW(P$2:P319),P$2:P319},D$2:D319=D320),2)*VLOOKUP(9^99,FILTER({ROW(O$2:O319),O$2:O319},D$2:D319=D320),2)-N320)/O320),J320))"),"")</f>
        <v/>
      </c>
      <c r="Q320" s="264" t="str">
        <f>IFERROR(__xludf.DUMMYFUNCTION("IFERROR(IF(F320=""Crypto"",B320,(IF(ISBLANK(D320),"""",IF(D320=""Cash"",B320,IF(GOOGLEFINANCE(D320,""CURRENCY"")=""GBX"",""GBP"",GOOGLEFINANCE(D320,""CURRENCY"")))))),B320)"),"")</f>
        <v/>
      </c>
      <c r="R320" s="263" t="str">
        <f>IFERROR(__xludf.DUMMYFUNCTION("IF(ISBLANK(A320),"""",IFERROR(IF(OR(Q320=""GPB"",Q320=""ZAR""),IF(Q320=Dashboard!$L$1,K320,(K320*GOOGLEFINANCE(""CURRENCY:""&amp;Q320&amp;""""&amp;Dashboard!$L$1&amp;""""))/100),IF(Q320=Dashboard!$L$1,K320,K320*GOOGLEFINANCE(""CURRENCY:""&amp;Q320&amp;""""&amp;Dashboard!$L$1&amp;"""")))"&amp;",K320))"),"")</f>
        <v/>
      </c>
      <c r="S320" s="266" t="str">
        <f>IFERROR(__xludf.DUMMYFUNCTION("IF(ISBLANK(A320),"""",IFERROR(IF(OR(Q320=""GPB"",Q320=""ZAR""),IF(Q320=Dashboard!$L$1,M320,(M320*GOOGLEFINANCE(""CURRENCY:""&amp;Q320&amp;""""&amp;Dashboard!$L$1&amp;""""))/100),IF(Q320=Dashboard!$L$1,M320,M320*GOOGLEFINANCE(""CURRENCY:""&amp;Q320&amp;""""&amp;Dashboard!$L$1&amp;"""")))"&amp;",M320))"),"")</f>
        <v/>
      </c>
      <c r="T320" s="264" t="str">
        <f t="shared" si="4"/>
        <v/>
      </c>
      <c r="U320" s="264" t="str">
        <f t="shared" si="5"/>
        <v/>
      </c>
      <c r="V320" s="264" t="str">
        <f t="shared" si="6"/>
        <v/>
      </c>
      <c r="W320" s="267" t="str">
        <f t="shared" si="8"/>
        <v/>
      </c>
      <c r="X320" s="264" t="str">
        <f t="shared" si="7"/>
        <v/>
      </c>
    </row>
    <row r="321" ht="15.75" customHeight="1">
      <c r="A321" s="258"/>
      <c r="B321" s="258"/>
      <c r="C321" s="269"/>
      <c r="D321" s="258"/>
      <c r="E321" s="258"/>
      <c r="F321" s="258"/>
      <c r="G321" s="258"/>
      <c r="H321" s="271"/>
      <c r="I321" s="258"/>
      <c r="J321" s="272"/>
      <c r="K321" s="260"/>
      <c r="L321" s="261"/>
      <c r="M321" s="262" t="str">
        <f t="shared" si="1"/>
        <v/>
      </c>
      <c r="N321" s="263" t="str">
        <f t="shared" si="2"/>
        <v/>
      </c>
      <c r="O321" s="264" t="str">
        <f t="shared" si="3"/>
        <v/>
      </c>
      <c r="P321" s="265" t="str">
        <f>IFERROR(__xludf.DUMMYFUNCTION("IF(ISBLANK(A321),"""",IFERROR(IF(H321=""Sell"",VLOOKUP(9^99,FILTER({ROW(P$2:P320),P$2:P320},D$2:D320=D321),2),(VLOOKUP(9^99,FILTER({ROW(P$2:P320),P$2:P320},D$2:D320=D321),2)*VLOOKUP(9^99,FILTER({ROW(O$2:O320),O$2:O320},D$2:D320=D321),2)-N321)/O321),J321))"),"")</f>
        <v/>
      </c>
      <c r="Q321" s="264" t="str">
        <f>IFERROR(__xludf.DUMMYFUNCTION("IFERROR(IF(F321=""Crypto"",B321,(IF(ISBLANK(D321),"""",IF(D321=""Cash"",B321,IF(GOOGLEFINANCE(D321,""CURRENCY"")=""GBX"",""GBP"",GOOGLEFINANCE(D321,""CURRENCY"")))))),B321)"),"")</f>
        <v/>
      </c>
      <c r="R321" s="263" t="str">
        <f>IFERROR(__xludf.DUMMYFUNCTION("IF(ISBLANK(A321),"""",IFERROR(IF(OR(Q321=""GPB"",Q321=""ZAR""),IF(Q321=Dashboard!$L$1,K321,(K321*GOOGLEFINANCE(""CURRENCY:""&amp;Q321&amp;""""&amp;Dashboard!$L$1&amp;""""))/100),IF(Q321=Dashboard!$L$1,K321,K321*GOOGLEFINANCE(""CURRENCY:""&amp;Q321&amp;""""&amp;Dashboard!$L$1&amp;"""")))"&amp;",K321))"),"")</f>
        <v/>
      </c>
      <c r="S321" s="266" t="str">
        <f>IFERROR(__xludf.DUMMYFUNCTION("IF(ISBLANK(A321),"""",IFERROR(IF(OR(Q321=""GPB"",Q321=""ZAR""),IF(Q321=Dashboard!$L$1,M321,(M321*GOOGLEFINANCE(""CURRENCY:""&amp;Q321&amp;""""&amp;Dashboard!$L$1&amp;""""))/100),IF(Q321=Dashboard!$L$1,M321,M321*GOOGLEFINANCE(""CURRENCY:""&amp;Q321&amp;""""&amp;Dashboard!$L$1&amp;"""")))"&amp;",M321))"),"")</f>
        <v/>
      </c>
      <c r="T321" s="264" t="str">
        <f t="shared" si="4"/>
        <v/>
      </c>
      <c r="U321" s="264" t="str">
        <f t="shared" si="5"/>
        <v/>
      </c>
      <c r="V321" s="264" t="str">
        <f t="shared" si="6"/>
        <v/>
      </c>
      <c r="W321" s="267" t="str">
        <f t="shared" si="8"/>
        <v/>
      </c>
      <c r="X321" s="264" t="str">
        <f t="shared" si="7"/>
        <v/>
      </c>
    </row>
    <row r="322" ht="15.75" customHeight="1">
      <c r="A322" s="258"/>
      <c r="B322" s="258"/>
      <c r="C322" s="269"/>
      <c r="D322" s="258"/>
      <c r="E322" s="258"/>
      <c r="F322" s="258"/>
      <c r="G322" s="258"/>
      <c r="H322" s="271"/>
      <c r="I322" s="258"/>
      <c r="J322" s="272"/>
      <c r="K322" s="260"/>
      <c r="L322" s="261"/>
      <c r="M322" s="262" t="str">
        <f t="shared" si="1"/>
        <v/>
      </c>
      <c r="N322" s="263" t="str">
        <f t="shared" si="2"/>
        <v/>
      </c>
      <c r="O322" s="264" t="str">
        <f t="shared" si="3"/>
        <v/>
      </c>
      <c r="P322" s="265" t="str">
        <f>IFERROR(__xludf.DUMMYFUNCTION("IF(ISBLANK(A322),"""",IFERROR(IF(H322=""Sell"",VLOOKUP(9^99,FILTER({ROW(P$2:P321),P$2:P321},D$2:D321=D322),2),(VLOOKUP(9^99,FILTER({ROW(P$2:P321),P$2:P321},D$2:D321=D322),2)*VLOOKUP(9^99,FILTER({ROW(O$2:O321),O$2:O321},D$2:D321=D322),2)-N322)/O322),J322))"),"")</f>
        <v/>
      </c>
      <c r="Q322" s="264" t="str">
        <f>IFERROR(__xludf.DUMMYFUNCTION("IFERROR(IF(F322=""Crypto"",B322,(IF(ISBLANK(D322),"""",IF(D322=""Cash"",B322,IF(GOOGLEFINANCE(D322,""CURRENCY"")=""GBX"",""GBP"",GOOGLEFINANCE(D322,""CURRENCY"")))))),B322)"),"")</f>
        <v/>
      </c>
      <c r="R322" s="263" t="str">
        <f>IFERROR(__xludf.DUMMYFUNCTION("IF(ISBLANK(A322),"""",IFERROR(IF(OR(Q322=""GPB"",Q322=""ZAR""),IF(Q322=Dashboard!$L$1,K322,(K322*GOOGLEFINANCE(""CURRENCY:""&amp;Q322&amp;""""&amp;Dashboard!$L$1&amp;""""))/100),IF(Q322=Dashboard!$L$1,K322,K322*GOOGLEFINANCE(""CURRENCY:""&amp;Q322&amp;""""&amp;Dashboard!$L$1&amp;"""")))"&amp;",K322))"),"")</f>
        <v/>
      </c>
      <c r="S322" s="266" t="str">
        <f>IFERROR(__xludf.DUMMYFUNCTION("IF(ISBLANK(A322),"""",IFERROR(IF(OR(Q322=""GPB"",Q322=""ZAR""),IF(Q322=Dashboard!$L$1,M322,(M322*GOOGLEFINANCE(""CURRENCY:""&amp;Q322&amp;""""&amp;Dashboard!$L$1&amp;""""))/100),IF(Q322=Dashboard!$L$1,M322,M322*GOOGLEFINANCE(""CURRENCY:""&amp;Q322&amp;""""&amp;Dashboard!$L$1&amp;"""")))"&amp;",M322))"),"")</f>
        <v/>
      </c>
      <c r="T322" s="264" t="str">
        <f t="shared" si="4"/>
        <v/>
      </c>
      <c r="U322" s="264" t="str">
        <f t="shared" si="5"/>
        <v/>
      </c>
      <c r="V322" s="264" t="str">
        <f t="shared" si="6"/>
        <v/>
      </c>
      <c r="W322" s="267" t="str">
        <f t="shared" si="8"/>
        <v/>
      </c>
      <c r="X322" s="264" t="str">
        <f t="shared" si="7"/>
        <v/>
      </c>
    </row>
    <row r="323" ht="15.75" customHeight="1">
      <c r="A323" s="258"/>
      <c r="B323" s="258"/>
      <c r="C323" s="269"/>
      <c r="D323" s="258"/>
      <c r="E323" s="258"/>
      <c r="F323" s="258"/>
      <c r="G323" s="258"/>
      <c r="H323" s="271"/>
      <c r="I323" s="258"/>
      <c r="J323" s="272"/>
      <c r="K323" s="260"/>
      <c r="L323" s="261"/>
      <c r="M323" s="262" t="str">
        <f t="shared" si="1"/>
        <v/>
      </c>
      <c r="N323" s="263" t="str">
        <f t="shared" si="2"/>
        <v/>
      </c>
      <c r="O323" s="264" t="str">
        <f t="shared" si="3"/>
        <v/>
      </c>
      <c r="P323" s="265" t="str">
        <f>IFERROR(__xludf.DUMMYFUNCTION("IF(ISBLANK(A323),"""",IFERROR(IF(H323=""Sell"",VLOOKUP(9^99,FILTER({ROW(P$2:P322),P$2:P322},D$2:D322=D323),2),(VLOOKUP(9^99,FILTER({ROW(P$2:P322),P$2:P322},D$2:D322=D323),2)*VLOOKUP(9^99,FILTER({ROW(O$2:O322),O$2:O322},D$2:D322=D323),2)-N323)/O323),J323))"),"")</f>
        <v/>
      </c>
      <c r="Q323" s="264" t="str">
        <f>IFERROR(__xludf.DUMMYFUNCTION("IFERROR(IF(F323=""Crypto"",B323,(IF(ISBLANK(D323),"""",IF(D323=""Cash"",B323,IF(GOOGLEFINANCE(D323,""CURRENCY"")=""GBX"",""GBP"",GOOGLEFINANCE(D323,""CURRENCY"")))))),B323)"),"")</f>
        <v/>
      </c>
      <c r="R323" s="263" t="str">
        <f>IFERROR(__xludf.DUMMYFUNCTION("IF(ISBLANK(A323),"""",IFERROR(IF(OR(Q323=""GPB"",Q323=""ZAR""),IF(Q323=Dashboard!$L$1,K323,(K323*GOOGLEFINANCE(""CURRENCY:""&amp;Q323&amp;""""&amp;Dashboard!$L$1&amp;""""))/100),IF(Q323=Dashboard!$L$1,K323,K323*GOOGLEFINANCE(""CURRENCY:""&amp;Q323&amp;""""&amp;Dashboard!$L$1&amp;"""")))"&amp;",K323))"),"")</f>
        <v/>
      </c>
      <c r="S323" s="266" t="str">
        <f>IFERROR(__xludf.DUMMYFUNCTION("IF(ISBLANK(A323),"""",IFERROR(IF(OR(Q323=""GPB"",Q323=""ZAR""),IF(Q323=Dashboard!$L$1,M323,(M323*GOOGLEFINANCE(""CURRENCY:""&amp;Q323&amp;""""&amp;Dashboard!$L$1&amp;""""))/100),IF(Q323=Dashboard!$L$1,M323,M323*GOOGLEFINANCE(""CURRENCY:""&amp;Q323&amp;""""&amp;Dashboard!$L$1&amp;"""")))"&amp;",M323))"),"")</f>
        <v/>
      </c>
      <c r="T323" s="264" t="str">
        <f t="shared" si="4"/>
        <v/>
      </c>
      <c r="U323" s="264" t="str">
        <f t="shared" si="5"/>
        <v/>
      </c>
      <c r="V323" s="264" t="str">
        <f t="shared" si="6"/>
        <v/>
      </c>
      <c r="W323" s="267" t="str">
        <f t="shared" si="8"/>
        <v/>
      </c>
      <c r="X323" s="264" t="str">
        <f t="shared" si="7"/>
        <v/>
      </c>
    </row>
    <row r="324" ht="15.75" customHeight="1">
      <c r="A324" s="258"/>
      <c r="B324" s="258"/>
      <c r="C324" s="269"/>
      <c r="D324" s="258"/>
      <c r="E324" s="258"/>
      <c r="F324" s="258"/>
      <c r="G324" s="258"/>
      <c r="H324" s="271"/>
      <c r="I324" s="258"/>
      <c r="J324" s="272"/>
      <c r="K324" s="260"/>
      <c r="L324" s="261"/>
      <c r="M324" s="262" t="str">
        <f t="shared" si="1"/>
        <v/>
      </c>
      <c r="N324" s="263" t="str">
        <f t="shared" si="2"/>
        <v/>
      </c>
      <c r="O324" s="264" t="str">
        <f t="shared" si="3"/>
        <v/>
      </c>
      <c r="P324" s="265" t="str">
        <f>IFERROR(__xludf.DUMMYFUNCTION("IF(ISBLANK(A324),"""",IFERROR(IF(H324=""Sell"",VLOOKUP(9^99,FILTER({ROW(P$2:P323),P$2:P323},D$2:D323=D324),2),(VLOOKUP(9^99,FILTER({ROW(P$2:P323),P$2:P323},D$2:D323=D324),2)*VLOOKUP(9^99,FILTER({ROW(O$2:O323),O$2:O323},D$2:D323=D324),2)-N324)/O324),J324))"),"")</f>
        <v/>
      </c>
      <c r="Q324" s="264" t="str">
        <f>IFERROR(__xludf.DUMMYFUNCTION("IFERROR(IF(F324=""Crypto"",B324,(IF(ISBLANK(D324),"""",IF(D324=""Cash"",B324,IF(GOOGLEFINANCE(D324,""CURRENCY"")=""GBX"",""GBP"",GOOGLEFINANCE(D324,""CURRENCY"")))))),B324)"),"")</f>
        <v/>
      </c>
      <c r="R324" s="263" t="str">
        <f>IFERROR(__xludf.DUMMYFUNCTION("IF(ISBLANK(A324),"""",IFERROR(IF(OR(Q324=""GPB"",Q324=""ZAR""),IF(Q324=Dashboard!$L$1,K324,(K324*GOOGLEFINANCE(""CURRENCY:""&amp;Q324&amp;""""&amp;Dashboard!$L$1&amp;""""))/100),IF(Q324=Dashboard!$L$1,K324,K324*GOOGLEFINANCE(""CURRENCY:""&amp;Q324&amp;""""&amp;Dashboard!$L$1&amp;"""")))"&amp;",K324))"),"")</f>
        <v/>
      </c>
      <c r="S324" s="266" t="str">
        <f>IFERROR(__xludf.DUMMYFUNCTION("IF(ISBLANK(A324),"""",IFERROR(IF(OR(Q324=""GPB"",Q324=""ZAR""),IF(Q324=Dashboard!$L$1,M324,(M324*GOOGLEFINANCE(""CURRENCY:""&amp;Q324&amp;""""&amp;Dashboard!$L$1&amp;""""))/100),IF(Q324=Dashboard!$L$1,M324,M324*GOOGLEFINANCE(""CURRENCY:""&amp;Q324&amp;""""&amp;Dashboard!$L$1&amp;"""")))"&amp;",M324))"),"")</f>
        <v/>
      </c>
      <c r="T324" s="264" t="str">
        <f t="shared" si="4"/>
        <v/>
      </c>
      <c r="U324" s="264" t="str">
        <f t="shared" si="5"/>
        <v/>
      </c>
      <c r="V324" s="264" t="str">
        <f t="shared" si="6"/>
        <v/>
      </c>
      <c r="W324" s="267" t="str">
        <f t="shared" si="8"/>
        <v/>
      </c>
      <c r="X324" s="264" t="str">
        <f t="shared" si="7"/>
        <v/>
      </c>
    </row>
    <row r="325" ht="15.75" customHeight="1">
      <c r="A325" s="258"/>
      <c r="B325" s="258"/>
      <c r="C325" s="269"/>
      <c r="D325" s="258"/>
      <c r="E325" s="258"/>
      <c r="F325" s="258"/>
      <c r="G325" s="258"/>
      <c r="H325" s="271"/>
      <c r="I325" s="258"/>
      <c r="J325" s="272"/>
      <c r="K325" s="260"/>
      <c r="L325" s="261"/>
      <c r="M325" s="262" t="str">
        <f t="shared" si="1"/>
        <v/>
      </c>
      <c r="N325" s="263" t="str">
        <f t="shared" si="2"/>
        <v/>
      </c>
      <c r="O325" s="264" t="str">
        <f t="shared" si="3"/>
        <v/>
      </c>
      <c r="P325" s="265" t="str">
        <f>IFERROR(__xludf.DUMMYFUNCTION("IF(ISBLANK(A325),"""",IFERROR(IF(H325=""Sell"",VLOOKUP(9^99,FILTER({ROW(P$2:P324),P$2:P324},D$2:D324=D325),2),(VLOOKUP(9^99,FILTER({ROW(P$2:P324),P$2:P324},D$2:D324=D325),2)*VLOOKUP(9^99,FILTER({ROW(O$2:O324),O$2:O324},D$2:D324=D325),2)-N325)/O325),J325))"),"")</f>
        <v/>
      </c>
      <c r="Q325" s="264" t="str">
        <f>IFERROR(__xludf.DUMMYFUNCTION("IFERROR(IF(F325=""Crypto"",B325,(IF(ISBLANK(D325),"""",IF(D325=""Cash"",B325,IF(GOOGLEFINANCE(D325,""CURRENCY"")=""GBX"",""GBP"",GOOGLEFINANCE(D325,""CURRENCY"")))))),B325)"),"")</f>
        <v/>
      </c>
      <c r="R325" s="263" t="str">
        <f>IFERROR(__xludf.DUMMYFUNCTION("IF(ISBLANK(A325),"""",IFERROR(IF(OR(Q325=""GPB"",Q325=""ZAR""),IF(Q325=Dashboard!$L$1,K325,(K325*GOOGLEFINANCE(""CURRENCY:""&amp;Q325&amp;""""&amp;Dashboard!$L$1&amp;""""))/100),IF(Q325=Dashboard!$L$1,K325,K325*GOOGLEFINANCE(""CURRENCY:""&amp;Q325&amp;""""&amp;Dashboard!$L$1&amp;"""")))"&amp;",K325))"),"")</f>
        <v/>
      </c>
      <c r="S325" s="266" t="str">
        <f>IFERROR(__xludf.DUMMYFUNCTION("IF(ISBLANK(A325),"""",IFERROR(IF(OR(Q325=""GPB"",Q325=""ZAR""),IF(Q325=Dashboard!$L$1,M325,(M325*GOOGLEFINANCE(""CURRENCY:""&amp;Q325&amp;""""&amp;Dashboard!$L$1&amp;""""))/100),IF(Q325=Dashboard!$L$1,M325,M325*GOOGLEFINANCE(""CURRENCY:""&amp;Q325&amp;""""&amp;Dashboard!$L$1&amp;"""")))"&amp;",M325))"),"")</f>
        <v/>
      </c>
      <c r="T325" s="264" t="str">
        <f t="shared" si="4"/>
        <v/>
      </c>
      <c r="U325" s="264" t="str">
        <f t="shared" si="5"/>
        <v/>
      </c>
      <c r="V325" s="264" t="str">
        <f t="shared" si="6"/>
        <v/>
      </c>
      <c r="W325" s="267" t="str">
        <f t="shared" si="8"/>
        <v/>
      </c>
      <c r="X325" s="264" t="str">
        <f t="shared" si="7"/>
        <v/>
      </c>
    </row>
    <row r="326" ht="15.75" customHeight="1">
      <c r="A326" s="258"/>
      <c r="B326" s="258"/>
      <c r="C326" s="269"/>
      <c r="D326" s="258"/>
      <c r="E326" s="258"/>
      <c r="F326" s="258"/>
      <c r="G326" s="258"/>
      <c r="H326" s="271"/>
      <c r="I326" s="258"/>
      <c r="J326" s="272"/>
      <c r="K326" s="260"/>
      <c r="L326" s="261"/>
      <c r="M326" s="262" t="str">
        <f t="shared" si="1"/>
        <v/>
      </c>
      <c r="N326" s="263" t="str">
        <f t="shared" si="2"/>
        <v/>
      </c>
      <c r="O326" s="264" t="str">
        <f t="shared" si="3"/>
        <v/>
      </c>
      <c r="P326" s="265" t="str">
        <f>IFERROR(__xludf.DUMMYFUNCTION("IF(ISBLANK(A326),"""",IFERROR(IF(H326=""Sell"",VLOOKUP(9^99,FILTER({ROW(P$2:P325),P$2:P325},D$2:D325=D326),2),(VLOOKUP(9^99,FILTER({ROW(P$2:P325),P$2:P325},D$2:D325=D326),2)*VLOOKUP(9^99,FILTER({ROW(O$2:O325),O$2:O325},D$2:D325=D326),2)-N326)/O326),J326))"),"")</f>
        <v/>
      </c>
      <c r="Q326" s="264" t="str">
        <f>IFERROR(__xludf.DUMMYFUNCTION("IFERROR(IF(F326=""Crypto"",B326,(IF(ISBLANK(D326),"""",IF(D326=""Cash"",B326,IF(GOOGLEFINANCE(D326,""CURRENCY"")=""GBX"",""GBP"",GOOGLEFINANCE(D326,""CURRENCY"")))))),B326)"),"")</f>
        <v/>
      </c>
      <c r="R326" s="263" t="str">
        <f>IFERROR(__xludf.DUMMYFUNCTION("IF(ISBLANK(A326),"""",IFERROR(IF(OR(Q326=""GPB"",Q326=""ZAR""),IF(Q326=Dashboard!$L$1,K326,(K326*GOOGLEFINANCE(""CURRENCY:""&amp;Q326&amp;""""&amp;Dashboard!$L$1&amp;""""))/100),IF(Q326=Dashboard!$L$1,K326,K326*GOOGLEFINANCE(""CURRENCY:""&amp;Q326&amp;""""&amp;Dashboard!$L$1&amp;"""")))"&amp;",K326))"),"")</f>
        <v/>
      </c>
      <c r="S326" s="266" t="str">
        <f>IFERROR(__xludf.DUMMYFUNCTION("IF(ISBLANK(A326),"""",IFERROR(IF(OR(Q326=""GPB"",Q326=""ZAR""),IF(Q326=Dashboard!$L$1,M326,(M326*GOOGLEFINANCE(""CURRENCY:""&amp;Q326&amp;""""&amp;Dashboard!$L$1&amp;""""))/100),IF(Q326=Dashboard!$L$1,M326,M326*GOOGLEFINANCE(""CURRENCY:""&amp;Q326&amp;""""&amp;Dashboard!$L$1&amp;"""")))"&amp;",M326))"),"")</f>
        <v/>
      </c>
      <c r="T326" s="264" t="str">
        <f t="shared" si="4"/>
        <v/>
      </c>
      <c r="U326" s="264" t="str">
        <f t="shared" si="5"/>
        <v/>
      </c>
      <c r="V326" s="264" t="str">
        <f t="shared" si="6"/>
        <v/>
      </c>
      <c r="W326" s="267" t="str">
        <f t="shared" si="8"/>
        <v/>
      </c>
      <c r="X326" s="264" t="str">
        <f t="shared" si="7"/>
        <v/>
      </c>
    </row>
    <row r="327" ht="15.75" customHeight="1">
      <c r="A327" s="258"/>
      <c r="B327" s="258"/>
      <c r="C327" s="269"/>
      <c r="D327" s="258"/>
      <c r="E327" s="258"/>
      <c r="F327" s="258"/>
      <c r="G327" s="258"/>
      <c r="H327" s="271"/>
      <c r="I327" s="258"/>
      <c r="J327" s="272"/>
      <c r="K327" s="260"/>
      <c r="L327" s="261"/>
      <c r="M327" s="262" t="str">
        <f t="shared" si="1"/>
        <v/>
      </c>
      <c r="N327" s="263" t="str">
        <f t="shared" si="2"/>
        <v/>
      </c>
      <c r="O327" s="264" t="str">
        <f t="shared" si="3"/>
        <v/>
      </c>
      <c r="P327" s="265" t="str">
        <f>IFERROR(__xludf.DUMMYFUNCTION("IF(ISBLANK(A327),"""",IFERROR(IF(H327=""Sell"",VLOOKUP(9^99,FILTER({ROW(P$2:P326),P$2:P326},D$2:D326=D327),2),(VLOOKUP(9^99,FILTER({ROW(P$2:P326),P$2:P326},D$2:D326=D327),2)*VLOOKUP(9^99,FILTER({ROW(O$2:O326),O$2:O326},D$2:D326=D327),2)-N327)/O327),J327))"),"")</f>
        <v/>
      </c>
      <c r="Q327" s="264" t="str">
        <f>IFERROR(__xludf.DUMMYFUNCTION("IFERROR(IF(F327=""Crypto"",B327,(IF(ISBLANK(D327),"""",IF(D327=""Cash"",B327,IF(GOOGLEFINANCE(D327,""CURRENCY"")=""GBX"",""GBP"",GOOGLEFINANCE(D327,""CURRENCY"")))))),B327)"),"")</f>
        <v/>
      </c>
      <c r="R327" s="263" t="str">
        <f>IFERROR(__xludf.DUMMYFUNCTION("IF(ISBLANK(A327),"""",IFERROR(IF(OR(Q327=""GPB"",Q327=""ZAR""),IF(Q327=Dashboard!$L$1,K327,(K327*GOOGLEFINANCE(""CURRENCY:""&amp;Q327&amp;""""&amp;Dashboard!$L$1&amp;""""))/100),IF(Q327=Dashboard!$L$1,K327,K327*GOOGLEFINANCE(""CURRENCY:""&amp;Q327&amp;""""&amp;Dashboard!$L$1&amp;"""")))"&amp;",K327))"),"")</f>
        <v/>
      </c>
      <c r="S327" s="266" t="str">
        <f>IFERROR(__xludf.DUMMYFUNCTION("IF(ISBLANK(A327),"""",IFERROR(IF(OR(Q327=""GPB"",Q327=""ZAR""),IF(Q327=Dashboard!$L$1,M327,(M327*GOOGLEFINANCE(""CURRENCY:""&amp;Q327&amp;""""&amp;Dashboard!$L$1&amp;""""))/100),IF(Q327=Dashboard!$L$1,M327,M327*GOOGLEFINANCE(""CURRENCY:""&amp;Q327&amp;""""&amp;Dashboard!$L$1&amp;"""")))"&amp;",M327))"),"")</f>
        <v/>
      </c>
      <c r="T327" s="264" t="str">
        <f t="shared" si="4"/>
        <v/>
      </c>
      <c r="U327" s="264" t="str">
        <f t="shared" si="5"/>
        <v/>
      </c>
      <c r="V327" s="264" t="str">
        <f t="shared" si="6"/>
        <v/>
      </c>
      <c r="W327" s="267" t="str">
        <f t="shared" si="8"/>
        <v/>
      </c>
      <c r="X327" s="264" t="str">
        <f t="shared" si="7"/>
        <v/>
      </c>
    </row>
    <row r="328" ht="15.75" customHeight="1">
      <c r="A328" s="258"/>
      <c r="B328" s="258"/>
      <c r="C328" s="269"/>
      <c r="D328" s="258"/>
      <c r="E328" s="258"/>
      <c r="F328" s="258"/>
      <c r="G328" s="258"/>
      <c r="H328" s="271"/>
      <c r="I328" s="258"/>
      <c r="J328" s="272"/>
      <c r="K328" s="260"/>
      <c r="L328" s="261"/>
      <c r="M328" s="262" t="str">
        <f t="shared" si="1"/>
        <v/>
      </c>
      <c r="N328" s="263" t="str">
        <f t="shared" si="2"/>
        <v/>
      </c>
      <c r="O328" s="264" t="str">
        <f t="shared" si="3"/>
        <v/>
      </c>
      <c r="P328" s="265" t="str">
        <f>IFERROR(__xludf.DUMMYFUNCTION("IF(ISBLANK(A328),"""",IFERROR(IF(H328=""Sell"",VLOOKUP(9^99,FILTER({ROW(P$2:P327),P$2:P327},D$2:D327=D328),2),(VLOOKUP(9^99,FILTER({ROW(P$2:P327),P$2:P327},D$2:D327=D328),2)*VLOOKUP(9^99,FILTER({ROW(O$2:O327),O$2:O327},D$2:D327=D328),2)-N328)/O328),J328))"),"")</f>
        <v/>
      </c>
      <c r="Q328" s="264" t="str">
        <f>IFERROR(__xludf.DUMMYFUNCTION("IFERROR(IF(F328=""Crypto"",B328,(IF(ISBLANK(D328),"""",IF(D328=""Cash"",B328,IF(GOOGLEFINANCE(D328,""CURRENCY"")=""GBX"",""GBP"",GOOGLEFINANCE(D328,""CURRENCY"")))))),B328)"),"")</f>
        <v/>
      </c>
      <c r="R328" s="263" t="str">
        <f>IFERROR(__xludf.DUMMYFUNCTION("IF(ISBLANK(A328),"""",IFERROR(IF(OR(Q328=""GPB"",Q328=""ZAR""),IF(Q328=Dashboard!$L$1,K328,(K328*GOOGLEFINANCE(""CURRENCY:""&amp;Q328&amp;""""&amp;Dashboard!$L$1&amp;""""))/100),IF(Q328=Dashboard!$L$1,K328,K328*GOOGLEFINANCE(""CURRENCY:""&amp;Q328&amp;""""&amp;Dashboard!$L$1&amp;"""")))"&amp;",K328))"),"")</f>
        <v/>
      </c>
      <c r="S328" s="266" t="str">
        <f>IFERROR(__xludf.DUMMYFUNCTION("IF(ISBLANK(A328),"""",IFERROR(IF(OR(Q328=""GPB"",Q328=""ZAR""),IF(Q328=Dashboard!$L$1,M328,(M328*GOOGLEFINANCE(""CURRENCY:""&amp;Q328&amp;""""&amp;Dashboard!$L$1&amp;""""))/100),IF(Q328=Dashboard!$L$1,M328,M328*GOOGLEFINANCE(""CURRENCY:""&amp;Q328&amp;""""&amp;Dashboard!$L$1&amp;"""")))"&amp;",M328))"),"")</f>
        <v/>
      </c>
      <c r="T328" s="264" t="str">
        <f t="shared" si="4"/>
        <v/>
      </c>
      <c r="U328" s="264" t="str">
        <f t="shared" si="5"/>
        <v/>
      </c>
      <c r="V328" s="264" t="str">
        <f t="shared" si="6"/>
        <v/>
      </c>
      <c r="W328" s="267" t="str">
        <f t="shared" si="8"/>
        <v/>
      </c>
      <c r="X328" s="264" t="str">
        <f t="shared" si="7"/>
        <v/>
      </c>
    </row>
    <row r="329" ht="15.75" customHeight="1">
      <c r="A329" s="258"/>
      <c r="B329" s="258"/>
      <c r="C329" s="269"/>
      <c r="D329" s="258"/>
      <c r="E329" s="258"/>
      <c r="F329" s="258"/>
      <c r="G329" s="258"/>
      <c r="H329" s="271"/>
      <c r="I329" s="258"/>
      <c r="J329" s="272"/>
      <c r="K329" s="260"/>
      <c r="L329" s="261"/>
      <c r="M329" s="262" t="str">
        <f t="shared" si="1"/>
        <v/>
      </c>
      <c r="N329" s="263" t="str">
        <f t="shared" si="2"/>
        <v/>
      </c>
      <c r="O329" s="264" t="str">
        <f t="shared" si="3"/>
        <v/>
      </c>
      <c r="P329" s="265" t="str">
        <f>IFERROR(__xludf.DUMMYFUNCTION("IF(ISBLANK(A329),"""",IFERROR(IF(H329=""Sell"",VLOOKUP(9^99,FILTER({ROW(P$2:P328),P$2:P328},D$2:D328=D329),2),(VLOOKUP(9^99,FILTER({ROW(P$2:P328),P$2:P328},D$2:D328=D329),2)*VLOOKUP(9^99,FILTER({ROW(O$2:O328),O$2:O328},D$2:D328=D329),2)-N329)/O329),J329))"),"")</f>
        <v/>
      </c>
      <c r="Q329" s="264" t="str">
        <f>IFERROR(__xludf.DUMMYFUNCTION("IFERROR(IF(F329=""Crypto"",B329,(IF(ISBLANK(D329),"""",IF(D329=""Cash"",B329,IF(GOOGLEFINANCE(D329,""CURRENCY"")=""GBX"",""GBP"",GOOGLEFINANCE(D329,""CURRENCY"")))))),B329)"),"")</f>
        <v/>
      </c>
      <c r="R329" s="263" t="str">
        <f>IFERROR(__xludf.DUMMYFUNCTION("IF(ISBLANK(A329),"""",IFERROR(IF(OR(Q329=""GPB"",Q329=""ZAR""),IF(Q329=Dashboard!$L$1,K329,(K329*GOOGLEFINANCE(""CURRENCY:""&amp;Q329&amp;""""&amp;Dashboard!$L$1&amp;""""))/100),IF(Q329=Dashboard!$L$1,K329,K329*GOOGLEFINANCE(""CURRENCY:""&amp;Q329&amp;""""&amp;Dashboard!$L$1&amp;"""")))"&amp;",K329))"),"")</f>
        <v/>
      </c>
      <c r="S329" s="266" t="str">
        <f>IFERROR(__xludf.DUMMYFUNCTION("IF(ISBLANK(A329),"""",IFERROR(IF(OR(Q329=""GPB"",Q329=""ZAR""),IF(Q329=Dashboard!$L$1,M329,(M329*GOOGLEFINANCE(""CURRENCY:""&amp;Q329&amp;""""&amp;Dashboard!$L$1&amp;""""))/100),IF(Q329=Dashboard!$L$1,M329,M329*GOOGLEFINANCE(""CURRENCY:""&amp;Q329&amp;""""&amp;Dashboard!$L$1&amp;"""")))"&amp;",M329))"),"")</f>
        <v/>
      </c>
      <c r="T329" s="264" t="str">
        <f t="shared" si="4"/>
        <v/>
      </c>
      <c r="U329" s="264" t="str">
        <f t="shared" si="5"/>
        <v/>
      </c>
      <c r="V329" s="264" t="str">
        <f t="shared" si="6"/>
        <v/>
      </c>
      <c r="W329" s="267" t="str">
        <f t="shared" si="8"/>
        <v/>
      </c>
      <c r="X329" s="264" t="str">
        <f t="shared" si="7"/>
        <v/>
      </c>
    </row>
    <row r="330" ht="15.75" customHeight="1">
      <c r="A330" s="258"/>
      <c r="B330" s="258"/>
      <c r="C330" s="269"/>
      <c r="D330" s="258"/>
      <c r="E330" s="258"/>
      <c r="F330" s="258"/>
      <c r="G330" s="258"/>
      <c r="H330" s="271"/>
      <c r="I330" s="258"/>
      <c r="J330" s="272"/>
      <c r="K330" s="260"/>
      <c r="L330" s="261"/>
      <c r="M330" s="262" t="str">
        <f t="shared" si="1"/>
        <v/>
      </c>
      <c r="N330" s="263" t="str">
        <f t="shared" si="2"/>
        <v/>
      </c>
      <c r="O330" s="264" t="str">
        <f t="shared" si="3"/>
        <v/>
      </c>
      <c r="P330" s="265" t="str">
        <f>IFERROR(__xludf.DUMMYFUNCTION("IF(ISBLANK(A330),"""",IFERROR(IF(H330=""Sell"",VLOOKUP(9^99,FILTER({ROW(P$2:P329),P$2:P329},D$2:D329=D330),2),(VLOOKUP(9^99,FILTER({ROW(P$2:P329),P$2:P329},D$2:D329=D330),2)*VLOOKUP(9^99,FILTER({ROW(O$2:O329),O$2:O329},D$2:D329=D330),2)-N330)/O330),J330))"),"")</f>
        <v/>
      </c>
      <c r="Q330" s="264" t="str">
        <f>IFERROR(__xludf.DUMMYFUNCTION("IFERROR(IF(F330=""Crypto"",B330,(IF(ISBLANK(D330),"""",IF(D330=""Cash"",B330,IF(GOOGLEFINANCE(D330,""CURRENCY"")=""GBX"",""GBP"",GOOGLEFINANCE(D330,""CURRENCY"")))))),B330)"),"")</f>
        <v/>
      </c>
      <c r="R330" s="263" t="str">
        <f>IFERROR(__xludf.DUMMYFUNCTION("IF(ISBLANK(A330),"""",IFERROR(IF(OR(Q330=""GPB"",Q330=""ZAR""),IF(Q330=Dashboard!$L$1,K330,(K330*GOOGLEFINANCE(""CURRENCY:""&amp;Q330&amp;""""&amp;Dashboard!$L$1&amp;""""))/100),IF(Q330=Dashboard!$L$1,K330,K330*GOOGLEFINANCE(""CURRENCY:""&amp;Q330&amp;""""&amp;Dashboard!$L$1&amp;"""")))"&amp;",K330))"),"")</f>
        <v/>
      </c>
      <c r="S330" s="266" t="str">
        <f>IFERROR(__xludf.DUMMYFUNCTION("IF(ISBLANK(A330),"""",IFERROR(IF(OR(Q330=""GPB"",Q330=""ZAR""),IF(Q330=Dashboard!$L$1,M330,(M330*GOOGLEFINANCE(""CURRENCY:""&amp;Q330&amp;""""&amp;Dashboard!$L$1&amp;""""))/100),IF(Q330=Dashboard!$L$1,M330,M330*GOOGLEFINANCE(""CURRENCY:""&amp;Q330&amp;""""&amp;Dashboard!$L$1&amp;"""")))"&amp;",M330))"),"")</f>
        <v/>
      </c>
      <c r="T330" s="264" t="str">
        <f t="shared" si="4"/>
        <v/>
      </c>
      <c r="U330" s="264" t="str">
        <f t="shared" si="5"/>
        <v/>
      </c>
      <c r="V330" s="264" t="str">
        <f t="shared" si="6"/>
        <v/>
      </c>
      <c r="W330" s="267" t="str">
        <f t="shared" si="8"/>
        <v/>
      </c>
      <c r="X330" s="264" t="str">
        <f t="shared" si="7"/>
        <v/>
      </c>
    </row>
    <row r="331" ht="15.75" customHeight="1">
      <c r="A331" s="258"/>
      <c r="B331" s="258"/>
      <c r="C331" s="269"/>
      <c r="D331" s="258"/>
      <c r="E331" s="258"/>
      <c r="F331" s="258"/>
      <c r="G331" s="258"/>
      <c r="H331" s="271"/>
      <c r="I331" s="258"/>
      <c r="J331" s="272"/>
      <c r="K331" s="260"/>
      <c r="L331" s="261"/>
      <c r="M331" s="262" t="str">
        <f t="shared" si="1"/>
        <v/>
      </c>
      <c r="N331" s="263" t="str">
        <f t="shared" si="2"/>
        <v/>
      </c>
      <c r="O331" s="264" t="str">
        <f t="shared" si="3"/>
        <v/>
      </c>
      <c r="P331" s="265" t="str">
        <f>IFERROR(__xludf.DUMMYFUNCTION("IF(ISBLANK(A331),"""",IFERROR(IF(H331=""Sell"",VLOOKUP(9^99,FILTER({ROW(P$2:P330),P$2:P330},D$2:D330=D331),2),(VLOOKUP(9^99,FILTER({ROW(P$2:P330),P$2:P330},D$2:D330=D331),2)*VLOOKUP(9^99,FILTER({ROW(O$2:O330),O$2:O330},D$2:D330=D331),2)-N331)/O331),J331))"),"")</f>
        <v/>
      </c>
      <c r="Q331" s="264" t="str">
        <f>IFERROR(__xludf.DUMMYFUNCTION("IFERROR(IF(F331=""Crypto"",B331,(IF(ISBLANK(D331),"""",IF(D331=""Cash"",B331,IF(GOOGLEFINANCE(D331,""CURRENCY"")=""GBX"",""GBP"",GOOGLEFINANCE(D331,""CURRENCY"")))))),B331)"),"")</f>
        <v/>
      </c>
      <c r="R331" s="263" t="str">
        <f>IFERROR(__xludf.DUMMYFUNCTION("IF(ISBLANK(A331),"""",IFERROR(IF(OR(Q331=""GPB"",Q331=""ZAR""),IF(Q331=Dashboard!$L$1,K331,(K331*GOOGLEFINANCE(""CURRENCY:""&amp;Q331&amp;""""&amp;Dashboard!$L$1&amp;""""))/100),IF(Q331=Dashboard!$L$1,K331,K331*GOOGLEFINANCE(""CURRENCY:""&amp;Q331&amp;""""&amp;Dashboard!$L$1&amp;"""")))"&amp;",K331))"),"")</f>
        <v/>
      </c>
      <c r="S331" s="266" t="str">
        <f>IFERROR(__xludf.DUMMYFUNCTION("IF(ISBLANK(A331),"""",IFERROR(IF(OR(Q331=""GPB"",Q331=""ZAR""),IF(Q331=Dashboard!$L$1,M331,(M331*GOOGLEFINANCE(""CURRENCY:""&amp;Q331&amp;""""&amp;Dashboard!$L$1&amp;""""))/100),IF(Q331=Dashboard!$L$1,M331,M331*GOOGLEFINANCE(""CURRENCY:""&amp;Q331&amp;""""&amp;Dashboard!$L$1&amp;"""")))"&amp;",M331))"),"")</f>
        <v/>
      </c>
      <c r="T331" s="264" t="str">
        <f t="shared" si="4"/>
        <v/>
      </c>
      <c r="U331" s="264" t="str">
        <f t="shared" si="5"/>
        <v/>
      </c>
      <c r="V331" s="264" t="str">
        <f t="shared" si="6"/>
        <v/>
      </c>
      <c r="W331" s="267" t="str">
        <f t="shared" si="8"/>
        <v/>
      </c>
      <c r="X331" s="264" t="str">
        <f t="shared" si="7"/>
        <v/>
      </c>
    </row>
    <row r="332" ht="15.75" customHeight="1">
      <c r="A332" s="258"/>
      <c r="B332" s="258"/>
      <c r="C332" s="269"/>
      <c r="D332" s="258"/>
      <c r="E332" s="258"/>
      <c r="F332" s="258"/>
      <c r="G332" s="258"/>
      <c r="H332" s="271"/>
      <c r="I332" s="258"/>
      <c r="J332" s="272"/>
      <c r="K332" s="260"/>
      <c r="L332" s="261"/>
      <c r="M332" s="262" t="str">
        <f t="shared" si="1"/>
        <v/>
      </c>
      <c r="N332" s="263" t="str">
        <f t="shared" si="2"/>
        <v/>
      </c>
      <c r="O332" s="264" t="str">
        <f t="shared" si="3"/>
        <v/>
      </c>
      <c r="P332" s="265" t="str">
        <f>IFERROR(__xludf.DUMMYFUNCTION("IF(ISBLANK(A332),"""",IFERROR(IF(H332=""Sell"",VLOOKUP(9^99,FILTER({ROW(P$2:P331),P$2:P331},D$2:D331=D332),2),(VLOOKUP(9^99,FILTER({ROW(P$2:P331),P$2:P331},D$2:D331=D332),2)*VLOOKUP(9^99,FILTER({ROW(O$2:O331),O$2:O331},D$2:D331=D332),2)-N332)/O332),J332))"),"")</f>
        <v/>
      </c>
      <c r="Q332" s="264" t="str">
        <f>IFERROR(__xludf.DUMMYFUNCTION("IFERROR(IF(F332=""Crypto"",B332,(IF(ISBLANK(D332),"""",IF(D332=""Cash"",B332,IF(GOOGLEFINANCE(D332,""CURRENCY"")=""GBX"",""GBP"",GOOGLEFINANCE(D332,""CURRENCY"")))))),B332)"),"")</f>
        <v/>
      </c>
      <c r="R332" s="263" t="str">
        <f>IFERROR(__xludf.DUMMYFUNCTION("IF(ISBLANK(A332),"""",IFERROR(IF(OR(Q332=""GPB"",Q332=""ZAR""),IF(Q332=Dashboard!$L$1,K332,(K332*GOOGLEFINANCE(""CURRENCY:""&amp;Q332&amp;""""&amp;Dashboard!$L$1&amp;""""))/100),IF(Q332=Dashboard!$L$1,K332,K332*GOOGLEFINANCE(""CURRENCY:""&amp;Q332&amp;""""&amp;Dashboard!$L$1&amp;"""")))"&amp;",K332))"),"")</f>
        <v/>
      </c>
      <c r="S332" s="266" t="str">
        <f>IFERROR(__xludf.DUMMYFUNCTION("IF(ISBLANK(A332),"""",IFERROR(IF(OR(Q332=""GPB"",Q332=""ZAR""),IF(Q332=Dashboard!$L$1,M332,(M332*GOOGLEFINANCE(""CURRENCY:""&amp;Q332&amp;""""&amp;Dashboard!$L$1&amp;""""))/100),IF(Q332=Dashboard!$L$1,M332,M332*GOOGLEFINANCE(""CURRENCY:""&amp;Q332&amp;""""&amp;Dashboard!$L$1&amp;"""")))"&amp;",M332))"),"")</f>
        <v/>
      </c>
      <c r="T332" s="264" t="str">
        <f t="shared" si="4"/>
        <v/>
      </c>
      <c r="U332" s="264" t="str">
        <f t="shared" si="5"/>
        <v/>
      </c>
      <c r="V332" s="264" t="str">
        <f t="shared" si="6"/>
        <v/>
      </c>
      <c r="W332" s="267" t="str">
        <f t="shared" si="8"/>
        <v/>
      </c>
      <c r="X332" s="264" t="str">
        <f t="shared" si="7"/>
        <v/>
      </c>
    </row>
    <row r="333" ht="15.75" customHeight="1">
      <c r="A333" s="258"/>
      <c r="B333" s="258"/>
      <c r="C333" s="269"/>
      <c r="D333" s="258"/>
      <c r="E333" s="258"/>
      <c r="F333" s="258"/>
      <c r="G333" s="258"/>
      <c r="H333" s="271"/>
      <c r="I333" s="258"/>
      <c r="J333" s="272"/>
      <c r="K333" s="260"/>
      <c r="L333" s="261"/>
      <c r="M333" s="262" t="str">
        <f t="shared" si="1"/>
        <v/>
      </c>
      <c r="N333" s="263" t="str">
        <f t="shared" si="2"/>
        <v/>
      </c>
      <c r="O333" s="264" t="str">
        <f t="shared" si="3"/>
        <v/>
      </c>
      <c r="P333" s="265" t="str">
        <f>IFERROR(__xludf.DUMMYFUNCTION("IF(ISBLANK(A333),"""",IFERROR(IF(H333=""Sell"",VLOOKUP(9^99,FILTER({ROW(P$2:P332),P$2:P332},D$2:D332=D333),2),(VLOOKUP(9^99,FILTER({ROW(P$2:P332),P$2:P332},D$2:D332=D333),2)*VLOOKUP(9^99,FILTER({ROW(O$2:O332),O$2:O332},D$2:D332=D333),2)-N333)/O333),J333))"),"")</f>
        <v/>
      </c>
      <c r="Q333" s="264" t="str">
        <f>IFERROR(__xludf.DUMMYFUNCTION("IFERROR(IF(F333=""Crypto"",B333,(IF(ISBLANK(D333),"""",IF(D333=""Cash"",B333,IF(GOOGLEFINANCE(D333,""CURRENCY"")=""GBX"",""GBP"",GOOGLEFINANCE(D333,""CURRENCY"")))))),B333)"),"")</f>
        <v/>
      </c>
      <c r="R333" s="263" t="str">
        <f>IFERROR(__xludf.DUMMYFUNCTION("IF(ISBLANK(A333),"""",IFERROR(IF(OR(Q333=""GPB"",Q333=""ZAR""),IF(Q333=Dashboard!$L$1,K333,(K333*GOOGLEFINANCE(""CURRENCY:""&amp;Q333&amp;""""&amp;Dashboard!$L$1&amp;""""))/100),IF(Q333=Dashboard!$L$1,K333,K333*GOOGLEFINANCE(""CURRENCY:""&amp;Q333&amp;""""&amp;Dashboard!$L$1&amp;"""")))"&amp;",K333))"),"")</f>
        <v/>
      </c>
      <c r="S333" s="266" t="str">
        <f>IFERROR(__xludf.DUMMYFUNCTION("IF(ISBLANK(A333),"""",IFERROR(IF(OR(Q333=""GPB"",Q333=""ZAR""),IF(Q333=Dashboard!$L$1,M333,(M333*GOOGLEFINANCE(""CURRENCY:""&amp;Q333&amp;""""&amp;Dashboard!$L$1&amp;""""))/100),IF(Q333=Dashboard!$L$1,M333,M333*GOOGLEFINANCE(""CURRENCY:""&amp;Q333&amp;""""&amp;Dashboard!$L$1&amp;"""")))"&amp;",M333))"),"")</f>
        <v/>
      </c>
      <c r="T333" s="264" t="str">
        <f t="shared" si="4"/>
        <v/>
      </c>
      <c r="U333" s="264" t="str">
        <f t="shared" si="5"/>
        <v/>
      </c>
      <c r="V333" s="264" t="str">
        <f t="shared" si="6"/>
        <v/>
      </c>
      <c r="W333" s="267" t="str">
        <f t="shared" si="8"/>
        <v/>
      </c>
      <c r="X333" s="264" t="str">
        <f t="shared" si="7"/>
        <v/>
      </c>
    </row>
    <row r="334" ht="15.75" customHeight="1">
      <c r="A334" s="258"/>
      <c r="B334" s="258"/>
      <c r="C334" s="269"/>
      <c r="D334" s="258"/>
      <c r="E334" s="258"/>
      <c r="F334" s="258"/>
      <c r="G334" s="258"/>
      <c r="H334" s="271"/>
      <c r="I334" s="258"/>
      <c r="J334" s="272"/>
      <c r="K334" s="260"/>
      <c r="L334" s="261"/>
      <c r="M334" s="262" t="str">
        <f t="shared" si="1"/>
        <v/>
      </c>
      <c r="N334" s="263" t="str">
        <f t="shared" si="2"/>
        <v/>
      </c>
      <c r="O334" s="264" t="str">
        <f t="shared" si="3"/>
        <v/>
      </c>
      <c r="P334" s="265" t="str">
        <f>IFERROR(__xludf.DUMMYFUNCTION("IF(ISBLANK(A334),"""",IFERROR(IF(H334=""Sell"",VLOOKUP(9^99,FILTER({ROW(P$2:P333),P$2:P333},D$2:D333=D334),2),(VLOOKUP(9^99,FILTER({ROW(P$2:P333),P$2:P333},D$2:D333=D334),2)*VLOOKUP(9^99,FILTER({ROW(O$2:O333),O$2:O333},D$2:D333=D334),2)-N334)/O334),J334))"),"")</f>
        <v/>
      </c>
      <c r="Q334" s="264" t="str">
        <f>IFERROR(__xludf.DUMMYFUNCTION("IFERROR(IF(F334=""Crypto"",B334,(IF(ISBLANK(D334),"""",IF(D334=""Cash"",B334,IF(GOOGLEFINANCE(D334,""CURRENCY"")=""GBX"",""GBP"",GOOGLEFINANCE(D334,""CURRENCY"")))))),B334)"),"")</f>
        <v/>
      </c>
      <c r="R334" s="263" t="str">
        <f>IFERROR(__xludf.DUMMYFUNCTION("IF(ISBLANK(A334),"""",IFERROR(IF(OR(Q334=""GPB"",Q334=""ZAR""),IF(Q334=Dashboard!$L$1,K334,(K334*GOOGLEFINANCE(""CURRENCY:""&amp;Q334&amp;""""&amp;Dashboard!$L$1&amp;""""))/100),IF(Q334=Dashboard!$L$1,K334,K334*GOOGLEFINANCE(""CURRENCY:""&amp;Q334&amp;""""&amp;Dashboard!$L$1&amp;"""")))"&amp;",K334))"),"")</f>
        <v/>
      </c>
      <c r="S334" s="266" t="str">
        <f>IFERROR(__xludf.DUMMYFUNCTION("IF(ISBLANK(A334),"""",IFERROR(IF(OR(Q334=""GPB"",Q334=""ZAR""),IF(Q334=Dashboard!$L$1,M334,(M334*GOOGLEFINANCE(""CURRENCY:""&amp;Q334&amp;""""&amp;Dashboard!$L$1&amp;""""))/100),IF(Q334=Dashboard!$L$1,M334,M334*GOOGLEFINANCE(""CURRENCY:""&amp;Q334&amp;""""&amp;Dashboard!$L$1&amp;"""")))"&amp;",M334))"),"")</f>
        <v/>
      </c>
      <c r="T334" s="264" t="str">
        <f t="shared" si="4"/>
        <v/>
      </c>
      <c r="U334" s="264" t="str">
        <f t="shared" si="5"/>
        <v/>
      </c>
      <c r="V334" s="264" t="str">
        <f t="shared" si="6"/>
        <v/>
      </c>
      <c r="W334" s="267" t="str">
        <f t="shared" si="8"/>
        <v/>
      </c>
      <c r="X334" s="264" t="str">
        <f t="shared" si="7"/>
        <v/>
      </c>
    </row>
    <row r="335" ht="15.75" customHeight="1">
      <c r="A335" s="258"/>
      <c r="B335" s="258"/>
      <c r="C335" s="269"/>
      <c r="D335" s="258"/>
      <c r="E335" s="258"/>
      <c r="F335" s="258"/>
      <c r="G335" s="258"/>
      <c r="H335" s="271"/>
      <c r="I335" s="258"/>
      <c r="J335" s="272"/>
      <c r="K335" s="260"/>
      <c r="L335" s="261"/>
      <c r="M335" s="262" t="str">
        <f t="shared" si="1"/>
        <v/>
      </c>
      <c r="N335" s="263" t="str">
        <f t="shared" si="2"/>
        <v/>
      </c>
      <c r="O335" s="264" t="str">
        <f t="shared" si="3"/>
        <v/>
      </c>
      <c r="P335" s="265" t="str">
        <f>IFERROR(__xludf.DUMMYFUNCTION("IF(ISBLANK(A335),"""",IFERROR(IF(H335=""Sell"",VLOOKUP(9^99,FILTER({ROW(P$2:P334),P$2:P334},D$2:D334=D335),2),(VLOOKUP(9^99,FILTER({ROW(P$2:P334),P$2:P334},D$2:D334=D335),2)*VLOOKUP(9^99,FILTER({ROW(O$2:O334),O$2:O334},D$2:D334=D335),2)-N335)/O335),J335))"),"")</f>
        <v/>
      </c>
      <c r="Q335" s="264" t="str">
        <f>IFERROR(__xludf.DUMMYFUNCTION("IFERROR(IF(F335=""Crypto"",B335,(IF(ISBLANK(D335),"""",IF(D335=""Cash"",B335,IF(GOOGLEFINANCE(D335,""CURRENCY"")=""GBX"",""GBP"",GOOGLEFINANCE(D335,""CURRENCY"")))))),B335)"),"")</f>
        <v/>
      </c>
      <c r="R335" s="263" t="str">
        <f>IFERROR(__xludf.DUMMYFUNCTION("IF(ISBLANK(A335),"""",IFERROR(IF(OR(Q335=""GPB"",Q335=""ZAR""),IF(Q335=Dashboard!$L$1,K335,(K335*GOOGLEFINANCE(""CURRENCY:""&amp;Q335&amp;""""&amp;Dashboard!$L$1&amp;""""))/100),IF(Q335=Dashboard!$L$1,K335,K335*GOOGLEFINANCE(""CURRENCY:""&amp;Q335&amp;""""&amp;Dashboard!$L$1&amp;"""")))"&amp;",K335))"),"")</f>
        <v/>
      </c>
      <c r="S335" s="266" t="str">
        <f>IFERROR(__xludf.DUMMYFUNCTION("IF(ISBLANK(A335),"""",IFERROR(IF(OR(Q335=""GPB"",Q335=""ZAR""),IF(Q335=Dashboard!$L$1,M335,(M335*GOOGLEFINANCE(""CURRENCY:""&amp;Q335&amp;""""&amp;Dashboard!$L$1&amp;""""))/100),IF(Q335=Dashboard!$L$1,M335,M335*GOOGLEFINANCE(""CURRENCY:""&amp;Q335&amp;""""&amp;Dashboard!$L$1&amp;"""")))"&amp;",M335))"),"")</f>
        <v/>
      </c>
      <c r="T335" s="264" t="str">
        <f t="shared" si="4"/>
        <v/>
      </c>
      <c r="U335" s="264" t="str">
        <f t="shared" si="5"/>
        <v/>
      </c>
      <c r="V335" s="264" t="str">
        <f t="shared" si="6"/>
        <v/>
      </c>
      <c r="W335" s="267" t="str">
        <f t="shared" si="8"/>
        <v/>
      </c>
      <c r="X335" s="264" t="str">
        <f t="shared" si="7"/>
        <v/>
      </c>
    </row>
    <row r="336" ht="15.75" customHeight="1">
      <c r="A336" s="258"/>
      <c r="B336" s="258"/>
      <c r="C336" s="269"/>
      <c r="D336" s="258"/>
      <c r="E336" s="258"/>
      <c r="F336" s="258"/>
      <c r="G336" s="258"/>
      <c r="H336" s="271"/>
      <c r="I336" s="258"/>
      <c r="J336" s="272"/>
      <c r="K336" s="260"/>
      <c r="L336" s="261"/>
      <c r="M336" s="262" t="str">
        <f t="shared" si="1"/>
        <v/>
      </c>
      <c r="N336" s="263" t="str">
        <f t="shared" si="2"/>
        <v/>
      </c>
      <c r="O336" s="264" t="str">
        <f t="shared" si="3"/>
        <v/>
      </c>
      <c r="P336" s="265" t="str">
        <f>IFERROR(__xludf.DUMMYFUNCTION("IF(ISBLANK(A336),"""",IFERROR(IF(H336=""Sell"",VLOOKUP(9^99,FILTER({ROW(P$2:P335),P$2:P335},D$2:D335=D336),2),(VLOOKUP(9^99,FILTER({ROW(P$2:P335),P$2:P335},D$2:D335=D336),2)*VLOOKUP(9^99,FILTER({ROW(O$2:O335),O$2:O335},D$2:D335=D336),2)-N336)/O336),J336))"),"")</f>
        <v/>
      </c>
      <c r="Q336" s="264" t="str">
        <f>IFERROR(__xludf.DUMMYFUNCTION("IFERROR(IF(F336=""Crypto"",B336,(IF(ISBLANK(D336),"""",IF(D336=""Cash"",B336,IF(GOOGLEFINANCE(D336,""CURRENCY"")=""GBX"",""GBP"",GOOGLEFINANCE(D336,""CURRENCY"")))))),B336)"),"")</f>
        <v/>
      </c>
      <c r="R336" s="263" t="str">
        <f>IFERROR(__xludf.DUMMYFUNCTION("IF(ISBLANK(A336),"""",IFERROR(IF(OR(Q336=""GPB"",Q336=""ZAR""),IF(Q336=Dashboard!$L$1,K336,(K336*GOOGLEFINANCE(""CURRENCY:""&amp;Q336&amp;""""&amp;Dashboard!$L$1&amp;""""))/100),IF(Q336=Dashboard!$L$1,K336,K336*GOOGLEFINANCE(""CURRENCY:""&amp;Q336&amp;""""&amp;Dashboard!$L$1&amp;"""")))"&amp;",K336))"),"")</f>
        <v/>
      </c>
      <c r="S336" s="266" t="str">
        <f>IFERROR(__xludf.DUMMYFUNCTION("IF(ISBLANK(A336),"""",IFERROR(IF(OR(Q336=""GPB"",Q336=""ZAR""),IF(Q336=Dashboard!$L$1,M336,(M336*GOOGLEFINANCE(""CURRENCY:""&amp;Q336&amp;""""&amp;Dashboard!$L$1&amp;""""))/100),IF(Q336=Dashboard!$L$1,M336,M336*GOOGLEFINANCE(""CURRENCY:""&amp;Q336&amp;""""&amp;Dashboard!$L$1&amp;"""")))"&amp;",M336))"),"")</f>
        <v/>
      </c>
      <c r="T336" s="264" t="str">
        <f t="shared" si="4"/>
        <v/>
      </c>
      <c r="U336" s="264" t="str">
        <f t="shared" si="5"/>
        <v/>
      </c>
      <c r="V336" s="264" t="str">
        <f t="shared" si="6"/>
        <v/>
      </c>
      <c r="W336" s="267" t="str">
        <f t="shared" si="8"/>
        <v/>
      </c>
      <c r="X336" s="264" t="str">
        <f t="shared" si="7"/>
        <v/>
      </c>
    </row>
    <row r="337" ht="15.75" customHeight="1">
      <c r="A337" s="258"/>
      <c r="B337" s="258"/>
      <c r="C337" s="269"/>
      <c r="D337" s="258"/>
      <c r="E337" s="258"/>
      <c r="F337" s="258"/>
      <c r="G337" s="258"/>
      <c r="H337" s="271"/>
      <c r="I337" s="258"/>
      <c r="J337" s="272"/>
      <c r="K337" s="260"/>
      <c r="L337" s="261"/>
      <c r="M337" s="262" t="str">
        <f t="shared" si="1"/>
        <v/>
      </c>
      <c r="N337" s="263" t="str">
        <f t="shared" si="2"/>
        <v/>
      </c>
      <c r="O337" s="264" t="str">
        <f t="shared" si="3"/>
        <v/>
      </c>
      <c r="P337" s="265" t="str">
        <f>IFERROR(__xludf.DUMMYFUNCTION("IF(ISBLANK(A337),"""",IFERROR(IF(H337=""Sell"",VLOOKUP(9^99,FILTER({ROW(P$2:P336),P$2:P336},D$2:D336=D337),2),(VLOOKUP(9^99,FILTER({ROW(P$2:P336),P$2:P336},D$2:D336=D337),2)*VLOOKUP(9^99,FILTER({ROW(O$2:O336),O$2:O336},D$2:D336=D337),2)-N337)/O337),J337))"),"")</f>
        <v/>
      </c>
      <c r="Q337" s="264" t="str">
        <f>IFERROR(__xludf.DUMMYFUNCTION("IFERROR(IF(F337=""Crypto"",B337,(IF(ISBLANK(D337),"""",IF(D337=""Cash"",B337,IF(GOOGLEFINANCE(D337,""CURRENCY"")=""GBX"",""GBP"",GOOGLEFINANCE(D337,""CURRENCY"")))))),B337)"),"")</f>
        <v/>
      </c>
      <c r="R337" s="263" t="str">
        <f>IFERROR(__xludf.DUMMYFUNCTION("IF(ISBLANK(A337),"""",IFERROR(IF(OR(Q337=""GPB"",Q337=""ZAR""),IF(Q337=Dashboard!$L$1,K337,(K337*GOOGLEFINANCE(""CURRENCY:""&amp;Q337&amp;""""&amp;Dashboard!$L$1&amp;""""))/100),IF(Q337=Dashboard!$L$1,K337,K337*GOOGLEFINANCE(""CURRENCY:""&amp;Q337&amp;""""&amp;Dashboard!$L$1&amp;"""")))"&amp;",K337))"),"")</f>
        <v/>
      </c>
      <c r="S337" s="266" t="str">
        <f>IFERROR(__xludf.DUMMYFUNCTION("IF(ISBLANK(A337),"""",IFERROR(IF(OR(Q337=""GPB"",Q337=""ZAR""),IF(Q337=Dashboard!$L$1,M337,(M337*GOOGLEFINANCE(""CURRENCY:""&amp;Q337&amp;""""&amp;Dashboard!$L$1&amp;""""))/100),IF(Q337=Dashboard!$L$1,M337,M337*GOOGLEFINANCE(""CURRENCY:""&amp;Q337&amp;""""&amp;Dashboard!$L$1&amp;"""")))"&amp;",M337))"),"")</f>
        <v/>
      </c>
      <c r="T337" s="264" t="str">
        <f t="shared" si="4"/>
        <v/>
      </c>
      <c r="U337" s="264" t="str">
        <f t="shared" si="5"/>
        <v/>
      </c>
      <c r="V337" s="264" t="str">
        <f t="shared" si="6"/>
        <v/>
      </c>
      <c r="W337" s="267" t="str">
        <f t="shared" si="8"/>
        <v/>
      </c>
      <c r="X337" s="264" t="str">
        <f t="shared" si="7"/>
        <v/>
      </c>
    </row>
    <row r="338" ht="15.75" customHeight="1">
      <c r="A338" s="258"/>
      <c r="B338" s="258"/>
      <c r="C338" s="269"/>
      <c r="D338" s="258"/>
      <c r="E338" s="258"/>
      <c r="F338" s="258"/>
      <c r="G338" s="258"/>
      <c r="H338" s="271"/>
      <c r="I338" s="258"/>
      <c r="J338" s="272"/>
      <c r="K338" s="260"/>
      <c r="L338" s="261"/>
      <c r="M338" s="262" t="str">
        <f t="shared" si="1"/>
        <v/>
      </c>
      <c r="N338" s="263" t="str">
        <f t="shared" si="2"/>
        <v/>
      </c>
      <c r="O338" s="264" t="str">
        <f t="shared" si="3"/>
        <v/>
      </c>
      <c r="P338" s="265" t="str">
        <f>IFERROR(__xludf.DUMMYFUNCTION("IF(ISBLANK(A338),"""",IFERROR(IF(H338=""Sell"",VLOOKUP(9^99,FILTER({ROW(P$2:P337),P$2:P337},D$2:D337=D338),2),(VLOOKUP(9^99,FILTER({ROW(P$2:P337),P$2:P337},D$2:D337=D338),2)*VLOOKUP(9^99,FILTER({ROW(O$2:O337),O$2:O337},D$2:D337=D338),2)-N338)/O338),J338))"),"")</f>
        <v/>
      </c>
      <c r="Q338" s="264" t="str">
        <f>IFERROR(__xludf.DUMMYFUNCTION("IFERROR(IF(F338=""Crypto"",B338,(IF(ISBLANK(D338),"""",IF(D338=""Cash"",B338,IF(GOOGLEFINANCE(D338,""CURRENCY"")=""GBX"",""GBP"",GOOGLEFINANCE(D338,""CURRENCY"")))))),B338)"),"")</f>
        <v/>
      </c>
      <c r="R338" s="263" t="str">
        <f>IFERROR(__xludf.DUMMYFUNCTION("IF(ISBLANK(A338),"""",IFERROR(IF(OR(Q338=""GPB"",Q338=""ZAR""),IF(Q338=Dashboard!$L$1,K338,(K338*GOOGLEFINANCE(""CURRENCY:""&amp;Q338&amp;""""&amp;Dashboard!$L$1&amp;""""))/100),IF(Q338=Dashboard!$L$1,K338,K338*GOOGLEFINANCE(""CURRENCY:""&amp;Q338&amp;""""&amp;Dashboard!$L$1&amp;"""")))"&amp;",K338))"),"")</f>
        <v/>
      </c>
      <c r="S338" s="266" t="str">
        <f>IFERROR(__xludf.DUMMYFUNCTION("IF(ISBLANK(A338),"""",IFERROR(IF(OR(Q338=""GPB"",Q338=""ZAR""),IF(Q338=Dashboard!$L$1,M338,(M338*GOOGLEFINANCE(""CURRENCY:""&amp;Q338&amp;""""&amp;Dashboard!$L$1&amp;""""))/100),IF(Q338=Dashboard!$L$1,M338,M338*GOOGLEFINANCE(""CURRENCY:""&amp;Q338&amp;""""&amp;Dashboard!$L$1&amp;"""")))"&amp;",M338))"),"")</f>
        <v/>
      </c>
      <c r="T338" s="264" t="str">
        <f t="shared" si="4"/>
        <v/>
      </c>
      <c r="U338" s="264" t="str">
        <f t="shared" si="5"/>
        <v/>
      </c>
      <c r="V338" s="264" t="str">
        <f t="shared" si="6"/>
        <v/>
      </c>
      <c r="W338" s="267" t="str">
        <f t="shared" si="8"/>
        <v/>
      </c>
      <c r="X338" s="264" t="str">
        <f t="shared" si="7"/>
        <v/>
      </c>
    </row>
    <row r="339" ht="15.75" customHeight="1">
      <c r="A339" s="258"/>
      <c r="B339" s="258"/>
      <c r="C339" s="269"/>
      <c r="D339" s="258"/>
      <c r="E339" s="258"/>
      <c r="F339" s="258"/>
      <c r="G339" s="258"/>
      <c r="H339" s="271"/>
      <c r="I339" s="258"/>
      <c r="J339" s="272"/>
      <c r="K339" s="260"/>
      <c r="L339" s="261"/>
      <c r="M339" s="262" t="str">
        <f t="shared" si="1"/>
        <v/>
      </c>
      <c r="N339" s="263" t="str">
        <f t="shared" si="2"/>
        <v/>
      </c>
      <c r="O339" s="264" t="str">
        <f t="shared" si="3"/>
        <v/>
      </c>
      <c r="P339" s="265" t="str">
        <f>IFERROR(__xludf.DUMMYFUNCTION("IF(ISBLANK(A339),"""",IFERROR(IF(H339=""Sell"",VLOOKUP(9^99,FILTER({ROW(P$2:P338),P$2:P338},D$2:D338=D339),2),(VLOOKUP(9^99,FILTER({ROW(P$2:P338),P$2:P338},D$2:D338=D339),2)*VLOOKUP(9^99,FILTER({ROW(O$2:O338),O$2:O338},D$2:D338=D339),2)-N339)/O339),J339))"),"")</f>
        <v/>
      </c>
      <c r="Q339" s="264" t="str">
        <f>IFERROR(__xludf.DUMMYFUNCTION("IFERROR(IF(F339=""Crypto"",B339,(IF(ISBLANK(D339),"""",IF(D339=""Cash"",B339,IF(GOOGLEFINANCE(D339,""CURRENCY"")=""GBX"",""GBP"",GOOGLEFINANCE(D339,""CURRENCY"")))))),B339)"),"")</f>
        <v/>
      </c>
      <c r="R339" s="263" t="str">
        <f>IFERROR(__xludf.DUMMYFUNCTION("IF(ISBLANK(A339),"""",IFERROR(IF(OR(Q339=""GPB"",Q339=""ZAR""),IF(Q339=Dashboard!$L$1,K339,(K339*GOOGLEFINANCE(""CURRENCY:""&amp;Q339&amp;""""&amp;Dashboard!$L$1&amp;""""))/100),IF(Q339=Dashboard!$L$1,K339,K339*GOOGLEFINANCE(""CURRENCY:""&amp;Q339&amp;""""&amp;Dashboard!$L$1&amp;"""")))"&amp;",K339))"),"")</f>
        <v/>
      </c>
      <c r="S339" s="266" t="str">
        <f>IFERROR(__xludf.DUMMYFUNCTION("IF(ISBLANK(A339),"""",IFERROR(IF(OR(Q339=""GPB"",Q339=""ZAR""),IF(Q339=Dashboard!$L$1,M339,(M339*GOOGLEFINANCE(""CURRENCY:""&amp;Q339&amp;""""&amp;Dashboard!$L$1&amp;""""))/100),IF(Q339=Dashboard!$L$1,M339,M339*GOOGLEFINANCE(""CURRENCY:""&amp;Q339&amp;""""&amp;Dashboard!$L$1&amp;"""")))"&amp;",M339))"),"")</f>
        <v/>
      </c>
      <c r="T339" s="264" t="str">
        <f t="shared" si="4"/>
        <v/>
      </c>
      <c r="U339" s="264" t="str">
        <f t="shared" si="5"/>
        <v/>
      </c>
      <c r="V339" s="264" t="str">
        <f t="shared" si="6"/>
        <v/>
      </c>
      <c r="W339" s="267" t="str">
        <f t="shared" si="8"/>
        <v/>
      </c>
      <c r="X339" s="264" t="str">
        <f t="shared" si="7"/>
        <v/>
      </c>
    </row>
    <row r="340" ht="15.75" customHeight="1">
      <c r="A340" s="258"/>
      <c r="B340" s="258"/>
      <c r="C340" s="269"/>
      <c r="D340" s="258"/>
      <c r="E340" s="258"/>
      <c r="F340" s="258"/>
      <c r="G340" s="258"/>
      <c r="H340" s="271"/>
      <c r="I340" s="258"/>
      <c r="J340" s="272"/>
      <c r="K340" s="260"/>
      <c r="L340" s="261"/>
      <c r="M340" s="262" t="str">
        <f t="shared" si="1"/>
        <v/>
      </c>
      <c r="N340" s="263" t="str">
        <f t="shared" si="2"/>
        <v/>
      </c>
      <c r="O340" s="264" t="str">
        <f t="shared" si="3"/>
        <v/>
      </c>
      <c r="P340" s="265" t="str">
        <f>IFERROR(__xludf.DUMMYFUNCTION("IF(ISBLANK(A340),"""",IFERROR(IF(H340=""Sell"",VLOOKUP(9^99,FILTER({ROW(P$2:P339),P$2:P339},D$2:D339=D340),2),(VLOOKUP(9^99,FILTER({ROW(P$2:P339),P$2:P339},D$2:D339=D340),2)*VLOOKUP(9^99,FILTER({ROW(O$2:O339),O$2:O339},D$2:D339=D340),2)-N340)/O340),J340))"),"")</f>
        <v/>
      </c>
      <c r="Q340" s="264" t="str">
        <f>IFERROR(__xludf.DUMMYFUNCTION("IFERROR(IF(F340=""Crypto"",B340,(IF(ISBLANK(D340),"""",IF(D340=""Cash"",B340,IF(GOOGLEFINANCE(D340,""CURRENCY"")=""GBX"",""GBP"",GOOGLEFINANCE(D340,""CURRENCY"")))))),B340)"),"")</f>
        <v/>
      </c>
      <c r="R340" s="263" t="str">
        <f>IFERROR(__xludf.DUMMYFUNCTION("IF(ISBLANK(A340),"""",IFERROR(IF(OR(Q340=""GPB"",Q340=""ZAR""),IF(Q340=Dashboard!$L$1,K340,(K340*GOOGLEFINANCE(""CURRENCY:""&amp;Q340&amp;""""&amp;Dashboard!$L$1&amp;""""))/100),IF(Q340=Dashboard!$L$1,K340,K340*GOOGLEFINANCE(""CURRENCY:""&amp;Q340&amp;""""&amp;Dashboard!$L$1&amp;"""")))"&amp;",K340))"),"")</f>
        <v/>
      </c>
      <c r="S340" s="266" t="str">
        <f>IFERROR(__xludf.DUMMYFUNCTION("IF(ISBLANK(A340),"""",IFERROR(IF(OR(Q340=""GPB"",Q340=""ZAR""),IF(Q340=Dashboard!$L$1,M340,(M340*GOOGLEFINANCE(""CURRENCY:""&amp;Q340&amp;""""&amp;Dashboard!$L$1&amp;""""))/100),IF(Q340=Dashboard!$L$1,M340,M340*GOOGLEFINANCE(""CURRENCY:""&amp;Q340&amp;""""&amp;Dashboard!$L$1&amp;"""")))"&amp;",M340))"),"")</f>
        <v/>
      </c>
      <c r="T340" s="264" t="str">
        <f t="shared" si="4"/>
        <v/>
      </c>
      <c r="U340" s="264" t="str">
        <f t="shared" si="5"/>
        <v/>
      </c>
      <c r="V340" s="264" t="str">
        <f t="shared" si="6"/>
        <v/>
      </c>
      <c r="W340" s="267" t="str">
        <f t="shared" si="8"/>
        <v/>
      </c>
      <c r="X340" s="264" t="str">
        <f t="shared" si="7"/>
        <v/>
      </c>
    </row>
    <row r="341" ht="15.75" customHeight="1">
      <c r="A341" s="258"/>
      <c r="B341" s="258"/>
      <c r="C341" s="269"/>
      <c r="D341" s="258"/>
      <c r="E341" s="258"/>
      <c r="F341" s="258"/>
      <c r="G341" s="258"/>
      <c r="H341" s="271"/>
      <c r="I341" s="258"/>
      <c r="J341" s="272"/>
      <c r="K341" s="260"/>
      <c r="L341" s="261"/>
      <c r="M341" s="262" t="str">
        <f t="shared" si="1"/>
        <v/>
      </c>
      <c r="N341" s="263" t="str">
        <f t="shared" si="2"/>
        <v/>
      </c>
      <c r="O341" s="264" t="str">
        <f t="shared" si="3"/>
        <v/>
      </c>
      <c r="P341" s="265" t="str">
        <f>IFERROR(__xludf.DUMMYFUNCTION("IF(ISBLANK(A341),"""",IFERROR(IF(H341=""Sell"",VLOOKUP(9^99,FILTER({ROW(P$2:P340),P$2:P340},D$2:D340=D341),2),(VLOOKUP(9^99,FILTER({ROW(P$2:P340),P$2:P340},D$2:D340=D341),2)*VLOOKUP(9^99,FILTER({ROW(O$2:O340),O$2:O340},D$2:D340=D341),2)-N341)/O341),J341))"),"")</f>
        <v/>
      </c>
      <c r="Q341" s="264" t="str">
        <f>IFERROR(__xludf.DUMMYFUNCTION("IFERROR(IF(F341=""Crypto"",B341,(IF(ISBLANK(D341),"""",IF(D341=""Cash"",B341,IF(GOOGLEFINANCE(D341,""CURRENCY"")=""GBX"",""GBP"",GOOGLEFINANCE(D341,""CURRENCY"")))))),B341)"),"")</f>
        <v/>
      </c>
      <c r="R341" s="263" t="str">
        <f>IFERROR(__xludf.DUMMYFUNCTION("IF(ISBLANK(A341),"""",IFERROR(IF(OR(Q341=""GPB"",Q341=""ZAR""),IF(Q341=Dashboard!$L$1,K341,(K341*GOOGLEFINANCE(""CURRENCY:""&amp;Q341&amp;""""&amp;Dashboard!$L$1&amp;""""))/100),IF(Q341=Dashboard!$L$1,K341,K341*GOOGLEFINANCE(""CURRENCY:""&amp;Q341&amp;""""&amp;Dashboard!$L$1&amp;"""")))"&amp;",K341))"),"")</f>
        <v/>
      </c>
      <c r="S341" s="266" t="str">
        <f>IFERROR(__xludf.DUMMYFUNCTION("IF(ISBLANK(A341),"""",IFERROR(IF(OR(Q341=""GPB"",Q341=""ZAR""),IF(Q341=Dashboard!$L$1,M341,(M341*GOOGLEFINANCE(""CURRENCY:""&amp;Q341&amp;""""&amp;Dashboard!$L$1&amp;""""))/100),IF(Q341=Dashboard!$L$1,M341,M341*GOOGLEFINANCE(""CURRENCY:""&amp;Q341&amp;""""&amp;Dashboard!$L$1&amp;"""")))"&amp;",M341))"),"")</f>
        <v/>
      </c>
      <c r="T341" s="264" t="str">
        <f t="shared" si="4"/>
        <v/>
      </c>
      <c r="U341" s="264" t="str">
        <f t="shared" si="5"/>
        <v/>
      </c>
      <c r="V341" s="264" t="str">
        <f t="shared" si="6"/>
        <v/>
      </c>
      <c r="W341" s="267" t="str">
        <f t="shared" si="8"/>
        <v/>
      </c>
      <c r="X341" s="264" t="str">
        <f t="shared" si="7"/>
        <v/>
      </c>
    </row>
    <row r="342" ht="15.75" customHeight="1">
      <c r="A342" s="258"/>
      <c r="B342" s="258"/>
      <c r="C342" s="269"/>
      <c r="D342" s="258"/>
      <c r="E342" s="258"/>
      <c r="F342" s="258"/>
      <c r="G342" s="258"/>
      <c r="H342" s="271"/>
      <c r="I342" s="258"/>
      <c r="J342" s="272"/>
      <c r="K342" s="260"/>
      <c r="L342" s="261"/>
      <c r="M342" s="262" t="str">
        <f t="shared" si="1"/>
        <v/>
      </c>
      <c r="N342" s="263" t="str">
        <f t="shared" si="2"/>
        <v/>
      </c>
      <c r="O342" s="264" t="str">
        <f t="shared" si="3"/>
        <v/>
      </c>
      <c r="P342" s="265" t="str">
        <f>IFERROR(__xludf.DUMMYFUNCTION("IF(ISBLANK(A342),"""",IFERROR(IF(H342=""Sell"",VLOOKUP(9^99,FILTER({ROW(P$2:P341),P$2:P341},D$2:D341=D342),2),(VLOOKUP(9^99,FILTER({ROW(P$2:P341),P$2:P341},D$2:D341=D342),2)*VLOOKUP(9^99,FILTER({ROW(O$2:O341),O$2:O341},D$2:D341=D342),2)-N342)/O342),J342))"),"")</f>
        <v/>
      </c>
      <c r="Q342" s="264" t="str">
        <f>IFERROR(__xludf.DUMMYFUNCTION("IFERROR(IF(F342=""Crypto"",B342,(IF(ISBLANK(D342),"""",IF(D342=""Cash"",B342,IF(GOOGLEFINANCE(D342,""CURRENCY"")=""GBX"",""GBP"",GOOGLEFINANCE(D342,""CURRENCY"")))))),B342)"),"")</f>
        <v/>
      </c>
      <c r="R342" s="263" t="str">
        <f>IFERROR(__xludf.DUMMYFUNCTION("IF(ISBLANK(A342),"""",IFERROR(IF(OR(Q342=""GPB"",Q342=""ZAR""),IF(Q342=Dashboard!$L$1,K342,(K342*GOOGLEFINANCE(""CURRENCY:""&amp;Q342&amp;""""&amp;Dashboard!$L$1&amp;""""))/100),IF(Q342=Dashboard!$L$1,K342,K342*GOOGLEFINANCE(""CURRENCY:""&amp;Q342&amp;""""&amp;Dashboard!$L$1&amp;"""")))"&amp;",K342))"),"")</f>
        <v/>
      </c>
      <c r="S342" s="266" t="str">
        <f>IFERROR(__xludf.DUMMYFUNCTION("IF(ISBLANK(A342),"""",IFERROR(IF(OR(Q342=""GPB"",Q342=""ZAR""),IF(Q342=Dashboard!$L$1,M342,(M342*GOOGLEFINANCE(""CURRENCY:""&amp;Q342&amp;""""&amp;Dashboard!$L$1&amp;""""))/100),IF(Q342=Dashboard!$L$1,M342,M342*GOOGLEFINANCE(""CURRENCY:""&amp;Q342&amp;""""&amp;Dashboard!$L$1&amp;"""")))"&amp;",M342))"),"")</f>
        <v/>
      </c>
      <c r="T342" s="264" t="str">
        <f t="shared" si="4"/>
        <v/>
      </c>
      <c r="U342" s="264" t="str">
        <f t="shared" si="5"/>
        <v/>
      </c>
      <c r="V342" s="264" t="str">
        <f t="shared" si="6"/>
        <v/>
      </c>
      <c r="W342" s="267" t="str">
        <f t="shared" si="8"/>
        <v/>
      </c>
      <c r="X342" s="264" t="str">
        <f t="shared" si="7"/>
        <v/>
      </c>
    </row>
    <row r="343" ht="15.75" customHeight="1">
      <c r="A343" s="258"/>
      <c r="B343" s="258"/>
      <c r="C343" s="269"/>
      <c r="D343" s="258"/>
      <c r="E343" s="258"/>
      <c r="F343" s="258"/>
      <c r="G343" s="258"/>
      <c r="H343" s="271"/>
      <c r="I343" s="258"/>
      <c r="J343" s="272"/>
      <c r="K343" s="260"/>
      <c r="L343" s="261"/>
      <c r="M343" s="262" t="str">
        <f t="shared" si="1"/>
        <v/>
      </c>
      <c r="N343" s="263" t="str">
        <f t="shared" si="2"/>
        <v/>
      </c>
      <c r="O343" s="264" t="str">
        <f t="shared" si="3"/>
        <v/>
      </c>
      <c r="P343" s="265" t="str">
        <f>IFERROR(__xludf.DUMMYFUNCTION("IF(ISBLANK(A343),"""",IFERROR(IF(H343=""Sell"",VLOOKUP(9^99,FILTER({ROW(P$2:P342),P$2:P342},D$2:D342=D343),2),(VLOOKUP(9^99,FILTER({ROW(P$2:P342),P$2:P342},D$2:D342=D343),2)*VLOOKUP(9^99,FILTER({ROW(O$2:O342),O$2:O342},D$2:D342=D343),2)-N343)/O343),J343))"),"")</f>
        <v/>
      </c>
      <c r="Q343" s="264" t="str">
        <f>IFERROR(__xludf.DUMMYFUNCTION("IFERROR(IF(F343=""Crypto"",B343,(IF(ISBLANK(D343),"""",IF(D343=""Cash"",B343,IF(GOOGLEFINANCE(D343,""CURRENCY"")=""GBX"",""GBP"",GOOGLEFINANCE(D343,""CURRENCY"")))))),B343)"),"")</f>
        <v/>
      </c>
      <c r="R343" s="263" t="str">
        <f>IFERROR(__xludf.DUMMYFUNCTION("IF(ISBLANK(A343),"""",IFERROR(IF(OR(Q343=""GPB"",Q343=""ZAR""),IF(Q343=Dashboard!$L$1,K343,(K343*GOOGLEFINANCE(""CURRENCY:""&amp;Q343&amp;""""&amp;Dashboard!$L$1&amp;""""))/100),IF(Q343=Dashboard!$L$1,K343,K343*GOOGLEFINANCE(""CURRENCY:""&amp;Q343&amp;""""&amp;Dashboard!$L$1&amp;"""")))"&amp;",K343))"),"")</f>
        <v/>
      </c>
      <c r="S343" s="266" t="str">
        <f>IFERROR(__xludf.DUMMYFUNCTION("IF(ISBLANK(A343),"""",IFERROR(IF(OR(Q343=""GPB"",Q343=""ZAR""),IF(Q343=Dashboard!$L$1,M343,(M343*GOOGLEFINANCE(""CURRENCY:""&amp;Q343&amp;""""&amp;Dashboard!$L$1&amp;""""))/100),IF(Q343=Dashboard!$L$1,M343,M343*GOOGLEFINANCE(""CURRENCY:""&amp;Q343&amp;""""&amp;Dashboard!$L$1&amp;"""")))"&amp;",M343))"),"")</f>
        <v/>
      </c>
      <c r="T343" s="264" t="str">
        <f t="shared" si="4"/>
        <v/>
      </c>
      <c r="U343" s="264" t="str">
        <f t="shared" si="5"/>
        <v/>
      </c>
      <c r="V343" s="264" t="str">
        <f t="shared" si="6"/>
        <v/>
      </c>
      <c r="W343" s="267" t="str">
        <f t="shared" si="8"/>
        <v/>
      </c>
      <c r="X343" s="264" t="str">
        <f t="shared" si="7"/>
        <v/>
      </c>
    </row>
    <row r="344" ht="15.75" customHeight="1">
      <c r="A344" s="258"/>
      <c r="B344" s="258"/>
      <c r="C344" s="269"/>
      <c r="D344" s="258"/>
      <c r="E344" s="258"/>
      <c r="F344" s="258"/>
      <c r="G344" s="258"/>
      <c r="H344" s="271"/>
      <c r="I344" s="258"/>
      <c r="J344" s="272"/>
      <c r="K344" s="260"/>
      <c r="L344" s="261"/>
      <c r="M344" s="262" t="str">
        <f t="shared" si="1"/>
        <v/>
      </c>
      <c r="N344" s="263" t="str">
        <f t="shared" si="2"/>
        <v/>
      </c>
      <c r="O344" s="264" t="str">
        <f t="shared" si="3"/>
        <v/>
      </c>
      <c r="P344" s="265" t="str">
        <f>IFERROR(__xludf.DUMMYFUNCTION("IF(ISBLANK(A344),"""",IFERROR(IF(H344=""Sell"",VLOOKUP(9^99,FILTER({ROW(P$2:P343),P$2:P343},D$2:D343=D344),2),(VLOOKUP(9^99,FILTER({ROW(P$2:P343),P$2:P343},D$2:D343=D344),2)*VLOOKUP(9^99,FILTER({ROW(O$2:O343),O$2:O343},D$2:D343=D344),2)-N344)/O344),J344))"),"")</f>
        <v/>
      </c>
      <c r="Q344" s="264" t="str">
        <f>IFERROR(__xludf.DUMMYFUNCTION("IFERROR(IF(F344=""Crypto"",B344,(IF(ISBLANK(D344),"""",IF(D344=""Cash"",B344,IF(GOOGLEFINANCE(D344,""CURRENCY"")=""GBX"",""GBP"",GOOGLEFINANCE(D344,""CURRENCY"")))))),B344)"),"")</f>
        <v/>
      </c>
      <c r="R344" s="263" t="str">
        <f>IFERROR(__xludf.DUMMYFUNCTION("IF(ISBLANK(A344),"""",IFERROR(IF(OR(Q344=""GPB"",Q344=""ZAR""),IF(Q344=Dashboard!$L$1,K344,(K344*GOOGLEFINANCE(""CURRENCY:""&amp;Q344&amp;""""&amp;Dashboard!$L$1&amp;""""))/100),IF(Q344=Dashboard!$L$1,K344,K344*GOOGLEFINANCE(""CURRENCY:""&amp;Q344&amp;""""&amp;Dashboard!$L$1&amp;"""")))"&amp;",K344))"),"")</f>
        <v/>
      </c>
      <c r="S344" s="266" t="str">
        <f>IFERROR(__xludf.DUMMYFUNCTION("IF(ISBLANK(A344),"""",IFERROR(IF(OR(Q344=""GPB"",Q344=""ZAR""),IF(Q344=Dashboard!$L$1,M344,(M344*GOOGLEFINANCE(""CURRENCY:""&amp;Q344&amp;""""&amp;Dashboard!$L$1&amp;""""))/100),IF(Q344=Dashboard!$L$1,M344,M344*GOOGLEFINANCE(""CURRENCY:""&amp;Q344&amp;""""&amp;Dashboard!$L$1&amp;"""")))"&amp;",M344))"),"")</f>
        <v/>
      </c>
      <c r="T344" s="264" t="str">
        <f t="shared" si="4"/>
        <v/>
      </c>
      <c r="U344" s="264" t="str">
        <f t="shared" si="5"/>
        <v/>
      </c>
      <c r="V344" s="264" t="str">
        <f t="shared" si="6"/>
        <v/>
      </c>
      <c r="W344" s="267" t="str">
        <f t="shared" si="8"/>
        <v/>
      </c>
      <c r="X344" s="264" t="str">
        <f t="shared" si="7"/>
        <v/>
      </c>
    </row>
    <row r="345" ht="15.75" customHeight="1">
      <c r="A345" s="258"/>
      <c r="B345" s="258"/>
      <c r="C345" s="269"/>
      <c r="D345" s="258"/>
      <c r="E345" s="258"/>
      <c r="F345" s="258"/>
      <c r="G345" s="258"/>
      <c r="H345" s="271"/>
      <c r="I345" s="258"/>
      <c r="J345" s="272"/>
      <c r="K345" s="260"/>
      <c r="L345" s="261"/>
      <c r="M345" s="262" t="str">
        <f t="shared" si="1"/>
        <v/>
      </c>
      <c r="N345" s="263" t="str">
        <f t="shared" si="2"/>
        <v/>
      </c>
      <c r="O345" s="264" t="str">
        <f t="shared" si="3"/>
        <v/>
      </c>
      <c r="P345" s="265" t="str">
        <f>IFERROR(__xludf.DUMMYFUNCTION("IF(ISBLANK(A345),"""",IFERROR(IF(H345=""Sell"",VLOOKUP(9^99,FILTER({ROW(P$2:P344),P$2:P344},D$2:D344=D345),2),(VLOOKUP(9^99,FILTER({ROW(P$2:P344),P$2:P344},D$2:D344=D345),2)*VLOOKUP(9^99,FILTER({ROW(O$2:O344),O$2:O344},D$2:D344=D345),2)-N345)/O345),J345))"),"")</f>
        <v/>
      </c>
      <c r="Q345" s="264" t="str">
        <f>IFERROR(__xludf.DUMMYFUNCTION("IFERROR(IF(F345=""Crypto"",B345,(IF(ISBLANK(D345),"""",IF(D345=""Cash"",B345,IF(GOOGLEFINANCE(D345,""CURRENCY"")=""GBX"",""GBP"",GOOGLEFINANCE(D345,""CURRENCY"")))))),B345)"),"")</f>
        <v/>
      </c>
      <c r="R345" s="263" t="str">
        <f>IFERROR(__xludf.DUMMYFUNCTION("IF(ISBLANK(A345),"""",IFERROR(IF(OR(Q345=""GPB"",Q345=""ZAR""),IF(Q345=Dashboard!$L$1,K345,(K345*GOOGLEFINANCE(""CURRENCY:""&amp;Q345&amp;""""&amp;Dashboard!$L$1&amp;""""))/100),IF(Q345=Dashboard!$L$1,K345,K345*GOOGLEFINANCE(""CURRENCY:""&amp;Q345&amp;""""&amp;Dashboard!$L$1&amp;"""")))"&amp;",K345))"),"")</f>
        <v/>
      </c>
      <c r="S345" s="266" t="str">
        <f>IFERROR(__xludf.DUMMYFUNCTION("IF(ISBLANK(A345),"""",IFERROR(IF(OR(Q345=""GPB"",Q345=""ZAR""),IF(Q345=Dashboard!$L$1,M345,(M345*GOOGLEFINANCE(""CURRENCY:""&amp;Q345&amp;""""&amp;Dashboard!$L$1&amp;""""))/100),IF(Q345=Dashboard!$L$1,M345,M345*GOOGLEFINANCE(""CURRENCY:""&amp;Q345&amp;""""&amp;Dashboard!$L$1&amp;"""")))"&amp;",M345))"),"")</f>
        <v/>
      </c>
      <c r="T345" s="264" t="str">
        <f t="shared" si="4"/>
        <v/>
      </c>
      <c r="U345" s="264" t="str">
        <f t="shared" si="5"/>
        <v/>
      </c>
      <c r="V345" s="264" t="str">
        <f t="shared" si="6"/>
        <v/>
      </c>
      <c r="W345" s="267" t="str">
        <f t="shared" si="8"/>
        <v/>
      </c>
      <c r="X345" s="264" t="str">
        <f t="shared" si="7"/>
        <v/>
      </c>
    </row>
    <row r="346" ht="15.75" customHeight="1">
      <c r="A346" s="258"/>
      <c r="B346" s="258"/>
      <c r="C346" s="269"/>
      <c r="D346" s="258"/>
      <c r="E346" s="258"/>
      <c r="F346" s="258"/>
      <c r="G346" s="258"/>
      <c r="H346" s="271"/>
      <c r="I346" s="258"/>
      <c r="J346" s="272"/>
      <c r="K346" s="260"/>
      <c r="L346" s="261"/>
      <c r="M346" s="262" t="str">
        <f t="shared" si="1"/>
        <v/>
      </c>
      <c r="N346" s="263" t="str">
        <f t="shared" si="2"/>
        <v/>
      </c>
      <c r="O346" s="264" t="str">
        <f t="shared" si="3"/>
        <v/>
      </c>
      <c r="P346" s="265" t="str">
        <f>IFERROR(__xludf.DUMMYFUNCTION("IF(ISBLANK(A346),"""",IFERROR(IF(H346=""Sell"",VLOOKUP(9^99,FILTER({ROW(P$2:P345),P$2:P345},D$2:D345=D346),2),(VLOOKUP(9^99,FILTER({ROW(P$2:P345),P$2:P345},D$2:D345=D346),2)*VLOOKUP(9^99,FILTER({ROW(O$2:O345),O$2:O345},D$2:D345=D346),2)-N346)/O346),J346))"),"")</f>
        <v/>
      </c>
      <c r="Q346" s="264" t="str">
        <f>IFERROR(__xludf.DUMMYFUNCTION("IFERROR(IF(F346=""Crypto"",B346,(IF(ISBLANK(D346),"""",IF(D346=""Cash"",B346,IF(GOOGLEFINANCE(D346,""CURRENCY"")=""GBX"",""GBP"",GOOGLEFINANCE(D346,""CURRENCY"")))))),B346)"),"")</f>
        <v/>
      </c>
      <c r="R346" s="263" t="str">
        <f>IFERROR(__xludf.DUMMYFUNCTION("IF(ISBLANK(A346),"""",IFERROR(IF(OR(Q346=""GPB"",Q346=""ZAR""),IF(Q346=Dashboard!$L$1,K346,(K346*GOOGLEFINANCE(""CURRENCY:""&amp;Q346&amp;""""&amp;Dashboard!$L$1&amp;""""))/100),IF(Q346=Dashboard!$L$1,K346,K346*GOOGLEFINANCE(""CURRENCY:""&amp;Q346&amp;""""&amp;Dashboard!$L$1&amp;"""")))"&amp;",K346))"),"")</f>
        <v/>
      </c>
      <c r="S346" s="266" t="str">
        <f>IFERROR(__xludf.DUMMYFUNCTION("IF(ISBLANK(A346),"""",IFERROR(IF(OR(Q346=""GPB"",Q346=""ZAR""),IF(Q346=Dashboard!$L$1,M346,(M346*GOOGLEFINANCE(""CURRENCY:""&amp;Q346&amp;""""&amp;Dashboard!$L$1&amp;""""))/100),IF(Q346=Dashboard!$L$1,M346,M346*GOOGLEFINANCE(""CURRENCY:""&amp;Q346&amp;""""&amp;Dashboard!$L$1&amp;"""")))"&amp;",M346))"),"")</f>
        <v/>
      </c>
      <c r="T346" s="264" t="str">
        <f t="shared" si="4"/>
        <v/>
      </c>
      <c r="U346" s="264" t="str">
        <f t="shared" si="5"/>
        <v/>
      </c>
      <c r="V346" s="264" t="str">
        <f t="shared" si="6"/>
        <v/>
      </c>
      <c r="W346" s="267" t="str">
        <f t="shared" si="8"/>
        <v/>
      </c>
      <c r="X346" s="264" t="str">
        <f t="shared" si="7"/>
        <v/>
      </c>
    </row>
    <row r="347" ht="15.75" customHeight="1">
      <c r="A347" s="258"/>
      <c r="B347" s="258"/>
      <c r="C347" s="269"/>
      <c r="D347" s="258"/>
      <c r="E347" s="258"/>
      <c r="F347" s="258"/>
      <c r="G347" s="258"/>
      <c r="H347" s="271"/>
      <c r="I347" s="258"/>
      <c r="J347" s="272"/>
      <c r="K347" s="260"/>
      <c r="L347" s="261"/>
      <c r="M347" s="262" t="str">
        <f t="shared" si="1"/>
        <v/>
      </c>
      <c r="N347" s="263" t="str">
        <f t="shared" si="2"/>
        <v/>
      </c>
      <c r="O347" s="264" t="str">
        <f t="shared" si="3"/>
        <v/>
      </c>
      <c r="P347" s="265" t="str">
        <f>IFERROR(__xludf.DUMMYFUNCTION("IF(ISBLANK(A347),"""",IFERROR(IF(H347=""Sell"",VLOOKUP(9^99,FILTER({ROW(P$2:P346),P$2:P346},D$2:D346=D347),2),(VLOOKUP(9^99,FILTER({ROW(P$2:P346),P$2:P346},D$2:D346=D347),2)*VLOOKUP(9^99,FILTER({ROW(O$2:O346),O$2:O346},D$2:D346=D347),2)-N347)/O347),J347))"),"")</f>
        <v/>
      </c>
      <c r="Q347" s="264" t="str">
        <f>IFERROR(__xludf.DUMMYFUNCTION("IFERROR(IF(F347=""Crypto"",B347,(IF(ISBLANK(D347),"""",IF(D347=""Cash"",B347,IF(GOOGLEFINANCE(D347,""CURRENCY"")=""GBX"",""GBP"",GOOGLEFINANCE(D347,""CURRENCY"")))))),B347)"),"")</f>
        <v/>
      </c>
      <c r="R347" s="263" t="str">
        <f>IFERROR(__xludf.DUMMYFUNCTION("IF(ISBLANK(A347),"""",IFERROR(IF(OR(Q347=""GPB"",Q347=""ZAR""),IF(Q347=Dashboard!$L$1,K347,(K347*GOOGLEFINANCE(""CURRENCY:""&amp;Q347&amp;""""&amp;Dashboard!$L$1&amp;""""))/100),IF(Q347=Dashboard!$L$1,K347,K347*GOOGLEFINANCE(""CURRENCY:""&amp;Q347&amp;""""&amp;Dashboard!$L$1&amp;"""")))"&amp;",K347))"),"")</f>
        <v/>
      </c>
      <c r="S347" s="266" t="str">
        <f>IFERROR(__xludf.DUMMYFUNCTION("IF(ISBLANK(A347),"""",IFERROR(IF(OR(Q347=""GPB"",Q347=""ZAR""),IF(Q347=Dashboard!$L$1,M347,(M347*GOOGLEFINANCE(""CURRENCY:""&amp;Q347&amp;""""&amp;Dashboard!$L$1&amp;""""))/100),IF(Q347=Dashboard!$L$1,M347,M347*GOOGLEFINANCE(""CURRENCY:""&amp;Q347&amp;""""&amp;Dashboard!$L$1&amp;"""")))"&amp;",M347))"),"")</f>
        <v/>
      </c>
      <c r="T347" s="264" t="str">
        <f t="shared" si="4"/>
        <v/>
      </c>
      <c r="U347" s="264" t="str">
        <f t="shared" si="5"/>
        <v/>
      </c>
      <c r="V347" s="264" t="str">
        <f t="shared" si="6"/>
        <v/>
      </c>
      <c r="W347" s="267" t="str">
        <f t="shared" si="8"/>
        <v/>
      </c>
      <c r="X347" s="264" t="str">
        <f t="shared" si="7"/>
        <v/>
      </c>
    </row>
    <row r="348" ht="15.75" customHeight="1">
      <c r="A348" s="258"/>
      <c r="B348" s="258"/>
      <c r="C348" s="269"/>
      <c r="D348" s="258"/>
      <c r="E348" s="258"/>
      <c r="F348" s="258"/>
      <c r="G348" s="258"/>
      <c r="H348" s="271"/>
      <c r="I348" s="258"/>
      <c r="J348" s="272"/>
      <c r="K348" s="260"/>
      <c r="L348" s="261"/>
      <c r="M348" s="262" t="str">
        <f t="shared" si="1"/>
        <v/>
      </c>
      <c r="N348" s="263" t="str">
        <f t="shared" si="2"/>
        <v/>
      </c>
      <c r="O348" s="264" t="str">
        <f t="shared" si="3"/>
        <v/>
      </c>
      <c r="P348" s="265" t="str">
        <f>IFERROR(__xludf.DUMMYFUNCTION("IF(ISBLANK(A348),"""",IFERROR(IF(H348=""Sell"",VLOOKUP(9^99,FILTER({ROW(P$2:P347),P$2:P347},D$2:D347=D348),2),(VLOOKUP(9^99,FILTER({ROW(P$2:P347),P$2:P347},D$2:D347=D348),2)*VLOOKUP(9^99,FILTER({ROW(O$2:O347),O$2:O347},D$2:D347=D348),2)-N348)/O348),J348))"),"")</f>
        <v/>
      </c>
      <c r="Q348" s="264" t="str">
        <f>IFERROR(__xludf.DUMMYFUNCTION("IFERROR(IF(F348=""Crypto"",B348,(IF(ISBLANK(D348),"""",IF(D348=""Cash"",B348,IF(GOOGLEFINANCE(D348,""CURRENCY"")=""GBX"",""GBP"",GOOGLEFINANCE(D348,""CURRENCY"")))))),B348)"),"")</f>
        <v/>
      </c>
      <c r="R348" s="263" t="str">
        <f>IFERROR(__xludf.DUMMYFUNCTION("IF(ISBLANK(A348),"""",IFERROR(IF(OR(Q348=""GPB"",Q348=""ZAR""),IF(Q348=Dashboard!$L$1,K348,(K348*GOOGLEFINANCE(""CURRENCY:""&amp;Q348&amp;""""&amp;Dashboard!$L$1&amp;""""))/100),IF(Q348=Dashboard!$L$1,K348,K348*GOOGLEFINANCE(""CURRENCY:""&amp;Q348&amp;""""&amp;Dashboard!$L$1&amp;"""")))"&amp;",K348))"),"")</f>
        <v/>
      </c>
      <c r="S348" s="266" t="str">
        <f>IFERROR(__xludf.DUMMYFUNCTION("IF(ISBLANK(A348),"""",IFERROR(IF(OR(Q348=""GPB"",Q348=""ZAR""),IF(Q348=Dashboard!$L$1,M348,(M348*GOOGLEFINANCE(""CURRENCY:""&amp;Q348&amp;""""&amp;Dashboard!$L$1&amp;""""))/100),IF(Q348=Dashboard!$L$1,M348,M348*GOOGLEFINANCE(""CURRENCY:""&amp;Q348&amp;""""&amp;Dashboard!$L$1&amp;"""")))"&amp;",M348))"),"")</f>
        <v/>
      </c>
      <c r="T348" s="264" t="str">
        <f t="shared" si="4"/>
        <v/>
      </c>
      <c r="U348" s="264" t="str">
        <f t="shared" si="5"/>
        <v/>
      </c>
      <c r="V348" s="264" t="str">
        <f t="shared" si="6"/>
        <v/>
      </c>
      <c r="W348" s="267" t="str">
        <f t="shared" si="8"/>
        <v/>
      </c>
      <c r="X348" s="264" t="str">
        <f t="shared" si="7"/>
        <v/>
      </c>
    </row>
    <row r="349" ht="15.75" customHeight="1">
      <c r="A349" s="258"/>
      <c r="B349" s="258"/>
      <c r="C349" s="269"/>
      <c r="D349" s="258"/>
      <c r="E349" s="258"/>
      <c r="F349" s="258"/>
      <c r="G349" s="258"/>
      <c r="H349" s="271"/>
      <c r="I349" s="258"/>
      <c r="J349" s="272"/>
      <c r="K349" s="260"/>
      <c r="L349" s="261"/>
      <c r="M349" s="262" t="str">
        <f t="shared" si="1"/>
        <v/>
      </c>
      <c r="N349" s="263" t="str">
        <f t="shared" si="2"/>
        <v/>
      </c>
      <c r="O349" s="264" t="str">
        <f t="shared" si="3"/>
        <v/>
      </c>
      <c r="P349" s="265" t="str">
        <f>IFERROR(__xludf.DUMMYFUNCTION("IF(ISBLANK(A349),"""",IFERROR(IF(H349=""Sell"",VLOOKUP(9^99,FILTER({ROW(P$2:P348),P$2:P348},D$2:D348=D349),2),(VLOOKUP(9^99,FILTER({ROW(P$2:P348),P$2:P348},D$2:D348=D349),2)*VLOOKUP(9^99,FILTER({ROW(O$2:O348),O$2:O348},D$2:D348=D349),2)-N349)/O349),J349))"),"")</f>
        <v/>
      </c>
      <c r="Q349" s="264" t="str">
        <f>IFERROR(__xludf.DUMMYFUNCTION("IFERROR(IF(F349=""Crypto"",B349,(IF(ISBLANK(D349),"""",IF(D349=""Cash"",B349,IF(GOOGLEFINANCE(D349,""CURRENCY"")=""GBX"",""GBP"",GOOGLEFINANCE(D349,""CURRENCY"")))))),B349)"),"")</f>
        <v/>
      </c>
      <c r="R349" s="263" t="str">
        <f>IFERROR(__xludf.DUMMYFUNCTION("IF(ISBLANK(A349),"""",IFERROR(IF(OR(Q349=""GPB"",Q349=""ZAR""),IF(Q349=Dashboard!$L$1,K349,(K349*GOOGLEFINANCE(""CURRENCY:""&amp;Q349&amp;""""&amp;Dashboard!$L$1&amp;""""))/100),IF(Q349=Dashboard!$L$1,K349,K349*GOOGLEFINANCE(""CURRENCY:""&amp;Q349&amp;""""&amp;Dashboard!$L$1&amp;"""")))"&amp;",K349))"),"")</f>
        <v/>
      </c>
      <c r="S349" s="266" t="str">
        <f>IFERROR(__xludf.DUMMYFUNCTION("IF(ISBLANK(A349),"""",IFERROR(IF(OR(Q349=""GPB"",Q349=""ZAR""),IF(Q349=Dashboard!$L$1,M349,(M349*GOOGLEFINANCE(""CURRENCY:""&amp;Q349&amp;""""&amp;Dashboard!$L$1&amp;""""))/100),IF(Q349=Dashboard!$L$1,M349,M349*GOOGLEFINANCE(""CURRENCY:""&amp;Q349&amp;""""&amp;Dashboard!$L$1&amp;"""")))"&amp;",M349))"),"")</f>
        <v/>
      </c>
      <c r="T349" s="264" t="str">
        <f t="shared" si="4"/>
        <v/>
      </c>
      <c r="U349" s="264" t="str">
        <f t="shared" si="5"/>
        <v/>
      </c>
      <c r="V349" s="264" t="str">
        <f t="shared" si="6"/>
        <v/>
      </c>
      <c r="W349" s="267" t="str">
        <f t="shared" si="8"/>
        <v/>
      </c>
      <c r="X349" s="264" t="str">
        <f t="shared" si="7"/>
        <v/>
      </c>
    </row>
    <row r="350" ht="15.75" customHeight="1">
      <c r="A350" s="258"/>
      <c r="B350" s="258"/>
      <c r="C350" s="269"/>
      <c r="D350" s="258"/>
      <c r="E350" s="258"/>
      <c r="F350" s="258"/>
      <c r="G350" s="258"/>
      <c r="H350" s="271"/>
      <c r="I350" s="258"/>
      <c r="J350" s="272"/>
      <c r="K350" s="260"/>
      <c r="L350" s="261"/>
      <c r="M350" s="262" t="str">
        <f t="shared" si="1"/>
        <v/>
      </c>
      <c r="N350" s="263" t="str">
        <f t="shared" si="2"/>
        <v/>
      </c>
      <c r="O350" s="264" t="str">
        <f t="shared" si="3"/>
        <v/>
      </c>
      <c r="P350" s="265" t="str">
        <f>IFERROR(__xludf.DUMMYFUNCTION("IF(ISBLANK(A350),"""",IFERROR(IF(H350=""Sell"",VLOOKUP(9^99,FILTER({ROW(P$2:P349),P$2:P349},D$2:D349=D350),2),(VLOOKUP(9^99,FILTER({ROW(P$2:P349),P$2:P349},D$2:D349=D350),2)*VLOOKUP(9^99,FILTER({ROW(O$2:O349),O$2:O349},D$2:D349=D350),2)-N350)/O350),J350))"),"")</f>
        <v/>
      </c>
      <c r="Q350" s="264" t="str">
        <f>IFERROR(__xludf.DUMMYFUNCTION("IFERROR(IF(F350=""Crypto"",B350,(IF(ISBLANK(D350),"""",IF(D350=""Cash"",B350,IF(GOOGLEFINANCE(D350,""CURRENCY"")=""GBX"",""GBP"",GOOGLEFINANCE(D350,""CURRENCY"")))))),B350)"),"")</f>
        <v/>
      </c>
      <c r="R350" s="263" t="str">
        <f>IFERROR(__xludf.DUMMYFUNCTION("IF(ISBLANK(A350),"""",IFERROR(IF(OR(Q350=""GPB"",Q350=""ZAR""),IF(Q350=Dashboard!$L$1,K350,(K350*GOOGLEFINANCE(""CURRENCY:""&amp;Q350&amp;""""&amp;Dashboard!$L$1&amp;""""))/100),IF(Q350=Dashboard!$L$1,K350,K350*GOOGLEFINANCE(""CURRENCY:""&amp;Q350&amp;""""&amp;Dashboard!$L$1&amp;"""")))"&amp;",K350))"),"")</f>
        <v/>
      </c>
      <c r="S350" s="266" t="str">
        <f>IFERROR(__xludf.DUMMYFUNCTION("IF(ISBLANK(A350),"""",IFERROR(IF(OR(Q350=""GPB"",Q350=""ZAR""),IF(Q350=Dashboard!$L$1,M350,(M350*GOOGLEFINANCE(""CURRENCY:""&amp;Q350&amp;""""&amp;Dashboard!$L$1&amp;""""))/100),IF(Q350=Dashboard!$L$1,M350,M350*GOOGLEFINANCE(""CURRENCY:""&amp;Q350&amp;""""&amp;Dashboard!$L$1&amp;"""")))"&amp;",M350))"),"")</f>
        <v/>
      </c>
      <c r="T350" s="264" t="str">
        <f t="shared" si="4"/>
        <v/>
      </c>
      <c r="U350" s="264" t="str">
        <f t="shared" si="5"/>
        <v/>
      </c>
      <c r="V350" s="264" t="str">
        <f t="shared" si="6"/>
        <v/>
      </c>
      <c r="W350" s="267" t="str">
        <f t="shared" si="8"/>
        <v/>
      </c>
      <c r="X350" s="264" t="str">
        <f t="shared" si="7"/>
        <v/>
      </c>
    </row>
    <row r="351" ht="15.75" customHeight="1">
      <c r="A351" s="258"/>
      <c r="B351" s="258"/>
      <c r="C351" s="269"/>
      <c r="D351" s="258"/>
      <c r="E351" s="258"/>
      <c r="F351" s="258"/>
      <c r="G351" s="258"/>
      <c r="H351" s="271"/>
      <c r="I351" s="258"/>
      <c r="J351" s="272"/>
      <c r="K351" s="260"/>
      <c r="L351" s="261"/>
      <c r="M351" s="262" t="str">
        <f t="shared" si="1"/>
        <v/>
      </c>
      <c r="N351" s="263" t="str">
        <f t="shared" si="2"/>
        <v/>
      </c>
      <c r="O351" s="264" t="str">
        <f t="shared" si="3"/>
        <v/>
      </c>
      <c r="P351" s="265" t="str">
        <f>IFERROR(__xludf.DUMMYFUNCTION("IF(ISBLANK(A351),"""",IFERROR(IF(H351=""Sell"",VLOOKUP(9^99,FILTER({ROW(P$2:P350),P$2:P350},D$2:D350=D351),2),(VLOOKUP(9^99,FILTER({ROW(P$2:P350),P$2:P350},D$2:D350=D351),2)*VLOOKUP(9^99,FILTER({ROW(O$2:O350),O$2:O350},D$2:D350=D351),2)-N351)/O351),J351))"),"")</f>
        <v/>
      </c>
      <c r="Q351" s="264" t="str">
        <f>IFERROR(__xludf.DUMMYFUNCTION("IFERROR(IF(F351=""Crypto"",B351,(IF(ISBLANK(D351),"""",IF(D351=""Cash"",B351,IF(GOOGLEFINANCE(D351,""CURRENCY"")=""GBX"",""GBP"",GOOGLEFINANCE(D351,""CURRENCY"")))))),B351)"),"")</f>
        <v/>
      </c>
      <c r="R351" s="263" t="str">
        <f>IFERROR(__xludf.DUMMYFUNCTION("IF(ISBLANK(A351),"""",IFERROR(IF(OR(Q351=""GPB"",Q351=""ZAR""),IF(Q351=Dashboard!$L$1,K351,(K351*GOOGLEFINANCE(""CURRENCY:""&amp;Q351&amp;""""&amp;Dashboard!$L$1&amp;""""))/100),IF(Q351=Dashboard!$L$1,K351,K351*GOOGLEFINANCE(""CURRENCY:""&amp;Q351&amp;""""&amp;Dashboard!$L$1&amp;"""")))"&amp;",K351))"),"")</f>
        <v/>
      </c>
      <c r="S351" s="266" t="str">
        <f>IFERROR(__xludf.DUMMYFUNCTION("IF(ISBLANK(A351),"""",IFERROR(IF(OR(Q351=""GPB"",Q351=""ZAR""),IF(Q351=Dashboard!$L$1,M351,(M351*GOOGLEFINANCE(""CURRENCY:""&amp;Q351&amp;""""&amp;Dashboard!$L$1&amp;""""))/100),IF(Q351=Dashboard!$L$1,M351,M351*GOOGLEFINANCE(""CURRENCY:""&amp;Q351&amp;""""&amp;Dashboard!$L$1&amp;"""")))"&amp;",M351))"),"")</f>
        <v/>
      </c>
      <c r="T351" s="264" t="str">
        <f t="shared" si="4"/>
        <v/>
      </c>
      <c r="U351" s="264" t="str">
        <f t="shared" si="5"/>
        <v/>
      </c>
      <c r="V351" s="264" t="str">
        <f t="shared" si="6"/>
        <v/>
      </c>
      <c r="W351" s="267" t="str">
        <f t="shared" si="8"/>
        <v/>
      </c>
      <c r="X351" s="264" t="str">
        <f t="shared" si="7"/>
        <v/>
      </c>
    </row>
    <row r="352" ht="15.75" customHeight="1">
      <c r="A352" s="258"/>
      <c r="B352" s="258"/>
      <c r="C352" s="269"/>
      <c r="D352" s="258"/>
      <c r="E352" s="258"/>
      <c r="F352" s="258"/>
      <c r="G352" s="258"/>
      <c r="H352" s="271"/>
      <c r="I352" s="258"/>
      <c r="J352" s="272"/>
      <c r="K352" s="260"/>
      <c r="L352" s="261"/>
      <c r="M352" s="262" t="str">
        <f t="shared" si="1"/>
        <v/>
      </c>
      <c r="N352" s="263" t="str">
        <f t="shared" si="2"/>
        <v/>
      </c>
      <c r="O352" s="264" t="str">
        <f t="shared" si="3"/>
        <v/>
      </c>
      <c r="P352" s="265" t="str">
        <f>IFERROR(__xludf.DUMMYFUNCTION("IF(ISBLANK(A352),"""",IFERROR(IF(H352=""Sell"",VLOOKUP(9^99,FILTER({ROW(P$2:P351),P$2:P351},D$2:D351=D352),2),(VLOOKUP(9^99,FILTER({ROW(P$2:P351),P$2:P351},D$2:D351=D352),2)*VLOOKUP(9^99,FILTER({ROW(O$2:O351),O$2:O351},D$2:D351=D352),2)-N352)/O352),J352))"),"")</f>
        <v/>
      </c>
      <c r="Q352" s="264" t="str">
        <f>IFERROR(__xludf.DUMMYFUNCTION("IFERROR(IF(F352=""Crypto"",B352,(IF(ISBLANK(D352),"""",IF(D352=""Cash"",B352,IF(GOOGLEFINANCE(D352,""CURRENCY"")=""GBX"",""GBP"",GOOGLEFINANCE(D352,""CURRENCY"")))))),B352)"),"")</f>
        <v/>
      </c>
      <c r="R352" s="263" t="str">
        <f>IFERROR(__xludf.DUMMYFUNCTION("IF(ISBLANK(A352),"""",IFERROR(IF(OR(Q352=""GPB"",Q352=""ZAR""),IF(Q352=Dashboard!$L$1,K352,(K352*GOOGLEFINANCE(""CURRENCY:""&amp;Q352&amp;""""&amp;Dashboard!$L$1&amp;""""))/100),IF(Q352=Dashboard!$L$1,K352,K352*GOOGLEFINANCE(""CURRENCY:""&amp;Q352&amp;""""&amp;Dashboard!$L$1&amp;"""")))"&amp;",K352))"),"")</f>
        <v/>
      </c>
      <c r="S352" s="266" t="str">
        <f>IFERROR(__xludf.DUMMYFUNCTION("IF(ISBLANK(A352),"""",IFERROR(IF(OR(Q352=""GPB"",Q352=""ZAR""),IF(Q352=Dashboard!$L$1,M352,(M352*GOOGLEFINANCE(""CURRENCY:""&amp;Q352&amp;""""&amp;Dashboard!$L$1&amp;""""))/100),IF(Q352=Dashboard!$L$1,M352,M352*GOOGLEFINANCE(""CURRENCY:""&amp;Q352&amp;""""&amp;Dashboard!$L$1&amp;"""")))"&amp;",M352))"),"")</f>
        <v/>
      </c>
      <c r="T352" s="264" t="str">
        <f t="shared" si="4"/>
        <v/>
      </c>
      <c r="U352" s="264" t="str">
        <f t="shared" si="5"/>
        <v/>
      </c>
      <c r="V352" s="264" t="str">
        <f t="shared" si="6"/>
        <v/>
      </c>
      <c r="W352" s="267" t="str">
        <f t="shared" si="8"/>
        <v/>
      </c>
      <c r="X352" s="264" t="str">
        <f t="shared" si="7"/>
        <v/>
      </c>
    </row>
    <row r="353" ht="15.75" customHeight="1">
      <c r="A353" s="258"/>
      <c r="B353" s="258"/>
      <c r="C353" s="269"/>
      <c r="D353" s="258"/>
      <c r="E353" s="258"/>
      <c r="F353" s="258"/>
      <c r="G353" s="258"/>
      <c r="H353" s="271"/>
      <c r="I353" s="258"/>
      <c r="J353" s="272"/>
      <c r="K353" s="260"/>
      <c r="L353" s="261"/>
      <c r="M353" s="262" t="str">
        <f t="shared" si="1"/>
        <v/>
      </c>
      <c r="N353" s="263" t="str">
        <f t="shared" si="2"/>
        <v/>
      </c>
      <c r="O353" s="264" t="str">
        <f t="shared" si="3"/>
        <v/>
      </c>
      <c r="P353" s="265" t="str">
        <f>IFERROR(__xludf.DUMMYFUNCTION("IF(ISBLANK(A353),"""",IFERROR(IF(H353=""Sell"",VLOOKUP(9^99,FILTER({ROW(P$2:P352),P$2:P352},D$2:D352=D353),2),(VLOOKUP(9^99,FILTER({ROW(P$2:P352),P$2:P352},D$2:D352=D353),2)*VLOOKUP(9^99,FILTER({ROW(O$2:O352),O$2:O352},D$2:D352=D353),2)-N353)/O353),J353))"),"")</f>
        <v/>
      </c>
      <c r="Q353" s="264" t="str">
        <f>IFERROR(__xludf.DUMMYFUNCTION("IFERROR(IF(F353=""Crypto"",B353,(IF(ISBLANK(D353),"""",IF(D353=""Cash"",B353,IF(GOOGLEFINANCE(D353,""CURRENCY"")=""GBX"",""GBP"",GOOGLEFINANCE(D353,""CURRENCY"")))))),B353)"),"")</f>
        <v/>
      </c>
      <c r="R353" s="263" t="str">
        <f>IFERROR(__xludf.DUMMYFUNCTION("IF(ISBLANK(A353),"""",IFERROR(IF(OR(Q353=""GPB"",Q353=""ZAR""),IF(Q353=Dashboard!$L$1,K353,(K353*GOOGLEFINANCE(""CURRENCY:""&amp;Q353&amp;""""&amp;Dashboard!$L$1&amp;""""))/100),IF(Q353=Dashboard!$L$1,K353,K353*GOOGLEFINANCE(""CURRENCY:""&amp;Q353&amp;""""&amp;Dashboard!$L$1&amp;"""")))"&amp;",K353))"),"")</f>
        <v/>
      </c>
      <c r="S353" s="266" t="str">
        <f>IFERROR(__xludf.DUMMYFUNCTION("IF(ISBLANK(A353),"""",IFERROR(IF(OR(Q353=""GPB"",Q353=""ZAR""),IF(Q353=Dashboard!$L$1,M353,(M353*GOOGLEFINANCE(""CURRENCY:""&amp;Q353&amp;""""&amp;Dashboard!$L$1&amp;""""))/100),IF(Q353=Dashboard!$L$1,M353,M353*GOOGLEFINANCE(""CURRENCY:""&amp;Q353&amp;""""&amp;Dashboard!$L$1&amp;"""")))"&amp;",M353))"),"")</f>
        <v/>
      </c>
      <c r="T353" s="264" t="str">
        <f t="shared" si="4"/>
        <v/>
      </c>
      <c r="U353" s="264" t="str">
        <f t="shared" si="5"/>
        <v/>
      </c>
      <c r="V353" s="264" t="str">
        <f t="shared" si="6"/>
        <v/>
      </c>
      <c r="W353" s="267" t="str">
        <f t="shared" si="8"/>
        <v/>
      </c>
      <c r="X353" s="264" t="str">
        <f t="shared" si="7"/>
        <v/>
      </c>
    </row>
    <row r="354" ht="15.75" customHeight="1">
      <c r="A354" s="258"/>
      <c r="B354" s="258"/>
      <c r="C354" s="269"/>
      <c r="D354" s="258"/>
      <c r="E354" s="258"/>
      <c r="F354" s="258"/>
      <c r="G354" s="258"/>
      <c r="H354" s="271"/>
      <c r="I354" s="258"/>
      <c r="J354" s="272"/>
      <c r="K354" s="260"/>
      <c r="L354" s="261"/>
      <c r="M354" s="262" t="str">
        <f t="shared" si="1"/>
        <v/>
      </c>
      <c r="N354" s="263" t="str">
        <f t="shared" si="2"/>
        <v/>
      </c>
      <c r="O354" s="264" t="str">
        <f t="shared" si="3"/>
        <v/>
      </c>
      <c r="P354" s="265" t="str">
        <f>IFERROR(__xludf.DUMMYFUNCTION("IF(ISBLANK(A354),"""",IFERROR(IF(H354=""Sell"",VLOOKUP(9^99,FILTER({ROW(P$2:P353),P$2:P353},D$2:D353=D354),2),(VLOOKUP(9^99,FILTER({ROW(P$2:P353),P$2:P353},D$2:D353=D354),2)*VLOOKUP(9^99,FILTER({ROW(O$2:O353),O$2:O353},D$2:D353=D354),2)-N354)/O354),J354))"),"")</f>
        <v/>
      </c>
      <c r="Q354" s="264" t="str">
        <f>IFERROR(__xludf.DUMMYFUNCTION("IFERROR(IF(F354=""Crypto"",B354,(IF(ISBLANK(D354),"""",IF(D354=""Cash"",B354,IF(GOOGLEFINANCE(D354,""CURRENCY"")=""GBX"",""GBP"",GOOGLEFINANCE(D354,""CURRENCY"")))))),B354)"),"")</f>
        <v/>
      </c>
      <c r="R354" s="263" t="str">
        <f>IFERROR(__xludf.DUMMYFUNCTION("IF(ISBLANK(A354),"""",IFERROR(IF(OR(Q354=""GPB"",Q354=""ZAR""),IF(Q354=Dashboard!$L$1,K354,(K354*GOOGLEFINANCE(""CURRENCY:""&amp;Q354&amp;""""&amp;Dashboard!$L$1&amp;""""))/100),IF(Q354=Dashboard!$L$1,K354,K354*GOOGLEFINANCE(""CURRENCY:""&amp;Q354&amp;""""&amp;Dashboard!$L$1&amp;"""")))"&amp;",K354))"),"")</f>
        <v/>
      </c>
      <c r="S354" s="266" t="str">
        <f>IFERROR(__xludf.DUMMYFUNCTION("IF(ISBLANK(A354),"""",IFERROR(IF(OR(Q354=""GPB"",Q354=""ZAR""),IF(Q354=Dashboard!$L$1,M354,(M354*GOOGLEFINANCE(""CURRENCY:""&amp;Q354&amp;""""&amp;Dashboard!$L$1&amp;""""))/100),IF(Q354=Dashboard!$L$1,M354,M354*GOOGLEFINANCE(""CURRENCY:""&amp;Q354&amp;""""&amp;Dashboard!$L$1&amp;"""")))"&amp;",M354))"),"")</f>
        <v/>
      </c>
      <c r="T354" s="264" t="str">
        <f t="shared" si="4"/>
        <v/>
      </c>
      <c r="U354" s="264" t="str">
        <f t="shared" si="5"/>
        <v/>
      </c>
      <c r="V354" s="264" t="str">
        <f t="shared" si="6"/>
        <v/>
      </c>
      <c r="W354" s="267" t="str">
        <f t="shared" si="8"/>
        <v/>
      </c>
      <c r="X354" s="264" t="str">
        <f t="shared" si="7"/>
        <v/>
      </c>
    </row>
    <row r="355" ht="15.75" customHeight="1">
      <c r="A355" s="258"/>
      <c r="B355" s="258"/>
      <c r="C355" s="269"/>
      <c r="D355" s="258"/>
      <c r="E355" s="258"/>
      <c r="F355" s="258"/>
      <c r="G355" s="258"/>
      <c r="H355" s="271"/>
      <c r="I355" s="258"/>
      <c r="J355" s="272"/>
      <c r="K355" s="260"/>
      <c r="L355" s="261"/>
      <c r="M355" s="262" t="str">
        <f t="shared" si="1"/>
        <v/>
      </c>
      <c r="N355" s="263" t="str">
        <f t="shared" si="2"/>
        <v/>
      </c>
      <c r="O355" s="264" t="str">
        <f t="shared" si="3"/>
        <v/>
      </c>
      <c r="P355" s="265" t="str">
        <f>IFERROR(__xludf.DUMMYFUNCTION("IF(ISBLANK(A355),"""",IFERROR(IF(H355=""Sell"",VLOOKUP(9^99,FILTER({ROW(P$2:P354),P$2:P354},D$2:D354=D355),2),(VLOOKUP(9^99,FILTER({ROW(P$2:P354),P$2:P354},D$2:D354=D355),2)*VLOOKUP(9^99,FILTER({ROW(O$2:O354),O$2:O354},D$2:D354=D355),2)-N355)/O355),J355))"),"")</f>
        <v/>
      </c>
      <c r="Q355" s="264" t="str">
        <f>IFERROR(__xludf.DUMMYFUNCTION("IFERROR(IF(F355=""Crypto"",B355,(IF(ISBLANK(D355),"""",IF(D355=""Cash"",B355,IF(GOOGLEFINANCE(D355,""CURRENCY"")=""GBX"",""GBP"",GOOGLEFINANCE(D355,""CURRENCY"")))))),B355)"),"")</f>
        <v/>
      </c>
      <c r="R355" s="263" t="str">
        <f>IFERROR(__xludf.DUMMYFUNCTION("IF(ISBLANK(A355),"""",IFERROR(IF(OR(Q355=""GPB"",Q355=""ZAR""),IF(Q355=Dashboard!$L$1,K355,(K355*GOOGLEFINANCE(""CURRENCY:""&amp;Q355&amp;""""&amp;Dashboard!$L$1&amp;""""))/100),IF(Q355=Dashboard!$L$1,K355,K355*GOOGLEFINANCE(""CURRENCY:""&amp;Q355&amp;""""&amp;Dashboard!$L$1&amp;"""")))"&amp;",K355))"),"")</f>
        <v/>
      </c>
      <c r="S355" s="266" t="str">
        <f>IFERROR(__xludf.DUMMYFUNCTION("IF(ISBLANK(A355),"""",IFERROR(IF(OR(Q355=""GPB"",Q355=""ZAR""),IF(Q355=Dashboard!$L$1,M355,(M355*GOOGLEFINANCE(""CURRENCY:""&amp;Q355&amp;""""&amp;Dashboard!$L$1&amp;""""))/100),IF(Q355=Dashboard!$L$1,M355,M355*GOOGLEFINANCE(""CURRENCY:""&amp;Q355&amp;""""&amp;Dashboard!$L$1&amp;"""")))"&amp;",M355))"),"")</f>
        <v/>
      </c>
      <c r="T355" s="264" t="str">
        <f t="shared" si="4"/>
        <v/>
      </c>
      <c r="U355" s="264" t="str">
        <f t="shared" si="5"/>
        <v/>
      </c>
      <c r="V355" s="264" t="str">
        <f t="shared" si="6"/>
        <v/>
      </c>
      <c r="W355" s="267" t="str">
        <f t="shared" si="8"/>
        <v/>
      </c>
      <c r="X355" s="264" t="str">
        <f t="shared" si="7"/>
        <v/>
      </c>
    </row>
    <row r="356" ht="15.75" customHeight="1">
      <c r="A356" s="258"/>
      <c r="B356" s="258"/>
      <c r="C356" s="269"/>
      <c r="D356" s="258"/>
      <c r="E356" s="258"/>
      <c r="F356" s="258"/>
      <c r="G356" s="258"/>
      <c r="H356" s="271"/>
      <c r="I356" s="258"/>
      <c r="J356" s="272"/>
      <c r="K356" s="260"/>
      <c r="L356" s="261"/>
      <c r="M356" s="262" t="str">
        <f t="shared" si="1"/>
        <v/>
      </c>
      <c r="N356" s="263" t="str">
        <f t="shared" si="2"/>
        <v/>
      </c>
      <c r="O356" s="264" t="str">
        <f t="shared" si="3"/>
        <v/>
      </c>
      <c r="P356" s="265" t="str">
        <f>IFERROR(__xludf.DUMMYFUNCTION("IF(ISBLANK(A356),"""",IFERROR(IF(H356=""Sell"",VLOOKUP(9^99,FILTER({ROW(P$2:P355),P$2:P355},D$2:D355=D356),2),(VLOOKUP(9^99,FILTER({ROW(P$2:P355),P$2:P355},D$2:D355=D356),2)*VLOOKUP(9^99,FILTER({ROW(O$2:O355),O$2:O355},D$2:D355=D356),2)-N356)/O356),J356))"),"")</f>
        <v/>
      </c>
      <c r="Q356" s="264" t="str">
        <f>IFERROR(__xludf.DUMMYFUNCTION("IFERROR(IF(F356=""Crypto"",B356,(IF(ISBLANK(D356),"""",IF(D356=""Cash"",B356,IF(GOOGLEFINANCE(D356,""CURRENCY"")=""GBX"",""GBP"",GOOGLEFINANCE(D356,""CURRENCY"")))))),B356)"),"")</f>
        <v/>
      </c>
      <c r="R356" s="263" t="str">
        <f>IFERROR(__xludf.DUMMYFUNCTION("IF(ISBLANK(A356),"""",IFERROR(IF(OR(Q356=""GPB"",Q356=""ZAR""),IF(Q356=Dashboard!$L$1,K356,(K356*GOOGLEFINANCE(""CURRENCY:""&amp;Q356&amp;""""&amp;Dashboard!$L$1&amp;""""))/100),IF(Q356=Dashboard!$L$1,K356,K356*GOOGLEFINANCE(""CURRENCY:""&amp;Q356&amp;""""&amp;Dashboard!$L$1&amp;"""")))"&amp;",K356))"),"")</f>
        <v/>
      </c>
      <c r="S356" s="266" t="str">
        <f>IFERROR(__xludf.DUMMYFUNCTION("IF(ISBLANK(A356),"""",IFERROR(IF(OR(Q356=""GPB"",Q356=""ZAR""),IF(Q356=Dashboard!$L$1,M356,(M356*GOOGLEFINANCE(""CURRENCY:""&amp;Q356&amp;""""&amp;Dashboard!$L$1&amp;""""))/100),IF(Q356=Dashboard!$L$1,M356,M356*GOOGLEFINANCE(""CURRENCY:""&amp;Q356&amp;""""&amp;Dashboard!$L$1&amp;"""")))"&amp;",M356))"),"")</f>
        <v/>
      </c>
      <c r="T356" s="264" t="str">
        <f t="shared" si="4"/>
        <v/>
      </c>
      <c r="U356" s="264" t="str">
        <f t="shared" si="5"/>
        <v/>
      </c>
      <c r="V356" s="264" t="str">
        <f t="shared" si="6"/>
        <v/>
      </c>
      <c r="W356" s="267" t="str">
        <f t="shared" si="8"/>
        <v/>
      </c>
      <c r="X356" s="264" t="str">
        <f t="shared" si="7"/>
        <v/>
      </c>
    </row>
    <row r="357" ht="15.75" customHeight="1">
      <c r="A357" s="258"/>
      <c r="B357" s="258"/>
      <c r="C357" s="269"/>
      <c r="D357" s="258"/>
      <c r="E357" s="258"/>
      <c r="F357" s="258"/>
      <c r="G357" s="258"/>
      <c r="H357" s="271"/>
      <c r="I357" s="258"/>
      <c r="J357" s="272"/>
      <c r="K357" s="260"/>
      <c r="L357" s="261"/>
      <c r="M357" s="262" t="str">
        <f t="shared" si="1"/>
        <v/>
      </c>
      <c r="N357" s="263" t="str">
        <f t="shared" si="2"/>
        <v/>
      </c>
      <c r="O357" s="264" t="str">
        <f t="shared" si="3"/>
        <v/>
      </c>
      <c r="P357" s="265" t="str">
        <f>IFERROR(__xludf.DUMMYFUNCTION("IF(ISBLANK(A357),"""",IFERROR(IF(H357=""Sell"",VLOOKUP(9^99,FILTER({ROW(P$2:P356),P$2:P356},D$2:D356=D357),2),(VLOOKUP(9^99,FILTER({ROW(P$2:P356),P$2:P356},D$2:D356=D357),2)*VLOOKUP(9^99,FILTER({ROW(O$2:O356),O$2:O356},D$2:D356=D357),2)-N357)/O357),J357))"),"")</f>
        <v/>
      </c>
      <c r="Q357" s="264" t="str">
        <f>IFERROR(__xludf.DUMMYFUNCTION("IFERROR(IF(F357=""Crypto"",B357,(IF(ISBLANK(D357),"""",IF(D357=""Cash"",B357,IF(GOOGLEFINANCE(D357,""CURRENCY"")=""GBX"",""GBP"",GOOGLEFINANCE(D357,""CURRENCY"")))))),B357)"),"")</f>
        <v/>
      </c>
      <c r="R357" s="263" t="str">
        <f>IFERROR(__xludf.DUMMYFUNCTION("IF(ISBLANK(A357),"""",IFERROR(IF(OR(Q357=""GPB"",Q357=""ZAR""),IF(Q357=Dashboard!$L$1,K357,(K357*GOOGLEFINANCE(""CURRENCY:""&amp;Q357&amp;""""&amp;Dashboard!$L$1&amp;""""))/100),IF(Q357=Dashboard!$L$1,K357,K357*GOOGLEFINANCE(""CURRENCY:""&amp;Q357&amp;""""&amp;Dashboard!$L$1&amp;"""")))"&amp;",K357))"),"")</f>
        <v/>
      </c>
      <c r="S357" s="266" t="str">
        <f>IFERROR(__xludf.DUMMYFUNCTION("IF(ISBLANK(A357),"""",IFERROR(IF(OR(Q357=""GPB"",Q357=""ZAR""),IF(Q357=Dashboard!$L$1,M357,(M357*GOOGLEFINANCE(""CURRENCY:""&amp;Q357&amp;""""&amp;Dashboard!$L$1&amp;""""))/100),IF(Q357=Dashboard!$L$1,M357,M357*GOOGLEFINANCE(""CURRENCY:""&amp;Q357&amp;""""&amp;Dashboard!$L$1&amp;"""")))"&amp;",M357))"),"")</f>
        <v/>
      </c>
      <c r="T357" s="264" t="str">
        <f t="shared" si="4"/>
        <v/>
      </c>
      <c r="U357" s="264" t="str">
        <f t="shared" si="5"/>
        <v/>
      </c>
      <c r="V357" s="264" t="str">
        <f t="shared" si="6"/>
        <v/>
      </c>
      <c r="W357" s="267" t="str">
        <f t="shared" si="8"/>
        <v/>
      </c>
      <c r="X357" s="264" t="str">
        <f t="shared" si="7"/>
        <v/>
      </c>
    </row>
    <row r="358" ht="15.75" customHeight="1">
      <c r="A358" s="258"/>
      <c r="B358" s="258"/>
      <c r="C358" s="269"/>
      <c r="D358" s="258"/>
      <c r="E358" s="258"/>
      <c r="F358" s="258"/>
      <c r="G358" s="258"/>
      <c r="H358" s="271"/>
      <c r="I358" s="258"/>
      <c r="J358" s="272"/>
      <c r="K358" s="260"/>
      <c r="L358" s="261"/>
      <c r="M358" s="262" t="str">
        <f t="shared" si="1"/>
        <v/>
      </c>
      <c r="N358" s="263" t="str">
        <f t="shared" si="2"/>
        <v/>
      </c>
      <c r="O358" s="264" t="str">
        <f t="shared" si="3"/>
        <v/>
      </c>
      <c r="P358" s="265" t="str">
        <f>IFERROR(__xludf.DUMMYFUNCTION("IF(ISBLANK(A358),"""",IFERROR(IF(H358=""Sell"",VLOOKUP(9^99,FILTER({ROW(P$2:P357),P$2:P357},D$2:D357=D358),2),(VLOOKUP(9^99,FILTER({ROW(P$2:P357),P$2:P357},D$2:D357=D358),2)*VLOOKUP(9^99,FILTER({ROW(O$2:O357),O$2:O357},D$2:D357=D358),2)-N358)/O358),J358))"),"")</f>
        <v/>
      </c>
      <c r="Q358" s="264" t="str">
        <f>IFERROR(__xludf.DUMMYFUNCTION("IFERROR(IF(F358=""Crypto"",B358,(IF(ISBLANK(D358),"""",IF(D358=""Cash"",B358,IF(GOOGLEFINANCE(D358,""CURRENCY"")=""GBX"",""GBP"",GOOGLEFINANCE(D358,""CURRENCY"")))))),B358)"),"")</f>
        <v/>
      </c>
      <c r="R358" s="263" t="str">
        <f>IFERROR(__xludf.DUMMYFUNCTION("IF(ISBLANK(A358),"""",IFERROR(IF(OR(Q358=""GPB"",Q358=""ZAR""),IF(Q358=Dashboard!$L$1,K358,(K358*GOOGLEFINANCE(""CURRENCY:""&amp;Q358&amp;""""&amp;Dashboard!$L$1&amp;""""))/100),IF(Q358=Dashboard!$L$1,K358,K358*GOOGLEFINANCE(""CURRENCY:""&amp;Q358&amp;""""&amp;Dashboard!$L$1&amp;"""")))"&amp;",K358))"),"")</f>
        <v/>
      </c>
      <c r="S358" s="266" t="str">
        <f>IFERROR(__xludf.DUMMYFUNCTION("IF(ISBLANK(A358),"""",IFERROR(IF(OR(Q358=""GPB"",Q358=""ZAR""),IF(Q358=Dashboard!$L$1,M358,(M358*GOOGLEFINANCE(""CURRENCY:""&amp;Q358&amp;""""&amp;Dashboard!$L$1&amp;""""))/100),IF(Q358=Dashboard!$L$1,M358,M358*GOOGLEFINANCE(""CURRENCY:""&amp;Q358&amp;""""&amp;Dashboard!$L$1&amp;"""")))"&amp;",M358))"),"")</f>
        <v/>
      </c>
      <c r="T358" s="264" t="str">
        <f t="shared" si="4"/>
        <v/>
      </c>
      <c r="U358" s="264" t="str">
        <f t="shared" si="5"/>
        <v/>
      </c>
      <c r="V358" s="264" t="str">
        <f t="shared" si="6"/>
        <v/>
      </c>
      <c r="W358" s="267" t="str">
        <f t="shared" si="8"/>
        <v/>
      </c>
      <c r="X358" s="264" t="str">
        <f t="shared" si="7"/>
        <v/>
      </c>
    </row>
    <row r="359" ht="15.75" customHeight="1">
      <c r="A359" s="258"/>
      <c r="B359" s="258"/>
      <c r="C359" s="269"/>
      <c r="D359" s="258"/>
      <c r="E359" s="258"/>
      <c r="F359" s="258"/>
      <c r="G359" s="258"/>
      <c r="H359" s="271"/>
      <c r="I359" s="258"/>
      <c r="J359" s="272"/>
      <c r="K359" s="260"/>
      <c r="L359" s="261"/>
      <c r="M359" s="262" t="str">
        <f t="shared" si="1"/>
        <v/>
      </c>
      <c r="N359" s="263" t="str">
        <f t="shared" si="2"/>
        <v/>
      </c>
      <c r="O359" s="264" t="str">
        <f t="shared" si="3"/>
        <v/>
      </c>
      <c r="P359" s="265" t="str">
        <f>IFERROR(__xludf.DUMMYFUNCTION("IF(ISBLANK(A359),"""",IFERROR(IF(H359=""Sell"",VLOOKUP(9^99,FILTER({ROW(P$2:P358),P$2:P358},D$2:D358=D359),2),(VLOOKUP(9^99,FILTER({ROW(P$2:P358),P$2:P358},D$2:D358=D359),2)*VLOOKUP(9^99,FILTER({ROW(O$2:O358),O$2:O358},D$2:D358=D359),2)-N359)/O359),J359))"),"")</f>
        <v/>
      </c>
      <c r="Q359" s="264" t="str">
        <f>IFERROR(__xludf.DUMMYFUNCTION("IFERROR(IF(F359=""Crypto"",B359,(IF(ISBLANK(D359),"""",IF(D359=""Cash"",B359,IF(GOOGLEFINANCE(D359,""CURRENCY"")=""GBX"",""GBP"",GOOGLEFINANCE(D359,""CURRENCY"")))))),B359)"),"")</f>
        <v/>
      </c>
      <c r="R359" s="263" t="str">
        <f>IFERROR(__xludf.DUMMYFUNCTION("IF(ISBLANK(A359),"""",IFERROR(IF(OR(Q359=""GPB"",Q359=""ZAR""),IF(Q359=Dashboard!$L$1,K359,(K359*GOOGLEFINANCE(""CURRENCY:""&amp;Q359&amp;""""&amp;Dashboard!$L$1&amp;""""))/100),IF(Q359=Dashboard!$L$1,K359,K359*GOOGLEFINANCE(""CURRENCY:""&amp;Q359&amp;""""&amp;Dashboard!$L$1&amp;"""")))"&amp;",K359))"),"")</f>
        <v/>
      </c>
      <c r="S359" s="266" t="str">
        <f>IFERROR(__xludf.DUMMYFUNCTION("IF(ISBLANK(A359),"""",IFERROR(IF(OR(Q359=""GPB"",Q359=""ZAR""),IF(Q359=Dashboard!$L$1,M359,(M359*GOOGLEFINANCE(""CURRENCY:""&amp;Q359&amp;""""&amp;Dashboard!$L$1&amp;""""))/100),IF(Q359=Dashboard!$L$1,M359,M359*GOOGLEFINANCE(""CURRENCY:""&amp;Q359&amp;""""&amp;Dashboard!$L$1&amp;"""")))"&amp;",M359))"),"")</f>
        <v/>
      </c>
      <c r="T359" s="264" t="str">
        <f t="shared" si="4"/>
        <v/>
      </c>
      <c r="U359" s="264" t="str">
        <f t="shared" si="5"/>
        <v/>
      </c>
      <c r="V359" s="264" t="str">
        <f t="shared" si="6"/>
        <v/>
      </c>
      <c r="W359" s="267" t="str">
        <f t="shared" si="8"/>
        <v/>
      </c>
      <c r="X359" s="264" t="str">
        <f t="shared" si="7"/>
        <v/>
      </c>
    </row>
    <row r="360" ht="15.75" customHeight="1">
      <c r="A360" s="258"/>
      <c r="B360" s="258"/>
      <c r="C360" s="269"/>
      <c r="D360" s="258"/>
      <c r="E360" s="258"/>
      <c r="F360" s="258"/>
      <c r="G360" s="258"/>
      <c r="H360" s="271"/>
      <c r="I360" s="258"/>
      <c r="J360" s="272"/>
      <c r="K360" s="260"/>
      <c r="L360" s="261"/>
      <c r="M360" s="262" t="str">
        <f t="shared" si="1"/>
        <v/>
      </c>
      <c r="N360" s="263" t="str">
        <f t="shared" si="2"/>
        <v/>
      </c>
      <c r="O360" s="264" t="str">
        <f t="shared" si="3"/>
        <v/>
      </c>
      <c r="P360" s="265" t="str">
        <f>IFERROR(__xludf.DUMMYFUNCTION("IF(ISBLANK(A360),"""",IFERROR(IF(H360=""Sell"",VLOOKUP(9^99,FILTER({ROW(P$2:P359),P$2:P359},D$2:D359=D360),2),(VLOOKUP(9^99,FILTER({ROW(P$2:P359),P$2:P359},D$2:D359=D360),2)*VLOOKUP(9^99,FILTER({ROW(O$2:O359),O$2:O359},D$2:D359=D360),2)-N360)/O360),J360))"),"")</f>
        <v/>
      </c>
      <c r="Q360" s="264" t="str">
        <f>IFERROR(__xludf.DUMMYFUNCTION("IFERROR(IF(F360=""Crypto"",B360,(IF(ISBLANK(D360),"""",IF(D360=""Cash"",B360,IF(GOOGLEFINANCE(D360,""CURRENCY"")=""GBX"",""GBP"",GOOGLEFINANCE(D360,""CURRENCY"")))))),B360)"),"")</f>
        <v/>
      </c>
      <c r="R360" s="263" t="str">
        <f>IFERROR(__xludf.DUMMYFUNCTION("IF(ISBLANK(A360),"""",IFERROR(IF(OR(Q360=""GPB"",Q360=""ZAR""),IF(Q360=Dashboard!$L$1,K360,(K360*GOOGLEFINANCE(""CURRENCY:""&amp;Q360&amp;""""&amp;Dashboard!$L$1&amp;""""))/100),IF(Q360=Dashboard!$L$1,K360,K360*GOOGLEFINANCE(""CURRENCY:""&amp;Q360&amp;""""&amp;Dashboard!$L$1&amp;"""")))"&amp;",K360))"),"")</f>
        <v/>
      </c>
      <c r="S360" s="266" t="str">
        <f>IFERROR(__xludf.DUMMYFUNCTION("IF(ISBLANK(A360),"""",IFERROR(IF(OR(Q360=""GPB"",Q360=""ZAR""),IF(Q360=Dashboard!$L$1,M360,(M360*GOOGLEFINANCE(""CURRENCY:""&amp;Q360&amp;""""&amp;Dashboard!$L$1&amp;""""))/100),IF(Q360=Dashboard!$L$1,M360,M360*GOOGLEFINANCE(""CURRENCY:""&amp;Q360&amp;""""&amp;Dashboard!$L$1&amp;"""")))"&amp;",M360))"),"")</f>
        <v/>
      </c>
      <c r="T360" s="264" t="str">
        <f t="shared" si="4"/>
        <v/>
      </c>
      <c r="U360" s="264" t="str">
        <f t="shared" si="5"/>
        <v/>
      </c>
      <c r="V360" s="264" t="str">
        <f t="shared" si="6"/>
        <v/>
      </c>
      <c r="W360" s="267" t="str">
        <f t="shared" si="8"/>
        <v/>
      </c>
      <c r="X360" s="264" t="str">
        <f t="shared" si="7"/>
        <v/>
      </c>
    </row>
    <row r="361" ht="15.75" customHeight="1">
      <c r="A361" s="258"/>
      <c r="B361" s="258"/>
      <c r="C361" s="269"/>
      <c r="D361" s="258"/>
      <c r="E361" s="258"/>
      <c r="F361" s="258"/>
      <c r="G361" s="258"/>
      <c r="H361" s="271"/>
      <c r="I361" s="258"/>
      <c r="J361" s="272"/>
      <c r="K361" s="260"/>
      <c r="L361" s="261"/>
      <c r="M361" s="262" t="str">
        <f t="shared" si="1"/>
        <v/>
      </c>
      <c r="N361" s="263" t="str">
        <f t="shared" si="2"/>
        <v/>
      </c>
      <c r="O361" s="264" t="str">
        <f t="shared" si="3"/>
        <v/>
      </c>
      <c r="P361" s="265" t="str">
        <f>IFERROR(__xludf.DUMMYFUNCTION("IF(ISBLANK(A361),"""",IFERROR(IF(H361=""Sell"",VLOOKUP(9^99,FILTER({ROW(P$2:P360),P$2:P360},D$2:D360=D361),2),(VLOOKUP(9^99,FILTER({ROW(P$2:P360),P$2:P360},D$2:D360=D361),2)*VLOOKUP(9^99,FILTER({ROW(O$2:O360),O$2:O360},D$2:D360=D361),2)-N361)/O361),J361))"),"")</f>
        <v/>
      </c>
      <c r="Q361" s="264" t="str">
        <f>IFERROR(__xludf.DUMMYFUNCTION("IFERROR(IF(F361=""Crypto"",B361,(IF(ISBLANK(D361),"""",IF(D361=""Cash"",B361,IF(GOOGLEFINANCE(D361,""CURRENCY"")=""GBX"",""GBP"",GOOGLEFINANCE(D361,""CURRENCY"")))))),B361)"),"")</f>
        <v/>
      </c>
      <c r="R361" s="263" t="str">
        <f>IFERROR(__xludf.DUMMYFUNCTION("IF(ISBLANK(A361),"""",IFERROR(IF(OR(Q361=""GPB"",Q361=""ZAR""),IF(Q361=Dashboard!$L$1,K361,(K361*GOOGLEFINANCE(""CURRENCY:""&amp;Q361&amp;""""&amp;Dashboard!$L$1&amp;""""))/100),IF(Q361=Dashboard!$L$1,K361,K361*GOOGLEFINANCE(""CURRENCY:""&amp;Q361&amp;""""&amp;Dashboard!$L$1&amp;"""")))"&amp;",K361))"),"")</f>
        <v/>
      </c>
      <c r="S361" s="266" t="str">
        <f>IFERROR(__xludf.DUMMYFUNCTION("IF(ISBLANK(A361),"""",IFERROR(IF(OR(Q361=""GPB"",Q361=""ZAR""),IF(Q361=Dashboard!$L$1,M361,(M361*GOOGLEFINANCE(""CURRENCY:""&amp;Q361&amp;""""&amp;Dashboard!$L$1&amp;""""))/100),IF(Q361=Dashboard!$L$1,M361,M361*GOOGLEFINANCE(""CURRENCY:""&amp;Q361&amp;""""&amp;Dashboard!$L$1&amp;"""")))"&amp;",M361))"),"")</f>
        <v/>
      </c>
      <c r="T361" s="264" t="str">
        <f t="shared" si="4"/>
        <v/>
      </c>
      <c r="U361" s="264" t="str">
        <f t="shared" si="5"/>
        <v/>
      </c>
      <c r="V361" s="264" t="str">
        <f t="shared" si="6"/>
        <v/>
      </c>
      <c r="W361" s="267" t="str">
        <f t="shared" si="8"/>
        <v/>
      </c>
      <c r="X361" s="264" t="str">
        <f t="shared" si="7"/>
        <v/>
      </c>
    </row>
    <row r="362" ht="15.75" customHeight="1">
      <c r="A362" s="258"/>
      <c r="B362" s="258"/>
      <c r="C362" s="269"/>
      <c r="D362" s="258"/>
      <c r="E362" s="258"/>
      <c r="F362" s="258"/>
      <c r="G362" s="258"/>
      <c r="H362" s="271"/>
      <c r="I362" s="258"/>
      <c r="J362" s="272"/>
      <c r="K362" s="260"/>
      <c r="L362" s="261"/>
      <c r="M362" s="262" t="str">
        <f t="shared" si="1"/>
        <v/>
      </c>
      <c r="N362" s="263" t="str">
        <f t="shared" si="2"/>
        <v/>
      </c>
      <c r="O362" s="264" t="str">
        <f t="shared" si="3"/>
        <v/>
      </c>
      <c r="P362" s="265" t="str">
        <f>IFERROR(__xludf.DUMMYFUNCTION("IF(ISBLANK(A362),"""",IFERROR(IF(H362=""Sell"",VLOOKUP(9^99,FILTER({ROW(P$2:P361),P$2:P361},D$2:D361=D362),2),(VLOOKUP(9^99,FILTER({ROW(P$2:P361),P$2:P361},D$2:D361=D362),2)*VLOOKUP(9^99,FILTER({ROW(O$2:O361),O$2:O361},D$2:D361=D362),2)-N362)/O362),J362))"),"")</f>
        <v/>
      </c>
      <c r="Q362" s="264" t="str">
        <f>IFERROR(__xludf.DUMMYFUNCTION("IFERROR(IF(F362=""Crypto"",B362,(IF(ISBLANK(D362),"""",IF(D362=""Cash"",B362,IF(GOOGLEFINANCE(D362,""CURRENCY"")=""GBX"",""GBP"",GOOGLEFINANCE(D362,""CURRENCY"")))))),B362)"),"")</f>
        <v/>
      </c>
      <c r="R362" s="263" t="str">
        <f>IFERROR(__xludf.DUMMYFUNCTION("IF(ISBLANK(A362),"""",IFERROR(IF(OR(Q362=""GPB"",Q362=""ZAR""),IF(Q362=Dashboard!$L$1,K362,(K362*GOOGLEFINANCE(""CURRENCY:""&amp;Q362&amp;""""&amp;Dashboard!$L$1&amp;""""))/100),IF(Q362=Dashboard!$L$1,K362,K362*GOOGLEFINANCE(""CURRENCY:""&amp;Q362&amp;""""&amp;Dashboard!$L$1&amp;"""")))"&amp;",K362))"),"")</f>
        <v/>
      </c>
      <c r="S362" s="266" t="str">
        <f>IFERROR(__xludf.DUMMYFUNCTION("IF(ISBLANK(A362),"""",IFERROR(IF(OR(Q362=""GPB"",Q362=""ZAR""),IF(Q362=Dashboard!$L$1,M362,(M362*GOOGLEFINANCE(""CURRENCY:""&amp;Q362&amp;""""&amp;Dashboard!$L$1&amp;""""))/100),IF(Q362=Dashboard!$L$1,M362,M362*GOOGLEFINANCE(""CURRENCY:""&amp;Q362&amp;""""&amp;Dashboard!$L$1&amp;"""")))"&amp;",M362))"),"")</f>
        <v/>
      </c>
      <c r="T362" s="264" t="str">
        <f t="shared" si="4"/>
        <v/>
      </c>
      <c r="U362" s="264" t="str">
        <f t="shared" si="5"/>
        <v/>
      </c>
      <c r="V362" s="264" t="str">
        <f t="shared" si="6"/>
        <v/>
      </c>
      <c r="W362" s="267" t="str">
        <f t="shared" si="8"/>
        <v/>
      </c>
      <c r="X362" s="264" t="str">
        <f t="shared" si="7"/>
        <v/>
      </c>
    </row>
    <row r="363" ht="15.75" customHeight="1">
      <c r="A363" s="258"/>
      <c r="B363" s="258"/>
      <c r="C363" s="269"/>
      <c r="D363" s="258"/>
      <c r="E363" s="258"/>
      <c r="F363" s="258"/>
      <c r="G363" s="258"/>
      <c r="H363" s="271"/>
      <c r="I363" s="258"/>
      <c r="J363" s="272"/>
      <c r="K363" s="260"/>
      <c r="L363" s="261"/>
      <c r="M363" s="262" t="str">
        <f t="shared" si="1"/>
        <v/>
      </c>
      <c r="N363" s="263" t="str">
        <f t="shared" si="2"/>
        <v/>
      </c>
      <c r="O363" s="264" t="str">
        <f t="shared" si="3"/>
        <v/>
      </c>
      <c r="P363" s="265" t="str">
        <f>IFERROR(__xludf.DUMMYFUNCTION("IF(ISBLANK(A363),"""",IFERROR(IF(H363=""Sell"",VLOOKUP(9^99,FILTER({ROW(P$2:P362),P$2:P362},D$2:D362=D363),2),(VLOOKUP(9^99,FILTER({ROW(P$2:P362),P$2:P362},D$2:D362=D363),2)*VLOOKUP(9^99,FILTER({ROW(O$2:O362),O$2:O362},D$2:D362=D363),2)-N363)/O363),J363))"),"")</f>
        <v/>
      </c>
      <c r="Q363" s="264" t="str">
        <f>IFERROR(__xludf.DUMMYFUNCTION("IFERROR(IF(F363=""Crypto"",B363,(IF(ISBLANK(D363),"""",IF(D363=""Cash"",B363,IF(GOOGLEFINANCE(D363,""CURRENCY"")=""GBX"",""GBP"",GOOGLEFINANCE(D363,""CURRENCY"")))))),B363)"),"")</f>
        <v/>
      </c>
      <c r="R363" s="263" t="str">
        <f>IFERROR(__xludf.DUMMYFUNCTION("IF(ISBLANK(A363),"""",IFERROR(IF(OR(Q363=""GPB"",Q363=""ZAR""),IF(Q363=Dashboard!$L$1,K363,(K363*GOOGLEFINANCE(""CURRENCY:""&amp;Q363&amp;""""&amp;Dashboard!$L$1&amp;""""))/100),IF(Q363=Dashboard!$L$1,K363,K363*GOOGLEFINANCE(""CURRENCY:""&amp;Q363&amp;""""&amp;Dashboard!$L$1&amp;"""")))"&amp;",K363))"),"")</f>
        <v/>
      </c>
      <c r="S363" s="266" t="str">
        <f>IFERROR(__xludf.DUMMYFUNCTION("IF(ISBLANK(A363),"""",IFERROR(IF(OR(Q363=""GPB"",Q363=""ZAR""),IF(Q363=Dashboard!$L$1,M363,(M363*GOOGLEFINANCE(""CURRENCY:""&amp;Q363&amp;""""&amp;Dashboard!$L$1&amp;""""))/100),IF(Q363=Dashboard!$L$1,M363,M363*GOOGLEFINANCE(""CURRENCY:""&amp;Q363&amp;""""&amp;Dashboard!$L$1&amp;"""")))"&amp;",M363))"),"")</f>
        <v/>
      </c>
      <c r="T363" s="264" t="str">
        <f t="shared" si="4"/>
        <v/>
      </c>
      <c r="U363" s="264" t="str">
        <f t="shared" si="5"/>
        <v/>
      </c>
      <c r="V363" s="264" t="str">
        <f t="shared" si="6"/>
        <v/>
      </c>
      <c r="W363" s="267" t="str">
        <f t="shared" si="8"/>
        <v/>
      </c>
      <c r="X363" s="264" t="str">
        <f t="shared" si="7"/>
        <v/>
      </c>
    </row>
    <row r="364" ht="15.75" customHeight="1">
      <c r="A364" s="258"/>
      <c r="B364" s="258"/>
      <c r="C364" s="269"/>
      <c r="D364" s="258"/>
      <c r="E364" s="258"/>
      <c r="F364" s="258"/>
      <c r="G364" s="258"/>
      <c r="H364" s="271"/>
      <c r="I364" s="258"/>
      <c r="J364" s="272"/>
      <c r="K364" s="260"/>
      <c r="L364" s="261"/>
      <c r="M364" s="262" t="str">
        <f t="shared" si="1"/>
        <v/>
      </c>
      <c r="N364" s="263" t="str">
        <f t="shared" si="2"/>
        <v/>
      </c>
      <c r="O364" s="264" t="str">
        <f t="shared" si="3"/>
        <v/>
      </c>
      <c r="P364" s="265" t="str">
        <f>IFERROR(__xludf.DUMMYFUNCTION("IF(ISBLANK(A364),"""",IFERROR(IF(H364=""Sell"",VLOOKUP(9^99,FILTER({ROW(P$2:P363),P$2:P363},D$2:D363=D364),2),(VLOOKUP(9^99,FILTER({ROW(P$2:P363),P$2:P363},D$2:D363=D364),2)*VLOOKUP(9^99,FILTER({ROW(O$2:O363),O$2:O363},D$2:D363=D364),2)-N364)/O364),J364))"),"")</f>
        <v/>
      </c>
      <c r="Q364" s="264" t="str">
        <f>IFERROR(__xludf.DUMMYFUNCTION("IFERROR(IF(F364=""Crypto"",B364,(IF(ISBLANK(D364),"""",IF(D364=""Cash"",B364,IF(GOOGLEFINANCE(D364,""CURRENCY"")=""GBX"",""GBP"",GOOGLEFINANCE(D364,""CURRENCY"")))))),B364)"),"")</f>
        <v/>
      </c>
      <c r="R364" s="263" t="str">
        <f>IFERROR(__xludf.DUMMYFUNCTION("IF(ISBLANK(A364),"""",IFERROR(IF(OR(Q364=""GPB"",Q364=""ZAR""),IF(Q364=Dashboard!$L$1,K364,(K364*GOOGLEFINANCE(""CURRENCY:""&amp;Q364&amp;""""&amp;Dashboard!$L$1&amp;""""))/100),IF(Q364=Dashboard!$L$1,K364,K364*GOOGLEFINANCE(""CURRENCY:""&amp;Q364&amp;""""&amp;Dashboard!$L$1&amp;"""")))"&amp;",K364))"),"")</f>
        <v/>
      </c>
      <c r="S364" s="266" t="str">
        <f>IFERROR(__xludf.DUMMYFUNCTION("IF(ISBLANK(A364),"""",IFERROR(IF(OR(Q364=""GPB"",Q364=""ZAR""),IF(Q364=Dashboard!$L$1,M364,(M364*GOOGLEFINANCE(""CURRENCY:""&amp;Q364&amp;""""&amp;Dashboard!$L$1&amp;""""))/100),IF(Q364=Dashboard!$L$1,M364,M364*GOOGLEFINANCE(""CURRENCY:""&amp;Q364&amp;""""&amp;Dashboard!$L$1&amp;"""")))"&amp;",M364))"),"")</f>
        <v/>
      </c>
      <c r="T364" s="264" t="str">
        <f t="shared" si="4"/>
        <v/>
      </c>
      <c r="U364" s="264" t="str">
        <f t="shared" si="5"/>
        <v/>
      </c>
      <c r="V364" s="264" t="str">
        <f t="shared" si="6"/>
        <v/>
      </c>
      <c r="W364" s="267" t="str">
        <f t="shared" si="8"/>
        <v/>
      </c>
      <c r="X364" s="264" t="str">
        <f t="shared" si="7"/>
        <v/>
      </c>
    </row>
    <row r="365" ht="15.75" customHeight="1">
      <c r="A365" s="258"/>
      <c r="B365" s="258"/>
      <c r="C365" s="269"/>
      <c r="D365" s="258"/>
      <c r="E365" s="258"/>
      <c r="F365" s="258"/>
      <c r="G365" s="258"/>
      <c r="H365" s="271"/>
      <c r="I365" s="258"/>
      <c r="J365" s="272"/>
      <c r="K365" s="260"/>
      <c r="L365" s="261"/>
      <c r="M365" s="262" t="str">
        <f t="shared" si="1"/>
        <v/>
      </c>
      <c r="N365" s="263" t="str">
        <f t="shared" si="2"/>
        <v/>
      </c>
      <c r="O365" s="264" t="str">
        <f t="shared" si="3"/>
        <v/>
      </c>
      <c r="P365" s="265" t="str">
        <f>IFERROR(__xludf.DUMMYFUNCTION("IF(ISBLANK(A365),"""",IFERROR(IF(H365=""Sell"",VLOOKUP(9^99,FILTER({ROW(P$2:P364),P$2:P364},D$2:D364=D365),2),(VLOOKUP(9^99,FILTER({ROW(P$2:P364),P$2:P364},D$2:D364=D365),2)*VLOOKUP(9^99,FILTER({ROW(O$2:O364),O$2:O364},D$2:D364=D365),2)-N365)/O365),J365))"),"")</f>
        <v/>
      </c>
      <c r="Q365" s="264" t="str">
        <f>IFERROR(__xludf.DUMMYFUNCTION("IFERROR(IF(F365=""Crypto"",B365,(IF(ISBLANK(D365),"""",IF(D365=""Cash"",B365,IF(GOOGLEFINANCE(D365,""CURRENCY"")=""GBX"",""GBP"",GOOGLEFINANCE(D365,""CURRENCY"")))))),B365)"),"")</f>
        <v/>
      </c>
      <c r="R365" s="263" t="str">
        <f>IFERROR(__xludf.DUMMYFUNCTION("IF(ISBLANK(A365),"""",IFERROR(IF(OR(Q365=""GPB"",Q365=""ZAR""),IF(Q365=Dashboard!$L$1,K365,(K365*GOOGLEFINANCE(""CURRENCY:""&amp;Q365&amp;""""&amp;Dashboard!$L$1&amp;""""))/100),IF(Q365=Dashboard!$L$1,K365,K365*GOOGLEFINANCE(""CURRENCY:""&amp;Q365&amp;""""&amp;Dashboard!$L$1&amp;"""")))"&amp;",K365))"),"")</f>
        <v/>
      </c>
      <c r="S365" s="266" t="str">
        <f>IFERROR(__xludf.DUMMYFUNCTION("IF(ISBLANK(A365),"""",IFERROR(IF(OR(Q365=""GPB"",Q365=""ZAR""),IF(Q365=Dashboard!$L$1,M365,(M365*GOOGLEFINANCE(""CURRENCY:""&amp;Q365&amp;""""&amp;Dashboard!$L$1&amp;""""))/100),IF(Q365=Dashboard!$L$1,M365,M365*GOOGLEFINANCE(""CURRENCY:""&amp;Q365&amp;""""&amp;Dashboard!$L$1&amp;"""")))"&amp;",M365))"),"")</f>
        <v/>
      </c>
      <c r="T365" s="264" t="str">
        <f t="shared" si="4"/>
        <v/>
      </c>
      <c r="U365" s="264" t="str">
        <f t="shared" si="5"/>
        <v/>
      </c>
      <c r="V365" s="264" t="str">
        <f t="shared" si="6"/>
        <v/>
      </c>
      <c r="W365" s="267" t="str">
        <f t="shared" si="8"/>
        <v/>
      </c>
      <c r="X365" s="264" t="str">
        <f t="shared" si="7"/>
        <v/>
      </c>
    </row>
    <row r="366" ht="15.75" customHeight="1">
      <c r="A366" s="258"/>
      <c r="B366" s="258"/>
      <c r="C366" s="269"/>
      <c r="D366" s="258"/>
      <c r="E366" s="258"/>
      <c r="F366" s="258"/>
      <c r="G366" s="258"/>
      <c r="H366" s="271"/>
      <c r="I366" s="258"/>
      <c r="J366" s="272"/>
      <c r="K366" s="260"/>
      <c r="L366" s="261"/>
      <c r="M366" s="262" t="str">
        <f t="shared" si="1"/>
        <v/>
      </c>
      <c r="N366" s="263" t="str">
        <f t="shared" si="2"/>
        <v/>
      </c>
      <c r="O366" s="264" t="str">
        <f t="shared" si="3"/>
        <v/>
      </c>
      <c r="P366" s="265" t="str">
        <f>IFERROR(__xludf.DUMMYFUNCTION("IF(ISBLANK(A366),"""",IFERROR(IF(H366=""Sell"",VLOOKUP(9^99,FILTER({ROW(P$2:P365),P$2:P365},D$2:D365=D366),2),(VLOOKUP(9^99,FILTER({ROW(P$2:P365),P$2:P365},D$2:D365=D366),2)*VLOOKUP(9^99,FILTER({ROW(O$2:O365),O$2:O365},D$2:D365=D366),2)-N366)/O366),J366))"),"")</f>
        <v/>
      </c>
      <c r="Q366" s="264" t="str">
        <f>IFERROR(__xludf.DUMMYFUNCTION("IFERROR(IF(F366=""Crypto"",B366,(IF(ISBLANK(D366),"""",IF(D366=""Cash"",B366,IF(GOOGLEFINANCE(D366,""CURRENCY"")=""GBX"",""GBP"",GOOGLEFINANCE(D366,""CURRENCY"")))))),B366)"),"")</f>
        <v/>
      </c>
      <c r="R366" s="263" t="str">
        <f>IFERROR(__xludf.DUMMYFUNCTION("IF(ISBLANK(A366),"""",IFERROR(IF(OR(Q366=""GPB"",Q366=""ZAR""),IF(Q366=Dashboard!$L$1,K366,(K366*GOOGLEFINANCE(""CURRENCY:""&amp;Q366&amp;""""&amp;Dashboard!$L$1&amp;""""))/100),IF(Q366=Dashboard!$L$1,K366,K366*GOOGLEFINANCE(""CURRENCY:""&amp;Q366&amp;""""&amp;Dashboard!$L$1&amp;"""")))"&amp;",K366))"),"")</f>
        <v/>
      </c>
      <c r="S366" s="266" t="str">
        <f>IFERROR(__xludf.DUMMYFUNCTION("IF(ISBLANK(A366),"""",IFERROR(IF(OR(Q366=""GPB"",Q366=""ZAR""),IF(Q366=Dashboard!$L$1,M366,(M366*GOOGLEFINANCE(""CURRENCY:""&amp;Q366&amp;""""&amp;Dashboard!$L$1&amp;""""))/100),IF(Q366=Dashboard!$L$1,M366,M366*GOOGLEFINANCE(""CURRENCY:""&amp;Q366&amp;""""&amp;Dashboard!$L$1&amp;"""")))"&amp;",M366))"),"")</f>
        <v/>
      </c>
      <c r="T366" s="264" t="str">
        <f t="shared" si="4"/>
        <v/>
      </c>
      <c r="U366" s="264" t="str">
        <f t="shared" si="5"/>
        <v/>
      </c>
      <c r="V366" s="264" t="str">
        <f t="shared" si="6"/>
        <v/>
      </c>
      <c r="W366" s="267" t="str">
        <f t="shared" si="8"/>
        <v/>
      </c>
      <c r="X366" s="264" t="str">
        <f t="shared" si="7"/>
        <v/>
      </c>
    </row>
    <row r="367" ht="15.75" customHeight="1">
      <c r="A367" s="258"/>
      <c r="B367" s="258"/>
      <c r="C367" s="269"/>
      <c r="D367" s="258"/>
      <c r="E367" s="258"/>
      <c r="F367" s="258"/>
      <c r="G367" s="258"/>
      <c r="H367" s="271"/>
      <c r="I367" s="258"/>
      <c r="J367" s="272"/>
      <c r="K367" s="260"/>
      <c r="L367" s="261"/>
      <c r="M367" s="262" t="str">
        <f t="shared" si="1"/>
        <v/>
      </c>
      <c r="N367" s="263" t="str">
        <f t="shared" si="2"/>
        <v/>
      </c>
      <c r="O367" s="264" t="str">
        <f t="shared" si="3"/>
        <v/>
      </c>
      <c r="P367" s="265" t="str">
        <f>IFERROR(__xludf.DUMMYFUNCTION("IF(ISBLANK(A367),"""",IFERROR(IF(H367=""Sell"",VLOOKUP(9^99,FILTER({ROW(P$2:P366),P$2:P366},D$2:D366=D367),2),(VLOOKUP(9^99,FILTER({ROW(P$2:P366),P$2:P366},D$2:D366=D367),2)*VLOOKUP(9^99,FILTER({ROW(O$2:O366),O$2:O366},D$2:D366=D367),2)-N367)/O367),J367))"),"")</f>
        <v/>
      </c>
      <c r="Q367" s="264" t="str">
        <f>IFERROR(__xludf.DUMMYFUNCTION("IFERROR(IF(F367=""Crypto"",B367,(IF(ISBLANK(D367),"""",IF(D367=""Cash"",B367,IF(GOOGLEFINANCE(D367,""CURRENCY"")=""GBX"",""GBP"",GOOGLEFINANCE(D367,""CURRENCY"")))))),B367)"),"")</f>
        <v/>
      </c>
      <c r="R367" s="263" t="str">
        <f>IFERROR(__xludf.DUMMYFUNCTION("IF(ISBLANK(A367),"""",IFERROR(IF(OR(Q367=""GPB"",Q367=""ZAR""),IF(Q367=Dashboard!$L$1,K367,(K367*GOOGLEFINANCE(""CURRENCY:""&amp;Q367&amp;""""&amp;Dashboard!$L$1&amp;""""))/100),IF(Q367=Dashboard!$L$1,K367,K367*GOOGLEFINANCE(""CURRENCY:""&amp;Q367&amp;""""&amp;Dashboard!$L$1&amp;"""")))"&amp;",K367))"),"")</f>
        <v/>
      </c>
      <c r="S367" s="266" t="str">
        <f>IFERROR(__xludf.DUMMYFUNCTION("IF(ISBLANK(A367),"""",IFERROR(IF(OR(Q367=""GPB"",Q367=""ZAR""),IF(Q367=Dashboard!$L$1,M367,(M367*GOOGLEFINANCE(""CURRENCY:""&amp;Q367&amp;""""&amp;Dashboard!$L$1&amp;""""))/100),IF(Q367=Dashboard!$L$1,M367,M367*GOOGLEFINANCE(""CURRENCY:""&amp;Q367&amp;""""&amp;Dashboard!$L$1&amp;"""")))"&amp;",M367))"),"")</f>
        <v/>
      </c>
      <c r="T367" s="264" t="str">
        <f t="shared" si="4"/>
        <v/>
      </c>
      <c r="U367" s="264" t="str">
        <f t="shared" si="5"/>
        <v/>
      </c>
      <c r="V367" s="264" t="str">
        <f t="shared" si="6"/>
        <v/>
      </c>
      <c r="W367" s="267" t="str">
        <f t="shared" si="8"/>
        <v/>
      </c>
      <c r="X367" s="264" t="str">
        <f t="shared" si="7"/>
        <v/>
      </c>
    </row>
    <row r="368" ht="15.75" customHeight="1">
      <c r="A368" s="258"/>
      <c r="B368" s="258"/>
      <c r="C368" s="269"/>
      <c r="D368" s="258"/>
      <c r="E368" s="258"/>
      <c r="F368" s="258"/>
      <c r="G368" s="258"/>
      <c r="H368" s="271"/>
      <c r="I368" s="258"/>
      <c r="J368" s="272"/>
      <c r="K368" s="260"/>
      <c r="L368" s="261"/>
      <c r="M368" s="262" t="str">
        <f t="shared" si="1"/>
        <v/>
      </c>
      <c r="N368" s="263" t="str">
        <f t="shared" si="2"/>
        <v/>
      </c>
      <c r="O368" s="264" t="str">
        <f t="shared" si="3"/>
        <v/>
      </c>
      <c r="P368" s="265" t="str">
        <f>IFERROR(__xludf.DUMMYFUNCTION("IF(ISBLANK(A368),"""",IFERROR(IF(H368=""Sell"",VLOOKUP(9^99,FILTER({ROW(P$2:P367),P$2:P367},D$2:D367=D368),2),(VLOOKUP(9^99,FILTER({ROW(P$2:P367),P$2:P367},D$2:D367=D368),2)*VLOOKUP(9^99,FILTER({ROW(O$2:O367),O$2:O367},D$2:D367=D368),2)-N368)/O368),J368))"),"")</f>
        <v/>
      </c>
      <c r="Q368" s="264" t="str">
        <f>IFERROR(__xludf.DUMMYFUNCTION("IFERROR(IF(F368=""Crypto"",B368,(IF(ISBLANK(D368),"""",IF(D368=""Cash"",B368,IF(GOOGLEFINANCE(D368,""CURRENCY"")=""GBX"",""GBP"",GOOGLEFINANCE(D368,""CURRENCY"")))))),B368)"),"")</f>
        <v/>
      </c>
      <c r="R368" s="263" t="str">
        <f>IFERROR(__xludf.DUMMYFUNCTION("IF(ISBLANK(A368),"""",IFERROR(IF(OR(Q368=""GPB"",Q368=""ZAR""),IF(Q368=Dashboard!$L$1,K368,(K368*GOOGLEFINANCE(""CURRENCY:""&amp;Q368&amp;""""&amp;Dashboard!$L$1&amp;""""))/100),IF(Q368=Dashboard!$L$1,K368,K368*GOOGLEFINANCE(""CURRENCY:""&amp;Q368&amp;""""&amp;Dashboard!$L$1&amp;"""")))"&amp;",K368))"),"")</f>
        <v/>
      </c>
      <c r="S368" s="266" t="str">
        <f>IFERROR(__xludf.DUMMYFUNCTION("IF(ISBLANK(A368),"""",IFERROR(IF(OR(Q368=""GPB"",Q368=""ZAR""),IF(Q368=Dashboard!$L$1,M368,(M368*GOOGLEFINANCE(""CURRENCY:""&amp;Q368&amp;""""&amp;Dashboard!$L$1&amp;""""))/100),IF(Q368=Dashboard!$L$1,M368,M368*GOOGLEFINANCE(""CURRENCY:""&amp;Q368&amp;""""&amp;Dashboard!$L$1&amp;"""")))"&amp;",M368))"),"")</f>
        <v/>
      </c>
      <c r="T368" s="264" t="str">
        <f t="shared" si="4"/>
        <v/>
      </c>
      <c r="U368" s="264" t="str">
        <f t="shared" si="5"/>
        <v/>
      </c>
      <c r="V368" s="264" t="str">
        <f t="shared" si="6"/>
        <v/>
      </c>
      <c r="W368" s="267" t="str">
        <f t="shared" si="8"/>
        <v/>
      </c>
      <c r="X368" s="264" t="str">
        <f t="shared" si="7"/>
        <v/>
      </c>
    </row>
    <row r="369" ht="15.75" customHeight="1">
      <c r="A369" s="258"/>
      <c r="B369" s="258"/>
      <c r="C369" s="269"/>
      <c r="D369" s="258"/>
      <c r="E369" s="258"/>
      <c r="F369" s="258"/>
      <c r="G369" s="258"/>
      <c r="H369" s="271"/>
      <c r="I369" s="258"/>
      <c r="J369" s="272"/>
      <c r="K369" s="260"/>
      <c r="L369" s="261"/>
      <c r="M369" s="262" t="str">
        <f t="shared" si="1"/>
        <v/>
      </c>
      <c r="N369" s="263" t="str">
        <f t="shared" si="2"/>
        <v/>
      </c>
      <c r="O369" s="264" t="str">
        <f t="shared" si="3"/>
        <v/>
      </c>
      <c r="P369" s="265" t="str">
        <f>IFERROR(__xludf.DUMMYFUNCTION("IF(ISBLANK(A369),"""",IFERROR(IF(H369=""Sell"",VLOOKUP(9^99,FILTER({ROW(P$2:P368),P$2:P368},D$2:D368=D369),2),(VLOOKUP(9^99,FILTER({ROW(P$2:P368),P$2:P368},D$2:D368=D369),2)*VLOOKUP(9^99,FILTER({ROW(O$2:O368),O$2:O368},D$2:D368=D369),2)-N369)/O369),J369))"),"")</f>
        <v/>
      </c>
      <c r="Q369" s="264" t="str">
        <f>IFERROR(__xludf.DUMMYFUNCTION("IFERROR(IF(F369=""Crypto"",B369,(IF(ISBLANK(D369),"""",IF(D369=""Cash"",B369,IF(GOOGLEFINANCE(D369,""CURRENCY"")=""GBX"",""GBP"",GOOGLEFINANCE(D369,""CURRENCY"")))))),B369)"),"")</f>
        <v/>
      </c>
      <c r="R369" s="263" t="str">
        <f>IFERROR(__xludf.DUMMYFUNCTION("IF(ISBLANK(A369),"""",IFERROR(IF(OR(Q369=""GPB"",Q369=""ZAR""),IF(Q369=Dashboard!$L$1,K369,(K369*GOOGLEFINANCE(""CURRENCY:""&amp;Q369&amp;""""&amp;Dashboard!$L$1&amp;""""))/100),IF(Q369=Dashboard!$L$1,K369,K369*GOOGLEFINANCE(""CURRENCY:""&amp;Q369&amp;""""&amp;Dashboard!$L$1&amp;"""")))"&amp;",K369))"),"")</f>
        <v/>
      </c>
      <c r="S369" s="266" t="str">
        <f>IFERROR(__xludf.DUMMYFUNCTION("IF(ISBLANK(A369),"""",IFERROR(IF(OR(Q369=""GPB"",Q369=""ZAR""),IF(Q369=Dashboard!$L$1,M369,(M369*GOOGLEFINANCE(""CURRENCY:""&amp;Q369&amp;""""&amp;Dashboard!$L$1&amp;""""))/100),IF(Q369=Dashboard!$L$1,M369,M369*GOOGLEFINANCE(""CURRENCY:""&amp;Q369&amp;""""&amp;Dashboard!$L$1&amp;"""")))"&amp;",M369))"),"")</f>
        <v/>
      </c>
      <c r="T369" s="264" t="str">
        <f t="shared" si="4"/>
        <v/>
      </c>
      <c r="U369" s="264" t="str">
        <f t="shared" si="5"/>
        <v/>
      </c>
      <c r="V369" s="264" t="str">
        <f t="shared" si="6"/>
        <v/>
      </c>
      <c r="W369" s="267" t="str">
        <f t="shared" si="8"/>
        <v/>
      </c>
      <c r="X369" s="264" t="str">
        <f t="shared" si="7"/>
        <v/>
      </c>
    </row>
    <row r="370" ht="15.75" customHeight="1">
      <c r="A370" s="258"/>
      <c r="B370" s="258"/>
      <c r="C370" s="269"/>
      <c r="D370" s="258"/>
      <c r="E370" s="258"/>
      <c r="F370" s="258"/>
      <c r="G370" s="258"/>
      <c r="H370" s="271"/>
      <c r="I370" s="258"/>
      <c r="J370" s="272"/>
      <c r="K370" s="260"/>
      <c r="L370" s="261"/>
      <c r="M370" s="262" t="str">
        <f t="shared" si="1"/>
        <v/>
      </c>
      <c r="N370" s="263" t="str">
        <f t="shared" si="2"/>
        <v/>
      </c>
      <c r="O370" s="264" t="str">
        <f t="shared" si="3"/>
        <v/>
      </c>
      <c r="P370" s="265" t="str">
        <f>IFERROR(__xludf.DUMMYFUNCTION("IF(ISBLANK(A370),"""",IFERROR(IF(H370=""Sell"",VLOOKUP(9^99,FILTER({ROW(P$2:P369),P$2:P369},D$2:D369=D370),2),(VLOOKUP(9^99,FILTER({ROW(P$2:P369),P$2:P369},D$2:D369=D370),2)*VLOOKUP(9^99,FILTER({ROW(O$2:O369),O$2:O369},D$2:D369=D370),2)-N370)/O370),J370))"),"")</f>
        <v/>
      </c>
      <c r="Q370" s="264" t="str">
        <f>IFERROR(__xludf.DUMMYFUNCTION("IFERROR(IF(F370=""Crypto"",B370,(IF(ISBLANK(D370),"""",IF(D370=""Cash"",B370,IF(GOOGLEFINANCE(D370,""CURRENCY"")=""GBX"",""GBP"",GOOGLEFINANCE(D370,""CURRENCY"")))))),B370)"),"")</f>
        <v/>
      </c>
      <c r="R370" s="263" t="str">
        <f>IFERROR(__xludf.DUMMYFUNCTION("IF(ISBLANK(A370),"""",IFERROR(IF(OR(Q370=""GPB"",Q370=""ZAR""),IF(Q370=Dashboard!$L$1,K370,(K370*GOOGLEFINANCE(""CURRENCY:""&amp;Q370&amp;""""&amp;Dashboard!$L$1&amp;""""))/100),IF(Q370=Dashboard!$L$1,K370,K370*GOOGLEFINANCE(""CURRENCY:""&amp;Q370&amp;""""&amp;Dashboard!$L$1&amp;"""")))"&amp;",K370))"),"")</f>
        <v/>
      </c>
      <c r="S370" s="266" t="str">
        <f>IFERROR(__xludf.DUMMYFUNCTION("IF(ISBLANK(A370),"""",IFERROR(IF(OR(Q370=""GPB"",Q370=""ZAR""),IF(Q370=Dashboard!$L$1,M370,(M370*GOOGLEFINANCE(""CURRENCY:""&amp;Q370&amp;""""&amp;Dashboard!$L$1&amp;""""))/100),IF(Q370=Dashboard!$L$1,M370,M370*GOOGLEFINANCE(""CURRENCY:""&amp;Q370&amp;""""&amp;Dashboard!$L$1&amp;"""")))"&amp;",M370))"),"")</f>
        <v/>
      </c>
      <c r="T370" s="264" t="str">
        <f t="shared" si="4"/>
        <v/>
      </c>
      <c r="U370" s="264" t="str">
        <f t="shared" si="5"/>
        <v/>
      </c>
      <c r="V370" s="264" t="str">
        <f t="shared" si="6"/>
        <v/>
      </c>
      <c r="W370" s="267" t="str">
        <f t="shared" si="8"/>
        <v/>
      </c>
      <c r="X370" s="264" t="str">
        <f t="shared" si="7"/>
        <v/>
      </c>
    </row>
    <row r="371" ht="15.75" customHeight="1">
      <c r="A371" s="258"/>
      <c r="B371" s="258"/>
      <c r="C371" s="269"/>
      <c r="D371" s="258"/>
      <c r="E371" s="258"/>
      <c r="F371" s="258"/>
      <c r="G371" s="258"/>
      <c r="H371" s="271"/>
      <c r="I371" s="258"/>
      <c r="J371" s="272"/>
      <c r="K371" s="260"/>
      <c r="L371" s="261"/>
      <c r="M371" s="262" t="str">
        <f t="shared" si="1"/>
        <v/>
      </c>
      <c r="N371" s="263" t="str">
        <f t="shared" si="2"/>
        <v/>
      </c>
      <c r="O371" s="264" t="str">
        <f t="shared" si="3"/>
        <v/>
      </c>
      <c r="P371" s="265" t="str">
        <f>IFERROR(__xludf.DUMMYFUNCTION("IF(ISBLANK(A371),"""",IFERROR(IF(H371=""Sell"",VLOOKUP(9^99,FILTER({ROW(P$2:P370),P$2:P370},D$2:D370=D371),2),(VLOOKUP(9^99,FILTER({ROW(P$2:P370),P$2:P370},D$2:D370=D371),2)*VLOOKUP(9^99,FILTER({ROW(O$2:O370),O$2:O370},D$2:D370=D371),2)-N371)/O371),J371))"),"")</f>
        <v/>
      </c>
      <c r="Q371" s="264" t="str">
        <f>IFERROR(__xludf.DUMMYFUNCTION("IFERROR(IF(F371=""Crypto"",B371,(IF(ISBLANK(D371),"""",IF(D371=""Cash"",B371,IF(GOOGLEFINANCE(D371,""CURRENCY"")=""GBX"",""GBP"",GOOGLEFINANCE(D371,""CURRENCY"")))))),B371)"),"")</f>
        <v/>
      </c>
      <c r="R371" s="263" t="str">
        <f>IFERROR(__xludf.DUMMYFUNCTION("IF(ISBLANK(A371),"""",IFERROR(IF(OR(Q371=""GPB"",Q371=""ZAR""),IF(Q371=Dashboard!$L$1,K371,(K371*GOOGLEFINANCE(""CURRENCY:""&amp;Q371&amp;""""&amp;Dashboard!$L$1&amp;""""))/100),IF(Q371=Dashboard!$L$1,K371,K371*GOOGLEFINANCE(""CURRENCY:""&amp;Q371&amp;""""&amp;Dashboard!$L$1&amp;"""")))"&amp;",K371))"),"")</f>
        <v/>
      </c>
      <c r="S371" s="266" t="str">
        <f>IFERROR(__xludf.DUMMYFUNCTION("IF(ISBLANK(A371),"""",IFERROR(IF(OR(Q371=""GPB"",Q371=""ZAR""),IF(Q371=Dashboard!$L$1,M371,(M371*GOOGLEFINANCE(""CURRENCY:""&amp;Q371&amp;""""&amp;Dashboard!$L$1&amp;""""))/100),IF(Q371=Dashboard!$L$1,M371,M371*GOOGLEFINANCE(""CURRENCY:""&amp;Q371&amp;""""&amp;Dashboard!$L$1&amp;"""")))"&amp;",M371))"),"")</f>
        <v/>
      </c>
      <c r="T371" s="264" t="str">
        <f t="shared" si="4"/>
        <v/>
      </c>
      <c r="U371" s="264" t="str">
        <f t="shared" si="5"/>
        <v/>
      </c>
      <c r="V371" s="264" t="str">
        <f t="shared" si="6"/>
        <v/>
      </c>
      <c r="W371" s="267" t="str">
        <f t="shared" si="8"/>
        <v/>
      </c>
      <c r="X371" s="264" t="str">
        <f t="shared" si="7"/>
        <v/>
      </c>
    </row>
    <row r="372" ht="15.75" customHeight="1">
      <c r="A372" s="258"/>
      <c r="B372" s="258"/>
      <c r="C372" s="269"/>
      <c r="D372" s="258"/>
      <c r="E372" s="258"/>
      <c r="F372" s="258"/>
      <c r="G372" s="258"/>
      <c r="H372" s="271"/>
      <c r="I372" s="258"/>
      <c r="J372" s="272"/>
      <c r="K372" s="260"/>
      <c r="L372" s="261"/>
      <c r="M372" s="262" t="str">
        <f t="shared" si="1"/>
        <v/>
      </c>
      <c r="N372" s="263" t="str">
        <f t="shared" si="2"/>
        <v/>
      </c>
      <c r="O372" s="264" t="str">
        <f t="shared" si="3"/>
        <v/>
      </c>
      <c r="P372" s="265" t="str">
        <f>IFERROR(__xludf.DUMMYFUNCTION("IF(ISBLANK(A372),"""",IFERROR(IF(H372=""Sell"",VLOOKUP(9^99,FILTER({ROW(P$2:P371),P$2:P371},D$2:D371=D372),2),(VLOOKUP(9^99,FILTER({ROW(P$2:P371),P$2:P371},D$2:D371=D372),2)*VLOOKUP(9^99,FILTER({ROW(O$2:O371),O$2:O371},D$2:D371=D372),2)-N372)/O372),J372))"),"")</f>
        <v/>
      </c>
      <c r="Q372" s="264" t="str">
        <f>IFERROR(__xludf.DUMMYFUNCTION("IFERROR(IF(F372=""Crypto"",B372,(IF(ISBLANK(D372),"""",IF(D372=""Cash"",B372,IF(GOOGLEFINANCE(D372,""CURRENCY"")=""GBX"",""GBP"",GOOGLEFINANCE(D372,""CURRENCY"")))))),B372)"),"")</f>
        <v/>
      </c>
      <c r="R372" s="263" t="str">
        <f>IFERROR(__xludf.DUMMYFUNCTION("IF(ISBLANK(A372),"""",IFERROR(IF(OR(Q372=""GPB"",Q372=""ZAR""),IF(Q372=Dashboard!$L$1,K372,(K372*GOOGLEFINANCE(""CURRENCY:""&amp;Q372&amp;""""&amp;Dashboard!$L$1&amp;""""))/100),IF(Q372=Dashboard!$L$1,K372,K372*GOOGLEFINANCE(""CURRENCY:""&amp;Q372&amp;""""&amp;Dashboard!$L$1&amp;"""")))"&amp;",K372))"),"")</f>
        <v/>
      </c>
      <c r="S372" s="266" t="str">
        <f>IFERROR(__xludf.DUMMYFUNCTION("IF(ISBLANK(A372),"""",IFERROR(IF(OR(Q372=""GPB"",Q372=""ZAR""),IF(Q372=Dashboard!$L$1,M372,(M372*GOOGLEFINANCE(""CURRENCY:""&amp;Q372&amp;""""&amp;Dashboard!$L$1&amp;""""))/100),IF(Q372=Dashboard!$L$1,M372,M372*GOOGLEFINANCE(""CURRENCY:""&amp;Q372&amp;""""&amp;Dashboard!$L$1&amp;"""")))"&amp;",M372))"),"")</f>
        <v/>
      </c>
      <c r="T372" s="264" t="str">
        <f t="shared" si="4"/>
        <v/>
      </c>
      <c r="U372" s="264" t="str">
        <f t="shared" si="5"/>
        <v/>
      </c>
      <c r="V372" s="264" t="str">
        <f t="shared" si="6"/>
        <v/>
      </c>
      <c r="W372" s="267" t="str">
        <f t="shared" si="8"/>
        <v/>
      </c>
      <c r="X372" s="264" t="str">
        <f t="shared" si="7"/>
        <v/>
      </c>
    </row>
    <row r="373" ht="15.75" customHeight="1">
      <c r="A373" s="258"/>
      <c r="B373" s="258"/>
      <c r="C373" s="269"/>
      <c r="D373" s="258"/>
      <c r="E373" s="258"/>
      <c r="F373" s="258"/>
      <c r="G373" s="258"/>
      <c r="H373" s="271"/>
      <c r="I373" s="258"/>
      <c r="J373" s="272"/>
      <c r="K373" s="260"/>
      <c r="L373" s="261"/>
      <c r="M373" s="262" t="str">
        <f t="shared" si="1"/>
        <v/>
      </c>
      <c r="N373" s="263" t="str">
        <f t="shared" si="2"/>
        <v/>
      </c>
      <c r="O373" s="264" t="str">
        <f t="shared" si="3"/>
        <v/>
      </c>
      <c r="P373" s="265" t="str">
        <f>IFERROR(__xludf.DUMMYFUNCTION("IF(ISBLANK(A373),"""",IFERROR(IF(H373=""Sell"",VLOOKUP(9^99,FILTER({ROW(P$2:P372),P$2:P372},D$2:D372=D373),2),(VLOOKUP(9^99,FILTER({ROW(P$2:P372),P$2:P372},D$2:D372=D373),2)*VLOOKUP(9^99,FILTER({ROW(O$2:O372),O$2:O372},D$2:D372=D373),2)-N373)/O373),J373))"),"")</f>
        <v/>
      </c>
      <c r="Q373" s="264" t="str">
        <f>IFERROR(__xludf.DUMMYFUNCTION("IFERROR(IF(F373=""Crypto"",B373,(IF(ISBLANK(D373),"""",IF(D373=""Cash"",B373,IF(GOOGLEFINANCE(D373,""CURRENCY"")=""GBX"",""GBP"",GOOGLEFINANCE(D373,""CURRENCY"")))))),B373)"),"")</f>
        <v/>
      </c>
      <c r="R373" s="263" t="str">
        <f>IFERROR(__xludf.DUMMYFUNCTION("IF(ISBLANK(A373),"""",IFERROR(IF(OR(Q373=""GPB"",Q373=""ZAR""),IF(Q373=Dashboard!$L$1,K373,(K373*GOOGLEFINANCE(""CURRENCY:""&amp;Q373&amp;""""&amp;Dashboard!$L$1&amp;""""))/100),IF(Q373=Dashboard!$L$1,K373,K373*GOOGLEFINANCE(""CURRENCY:""&amp;Q373&amp;""""&amp;Dashboard!$L$1&amp;"""")))"&amp;",K373))"),"")</f>
        <v/>
      </c>
      <c r="S373" s="266" t="str">
        <f>IFERROR(__xludf.DUMMYFUNCTION("IF(ISBLANK(A373),"""",IFERROR(IF(OR(Q373=""GPB"",Q373=""ZAR""),IF(Q373=Dashboard!$L$1,M373,(M373*GOOGLEFINANCE(""CURRENCY:""&amp;Q373&amp;""""&amp;Dashboard!$L$1&amp;""""))/100),IF(Q373=Dashboard!$L$1,M373,M373*GOOGLEFINANCE(""CURRENCY:""&amp;Q373&amp;""""&amp;Dashboard!$L$1&amp;"""")))"&amp;",M373))"),"")</f>
        <v/>
      </c>
      <c r="T373" s="264" t="str">
        <f t="shared" si="4"/>
        <v/>
      </c>
      <c r="U373" s="264" t="str">
        <f t="shared" si="5"/>
        <v/>
      </c>
      <c r="V373" s="264" t="str">
        <f t="shared" si="6"/>
        <v/>
      </c>
      <c r="W373" s="267" t="str">
        <f t="shared" si="8"/>
        <v/>
      </c>
      <c r="X373" s="264" t="str">
        <f t="shared" si="7"/>
        <v/>
      </c>
    </row>
    <row r="374" ht="15.75" customHeight="1">
      <c r="A374" s="258"/>
      <c r="B374" s="258"/>
      <c r="C374" s="269"/>
      <c r="D374" s="258"/>
      <c r="E374" s="258"/>
      <c r="F374" s="258"/>
      <c r="G374" s="258"/>
      <c r="H374" s="271"/>
      <c r="I374" s="258"/>
      <c r="J374" s="272"/>
      <c r="K374" s="260"/>
      <c r="L374" s="261"/>
      <c r="M374" s="262" t="str">
        <f t="shared" si="1"/>
        <v/>
      </c>
      <c r="N374" s="263" t="str">
        <f t="shared" si="2"/>
        <v/>
      </c>
      <c r="O374" s="264" t="str">
        <f t="shared" si="3"/>
        <v/>
      </c>
      <c r="P374" s="265" t="str">
        <f>IFERROR(__xludf.DUMMYFUNCTION("IF(ISBLANK(A374),"""",IFERROR(IF(H374=""Sell"",VLOOKUP(9^99,FILTER({ROW(P$2:P373),P$2:P373},D$2:D373=D374),2),(VLOOKUP(9^99,FILTER({ROW(P$2:P373),P$2:P373},D$2:D373=D374),2)*VLOOKUP(9^99,FILTER({ROW(O$2:O373),O$2:O373},D$2:D373=D374),2)-N374)/O374),J374))"),"")</f>
        <v/>
      </c>
      <c r="Q374" s="264" t="str">
        <f>IFERROR(__xludf.DUMMYFUNCTION("IFERROR(IF(F374=""Crypto"",B374,(IF(ISBLANK(D374),"""",IF(D374=""Cash"",B374,IF(GOOGLEFINANCE(D374,""CURRENCY"")=""GBX"",""GBP"",GOOGLEFINANCE(D374,""CURRENCY"")))))),B374)"),"")</f>
        <v/>
      </c>
      <c r="R374" s="263" t="str">
        <f>IFERROR(__xludf.DUMMYFUNCTION("IF(ISBLANK(A374),"""",IFERROR(IF(OR(Q374=""GPB"",Q374=""ZAR""),IF(Q374=Dashboard!$L$1,K374,(K374*GOOGLEFINANCE(""CURRENCY:""&amp;Q374&amp;""""&amp;Dashboard!$L$1&amp;""""))/100),IF(Q374=Dashboard!$L$1,K374,K374*GOOGLEFINANCE(""CURRENCY:""&amp;Q374&amp;""""&amp;Dashboard!$L$1&amp;"""")))"&amp;",K374))"),"")</f>
        <v/>
      </c>
      <c r="S374" s="266" t="str">
        <f>IFERROR(__xludf.DUMMYFUNCTION("IF(ISBLANK(A374),"""",IFERROR(IF(OR(Q374=""GPB"",Q374=""ZAR""),IF(Q374=Dashboard!$L$1,M374,(M374*GOOGLEFINANCE(""CURRENCY:""&amp;Q374&amp;""""&amp;Dashboard!$L$1&amp;""""))/100),IF(Q374=Dashboard!$L$1,M374,M374*GOOGLEFINANCE(""CURRENCY:""&amp;Q374&amp;""""&amp;Dashboard!$L$1&amp;"""")))"&amp;",M374))"),"")</f>
        <v/>
      </c>
      <c r="T374" s="264" t="str">
        <f t="shared" si="4"/>
        <v/>
      </c>
      <c r="U374" s="264" t="str">
        <f t="shared" si="5"/>
        <v/>
      </c>
      <c r="V374" s="264" t="str">
        <f t="shared" si="6"/>
        <v/>
      </c>
      <c r="W374" s="267" t="str">
        <f t="shared" si="8"/>
        <v/>
      </c>
      <c r="X374" s="264" t="str">
        <f t="shared" si="7"/>
        <v/>
      </c>
    </row>
    <row r="375" ht="15.75" customHeight="1">
      <c r="A375" s="258"/>
      <c r="B375" s="258"/>
      <c r="C375" s="269"/>
      <c r="D375" s="258"/>
      <c r="E375" s="258"/>
      <c r="F375" s="258"/>
      <c r="G375" s="258"/>
      <c r="H375" s="271"/>
      <c r="I375" s="258"/>
      <c r="J375" s="272"/>
      <c r="K375" s="260"/>
      <c r="L375" s="261"/>
      <c r="M375" s="262" t="str">
        <f t="shared" si="1"/>
        <v/>
      </c>
      <c r="N375" s="263" t="str">
        <f t="shared" si="2"/>
        <v/>
      </c>
      <c r="O375" s="264" t="str">
        <f t="shared" si="3"/>
        <v/>
      </c>
      <c r="P375" s="265" t="str">
        <f>IFERROR(__xludf.DUMMYFUNCTION("IF(ISBLANK(A375),"""",IFERROR(IF(H375=""Sell"",VLOOKUP(9^99,FILTER({ROW(P$2:P374),P$2:P374},D$2:D374=D375),2),(VLOOKUP(9^99,FILTER({ROW(P$2:P374),P$2:P374},D$2:D374=D375),2)*VLOOKUP(9^99,FILTER({ROW(O$2:O374),O$2:O374},D$2:D374=D375),2)-N375)/O375),J375))"),"")</f>
        <v/>
      </c>
      <c r="Q375" s="264" t="str">
        <f>IFERROR(__xludf.DUMMYFUNCTION("IFERROR(IF(F375=""Crypto"",B375,(IF(ISBLANK(D375),"""",IF(D375=""Cash"",B375,IF(GOOGLEFINANCE(D375,""CURRENCY"")=""GBX"",""GBP"",GOOGLEFINANCE(D375,""CURRENCY"")))))),B375)"),"")</f>
        <v/>
      </c>
      <c r="R375" s="263" t="str">
        <f>IFERROR(__xludf.DUMMYFUNCTION("IF(ISBLANK(A375),"""",IFERROR(IF(OR(Q375=""GPB"",Q375=""ZAR""),IF(Q375=Dashboard!$L$1,K375,(K375*GOOGLEFINANCE(""CURRENCY:""&amp;Q375&amp;""""&amp;Dashboard!$L$1&amp;""""))/100),IF(Q375=Dashboard!$L$1,K375,K375*GOOGLEFINANCE(""CURRENCY:""&amp;Q375&amp;""""&amp;Dashboard!$L$1&amp;"""")))"&amp;",K375))"),"")</f>
        <v/>
      </c>
      <c r="S375" s="266" t="str">
        <f>IFERROR(__xludf.DUMMYFUNCTION("IF(ISBLANK(A375),"""",IFERROR(IF(OR(Q375=""GPB"",Q375=""ZAR""),IF(Q375=Dashboard!$L$1,M375,(M375*GOOGLEFINANCE(""CURRENCY:""&amp;Q375&amp;""""&amp;Dashboard!$L$1&amp;""""))/100),IF(Q375=Dashboard!$L$1,M375,M375*GOOGLEFINANCE(""CURRENCY:""&amp;Q375&amp;""""&amp;Dashboard!$L$1&amp;"""")))"&amp;",M375))"),"")</f>
        <v/>
      </c>
      <c r="T375" s="264" t="str">
        <f t="shared" si="4"/>
        <v/>
      </c>
      <c r="U375" s="264" t="str">
        <f t="shared" si="5"/>
        <v/>
      </c>
      <c r="V375" s="264" t="str">
        <f t="shared" si="6"/>
        <v/>
      </c>
      <c r="W375" s="267" t="str">
        <f t="shared" si="8"/>
        <v/>
      </c>
      <c r="X375" s="264" t="str">
        <f t="shared" si="7"/>
        <v/>
      </c>
    </row>
    <row r="376" ht="15.75" customHeight="1">
      <c r="A376" s="258"/>
      <c r="B376" s="258"/>
      <c r="C376" s="269"/>
      <c r="D376" s="258"/>
      <c r="E376" s="258"/>
      <c r="F376" s="258"/>
      <c r="G376" s="258"/>
      <c r="H376" s="271"/>
      <c r="I376" s="258"/>
      <c r="J376" s="272"/>
      <c r="K376" s="260"/>
      <c r="L376" s="261"/>
      <c r="M376" s="262" t="str">
        <f t="shared" si="1"/>
        <v/>
      </c>
      <c r="N376" s="263" t="str">
        <f t="shared" si="2"/>
        <v/>
      </c>
      <c r="O376" s="264" t="str">
        <f t="shared" si="3"/>
        <v/>
      </c>
      <c r="P376" s="265" t="str">
        <f>IFERROR(__xludf.DUMMYFUNCTION("IF(ISBLANK(A376),"""",IFERROR(IF(H376=""Sell"",VLOOKUP(9^99,FILTER({ROW(P$2:P375),P$2:P375},D$2:D375=D376),2),(VLOOKUP(9^99,FILTER({ROW(P$2:P375),P$2:P375},D$2:D375=D376),2)*VLOOKUP(9^99,FILTER({ROW(O$2:O375),O$2:O375},D$2:D375=D376),2)-N376)/O376),J376))"),"")</f>
        <v/>
      </c>
      <c r="Q376" s="264" t="str">
        <f>IFERROR(__xludf.DUMMYFUNCTION("IFERROR(IF(F376=""Crypto"",B376,(IF(ISBLANK(D376),"""",IF(D376=""Cash"",B376,IF(GOOGLEFINANCE(D376,""CURRENCY"")=""GBX"",""GBP"",GOOGLEFINANCE(D376,""CURRENCY"")))))),B376)"),"")</f>
        <v/>
      </c>
      <c r="R376" s="263" t="str">
        <f>IFERROR(__xludf.DUMMYFUNCTION("IF(ISBLANK(A376),"""",IFERROR(IF(OR(Q376=""GPB"",Q376=""ZAR""),IF(Q376=Dashboard!$L$1,K376,(K376*GOOGLEFINANCE(""CURRENCY:""&amp;Q376&amp;""""&amp;Dashboard!$L$1&amp;""""))/100),IF(Q376=Dashboard!$L$1,K376,K376*GOOGLEFINANCE(""CURRENCY:""&amp;Q376&amp;""""&amp;Dashboard!$L$1&amp;"""")))"&amp;",K376))"),"")</f>
        <v/>
      </c>
      <c r="S376" s="266" t="str">
        <f>IFERROR(__xludf.DUMMYFUNCTION("IF(ISBLANK(A376),"""",IFERROR(IF(OR(Q376=""GPB"",Q376=""ZAR""),IF(Q376=Dashboard!$L$1,M376,(M376*GOOGLEFINANCE(""CURRENCY:""&amp;Q376&amp;""""&amp;Dashboard!$L$1&amp;""""))/100),IF(Q376=Dashboard!$L$1,M376,M376*GOOGLEFINANCE(""CURRENCY:""&amp;Q376&amp;""""&amp;Dashboard!$L$1&amp;"""")))"&amp;",M376))"),"")</f>
        <v/>
      </c>
      <c r="T376" s="264" t="str">
        <f t="shared" si="4"/>
        <v/>
      </c>
      <c r="U376" s="264" t="str">
        <f t="shared" si="5"/>
        <v/>
      </c>
      <c r="V376" s="264" t="str">
        <f t="shared" si="6"/>
        <v/>
      </c>
      <c r="W376" s="267" t="str">
        <f t="shared" si="8"/>
        <v/>
      </c>
      <c r="X376" s="264" t="str">
        <f t="shared" si="7"/>
        <v/>
      </c>
    </row>
    <row r="377" ht="15.75" customHeight="1">
      <c r="A377" s="258"/>
      <c r="B377" s="258"/>
      <c r="C377" s="269"/>
      <c r="D377" s="258"/>
      <c r="E377" s="258"/>
      <c r="F377" s="258"/>
      <c r="G377" s="258"/>
      <c r="H377" s="271"/>
      <c r="I377" s="258"/>
      <c r="J377" s="272"/>
      <c r="K377" s="260"/>
      <c r="L377" s="261"/>
      <c r="M377" s="262" t="str">
        <f t="shared" si="1"/>
        <v/>
      </c>
      <c r="N377" s="263" t="str">
        <f t="shared" si="2"/>
        <v/>
      </c>
      <c r="O377" s="264" t="str">
        <f t="shared" si="3"/>
        <v/>
      </c>
      <c r="P377" s="265" t="str">
        <f>IFERROR(__xludf.DUMMYFUNCTION("IF(ISBLANK(A377),"""",IFERROR(IF(H377=""Sell"",VLOOKUP(9^99,FILTER({ROW(P$2:P376),P$2:P376},D$2:D376=D377),2),(VLOOKUP(9^99,FILTER({ROW(P$2:P376),P$2:P376},D$2:D376=D377),2)*VLOOKUP(9^99,FILTER({ROW(O$2:O376),O$2:O376},D$2:D376=D377),2)-N377)/O377),J377))"),"")</f>
        <v/>
      </c>
      <c r="Q377" s="264" t="str">
        <f>IFERROR(__xludf.DUMMYFUNCTION("IFERROR(IF(F377=""Crypto"",B377,(IF(ISBLANK(D377),"""",IF(D377=""Cash"",B377,IF(GOOGLEFINANCE(D377,""CURRENCY"")=""GBX"",""GBP"",GOOGLEFINANCE(D377,""CURRENCY"")))))),B377)"),"")</f>
        <v/>
      </c>
      <c r="R377" s="263" t="str">
        <f>IFERROR(__xludf.DUMMYFUNCTION("IF(ISBLANK(A377),"""",IFERROR(IF(OR(Q377=""GPB"",Q377=""ZAR""),IF(Q377=Dashboard!$L$1,K377,(K377*GOOGLEFINANCE(""CURRENCY:""&amp;Q377&amp;""""&amp;Dashboard!$L$1&amp;""""))/100),IF(Q377=Dashboard!$L$1,K377,K377*GOOGLEFINANCE(""CURRENCY:""&amp;Q377&amp;""""&amp;Dashboard!$L$1&amp;"""")))"&amp;",K377))"),"")</f>
        <v/>
      </c>
      <c r="S377" s="266" t="str">
        <f>IFERROR(__xludf.DUMMYFUNCTION("IF(ISBLANK(A377),"""",IFERROR(IF(OR(Q377=""GPB"",Q377=""ZAR""),IF(Q377=Dashboard!$L$1,M377,(M377*GOOGLEFINANCE(""CURRENCY:""&amp;Q377&amp;""""&amp;Dashboard!$L$1&amp;""""))/100),IF(Q377=Dashboard!$L$1,M377,M377*GOOGLEFINANCE(""CURRENCY:""&amp;Q377&amp;""""&amp;Dashboard!$L$1&amp;"""")))"&amp;",M377))"),"")</f>
        <v/>
      </c>
      <c r="T377" s="264" t="str">
        <f t="shared" si="4"/>
        <v/>
      </c>
      <c r="U377" s="264" t="str">
        <f t="shared" si="5"/>
        <v/>
      </c>
      <c r="V377" s="264" t="str">
        <f t="shared" si="6"/>
        <v/>
      </c>
      <c r="W377" s="267" t="str">
        <f t="shared" si="8"/>
        <v/>
      </c>
      <c r="X377" s="264" t="str">
        <f t="shared" si="7"/>
        <v/>
      </c>
    </row>
    <row r="378" ht="15.75" customHeight="1">
      <c r="A378" s="258"/>
      <c r="B378" s="258"/>
      <c r="C378" s="269"/>
      <c r="D378" s="258"/>
      <c r="E378" s="258"/>
      <c r="F378" s="258"/>
      <c r="G378" s="258"/>
      <c r="H378" s="271"/>
      <c r="I378" s="258"/>
      <c r="J378" s="272"/>
      <c r="K378" s="260"/>
      <c r="L378" s="261"/>
      <c r="M378" s="262" t="str">
        <f t="shared" si="1"/>
        <v/>
      </c>
      <c r="N378" s="263" t="str">
        <f t="shared" si="2"/>
        <v/>
      </c>
      <c r="O378" s="264" t="str">
        <f t="shared" si="3"/>
        <v/>
      </c>
      <c r="P378" s="265" t="str">
        <f>IFERROR(__xludf.DUMMYFUNCTION("IF(ISBLANK(A378),"""",IFERROR(IF(H378=""Sell"",VLOOKUP(9^99,FILTER({ROW(P$2:P377),P$2:P377},D$2:D377=D378),2),(VLOOKUP(9^99,FILTER({ROW(P$2:P377),P$2:P377},D$2:D377=D378),2)*VLOOKUP(9^99,FILTER({ROW(O$2:O377),O$2:O377},D$2:D377=D378),2)-N378)/O378),J378))"),"")</f>
        <v/>
      </c>
      <c r="Q378" s="264" t="str">
        <f>IFERROR(__xludf.DUMMYFUNCTION("IFERROR(IF(F378=""Crypto"",B378,(IF(ISBLANK(D378),"""",IF(D378=""Cash"",B378,IF(GOOGLEFINANCE(D378,""CURRENCY"")=""GBX"",""GBP"",GOOGLEFINANCE(D378,""CURRENCY"")))))),B378)"),"")</f>
        <v/>
      </c>
      <c r="R378" s="263" t="str">
        <f>IFERROR(__xludf.DUMMYFUNCTION("IF(ISBLANK(A378),"""",IFERROR(IF(OR(Q378=""GPB"",Q378=""ZAR""),IF(Q378=Dashboard!$L$1,K378,(K378*GOOGLEFINANCE(""CURRENCY:""&amp;Q378&amp;""""&amp;Dashboard!$L$1&amp;""""))/100),IF(Q378=Dashboard!$L$1,K378,K378*GOOGLEFINANCE(""CURRENCY:""&amp;Q378&amp;""""&amp;Dashboard!$L$1&amp;"""")))"&amp;",K378))"),"")</f>
        <v/>
      </c>
      <c r="S378" s="266" t="str">
        <f>IFERROR(__xludf.DUMMYFUNCTION("IF(ISBLANK(A378),"""",IFERROR(IF(OR(Q378=""GPB"",Q378=""ZAR""),IF(Q378=Dashboard!$L$1,M378,(M378*GOOGLEFINANCE(""CURRENCY:""&amp;Q378&amp;""""&amp;Dashboard!$L$1&amp;""""))/100),IF(Q378=Dashboard!$L$1,M378,M378*GOOGLEFINANCE(""CURRENCY:""&amp;Q378&amp;""""&amp;Dashboard!$L$1&amp;"""")))"&amp;",M378))"),"")</f>
        <v/>
      </c>
      <c r="T378" s="264" t="str">
        <f t="shared" si="4"/>
        <v/>
      </c>
      <c r="U378" s="264" t="str">
        <f t="shared" si="5"/>
        <v/>
      </c>
      <c r="V378" s="264" t="str">
        <f t="shared" si="6"/>
        <v/>
      </c>
      <c r="W378" s="267" t="str">
        <f t="shared" si="8"/>
        <v/>
      </c>
      <c r="X378" s="264" t="str">
        <f t="shared" si="7"/>
        <v/>
      </c>
    </row>
    <row r="379" ht="15.75" customHeight="1">
      <c r="A379" s="258"/>
      <c r="B379" s="258"/>
      <c r="C379" s="269"/>
      <c r="D379" s="258"/>
      <c r="E379" s="258"/>
      <c r="F379" s="258"/>
      <c r="G379" s="258"/>
      <c r="H379" s="271"/>
      <c r="I379" s="258"/>
      <c r="J379" s="272"/>
      <c r="K379" s="260"/>
      <c r="L379" s="261"/>
      <c r="M379" s="262" t="str">
        <f t="shared" si="1"/>
        <v/>
      </c>
      <c r="N379" s="263" t="str">
        <f t="shared" si="2"/>
        <v/>
      </c>
      <c r="O379" s="264" t="str">
        <f t="shared" si="3"/>
        <v/>
      </c>
      <c r="P379" s="265" t="str">
        <f>IFERROR(__xludf.DUMMYFUNCTION("IF(ISBLANK(A379),"""",IFERROR(IF(H379=""Sell"",VLOOKUP(9^99,FILTER({ROW(P$2:P378),P$2:P378},D$2:D378=D379),2),(VLOOKUP(9^99,FILTER({ROW(P$2:P378),P$2:P378},D$2:D378=D379),2)*VLOOKUP(9^99,FILTER({ROW(O$2:O378),O$2:O378},D$2:D378=D379),2)-N379)/O379),J379))"),"")</f>
        <v/>
      </c>
      <c r="Q379" s="264" t="str">
        <f>IFERROR(__xludf.DUMMYFUNCTION("IFERROR(IF(F379=""Crypto"",B379,(IF(ISBLANK(D379),"""",IF(D379=""Cash"",B379,IF(GOOGLEFINANCE(D379,""CURRENCY"")=""GBX"",""GBP"",GOOGLEFINANCE(D379,""CURRENCY"")))))),B379)"),"")</f>
        <v/>
      </c>
      <c r="R379" s="263" t="str">
        <f>IFERROR(__xludf.DUMMYFUNCTION("IF(ISBLANK(A379),"""",IFERROR(IF(OR(Q379=""GPB"",Q379=""ZAR""),IF(Q379=Dashboard!$L$1,K379,(K379*GOOGLEFINANCE(""CURRENCY:""&amp;Q379&amp;""""&amp;Dashboard!$L$1&amp;""""))/100),IF(Q379=Dashboard!$L$1,K379,K379*GOOGLEFINANCE(""CURRENCY:""&amp;Q379&amp;""""&amp;Dashboard!$L$1&amp;"""")))"&amp;",K379))"),"")</f>
        <v/>
      </c>
      <c r="S379" s="266" t="str">
        <f>IFERROR(__xludf.DUMMYFUNCTION("IF(ISBLANK(A379),"""",IFERROR(IF(OR(Q379=""GPB"",Q379=""ZAR""),IF(Q379=Dashboard!$L$1,M379,(M379*GOOGLEFINANCE(""CURRENCY:""&amp;Q379&amp;""""&amp;Dashboard!$L$1&amp;""""))/100),IF(Q379=Dashboard!$L$1,M379,M379*GOOGLEFINANCE(""CURRENCY:""&amp;Q379&amp;""""&amp;Dashboard!$L$1&amp;"""")))"&amp;",M379))"),"")</f>
        <v/>
      </c>
      <c r="T379" s="264" t="str">
        <f t="shared" si="4"/>
        <v/>
      </c>
      <c r="U379" s="264" t="str">
        <f t="shared" si="5"/>
        <v/>
      </c>
      <c r="V379" s="264" t="str">
        <f t="shared" si="6"/>
        <v/>
      </c>
      <c r="W379" s="267" t="str">
        <f t="shared" si="8"/>
        <v/>
      </c>
      <c r="X379" s="264" t="str">
        <f t="shared" si="7"/>
        <v/>
      </c>
    </row>
    <row r="380" ht="15.75" customHeight="1">
      <c r="A380" s="258"/>
      <c r="B380" s="258"/>
      <c r="C380" s="269"/>
      <c r="D380" s="258"/>
      <c r="E380" s="258"/>
      <c r="F380" s="258"/>
      <c r="G380" s="258"/>
      <c r="H380" s="271"/>
      <c r="I380" s="258"/>
      <c r="J380" s="272"/>
      <c r="K380" s="260"/>
      <c r="L380" s="261"/>
      <c r="M380" s="262" t="str">
        <f t="shared" si="1"/>
        <v/>
      </c>
      <c r="N380" s="263" t="str">
        <f t="shared" si="2"/>
        <v/>
      </c>
      <c r="O380" s="264" t="str">
        <f t="shared" si="3"/>
        <v/>
      </c>
      <c r="P380" s="265" t="str">
        <f>IFERROR(__xludf.DUMMYFUNCTION("IF(ISBLANK(A380),"""",IFERROR(IF(H380=""Sell"",VLOOKUP(9^99,FILTER({ROW(P$2:P379),P$2:P379},D$2:D379=D380),2),(VLOOKUP(9^99,FILTER({ROW(P$2:P379),P$2:P379},D$2:D379=D380),2)*VLOOKUP(9^99,FILTER({ROW(O$2:O379),O$2:O379},D$2:D379=D380),2)-N380)/O380),J380))"),"")</f>
        <v/>
      </c>
      <c r="Q380" s="264" t="str">
        <f>IFERROR(__xludf.DUMMYFUNCTION("IFERROR(IF(F380=""Crypto"",B380,(IF(ISBLANK(D380),"""",IF(D380=""Cash"",B380,IF(GOOGLEFINANCE(D380,""CURRENCY"")=""GBX"",""GBP"",GOOGLEFINANCE(D380,""CURRENCY"")))))),B380)"),"")</f>
        <v/>
      </c>
      <c r="R380" s="263" t="str">
        <f>IFERROR(__xludf.DUMMYFUNCTION("IF(ISBLANK(A380),"""",IFERROR(IF(OR(Q380=""GPB"",Q380=""ZAR""),IF(Q380=Dashboard!$L$1,K380,(K380*GOOGLEFINANCE(""CURRENCY:""&amp;Q380&amp;""""&amp;Dashboard!$L$1&amp;""""))/100),IF(Q380=Dashboard!$L$1,K380,K380*GOOGLEFINANCE(""CURRENCY:""&amp;Q380&amp;""""&amp;Dashboard!$L$1&amp;"""")))"&amp;",K380))"),"")</f>
        <v/>
      </c>
      <c r="S380" s="266" t="str">
        <f>IFERROR(__xludf.DUMMYFUNCTION("IF(ISBLANK(A380),"""",IFERROR(IF(OR(Q380=""GPB"",Q380=""ZAR""),IF(Q380=Dashboard!$L$1,M380,(M380*GOOGLEFINANCE(""CURRENCY:""&amp;Q380&amp;""""&amp;Dashboard!$L$1&amp;""""))/100),IF(Q380=Dashboard!$L$1,M380,M380*GOOGLEFINANCE(""CURRENCY:""&amp;Q380&amp;""""&amp;Dashboard!$L$1&amp;"""")))"&amp;",M380))"),"")</f>
        <v/>
      </c>
      <c r="T380" s="264" t="str">
        <f t="shared" si="4"/>
        <v/>
      </c>
      <c r="U380" s="264" t="str">
        <f t="shared" si="5"/>
        <v/>
      </c>
      <c r="V380" s="264" t="str">
        <f t="shared" si="6"/>
        <v/>
      </c>
      <c r="W380" s="267" t="str">
        <f t="shared" si="8"/>
        <v/>
      </c>
      <c r="X380" s="264" t="str">
        <f t="shared" si="7"/>
        <v/>
      </c>
    </row>
    <row r="381" ht="15.75" customHeight="1">
      <c r="A381" s="258"/>
      <c r="B381" s="258"/>
      <c r="C381" s="269"/>
      <c r="D381" s="258"/>
      <c r="E381" s="258"/>
      <c r="F381" s="258"/>
      <c r="G381" s="258"/>
      <c r="H381" s="271"/>
      <c r="I381" s="258"/>
      <c r="J381" s="272"/>
      <c r="K381" s="260"/>
      <c r="L381" s="261"/>
      <c r="M381" s="262" t="str">
        <f t="shared" si="1"/>
        <v/>
      </c>
      <c r="N381" s="263" t="str">
        <f t="shared" si="2"/>
        <v/>
      </c>
      <c r="O381" s="264" t="str">
        <f t="shared" si="3"/>
        <v/>
      </c>
      <c r="P381" s="265" t="str">
        <f>IFERROR(__xludf.DUMMYFUNCTION("IF(ISBLANK(A381),"""",IFERROR(IF(H381=""Sell"",VLOOKUP(9^99,FILTER({ROW(P$2:P380),P$2:P380},D$2:D380=D381),2),(VLOOKUP(9^99,FILTER({ROW(P$2:P380),P$2:P380},D$2:D380=D381),2)*VLOOKUP(9^99,FILTER({ROW(O$2:O380),O$2:O380},D$2:D380=D381),2)-N381)/O381),J381))"),"")</f>
        <v/>
      </c>
      <c r="Q381" s="264" t="str">
        <f>IFERROR(__xludf.DUMMYFUNCTION("IFERROR(IF(F381=""Crypto"",B381,(IF(ISBLANK(D381),"""",IF(D381=""Cash"",B381,IF(GOOGLEFINANCE(D381,""CURRENCY"")=""GBX"",""GBP"",GOOGLEFINANCE(D381,""CURRENCY"")))))),B381)"),"")</f>
        <v/>
      </c>
      <c r="R381" s="263" t="str">
        <f>IFERROR(__xludf.DUMMYFUNCTION("IF(ISBLANK(A381),"""",IFERROR(IF(OR(Q381=""GPB"",Q381=""ZAR""),IF(Q381=Dashboard!$L$1,K381,(K381*GOOGLEFINANCE(""CURRENCY:""&amp;Q381&amp;""""&amp;Dashboard!$L$1&amp;""""))/100),IF(Q381=Dashboard!$L$1,K381,K381*GOOGLEFINANCE(""CURRENCY:""&amp;Q381&amp;""""&amp;Dashboard!$L$1&amp;"""")))"&amp;",K381))"),"")</f>
        <v/>
      </c>
      <c r="S381" s="266" t="str">
        <f>IFERROR(__xludf.DUMMYFUNCTION("IF(ISBLANK(A381),"""",IFERROR(IF(OR(Q381=""GPB"",Q381=""ZAR""),IF(Q381=Dashboard!$L$1,M381,(M381*GOOGLEFINANCE(""CURRENCY:""&amp;Q381&amp;""""&amp;Dashboard!$L$1&amp;""""))/100),IF(Q381=Dashboard!$L$1,M381,M381*GOOGLEFINANCE(""CURRENCY:""&amp;Q381&amp;""""&amp;Dashboard!$L$1&amp;"""")))"&amp;",M381))"),"")</f>
        <v/>
      </c>
      <c r="T381" s="264" t="str">
        <f t="shared" si="4"/>
        <v/>
      </c>
      <c r="U381" s="264" t="str">
        <f t="shared" si="5"/>
        <v/>
      </c>
      <c r="V381" s="264" t="str">
        <f t="shared" si="6"/>
        <v/>
      </c>
      <c r="W381" s="267" t="str">
        <f t="shared" si="8"/>
        <v/>
      </c>
      <c r="X381" s="264" t="str">
        <f t="shared" si="7"/>
        <v/>
      </c>
    </row>
    <row r="382" ht="15.75" customHeight="1">
      <c r="A382" s="258"/>
      <c r="B382" s="258"/>
      <c r="C382" s="269"/>
      <c r="D382" s="258"/>
      <c r="E382" s="258"/>
      <c r="F382" s="258"/>
      <c r="G382" s="258"/>
      <c r="H382" s="271"/>
      <c r="I382" s="258"/>
      <c r="J382" s="272"/>
      <c r="K382" s="260"/>
      <c r="L382" s="261"/>
      <c r="M382" s="262" t="str">
        <f t="shared" si="1"/>
        <v/>
      </c>
      <c r="N382" s="263" t="str">
        <f t="shared" si="2"/>
        <v/>
      </c>
      <c r="O382" s="264" t="str">
        <f t="shared" si="3"/>
        <v/>
      </c>
      <c r="P382" s="265" t="str">
        <f>IFERROR(__xludf.DUMMYFUNCTION("IF(ISBLANK(A382),"""",IFERROR(IF(H382=""Sell"",VLOOKUP(9^99,FILTER({ROW(P$2:P381),P$2:P381},D$2:D381=D382),2),(VLOOKUP(9^99,FILTER({ROW(P$2:P381),P$2:P381},D$2:D381=D382),2)*VLOOKUP(9^99,FILTER({ROW(O$2:O381),O$2:O381},D$2:D381=D382),2)-N382)/O382),J382))"),"")</f>
        <v/>
      </c>
      <c r="Q382" s="264" t="str">
        <f>IFERROR(__xludf.DUMMYFUNCTION("IFERROR(IF(F382=""Crypto"",B382,(IF(ISBLANK(D382),"""",IF(D382=""Cash"",B382,IF(GOOGLEFINANCE(D382,""CURRENCY"")=""GBX"",""GBP"",GOOGLEFINANCE(D382,""CURRENCY"")))))),B382)"),"")</f>
        <v/>
      </c>
      <c r="R382" s="263" t="str">
        <f>IFERROR(__xludf.DUMMYFUNCTION("IF(ISBLANK(A382),"""",IFERROR(IF(OR(Q382=""GPB"",Q382=""ZAR""),IF(Q382=Dashboard!$L$1,K382,(K382*GOOGLEFINANCE(""CURRENCY:""&amp;Q382&amp;""""&amp;Dashboard!$L$1&amp;""""))/100),IF(Q382=Dashboard!$L$1,K382,K382*GOOGLEFINANCE(""CURRENCY:""&amp;Q382&amp;""""&amp;Dashboard!$L$1&amp;"""")))"&amp;",K382))"),"")</f>
        <v/>
      </c>
      <c r="S382" s="266" t="str">
        <f>IFERROR(__xludf.DUMMYFUNCTION("IF(ISBLANK(A382),"""",IFERROR(IF(OR(Q382=""GPB"",Q382=""ZAR""),IF(Q382=Dashboard!$L$1,M382,(M382*GOOGLEFINANCE(""CURRENCY:""&amp;Q382&amp;""""&amp;Dashboard!$L$1&amp;""""))/100),IF(Q382=Dashboard!$L$1,M382,M382*GOOGLEFINANCE(""CURRENCY:""&amp;Q382&amp;""""&amp;Dashboard!$L$1&amp;"""")))"&amp;",M382))"),"")</f>
        <v/>
      </c>
      <c r="T382" s="264" t="str">
        <f t="shared" si="4"/>
        <v/>
      </c>
      <c r="U382" s="264" t="str">
        <f t="shared" si="5"/>
        <v/>
      </c>
      <c r="V382" s="264" t="str">
        <f t="shared" si="6"/>
        <v/>
      </c>
      <c r="W382" s="267" t="str">
        <f t="shared" si="8"/>
        <v/>
      </c>
      <c r="X382" s="264" t="str">
        <f t="shared" si="7"/>
        <v/>
      </c>
    </row>
    <row r="383" ht="15.75" customHeight="1">
      <c r="A383" s="258"/>
      <c r="B383" s="258"/>
      <c r="C383" s="269"/>
      <c r="D383" s="258"/>
      <c r="E383" s="258"/>
      <c r="F383" s="258"/>
      <c r="G383" s="258"/>
      <c r="H383" s="271"/>
      <c r="I383" s="258"/>
      <c r="J383" s="272"/>
      <c r="K383" s="260"/>
      <c r="L383" s="261"/>
      <c r="M383" s="262" t="str">
        <f t="shared" si="1"/>
        <v/>
      </c>
      <c r="N383" s="263" t="str">
        <f t="shared" si="2"/>
        <v/>
      </c>
      <c r="O383" s="264" t="str">
        <f t="shared" si="3"/>
        <v/>
      </c>
      <c r="P383" s="265" t="str">
        <f>IFERROR(__xludf.DUMMYFUNCTION("IF(ISBLANK(A383),"""",IFERROR(IF(H383=""Sell"",VLOOKUP(9^99,FILTER({ROW(P$2:P382),P$2:P382},D$2:D382=D383),2),(VLOOKUP(9^99,FILTER({ROW(P$2:P382),P$2:P382},D$2:D382=D383),2)*VLOOKUP(9^99,FILTER({ROW(O$2:O382),O$2:O382},D$2:D382=D383),2)-N383)/O383),J383))"),"")</f>
        <v/>
      </c>
      <c r="Q383" s="264" t="str">
        <f>IFERROR(__xludf.DUMMYFUNCTION("IFERROR(IF(F383=""Crypto"",B383,(IF(ISBLANK(D383),"""",IF(D383=""Cash"",B383,IF(GOOGLEFINANCE(D383,""CURRENCY"")=""GBX"",""GBP"",GOOGLEFINANCE(D383,""CURRENCY"")))))),B383)"),"")</f>
        <v/>
      </c>
      <c r="R383" s="263" t="str">
        <f>IFERROR(__xludf.DUMMYFUNCTION("IF(ISBLANK(A383),"""",IFERROR(IF(OR(Q383=""GPB"",Q383=""ZAR""),IF(Q383=Dashboard!$L$1,K383,(K383*GOOGLEFINANCE(""CURRENCY:""&amp;Q383&amp;""""&amp;Dashboard!$L$1&amp;""""))/100),IF(Q383=Dashboard!$L$1,K383,K383*GOOGLEFINANCE(""CURRENCY:""&amp;Q383&amp;""""&amp;Dashboard!$L$1&amp;"""")))"&amp;",K383))"),"")</f>
        <v/>
      </c>
      <c r="S383" s="266" t="str">
        <f>IFERROR(__xludf.DUMMYFUNCTION("IF(ISBLANK(A383),"""",IFERROR(IF(OR(Q383=""GPB"",Q383=""ZAR""),IF(Q383=Dashboard!$L$1,M383,(M383*GOOGLEFINANCE(""CURRENCY:""&amp;Q383&amp;""""&amp;Dashboard!$L$1&amp;""""))/100),IF(Q383=Dashboard!$L$1,M383,M383*GOOGLEFINANCE(""CURRENCY:""&amp;Q383&amp;""""&amp;Dashboard!$L$1&amp;"""")))"&amp;",M383))"),"")</f>
        <v/>
      </c>
      <c r="T383" s="264" t="str">
        <f t="shared" si="4"/>
        <v/>
      </c>
      <c r="U383" s="264" t="str">
        <f t="shared" si="5"/>
        <v/>
      </c>
      <c r="V383" s="264" t="str">
        <f t="shared" si="6"/>
        <v/>
      </c>
      <c r="W383" s="267" t="str">
        <f t="shared" si="8"/>
        <v/>
      </c>
      <c r="X383" s="264" t="str">
        <f t="shared" si="7"/>
        <v/>
      </c>
    </row>
    <row r="384" ht="15.75" customHeight="1">
      <c r="A384" s="258"/>
      <c r="B384" s="258"/>
      <c r="C384" s="269"/>
      <c r="D384" s="258"/>
      <c r="E384" s="258"/>
      <c r="F384" s="258"/>
      <c r="G384" s="258"/>
      <c r="H384" s="271"/>
      <c r="I384" s="258"/>
      <c r="J384" s="272"/>
      <c r="K384" s="260"/>
      <c r="L384" s="261"/>
      <c r="M384" s="262" t="str">
        <f t="shared" si="1"/>
        <v/>
      </c>
      <c r="N384" s="263" t="str">
        <f t="shared" si="2"/>
        <v/>
      </c>
      <c r="O384" s="264" t="str">
        <f t="shared" si="3"/>
        <v/>
      </c>
      <c r="P384" s="265" t="str">
        <f>IFERROR(__xludf.DUMMYFUNCTION("IF(ISBLANK(A384),"""",IFERROR(IF(H384=""Sell"",VLOOKUP(9^99,FILTER({ROW(P$2:P383),P$2:P383},D$2:D383=D384),2),(VLOOKUP(9^99,FILTER({ROW(P$2:P383),P$2:P383},D$2:D383=D384),2)*VLOOKUP(9^99,FILTER({ROW(O$2:O383),O$2:O383},D$2:D383=D384),2)-N384)/O384),J384))"),"")</f>
        <v/>
      </c>
      <c r="Q384" s="264" t="str">
        <f>IFERROR(__xludf.DUMMYFUNCTION("IFERROR(IF(F384=""Crypto"",B384,(IF(ISBLANK(D384),"""",IF(D384=""Cash"",B384,IF(GOOGLEFINANCE(D384,""CURRENCY"")=""GBX"",""GBP"",GOOGLEFINANCE(D384,""CURRENCY"")))))),B384)"),"")</f>
        <v/>
      </c>
      <c r="R384" s="263" t="str">
        <f>IFERROR(__xludf.DUMMYFUNCTION("IF(ISBLANK(A384),"""",IFERROR(IF(OR(Q384=""GPB"",Q384=""ZAR""),IF(Q384=Dashboard!$L$1,K384,(K384*GOOGLEFINANCE(""CURRENCY:""&amp;Q384&amp;""""&amp;Dashboard!$L$1&amp;""""))/100),IF(Q384=Dashboard!$L$1,K384,K384*GOOGLEFINANCE(""CURRENCY:""&amp;Q384&amp;""""&amp;Dashboard!$L$1&amp;"""")))"&amp;",K384))"),"")</f>
        <v/>
      </c>
      <c r="S384" s="266" t="str">
        <f>IFERROR(__xludf.DUMMYFUNCTION("IF(ISBLANK(A384),"""",IFERROR(IF(OR(Q384=""GPB"",Q384=""ZAR""),IF(Q384=Dashboard!$L$1,M384,(M384*GOOGLEFINANCE(""CURRENCY:""&amp;Q384&amp;""""&amp;Dashboard!$L$1&amp;""""))/100),IF(Q384=Dashboard!$L$1,M384,M384*GOOGLEFINANCE(""CURRENCY:""&amp;Q384&amp;""""&amp;Dashboard!$L$1&amp;"""")))"&amp;",M384))"),"")</f>
        <v/>
      </c>
      <c r="T384" s="264" t="str">
        <f t="shared" si="4"/>
        <v/>
      </c>
      <c r="U384" s="264" t="str">
        <f t="shared" si="5"/>
        <v/>
      </c>
      <c r="V384" s="264" t="str">
        <f t="shared" si="6"/>
        <v/>
      </c>
      <c r="W384" s="267" t="str">
        <f t="shared" si="8"/>
        <v/>
      </c>
      <c r="X384" s="264" t="str">
        <f t="shared" si="7"/>
        <v/>
      </c>
    </row>
    <row r="385" ht="15.75" customHeight="1">
      <c r="A385" s="258"/>
      <c r="B385" s="258"/>
      <c r="C385" s="269"/>
      <c r="D385" s="258"/>
      <c r="E385" s="258"/>
      <c r="F385" s="258"/>
      <c r="G385" s="258"/>
      <c r="H385" s="271"/>
      <c r="I385" s="258"/>
      <c r="J385" s="272"/>
      <c r="K385" s="260"/>
      <c r="L385" s="261"/>
      <c r="M385" s="262" t="str">
        <f t="shared" si="1"/>
        <v/>
      </c>
      <c r="N385" s="263" t="str">
        <f t="shared" si="2"/>
        <v/>
      </c>
      <c r="O385" s="264" t="str">
        <f t="shared" si="3"/>
        <v/>
      </c>
      <c r="P385" s="265" t="str">
        <f>IFERROR(__xludf.DUMMYFUNCTION("IF(ISBLANK(A385),"""",IFERROR(IF(H385=""Sell"",VLOOKUP(9^99,FILTER({ROW(P$2:P384),P$2:P384},D$2:D384=D385),2),(VLOOKUP(9^99,FILTER({ROW(P$2:P384),P$2:P384},D$2:D384=D385),2)*VLOOKUP(9^99,FILTER({ROW(O$2:O384),O$2:O384},D$2:D384=D385),2)-N385)/O385),J385))"),"")</f>
        <v/>
      </c>
      <c r="Q385" s="264" t="str">
        <f>IFERROR(__xludf.DUMMYFUNCTION("IFERROR(IF(F385=""Crypto"",B385,(IF(ISBLANK(D385),"""",IF(D385=""Cash"",B385,IF(GOOGLEFINANCE(D385,""CURRENCY"")=""GBX"",""GBP"",GOOGLEFINANCE(D385,""CURRENCY"")))))),B385)"),"")</f>
        <v/>
      </c>
      <c r="R385" s="263" t="str">
        <f>IFERROR(__xludf.DUMMYFUNCTION("IF(ISBLANK(A385),"""",IFERROR(IF(OR(Q385=""GPB"",Q385=""ZAR""),IF(Q385=Dashboard!$L$1,K385,(K385*GOOGLEFINANCE(""CURRENCY:""&amp;Q385&amp;""""&amp;Dashboard!$L$1&amp;""""))/100),IF(Q385=Dashboard!$L$1,K385,K385*GOOGLEFINANCE(""CURRENCY:""&amp;Q385&amp;""""&amp;Dashboard!$L$1&amp;"""")))"&amp;",K385))"),"")</f>
        <v/>
      </c>
      <c r="S385" s="266" t="str">
        <f>IFERROR(__xludf.DUMMYFUNCTION("IF(ISBLANK(A385),"""",IFERROR(IF(OR(Q385=""GPB"",Q385=""ZAR""),IF(Q385=Dashboard!$L$1,M385,(M385*GOOGLEFINANCE(""CURRENCY:""&amp;Q385&amp;""""&amp;Dashboard!$L$1&amp;""""))/100),IF(Q385=Dashboard!$L$1,M385,M385*GOOGLEFINANCE(""CURRENCY:""&amp;Q385&amp;""""&amp;Dashboard!$L$1&amp;"""")))"&amp;",M385))"),"")</f>
        <v/>
      </c>
      <c r="T385" s="264" t="str">
        <f t="shared" si="4"/>
        <v/>
      </c>
      <c r="U385" s="264" t="str">
        <f t="shared" si="5"/>
        <v/>
      </c>
      <c r="V385" s="264" t="str">
        <f t="shared" si="6"/>
        <v/>
      </c>
      <c r="W385" s="267" t="str">
        <f t="shared" si="8"/>
        <v/>
      </c>
      <c r="X385" s="264" t="str">
        <f t="shared" si="7"/>
        <v/>
      </c>
    </row>
    <row r="386" ht="15.75" customHeight="1">
      <c r="A386" s="258"/>
      <c r="B386" s="258"/>
      <c r="C386" s="269"/>
      <c r="D386" s="258"/>
      <c r="E386" s="258"/>
      <c r="F386" s="258"/>
      <c r="G386" s="258"/>
      <c r="H386" s="271"/>
      <c r="I386" s="258"/>
      <c r="J386" s="272"/>
      <c r="K386" s="260"/>
      <c r="L386" s="261"/>
      <c r="M386" s="262" t="str">
        <f t="shared" si="1"/>
        <v/>
      </c>
      <c r="N386" s="263" t="str">
        <f t="shared" si="2"/>
        <v/>
      </c>
      <c r="O386" s="264" t="str">
        <f t="shared" si="3"/>
        <v/>
      </c>
      <c r="P386" s="265" t="str">
        <f>IFERROR(__xludf.DUMMYFUNCTION("IF(ISBLANK(A386),"""",IFERROR(IF(H386=""Sell"",VLOOKUP(9^99,FILTER({ROW(P$2:P385),P$2:P385},D$2:D385=D386),2),(VLOOKUP(9^99,FILTER({ROW(P$2:P385),P$2:P385},D$2:D385=D386),2)*VLOOKUP(9^99,FILTER({ROW(O$2:O385),O$2:O385},D$2:D385=D386),2)-N386)/O386),J386))"),"")</f>
        <v/>
      </c>
      <c r="Q386" s="264" t="str">
        <f>IFERROR(__xludf.DUMMYFUNCTION("IFERROR(IF(F386=""Crypto"",B386,(IF(ISBLANK(D386),"""",IF(D386=""Cash"",B386,IF(GOOGLEFINANCE(D386,""CURRENCY"")=""GBX"",""GBP"",GOOGLEFINANCE(D386,""CURRENCY"")))))),B386)"),"")</f>
        <v/>
      </c>
      <c r="R386" s="263" t="str">
        <f>IFERROR(__xludf.DUMMYFUNCTION("IF(ISBLANK(A386),"""",IFERROR(IF(OR(Q386=""GPB"",Q386=""ZAR""),IF(Q386=Dashboard!$L$1,K386,(K386*GOOGLEFINANCE(""CURRENCY:""&amp;Q386&amp;""""&amp;Dashboard!$L$1&amp;""""))/100),IF(Q386=Dashboard!$L$1,K386,K386*GOOGLEFINANCE(""CURRENCY:""&amp;Q386&amp;""""&amp;Dashboard!$L$1&amp;"""")))"&amp;",K386))"),"")</f>
        <v/>
      </c>
      <c r="S386" s="266" t="str">
        <f>IFERROR(__xludf.DUMMYFUNCTION("IF(ISBLANK(A386),"""",IFERROR(IF(OR(Q386=""GPB"",Q386=""ZAR""),IF(Q386=Dashboard!$L$1,M386,(M386*GOOGLEFINANCE(""CURRENCY:""&amp;Q386&amp;""""&amp;Dashboard!$L$1&amp;""""))/100),IF(Q386=Dashboard!$L$1,M386,M386*GOOGLEFINANCE(""CURRENCY:""&amp;Q386&amp;""""&amp;Dashboard!$L$1&amp;"""")))"&amp;",M386))"),"")</f>
        <v/>
      </c>
      <c r="T386" s="264" t="str">
        <f t="shared" si="4"/>
        <v/>
      </c>
      <c r="U386" s="264" t="str">
        <f t="shared" si="5"/>
        <v/>
      </c>
      <c r="V386" s="264" t="str">
        <f t="shared" si="6"/>
        <v/>
      </c>
      <c r="W386" s="267" t="str">
        <f t="shared" si="8"/>
        <v/>
      </c>
      <c r="X386" s="264" t="str">
        <f t="shared" si="7"/>
        <v/>
      </c>
    </row>
    <row r="387" ht="15.75" customHeight="1">
      <c r="A387" s="258"/>
      <c r="B387" s="258"/>
      <c r="C387" s="269"/>
      <c r="D387" s="258"/>
      <c r="E387" s="258"/>
      <c r="F387" s="258"/>
      <c r="G387" s="258"/>
      <c r="H387" s="271"/>
      <c r="I387" s="258"/>
      <c r="J387" s="272"/>
      <c r="K387" s="260"/>
      <c r="L387" s="261"/>
      <c r="M387" s="262" t="str">
        <f t="shared" si="1"/>
        <v/>
      </c>
      <c r="N387" s="263" t="str">
        <f t="shared" si="2"/>
        <v/>
      </c>
      <c r="O387" s="264" t="str">
        <f t="shared" si="3"/>
        <v/>
      </c>
      <c r="P387" s="265" t="str">
        <f>IFERROR(__xludf.DUMMYFUNCTION("IF(ISBLANK(A387),"""",IFERROR(IF(H387=""Sell"",VLOOKUP(9^99,FILTER({ROW(P$2:P386),P$2:P386},D$2:D386=D387),2),(VLOOKUP(9^99,FILTER({ROW(P$2:P386),P$2:P386},D$2:D386=D387),2)*VLOOKUP(9^99,FILTER({ROW(O$2:O386),O$2:O386},D$2:D386=D387),2)-N387)/O387),J387))"),"")</f>
        <v/>
      </c>
      <c r="Q387" s="264" t="str">
        <f>IFERROR(__xludf.DUMMYFUNCTION("IFERROR(IF(F387=""Crypto"",B387,(IF(ISBLANK(D387),"""",IF(D387=""Cash"",B387,IF(GOOGLEFINANCE(D387,""CURRENCY"")=""GBX"",""GBP"",GOOGLEFINANCE(D387,""CURRENCY"")))))),B387)"),"")</f>
        <v/>
      </c>
      <c r="R387" s="263" t="str">
        <f>IFERROR(__xludf.DUMMYFUNCTION("IF(ISBLANK(A387),"""",IFERROR(IF(OR(Q387=""GPB"",Q387=""ZAR""),IF(Q387=Dashboard!$L$1,K387,(K387*GOOGLEFINANCE(""CURRENCY:""&amp;Q387&amp;""""&amp;Dashboard!$L$1&amp;""""))/100),IF(Q387=Dashboard!$L$1,K387,K387*GOOGLEFINANCE(""CURRENCY:""&amp;Q387&amp;""""&amp;Dashboard!$L$1&amp;"""")))"&amp;",K387))"),"")</f>
        <v/>
      </c>
      <c r="S387" s="266" t="str">
        <f>IFERROR(__xludf.DUMMYFUNCTION("IF(ISBLANK(A387),"""",IFERROR(IF(OR(Q387=""GPB"",Q387=""ZAR""),IF(Q387=Dashboard!$L$1,M387,(M387*GOOGLEFINANCE(""CURRENCY:""&amp;Q387&amp;""""&amp;Dashboard!$L$1&amp;""""))/100),IF(Q387=Dashboard!$L$1,M387,M387*GOOGLEFINANCE(""CURRENCY:""&amp;Q387&amp;""""&amp;Dashboard!$L$1&amp;"""")))"&amp;",M387))"),"")</f>
        <v/>
      </c>
      <c r="T387" s="264" t="str">
        <f t="shared" si="4"/>
        <v/>
      </c>
      <c r="U387" s="264" t="str">
        <f t="shared" si="5"/>
        <v/>
      </c>
      <c r="V387" s="264" t="str">
        <f t="shared" si="6"/>
        <v/>
      </c>
      <c r="W387" s="267" t="str">
        <f t="shared" si="8"/>
        <v/>
      </c>
      <c r="X387" s="264" t="str">
        <f t="shared" si="7"/>
        <v/>
      </c>
    </row>
    <row r="388" ht="15.75" customHeight="1">
      <c r="A388" s="258"/>
      <c r="B388" s="258"/>
      <c r="C388" s="269"/>
      <c r="D388" s="258"/>
      <c r="E388" s="258"/>
      <c r="F388" s="258"/>
      <c r="G388" s="258"/>
      <c r="H388" s="271"/>
      <c r="I388" s="258"/>
      <c r="J388" s="272"/>
      <c r="K388" s="260"/>
      <c r="L388" s="261"/>
      <c r="M388" s="262" t="str">
        <f t="shared" si="1"/>
        <v/>
      </c>
      <c r="N388" s="263" t="str">
        <f t="shared" si="2"/>
        <v/>
      </c>
      <c r="O388" s="264" t="str">
        <f t="shared" si="3"/>
        <v/>
      </c>
      <c r="P388" s="265" t="str">
        <f>IFERROR(__xludf.DUMMYFUNCTION("IF(ISBLANK(A388),"""",IFERROR(IF(H388=""Sell"",VLOOKUP(9^99,FILTER({ROW(P$2:P387),P$2:P387},D$2:D387=D388),2),(VLOOKUP(9^99,FILTER({ROW(P$2:P387),P$2:P387},D$2:D387=D388),2)*VLOOKUP(9^99,FILTER({ROW(O$2:O387),O$2:O387},D$2:D387=D388),2)-N388)/O388),J388))"),"")</f>
        <v/>
      </c>
      <c r="Q388" s="264" t="str">
        <f>IFERROR(__xludf.DUMMYFUNCTION("IFERROR(IF(F388=""Crypto"",B388,(IF(ISBLANK(D388),"""",IF(D388=""Cash"",B388,IF(GOOGLEFINANCE(D388,""CURRENCY"")=""GBX"",""GBP"",GOOGLEFINANCE(D388,""CURRENCY"")))))),B388)"),"")</f>
        <v/>
      </c>
      <c r="R388" s="263" t="str">
        <f>IFERROR(__xludf.DUMMYFUNCTION("IF(ISBLANK(A388),"""",IFERROR(IF(OR(Q388=""GPB"",Q388=""ZAR""),IF(Q388=Dashboard!$L$1,K388,(K388*GOOGLEFINANCE(""CURRENCY:""&amp;Q388&amp;""""&amp;Dashboard!$L$1&amp;""""))/100),IF(Q388=Dashboard!$L$1,K388,K388*GOOGLEFINANCE(""CURRENCY:""&amp;Q388&amp;""""&amp;Dashboard!$L$1&amp;"""")))"&amp;",K388))"),"")</f>
        <v/>
      </c>
      <c r="S388" s="266" t="str">
        <f>IFERROR(__xludf.DUMMYFUNCTION("IF(ISBLANK(A388),"""",IFERROR(IF(OR(Q388=""GPB"",Q388=""ZAR""),IF(Q388=Dashboard!$L$1,M388,(M388*GOOGLEFINANCE(""CURRENCY:""&amp;Q388&amp;""""&amp;Dashboard!$L$1&amp;""""))/100),IF(Q388=Dashboard!$L$1,M388,M388*GOOGLEFINANCE(""CURRENCY:""&amp;Q388&amp;""""&amp;Dashboard!$L$1&amp;"""")))"&amp;",M388))"),"")</f>
        <v/>
      </c>
      <c r="T388" s="264" t="str">
        <f t="shared" si="4"/>
        <v/>
      </c>
      <c r="U388" s="264" t="str">
        <f t="shared" si="5"/>
        <v/>
      </c>
      <c r="V388" s="264" t="str">
        <f t="shared" si="6"/>
        <v/>
      </c>
      <c r="W388" s="267" t="str">
        <f t="shared" si="8"/>
        <v/>
      </c>
      <c r="X388" s="264" t="str">
        <f t="shared" si="7"/>
        <v/>
      </c>
    </row>
    <row r="389" ht="15.75" customHeight="1">
      <c r="A389" s="258"/>
      <c r="B389" s="258"/>
      <c r="C389" s="269"/>
      <c r="D389" s="258"/>
      <c r="E389" s="258"/>
      <c r="F389" s="258"/>
      <c r="G389" s="258"/>
      <c r="H389" s="271"/>
      <c r="I389" s="258"/>
      <c r="J389" s="272"/>
      <c r="K389" s="260"/>
      <c r="L389" s="261"/>
      <c r="M389" s="262" t="str">
        <f t="shared" si="1"/>
        <v/>
      </c>
      <c r="N389" s="263" t="str">
        <f t="shared" si="2"/>
        <v/>
      </c>
      <c r="O389" s="264" t="str">
        <f t="shared" si="3"/>
        <v/>
      </c>
      <c r="P389" s="265" t="str">
        <f>IFERROR(__xludf.DUMMYFUNCTION("IF(ISBLANK(A389),"""",IFERROR(IF(H389=""Sell"",VLOOKUP(9^99,FILTER({ROW(P$2:P388),P$2:P388},D$2:D388=D389),2),(VLOOKUP(9^99,FILTER({ROW(P$2:P388),P$2:P388},D$2:D388=D389),2)*VLOOKUP(9^99,FILTER({ROW(O$2:O388),O$2:O388},D$2:D388=D389),2)-N389)/O389),J389))"),"")</f>
        <v/>
      </c>
      <c r="Q389" s="264" t="str">
        <f>IFERROR(__xludf.DUMMYFUNCTION("IFERROR(IF(F389=""Crypto"",B389,(IF(ISBLANK(D389),"""",IF(D389=""Cash"",B389,IF(GOOGLEFINANCE(D389,""CURRENCY"")=""GBX"",""GBP"",GOOGLEFINANCE(D389,""CURRENCY"")))))),B389)"),"")</f>
        <v/>
      </c>
      <c r="R389" s="263" t="str">
        <f>IFERROR(__xludf.DUMMYFUNCTION("IF(ISBLANK(A389),"""",IFERROR(IF(OR(Q389=""GPB"",Q389=""ZAR""),IF(Q389=Dashboard!$L$1,K389,(K389*GOOGLEFINANCE(""CURRENCY:""&amp;Q389&amp;""""&amp;Dashboard!$L$1&amp;""""))/100),IF(Q389=Dashboard!$L$1,K389,K389*GOOGLEFINANCE(""CURRENCY:""&amp;Q389&amp;""""&amp;Dashboard!$L$1&amp;"""")))"&amp;",K389))"),"")</f>
        <v/>
      </c>
      <c r="S389" s="266" t="str">
        <f>IFERROR(__xludf.DUMMYFUNCTION("IF(ISBLANK(A389),"""",IFERROR(IF(OR(Q389=""GPB"",Q389=""ZAR""),IF(Q389=Dashboard!$L$1,M389,(M389*GOOGLEFINANCE(""CURRENCY:""&amp;Q389&amp;""""&amp;Dashboard!$L$1&amp;""""))/100),IF(Q389=Dashboard!$L$1,M389,M389*GOOGLEFINANCE(""CURRENCY:""&amp;Q389&amp;""""&amp;Dashboard!$L$1&amp;"""")))"&amp;",M389))"),"")</f>
        <v/>
      </c>
      <c r="T389" s="264" t="str">
        <f t="shared" si="4"/>
        <v/>
      </c>
      <c r="U389" s="264" t="str">
        <f t="shared" si="5"/>
        <v/>
      </c>
      <c r="V389" s="264" t="str">
        <f t="shared" si="6"/>
        <v/>
      </c>
      <c r="W389" s="267" t="str">
        <f t="shared" si="8"/>
        <v/>
      </c>
      <c r="X389" s="264" t="str">
        <f t="shared" si="7"/>
        <v/>
      </c>
    </row>
    <row r="390" ht="15.75" customHeight="1">
      <c r="A390" s="258"/>
      <c r="B390" s="258"/>
      <c r="C390" s="269"/>
      <c r="D390" s="258"/>
      <c r="E390" s="258"/>
      <c r="F390" s="258"/>
      <c r="G390" s="258"/>
      <c r="H390" s="271"/>
      <c r="I390" s="258"/>
      <c r="J390" s="272"/>
      <c r="K390" s="260"/>
      <c r="L390" s="261"/>
      <c r="M390" s="262" t="str">
        <f t="shared" si="1"/>
        <v/>
      </c>
      <c r="N390" s="263" t="str">
        <f t="shared" si="2"/>
        <v/>
      </c>
      <c r="O390" s="264" t="str">
        <f t="shared" si="3"/>
        <v/>
      </c>
      <c r="P390" s="265" t="str">
        <f>IFERROR(__xludf.DUMMYFUNCTION("IF(ISBLANK(A390),"""",IFERROR(IF(H390=""Sell"",VLOOKUP(9^99,FILTER({ROW(P$2:P389),P$2:P389},D$2:D389=D390),2),(VLOOKUP(9^99,FILTER({ROW(P$2:P389),P$2:P389},D$2:D389=D390),2)*VLOOKUP(9^99,FILTER({ROW(O$2:O389),O$2:O389},D$2:D389=D390),2)-N390)/O390),J390))"),"")</f>
        <v/>
      </c>
      <c r="Q390" s="264" t="str">
        <f>IFERROR(__xludf.DUMMYFUNCTION("IFERROR(IF(F390=""Crypto"",B390,(IF(ISBLANK(D390),"""",IF(D390=""Cash"",B390,IF(GOOGLEFINANCE(D390,""CURRENCY"")=""GBX"",""GBP"",GOOGLEFINANCE(D390,""CURRENCY"")))))),B390)"),"")</f>
        <v/>
      </c>
      <c r="R390" s="263" t="str">
        <f>IFERROR(__xludf.DUMMYFUNCTION("IF(ISBLANK(A390),"""",IFERROR(IF(OR(Q390=""GPB"",Q390=""ZAR""),IF(Q390=Dashboard!$L$1,K390,(K390*GOOGLEFINANCE(""CURRENCY:""&amp;Q390&amp;""""&amp;Dashboard!$L$1&amp;""""))/100),IF(Q390=Dashboard!$L$1,K390,K390*GOOGLEFINANCE(""CURRENCY:""&amp;Q390&amp;""""&amp;Dashboard!$L$1&amp;"""")))"&amp;",K390))"),"")</f>
        <v/>
      </c>
      <c r="S390" s="266" t="str">
        <f>IFERROR(__xludf.DUMMYFUNCTION("IF(ISBLANK(A390),"""",IFERROR(IF(OR(Q390=""GPB"",Q390=""ZAR""),IF(Q390=Dashboard!$L$1,M390,(M390*GOOGLEFINANCE(""CURRENCY:""&amp;Q390&amp;""""&amp;Dashboard!$L$1&amp;""""))/100),IF(Q390=Dashboard!$L$1,M390,M390*GOOGLEFINANCE(""CURRENCY:""&amp;Q390&amp;""""&amp;Dashboard!$L$1&amp;"""")))"&amp;",M390))"),"")</f>
        <v/>
      </c>
      <c r="T390" s="264" t="str">
        <f t="shared" si="4"/>
        <v/>
      </c>
      <c r="U390" s="264" t="str">
        <f t="shared" si="5"/>
        <v/>
      </c>
      <c r="V390" s="264" t="str">
        <f t="shared" si="6"/>
        <v/>
      </c>
      <c r="W390" s="267" t="str">
        <f t="shared" si="8"/>
        <v/>
      </c>
      <c r="X390" s="264" t="str">
        <f t="shared" si="7"/>
        <v/>
      </c>
    </row>
    <row r="391" ht="15.75" customHeight="1">
      <c r="A391" s="258"/>
      <c r="B391" s="258"/>
      <c r="C391" s="269"/>
      <c r="D391" s="258"/>
      <c r="E391" s="258"/>
      <c r="F391" s="258"/>
      <c r="G391" s="258"/>
      <c r="H391" s="271"/>
      <c r="I391" s="258"/>
      <c r="J391" s="272"/>
      <c r="K391" s="260"/>
      <c r="L391" s="261"/>
      <c r="M391" s="262" t="str">
        <f t="shared" si="1"/>
        <v/>
      </c>
      <c r="N391" s="263" t="str">
        <f t="shared" si="2"/>
        <v/>
      </c>
      <c r="O391" s="264" t="str">
        <f t="shared" si="3"/>
        <v/>
      </c>
      <c r="P391" s="265" t="str">
        <f>IFERROR(__xludf.DUMMYFUNCTION("IF(ISBLANK(A391),"""",IFERROR(IF(H391=""Sell"",VLOOKUP(9^99,FILTER({ROW(P$2:P390),P$2:P390},D$2:D390=D391),2),(VLOOKUP(9^99,FILTER({ROW(P$2:P390),P$2:P390},D$2:D390=D391),2)*VLOOKUP(9^99,FILTER({ROW(O$2:O390),O$2:O390},D$2:D390=D391),2)-N391)/O391),J391))"),"")</f>
        <v/>
      </c>
      <c r="Q391" s="264" t="str">
        <f>IFERROR(__xludf.DUMMYFUNCTION("IFERROR(IF(F391=""Crypto"",B391,(IF(ISBLANK(D391),"""",IF(D391=""Cash"",B391,IF(GOOGLEFINANCE(D391,""CURRENCY"")=""GBX"",""GBP"",GOOGLEFINANCE(D391,""CURRENCY"")))))),B391)"),"")</f>
        <v/>
      </c>
      <c r="R391" s="263" t="str">
        <f>IFERROR(__xludf.DUMMYFUNCTION("IF(ISBLANK(A391),"""",IFERROR(IF(OR(Q391=""GPB"",Q391=""ZAR""),IF(Q391=Dashboard!$L$1,K391,(K391*GOOGLEFINANCE(""CURRENCY:""&amp;Q391&amp;""""&amp;Dashboard!$L$1&amp;""""))/100),IF(Q391=Dashboard!$L$1,K391,K391*GOOGLEFINANCE(""CURRENCY:""&amp;Q391&amp;""""&amp;Dashboard!$L$1&amp;"""")))"&amp;",K391))"),"")</f>
        <v/>
      </c>
      <c r="S391" s="266" t="str">
        <f>IFERROR(__xludf.DUMMYFUNCTION("IF(ISBLANK(A391),"""",IFERROR(IF(OR(Q391=""GPB"",Q391=""ZAR""),IF(Q391=Dashboard!$L$1,M391,(M391*GOOGLEFINANCE(""CURRENCY:""&amp;Q391&amp;""""&amp;Dashboard!$L$1&amp;""""))/100),IF(Q391=Dashboard!$L$1,M391,M391*GOOGLEFINANCE(""CURRENCY:""&amp;Q391&amp;""""&amp;Dashboard!$L$1&amp;"""")))"&amp;",M391))"),"")</f>
        <v/>
      </c>
      <c r="T391" s="264" t="str">
        <f t="shared" si="4"/>
        <v/>
      </c>
      <c r="U391" s="264" t="str">
        <f t="shared" si="5"/>
        <v/>
      </c>
      <c r="V391" s="264" t="str">
        <f t="shared" si="6"/>
        <v/>
      </c>
      <c r="W391" s="267" t="str">
        <f t="shared" si="8"/>
        <v/>
      </c>
      <c r="X391" s="264" t="str">
        <f t="shared" si="7"/>
        <v/>
      </c>
    </row>
    <row r="392" ht="15.75" customHeight="1">
      <c r="A392" s="258"/>
      <c r="B392" s="258"/>
      <c r="C392" s="269"/>
      <c r="D392" s="258"/>
      <c r="E392" s="258"/>
      <c r="F392" s="258"/>
      <c r="G392" s="258"/>
      <c r="H392" s="271"/>
      <c r="I392" s="258"/>
      <c r="J392" s="272"/>
      <c r="K392" s="260"/>
      <c r="L392" s="261"/>
      <c r="M392" s="262" t="str">
        <f t="shared" si="1"/>
        <v/>
      </c>
      <c r="N392" s="263" t="str">
        <f t="shared" si="2"/>
        <v/>
      </c>
      <c r="O392" s="264" t="str">
        <f t="shared" si="3"/>
        <v/>
      </c>
      <c r="P392" s="265" t="str">
        <f>IFERROR(__xludf.DUMMYFUNCTION("IF(ISBLANK(A392),"""",IFERROR(IF(H392=""Sell"",VLOOKUP(9^99,FILTER({ROW(P$2:P391),P$2:P391},D$2:D391=D392),2),(VLOOKUP(9^99,FILTER({ROW(P$2:P391),P$2:P391},D$2:D391=D392),2)*VLOOKUP(9^99,FILTER({ROW(O$2:O391),O$2:O391},D$2:D391=D392),2)-N392)/O392),J392))"),"")</f>
        <v/>
      </c>
      <c r="Q392" s="264" t="str">
        <f>IFERROR(__xludf.DUMMYFUNCTION("IFERROR(IF(F392=""Crypto"",B392,(IF(ISBLANK(D392),"""",IF(D392=""Cash"",B392,IF(GOOGLEFINANCE(D392,""CURRENCY"")=""GBX"",""GBP"",GOOGLEFINANCE(D392,""CURRENCY"")))))),B392)"),"")</f>
        <v/>
      </c>
      <c r="R392" s="263" t="str">
        <f>IFERROR(__xludf.DUMMYFUNCTION("IF(ISBLANK(A392),"""",IFERROR(IF(OR(Q392=""GPB"",Q392=""ZAR""),IF(Q392=Dashboard!$L$1,K392,(K392*GOOGLEFINANCE(""CURRENCY:""&amp;Q392&amp;""""&amp;Dashboard!$L$1&amp;""""))/100),IF(Q392=Dashboard!$L$1,K392,K392*GOOGLEFINANCE(""CURRENCY:""&amp;Q392&amp;""""&amp;Dashboard!$L$1&amp;"""")))"&amp;",K392))"),"")</f>
        <v/>
      </c>
      <c r="S392" s="266" t="str">
        <f>IFERROR(__xludf.DUMMYFUNCTION("IF(ISBLANK(A392),"""",IFERROR(IF(OR(Q392=""GPB"",Q392=""ZAR""),IF(Q392=Dashboard!$L$1,M392,(M392*GOOGLEFINANCE(""CURRENCY:""&amp;Q392&amp;""""&amp;Dashboard!$L$1&amp;""""))/100),IF(Q392=Dashboard!$L$1,M392,M392*GOOGLEFINANCE(""CURRENCY:""&amp;Q392&amp;""""&amp;Dashboard!$L$1&amp;"""")))"&amp;",M392))"),"")</f>
        <v/>
      </c>
      <c r="T392" s="264" t="str">
        <f t="shared" si="4"/>
        <v/>
      </c>
      <c r="U392" s="264" t="str">
        <f t="shared" si="5"/>
        <v/>
      </c>
      <c r="V392" s="264" t="str">
        <f t="shared" si="6"/>
        <v/>
      </c>
      <c r="W392" s="267" t="str">
        <f t="shared" si="8"/>
        <v/>
      </c>
      <c r="X392" s="264" t="str">
        <f t="shared" si="7"/>
        <v/>
      </c>
    </row>
    <row r="393" ht="15.75" customHeight="1">
      <c r="A393" s="258"/>
      <c r="B393" s="258"/>
      <c r="C393" s="269"/>
      <c r="D393" s="258"/>
      <c r="E393" s="258"/>
      <c r="F393" s="258"/>
      <c r="G393" s="258"/>
      <c r="H393" s="271"/>
      <c r="I393" s="258"/>
      <c r="J393" s="272"/>
      <c r="K393" s="260"/>
      <c r="L393" s="261"/>
      <c r="M393" s="262" t="str">
        <f t="shared" si="1"/>
        <v/>
      </c>
      <c r="N393" s="263" t="str">
        <f t="shared" si="2"/>
        <v/>
      </c>
      <c r="O393" s="264" t="str">
        <f t="shared" si="3"/>
        <v/>
      </c>
      <c r="P393" s="265" t="str">
        <f>IFERROR(__xludf.DUMMYFUNCTION("IF(ISBLANK(A393),"""",IFERROR(IF(H393=""Sell"",VLOOKUP(9^99,FILTER({ROW(P$2:P392),P$2:P392},D$2:D392=D393),2),(VLOOKUP(9^99,FILTER({ROW(P$2:P392),P$2:P392},D$2:D392=D393),2)*VLOOKUP(9^99,FILTER({ROW(O$2:O392),O$2:O392},D$2:D392=D393),2)-N393)/O393),J393))"),"")</f>
        <v/>
      </c>
      <c r="Q393" s="264" t="str">
        <f>IFERROR(__xludf.DUMMYFUNCTION("IFERROR(IF(F393=""Crypto"",B393,(IF(ISBLANK(D393),"""",IF(D393=""Cash"",B393,IF(GOOGLEFINANCE(D393,""CURRENCY"")=""GBX"",""GBP"",GOOGLEFINANCE(D393,""CURRENCY"")))))),B393)"),"")</f>
        <v/>
      </c>
      <c r="R393" s="263" t="str">
        <f>IFERROR(__xludf.DUMMYFUNCTION("IF(ISBLANK(A393),"""",IFERROR(IF(OR(Q393=""GPB"",Q393=""ZAR""),IF(Q393=Dashboard!$L$1,K393,(K393*GOOGLEFINANCE(""CURRENCY:""&amp;Q393&amp;""""&amp;Dashboard!$L$1&amp;""""))/100),IF(Q393=Dashboard!$L$1,K393,K393*GOOGLEFINANCE(""CURRENCY:""&amp;Q393&amp;""""&amp;Dashboard!$L$1&amp;"""")))"&amp;",K393))"),"")</f>
        <v/>
      </c>
      <c r="S393" s="266" t="str">
        <f>IFERROR(__xludf.DUMMYFUNCTION("IF(ISBLANK(A393),"""",IFERROR(IF(OR(Q393=""GPB"",Q393=""ZAR""),IF(Q393=Dashboard!$L$1,M393,(M393*GOOGLEFINANCE(""CURRENCY:""&amp;Q393&amp;""""&amp;Dashboard!$L$1&amp;""""))/100),IF(Q393=Dashboard!$L$1,M393,M393*GOOGLEFINANCE(""CURRENCY:""&amp;Q393&amp;""""&amp;Dashboard!$L$1&amp;"""")))"&amp;",M393))"),"")</f>
        <v/>
      </c>
      <c r="T393" s="264" t="str">
        <f t="shared" si="4"/>
        <v/>
      </c>
      <c r="U393" s="264" t="str">
        <f t="shared" si="5"/>
        <v/>
      </c>
      <c r="V393" s="264" t="str">
        <f t="shared" si="6"/>
        <v/>
      </c>
      <c r="W393" s="267" t="str">
        <f t="shared" si="8"/>
        <v/>
      </c>
      <c r="X393" s="264" t="str">
        <f t="shared" si="7"/>
        <v/>
      </c>
    </row>
    <row r="394" ht="15.75" customHeight="1">
      <c r="A394" s="258"/>
      <c r="B394" s="258"/>
      <c r="C394" s="269"/>
      <c r="D394" s="258"/>
      <c r="E394" s="258"/>
      <c r="F394" s="258"/>
      <c r="G394" s="258"/>
      <c r="H394" s="271"/>
      <c r="I394" s="258"/>
      <c r="J394" s="272"/>
      <c r="K394" s="260"/>
      <c r="L394" s="261"/>
      <c r="M394" s="262" t="str">
        <f t="shared" si="1"/>
        <v/>
      </c>
      <c r="N394" s="263" t="str">
        <f t="shared" si="2"/>
        <v/>
      </c>
      <c r="O394" s="264" t="str">
        <f t="shared" si="3"/>
        <v/>
      </c>
      <c r="P394" s="265" t="str">
        <f>IFERROR(__xludf.DUMMYFUNCTION("IF(ISBLANK(A394),"""",IFERROR(IF(H394=""Sell"",VLOOKUP(9^99,FILTER({ROW(P$2:P393),P$2:P393},D$2:D393=D394),2),(VLOOKUP(9^99,FILTER({ROW(P$2:P393),P$2:P393},D$2:D393=D394),2)*VLOOKUP(9^99,FILTER({ROW(O$2:O393),O$2:O393},D$2:D393=D394),2)-N394)/O394),J394))"),"")</f>
        <v/>
      </c>
      <c r="Q394" s="264" t="str">
        <f>IFERROR(__xludf.DUMMYFUNCTION("IFERROR(IF(F394=""Crypto"",B394,(IF(ISBLANK(D394),"""",IF(D394=""Cash"",B394,IF(GOOGLEFINANCE(D394,""CURRENCY"")=""GBX"",""GBP"",GOOGLEFINANCE(D394,""CURRENCY"")))))),B394)"),"")</f>
        <v/>
      </c>
      <c r="R394" s="263" t="str">
        <f>IFERROR(__xludf.DUMMYFUNCTION("IF(ISBLANK(A394),"""",IFERROR(IF(OR(Q394=""GPB"",Q394=""ZAR""),IF(Q394=Dashboard!$L$1,K394,(K394*GOOGLEFINANCE(""CURRENCY:""&amp;Q394&amp;""""&amp;Dashboard!$L$1&amp;""""))/100),IF(Q394=Dashboard!$L$1,K394,K394*GOOGLEFINANCE(""CURRENCY:""&amp;Q394&amp;""""&amp;Dashboard!$L$1&amp;"""")))"&amp;",K394))"),"")</f>
        <v/>
      </c>
      <c r="S394" s="266" t="str">
        <f>IFERROR(__xludf.DUMMYFUNCTION("IF(ISBLANK(A394),"""",IFERROR(IF(OR(Q394=""GPB"",Q394=""ZAR""),IF(Q394=Dashboard!$L$1,M394,(M394*GOOGLEFINANCE(""CURRENCY:""&amp;Q394&amp;""""&amp;Dashboard!$L$1&amp;""""))/100),IF(Q394=Dashboard!$L$1,M394,M394*GOOGLEFINANCE(""CURRENCY:""&amp;Q394&amp;""""&amp;Dashboard!$L$1&amp;"""")))"&amp;",M394))"),"")</f>
        <v/>
      </c>
      <c r="T394" s="264" t="str">
        <f t="shared" si="4"/>
        <v/>
      </c>
      <c r="U394" s="264" t="str">
        <f t="shared" si="5"/>
        <v/>
      </c>
      <c r="V394" s="264" t="str">
        <f t="shared" si="6"/>
        <v/>
      </c>
      <c r="W394" s="267" t="str">
        <f t="shared" si="8"/>
        <v/>
      </c>
      <c r="X394" s="264" t="str">
        <f t="shared" si="7"/>
        <v/>
      </c>
    </row>
    <row r="395" ht="15.75" customHeight="1">
      <c r="A395" s="258"/>
      <c r="B395" s="258"/>
      <c r="C395" s="269"/>
      <c r="D395" s="258"/>
      <c r="E395" s="258"/>
      <c r="F395" s="258"/>
      <c r="G395" s="258"/>
      <c r="H395" s="271"/>
      <c r="I395" s="258"/>
      <c r="J395" s="272"/>
      <c r="K395" s="260"/>
      <c r="L395" s="261"/>
      <c r="M395" s="262" t="str">
        <f t="shared" si="1"/>
        <v/>
      </c>
      <c r="N395" s="263" t="str">
        <f t="shared" si="2"/>
        <v/>
      </c>
      <c r="O395" s="264" t="str">
        <f t="shared" si="3"/>
        <v/>
      </c>
      <c r="P395" s="265" t="str">
        <f>IFERROR(__xludf.DUMMYFUNCTION("IF(ISBLANK(A395),"""",IFERROR(IF(H395=""Sell"",VLOOKUP(9^99,FILTER({ROW(P$2:P394),P$2:P394},D$2:D394=D395),2),(VLOOKUP(9^99,FILTER({ROW(P$2:P394),P$2:P394},D$2:D394=D395),2)*VLOOKUP(9^99,FILTER({ROW(O$2:O394),O$2:O394},D$2:D394=D395),2)-N395)/O395),J395))"),"")</f>
        <v/>
      </c>
      <c r="Q395" s="264" t="str">
        <f>IFERROR(__xludf.DUMMYFUNCTION("IFERROR(IF(F395=""Crypto"",B395,(IF(ISBLANK(D395),"""",IF(D395=""Cash"",B395,IF(GOOGLEFINANCE(D395,""CURRENCY"")=""GBX"",""GBP"",GOOGLEFINANCE(D395,""CURRENCY"")))))),B395)"),"")</f>
        <v/>
      </c>
      <c r="R395" s="263" t="str">
        <f>IFERROR(__xludf.DUMMYFUNCTION("IF(ISBLANK(A395),"""",IFERROR(IF(OR(Q395=""GPB"",Q395=""ZAR""),IF(Q395=Dashboard!$L$1,K395,(K395*GOOGLEFINANCE(""CURRENCY:""&amp;Q395&amp;""""&amp;Dashboard!$L$1&amp;""""))/100),IF(Q395=Dashboard!$L$1,K395,K395*GOOGLEFINANCE(""CURRENCY:""&amp;Q395&amp;""""&amp;Dashboard!$L$1&amp;"""")))"&amp;",K395))"),"")</f>
        <v/>
      </c>
      <c r="S395" s="266" t="str">
        <f>IFERROR(__xludf.DUMMYFUNCTION("IF(ISBLANK(A395),"""",IFERROR(IF(OR(Q395=""GPB"",Q395=""ZAR""),IF(Q395=Dashboard!$L$1,M395,(M395*GOOGLEFINANCE(""CURRENCY:""&amp;Q395&amp;""""&amp;Dashboard!$L$1&amp;""""))/100),IF(Q395=Dashboard!$L$1,M395,M395*GOOGLEFINANCE(""CURRENCY:""&amp;Q395&amp;""""&amp;Dashboard!$L$1&amp;"""")))"&amp;",M395))"),"")</f>
        <v/>
      </c>
      <c r="T395" s="264" t="str">
        <f t="shared" si="4"/>
        <v/>
      </c>
      <c r="U395" s="264" t="str">
        <f t="shared" si="5"/>
        <v/>
      </c>
      <c r="V395" s="264" t="str">
        <f t="shared" si="6"/>
        <v/>
      </c>
      <c r="W395" s="267" t="str">
        <f t="shared" si="8"/>
        <v/>
      </c>
      <c r="X395" s="264" t="str">
        <f t="shared" si="7"/>
        <v/>
      </c>
    </row>
    <row r="396" ht="15.75" customHeight="1">
      <c r="A396" s="258"/>
      <c r="B396" s="258"/>
      <c r="C396" s="269"/>
      <c r="D396" s="258"/>
      <c r="E396" s="258"/>
      <c r="F396" s="258"/>
      <c r="G396" s="258"/>
      <c r="H396" s="271"/>
      <c r="I396" s="258"/>
      <c r="J396" s="272"/>
      <c r="K396" s="260"/>
      <c r="L396" s="261"/>
      <c r="M396" s="262" t="str">
        <f t="shared" si="1"/>
        <v/>
      </c>
      <c r="N396" s="263" t="str">
        <f t="shared" si="2"/>
        <v/>
      </c>
      <c r="O396" s="264" t="str">
        <f t="shared" si="3"/>
        <v/>
      </c>
      <c r="P396" s="265" t="str">
        <f>IFERROR(__xludf.DUMMYFUNCTION("IF(ISBLANK(A396),"""",IFERROR(IF(H396=""Sell"",VLOOKUP(9^99,FILTER({ROW(P$2:P395),P$2:P395},D$2:D395=D396),2),(VLOOKUP(9^99,FILTER({ROW(P$2:P395),P$2:P395},D$2:D395=D396),2)*VLOOKUP(9^99,FILTER({ROW(O$2:O395),O$2:O395},D$2:D395=D396),2)-N396)/O396),J396))"),"")</f>
        <v/>
      </c>
      <c r="Q396" s="264" t="str">
        <f>IFERROR(__xludf.DUMMYFUNCTION("IFERROR(IF(F396=""Crypto"",B396,(IF(ISBLANK(D396),"""",IF(D396=""Cash"",B396,IF(GOOGLEFINANCE(D396,""CURRENCY"")=""GBX"",""GBP"",GOOGLEFINANCE(D396,""CURRENCY"")))))),B396)"),"")</f>
        <v/>
      </c>
      <c r="R396" s="263" t="str">
        <f>IFERROR(__xludf.DUMMYFUNCTION("IF(ISBLANK(A396),"""",IFERROR(IF(OR(Q396=""GPB"",Q396=""ZAR""),IF(Q396=Dashboard!$L$1,K396,(K396*GOOGLEFINANCE(""CURRENCY:""&amp;Q396&amp;""""&amp;Dashboard!$L$1&amp;""""))/100),IF(Q396=Dashboard!$L$1,K396,K396*GOOGLEFINANCE(""CURRENCY:""&amp;Q396&amp;""""&amp;Dashboard!$L$1&amp;"""")))"&amp;",K396))"),"")</f>
        <v/>
      </c>
      <c r="S396" s="266" t="str">
        <f>IFERROR(__xludf.DUMMYFUNCTION("IF(ISBLANK(A396),"""",IFERROR(IF(OR(Q396=""GPB"",Q396=""ZAR""),IF(Q396=Dashboard!$L$1,M396,(M396*GOOGLEFINANCE(""CURRENCY:""&amp;Q396&amp;""""&amp;Dashboard!$L$1&amp;""""))/100),IF(Q396=Dashboard!$L$1,M396,M396*GOOGLEFINANCE(""CURRENCY:""&amp;Q396&amp;""""&amp;Dashboard!$L$1&amp;"""")))"&amp;",M396))"),"")</f>
        <v/>
      </c>
      <c r="T396" s="264" t="str">
        <f t="shared" si="4"/>
        <v/>
      </c>
      <c r="U396" s="264" t="str">
        <f t="shared" si="5"/>
        <v/>
      </c>
      <c r="V396" s="264" t="str">
        <f t="shared" si="6"/>
        <v/>
      </c>
      <c r="W396" s="267" t="str">
        <f t="shared" si="8"/>
        <v/>
      </c>
      <c r="X396" s="264" t="str">
        <f t="shared" si="7"/>
        <v/>
      </c>
    </row>
    <row r="397" ht="15.75" customHeight="1">
      <c r="A397" s="258"/>
      <c r="B397" s="258"/>
      <c r="C397" s="269"/>
      <c r="D397" s="258"/>
      <c r="E397" s="258"/>
      <c r="F397" s="258"/>
      <c r="G397" s="258"/>
      <c r="H397" s="271"/>
      <c r="I397" s="258"/>
      <c r="J397" s="272"/>
      <c r="K397" s="260"/>
      <c r="L397" s="261"/>
      <c r="M397" s="262" t="str">
        <f t="shared" si="1"/>
        <v/>
      </c>
      <c r="N397" s="263" t="str">
        <f t="shared" si="2"/>
        <v/>
      </c>
      <c r="O397" s="264" t="str">
        <f t="shared" si="3"/>
        <v/>
      </c>
      <c r="P397" s="265" t="str">
        <f>IFERROR(__xludf.DUMMYFUNCTION("IF(ISBLANK(A397),"""",IFERROR(IF(H397=""Sell"",VLOOKUP(9^99,FILTER({ROW(P$2:P396),P$2:P396},D$2:D396=D397),2),(VLOOKUP(9^99,FILTER({ROW(P$2:P396),P$2:P396},D$2:D396=D397),2)*VLOOKUP(9^99,FILTER({ROW(O$2:O396),O$2:O396},D$2:D396=D397),2)-N397)/O397),J397))"),"")</f>
        <v/>
      </c>
      <c r="Q397" s="264" t="str">
        <f>IFERROR(__xludf.DUMMYFUNCTION("IFERROR(IF(F397=""Crypto"",B397,(IF(ISBLANK(D397),"""",IF(D397=""Cash"",B397,IF(GOOGLEFINANCE(D397,""CURRENCY"")=""GBX"",""GBP"",GOOGLEFINANCE(D397,""CURRENCY"")))))),B397)"),"")</f>
        <v/>
      </c>
      <c r="R397" s="263" t="str">
        <f>IFERROR(__xludf.DUMMYFUNCTION("IF(ISBLANK(A397),"""",IFERROR(IF(OR(Q397=""GPB"",Q397=""ZAR""),IF(Q397=Dashboard!$L$1,K397,(K397*GOOGLEFINANCE(""CURRENCY:""&amp;Q397&amp;""""&amp;Dashboard!$L$1&amp;""""))/100),IF(Q397=Dashboard!$L$1,K397,K397*GOOGLEFINANCE(""CURRENCY:""&amp;Q397&amp;""""&amp;Dashboard!$L$1&amp;"""")))"&amp;",K397))"),"")</f>
        <v/>
      </c>
      <c r="S397" s="266" t="str">
        <f>IFERROR(__xludf.DUMMYFUNCTION("IF(ISBLANK(A397),"""",IFERROR(IF(OR(Q397=""GPB"",Q397=""ZAR""),IF(Q397=Dashboard!$L$1,M397,(M397*GOOGLEFINANCE(""CURRENCY:""&amp;Q397&amp;""""&amp;Dashboard!$L$1&amp;""""))/100),IF(Q397=Dashboard!$L$1,M397,M397*GOOGLEFINANCE(""CURRENCY:""&amp;Q397&amp;""""&amp;Dashboard!$L$1&amp;"""")))"&amp;",M397))"),"")</f>
        <v/>
      </c>
      <c r="T397" s="264" t="str">
        <f t="shared" si="4"/>
        <v/>
      </c>
      <c r="U397" s="264" t="str">
        <f t="shared" si="5"/>
        <v/>
      </c>
      <c r="V397" s="264" t="str">
        <f t="shared" si="6"/>
        <v/>
      </c>
      <c r="W397" s="267" t="str">
        <f t="shared" si="8"/>
        <v/>
      </c>
      <c r="X397" s="264" t="str">
        <f t="shared" si="7"/>
        <v/>
      </c>
    </row>
    <row r="398" ht="15.75" customHeight="1">
      <c r="A398" s="258"/>
      <c r="B398" s="258"/>
      <c r="C398" s="269"/>
      <c r="D398" s="258"/>
      <c r="E398" s="258"/>
      <c r="F398" s="258"/>
      <c r="G398" s="258"/>
      <c r="H398" s="271"/>
      <c r="I398" s="258"/>
      <c r="J398" s="272"/>
      <c r="K398" s="260"/>
      <c r="L398" s="261"/>
      <c r="M398" s="262" t="str">
        <f t="shared" si="1"/>
        <v/>
      </c>
      <c r="N398" s="263" t="str">
        <f t="shared" si="2"/>
        <v/>
      </c>
      <c r="O398" s="264" t="str">
        <f t="shared" si="3"/>
        <v/>
      </c>
      <c r="P398" s="265" t="str">
        <f>IFERROR(__xludf.DUMMYFUNCTION("IF(ISBLANK(A398),"""",IFERROR(IF(H398=""Sell"",VLOOKUP(9^99,FILTER({ROW(P$2:P397),P$2:P397},D$2:D397=D398),2),(VLOOKUP(9^99,FILTER({ROW(P$2:P397),P$2:P397},D$2:D397=D398),2)*VLOOKUP(9^99,FILTER({ROW(O$2:O397),O$2:O397},D$2:D397=D398),2)-N398)/O398),J398))"),"")</f>
        <v/>
      </c>
      <c r="Q398" s="264" t="str">
        <f>IFERROR(__xludf.DUMMYFUNCTION("IFERROR(IF(F398=""Crypto"",B398,(IF(ISBLANK(D398),"""",IF(D398=""Cash"",B398,IF(GOOGLEFINANCE(D398,""CURRENCY"")=""GBX"",""GBP"",GOOGLEFINANCE(D398,""CURRENCY"")))))),B398)"),"")</f>
        <v/>
      </c>
      <c r="R398" s="263" t="str">
        <f>IFERROR(__xludf.DUMMYFUNCTION("IF(ISBLANK(A398),"""",IFERROR(IF(OR(Q398=""GPB"",Q398=""ZAR""),IF(Q398=Dashboard!$L$1,K398,(K398*GOOGLEFINANCE(""CURRENCY:""&amp;Q398&amp;""""&amp;Dashboard!$L$1&amp;""""))/100),IF(Q398=Dashboard!$L$1,K398,K398*GOOGLEFINANCE(""CURRENCY:""&amp;Q398&amp;""""&amp;Dashboard!$L$1&amp;"""")))"&amp;",K398))"),"")</f>
        <v/>
      </c>
      <c r="S398" s="266" t="str">
        <f>IFERROR(__xludf.DUMMYFUNCTION("IF(ISBLANK(A398),"""",IFERROR(IF(OR(Q398=""GPB"",Q398=""ZAR""),IF(Q398=Dashboard!$L$1,M398,(M398*GOOGLEFINANCE(""CURRENCY:""&amp;Q398&amp;""""&amp;Dashboard!$L$1&amp;""""))/100),IF(Q398=Dashboard!$L$1,M398,M398*GOOGLEFINANCE(""CURRENCY:""&amp;Q398&amp;""""&amp;Dashboard!$L$1&amp;"""")))"&amp;",M398))"),"")</f>
        <v/>
      </c>
      <c r="T398" s="264" t="str">
        <f t="shared" si="4"/>
        <v/>
      </c>
      <c r="U398" s="264" t="str">
        <f t="shared" si="5"/>
        <v/>
      </c>
      <c r="V398" s="264" t="str">
        <f t="shared" si="6"/>
        <v/>
      </c>
      <c r="W398" s="267" t="str">
        <f t="shared" si="8"/>
        <v/>
      </c>
      <c r="X398" s="264" t="str">
        <f t="shared" si="7"/>
        <v/>
      </c>
    </row>
    <row r="399" ht="15.75" customHeight="1">
      <c r="A399" s="258"/>
      <c r="B399" s="258"/>
      <c r="C399" s="269"/>
      <c r="D399" s="258"/>
      <c r="E399" s="258"/>
      <c r="F399" s="258"/>
      <c r="G399" s="258"/>
      <c r="H399" s="271"/>
      <c r="I399" s="258"/>
      <c r="J399" s="272"/>
      <c r="K399" s="260"/>
      <c r="L399" s="261"/>
      <c r="M399" s="262" t="str">
        <f t="shared" si="1"/>
        <v/>
      </c>
      <c r="N399" s="263" t="str">
        <f t="shared" si="2"/>
        <v/>
      </c>
      <c r="O399" s="264" t="str">
        <f t="shared" si="3"/>
        <v/>
      </c>
      <c r="P399" s="265" t="str">
        <f>IFERROR(__xludf.DUMMYFUNCTION("IF(ISBLANK(A399),"""",IFERROR(IF(H399=""Sell"",VLOOKUP(9^99,FILTER({ROW(P$2:P398),P$2:P398},D$2:D398=D399),2),(VLOOKUP(9^99,FILTER({ROW(P$2:P398),P$2:P398},D$2:D398=D399),2)*VLOOKUP(9^99,FILTER({ROW(O$2:O398),O$2:O398},D$2:D398=D399),2)-N399)/O399),J399))"),"")</f>
        <v/>
      </c>
      <c r="Q399" s="264" t="str">
        <f>IFERROR(__xludf.DUMMYFUNCTION("IFERROR(IF(F399=""Crypto"",B399,(IF(ISBLANK(D399),"""",IF(D399=""Cash"",B399,IF(GOOGLEFINANCE(D399,""CURRENCY"")=""GBX"",""GBP"",GOOGLEFINANCE(D399,""CURRENCY"")))))),B399)"),"")</f>
        <v/>
      </c>
      <c r="R399" s="263" t="str">
        <f>IFERROR(__xludf.DUMMYFUNCTION("IF(ISBLANK(A399),"""",IFERROR(IF(OR(Q399=""GPB"",Q399=""ZAR""),IF(Q399=Dashboard!$L$1,K399,(K399*GOOGLEFINANCE(""CURRENCY:""&amp;Q399&amp;""""&amp;Dashboard!$L$1&amp;""""))/100),IF(Q399=Dashboard!$L$1,K399,K399*GOOGLEFINANCE(""CURRENCY:""&amp;Q399&amp;""""&amp;Dashboard!$L$1&amp;"""")))"&amp;",K399))"),"")</f>
        <v/>
      </c>
      <c r="S399" s="266" t="str">
        <f>IFERROR(__xludf.DUMMYFUNCTION("IF(ISBLANK(A399),"""",IFERROR(IF(OR(Q399=""GPB"",Q399=""ZAR""),IF(Q399=Dashboard!$L$1,M399,(M399*GOOGLEFINANCE(""CURRENCY:""&amp;Q399&amp;""""&amp;Dashboard!$L$1&amp;""""))/100),IF(Q399=Dashboard!$L$1,M399,M399*GOOGLEFINANCE(""CURRENCY:""&amp;Q399&amp;""""&amp;Dashboard!$L$1&amp;"""")))"&amp;",M399))"),"")</f>
        <v/>
      </c>
      <c r="T399" s="264" t="str">
        <f t="shared" si="4"/>
        <v/>
      </c>
      <c r="U399" s="264" t="str">
        <f t="shared" si="5"/>
        <v/>
      </c>
      <c r="V399" s="264" t="str">
        <f t="shared" si="6"/>
        <v/>
      </c>
      <c r="W399" s="267" t="str">
        <f t="shared" si="8"/>
        <v/>
      </c>
      <c r="X399" s="264" t="str">
        <f t="shared" si="7"/>
        <v/>
      </c>
    </row>
    <row r="400" ht="15.75" customHeight="1">
      <c r="A400" s="258"/>
      <c r="B400" s="258"/>
      <c r="C400" s="269"/>
      <c r="D400" s="258"/>
      <c r="E400" s="258"/>
      <c r="F400" s="258"/>
      <c r="G400" s="258"/>
      <c r="H400" s="271"/>
      <c r="I400" s="258"/>
      <c r="J400" s="272"/>
      <c r="K400" s="260"/>
      <c r="L400" s="261"/>
      <c r="M400" s="262" t="str">
        <f t="shared" si="1"/>
        <v/>
      </c>
      <c r="N400" s="263" t="str">
        <f t="shared" si="2"/>
        <v/>
      </c>
      <c r="O400" s="264" t="str">
        <f t="shared" si="3"/>
        <v/>
      </c>
      <c r="P400" s="265" t="str">
        <f>IFERROR(__xludf.DUMMYFUNCTION("IF(ISBLANK(A400),"""",IFERROR(IF(H400=""Sell"",VLOOKUP(9^99,FILTER({ROW(P$2:P399),P$2:P399},D$2:D399=D400),2),(VLOOKUP(9^99,FILTER({ROW(P$2:P399),P$2:P399},D$2:D399=D400),2)*VLOOKUP(9^99,FILTER({ROW(O$2:O399),O$2:O399},D$2:D399=D400),2)-N400)/O400),J400))"),"")</f>
        <v/>
      </c>
      <c r="Q400" s="264" t="str">
        <f>IFERROR(__xludf.DUMMYFUNCTION("IFERROR(IF(F400=""Crypto"",B400,(IF(ISBLANK(D400),"""",IF(D400=""Cash"",B400,IF(GOOGLEFINANCE(D400,""CURRENCY"")=""GBX"",""GBP"",GOOGLEFINANCE(D400,""CURRENCY"")))))),B400)"),"")</f>
        <v/>
      </c>
      <c r="R400" s="263" t="str">
        <f>IFERROR(__xludf.DUMMYFUNCTION("IF(ISBLANK(A400),"""",IFERROR(IF(OR(Q400=""GPB"",Q400=""ZAR""),IF(Q400=Dashboard!$L$1,K400,(K400*GOOGLEFINANCE(""CURRENCY:""&amp;Q400&amp;""""&amp;Dashboard!$L$1&amp;""""))/100),IF(Q400=Dashboard!$L$1,K400,K400*GOOGLEFINANCE(""CURRENCY:""&amp;Q400&amp;""""&amp;Dashboard!$L$1&amp;"""")))"&amp;",K400))"),"")</f>
        <v/>
      </c>
      <c r="S400" s="266" t="str">
        <f>IFERROR(__xludf.DUMMYFUNCTION("IF(ISBLANK(A400),"""",IFERROR(IF(OR(Q400=""GPB"",Q400=""ZAR""),IF(Q400=Dashboard!$L$1,M400,(M400*GOOGLEFINANCE(""CURRENCY:""&amp;Q400&amp;""""&amp;Dashboard!$L$1&amp;""""))/100),IF(Q400=Dashboard!$L$1,M400,M400*GOOGLEFINANCE(""CURRENCY:""&amp;Q400&amp;""""&amp;Dashboard!$L$1&amp;"""")))"&amp;",M400))"),"")</f>
        <v/>
      </c>
      <c r="T400" s="264" t="str">
        <f t="shared" si="4"/>
        <v/>
      </c>
      <c r="U400" s="264" t="str">
        <f t="shared" si="5"/>
        <v/>
      </c>
      <c r="V400" s="264" t="str">
        <f t="shared" si="6"/>
        <v/>
      </c>
      <c r="W400" s="267" t="str">
        <f t="shared" si="8"/>
        <v/>
      </c>
      <c r="X400" s="264" t="str">
        <f t="shared" si="7"/>
        <v/>
      </c>
    </row>
    <row r="401" ht="15.75" customHeight="1">
      <c r="A401" s="258"/>
      <c r="B401" s="258"/>
      <c r="C401" s="269"/>
      <c r="D401" s="258"/>
      <c r="E401" s="258"/>
      <c r="F401" s="258"/>
      <c r="G401" s="258"/>
      <c r="H401" s="271"/>
      <c r="I401" s="258"/>
      <c r="J401" s="272"/>
      <c r="K401" s="260"/>
      <c r="L401" s="261"/>
      <c r="M401" s="262" t="str">
        <f t="shared" si="1"/>
        <v/>
      </c>
      <c r="N401" s="263" t="str">
        <f t="shared" si="2"/>
        <v/>
      </c>
      <c r="O401" s="264" t="str">
        <f t="shared" si="3"/>
        <v/>
      </c>
      <c r="P401" s="265" t="str">
        <f>IFERROR(__xludf.DUMMYFUNCTION("IF(ISBLANK(A401),"""",IFERROR(IF(H401=""Sell"",VLOOKUP(9^99,FILTER({ROW(P$2:P400),P$2:P400},D$2:D400=D401),2),(VLOOKUP(9^99,FILTER({ROW(P$2:P400),P$2:P400},D$2:D400=D401),2)*VLOOKUP(9^99,FILTER({ROW(O$2:O400),O$2:O400},D$2:D400=D401),2)-N401)/O401),J401))"),"")</f>
        <v/>
      </c>
      <c r="Q401" s="264" t="str">
        <f>IFERROR(__xludf.DUMMYFUNCTION("IFERROR(IF(F401=""Crypto"",B401,(IF(ISBLANK(D401),"""",IF(D401=""Cash"",B401,IF(GOOGLEFINANCE(D401,""CURRENCY"")=""GBX"",""GBP"",GOOGLEFINANCE(D401,""CURRENCY"")))))),B401)"),"")</f>
        <v/>
      </c>
      <c r="R401" s="263" t="str">
        <f>IFERROR(__xludf.DUMMYFUNCTION("IF(ISBLANK(A401),"""",IFERROR(IF(OR(Q401=""GPB"",Q401=""ZAR""),IF(Q401=Dashboard!$L$1,K401,(K401*GOOGLEFINANCE(""CURRENCY:""&amp;Q401&amp;""""&amp;Dashboard!$L$1&amp;""""))/100),IF(Q401=Dashboard!$L$1,K401,K401*GOOGLEFINANCE(""CURRENCY:""&amp;Q401&amp;""""&amp;Dashboard!$L$1&amp;"""")))"&amp;",K401))"),"")</f>
        <v/>
      </c>
      <c r="S401" s="266" t="str">
        <f>IFERROR(__xludf.DUMMYFUNCTION("IF(ISBLANK(A401),"""",IFERROR(IF(OR(Q401=""GPB"",Q401=""ZAR""),IF(Q401=Dashboard!$L$1,M401,(M401*GOOGLEFINANCE(""CURRENCY:""&amp;Q401&amp;""""&amp;Dashboard!$L$1&amp;""""))/100),IF(Q401=Dashboard!$L$1,M401,M401*GOOGLEFINANCE(""CURRENCY:""&amp;Q401&amp;""""&amp;Dashboard!$L$1&amp;"""")))"&amp;",M401))"),"")</f>
        <v/>
      </c>
      <c r="T401" s="264" t="str">
        <f t="shared" si="4"/>
        <v/>
      </c>
      <c r="U401" s="264" t="str">
        <f t="shared" si="5"/>
        <v/>
      </c>
      <c r="V401" s="264" t="str">
        <f t="shared" si="6"/>
        <v/>
      </c>
      <c r="W401" s="267" t="str">
        <f t="shared" si="8"/>
        <v/>
      </c>
      <c r="X401" s="264" t="str">
        <f t="shared" si="7"/>
        <v/>
      </c>
    </row>
    <row r="402" ht="15.75" customHeight="1">
      <c r="A402" s="258"/>
      <c r="B402" s="258"/>
      <c r="C402" s="269"/>
      <c r="D402" s="258"/>
      <c r="E402" s="258"/>
      <c r="F402" s="258"/>
      <c r="G402" s="258"/>
      <c r="H402" s="271"/>
      <c r="I402" s="258"/>
      <c r="J402" s="272"/>
      <c r="K402" s="260"/>
      <c r="L402" s="261"/>
      <c r="M402" s="262" t="str">
        <f t="shared" si="1"/>
        <v/>
      </c>
      <c r="N402" s="263" t="str">
        <f t="shared" si="2"/>
        <v/>
      </c>
      <c r="O402" s="264" t="str">
        <f t="shared" si="3"/>
        <v/>
      </c>
      <c r="P402" s="265" t="str">
        <f>IFERROR(__xludf.DUMMYFUNCTION("IF(ISBLANK(A402),"""",IFERROR(IF(H402=""Sell"",VLOOKUP(9^99,FILTER({ROW(P$2:P401),P$2:P401},D$2:D401=D402),2),(VLOOKUP(9^99,FILTER({ROW(P$2:P401),P$2:P401},D$2:D401=D402),2)*VLOOKUP(9^99,FILTER({ROW(O$2:O401),O$2:O401},D$2:D401=D402),2)-N402)/O402),J402))"),"")</f>
        <v/>
      </c>
      <c r="Q402" s="264" t="str">
        <f>IFERROR(__xludf.DUMMYFUNCTION("IFERROR(IF(F402=""Crypto"",B402,(IF(ISBLANK(D402),"""",IF(D402=""Cash"",B402,IF(GOOGLEFINANCE(D402,""CURRENCY"")=""GBX"",""GBP"",GOOGLEFINANCE(D402,""CURRENCY"")))))),B402)"),"")</f>
        <v/>
      </c>
      <c r="R402" s="263" t="str">
        <f>IFERROR(__xludf.DUMMYFUNCTION("IF(ISBLANK(A402),"""",IFERROR(IF(OR(Q402=""GPB"",Q402=""ZAR""),IF(Q402=Dashboard!$L$1,K402,(K402*GOOGLEFINANCE(""CURRENCY:""&amp;Q402&amp;""""&amp;Dashboard!$L$1&amp;""""))/100),IF(Q402=Dashboard!$L$1,K402,K402*GOOGLEFINANCE(""CURRENCY:""&amp;Q402&amp;""""&amp;Dashboard!$L$1&amp;"""")))"&amp;",K402))"),"")</f>
        <v/>
      </c>
      <c r="S402" s="266" t="str">
        <f>IFERROR(__xludf.DUMMYFUNCTION("IF(ISBLANK(A402),"""",IFERROR(IF(OR(Q402=""GPB"",Q402=""ZAR""),IF(Q402=Dashboard!$L$1,M402,(M402*GOOGLEFINANCE(""CURRENCY:""&amp;Q402&amp;""""&amp;Dashboard!$L$1&amp;""""))/100),IF(Q402=Dashboard!$L$1,M402,M402*GOOGLEFINANCE(""CURRENCY:""&amp;Q402&amp;""""&amp;Dashboard!$L$1&amp;"""")))"&amp;",M402))"),"")</f>
        <v/>
      </c>
      <c r="T402" s="264" t="str">
        <f t="shared" si="4"/>
        <v/>
      </c>
      <c r="U402" s="264" t="str">
        <f t="shared" si="5"/>
        <v/>
      </c>
      <c r="V402" s="264" t="str">
        <f t="shared" si="6"/>
        <v/>
      </c>
      <c r="W402" s="267" t="str">
        <f t="shared" si="8"/>
        <v/>
      </c>
      <c r="X402" s="264" t="str">
        <f t="shared" si="7"/>
        <v/>
      </c>
    </row>
    <row r="403" ht="15.75" customHeight="1">
      <c r="A403" s="258"/>
      <c r="B403" s="258"/>
      <c r="C403" s="269"/>
      <c r="D403" s="258"/>
      <c r="E403" s="258"/>
      <c r="F403" s="258"/>
      <c r="G403" s="258"/>
      <c r="H403" s="271"/>
      <c r="I403" s="258"/>
      <c r="J403" s="272"/>
      <c r="K403" s="260"/>
      <c r="L403" s="261"/>
      <c r="M403" s="262" t="str">
        <f t="shared" si="1"/>
        <v/>
      </c>
      <c r="N403" s="263" t="str">
        <f t="shared" si="2"/>
        <v/>
      </c>
      <c r="O403" s="264" t="str">
        <f t="shared" si="3"/>
        <v/>
      </c>
      <c r="P403" s="265" t="str">
        <f>IFERROR(__xludf.DUMMYFUNCTION("IF(ISBLANK(A403),"""",IFERROR(IF(H403=""Sell"",VLOOKUP(9^99,FILTER({ROW(P$2:P402),P$2:P402},D$2:D402=D403),2),(VLOOKUP(9^99,FILTER({ROW(P$2:P402),P$2:P402},D$2:D402=D403),2)*VLOOKUP(9^99,FILTER({ROW(O$2:O402),O$2:O402},D$2:D402=D403),2)-N403)/O403),J403))"),"")</f>
        <v/>
      </c>
      <c r="Q403" s="264" t="str">
        <f>IFERROR(__xludf.DUMMYFUNCTION("IFERROR(IF(F403=""Crypto"",B403,(IF(ISBLANK(D403),"""",IF(D403=""Cash"",B403,IF(GOOGLEFINANCE(D403,""CURRENCY"")=""GBX"",""GBP"",GOOGLEFINANCE(D403,""CURRENCY"")))))),B403)"),"")</f>
        <v/>
      </c>
      <c r="R403" s="263" t="str">
        <f>IFERROR(__xludf.DUMMYFUNCTION("IF(ISBLANK(A403),"""",IFERROR(IF(OR(Q403=""GPB"",Q403=""ZAR""),IF(Q403=Dashboard!$L$1,K403,(K403*GOOGLEFINANCE(""CURRENCY:""&amp;Q403&amp;""""&amp;Dashboard!$L$1&amp;""""))/100),IF(Q403=Dashboard!$L$1,K403,K403*GOOGLEFINANCE(""CURRENCY:""&amp;Q403&amp;""""&amp;Dashboard!$L$1&amp;"""")))"&amp;",K403))"),"")</f>
        <v/>
      </c>
      <c r="S403" s="266" t="str">
        <f>IFERROR(__xludf.DUMMYFUNCTION("IF(ISBLANK(A403),"""",IFERROR(IF(OR(Q403=""GPB"",Q403=""ZAR""),IF(Q403=Dashboard!$L$1,M403,(M403*GOOGLEFINANCE(""CURRENCY:""&amp;Q403&amp;""""&amp;Dashboard!$L$1&amp;""""))/100),IF(Q403=Dashboard!$L$1,M403,M403*GOOGLEFINANCE(""CURRENCY:""&amp;Q403&amp;""""&amp;Dashboard!$L$1&amp;"""")))"&amp;",M403))"),"")</f>
        <v/>
      </c>
      <c r="T403" s="264" t="str">
        <f t="shared" si="4"/>
        <v/>
      </c>
      <c r="U403" s="264" t="str">
        <f t="shared" si="5"/>
        <v/>
      </c>
      <c r="V403" s="264" t="str">
        <f t="shared" si="6"/>
        <v/>
      </c>
      <c r="W403" s="267" t="str">
        <f t="shared" si="8"/>
        <v/>
      </c>
      <c r="X403" s="264" t="str">
        <f t="shared" si="7"/>
        <v/>
      </c>
    </row>
    <row r="404" ht="15.75" customHeight="1">
      <c r="A404" s="258"/>
      <c r="B404" s="258"/>
      <c r="C404" s="269"/>
      <c r="D404" s="258"/>
      <c r="E404" s="258"/>
      <c r="F404" s="258"/>
      <c r="G404" s="258"/>
      <c r="H404" s="271"/>
      <c r="I404" s="258"/>
      <c r="J404" s="272"/>
      <c r="K404" s="260"/>
      <c r="L404" s="261"/>
      <c r="M404" s="262" t="str">
        <f t="shared" si="1"/>
        <v/>
      </c>
      <c r="N404" s="263" t="str">
        <f t="shared" si="2"/>
        <v/>
      </c>
      <c r="O404" s="264" t="str">
        <f t="shared" si="3"/>
        <v/>
      </c>
      <c r="P404" s="265" t="str">
        <f>IFERROR(__xludf.DUMMYFUNCTION("IF(ISBLANK(A404),"""",IFERROR(IF(H404=""Sell"",VLOOKUP(9^99,FILTER({ROW(P$2:P403),P$2:P403},D$2:D403=D404),2),(VLOOKUP(9^99,FILTER({ROW(P$2:P403),P$2:P403},D$2:D403=D404),2)*VLOOKUP(9^99,FILTER({ROW(O$2:O403),O$2:O403},D$2:D403=D404),2)-N404)/O404),J404))"),"")</f>
        <v/>
      </c>
      <c r="Q404" s="264" t="str">
        <f>IFERROR(__xludf.DUMMYFUNCTION("IFERROR(IF(F404=""Crypto"",B404,(IF(ISBLANK(D404),"""",IF(D404=""Cash"",B404,IF(GOOGLEFINANCE(D404,""CURRENCY"")=""GBX"",""GBP"",GOOGLEFINANCE(D404,""CURRENCY"")))))),B404)"),"")</f>
        <v/>
      </c>
      <c r="R404" s="263" t="str">
        <f>IFERROR(__xludf.DUMMYFUNCTION("IF(ISBLANK(A404),"""",IFERROR(IF(OR(Q404=""GPB"",Q404=""ZAR""),IF(Q404=Dashboard!$L$1,K404,(K404*GOOGLEFINANCE(""CURRENCY:""&amp;Q404&amp;""""&amp;Dashboard!$L$1&amp;""""))/100),IF(Q404=Dashboard!$L$1,K404,K404*GOOGLEFINANCE(""CURRENCY:""&amp;Q404&amp;""""&amp;Dashboard!$L$1&amp;"""")))"&amp;",K404))"),"")</f>
        <v/>
      </c>
      <c r="S404" s="266" t="str">
        <f>IFERROR(__xludf.DUMMYFUNCTION("IF(ISBLANK(A404),"""",IFERROR(IF(OR(Q404=""GPB"",Q404=""ZAR""),IF(Q404=Dashboard!$L$1,M404,(M404*GOOGLEFINANCE(""CURRENCY:""&amp;Q404&amp;""""&amp;Dashboard!$L$1&amp;""""))/100),IF(Q404=Dashboard!$L$1,M404,M404*GOOGLEFINANCE(""CURRENCY:""&amp;Q404&amp;""""&amp;Dashboard!$L$1&amp;"""")))"&amp;",M404))"),"")</f>
        <v/>
      </c>
      <c r="T404" s="264" t="str">
        <f t="shared" si="4"/>
        <v/>
      </c>
      <c r="U404" s="264" t="str">
        <f t="shared" si="5"/>
        <v/>
      </c>
      <c r="V404" s="264" t="str">
        <f t="shared" si="6"/>
        <v/>
      </c>
      <c r="W404" s="267" t="str">
        <f t="shared" si="8"/>
        <v/>
      </c>
      <c r="X404" s="264" t="str">
        <f t="shared" si="7"/>
        <v/>
      </c>
    </row>
    <row r="405" ht="15.75" customHeight="1">
      <c r="A405" s="258"/>
      <c r="B405" s="258"/>
      <c r="C405" s="269"/>
      <c r="D405" s="258"/>
      <c r="E405" s="258"/>
      <c r="F405" s="258"/>
      <c r="G405" s="258"/>
      <c r="H405" s="271"/>
      <c r="I405" s="258"/>
      <c r="J405" s="272"/>
      <c r="K405" s="260"/>
      <c r="L405" s="261"/>
      <c r="M405" s="262" t="str">
        <f t="shared" si="1"/>
        <v/>
      </c>
      <c r="N405" s="263" t="str">
        <f t="shared" si="2"/>
        <v/>
      </c>
      <c r="O405" s="264" t="str">
        <f t="shared" si="3"/>
        <v/>
      </c>
      <c r="P405" s="265" t="str">
        <f>IFERROR(__xludf.DUMMYFUNCTION("IF(ISBLANK(A405),"""",IFERROR(IF(H405=""Sell"",VLOOKUP(9^99,FILTER({ROW(P$2:P404),P$2:P404},D$2:D404=D405),2),(VLOOKUP(9^99,FILTER({ROW(P$2:P404),P$2:P404},D$2:D404=D405),2)*VLOOKUP(9^99,FILTER({ROW(O$2:O404),O$2:O404},D$2:D404=D405),2)-N405)/O405),J405))"),"")</f>
        <v/>
      </c>
      <c r="Q405" s="264" t="str">
        <f>IFERROR(__xludf.DUMMYFUNCTION("IFERROR(IF(F405=""Crypto"",B405,(IF(ISBLANK(D405),"""",IF(D405=""Cash"",B405,IF(GOOGLEFINANCE(D405,""CURRENCY"")=""GBX"",""GBP"",GOOGLEFINANCE(D405,""CURRENCY"")))))),B405)"),"")</f>
        <v/>
      </c>
      <c r="R405" s="263" t="str">
        <f>IFERROR(__xludf.DUMMYFUNCTION("IF(ISBLANK(A405),"""",IFERROR(IF(OR(Q405=""GPB"",Q405=""ZAR""),IF(Q405=Dashboard!$L$1,K405,(K405*GOOGLEFINANCE(""CURRENCY:""&amp;Q405&amp;""""&amp;Dashboard!$L$1&amp;""""))/100),IF(Q405=Dashboard!$L$1,K405,K405*GOOGLEFINANCE(""CURRENCY:""&amp;Q405&amp;""""&amp;Dashboard!$L$1&amp;"""")))"&amp;",K405))"),"")</f>
        <v/>
      </c>
      <c r="S405" s="266" t="str">
        <f>IFERROR(__xludf.DUMMYFUNCTION("IF(ISBLANK(A405),"""",IFERROR(IF(OR(Q405=""GPB"",Q405=""ZAR""),IF(Q405=Dashboard!$L$1,M405,(M405*GOOGLEFINANCE(""CURRENCY:""&amp;Q405&amp;""""&amp;Dashboard!$L$1&amp;""""))/100),IF(Q405=Dashboard!$L$1,M405,M405*GOOGLEFINANCE(""CURRENCY:""&amp;Q405&amp;""""&amp;Dashboard!$L$1&amp;"""")))"&amp;",M405))"),"")</f>
        <v/>
      </c>
      <c r="T405" s="264" t="str">
        <f t="shared" si="4"/>
        <v/>
      </c>
      <c r="U405" s="264" t="str">
        <f t="shared" si="5"/>
        <v/>
      </c>
      <c r="V405" s="264" t="str">
        <f t="shared" si="6"/>
        <v/>
      </c>
      <c r="W405" s="267" t="str">
        <f t="shared" si="8"/>
        <v/>
      </c>
      <c r="X405" s="264" t="str">
        <f t="shared" si="7"/>
        <v/>
      </c>
    </row>
    <row r="406" ht="15.75" customHeight="1">
      <c r="A406" s="258"/>
      <c r="B406" s="258"/>
      <c r="C406" s="269"/>
      <c r="D406" s="258"/>
      <c r="E406" s="258"/>
      <c r="F406" s="258"/>
      <c r="G406" s="258"/>
      <c r="H406" s="271"/>
      <c r="I406" s="258"/>
      <c r="J406" s="272"/>
      <c r="K406" s="260"/>
      <c r="L406" s="261"/>
      <c r="M406" s="262" t="str">
        <f t="shared" si="1"/>
        <v/>
      </c>
      <c r="N406" s="263" t="str">
        <f t="shared" si="2"/>
        <v/>
      </c>
      <c r="O406" s="264" t="str">
        <f t="shared" si="3"/>
        <v/>
      </c>
      <c r="P406" s="265" t="str">
        <f>IFERROR(__xludf.DUMMYFUNCTION("IF(ISBLANK(A406),"""",IFERROR(IF(H406=""Sell"",VLOOKUP(9^99,FILTER({ROW(P$2:P405),P$2:P405},D$2:D405=D406),2),(VLOOKUP(9^99,FILTER({ROW(P$2:P405),P$2:P405},D$2:D405=D406),2)*VLOOKUP(9^99,FILTER({ROW(O$2:O405),O$2:O405},D$2:D405=D406),2)-N406)/O406),J406))"),"")</f>
        <v/>
      </c>
      <c r="Q406" s="264" t="str">
        <f>IFERROR(__xludf.DUMMYFUNCTION("IFERROR(IF(F406=""Crypto"",B406,(IF(ISBLANK(D406),"""",IF(D406=""Cash"",B406,IF(GOOGLEFINANCE(D406,""CURRENCY"")=""GBX"",""GBP"",GOOGLEFINANCE(D406,""CURRENCY"")))))),B406)"),"")</f>
        <v/>
      </c>
      <c r="R406" s="263" t="str">
        <f>IFERROR(__xludf.DUMMYFUNCTION("IF(ISBLANK(A406),"""",IFERROR(IF(OR(Q406=""GPB"",Q406=""ZAR""),IF(Q406=Dashboard!$L$1,K406,(K406*GOOGLEFINANCE(""CURRENCY:""&amp;Q406&amp;""""&amp;Dashboard!$L$1&amp;""""))/100),IF(Q406=Dashboard!$L$1,K406,K406*GOOGLEFINANCE(""CURRENCY:""&amp;Q406&amp;""""&amp;Dashboard!$L$1&amp;"""")))"&amp;",K406))"),"")</f>
        <v/>
      </c>
      <c r="S406" s="266" t="str">
        <f>IFERROR(__xludf.DUMMYFUNCTION("IF(ISBLANK(A406),"""",IFERROR(IF(OR(Q406=""GPB"",Q406=""ZAR""),IF(Q406=Dashboard!$L$1,M406,(M406*GOOGLEFINANCE(""CURRENCY:""&amp;Q406&amp;""""&amp;Dashboard!$L$1&amp;""""))/100),IF(Q406=Dashboard!$L$1,M406,M406*GOOGLEFINANCE(""CURRENCY:""&amp;Q406&amp;""""&amp;Dashboard!$L$1&amp;"""")))"&amp;",M406))"),"")</f>
        <v/>
      </c>
      <c r="T406" s="264" t="str">
        <f t="shared" si="4"/>
        <v/>
      </c>
      <c r="U406" s="264" t="str">
        <f t="shared" si="5"/>
        <v/>
      </c>
      <c r="V406" s="264" t="str">
        <f t="shared" si="6"/>
        <v/>
      </c>
      <c r="W406" s="267" t="str">
        <f t="shared" si="8"/>
        <v/>
      </c>
      <c r="X406" s="264" t="str">
        <f t="shared" si="7"/>
        <v/>
      </c>
    </row>
    <row r="407" ht="15.75" customHeight="1">
      <c r="A407" s="258"/>
      <c r="B407" s="258"/>
      <c r="C407" s="269"/>
      <c r="D407" s="258"/>
      <c r="E407" s="258"/>
      <c r="F407" s="258"/>
      <c r="G407" s="258"/>
      <c r="H407" s="271"/>
      <c r="I407" s="258"/>
      <c r="J407" s="272"/>
      <c r="K407" s="260"/>
      <c r="L407" s="261"/>
      <c r="M407" s="262" t="str">
        <f t="shared" si="1"/>
        <v/>
      </c>
      <c r="N407" s="263" t="str">
        <f t="shared" si="2"/>
        <v/>
      </c>
      <c r="O407" s="264" t="str">
        <f t="shared" si="3"/>
        <v/>
      </c>
      <c r="P407" s="265" t="str">
        <f>IFERROR(__xludf.DUMMYFUNCTION("IF(ISBLANK(A407),"""",IFERROR(IF(H407=""Sell"",VLOOKUP(9^99,FILTER({ROW(P$2:P406),P$2:P406},D$2:D406=D407),2),(VLOOKUP(9^99,FILTER({ROW(P$2:P406),P$2:P406},D$2:D406=D407),2)*VLOOKUP(9^99,FILTER({ROW(O$2:O406),O$2:O406},D$2:D406=D407),2)-N407)/O407),J407))"),"")</f>
        <v/>
      </c>
      <c r="Q407" s="264" t="str">
        <f>IFERROR(__xludf.DUMMYFUNCTION("IFERROR(IF(F407=""Crypto"",B407,(IF(ISBLANK(D407),"""",IF(D407=""Cash"",B407,IF(GOOGLEFINANCE(D407,""CURRENCY"")=""GBX"",""GBP"",GOOGLEFINANCE(D407,""CURRENCY"")))))),B407)"),"")</f>
        <v/>
      </c>
      <c r="R407" s="263" t="str">
        <f>IFERROR(__xludf.DUMMYFUNCTION("IF(ISBLANK(A407),"""",IFERROR(IF(OR(Q407=""GPB"",Q407=""ZAR""),IF(Q407=Dashboard!$L$1,K407,(K407*GOOGLEFINANCE(""CURRENCY:""&amp;Q407&amp;""""&amp;Dashboard!$L$1&amp;""""))/100),IF(Q407=Dashboard!$L$1,K407,K407*GOOGLEFINANCE(""CURRENCY:""&amp;Q407&amp;""""&amp;Dashboard!$L$1&amp;"""")))"&amp;",K407))"),"")</f>
        <v/>
      </c>
      <c r="S407" s="266" t="str">
        <f>IFERROR(__xludf.DUMMYFUNCTION("IF(ISBLANK(A407),"""",IFERROR(IF(OR(Q407=""GPB"",Q407=""ZAR""),IF(Q407=Dashboard!$L$1,M407,(M407*GOOGLEFINANCE(""CURRENCY:""&amp;Q407&amp;""""&amp;Dashboard!$L$1&amp;""""))/100),IF(Q407=Dashboard!$L$1,M407,M407*GOOGLEFINANCE(""CURRENCY:""&amp;Q407&amp;""""&amp;Dashboard!$L$1&amp;"""")))"&amp;",M407))"),"")</f>
        <v/>
      </c>
      <c r="T407" s="264" t="str">
        <f t="shared" si="4"/>
        <v/>
      </c>
      <c r="U407" s="264" t="str">
        <f t="shared" si="5"/>
        <v/>
      </c>
      <c r="V407" s="264" t="str">
        <f t="shared" si="6"/>
        <v/>
      </c>
      <c r="W407" s="267" t="str">
        <f t="shared" si="8"/>
        <v/>
      </c>
      <c r="X407" s="264" t="str">
        <f t="shared" si="7"/>
        <v/>
      </c>
    </row>
    <row r="408" ht="15.75" customHeight="1">
      <c r="A408" s="258"/>
      <c r="B408" s="258"/>
      <c r="C408" s="269"/>
      <c r="D408" s="258"/>
      <c r="E408" s="258"/>
      <c r="F408" s="258"/>
      <c r="G408" s="258"/>
      <c r="H408" s="271"/>
      <c r="I408" s="258"/>
      <c r="J408" s="272"/>
      <c r="K408" s="260"/>
      <c r="L408" s="261"/>
      <c r="M408" s="262" t="str">
        <f t="shared" si="1"/>
        <v/>
      </c>
      <c r="N408" s="263" t="str">
        <f t="shared" si="2"/>
        <v/>
      </c>
      <c r="O408" s="264" t="str">
        <f t="shared" si="3"/>
        <v/>
      </c>
      <c r="P408" s="265" t="str">
        <f>IFERROR(__xludf.DUMMYFUNCTION("IF(ISBLANK(A408),"""",IFERROR(IF(H408=""Sell"",VLOOKUP(9^99,FILTER({ROW(P$2:P407),P$2:P407},D$2:D407=D408),2),(VLOOKUP(9^99,FILTER({ROW(P$2:P407),P$2:P407},D$2:D407=D408),2)*VLOOKUP(9^99,FILTER({ROW(O$2:O407),O$2:O407},D$2:D407=D408),2)-N408)/O408),J408))"),"")</f>
        <v/>
      </c>
      <c r="Q408" s="264" t="str">
        <f>IFERROR(__xludf.DUMMYFUNCTION("IFERROR(IF(F408=""Crypto"",B408,(IF(ISBLANK(D408),"""",IF(D408=""Cash"",B408,IF(GOOGLEFINANCE(D408,""CURRENCY"")=""GBX"",""GBP"",GOOGLEFINANCE(D408,""CURRENCY"")))))),B408)"),"")</f>
        <v/>
      </c>
      <c r="R408" s="263" t="str">
        <f>IFERROR(__xludf.DUMMYFUNCTION("IF(ISBLANK(A408),"""",IFERROR(IF(OR(Q408=""GPB"",Q408=""ZAR""),IF(Q408=Dashboard!$L$1,K408,(K408*GOOGLEFINANCE(""CURRENCY:""&amp;Q408&amp;""""&amp;Dashboard!$L$1&amp;""""))/100),IF(Q408=Dashboard!$L$1,K408,K408*GOOGLEFINANCE(""CURRENCY:""&amp;Q408&amp;""""&amp;Dashboard!$L$1&amp;"""")))"&amp;",K408))"),"")</f>
        <v/>
      </c>
      <c r="S408" s="266" t="str">
        <f>IFERROR(__xludf.DUMMYFUNCTION("IF(ISBLANK(A408),"""",IFERROR(IF(OR(Q408=""GPB"",Q408=""ZAR""),IF(Q408=Dashboard!$L$1,M408,(M408*GOOGLEFINANCE(""CURRENCY:""&amp;Q408&amp;""""&amp;Dashboard!$L$1&amp;""""))/100),IF(Q408=Dashboard!$L$1,M408,M408*GOOGLEFINANCE(""CURRENCY:""&amp;Q408&amp;""""&amp;Dashboard!$L$1&amp;"""")))"&amp;",M408))"),"")</f>
        <v/>
      </c>
      <c r="T408" s="264" t="str">
        <f t="shared" si="4"/>
        <v/>
      </c>
      <c r="U408" s="264" t="str">
        <f t="shared" si="5"/>
        <v/>
      </c>
      <c r="V408" s="264" t="str">
        <f t="shared" si="6"/>
        <v/>
      </c>
      <c r="W408" s="267" t="str">
        <f t="shared" si="8"/>
        <v/>
      </c>
      <c r="X408" s="264" t="str">
        <f t="shared" si="7"/>
        <v/>
      </c>
    </row>
    <row r="409" ht="15.75" customHeight="1">
      <c r="A409" s="258"/>
      <c r="B409" s="258"/>
      <c r="C409" s="269"/>
      <c r="D409" s="258"/>
      <c r="E409" s="258"/>
      <c r="F409" s="258"/>
      <c r="G409" s="258"/>
      <c r="H409" s="271"/>
      <c r="I409" s="258"/>
      <c r="J409" s="272"/>
      <c r="K409" s="260"/>
      <c r="L409" s="261"/>
      <c r="M409" s="262" t="str">
        <f t="shared" si="1"/>
        <v/>
      </c>
      <c r="N409" s="263" t="str">
        <f t="shared" si="2"/>
        <v/>
      </c>
      <c r="O409" s="264" t="str">
        <f t="shared" si="3"/>
        <v/>
      </c>
      <c r="P409" s="265" t="str">
        <f>IFERROR(__xludf.DUMMYFUNCTION("IF(ISBLANK(A409),"""",IFERROR(IF(H409=""Sell"",VLOOKUP(9^99,FILTER({ROW(P$2:P408),P$2:P408},D$2:D408=D409),2),(VLOOKUP(9^99,FILTER({ROW(P$2:P408),P$2:P408},D$2:D408=D409),2)*VLOOKUP(9^99,FILTER({ROW(O$2:O408),O$2:O408},D$2:D408=D409),2)-N409)/O409),J409))"),"")</f>
        <v/>
      </c>
      <c r="Q409" s="264" t="str">
        <f>IFERROR(__xludf.DUMMYFUNCTION("IFERROR(IF(F409=""Crypto"",B409,(IF(ISBLANK(D409),"""",IF(D409=""Cash"",B409,IF(GOOGLEFINANCE(D409,""CURRENCY"")=""GBX"",""GBP"",GOOGLEFINANCE(D409,""CURRENCY"")))))),B409)"),"")</f>
        <v/>
      </c>
      <c r="R409" s="263" t="str">
        <f>IFERROR(__xludf.DUMMYFUNCTION("IF(ISBLANK(A409),"""",IFERROR(IF(OR(Q409=""GPB"",Q409=""ZAR""),IF(Q409=Dashboard!$L$1,K409,(K409*GOOGLEFINANCE(""CURRENCY:""&amp;Q409&amp;""""&amp;Dashboard!$L$1&amp;""""))/100),IF(Q409=Dashboard!$L$1,K409,K409*GOOGLEFINANCE(""CURRENCY:""&amp;Q409&amp;""""&amp;Dashboard!$L$1&amp;"""")))"&amp;",K409))"),"")</f>
        <v/>
      </c>
      <c r="S409" s="266" t="str">
        <f>IFERROR(__xludf.DUMMYFUNCTION("IF(ISBLANK(A409),"""",IFERROR(IF(OR(Q409=""GPB"",Q409=""ZAR""),IF(Q409=Dashboard!$L$1,M409,(M409*GOOGLEFINANCE(""CURRENCY:""&amp;Q409&amp;""""&amp;Dashboard!$L$1&amp;""""))/100),IF(Q409=Dashboard!$L$1,M409,M409*GOOGLEFINANCE(""CURRENCY:""&amp;Q409&amp;""""&amp;Dashboard!$L$1&amp;"""")))"&amp;",M409))"),"")</f>
        <v/>
      </c>
      <c r="T409" s="264" t="str">
        <f t="shared" si="4"/>
        <v/>
      </c>
      <c r="U409" s="264" t="str">
        <f t="shared" si="5"/>
        <v/>
      </c>
      <c r="V409" s="264" t="str">
        <f t="shared" si="6"/>
        <v/>
      </c>
      <c r="W409" s="267" t="str">
        <f t="shared" si="8"/>
        <v/>
      </c>
      <c r="X409" s="264" t="str">
        <f t="shared" si="7"/>
        <v/>
      </c>
    </row>
    <row r="410" ht="15.75" customHeight="1">
      <c r="A410" s="258"/>
      <c r="B410" s="258"/>
      <c r="C410" s="269"/>
      <c r="D410" s="258"/>
      <c r="E410" s="258"/>
      <c r="F410" s="258"/>
      <c r="G410" s="258"/>
      <c r="H410" s="271"/>
      <c r="I410" s="258"/>
      <c r="J410" s="272"/>
      <c r="K410" s="260"/>
      <c r="L410" s="261"/>
      <c r="M410" s="262" t="str">
        <f t="shared" si="1"/>
        <v/>
      </c>
      <c r="N410" s="263" t="str">
        <f t="shared" si="2"/>
        <v/>
      </c>
      <c r="O410" s="264" t="str">
        <f t="shared" si="3"/>
        <v/>
      </c>
      <c r="P410" s="265" t="str">
        <f>IFERROR(__xludf.DUMMYFUNCTION("IF(ISBLANK(A410),"""",IFERROR(IF(H410=""Sell"",VLOOKUP(9^99,FILTER({ROW(P$2:P409),P$2:P409},D$2:D409=D410),2),(VLOOKUP(9^99,FILTER({ROW(P$2:P409),P$2:P409},D$2:D409=D410),2)*VLOOKUP(9^99,FILTER({ROW(O$2:O409),O$2:O409},D$2:D409=D410),2)-N410)/O410),J410))"),"")</f>
        <v/>
      </c>
      <c r="Q410" s="264" t="str">
        <f>IFERROR(__xludf.DUMMYFUNCTION("IFERROR(IF(F410=""Crypto"",B410,(IF(ISBLANK(D410),"""",IF(D410=""Cash"",B410,IF(GOOGLEFINANCE(D410,""CURRENCY"")=""GBX"",""GBP"",GOOGLEFINANCE(D410,""CURRENCY"")))))),B410)"),"")</f>
        <v/>
      </c>
      <c r="R410" s="263" t="str">
        <f>IFERROR(__xludf.DUMMYFUNCTION("IF(ISBLANK(A410),"""",IFERROR(IF(OR(Q410=""GPB"",Q410=""ZAR""),IF(Q410=Dashboard!$L$1,K410,(K410*GOOGLEFINANCE(""CURRENCY:""&amp;Q410&amp;""""&amp;Dashboard!$L$1&amp;""""))/100),IF(Q410=Dashboard!$L$1,K410,K410*GOOGLEFINANCE(""CURRENCY:""&amp;Q410&amp;""""&amp;Dashboard!$L$1&amp;"""")))"&amp;",K410))"),"")</f>
        <v/>
      </c>
      <c r="S410" s="266" t="str">
        <f>IFERROR(__xludf.DUMMYFUNCTION("IF(ISBLANK(A410),"""",IFERROR(IF(OR(Q410=""GPB"",Q410=""ZAR""),IF(Q410=Dashboard!$L$1,M410,(M410*GOOGLEFINANCE(""CURRENCY:""&amp;Q410&amp;""""&amp;Dashboard!$L$1&amp;""""))/100),IF(Q410=Dashboard!$L$1,M410,M410*GOOGLEFINANCE(""CURRENCY:""&amp;Q410&amp;""""&amp;Dashboard!$L$1&amp;"""")))"&amp;",M410))"),"")</f>
        <v/>
      </c>
      <c r="T410" s="264" t="str">
        <f t="shared" si="4"/>
        <v/>
      </c>
      <c r="U410" s="264" t="str">
        <f t="shared" si="5"/>
        <v/>
      </c>
      <c r="V410" s="264" t="str">
        <f t="shared" si="6"/>
        <v/>
      </c>
      <c r="W410" s="267" t="str">
        <f t="shared" si="8"/>
        <v/>
      </c>
      <c r="X410" s="264" t="str">
        <f t="shared" si="7"/>
        <v/>
      </c>
    </row>
    <row r="411" ht="15.75" customHeight="1">
      <c r="A411" s="258"/>
      <c r="B411" s="258"/>
      <c r="C411" s="269"/>
      <c r="D411" s="258"/>
      <c r="E411" s="258"/>
      <c r="F411" s="258"/>
      <c r="G411" s="258"/>
      <c r="H411" s="271"/>
      <c r="I411" s="258"/>
      <c r="J411" s="272"/>
      <c r="K411" s="260"/>
      <c r="L411" s="261"/>
      <c r="M411" s="262" t="str">
        <f t="shared" si="1"/>
        <v/>
      </c>
      <c r="N411" s="263" t="str">
        <f t="shared" si="2"/>
        <v/>
      </c>
      <c r="O411" s="264" t="str">
        <f t="shared" si="3"/>
        <v/>
      </c>
      <c r="P411" s="265" t="str">
        <f>IFERROR(__xludf.DUMMYFUNCTION("IF(ISBLANK(A411),"""",IFERROR(IF(H411=""Sell"",VLOOKUP(9^99,FILTER({ROW(P$2:P410),P$2:P410},D$2:D410=D411),2),(VLOOKUP(9^99,FILTER({ROW(P$2:P410),P$2:P410},D$2:D410=D411),2)*VLOOKUP(9^99,FILTER({ROW(O$2:O410),O$2:O410},D$2:D410=D411),2)-N411)/O411),J411))"),"")</f>
        <v/>
      </c>
      <c r="Q411" s="264" t="str">
        <f>IFERROR(__xludf.DUMMYFUNCTION("IFERROR(IF(F411=""Crypto"",B411,(IF(ISBLANK(D411),"""",IF(D411=""Cash"",B411,IF(GOOGLEFINANCE(D411,""CURRENCY"")=""GBX"",""GBP"",GOOGLEFINANCE(D411,""CURRENCY"")))))),B411)"),"")</f>
        <v/>
      </c>
      <c r="R411" s="263" t="str">
        <f>IFERROR(__xludf.DUMMYFUNCTION("IF(ISBLANK(A411),"""",IFERROR(IF(OR(Q411=""GPB"",Q411=""ZAR""),IF(Q411=Dashboard!$L$1,K411,(K411*GOOGLEFINANCE(""CURRENCY:""&amp;Q411&amp;""""&amp;Dashboard!$L$1&amp;""""))/100),IF(Q411=Dashboard!$L$1,K411,K411*GOOGLEFINANCE(""CURRENCY:""&amp;Q411&amp;""""&amp;Dashboard!$L$1&amp;"""")))"&amp;",K411))"),"")</f>
        <v/>
      </c>
      <c r="S411" s="266" t="str">
        <f>IFERROR(__xludf.DUMMYFUNCTION("IF(ISBLANK(A411),"""",IFERROR(IF(OR(Q411=""GPB"",Q411=""ZAR""),IF(Q411=Dashboard!$L$1,M411,(M411*GOOGLEFINANCE(""CURRENCY:""&amp;Q411&amp;""""&amp;Dashboard!$L$1&amp;""""))/100),IF(Q411=Dashboard!$L$1,M411,M411*GOOGLEFINANCE(""CURRENCY:""&amp;Q411&amp;""""&amp;Dashboard!$L$1&amp;"""")))"&amp;",M411))"),"")</f>
        <v/>
      </c>
      <c r="T411" s="264" t="str">
        <f t="shared" si="4"/>
        <v/>
      </c>
      <c r="U411" s="264" t="str">
        <f t="shared" si="5"/>
        <v/>
      </c>
      <c r="V411" s="264" t="str">
        <f t="shared" si="6"/>
        <v/>
      </c>
      <c r="W411" s="267" t="str">
        <f t="shared" si="8"/>
        <v/>
      </c>
      <c r="X411" s="264" t="str">
        <f t="shared" si="7"/>
        <v/>
      </c>
    </row>
    <row r="412" ht="15.75" customHeight="1">
      <c r="A412" s="258"/>
      <c r="B412" s="258"/>
      <c r="C412" s="269"/>
      <c r="D412" s="258"/>
      <c r="E412" s="258"/>
      <c r="F412" s="258"/>
      <c r="G412" s="258"/>
      <c r="H412" s="271"/>
      <c r="I412" s="258"/>
      <c r="J412" s="272"/>
      <c r="K412" s="260"/>
      <c r="L412" s="261"/>
      <c r="M412" s="262" t="str">
        <f t="shared" si="1"/>
        <v/>
      </c>
      <c r="N412" s="263" t="str">
        <f t="shared" si="2"/>
        <v/>
      </c>
      <c r="O412" s="264" t="str">
        <f t="shared" si="3"/>
        <v/>
      </c>
      <c r="P412" s="265" t="str">
        <f>IFERROR(__xludf.DUMMYFUNCTION("IF(ISBLANK(A412),"""",IFERROR(IF(H412=""Sell"",VLOOKUP(9^99,FILTER({ROW(P$2:P411),P$2:P411},D$2:D411=D412),2),(VLOOKUP(9^99,FILTER({ROW(P$2:P411),P$2:P411},D$2:D411=D412),2)*VLOOKUP(9^99,FILTER({ROW(O$2:O411),O$2:O411},D$2:D411=D412),2)-N412)/O412),J412))"),"")</f>
        <v/>
      </c>
      <c r="Q412" s="264" t="str">
        <f>IFERROR(__xludf.DUMMYFUNCTION("IFERROR(IF(F412=""Crypto"",B412,(IF(ISBLANK(D412),"""",IF(D412=""Cash"",B412,IF(GOOGLEFINANCE(D412,""CURRENCY"")=""GBX"",""GBP"",GOOGLEFINANCE(D412,""CURRENCY"")))))),B412)"),"")</f>
        <v/>
      </c>
      <c r="R412" s="263" t="str">
        <f>IFERROR(__xludf.DUMMYFUNCTION("IF(ISBLANK(A412),"""",IFERROR(IF(OR(Q412=""GPB"",Q412=""ZAR""),IF(Q412=Dashboard!$L$1,K412,(K412*GOOGLEFINANCE(""CURRENCY:""&amp;Q412&amp;""""&amp;Dashboard!$L$1&amp;""""))/100),IF(Q412=Dashboard!$L$1,K412,K412*GOOGLEFINANCE(""CURRENCY:""&amp;Q412&amp;""""&amp;Dashboard!$L$1&amp;"""")))"&amp;",K412))"),"")</f>
        <v/>
      </c>
      <c r="S412" s="266" t="str">
        <f>IFERROR(__xludf.DUMMYFUNCTION("IF(ISBLANK(A412),"""",IFERROR(IF(OR(Q412=""GPB"",Q412=""ZAR""),IF(Q412=Dashboard!$L$1,M412,(M412*GOOGLEFINANCE(""CURRENCY:""&amp;Q412&amp;""""&amp;Dashboard!$L$1&amp;""""))/100),IF(Q412=Dashboard!$L$1,M412,M412*GOOGLEFINANCE(""CURRENCY:""&amp;Q412&amp;""""&amp;Dashboard!$L$1&amp;"""")))"&amp;",M412))"),"")</f>
        <v/>
      </c>
      <c r="T412" s="264" t="str">
        <f t="shared" si="4"/>
        <v/>
      </c>
      <c r="U412" s="264" t="str">
        <f t="shared" si="5"/>
        <v/>
      </c>
      <c r="V412" s="264" t="str">
        <f t="shared" si="6"/>
        <v/>
      </c>
      <c r="W412" s="267" t="str">
        <f t="shared" si="8"/>
        <v/>
      </c>
      <c r="X412" s="264" t="str">
        <f t="shared" si="7"/>
        <v/>
      </c>
    </row>
    <row r="413" ht="15.75" customHeight="1">
      <c r="A413" s="258"/>
      <c r="B413" s="258"/>
      <c r="C413" s="269"/>
      <c r="D413" s="258"/>
      <c r="E413" s="258"/>
      <c r="F413" s="258"/>
      <c r="G413" s="258"/>
      <c r="H413" s="271"/>
      <c r="I413" s="258"/>
      <c r="J413" s="272"/>
      <c r="K413" s="260"/>
      <c r="L413" s="261"/>
      <c r="M413" s="262" t="str">
        <f t="shared" si="1"/>
        <v/>
      </c>
      <c r="N413" s="263" t="str">
        <f t="shared" si="2"/>
        <v/>
      </c>
      <c r="O413" s="264" t="str">
        <f t="shared" si="3"/>
        <v/>
      </c>
      <c r="P413" s="265" t="str">
        <f>IFERROR(__xludf.DUMMYFUNCTION("IF(ISBLANK(A413),"""",IFERROR(IF(H413=""Sell"",VLOOKUP(9^99,FILTER({ROW(P$2:P412),P$2:P412},D$2:D412=D413),2),(VLOOKUP(9^99,FILTER({ROW(P$2:P412),P$2:P412},D$2:D412=D413),2)*VLOOKUP(9^99,FILTER({ROW(O$2:O412),O$2:O412},D$2:D412=D413),2)-N413)/O413),J413))"),"")</f>
        <v/>
      </c>
      <c r="Q413" s="264" t="str">
        <f>IFERROR(__xludf.DUMMYFUNCTION("IFERROR(IF(F413=""Crypto"",B413,(IF(ISBLANK(D413),"""",IF(D413=""Cash"",B413,IF(GOOGLEFINANCE(D413,""CURRENCY"")=""GBX"",""GBP"",GOOGLEFINANCE(D413,""CURRENCY"")))))),B413)"),"")</f>
        <v/>
      </c>
      <c r="R413" s="263" t="str">
        <f>IFERROR(__xludf.DUMMYFUNCTION("IF(ISBLANK(A413),"""",IFERROR(IF(OR(Q413=""GPB"",Q413=""ZAR""),IF(Q413=Dashboard!$L$1,K413,(K413*GOOGLEFINANCE(""CURRENCY:""&amp;Q413&amp;""""&amp;Dashboard!$L$1&amp;""""))/100),IF(Q413=Dashboard!$L$1,K413,K413*GOOGLEFINANCE(""CURRENCY:""&amp;Q413&amp;""""&amp;Dashboard!$L$1&amp;"""")))"&amp;",K413))"),"")</f>
        <v/>
      </c>
      <c r="S413" s="266" t="str">
        <f>IFERROR(__xludf.DUMMYFUNCTION("IF(ISBLANK(A413),"""",IFERROR(IF(OR(Q413=""GPB"",Q413=""ZAR""),IF(Q413=Dashboard!$L$1,M413,(M413*GOOGLEFINANCE(""CURRENCY:""&amp;Q413&amp;""""&amp;Dashboard!$L$1&amp;""""))/100),IF(Q413=Dashboard!$L$1,M413,M413*GOOGLEFINANCE(""CURRENCY:""&amp;Q413&amp;""""&amp;Dashboard!$L$1&amp;"""")))"&amp;",M413))"),"")</f>
        <v/>
      </c>
      <c r="T413" s="264" t="str">
        <f t="shared" si="4"/>
        <v/>
      </c>
      <c r="U413" s="264" t="str">
        <f t="shared" si="5"/>
        <v/>
      </c>
      <c r="V413" s="264" t="str">
        <f t="shared" si="6"/>
        <v/>
      </c>
      <c r="W413" s="267" t="str">
        <f t="shared" si="8"/>
        <v/>
      </c>
      <c r="X413" s="264" t="str">
        <f t="shared" si="7"/>
        <v/>
      </c>
    </row>
    <row r="414" ht="15.75" customHeight="1">
      <c r="A414" s="258"/>
      <c r="B414" s="258"/>
      <c r="C414" s="269"/>
      <c r="D414" s="258"/>
      <c r="E414" s="258"/>
      <c r="F414" s="258"/>
      <c r="G414" s="258"/>
      <c r="H414" s="271"/>
      <c r="I414" s="258"/>
      <c r="J414" s="272"/>
      <c r="K414" s="260"/>
      <c r="L414" s="261"/>
      <c r="M414" s="262" t="str">
        <f t="shared" si="1"/>
        <v/>
      </c>
      <c r="N414" s="263" t="str">
        <f t="shared" si="2"/>
        <v/>
      </c>
      <c r="O414" s="264" t="str">
        <f t="shared" si="3"/>
        <v/>
      </c>
      <c r="P414" s="265" t="str">
        <f>IFERROR(__xludf.DUMMYFUNCTION("IF(ISBLANK(A414),"""",IFERROR(IF(H414=""Sell"",VLOOKUP(9^99,FILTER({ROW(P$2:P413),P$2:P413},D$2:D413=D414),2),(VLOOKUP(9^99,FILTER({ROW(P$2:P413),P$2:P413},D$2:D413=D414),2)*VLOOKUP(9^99,FILTER({ROW(O$2:O413),O$2:O413},D$2:D413=D414),2)-N414)/O414),J414))"),"")</f>
        <v/>
      </c>
      <c r="Q414" s="264" t="str">
        <f>IFERROR(__xludf.DUMMYFUNCTION("IFERROR(IF(F414=""Crypto"",B414,(IF(ISBLANK(D414),"""",IF(D414=""Cash"",B414,IF(GOOGLEFINANCE(D414,""CURRENCY"")=""GBX"",""GBP"",GOOGLEFINANCE(D414,""CURRENCY"")))))),B414)"),"")</f>
        <v/>
      </c>
      <c r="R414" s="263" t="str">
        <f>IFERROR(__xludf.DUMMYFUNCTION("IF(ISBLANK(A414),"""",IFERROR(IF(OR(Q414=""GPB"",Q414=""ZAR""),IF(Q414=Dashboard!$L$1,K414,(K414*GOOGLEFINANCE(""CURRENCY:""&amp;Q414&amp;""""&amp;Dashboard!$L$1&amp;""""))/100),IF(Q414=Dashboard!$L$1,K414,K414*GOOGLEFINANCE(""CURRENCY:""&amp;Q414&amp;""""&amp;Dashboard!$L$1&amp;"""")))"&amp;",K414))"),"")</f>
        <v/>
      </c>
      <c r="S414" s="266" t="str">
        <f>IFERROR(__xludf.DUMMYFUNCTION("IF(ISBLANK(A414),"""",IFERROR(IF(OR(Q414=""GPB"",Q414=""ZAR""),IF(Q414=Dashboard!$L$1,M414,(M414*GOOGLEFINANCE(""CURRENCY:""&amp;Q414&amp;""""&amp;Dashboard!$L$1&amp;""""))/100),IF(Q414=Dashboard!$L$1,M414,M414*GOOGLEFINANCE(""CURRENCY:""&amp;Q414&amp;""""&amp;Dashboard!$L$1&amp;"""")))"&amp;",M414))"),"")</f>
        <v/>
      </c>
      <c r="T414" s="264" t="str">
        <f t="shared" si="4"/>
        <v/>
      </c>
      <c r="U414" s="264" t="str">
        <f t="shared" si="5"/>
        <v/>
      </c>
      <c r="V414" s="264" t="str">
        <f t="shared" si="6"/>
        <v/>
      </c>
      <c r="W414" s="267" t="str">
        <f t="shared" si="8"/>
        <v/>
      </c>
      <c r="X414" s="264" t="str">
        <f t="shared" si="7"/>
        <v/>
      </c>
    </row>
    <row r="415" ht="15.75" customHeight="1">
      <c r="A415" s="258"/>
      <c r="B415" s="258"/>
      <c r="C415" s="269"/>
      <c r="D415" s="258"/>
      <c r="E415" s="258"/>
      <c r="F415" s="258"/>
      <c r="G415" s="258"/>
      <c r="H415" s="271"/>
      <c r="I415" s="258"/>
      <c r="J415" s="272"/>
      <c r="K415" s="260"/>
      <c r="L415" s="261"/>
      <c r="M415" s="262" t="str">
        <f t="shared" si="1"/>
        <v/>
      </c>
      <c r="N415" s="263" t="str">
        <f t="shared" si="2"/>
        <v/>
      </c>
      <c r="O415" s="264" t="str">
        <f t="shared" si="3"/>
        <v/>
      </c>
      <c r="P415" s="265" t="str">
        <f>IFERROR(__xludf.DUMMYFUNCTION("IF(ISBLANK(A415),"""",IFERROR(IF(H415=""Sell"",VLOOKUP(9^99,FILTER({ROW(P$2:P414),P$2:P414},D$2:D414=D415),2),(VLOOKUP(9^99,FILTER({ROW(P$2:P414),P$2:P414},D$2:D414=D415),2)*VLOOKUP(9^99,FILTER({ROW(O$2:O414),O$2:O414},D$2:D414=D415),2)-N415)/O415),J415))"),"")</f>
        <v/>
      </c>
      <c r="Q415" s="264" t="str">
        <f>IFERROR(__xludf.DUMMYFUNCTION("IFERROR(IF(F415=""Crypto"",B415,(IF(ISBLANK(D415),"""",IF(D415=""Cash"",B415,IF(GOOGLEFINANCE(D415,""CURRENCY"")=""GBX"",""GBP"",GOOGLEFINANCE(D415,""CURRENCY"")))))),B415)"),"")</f>
        <v/>
      </c>
      <c r="R415" s="263" t="str">
        <f>IFERROR(__xludf.DUMMYFUNCTION("IF(ISBLANK(A415),"""",IFERROR(IF(OR(Q415=""GPB"",Q415=""ZAR""),IF(Q415=Dashboard!$L$1,K415,(K415*GOOGLEFINANCE(""CURRENCY:""&amp;Q415&amp;""""&amp;Dashboard!$L$1&amp;""""))/100),IF(Q415=Dashboard!$L$1,K415,K415*GOOGLEFINANCE(""CURRENCY:""&amp;Q415&amp;""""&amp;Dashboard!$L$1&amp;"""")))"&amp;",K415))"),"")</f>
        <v/>
      </c>
      <c r="S415" s="266" t="str">
        <f>IFERROR(__xludf.DUMMYFUNCTION("IF(ISBLANK(A415),"""",IFERROR(IF(OR(Q415=""GPB"",Q415=""ZAR""),IF(Q415=Dashboard!$L$1,M415,(M415*GOOGLEFINANCE(""CURRENCY:""&amp;Q415&amp;""""&amp;Dashboard!$L$1&amp;""""))/100),IF(Q415=Dashboard!$L$1,M415,M415*GOOGLEFINANCE(""CURRENCY:""&amp;Q415&amp;""""&amp;Dashboard!$L$1&amp;"""")))"&amp;",M415))"),"")</f>
        <v/>
      </c>
      <c r="T415" s="264" t="str">
        <f t="shared" si="4"/>
        <v/>
      </c>
      <c r="U415" s="264" t="str">
        <f t="shared" si="5"/>
        <v/>
      </c>
      <c r="V415" s="264" t="str">
        <f t="shared" si="6"/>
        <v/>
      </c>
      <c r="W415" s="267" t="str">
        <f t="shared" si="8"/>
        <v/>
      </c>
      <c r="X415" s="264" t="str">
        <f t="shared" si="7"/>
        <v/>
      </c>
    </row>
    <row r="416" ht="15.75" customHeight="1">
      <c r="A416" s="258"/>
      <c r="B416" s="258"/>
      <c r="C416" s="269"/>
      <c r="D416" s="258"/>
      <c r="E416" s="258"/>
      <c r="F416" s="258"/>
      <c r="G416" s="258"/>
      <c r="H416" s="271"/>
      <c r="I416" s="258"/>
      <c r="J416" s="272"/>
      <c r="K416" s="260"/>
      <c r="L416" s="261"/>
      <c r="M416" s="262" t="str">
        <f t="shared" si="1"/>
        <v/>
      </c>
      <c r="N416" s="263" t="str">
        <f t="shared" si="2"/>
        <v/>
      </c>
      <c r="O416" s="264" t="str">
        <f t="shared" si="3"/>
        <v/>
      </c>
      <c r="P416" s="265" t="str">
        <f>IFERROR(__xludf.DUMMYFUNCTION("IF(ISBLANK(A416),"""",IFERROR(IF(H416=""Sell"",VLOOKUP(9^99,FILTER({ROW(P$2:P415),P$2:P415},D$2:D415=D416),2),(VLOOKUP(9^99,FILTER({ROW(P$2:P415),P$2:P415},D$2:D415=D416),2)*VLOOKUP(9^99,FILTER({ROW(O$2:O415),O$2:O415},D$2:D415=D416),2)-N416)/O416),J416))"),"")</f>
        <v/>
      </c>
      <c r="Q416" s="264" t="str">
        <f>IFERROR(__xludf.DUMMYFUNCTION("IFERROR(IF(F416=""Crypto"",B416,(IF(ISBLANK(D416),"""",IF(D416=""Cash"",B416,IF(GOOGLEFINANCE(D416,""CURRENCY"")=""GBX"",""GBP"",GOOGLEFINANCE(D416,""CURRENCY"")))))),B416)"),"")</f>
        <v/>
      </c>
      <c r="R416" s="263" t="str">
        <f>IFERROR(__xludf.DUMMYFUNCTION("IF(ISBLANK(A416),"""",IFERROR(IF(OR(Q416=""GPB"",Q416=""ZAR""),IF(Q416=Dashboard!$L$1,K416,(K416*GOOGLEFINANCE(""CURRENCY:""&amp;Q416&amp;""""&amp;Dashboard!$L$1&amp;""""))/100),IF(Q416=Dashboard!$L$1,K416,K416*GOOGLEFINANCE(""CURRENCY:""&amp;Q416&amp;""""&amp;Dashboard!$L$1&amp;"""")))"&amp;",K416))"),"")</f>
        <v/>
      </c>
      <c r="S416" s="266" t="str">
        <f>IFERROR(__xludf.DUMMYFUNCTION("IF(ISBLANK(A416),"""",IFERROR(IF(OR(Q416=""GPB"",Q416=""ZAR""),IF(Q416=Dashboard!$L$1,M416,(M416*GOOGLEFINANCE(""CURRENCY:""&amp;Q416&amp;""""&amp;Dashboard!$L$1&amp;""""))/100),IF(Q416=Dashboard!$L$1,M416,M416*GOOGLEFINANCE(""CURRENCY:""&amp;Q416&amp;""""&amp;Dashboard!$L$1&amp;"""")))"&amp;",M416))"),"")</f>
        <v/>
      </c>
      <c r="T416" s="264" t="str">
        <f t="shared" si="4"/>
        <v/>
      </c>
      <c r="U416" s="264" t="str">
        <f t="shared" si="5"/>
        <v/>
      </c>
      <c r="V416" s="264" t="str">
        <f t="shared" si="6"/>
        <v/>
      </c>
      <c r="W416" s="267" t="str">
        <f t="shared" si="8"/>
        <v/>
      </c>
      <c r="X416" s="264" t="str">
        <f t="shared" si="7"/>
        <v/>
      </c>
    </row>
    <row r="417" ht="15.75" customHeight="1">
      <c r="A417" s="258"/>
      <c r="B417" s="258"/>
      <c r="C417" s="269"/>
      <c r="D417" s="258"/>
      <c r="E417" s="258"/>
      <c r="F417" s="258"/>
      <c r="G417" s="258"/>
      <c r="H417" s="271"/>
      <c r="I417" s="258"/>
      <c r="J417" s="272"/>
      <c r="K417" s="260"/>
      <c r="L417" s="261"/>
      <c r="M417" s="262" t="str">
        <f t="shared" si="1"/>
        <v/>
      </c>
      <c r="N417" s="263" t="str">
        <f t="shared" si="2"/>
        <v/>
      </c>
      <c r="O417" s="264" t="str">
        <f t="shared" si="3"/>
        <v/>
      </c>
      <c r="P417" s="265" t="str">
        <f>IFERROR(__xludf.DUMMYFUNCTION("IF(ISBLANK(A417),"""",IFERROR(IF(H417=""Sell"",VLOOKUP(9^99,FILTER({ROW(P$2:P416),P$2:P416},D$2:D416=D417),2),(VLOOKUP(9^99,FILTER({ROW(P$2:P416),P$2:P416},D$2:D416=D417),2)*VLOOKUP(9^99,FILTER({ROW(O$2:O416),O$2:O416},D$2:D416=D417),2)-N417)/O417),J417))"),"")</f>
        <v/>
      </c>
      <c r="Q417" s="264" t="str">
        <f>IFERROR(__xludf.DUMMYFUNCTION("IFERROR(IF(F417=""Crypto"",B417,(IF(ISBLANK(D417),"""",IF(D417=""Cash"",B417,IF(GOOGLEFINANCE(D417,""CURRENCY"")=""GBX"",""GBP"",GOOGLEFINANCE(D417,""CURRENCY"")))))),B417)"),"")</f>
        <v/>
      </c>
      <c r="R417" s="263" t="str">
        <f>IFERROR(__xludf.DUMMYFUNCTION("IF(ISBLANK(A417),"""",IFERROR(IF(OR(Q417=""GPB"",Q417=""ZAR""),IF(Q417=Dashboard!$L$1,K417,(K417*GOOGLEFINANCE(""CURRENCY:""&amp;Q417&amp;""""&amp;Dashboard!$L$1&amp;""""))/100),IF(Q417=Dashboard!$L$1,K417,K417*GOOGLEFINANCE(""CURRENCY:""&amp;Q417&amp;""""&amp;Dashboard!$L$1&amp;"""")))"&amp;",K417))"),"")</f>
        <v/>
      </c>
      <c r="S417" s="266" t="str">
        <f>IFERROR(__xludf.DUMMYFUNCTION("IF(ISBLANK(A417),"""",IFERROR(IF(OR(Q417=""GPB"",Q417=""ZAR""),IF(Q417=Dashboard!$L$1,M417,(M417*GOOGLEFINANCE(""CURRENCY:""&amp;Q417&amp;""""&amp;Dashboard!$L$1&amp;""""))/100),IF(Q417=Dashboard!$L$1,M417,M417*GOOGLEFINANCE(""CURRENCY:""&amp;Q417&amp;""""&amp;Dashboard!$L$1&amp;"""")))"&amp;",M417))"),"")</f>
        <v/>
      </c>
      <c r="T417" s="264" t="str">
        <f t="shared" si="4"/>
        <v/>
      </c>
      <c r="U417" s="264" t="str">
        <f t="shared" si="5"/>
        <v/>
      </c>
      <c r="V417" s="264" t="str">
        <f t="shared" si="6"/>
        <v/>
      </c>
      <c r="W417" s="267" t="str">
        <f t="shared" si="8"/>
        <v/>
      </c>
      <c r="X417" s="264" t="str">
        <f t="shared" si="7"/>
        <v/>
      </c>
    </row>
    <row r="418" ht="15.75" customHeight="1">
      <c r="A418" s="258"/>
      <c r="B418" s="258"/>
      <c r="C418" s="269"/>
      <c r="D418" s="258"/>
      <c r="E418" s="258"/>
      <c r="F418" s="258"/>
      <c r="G418" s="258"/>
      <c r="H418" s="271"/>
      <c r="I418" s="258"/>
      <c r="J418" s="272"/>
      <c r="K418" s="260"/>
      <c r="L418" s="261"/>
      <c r="M418" s="262" t="str">
        <f t="shared" si="1"/>
        <v/>
      </c>
      <c r="N418" s="263" t="str">
        <f t="shared" si="2"/>
        <v/>
      </c>
      <c r="O418" s="264" t="str">
        <f t="shared" si="3"/>
        <v/>
      </c>
      <c r="P418" s="265" t="str">
        <f>IFERROR(__xludf.DUMMYFUNCTION("IF(ISBLANK(A418),"""",IFERROR(IF(H418=""Sell"",VLOOKUP(9^99,FILTER({ROW(P$2:P417),P$2:P417},D$2:D417=D418),2),(VLOOKUP(9^99,FILTER({ROW(P$2:P417),P$2:P417},D$2:D417=D418),2)*VLOOKUP(9^99,FILTER({ROW(O$2:O417),O$2:O417},D$2:D417=D418),2)-N418)/O418),J418))"),"")</f>
        <v/>
      </c>
      <c r="Q418" s="264" t="str">
        <f>IFERROR(__xludf.DUMMYFUNCTION("IFERROR(IF(F418=""Crypto"",B418,(IF(ISBLANK(D418),"""",IF(D418=""Cash"",B418,IF(GOOGLEFINANCE(D418,""CURRENCY"")=""GBX"",""GBP"",GOOGLEFINANCE(D418,""CURRENCY"")))))),B418)"),"")</f>
        <v/>
      </c>
      <c r="R418" s="263" t="str">
        <f>IFERROR(__xludf.DUMMYFUNCTION("IF(ISBLANK(A418),"""",IFERROR(IF(OR(Q418=""GPB"",Q418=""ZAR""),IF(Q418=Dashboard!$L$1,K418,(K418*GOOGLEFINANCE(""CURRENCY:""&amp;Q418&amp;""""&amp;Dashboard!$L$1&amp;""""))/100),IF(Q418=Dashboard!$L$1,K418,K418*GOOGLEFINANCE(""CURRENCY:""&amp;Q418&amp;""""&amp;Dashboard!$L$1&amp;"""")))"&amp;",K418))"),"")</f>
        <v/>
      </c>
      <c r="S418" s="266" t="str">
        <f>IFERROR(__xludf.DUMMYFUNCTION("IF(ISBLANK(A418),"""",IFERROR(IF(OR(Q418=""GPB"",Q418=""ZAR""),IF(Q418=Dashboard!$L$1,M418,(M418*GOOGLEFINANCE(""CURRENCY:""&amp;Q418&amp;""""&amp;Dashboard!$L$1&amp;""""))/100),IF(Q418=Dashboard!$L$1,M418,M418*GOOGLEFINANCE(""CURRENCY:""&amp;Q418&amp;""""&amp;Dashboard!$L$1&amp;"""")))"&amp;",M418))"),"")</f>
        <v/>
      </c>
      <c r="T418" s="264" t="str">
        <f t="shared" si="4"/>
        <v/>
      </c>
      <c r="U418" s="264" t="str">
        <f t="shared" si="5"/>
        <v/>
      </c>
      <c r="V418" s="264" t="str">
        <f t="shared" si="6"/>
        <v/>
      </c>
      <c r="W418" s="267" t="str">
        <f t="shared" si="8"/>
        <v/>
      </c>
      <c r="X418" s="264" t="str">
        <f t="shared" si="7"/>
        <v/>
      </c>
    </row>
    <row r="419" ht="15.75" customHeight="1">
      <c r="A419" s="258"/>
      <c r="B419" s="258"/>
      <c r="C419" s="269"/>
      <c r="D419" s="258"/>
      <c r="E419" s="258"/>
      <c r="F419" s="258"/>
      <c r="G419" s="258"/>
      <c r="H419" s="271"/>
      <c r="I419" s="258"/>
      <c r="J419" s="272"/>
      <c r="K419" s="260"/>
      <c r="L419" s="261"/>
      <c r="M419" s="262" t="str">
        <f t="shared" si="1"/>
        <v/>
      </c>
      <c r="N419" s="263" t="str">
        <f t="shared" si="2"/>
        <v/>
      </c>
      <c r="O419" s="264" t="str">
        <f t="shared" si="3"/>
        <v/>
      </c>
      <c r="P419" s="265" t="str">
        <f>IFERROR(__xludf.DUMMYFUNCTION("IF(ISBLANK(A419),"""",IFERROR(IF(H419=""Sell"",VLOOKUP(9^99,FILTER({ROW(P$2:P418),P$2:P418},D$2:D418=D419),2),(VLOOKUP(9^99,FILTER({ROW(P$2:P418),P$2:P418},D$2:D418=D419),2)*VLOOKUP(9^99,FILTER({ROW(O$2:O418),O$2:O418},D$2:D418=D419),2)-N419)/O419),J419))"),"")</f>
        <v/>
      </c>
      <c r="Q419" s="264" t="str">
        <f>IFERROR(__xludf.DUMMYFUNCTION("IFERROR(IF(F419=""Crypto"",B419,(IF(ISBLANK(D419),"""",IF(D419=""Cash"",B419,IF(GOOGLEFINANCE(D419,""CURRENCY"")=""GBX"",""GBP"",GOOGLEFINANCE(D419,""CURRENCY"")))))),B419)"),"")</f>
        <v/>
      </c>
      <c r="R419" s="263" t="str">
        <f>IFERROR(__xludf.DUMMYFUNCTION("IF(ISBLANK(A419),"""",IFERROR(IF(OR(Q419=""GPB"",Q419=""ZAR""),IF(Q419=Dashboard!$L$1,K419,(K419*GOOGLEFINANCE(""CURRENCY:""&amp;Q419&amp;""""&amp;Dashboard!$L$1&amp;""""))/100),IF(Q419=Dashboard!$L$1,K419,K419*GOOGLEFINANCE(""CURRENCY:""&amp;Q419&amp;""""&amp;Dashboard!$L$1&amp;"""")))"&amp;",K419))"),"")</f>
        <v/>
      </c>
      <c r="S419" s="266" t="str">
        <f>IFERROR(__xludf.DUMMYFUNCTION("IF(ISBLANK(A419),"""",IFERROR(IF(OR(Q419=""GPB"",Q419=""ZAR""),IF(Q419=Dashboard!$L$1,M419,(M419*GOOGLEFINANCE(""CURRENCY:""&amp;Q419&amp;""""&amp;Dashboard!$L$1&amp;""""))/100),IF(Q419=Dashboard!$L$1,M419,M419*GOOGLEFINANCE(""CURRENCY:""&amp;Q419&amp;""""&amp;Dashboard!$L$1&amp;"""")))"&amp;",M419))"),"")</f>
        <v/>
      </c>
      <c r="T419" s="264" t="str">
        <f t="shared" si="4"/>
        <v/>
      </c>
      <c r="U419" s="264" t="str">
        <f t="shared" si="5"/>
        <v/>
      </c>
      <c r="V419" s="264" t="str">
        <f t="shared" si="6"/>
        <v/>
      </c>
      <c r="W419" s="267" t="str">
        <f t="shared" si="8"/>
        <v/>
      </c>
      <c r="X419" s="264" t="str">
        <f t="shared" si="7"/>
        <v/>
      </c>
    </row>
    <row r="420" ht="15.75" customHeight="1">
      <c r="A420" s="258"/>
      <c r="B420" s="258"/>
      <c r="C420" s="269"/>
      <c r="D420" s="258"/>
      <c r="E420" s="258"/>
      <c r="F420" s="258"/>
      <c r="G420" s="258"/>
      <c r="H420" s="271"/>
      <c r="I420" s="258"/>
      <c r="J420" s="272"/>
      <c r="K420" s="260"/>
      <c r="L420" s="261"/>
      <c r="M420" s="262" t="str">
        <f t="shared" si="1"/>
        <v/>
      </c>
      <c r="N420" s="263" t="str">
        <f t="shared" si="2"/>
        <v/>
      </c>
      <c r="O420" s="264" t="str">
        <f t="shared" si="3"/>
        <v/>
      </c>
      <c r="P420" s="265" t="str">
        <f>IFERROR(__xludf.DUMMYFUNCTION("IF(ISBLANK(A420),"""",IFERROR(IF(H420=""Sell"",VLOOKUP(9^99,FILTER({ROW(P$2:P419),P$2:P419},D$2:D419=D420),2),(VLOOKUP(9^99,FILTER({ROW(P$2:P419),P$2:P419},D$2:D419=D420),2)*VLOOKUP(9^99,FILTER({ROW(O$2:O419),O$2:O419},D$2:D419=D420),2)-N420)/O420),J420))"),"")</f>
        <v/>
      </c>
      <c r="Q420" s="264" t="str">
        <f>IFERROR(__xludf.DUMMYFUNCTION("IFERROR(IF(F420=""Crypto"",B420,(IF(ISBLANK(D420),"""",IF(D420=""Cash"",B420,IF(GOOGLEFINANCE(D420,""CURRENCY"")=""GBX"",""GBP"",GOOGLEFINANCE(D420,""CURRENCY"")))))),B420)"),"")</f>
        <v/>
      </c>
      <c r="R420" s="263" t="str">
        <f>IFERROR(__xludf.DUMMYFUNCTION("IF(ISBLANK(A420),"""",IFERROR(IF(OR(Q420=""GPB"",Q420=""ZAR""),IF(Q420=Dashboard!$L$1,K420,(K420*GOOGLEFINANCE(""CURRENCY:""&amp;Q420&amp;""""&amp;Dashboard!$L$1&amp;""""))/100),IF(Q420=Dashboard!$L$1,K420,K420*GOOGLEFINANCE(""CURRENCY:""&amp;Q420&amp;""""&amp;Dashboard!$L$1&amp;"""")))"&amp;",K420))"),"")</f>
        <v/>
      </c>
      <c r="S420" s="266" t="str">
        <f>IFERROR(__xludf.DUMMYFUNCTION("IF(ISBLANK(A420),"""",IFERROR(IF(OR(Q420=""GPB"",Q420=""ZAR""),IF(Q420=Dashboard!$L$1,M420,(M420*GOOGLEFINANCE(""CURRENCY:""&amp;Q420&amp;""""&amp;Dashboard!$L$1&amp;""""))/100),IF(Q420=Dashboard!$L$1,M420,M420*GOOGLEFINANCE(""CURRENCY:""&amp;Q420&amp;""""&amp;Dashboard!$L$1&amp;"""")))"&amp;",M420))"),"")</f>
        <v/>
      </c>
      <c r="T420" s="264" t="str">
        <f t="shared" si="4"/>
        <v/>
      </c>
      <c r="U420" s="264" t="str">
        <f t="shared" si="5"/>
        <v/>
      </c>
      <c r="V420" s="264" t="str">
        <f t="shared" si="6"/>
        <v/>
      </c>
      <c r="W420" s="267" t="str">
        <f t="shared" si="8"/>
        <v/>
      </c>
      <c r="X420" s="264" t="str">
        <f t="shared" si="7"/>
        <v/>
      </c>
    </row>
    <row r="421" ht="15.75" customHeight="1">
      <c r="A421" s="258"/>
      <c r="B421" s="258"/>
      <c r="C421" s="269"/>
      <c r="D421" s="258"/>
      <c r="E421" s="258"/>
      <c r="F421" s="258"/>
      <c r="G421" s="258"/>
      <c r="H421" s="271"/>
      <c r="I421" s="258"/>
      <c r="J421" s="272"/>
      <c r="K421" s="260"/>
      <c r="L421" s="261"/>
      <c r="M421" s="262" t="str">
        <f t="shared" si="1"/>
        <v/>
      </c>
      <c r="N421" s="263" t="str">
        <f t="shared" si="2"/>
        <v/>
      </c>
      <c r="O421" s="264" t="str">
        <f t="shared" si="3"/>
        <v/>
      </c>
      <c r="P421" s="265" t="str">
        <f>IFERROR(__xludf.DUMMYFUNCTION("IF(ISBLANK(A421),"""",IFERROR(IF(H421=""Sell"",VLOOKUP(9^99,FILTER({ROW(P$2:P420),P$2:P420},D$2:D420=D421),2),(VLOOKUP(9^99,FILTER({ROW(P$2:P420),P$2:P420},D$2:D420=D421),2)*VLOOKUP(9^99,FILTER({ROW(O$2:O420),O$2:O420},D$2:D420=D421),2)-N421)/O421),J421))"),"")</f>
        <v/>
      </c>
      <c r="Q421" s="264" t="str">
        <f>IFERROR(__xludf.DUMMYFUNCTION("IFERROR(IF(F421=""Crypto"",B421,(IF(ISBLANK(D421),"""",IF(D421=""Cash"",B421,IF(GOOGLEFINANCE(D421,""CURRENCY"")=""GBX"",""GBP"",GOOGLEFINANCE(D421,""CURRENCY"")))))),B421)"),"")</f>
        <v/>
      </c>
      <c r="R421" s="263" t="str">
        <f>IFERROR(__xludf.DUMMYFUNCTION("IF(ISBLANK(A421),"""",IFERROR(IF(OR(Q421=""GPB"",Q421=""ZAR""),IF(Q421=Dashboard!$L$1,K421,(K421*GOOGLEFINANCE(""CURRENCY:""&amp;Q421&amp;""""&amp;Dashboard!$L$1&amp;""""))/100),IF(Q421=Dashboard!$L$1,K421,K421*GOOGLEFINANCE(""CURRENCY:""&amp;Q421&amp;""""&amp;Dashboard!$L$1&amp;"""")))"&amp;",K421))"),"")</f>
        <v/>
      </c>
      <c r="S421" s="266" t="str">
        <f>IFERROR(__xludf.DUMMYFUNCTION("IF(ISBLANK(A421),"""",IFERROR(IF(OR(Q421=""GPB"",Q421=""ZAR""),IF(Q421=Dashboard!$L$1,M421,(M421*GOOGLEFINANCE(""CURRENCY:""&amp;Q421&amp;""""&amp;Dashboard!$L$1&amp;""""))/100),IF(Q421=Dashboard!$L$1,M421,M421*GOOGLEFINANCE(""CURRENCY:""&amp;Q421&amp;""""&amp;Dashboard!$L$1&amp;"""")))"&amp;",M421))"),"")</f>
        <v/>
      </c>
      <c r="T421" s="264" t="str">
        <f t="shared" si="4"/>
        <v/>
      </c>
      <c r="U421" s="264" t="str">
        <f t="shared" si="5"/>
        <v/>
      </c>
      <c r="V421" s="264" t="str">
        <f t="shared" si="6"/>
        <v/>
      </c>
      <c r="W421" s="267" t="str">
        <f t="shared" si="8"/>
        <v/>
      </c>
      <c r="X421" s="264" t="str">
        <f t="shared" si="7"/>
        <v/>
      </c>
    </row>
    <row r="422" ht="15.75" customHeight="1">
      <c r="A422" s="258"/>
      <c r="B422" s="258"/>
      <c r="C422" s="269"/>
      <c r="D422" s="258"/>
      <c r="E422" s="258"/>
      <c r="F422" s="258"/>
      <c r="G422" s="258"/>
      <c r="H422" s="271"/>
      <c r="I422" s="258"/>
      <c r="J422" s="272"/>
      <c r="K422" s="260"/>
      <c r="L422" s="261"/>
      <c r="M422" s="262" t="str">
        <f t="shared" si="1"/>
        <v/>
      </c>
      <c r="N422" s="263" t="str">
        <f t="shared" si="2"/>
        <v/>
      </c>
      <c r="O422" s="264" t="str">
        <f t="shared" si="3"/>
        <v/>
      </c>
      <c r="P422" s="265" t="str">
        <f>IFERROR(__xludf.DUMMYFUNCTION("IF(ISBLANK(A422),"""",IFERROR(IF(H422=""Sell"",VLOOKUP(9^99,FILTER({ROW(P$2:P421),P$2:P421},D$2:D421=D422),2),(VLOOKUP(9^99,FILTER({ROW(P$2:P421),P$2:P421},D$2:D421=D422),2)*VLOOKUP(9^99,FILTER({ROW(O$2:O421),O$2:O421},D$2:D421=D422),2)-N422)/O422),J422))"),"")</f>
        <v/>
      </c>
      <c r="Q422" s="264" t="str">
        <f>IFERROR(__xludf.DUMMYFUNCTION("IFERROR(IF(F422=""Crypto"",B422,(IF(ISBLANK(D422),"""",IF(D422=""Cash"",B422,IF(GOOGLEFINANCE(D422,""CURRENCY"")=""GBX"",""GBP"",GOOGLEFINANCE(D422,""CURRENCY"")))))),B422)"),"")</f>
        <v/>
      </c>
      <c r="R422" s="263" t="str">
        <f>IFERROR(__xludf.DUMMYFUNCTION("IF(ISBLANK(A422),"""",IFERROR(IF(OR(Q422=""GPB"",Q422=""ZAR""),IF(Q422=Dashboard!$L$1,K422,(K422*GOOGLEFINANCE(""CURRENCY:""&amp;Q422&amp;""""&amp;Dashboard!$L$1&amp;""""))/100),IF(Q422=Dashboard!$L$1,K422,K422*GOOGLEFINANCE(""CURRENCY:""&amp;Q422&amp;""""&amp;Dashboard!$L$1&amp;"""")))"&amp;",K422))"),"")</f>
        <v/>
      </c>
      <c r="S422" s="266" t="str">
        <f>IFERROR(__xludf.DUMMYFUNCTION("IF(ISBLANK(A422),"""",IFERROR(IF(OR(Q422=""GPB"",Q422=""ZAR""),IF(Q422=Dashboard!$L$1,M422,(M422*GOOGLEFINANCE(""CURRENCY:""&amp;Q422&amp;""""&amp;Dashboard!$L$1&amp;""""))/100),IF(Q422=Dashboard!$L$1,M422,M422*GOOGLEFINANCE(""CURRENCY:""&amp;Q422&amp;""""&amp;Dashboard!$L$1&amp;"""")))"&amp;",M422))"),"")</f>
        <v/>
      </c>
      <c r="T422" s="264" t="str">
        <f t="shared" si="4"/>
        <v/>
      </c>
      <c r="U422" s="264" t="str">
        <f t="shared" si="5"/>
        <v/>
      </c>
      <c r="V422" s="264" t="str">
        <f t="shared" si="6"/>
        <v/>
      </c>
      <c r="W422" s="267" t="str">
        <f t="shared" si="8"/>
        <v/>
      </c>
      <c r="X422" s="264" t="str">
        <f t="shared" si="7"/>
        <v/>
      </c>
    </row>
    <row r="423" ht="15.75" customHeight="1">
      <c r="A423" s="258"/>
      <c r="B423" s="258"/>
      <c r="C423" s="269"/>
      <c r="D423" s="258"/>
      <c r="E423" s="258"/>
      <c r="F423" s="258"/>
      <c r="G423" s="258"/>
      <c r="H423" s="271"/>
      <c r="I423" s="258"/>
      <c r="J423" s="272"/>
      <c r="K423" s="260"/>
      <c r="L423" s="261"/>
      <c r="M423" s="262" t="str">
        <f t="shared" si="1"/>
        <v/>
      </c>
      <c r="N423" s="263" t="str">
        <f t="shared" si="2"/>
        <v/>
      </c>
      <c r="O423" s="264" t="str">
        <f t="shared" si="3"/>
        <v/>
      </c>
      <c r="P423" s="265" t="str">
        <f>IFERROR(__xludf.DUMMYFUNCTION("IF(ISBLANK(A423),"""",IFERROR(IF(H423=""Sell"",VLOOKUP(9^99,FILTER({ROW(P$2:P422),P$2:P422},D$2:D422=D423),2),(VLOOKUP(9^99,FILTER({ROW(P$2:P422),P$2:P422},D$2:D422=D423),2)*VLOOKUP(9^99,FILTER({ROW(O$2:O422),O$2:O422},D$2:D422=D423),2)-N423)/O423),J423))"),"")</f>
        <v/>
      </c>
      <c r="Q423" s="264" t="str">
        <f>IFERROR(__xludf.DUMMYFUNCTION("IFERROR(IF(F423=""Crypto"",B423,(IF(ISBLANK(D423),"""",IF(D423=""Cash"",B423,IF(GOOGLEFINANCE(D423,""CURRENCY"")=""GBX"",""GBP"",GOOGLEFINANCE(D423,""CURRENCY"")))))),B423)"),"")</f>
        <v/>
      </c>
      <c r="R423" s="263" t="str">
        <f>IFERROR(__xludf.DUMMYFUNCTION("IF(ISBLANK(A423),"""",IFERROR(IF(OR(Q423=""GPB"",Q423=""ZAR""),IF(Q423=Dashboard!$L$1,K423,(K423*GOOGLEFINANCE(""CURRENCY:""&amp;Q423&amp;""""&amp;Dashboard!$L$1&amp;""""))/100),IF(Q423=Dashboard!$L$1,K423,K423*GOOGLEFINANCE(""CURRENCY:""&amp;Q423&amp;""""&amp;Dashboard!$L$1&amp;"""")))"&amp;",K423))"),"")</f>
        <v/>
      </c>
      <c r="S423" s="266" t="str">
        <f>IFERROR(__xludf.DUMMYFUNCTION("IF(ISBLANK(A423),"""",IFERROR(IF(OR(Q423=""GPB"",Q423=""ZAR""),IF(Q423=Dashboard!$L$1,M423,(M423*GOOGLEFINANCE(""CURRENCY:""&amp;Q423&amp;""""&amp;Dashboard!$L$1&amp;""""))/100),IF(Q423=Dashboard!$L$1,M423,M423*GOOGLEFINANCE(""CURRENCY:""&amp;Q423&amp;""""&amp;Dashboard!$L$1&amp;"""")))"&amp;",M423))"),"")</f>
        <v/>
      </c>
      <c r="T423" s="264" t="str">
        <f t="shared" si="4"/>
        <v/>
      </c>
      <c r="U423" s="264" t="str">
        <f t="shared" si="5"/>
        <v/>
      </c>
      <c r="V423" s="264" t="str">
        <f t="shared" si="6"/>
        <v/>
      </c>
      <c r="W423" s="267" t="str">
        <f t="shared" si="8"/>
        <v/>
      </c>
      <c r="X423" s="264" t="str">
        <f t="shared" si="7"/>
        <v/>
      </c>
    </row>
    <row r="424" ht="15.75" customHeight="1">
      <c r="A424" s="258"/>
      <c r="B424" s="258"/>
      <c r="C424" s="269"/>
      <c r="D424" s="258"/>
      <c r="E424" s="258"/>
      <c r="F424" s="258"/>
      <c r="G424" s="258"/>
      <c r="H424" s="271"/>
      <c r="I424" s="258"/>
      <c r="J424" s="272"/>
      <c r="K424" s="260"/>
      <c r="L424" s="261"/>
      <c r="M424" s="262" t="str">
        <f t="shared" si="1"/>
        <v/>
      </c>
      <c r="N424" s="263" t="str">
        <f t="shared" si="2"/>
        <v/>
      </c>
      <c r="O424" s="264" t="str">
        <f t="shared" si="3"/>
        <v/>
      </c>
      <c r="P424" s="265" t="str">
        <f>IFERROR(__xludf.DUMMYFUNCTION("IF(ISBLANK(A424),"""",IFERROR(IF(H424=""Sell"",VLOOKUP(9^99,FILTER({ROW(P$2:P423),P$2:P423},D$2:D423=D424),2),(VLOOKUP(9^99,FILTER({ROW(P$2:P423),P$2:P423},D$2:D423=D424),2)*VLOOKUP(9^99,FILTER({ROW(O$2:O423),O$2:O423},D$2:D423=D424),2)-N424)/O424),J424))"),"")</f>
        <v/>
      </c>
      <c r="Q424" s="264" t="str">
        <f>IFERROR(__xludf.DUMMYFUNCTION("IFERROR(IF(F424=""Crypto"",B424,(IF(ISBLANK(D424),"""",IF(D424=""Cash"",B424,IF(GOOGLEFINANCE(D424,""CURRENCY"")=""GBX"",""GBP"",GOOGLEFINANCE(D424,""CURRENCY"")))))),B424)"),"")</f>
        <v/>
      </c>
      <c r="R424" s="263" t="str">
        <f>IFERROR(__xludf.DUMMYFUNCTION("IF(ISBLANK(A424),"""",IFERROR(IF(OR(Q424=""GPB"",Q424=""ZAR""),IF(Q424=Dashboard!$L$1,K424,(K424*GOOGLEFINANCE(""CURRENCY:""&amp;Q424&amp;""""&amp;Dashboard!$L$1&amp;""""))/100),IF(Q424=Dashboard!$L$1,K424,K424*GOOGLEFINANCE(""CURRENCY:""&amp;Q424&amp;""""&amp;Dashboard!$L$1&amp;"""")))"&amp;",K424))"),"")</f>
        <v/>
      </c>
      <c r="S424" s="266" t="str">
        <f>IFERROR(__xludf.DUMMYFUNCTION("IF(ISBLANK(A424),"""",IFERROR(IF(OR(Q424=""GPB"",Q424=""ZAR""),IF(Q424=Dashboard!$L$1,M424,(M424*GOOGLEFINANCE(""CURRENCY:""&amp;Q424&amp;""""&amp;Dashboard!$L$1&amp;""""))/100),IF(Q424=Dashboard!$L$1,M424,M424*GOOGLEFINANCE(""CURRENCY:""&amp;Q424&amp;""""&amp;Dashboard!$L$1&amp;"""")))"&amp;",M424))"),"")</f>
        <v/>
      </c>
      <c r="T424" s="264" t="str">
        <f t="shared" si="4"/>
        <v/>
      </c>
      <c r="U424" s="264" t="str">
        <f t="shared" si="5"/>
        <v/>
      </c>
      <c r="V424" s="264" t="str">
        <f t="shared" si="6"/>
        <v/>
      </c>
      <c r="W424" s="267" t="str">
        <f t="shared" si="8"/>
        <v/>
      </c>
      <c r="X424" s="264" t="str">
        <f t="shared" si="7"/>
        <v/>
      </c>
    </row>
    <row r="425" ht="15.75" customHeight="1">
      <c r="A425" s="258"/>
      <c r="B425" s="258"/>
      <c r="C425" s="269"/>
      <c r="D425" s="258"/>
      <c r="E425" s="258"/>
      <c r="F425" s="258"/>
      <c r="G425" s="258"/>
      <c r="H425" s="271"/>
      <c r="I425" s="258"/>
      <c r="J425" s="272"/>
      <c r="K425" s="260"/>
      <c r="L425" s="261"/>
      <c r="M425" s="262" t="str">
        <f t="shared" si="1"/>
        <v/>
      </c>
      <c r="N425" s="263" t="str">
        <f t="shared" si="2"/>
        <v/>
      </c>
      <c r="O425" s="264" t="str">
        <f t="shared" si="3"/>
        <v/>
      </c>
      <c r="P425" s="265" t="str">
        <f>IFERROR(__xludf.DUMMYFUNCTION("IF(ISBLANK(A425),"""",IFERROR(IF(H425=""Sell"",VLOOKUP(9^99,FILTER({ROW(P$2:P424),P$2:P424},D$2:D424=D425),2),(VLOOKUP(9^99,FILTER({ROW(P$2:P424),P$2:P424},D$2:D424=D425),2)*VLOOKUP(9^99,FILTER({ROW(O$2:O424),O$2:O424},D$2:D424=D425),2)-N425)/O425),J425))"),"")</f>
        <v/>
      </c>
      <c r="Q425" s="264" t="str">
        <f>IFERROR(__xludf.DUMMYFUNCTION("IFERROR(IF(F425=""Crypto"",B425,(IF(ISBLANK(D425),"""",IF(D425=""Cash"",B425,IF(GOOGLEFINANCE(D425,""CURRENCY"")=""GBX"",""GBP"",GOOGLEFINANCE(D425,""CURRENCY"")))))),B425)"),"")</f>
        <v/>
      </c>
      <c r="R425" s="263" t="str">
        <f>IFERROR(__xludf.DUMMYFUNCTION("IF(ISBLANK(A425),"""",IFERROR(IF(OR(Q425=""GPB"",Q425=""ZAR""),IF(Q425=Dashboard!$L$1,K425,(K425*GOOGLEFINANCE(""CURRENCY:""&amp;Q425&amp;""""&amp;Dashboard!$L$1&amp;""""))/100),IF(Q425=Dashboard!$L$1,K425,K425*GOOGLEFINANCE(""CURRENCY:""&amp;Q425&amp;""""&amp;Dashboard!$L$1&amp;"""")))"&amp;",K425))"),"")</f>
        <v/>
      </c>
      <c r="S425" s="266" t="str">
        <f>IFERROR(__xludf.DUMMYFUNCTION("IF(ISBLANK(A425),"""",IFERROR(IF(OR(Q425=""GPB"",Q425=""ZAR""),IF(Q425=Dashboard!$L$1,M425,(M425*GOOGLEFINANCE(""CURRENCY:""&amp;Q425&amp;""""&amp;Dashboard!$L$1&amp;""""))/100),IF(Q425=Dashboard!$L$1,M425,M425*GOOGLEFINANCE(""CURRENCY:""&amp;Q425&amp;""""&amp;Dashboard!$L$1&amp;"""")))"&amp;",M425))"),"")</f>
        <v/>
      </c>
      <c r="T425" s="264" t="str">
        <f t="shared" si="4"/>
        <v/>
      </c>
      <c r="U425" s="264" t="str">
        <f t="shared" si="5"/>
        <v/>
      </c>
      <c r="V425" s="264" t="str">
        <f t="shared" si="6"/>
        <v/>
      </c>
      <c r="W425" s="267" t="str">
        <f t="shared" si="8"/>
        <v/>
      </c>
      <c r="X425" s="264" t="str">
        <f t="shared" si="7"/>
        <v/>
      </c>
    </row>
    <row r="426" ht="15.75" customHeight="1">
      <c r="A426" s="258"/>
      <c r="B426" s="258"/>
      <c r="C426" s="269"/>
      <c r="D426" s="258"/>
      <c r="E426" s="258"/>
      <c r="F426" s="258"/>
      <c r="G426" s="258"/>
      <c r="H426" s="271"/>
      <c r="I426" s="258"/>
      <c r="J426" s="272"/>
      <c r="K426" s="260"/>
      <c r="L426" s="261"/>
      <c r="M426" s="262" t="str">
        <f t="shared" si="1"/>
        <v/>
      </c>
      <c r="N426" s="263" t="str">
        <f t="shared" si="2"/>
        <v/>
      </c>
      <c r="O426" s="264" t="str">
        <f t="shared" si="3"/>
        <v/>
      </c>
      <c r="P426" s="265" t="str">
        <f>IFERROR(__xludf.DUMMYFUNCTION("IF(ISBLANK(A426),"""",IFERROR(IF(H426=""Sell"",VLOOKUP(9^99,FILTER({ROW(P$2:P425),P$2:P425},D$2:D425=D426),2),(VLOOKUP(9^99,FILTER({ROW(P$2:P425),P$2:P425},D$2:D425=D426),2)*VLOOKUP(9^99,FILTER({ROW(O$2:O425),O$2:O425},D$2:D425=D426),2)-N426)/O426),J426))"),"")</f>
        <v/>
      </c>
      <c r="Q426" s="264" t="str">
        <f>IFERROR(__xludf.DUMMYFUNCTION("IFERROR(IF(F426=""Crypto"",B426,(IF(ISBLANK(D426),"""",IF(D426=""Cash"",B426,IF(GOOGLEFINANCE(D426,""CURRENCY"")=""GBX"",""GBP"",GOOGLEFINANCE(D426,""CURRENCY"")))))),B426)"),"")</f>
        <v/>
      </c>
      <c r="R426" s="263" t="str">
        <f>IFERROR(__xludf.DUMMYFUNCTION("IF(ISBLANK(A426),"""",IFERROR(IF(OR(Q426=""GPB"",Q426=""ZAR""),IF(Q426=Dashboard!$L$1,K426,(K426*GOOGLEFINANCE(""CURRENCY:""&amp;Q426&amp;""""&amp;Dashboard!$L$1&amp;""""))/100),IF(Q426=Dashboard!$L$1,K426,K426*GOOGLEFINANCE(""CURRENCY:""&amp;Q426&amp;""""&amp;Dashboard!$L$1&amp;"""")))"&amp;",K426))"),"")</f>
        <v/>
      </c>
      <c r="S426" s="266" t="str">
        <f>IFERROR(__xludf.DUMMYFUNCTION("IF(ISBLANK(A426),"""",IFERROR(IF(OR(Q426=""GPB"",Q426=""ZAR""),IF(Q426=Dashboard!$L$1,M426,(M426*GOOGLEFINANCE(""CURRENCY:""&amp;Q426&amp;""""&amp;Dashboard!$L$1&amp;""""))/100),IF(Q426=Dashboard!$L$1,M426,M426*GOOGLEFINANCE(""CURRENCY:""&amp;Q426&amp;""""&amp;Dashboard!$L$1&amp;"""")))"&amp;",M426))"),"")</f>
        <v/>
      </c>
      <c r="T426" s="264" t="str">
        <f t="shared" si="4"/>
        <v/>
      </c>
      <c r="U426" s="264" t="str">
        <f t="shared" si="5"/>
        <v/>
      </c>
      <c r="V426" s="264" t="str">
        <f t="shared" si="6"/>
        <v/>
      </c>
      <c r="W426" s="267" t="str">
        <f t="shared" si="8"/>
        <v/>
      </c>
      <c r="X426" s="264" t="str">
        <f t="shared" si="7"/>
        <v/>
      </c>
    </row>
    <row r="427" ht="15.75" customHeight="1">
      <c r="A427" s="258"/>
      <c r="B427" s="258"/>
      <c r="C427" s="269"/>
      <c r="D427" s="258"/>
      <c r="E427" s="258"/>
      <c r="F427" s="258"/>
      <c r="G427" s="258"/>
      <c r="H427" s="271"/>
      <c r="I427" s="258"/>
      <c r="J427" s="272"/>
      <c r="K427" s="260"/>
      <c r="L427" s="261"/>
      <c r="M427" s="262" t="str">
        <f t="shared" si="1"/>
        <v/>
      </c>
      <c r="N427" s="263" t="str">
        <f t="shared" si="2"/>
        <v/>
      </c>
      <c r="O427" s="264" t="str">
        <f t="shared" si="3"/>
        <v/>
      </c>
      <c r="P427" s="265" t="str">
        <f>IFERROR(__xludf.DUMMYFUNCTION("IF(ISBLANK(A427),"""",IFERROR(IF(H427=""Sell"",VLOOKUP(9^99,FILTER({ROW(P$2:P426),P$2:P426},D$2:D426=D427),2),(VLOOKUP(9^99,FILTER({ROW(P$2:P426),P$2:P426},D$2:D426=D427),2)*VLOOKUP(9^99,FILTER({ROW(O$2:O426),O$2:O426},D$2:D426=D427),2)-N427)/O427),J427))"),"")</f>
        <v/>
      </c>
      <c r="Q427" s="264" t="str">
        <f>IFERROR(__xludf.DUMMYFUNCTION("IFERROR(IF(F427=""Crypto"",B427,(IF(ISBLANK(D427),"""",IF(D427=""Cash"",B427,IF(GOOGLEFINANCE(D427,""CURRENCY"")=""GBX"",""GBP"",GOOGLEFINANCE(D427,""CURRENCY"")))))),B427)"),"")</f>
        <v/>
      </c>
      <c r="R427" s="263" t="str">
        <f>IFERROR(__xludf.DUMMYFUNCTION("IF(ISBLANK(A427),"""",IFERROR(IF(OR(Q427=""GPB"",Q427=""ZAR""),IF(Q427=Dashboard!$L$1,K427,(K427*GOOGLEFINANCE(""CURRENCY:""&amp;Q427&amp;""""&amp;Dashboard!$L$1&amp;""""))/100),IF(Q427=Dashboard!$L$1,K427,K427*GOOGLEFINANCE(""CURRENCY:""&amp;Q427&amp;""""&amp;Dashboard!$L$1&amp;"""")))"&amp;",K427))"),"")</f>
        <v/>
      </c>
      <c r="S427" s="266" t="str">
        <f>IFERROR(__xludf.DUMMYFUNCTION("IF(ISBLANK(A427),"""",IFERROR(IF(OR(Q427=""GPB"",Q427=""ZAR""),IF(Q427=Dashboard!$L$1,M427,(M427*GOOGLEFINANCE(""CURRENCY:""&amp;Q427&amp;""""&amp;Dashboard!$L$1&amp;""""))/100),IF(Q427=Dashboard!$L$1,M427,M427*GOOGLEFINANCE(""CURRENCY:""&amp;Q427&amp;""""&amp;Dashboard!$L$1&amp;"""")))"&amp;",M427))"),"")</f>
        <v/>
      </c>
      <c r="T427" s="264" t="str">
        <f t="shared" si="4"/>
        <v/>
      </c>
      <c r="U427" s="264" t="str">
        <f t="shared" si="5"/>
        <v/>
      </c>
      <c r="V427" s="264" t="str">
        <f t="shared" si="6"/>
        <v/>
      </c>
      <c r="W427" s="267" t="str">
        <f t="shared" si="8"/>
        <v/>
      </c>
      <c r="X427" s="264" t="str">
        <f t="shared" si="7"/>
        <v/>
      </c>
    </row>
    <row r="428" ht="15.75" customHeight="1">
      <c r="A428" s="258"/>
      <c r="B428" s="258"/>
      <c r="C428" s="269"/>
      <c r="D428" s="258"/>
      <c r="E428" s="258"/>
      <c r="F428" s="258"/>
      <c r="G428" s="258"/>
      <c r="H428" s="271"/>
      <c r="I428" s="258"/>
      <c r="J428" s="272"/>
      <c r="K428" s="260"/>
      <c r="L428" s="261"/>
      <c r="M428" s="262" t="str">
        <f t="shared" si="1"/>
        <v/>
      </c>
      <c r="N428" s="263" t="str">
        <f t="shared" si="2"/>
        <v/>
      </c>
      <c r="O428" s="264" t="str">
        <f t="shared" si="3"/>
        <v/>
      </c>
      <c r="P428" s="265" t="str">
        <f>IFERROR(__xludf.DUMMYFUNCTION("IF(ISBLANK(A428),"""",IFERROR(IF(H428=""Sell"",VLOOKUP(9^99,FILTER({ROW(P$2:P427),P$2:P427},D$2:D427=D428),2),(VLOOKUP(9^99,FILTER({ROW(P$2:P427),P$2:P427},D$2:D427=D428),2)*VLOOKUP(9^99,FILTER({ROW(O$2:O427),O$2:O427},D$2:D427=D428),2)-N428)/O428),J428))"),"")</f>
        <v/>
      </c>
      <c r="Q428" s="264" t="str">
        <f>IFERROR(__xludf.DUMMYFUNCTION("IFERROR(IF(F428=""Crypto"",B428,(IF(ISBLANK(D428),"""",IF(D428=""Cash"",B428,IF(GOOGLEFINANCE(D428,""CURRENCY"")=""GBX"",""GBP"",GOOGLEFINANCE(D428,""CURRENCY"")))))),B428)"),"")</f>
        <v/>
      </c>
      <c r="R428" s="263" t="str">
        <f>IFERROR(__xludf.DUMMYFUNCTION("IF(ISBLANK(A428),"""",IFERROR(IF(OR(Q428=""GPB"",Q428=""ZAR""),IF(Q428=Dashboard!$L$1,K428,(K428*GOOGLEFINANCE(""CURRENCY:""&amp;Q428&amp;""""&amp;Dashboard!$L$1&amp;""""))/100),IF(Q428=Dashboard!$L$1,K428,K428*GOOGLEFINANCE(""CURRENCY:""&amp;Q428&amp;""""&amp;Dashboard!$L$1&amp;"""")))"&amp;",K428))"),"")</f>
        <v/>
      </c>
      <c r="S428" s="266" t="str">
        <f>IFERROR(__xludf.DUMMYFUNCTION("IF(ISBLANK(A428),"""",IFERROR(IF(OR(Q428=""GPB"",Q428=""ZAR""),IF(Q428=Dashboard!$L$1,M428,(M428*GOOGLEFINANCE(""CURRENCY:""&amp;Q428&amp;""""&amp;Dashboard!$L$1&amp;""""))/100),IF(Q428=Dashboard!$L$1,M428,M428*GOOGLEFINANCE(""CURRENCY:""&amp;Q428&amp;""""&amp;Dashboard!$L$1&amp;"""")))"&amp;",M428))"),"")</f>
        <v/>
      </c>
      <c r="T428" s="264" t="str">
        <f t="shared" si="4"/>
        <v/>
      </c>
      <c r="U428" s="264" t="str">
        <f t="shared" si="5"/>
        <v/>
      </c>
      <c r="V428" s="264" t="str">
        <f t="shared" si="6"/>
        <v/>
      </c>
      <c r="W428" s="267" t="str">
        <f t="shared" si="8"/>
        <v/>
      </c>
      <c r="X428" s="264" t="str">
        <f t="shared" si="7"/>
        <v/>
      </c>
    </row>
    <row r="429" ht="15.75" customHeight="1">
      <c r="A429" s="258"/>
      <c r="B429" s="258"/>
      <c r="C429" s="269"/>
      <c r="D429" s="258"/>
      <c r="E429" s="258"/>
      <c r="F429" s="258"/>
      <c r="G429" s="258"/>
      <c r="H429" s="271"/>
      <c r="I429" s="258"/>
      <c r="J429" s="272"/>
      <c r="K429" s="260"/>
      <c r="L429" s="261"/>
      <c r="M429" s="262" t="str">
        <f t="shared" si="1"/>
        <v/>
      </c>
      <c r="N429" s="263" t="str">
        <f t="shared" si="2"/>
        <v/>
      </c>
      <c r="O429" s="264" t="str">
        <f t="shared" si="3"/>
        <v/>
      </c>
      <c r="P429" s="265" t="str">
        <f>IFERROR(__xludf.DUMMYFUNCTION("IF(ISBLANK(A429),"""",IFERROR(IF(H429=""Sell"",VLOOKUP(9^99,FILTER({ROW(P$2:P428),P$2:P428},D$2:D428=D429),2),(VLOOKUP(9^99,FILTER({ROW(P$2:P428),P$2:P428},D$2:D428=D429),2)*VLOOKUP(9^99,FILTER({ROW(O$2:O428),O$2:O428},D$2:D428=D429),2)-N429)/O429),J429))"),"")</f>
        <v/>
      </c>
      <c r="Q429" s="264" t="str">
        <f>IFERROR(__xludf.DUMMYFUNCTION("IFERROR(IF(F429=""Crypto"",B429,(IF(ISBLANK(D429),"""",IF(D429=""Cash"",B429,IF(GOOGLEFINANCE(D429,""CURRENCY"")=""GBX"",""GBP"",GOOGLEFINANCE(D429,""CURRENCY"")))))),B429)"),"")</f>
        <v/>
      </c>
      <c r="R429" s="263" t="str">
        <f>IFERROR(__xludf.DUMMYFUNCTION("IF(ISBLANK(A429),"""",IFERROR(IF(OR(Q429=""GPB"",Q429=""ZAR""),IF(Q429=Dashboard!$L$1,K429,(K429*GOOGLEFINANCE(""CURRENCY:""&amp;Q429&amp;""""&amp;Dashboard!$L$1&amp;""""))/100),IF(Q429=Dashboard!$L$1,K429,K429*GOOGLEFINANCE(""CURRENCY:""&amp;Q429&amp;""""&amp;Dashboard!$L$1&amp;"""")))"&amp;",K429))"),"")</f>
        <v/>
      </c>
      <c r="S429" s="266" t="str">
        <f>IFERROR(__xludf.DUMMYFUNCTION("IF(ISBLANK(A429),"""",IFERROR(IF(OR(Q429=""GPB"",Q429=""ZAR""),IF(Q429=Dashboard!$L$1,M429,(M429*GOOGLEFINANCE(""CURRENCY:""&amp;Q429&amp;""""&amp;Dashboard!$L$1&amp;""""))/100),IF(Q429=Dashboard!$L$1,M429,M429*GOOGLEFINANCE(""CURRENCY:""&amp;Q429&amp;""""&amp;Dashboard!$L$1&amp;"""")))"&amp;",M429))"),"")</f>
        <v/>
      </c>
      <c r="T429" s="264" t="str">
        <f t="shared" si="4"/>
        <v/>
      </c>
      <c r="U429" s="264" t="str">
        <f t="shared" si="5"/>
        <v/>
      </c>
      <c r="V429" s="264" t="str">
        <f t="shared" si="6"/>
        <v/>
      </c>
      <c r="W429" s="267" t="str">
        <f t="shared" si="8"/>
        <v/>
      </c>
      <c r="X429" s="264" t="str">
        <f t="shared" si="7"/>
        <v/>
      </c>
    </row>
    <row r="430" ht="15.75" customHeight="1">
      <c r="A430" s="258"/>
      <c r="B430" s="258"/>
      <c r="C430" s="269"/>
      <c r="D430" s="258"/>
      <c r="E430" s="258"/>
      <c r="F430" s="258"/>
      <c r="G430" s="258"/>
      <c r="H430" s="271"/>
      <c r="I430" s="258"/>
      <c r="J430" s="272"/>
      <c r="K430" s="260"/>
      <c r="L430" s="261"/>
      <c r="M430" s="262" t="str">
        <f t="shared" si="1"/>
        <v/>
      </c>
      <c r="N430" s="263" t="str">
        <f t="shared" si="2"/>
        <v/>
      </c>
      <c r="O430" s="264" t="str">
        <f t="shared" si="3"/>
        <v/>
      </c>
      <c r="P430" s="265" t="str">
        <f>IFERROR(__xludf.DUMMYFUNCTION("IF(ISBLANK(A430),"""",IFERROR(IF(H430=""Sell"",VLOOKUP(9^99,FILTER({ROW(P$2:P429),P$2:P429},D$2:D429=D430),2),(VLOOKUP(9^99,FILTER({ROW(P$2:P429),P$2:P429},D$2:D429=D430),2)*VLOOKUP(9^99,FILTER({ROW(O$2:O429),O$2:O429},D$2:D429=D430),2)-N430)/O430),J430))"),"")</f>
        <v/>
      </c>
      <c r="Q430" s="264" t="str">
        <f>IFERROR(__xludf.DUMMYFUNCTION("IFERROR(IF(F430=""Crypto"",B430,(IF(ISBLANK(D430),"""",IF(D430=""Cash"",B430,IF(GOOGLEFINANCE(D430,""CURRENCY"")=""GBX"",""GBP"",GOOGLEFINANCE(D430,""CURRENCY"")))))),B430)"),"")</f>
        <v/>
      </c>
      <c r="R430" s="263" t="str">
        <f>IFERROR(__xludf.DUMMYFUNCTION("IF(ISBLANK(A430),"""",IFERROR(IF(OR(Q430=""GPB"",Q430=""ZAR""),IF(Q430=Dashboard!$L$1,K430,(K430*GOOGLEFINANCE(""CURRENCY:""&amp;Q430&amp;""""&amp;Dashboard!$L$1&amp;""""))/100),IF(Q430=Dashboard!$L$1,K430,K430*GOOGLEFINANCE(""CURRENCY:""&amp;Q430&amp;""""&amp;Dashboard!$L$1&amp;"""")))"&amp;",K430))"),"")</f>
        <v/>
      </c>
      <c r="S430" s="266" t="str">
        <f>IFERROR(__xludf.DUMMYFUNCTION("IF(ISBLANK(A430),"""",IFERROR(IF(OR(Q430=""GPB"",Q430=""ZAR""),IF(Q430=Dashboard!$L$1,M430,(M430*GOOGLEFINANCE(""CURRENCY:""&amp;Q430&amp;""""&amp;Dashboard!$L$1&amp;""""))/100),IF(Q430=Dashboard!$L$1,M430,M430*GOOGLEFINANCE(""CURRENCY:""&amp;Q430&amp;""""&amp;Dashboard!$L$1&amp;"""")))"&amp;",M430))"),"")</f>
        <v/>
      </c>
      <c r="T430" s="264" t="str">
        <f t="shared" si="4"/>
        <v/>
      </c>
      <c r="U430" s="264" t="str">
        <f t="shared" si="5"/>
        <v/>
      </c>
      <c r="V430" s="264" t="str">
        <f t="shared" si="6"/>
        <v/>
      </c>
      <c r="W430" s="267" t="str">
        <f t="shared" si="8"/>
        <v/>
      </c>
      <c r="X430" s="264" t="str">
        <f t="shared" si="7"/>
        <v/>
      </c>
    </row>
    <row r="431" ht="15.75" customHeight="1">
      <c r="A431" s="258"/>
      <c r="B431" s="258"/>
      <c r="C431" s="269"/>
      <c r="D431" s="258"/>
      <c r="E431" s="258"/>
      <c r="F431" s="258"/>
      <c r="G431" s="258"/>
      <c r="H431" s="271"/>
      <c r="I431" s="258"/>
      <c r="J431" s="272"/>
      <c r="K431" s="260"/>
      <c r="L431" s="261"/>
      <c r="M431" s="262" t="str">
        <f t="shared" si="1"/>
        <v/>
      </c>
      <c r="N431" s="263" t="str">
        <f t="shared" si="2"/>
        <v/>
      </c>
      <c r="O431" s="264" t="str">
        <f t="shared" si="3"/>
        <v/>
      </c>
      <c r="P431" s="265" t="str">
        <f>IFERROR(__xludf.DUMMYFUNCTION("IF(ISBLANK(A431),"""",IFERROR(IF(H431=""Sell"",VLOOKUP(9^99,FILTER({ROW(P$2:P430),P$2:P430},D$2:D430=D431),2),(VLOOKUP(9^99,FILTER({ROW(P$2:P430),P$2:P430},D$2:D430=D431),2)*VLOOKUP(9^99,FILTER({ROW(O$2:O430),O$2:O430},D$2:D430=D431),2)-N431)/O431),J431))"),"")</f>
        <v/>
      </c>
      <c r="Q431" s="264" t="str">
        <f>IFERROR(__xludf.DUMMYFUNCTION("IFERROR(IF(F431=""Crypto"",B431,(IF(ISBLANK(D431),"""",IF(D431=""Cash"",B431,IF(GOOGLEFINANCE(D431,""CURRENCY"")=""GBX"",""GBP"",GOOGLEFINANCE(D431,""CURRENCY"")))))),B431)"),"")</f>
        <v/>
      </c>
      <c r="R431" s="263" t="str">
        <f>IFERROR(__xludf.DUMMYFUNCTION("IF(ISBLANK(A431),"""",IFERROR(IF(OR(Q431=""GPB"",Q431=""ZAR""),IF(Q431=Dashboard!$L$1,K431,(K431*GOOGLEFINANCE(""CURRENCY:""&amp;Q431&amp;""""&amp;Dashboard!$L$1&amp;""""))/100),IF(Q431=Dashboard!$L$1,K431,K431*GOOGLEFINANCE(""CURRENCY:""&amp;Q431&amp;""""&amp;Dashboard!$L$1&amp;"""")))"&amp;",K431))"),"")</f>
        <v/>
      </c>
      <c r="S431" s="266" t="str">
        <f>IFERROR(__xludf.DUMMYFUNCTION("IF(ISBLANK(A431),"""",IFERROR(IF(OR(Q431=""GPB"",Q431=""ZAR""),IF(Q431=Dashboard!$L$1,M431,(M431*GOOGLEFINANCE(""CURRENCY:""&amp;Q431&amp;""""&amp;Dashboard!$L$1&amp;""""))/100),IF(Q431=Dashboard!$L$1,M431,M431*GOOGLEFINANCE(""CURRENCY:""&amp;Q431&amp;""""&amp;Dashboard!$L$1&amp;"""")))"&amp;",M431))"),"")</f>
        <v/>
      </c>
      <c r="T431" s="264" t="str">
        <f t="shared" si="4"/>
        <v/>
      </c>
      <c r="U431" s="264" t="str">
        <f t="shared" si="5"/>
        <v/>
      </c>
      <c r="V431" s="264" t="str">
        <f t="shared" si="6"/>
        <v/>
      </c>
      <c r="W431" s="267" t="str">
        <f t="shared" si="8"/>
        <v/>
      </c>
      <c r="X431" s="264" t="str">
        <f t="shared" si="7"/>
        <v/>
      </c>
    </row>
    <row r="432" ht="15.75" customHeight="1">
      <c r="A432" s="258"/>
      <c r="B432" s="258"/>
      <c r="C432" s="269"/>
      <c r="D432" s="258"/>
      <c r="E432" s="258"/>
      <c r="F432" s="258"/>
      <c r="G432" s="258"/>
      <c r="H432" s="271"/>
      <c r="I432" s="258"/>
      <c r="J432" s="272"/>
      <c r="K432" s="260"/>
      <c r="L432" s="261"/>
      <c r="M432" s="262" t="str">
        <f t="shared" si="1"/>
        <v/>
      </c>
      <c r="N432" s="263" t="str">
        <f t="shared" si="2"/>
        <v/>
      </c>
      <c r="O432" s="264" t="str">
        <f t="shared" si="3"/>
        <v/>
      </c>
      <c r="P432" s="265" t="str">
        <f>IFERROR(__xludf.DUMMYFUNCTION("IF(ISBLANK(A432),"""",IFERROR(IF(H432=""Sell"",VLOOKUP(9^99,FILTER({ROW(P$2:P431),P$2:P431},D$2:D431=D432),2),(VLOOKUP(9^99,FILTER({ROW(P$2:P431),P$2:P431},D$2:D431=D432),2)*VLOOKUP(9^99,FILTER({ROW(O$2:O431),O$2:O431},D$2:D431=D432),2)-N432)/O432),J432))"),"")</f>
        <v/>
      </c>
      <c r="Q432" s="264" t="str">
        <f>IFERROR(__xludf.DUMMYFUNCTION("IFERROR(IF(F432=""Crypto"",B432,(IF(ISBLANK(D432),"""",IF(D432=""Cash"",B432,IF(GOOGLEFINANCE(D432,""CURRENCY"")=""GBX"",""GBP"",GOOGLEFINANCE(D432,""CURRENCY"")))))),B432)"),"")</f>
        <v/>
      </c>
      <c r="R432" s="263" t="str">
        <f>IFERROR(__xludf.DUMMYFUNCTION("IF(ISBLANK(A432),"""",IFERROR(IF(OR(Q432=""GPB"",Q432=""ZAR""),IF(Q432=Dashboard!$L$1,K432,(K432*GOOGLEFINANCE(""CURRENCY:""&amp;Q432&amp;""""&amp;Dashboard!$L$1&amp;""""))/100),IF(Q432=Dashboard!$L$1,K432,K432*GOOGLEFINANCE(""CURRENCY:""&amp;Q432&amp;""""&amp;Dashboard!$L$1&amp;"""")))"&amp;",K432))"),"")</f>
        <v/>
      </c>
      <c r="S432" s="266" t="str">
        <f>IFERROR(__xludf.DUMMYFUNCTION("IF(ISBLANK(A432),"""",IFERROR(IF(OR(Q432=""GPB"",Q432=""ZAR""),IF(Q432=Dashboard!$L$1,M432,(M432*GOOGLEFINANCE(""CURRENCY:""&amp;Q432&amp;""""&amp;Dashboard!$L$1&amp;""""))/100),IF(Q432=Dashboard!$L$1,M432,M432*GOOGLEFINANCE(""CURRENCY:""&amp;Q432&amp;""""&amp;Dashboard!$L$1&amp;"""")))"&amp;",M432))"),"")</f>
        <v/>
      </c>
      <c r="T432" s="264" t="str">
        <f t="shared" si="4"/>
        <v/>
      </c>
      <c r="U432" s="264" t="str">
        <f t="shared" si="5"/>
        <v/>
      </c>
      <c r="V432" s="264" t="str">
        <f t="shared" si="6"/>
        <v/>
      </c>
      <c r="W432" s="267" t="str">
        <f t="shared" si="8"/>
        <v/>
      </c>
      <c r="X432" s="264" t="str">
        <f t="shared" si="7"/>
        <v/>
      </c>
    </row>
    <row r="433" ht="15.75" customHeight="1">
      <c r="A433" s="258"/>
      <c r="B433" s="258"/>
      <c r="C433" s="269"/>
      <c r="D433" s="258"/>
      <c r="E433" s="258"/>
      <c r="F433" s="258"/>
      <c r="G433" s="258"/>
      <c r="H433" s="271"/>
      <c r="I433" s="258"/>
      <c r="J433" s="272"/>
      <c r="K433" s="260"/>
      <c r="L433" s="261"/>
      <c r="M433" s="262" t="str">
        <f t="shared" si="1"/>
        <v/>
      </c>
      <c r="N433" s="263" t="str">
        <f t="shared" si="2"/>
        <v/>
      </c>
      <c r="O433" s="264" t="str">
        <f t="shared" si="3"/>
        <v/>
      </c>
      <c r="P433" s="265" t="str">
        <f>IFERROR(__xludf.DUMMYFUNCTION("IF(ISBLANK(A433),"""",IFERROR(IF(H433=""Sell"",VLOOKUP(9^99,FILTER({ROW(P$2:P432),P$2:P432},D$2:D432=D433),2),(VLOOKUP(9^99,FILTER({ROW(P$2:P432),P$2:P432},D$2:D432=D433),2)*VLOOKUP(9^99,FILTER({ROW(O$2:O432),O$2:O432},D$2:D432=D433),2)-N433)/O433),J433))"),"")</f>
        <v/>
      </c>
      <c r="Q433" s="264" t="str">
        <f>IFERROR(__xludf.DUMMYFUNCTION("IFERROR(IF(F433=""Crypto"",B433,(IF(ISBLANK(D433),"""",IF(D433=""Cash"",B433,IF(GOOGLEFINANCE(D433,""CURRENCY"")=""GBX"",""GBP"",GOOGLEFINANCE(D433,""CURRENCY"")))))),B433)"),"")</f>
        <v/>
      </c>
      <c r="R433" s="263" t="str">
        <f>IFERROR(__xludf.DUMMYFUNCTION("IF(ISBLANK(A433),"""",IFERROR(IF(OR(Q433=""GPB"",Q433=""ZAR""),IF(Q433=Dashboard!$L$1,K433,(K433*GOOGLEFINANCE(""CURRENCY:""&amp;Q433&amp;""""&amp;Dashboard!$L$1&amp;""""))/100),IF(Q433=Dashboard!$L$1,K433,K433*GOOGLEFINANCE(""CURRENCY:""&amp;Q433&amp;""""&amp;Dashboard!$L$1&amp;"""")))"&amp;",K433))"),"")</f>
        <v/>
      </c>
      <c r="S433" s="266" t="str">
        <f>IFERROR(__xludf.DUMMYFUNCTION("IF(ISBLANK(A433),"""",IFERROR(IF(OR(Q433=""GPB"",Q433=""ZAR""),IF(Q433=Dashboard!$L$1,M433,(M433*GOOGLEFINANCE(""CURRENCY:""&amp;Q433&amp;""""&amp;Dashboard!$L$1&amp;""""))/100),IF(Q433=Dashboard!$L$1,M433,M433*GOOGLEFINANCE(""CURRENCY:""&amp;Q433&amp;""""&amp;Dashboard!$L$1&amp;"""")))"&amp;",M433))"),"")</f>
        <v/>
      </c>
      <c r="T433" s="264" t="str">
        <f t="shared" si="4"/>
        <v/>
      </c>
      <c r="U433" s="264" t="str">
        <f t="shared" si="5"/>
        <v/>
      </c>
      <c r="V433" s="264" t="str">
        <f t="shared" si="6"/>
        <v/>
      </c>
      <c r="W433" s="267" t="str">
        <f t="shared" si="8"/>
        <v/>
      </c>
      <c r="X433" s="264" t="str">
        <f t="shared" si="7"/>
        <v/>
      </c>
    </row>
    <row r="434" ht="15.75" customHeight="1">
      <c r="A434" s="258"/>
      <c r="B434" s="258"/>
      <c r="C434" s="269"/>
      <c r="D434" s="258"/>
      <c r="E434" s="258"/>
      <c r="F434" s="258"/>
      <c r="G434" s="258"/>
      <c r="H434" s="271"/>
      <c r="I434" s="258"/>
      <c r="J434" s="272"/>
      <c r="K434" s="260"/>
      <c r="L434" s="261"/>
      <c r="M434" s="262" t="str">
        <f t="shared" si="1"/>
        <v/>
      </c>
      <c r="N434" s="263" t="str">
        <f t="shared" si="2"/>
        <v/>
      </c>
      <c r="O434" s="264" t="str">
        <f t="shared" si="3"/>
        <v/>
      </c>
      <c r="P434" s="265" t="str">
        <f>IFERROR(__xludf.DUMMYFUNCTION("IF(ISBLANK(A434),"""",IFERROR(IF(H434=""Sell"",VLOOKUP(9^99,FILTER({ROW(P$2:P433),P$2:P433},D$2:D433=D434),2),(VLOOKUP(9^99,FILTER({ROW(P$2:P433),P$2:P433},D$2:D433=D434),2)*VLOOKUP(9^99,FILTER({ROW(O$2:O433),O$2:O433},D$2:D433=D434),2)-N434)/O434),J434))"),"")</f>
        <v/>
      </c>
      <c r="Q434" s="264" t="str">
        <f>IFERROR(__xludf.DUMMYFUNCTION("IFERROR(IF(F434=""Crypto"",B434,(IF(ISBLANK(D434),"""",IF(D434=""Cash"",B434,IF(GOOGLEFINANCE(D434,""CURRENCY"")=""GBX"",""GBP"",GOOGLEFINANCE(D434,""CURRENCY"")))))),B434)"),"")</f>
        <v/>
      </c>
      <c r="R434" s="263" t="str">
        <f>IFERROR(__xludf.DUMMYFUNCTION("IF(ISBLANK(A434),"""",IFERROR(IF(OR(Q434=""GPB"",Q434=""ZAR""),IF(Q434=Dashboard!$L$1,K434,(K434*GOOGLEFINANCE(""CURRENCY:""&amp;Q434&amp;""""&amp;Dashboard!$L$1&amp;""""))/100),IF(Q434=Dashboard!$L$1,K434,K434*GOOGLEFINANCE(""CURRENCY:""&amp;Q434&amp;""""&amp;Dashboard!$L$1&amp;"""")))"&amp;",K434))"),"")</f>
        <v/>
      </c>
      <c r="S434" s="266" t="str">
        <f>IFERROR(__xludf.DUMMYFUNCTION("IF(ISBLANK(A434),"""",IFERROR(IF(OR(Q434=""GPB"",Q434=""ZAR""),IF(Q434=Dashboard!$L$1,M434,(M434*GOOGLEFINANCE(""CURRENCY:""&amp;Q434&amp;""""&amp;Dashboard!$L$1&amp;""""))/100),IF(Q434=Dashboard!$L$1,M434,M434*GOOGLEFINANCE(""CURRENCY:""&amp;Q434&amp;""""&amp;Dashboard!$L$1&amp;"""")))"&amp;",M434))"),"")</f>
        <v/>
      </c>
      <c r="T434" s="264" t="str">
        <f t="shared" si="4"/>
        <v/>
      </c>
      <c r="U434" s="264" t="str">
        <f t="shared" si="5"/>
        <v/>
      </c>
      <c r="V434" s="264" t="str">
        <f t="shared" si="6"/>
        <v/>
      </c>
      <c r="W434" s="267" t="str">
        <f t="shared" si="8"/>
        <v/>
      </c>
      <c r="X434" s="264" t="str">
        <f t="shared" si="7"/>
        <v/>
      </c>
    </row>
    <row r="435" ht="15.75" customHeight="1">
      <c r="A435" s="258"/>
      <c r="B435" s="258"/>
      <c r="C435" s="269"/>
      <c r="D435" s="258"/>
      <c r="E435" s="258"/>
      <c r="F435" s="258"/>
      <c r="G435" s="258"/>
      <c r="H435" s="271"/>
      <c r="I435" s="258"/>
      <c r="J435" s="272"/>
      <c r="K435" s="260"/>
      <c r="L435" s="261"/>
      <c r="M435" s="262" t="str">
        <f t="shared" si="1"/>
        <v/>
      </c>
      <c r="N435" s="263" t="str">
        <f t="shared" si="2"/>
        <v/>
      </c>
      <c r="O435" s="264" t="str">
        <f t="shared" si="3"/>
        <v/>
      </c>
      <c r="P435" s="265" t="str">
        <f>IFERROR(__xludf.DUMMYFUNCTION("IF(ISBLANK(A435),"""",IFERROR(IF(H435=""Sell"",VLOOKUP(9^99,FILTER({ROW(P$2:P434),P$2:P434},D$2:D434=D435),2),(VLOOKUP(9^99,FILTER({ROW(P$2:P434),P$2:P434},D$2:D434=D435),2)*VLOOKUP(9^99,FILTER({ROW(O$2:O434),O$2:O434},D$2:D434=D435),2)-N435)/O435),J435))"),"")</f>
        <v/>
      </c>
      <c r="Q435" s="264" t="str">
        <f>IFERROR(__xludf.DUMMYFUNCTION("IFERROR(IF(F435=""Crypto"",B435,(IF(ISBLANK(D435),"""",IF(D435=""Cash"",B435,IF(GOOGLEFINANCE(D435,""CURRENCY"")=""GBX"",""GBP"",GOOGLEFINANCE(D435,""CURRENCY"")))))),B435)"),"")</f>
        <v/>
      </c>
      <c r="R435" s="263" t="str">
        <f>IFERROR(__xludf.DUMMYFUNCTION("IF(ISBLANK(A435),"""",IFERROR(IF(OR(Q435=""GPB"",Q435=""ZAR""),IF(Q435=Dashboard!$L$1,K435,(K435*GOOGLEFINANCE(""CURRENCY:""&amp;Q435&amp;""""&amp;Dashboard!$L$1&amp;""""))/100),IF(Q435=Dashboard!$L$1,K435,K435*GOOGLEFINANCE(""CURRENCY:""&amp;Q435&amp;""""&amp;Dashboard!$L$1&amp;"""")))"&amp;",K435))"),"")</f>
        <v/>
      </c>
      <c r="S435" s="266" t="str">
        <f>IFERROR(__xludf.DUMMYFUNCTION("IF(ISBLANK(A435),"""",IFERROR(IF(OR(Q435=""GPB"",Q435=""ZAR""),IF(Q435=Dashboard!$L$1,M435,(M435*GOOGLEFINANCE(""CURRENCY:""&amp;Q435&amp;""""&amp;Dashboard!$L$1&amp;""""))/100),IF(Q435=Dashboard!$L$1,M435,M435*GOOGLEFINANCE(""CURRENCY:""&amp;Q435&amp;""""&amp;Dashboard!$L$1&amp;"""")))"&amp;",M435))"),"")</f>
        <v/>
      </c>
      <c r="T435" s="264" t="str">
        <f t="shared" si="4"/>
        <v/>
      </c>
      <c r="U435" s="264" t="str">
        <f t="shared" si="5"/>
        <v/>
      </c>
      <c r="V435" s="264" t="str">
        <f t="shared" si="6"/>
        <v/>
      </c>
      <c r="W435" s="267" t="str">
        <f t="shared" si="8"/>
        <v/>
      </c>
      <c r="X435" s="264" t="str">
        <f t="shared" si="7"/>
        <v/>
      </c>
    </row>
    <row r="436" ht="15.75" customHeight="1">
      <c r="A436" s="258"/>
      <c r="B436" s="258"/>
      <c r="C436" s="269"/>
      <c r="D436" s="258"/>
      <c r="E436" s="258"/>
      <c r="F436" s="258"/>
      <c r="G436" s="258"/>
      <c r="H436" s="271"/>
      <c r="I436" s="258"/>
      <c r="J436" s="272"/>
      <c r="K436" s="260"/>
      <c r="L436" s="261"/>
      <c r="M436" s="262" t="str">
        <f t="shared" si="1"/>
        <v/>
      </c>
      <c r="N436" s="263" t="str">
        <f t="shared" si="2"/>
        <v/>
      </c>
      <c r="O436" s="264" t="str">
        <f t="shared" si="3"/>
        <v/>
      </c>
      <c r="P436" s="265" t="str">
        <f>IFERROR(__xludf.DUMMYFUNCTION("IF(ISBLANK(A436),"""",IFERROR(IF(H436=""Sell"",VLOOKUP(9^99,FILTER({ROW(P$2:P435),P$2:P435},D$2:D435=D436),2),(VLOOKUP(9^99,FILTER({ROW(P$2:P435),P$2:P435},D$2:D435=D436),2)*VLOOKUP(9^99,FILTER({ROW(O$2:O435),O$2:O435},D$2:D435=D436),2)-N436)/O436),J436))"),"")</f>
        <v/>
      </c>
      <c r="Q436" s="264" t="str">
        <f>IFERROR(__xludf.DUMMYFUNCTION("IFERROR(IF(F436=""Crypto"",B436,(IF(ISBLANK(D436),"""",IF(D436=""Cash"",B436,IF(GOOGLEFINANCE(D436,""CURRENCY"")=""GBX"",""GBP"",GOOGLEFINANCE(D436,""CURRENCY"")))))),B436)"),"")</f>
        <v/>
      </c>
      <c r="R436" s="263" t="str">
        <f>IFERROR(__xludf.DUMMYFUNCTION("IF(ISBLANK(A436),"""",IFERROR(IF(OR(Q436=""GPB"",Q436=""ZAR""),IF(Q436=Dashboard!$L$1,K436,(K436*GOOGLEFINANCE(""CURRENCY:""&amp;Q436&amp;""""&amp;Dashboard!$L$1&amp;""""))/100),IF(Q436=Dashboard!$L$1,K436,K436*GOOGLEFINANCE(""CURRENCY:""&amp;Q436&amp;""""&amp;Dashboard!$L$1&amp;"""")))"&amp;",K436))"),"")</f>
        <v/>
      </c>
      <c r="S436" s="266" t="str">
        <f>IFERROR(__xludf.DUMMYFUNCTION("IF(ISBLANK(A436),"""",IFERROR(IF(OR(Q436=""GPB"",Q436=""ZAR""),IF(Q436=Dashboard!$L$1,M436,(M436*GOOGLEFINANCE(""CURRENCY:""&amp;Q436&amp;""""&amp;Dashboard!$L$1&amp;""""))/100),IF(Q436=Dashboard!$L$1,M436,M436*GOOGLEFINANCE(""CURRENCY:""&amp;Q436&amp;""""&amp;Dashboard!$L$1&amp;"""")))"&amp;",M436))"),"")</f>
        <v/>
      </c>
      <c r="T436" s="264" t="str">
        <f t="shared" si="4"/>
        <v/>
      </c>
      <c r="U436" s="264" t="str">
        <f t="shared" si="5"/>
        <v/>
      </c>
      <c r="V436" s="264" t="str">
        <f t="shared" si="6"/>
        <v/>
      </c>
      <c r="W436" s="267" t="str">
        <f t="shared" si="8"/>
        <v/>
      </c>
      <c r="X436" s="264" t="str">
        <f t="shared" si="7"/>
        <v/>
      </c>
    </row>
    <row r="437" ht="15.75" customHeight="1">
      <c r="A437" s="258"/>
      <c r="B437" s="258"/>
      <c r="C437" s="269"/>
      <c r="D437" s="258"/>
      <c r="E437" s="258"/>
      <c r="F437" s="258"/>
      <c r="G437" s="258"/>
      <c r="H437" s="271"/>
      <c r="I437" s="258"/>
      <c r="J437" s="272"/>
      <c r="K437" s="260"/>
      <c r="L437" s="261"/>
      <c r="M437" s="262" t="str">
        <f t="shared" si="1"/>
        <v/>
      </c>
      <c r="N437" s="263" t="str">
        <f t="shared" si="2"/>
        <v/>
      </c>
      <c r="O437" s="264" t="str">
        <f t="shared" si="3"/>
        <v/>
      </c>
      <c r="P437" s="265" t="str">
        <f>IFERROR(__xludf.DUMMYFUNCTION("IF(ISBLANK(A437),"""",IFERROR(IF(H437=""Sell"",VLOOKUP(9^99,FILTER({ROW(P$2:P436),P$2:P436},D$2:D436=D437),2),(VLOOKUP(9^99,FILTER({ROW(P$2:P436),P$2:P436},D$2:D436=D437),2)*VLOOKUP(9^99,FILTER({ROW(O$2:O436),O$2:O436},D$2:D436=D437),2)-N437)/O437),J437))"),"")</f>
        <v/>
      </c>
      <c r="Q437" s="264" t="str">
        <f>IFERROR(__xludf.DUMMYFUNCTION("IFERROR(IF(F437=""Crypto"",B437,(IF(ISBLANK(D437),"""",IF(D437=""Cash"",B437,IF(GOOGLEFINANCE(D437,""CURRENCY"")=""GBX"",""GBP"",GOOGLEFINANCE(D437,""CURRENCY"")))))),B437)"),"")</f>
        <v/>
      </c>
      <c r="R437" s="263" t="str">
        <f>IFERROR(__xludf.DUMMYFUNCTION("IF(ISBLANK(A437),"""",IFERROR(IF(OR(Q437=""GPB"",Q437=""ZAR""),IF(Q437=Dashboard!$L$1,K437,(K437*GOOGLEFINANCE(""CURRENCY:""&amp;Q437&amp;""""&amp;Dashboard!$L$1&amp;""""))/100),IF(Q437=Dashboard!$L$1,K437,K437*GOOGLEFINANCE(""CURRENCY:""&amp;Q437&amp;""""&amp;Dashboard!$L$1&amp;"""")))"&amp;",K437))"),"")</f>
        <v/>
      </c>
      <c r="S437" s="266" t="str">
        <f>IFERROR(__xludf.DUMMYFUNCTION("IF(ISBLANK(A437),"""",IFERROR(IF(OR(Q437=""GPB"",Q437=""ZAR""),IF(Q437=Dashboard!$L$1,M437,(M437*GOOGLEFINANCE(""CURRENCY:""&amp;Q437&amp;""""&amp;Dashboard!$L$1&amp;""""))/100),IF(Q437=Dashboard!$L$1,M437,M437*GOOGLEFINANCE(""CURRENCY:""&amp;Q437&amp;""""&amp;Dashboard!$L$1&amp;"""")))"&amp;",M437))"),"")</f>
        <v/>
      </c>
      <c r="T437" s="264" t="str">
        <f t="shared" si="4"/>
        <v/>
      </c>
      <c r="U437" s="264" t="str">
        <f t="shared" si="5"/>
        <v/>
      </c>
      <c r="V437" s="264" t="str">
        <f t="shared" si="6"/>
        <v/>
      </c>
      <c r="W437" s="267" t="str">
        <f t="shared" si="8"/>
        <v/>
      </c>
      <c r="X437" s="264" t="str">
        <f t="shared" si="7"/>
        <v/>
      </c>
    </row>
    <row r="438" ht="15.75" customHeight="1">
      <c r="A438" s="258"/>
      <c r="B438" s="258"/>
      <c r="C438" s="269"/>
      <c r="D438" s="258"/>
      <c r="E438" s="258"/>
      <c r="F438" s="258"/>
      <c r="G438" s="258"/>
      <c r="H438" s="271"/>
      <c r="I438" s="258"/>
      <c r="J438" s="272"/>
      <c r="K438" s="260"/>
      <c r="L438" s="261"/>
      <c r="M438" s="262" t="str">
        <f t="shared" si="1"/>
        <v/>
      </c>
      <c r="N438" s="263" t="str">
        <f t="shared" si="2"/>
        <v/>
      </c>
      <c r="O438" s="264" t="str">
        <f t="shared" si="3"/>
        <v/>
      </c>
      <c r="P438" s="265" t="str">
        <f>IFERROR(__xludf.DUMMYFUNCTION("IF(ISBLANK(A438),"""",IFERROR(IF(H438=""Sell"",VLOOKUP(9^99,FILTER({ROW(P$2:P437),P$2:P437},D$2:D437=D438),2),(VLOOKUP(9^99,FILTER({ROW(P$2:P437),P$2:P437},D$2:D437=D438),2)*VLOOKUP(9^99,FILTER({ROW(O$2:O437),O$2:O437},D$2:D437=D438),2)-N438)/O438),J438))"),"")</f>
        <v/>
      </c>
      <c r="Q438" s="264" t="str">
        <f>IFERROR(__xludf.DUMMYFUNCTION("IFERROR(IF(F438=""Crypto"",B438,(IF(ISBLANK(D438),"""",IF(D438=""Cash"",B438,IF(GOOGLEFINANCE(D438,""CURRENCY"")=""GBX"",""GBP"",GOOGLEFINANCE(D438,""CURRENCY"")))))),B438)"),"")</f>
        <v/>
      </c>
      <c r="R438" s="263" t="str">
        <f>IFERROR(__xludf.DUMMYFUNCTION("IF(ISBLANK(A438),"""",IFERROR(IF(OR(Q438=""GPB"",Q438=""ZAR""),IF(Q438=Dashboard!$L$1,K438,(K438*GOOGLEFINANCE(""CURRENCY:""&amp;Q438&amp;""""&amp;Dashboard!$L$1&amp;""""))/100),IF(Q438=Dashboard!$L$1,K438,K438*GOOGLEFINANCE(""CURRENCY:""&amp;Q438&amp;""""&amp;Dashboard!$L$1&amp;"""")))"&amp;",K438))"),"")</f>
        <v/>
      </c>
      <c r="S438" s="266" t="str">
        <f>IFERROR(__xludf.DUMMYFUNCTION("IF(ISBLANK(A438),"""",IFERROR(IF(OR(Q438=""GPB"",Q438=""ZAR""),IF(Q438=Dashboard!$L$1,M438,(M438*GOOGLEFINANCE(""CURRENCY:""&amp;Q438&amp;""""&amp;Dashboard!$L$1&amp;""""))/100),IF(Q438=Dashboard!$L$1,M438,M438*GOOGLEFINANCE(""CURRENCY:""&amp;Q438&amp;""""&amp;Dashboard!$L$1&amp;"""")))"&amp;",M438))"),"")</f>
        <v/>
      </c>
      <c r="T438" s="264" t="str">
        <f t="shared" si="4"/>
        <v/>
      </c>
      <c r="U438" s="264" t="str">
        <f t="shared" si="5"/>
        <v/>
      </c>
      <c r="V438" s="264" t="str">
        <f t="shared" si="6"/>
        <v/>
      </c>
      <c r="W438" s="267" t="str">
        <f t="shared" si="8"/>
        <v/>
      </c>
      <c r="X438" s="264" t="str">
        <f t="shared" si="7"/>
        <v/>
      </c>
    </row>
    <row r="439" ht="15.75" customHeight="1">
      <c r="A439" s="258"/>
      <c r="B439" s="258"/>
      <c r="C439" s="269"/>
      <c r="D439" s="258"/>
      <c r="E439" s="258"/>
      <c r="F439" s="258"/>
      <c r="G439" s="258"/>
      <c r="H439" s="271"/>
      <c r="I439" s="258"/>
      <c r="J439" s="272"/>
      <c r="K439" s="260"/>
      <c r="L439" s="261"/>
      <c r="M439" s="262" t="str">
        <f t="shared" si="1"/>
        <v/>
      </c>
      <c r="N439" s="263" t="str">
        <f t="shared" si="2"/>
        <v/>
      </c>
      <c r="O439" s="264" t="str">
        <f t="shared" si="3"/>
        <v/>
      </c>
      <c r="P439" s="265" t="str">
        <f>IFERROR(__xludf.DUMMYFUNCTION("IF(ISBLANK(A439),"""",IFERROR(IF(H439=""Sell"",VLOOKUP(9^99,FILTER({ROW(P$2:P438),P$2:P438},D$2:D438=D439),2),(VLOOKUP(9^99,FILTER({ROW(P$2:P438),P$2:P438},D$2:D438=D439),2)*VLOOKUP(9^99,FILTER({ROW(O$2:O438),O$2:O438},D$2:D438=D439),2)-N439)/O439),J439))"),"")</f>
        <v/>
      </c>
      <c r="Q439" s="264" t="str">
        <f>IFERROR(__xludf.DUMMYFUNCTION("IFERROR(IF(F439=""Crypto"",B439,(IF(ISBLANK(D439),"""",IF(D439=""Cash"",B439,IF(GOOGLEFINANCE(D439,""CURRENCY"")=""GBX"",""GBP"",GOOGLEFINANCE(D439,""CURRENCY"")))))),B439)"),"")</f>
        <v/>
      </c>
      <c r="R439" s="263" t="str">
        <f>IFERROR(__xludf.DUMMYFUNCTION("IF(ISBLANK(A439),"""",IFERROR(IF(OR(Q439=""GPB"",Q439=""ZAR""),IF(Q439=Dashboard!$L$1,K439,(K439*GOOGLEFINANCE(""CURRENCY:""&amp;Q439&amp;""""&amp;Dashboard!$L$1&amp;""""))/100),IF(Q439=Dashboard!$L$1,K439,K439*GOOGLEFINANCE(""CURRENCY:""&amp;Q439&amp;""""&amp;Dashboard!$L$1&amp;"""")))"&amp;",K439))"),"")</f>
        <v/>
      </c>
      <c r="S439" s="266" t="str">
        <f>IFERROR(__xludf.DUMMYFUNCTION("IF(ISBLANK(A439),"""",IFERROR(IF(OR(Q439=""GPB"",Q439=""ZAR""),IF(Q439=Dashboard!$L$1,M439,(M439*GOOGLEFINANCE(""CURRENCY:""&amp;Q439&amp;""""&amp;Dashboard!$L$1&amp;""""))/100),IF(Q439=Dashboard!$L$1,M439,M439*GOOGLEFINANCE(""CURRENCY:""&amp;Q439&amp;""""&amp;Dashboard!$L$1&amp;"""")))"&amp;",M439))"),"")</f>
        <v/>
      </c>
      <c r="T439" s="264" t="str">
        <f t="shared" si="4"/>
        <v/>
      </c>
      <c r="U439" s="264" t="str">
        <f t="shared" si="5"/>
        <v/>
      </c>
      <c r="V439" s="264" t="str">
        <f t="shared" si="6"/>
        <v/>
      </c>
      <c r="W439" s="267" t="str">
        <f t="shared" si="8"/>
        <v/>
      </c>
      <c r="X439" s="264" t="str">
        <f t="shared" si="7"/>
        <v/>
      </c>
    </row>
    <row r="440" ht="15.75" customHeight="1">
      <c r="A440" s="258"/>
      <c r="B440" s="258"/>
      <c r="C440" s="269"/>
      <c r="D440" s="258"/>
      <c r="E440" s="258"/>
      <c r="F440" s="258"/>
      <c r="G440" s="258"/>
      <c r="H440" s="271"/>
      <c r="I440" s="258"/>
      <c r="J440" s="272"/>
      <c r="K440" s="260"/>
      <c r="L440" s="261"/>
      <c r="M440" s="262" t="str">
        <f t="shared" si="1"/>
        <v/>
      </c>
      <c r="N440" s="263" t="str">
        <f t="shared" si="2"/>
        <v/>
      </c>
      <c r="O440" s="264" t="str">
        <f t="shared" si="3"/>
        <v/>
      </c>
      <c r="P440" s="265" t="str">
        <f>IFERROR(__xludf.DUMMYFUNCTION("IF(ISBLANK(A440),"""",IFERROR(IF(H440=""Sell"",VLOOKUP(9^99,FILTER({ROW(P$2:P439),P$2:P439},D$2:D439=D440),2),(VLOOKUP(9^99,FILTER({ROW(P$2:P439),P$2:P439},D$2:D439=D440),2)*VLOOKUP(9^99,FILTER({ROW(O$2:O439),O$2:O439},D$2:D439=D440),2)-N440)/O440),J440))"),"")</f>
        <v/>
      </c>
      <c r="Q440" s="264" t="str">
        <f>IFERROR(__xludf.DUMMYFUNCTION("IFERROR(IF(F440=""Crypto"",B440,(IF(ISBLANK(D440),"""",IF(D440=""Cash"",B440,IF(GOOGLEFINANCE(D440,""CURRENCY"")=""GBX"",""GBP"",GOOGLEFINANCE(D440,""CURRENCY"")))))),B440)"),"")</f>
        <v/>
      </c>
      <c r="R440" s="263" t="str">
        <f>IFERROR(__xludf.DUMMYFUNCTION("IF(ISBLANK(A440),"""",IFERROR(IF(OR(Q440=""GPB"",Q440=""ZAR""),IF(Q440=Dashboard!$L$1,K440,(K440*GOOGLEFINANCE(""CURRENCY:""&amp;Q440&amp;""""&amp;Dashboard!$L$1&amp;""""))/100),IF(Q440=Dashboard!$L$1,K440,K440*GOOGLEFINANCE(""CURRENCY:""&amp;Q440&amp;""""&amp;Dashboard!$L$1&amp;"""")))"&amp;",K440))"),"")</f>
        <v/>
      </c>
      <c r="S440" s="266" t="str">
        <f>IFERROR(__xludf.DUMMYFUNCTION("IF(ISBLANK(A440),"""",IFERROR(IF(OR(Q440=""GPB"",Q440=""ZAR""),IF(Q440=Dashboard!$L$1,M440,(M440*GOOGLEFINANCE(""CURRENCY:""&amp;Q440&amp;""""&amp;Dashboard!$L$1&amp;""""))/100),IF(Q440=Dashboard!$L$1,M440,M440*GOOGLEFINANCE(""CURRENCY:""&amp;Q440&amp;""""&amp;Dashboard!$L$1&amp;"""")))"&amp;",M440))"),"")</f>
        <v/>
      </c>
      <c r="T440" s="264" t="str">
        <f t="shared" si="4"/>
        <v/>
      </c>
      <c r="U440" s="264" t="str">
        <f t="shared" si="5"/>
        <v/>
      </c>
      <c r="V440" s="264" t="str">
        <f t="shared" si="6"/>
        <v/>
      </c>
      <c r="W440" s="267" t="str">
        <f t="shared" si="8"/>
        <v/>
      </c>
      <c r="X440" s="264" t="str">
        <f t="shared" si="7"/>
        <v/>
      </c>
    </row>
    <row r="441" ht="15.75" customHeight="1">
      <c r="A441" s="258"/>
      <c r="B441" s="258"/>
      <c r="C441" s="269"/>
      <c r="D441" s="258"/>
      <c r="E441" s="258"/>
      <c r="F441" s="258"/>
      <c r="G441" s="258"/>
      <c r="H441" s="271"/>
      <c r="I441" s="258"/>
      <c r="J441" s="272"/>
      <c r="K441" s="260"/>
      <c r="L441" s="261"/>
      <c r="M441" s="262" t="str">
        <f t="shared" si="1"/>
        <v/>
      </c>
      <c r="N441" s="263" t="str">
        <f t="shared" si="2"/>
        <v/>
      </c>
      <c r="O441" s="264" t="str">
        <f t="shared" si="3"/>
        <v/>
      </c>
      <c r="P441" s="265" t="str">
        <f>IFERROR(__xludf.DUMMYFUNCTION("IF(ISBLANK(A441),"""",IFERROR(IF(H441=""Sell"",VLOOKUP(9^99,FILTER({ROW(P$2:P440),P$2:P440},D$2:D440=D441),2),(VLOOKUP(9^99,FILTER({ROW(P$2:P440),P$2:P440},D$2:D440=D441),2)*VLOOKUP(9^99,FILTER({ROW(O$2:O440),O$2:O440},D$2:D440=D441),2)-N441)/O441),J441))"),"")</f>
        <v/>
      </c>
      <c r="Q441" s="264" t="str">
        <f>IFERROR(__xludf.DUMMYFUNCTION("IFERROR(IF(F441=""Crypto"",B441,(IF(ISBLANK(D441),"""",IF(D441=""Cash"",B441,IF(GOOGLEFINANCE(D441,""CURRENCY"")=""GBX"",""GBP"",GOOGLEFINANCE(D441,""CURRENCY"")))))),B441)"),"")</f>
        <v/>
      </c>
      <c r="R441" s="263" t="str">
        <f>IFERROR(__xludf.DUMMYFUNCTION("IF(ISBLANK(A441),"""",IFERROR(IF(OR(Q441=""GPB"",Q441=""ZAR""),IF(Q441=Dashboard!$L$1,K441,(K441*GOOGLEFINANCE(""CURRENCY:""&amp;Q441&amp;""""&amp;Dashboard!$L$1&amp;""""))/100),IF(Q441=Dashboard!$L$1,K441,K441*GOOGLEFINANCE(""CURRENCY:""&amp;Q441&amp;""""&amp;Dashboard!$L$1&amp;"""")))"&amp;",K441))"),"")</f>
        <v/>
      </c>
      <c r="S441" s="266" t="str">
        <f>IFERROR(__xludf.DUMMYFUNCTION("IF(ISBLANK(A441),"""",IFERROR(IF(OR(Q441=""GPB"",Q441=""ZAR""),IF(Q441=Dashboard!$L$1,M441,(M441*GOOGLEFINANCE(""CURRENCY:""&amp;Q441&amp;""""&amp;Dashboard!$L$1&amp;""""))/100),IF(Q441=Dashboard!$L$1,M441,M441*GOOGLEFINANCE(""CURRENCY:""&amp;Q441&amp;""""&amp;Dashboard!$L$1&amp;"""")))"&amp;",M441))"),"")</f>
        <v/>
      </c>
      <c r="T441" s="264" t="str">
        <f t="shared" si="4"/>
        <v/>
      </c>
      <c r="U441" s="264" t="str">
        <f t="shared" si="5"/>
        <v/>
      </c>
      <c r="V441" s="264" t="str">
        <f t="shared" si="6"/>
        <v/>
      </c>
      <c r="W441" s="267" t="str">
        <f t="shared" si="8"/>
        <v/>
      </c>
      <c r="X441" s="264" t="str">
        <f t="shared" si="7"/>
        <v/>
      </c>
    </row>
    <row r="442" ht="15.75" customHeight="1">
      <c r="A442" s="258"/>
      <c r="B442" s="258"/>
      <c r="C442" s="269"/>
      <c r="D442" s="258"/>
      <c r="E442" s="258"/>
      <c r="F442" s="258"/>
      <c r="G442" s="258"/>
      <c r="H442" s="271"/>
      <c r="I442" s="258"/>
      <c r="J442" s="272"/>
      <c r="K442" s="260"/>
      <c r="L442" s="261"/>
      <c r="M442" s="262" t="str">
        <f t="shared" si="1"/>
        <v/>
      </c>
      <c r="N442" s="263" t="str">
        <f t="shared" si="2"/>
        <v/>
      </c>
      <c r="O442" s="264" t="str">
        <f t="shared" si="3"/>
        <v/>
      </c>
      <c r="P442" s="265" t="str">
        <f>IFERROR(__xludf.DUMMYFUNCTION("IF(ISBLANK(A442),"""",IFERROR(IF(H442=""Sell"",VLOOKUP(9^99,FILTER({ROW(P$2:P441),P$2:P441},D$2:D441=D442),2),(VLOOKUP(9^99,FILTER({ROW(P$2:P441),P$2:P441},D$2:D441=D442),2)*VLOOKUP(9^99,FILTER({ROW(O$2:O441),O$2:O441},D$2:D441=D442),2)-N442)/O442),J442))"),"")</f>
        <v/>
      </c>
      <c r="Q442" s="264" t="str">
        <f>IFERROR(__xludf.DUMMYFUNCTION("IFERROR(IF(F442=""Crypto"",B442,(IF(ISBLANK(D442),"""",IF(D442=""Cash"",B442,IF(GOOGLEFINANCE(D442,""CURRENCY"")=""GBX"",""GBP"",GOOGLEFINANCE(D442,""CURRENCY"")))))),B442)"),"")</f>
        <v/>
      </c>
      <c r="R442" s="263" t="str">
        <f>IFERROR(__xludf.DUMMYFUNCTION("IF(ISBLANK(A442),"""",IFERROR(IF(OR(Q442=""GPB"",Q442=""ZAR""),IF(Q442=Dashboard!$L$1,K442,(K442*GOOGLEFINANCE(""CURRENCY:""&amp;Q442&amp;""""&amp;Dashboard!$L$1&amp;""""))/100),IF(Q442=Dashboard!$L$1,K442,K442*GOOGLEFINANCE(""CURRENCY:""&amp;Q442&amp;""""&amp;Dashboard!$L$1&amp;"""")))"&amp;",K442))"),"")</f>
        <v/>
      </c>
      <c r="S442" s="266" t="str">
        <f>IFERROR(__xludf.DUMMYFUNCTION("IF(ISBLANK(A442),"""",IFERROR(IF(OR(Q442=""GPB"",Q442=""ZAR""),IF(Q442=Dashboard!$L$1,M442,(M442*GOOGLEFINANCE(""CURRENCY:""&amp;Q442&amp;""""&amp;Dashboard!$L$1&amp;""""))/100),IF(Q442=Dashboard!$L$1,M442,M442*GOOGLEFINANCE(""CURRENCY:""&amp;Q442&amp;""""&amp;Dashboard!$L$1&amp;"""")))"&amp;",M442))"),"")</f>
        <v/>
      </c>
      <c r="T442" s="264" t="str">
        <f t="shared" si="4"/>
        <v/>
      </c>
      <c r="U442" s="264" t="str">
        <f t="shared" si="5"/>
        <v/>
      </c>
      <c r="V442" s="264" t="str">
        <f t="shared" si="6"/>
        <v/>
      </c>
      <c r="W442" s="267" t="str">
        <f t="shared" si="8"/>
        <v/>
      </c>
      <c r="X442" s="264" t="str">
        <f t="shared" si="7"/>
        <v/>
      </c>
    </row>
    <row r="443" ht="15.75" customHeight="1">
      <c r="A443" s="258"/>
      <c r="B443" s="258"/>
      <c r="C443" s="269"/>
      <c r="D443" s="258"/>
      <c r="E443" s="258"/>
      <c r="F443" s="258"/>
      <c r="G443" s="258"/>
      <c r="H443" s="271"/>
      <c r="I443" s="258"/>
      <c r="J443" s="272"/>
      <c r="K443" s="260"/>
      <c r="L443" s="261"/>
      <c r="M443" s="262" t="str">
        <f t="shared" si="1"/>
        <v/>
      </c>
      <c r="N443" s="263" t="str">
        <f t="shared" si="2"/>
        <v/>
      </c>
      <c r="O443" s="264" t="str">
        <f t="shared" si="3"/>
        <v/>
      </c>
      <c r="P443" s="265" t="str">
        <f>IFERROR(__xludf.DUMMYFUNCTION("IF(ISBLANK(A443),"""",IFERROR(IF(H443=""Sell"",VLOOKUP(9^99,FILTER({ROW(P$2:P442),P$2:P442},D$2:D442=D443),2),(VLOOKUP(9^99,FILTER({ROW(P$2:P442),P$2:P442},D$2:D442=D443),2)*VLOOKUP(9^99,FILTER({ROW(O$2:O442),O$2:O442},D$2:D442=D443),2)-N443)/O443),J443))"),"")</f>
        <v/>
      </c>
      <c r="Q443" s="264" t="str">
        <f>IFERROR(__xludf.DUMMYFUNCTION("IFERROR(IF(F443=""Crypto"",B443,(IF(ISBLANK(D443),"""",IF(D443=""Cash"",B443,IF(GOOGLEFINANCE(D443,""CURRENCY"")=""GBX"",""GBP"",GOOGLEFINANCE(D443,""CURRENCY"")))))),B443)"),"")</f>
        <v/>
      </c>
      <c r="R443" s="263" t="str">
        <f>IFERROR(__xludf.DUMMYFUNCTION("IF(ISBLANK(A443),"""",IFERROR(IF(OR(Q443=""GPB"",Q443=""ZAR""),IF(Q443=Dashboard!$L$1,K443,(K443*GOOGLEFINANCE(""CURRENCY:""&amp;Q443&amp;""""&amp;Dashboard!$L$1&amp;""""))/100),IF(Q443=Dashboard!$L$1,K443,K443*GOOGLEFINANCE(""CURRENCY:""&amp;Q443&amp;""""&amp;Dashboard!$L$1&amp;"""")))"&amp;",K443))"),"")</f>
        <v/>
      </c>
      <c r="S443" s="266" t="str">
        <f>IFERROR(__xludf.DUMMYFUNCTION("IF(ISBLANK(A443),"""",IFERROR(IF(OR(Q443=""GPB"",Q443=""ZAR""),IF(Q443=Dashboard!$L$1,M443,(M443*GOOGLEFINANCE(""CURRENCY:""&amp;Q443&amp;""""&amp;Dashboard!$L$1&amp;""""))/100),IF(Q443=Dashboard!$L$1,M443,M443*GOOGLEFINANCE(""CURRENCY:""&amp;Q443&amp;""""&amp;Dashboard!$L$1&amp;"""")))"&amp;",M443))"),"")</f>
        <v/>
      </c>
      <c r="T443" s="264" t="str">
        <f t="shared" si="4"/>
        <v/>
      </c>
      <c r="U443" s="264" t="str">
        <f t="shared" si="5"/>
        <v/>
      </c>
      <c r="V443" s="264" t="str">
        <f t="shared" si="6"/>
        <v/>
      </c>
      <c r="W443" s="267" t="str">
        <f t="shared" si="8"/>
        <v/>
      </c>
      <c r="X443" s="264" t="str">
        <f t="shared" si="7"/>
        <v/>
      </c>
    </row>
    <row r="444" ht="15.75" customHeight="1">
      <c r="A444" s="258"/>
      <c r="B444" s="258"/>
      <c r="C444" s="269"/>
      <c r="D444" s="258"/>
      <c r="E444" s="258"/>
      <c r="F444" s="258"/>
      <c r="G444" s="258"/>
      <c r="H444" s="271"/>
      <c r="I444" s="258"/>
      <c r="J444" s="272"/>
      <c r="K444" s="260"/>
      <c r="L444" s="261"/>
      <c r="M444" s="262" t="str">
        <f t="shared" si="1"/>
        <v/>
      </c>
      <c r="N444" s="263" t="str">
        <f t="shared" si="2"/>
        <v/>
      </c>
      <c r="O444" s="264" t="str">
        <f t="shared" si="3"/>
        <v/>
      </c>
      <c r="P444" s="265" t="str">
        <f>IFERROR(__xludf.DUMMYFUNCTION("IF(ISBLANK(A444),"""",IFERROR(IF(H444=""Sell"",VLOOKUP(9^99,FILTER({ROW(P$2:P443),P$2:P443},D$2:D443=D444),2),(VLOOKUP(9^99,FILTER({ROW(P$2:P443),P$2:P443},D$2:D443=D444),2)*VLOOKUP(9^99,FILTER({ROW(O$2:O443),O$2:O443},D$2:D443=D444),2)-N444)/O444),J444))"),"")</f>
        <v/>
      </c>
      <c r="Q444" s="264" t="str">
        <f>IFERROR(__xludf.DUMMYFUNCTION("IFERROR(IF(F444=""Crypto"",B444,(IF(ISBLANK(D444),"""",IF(D444=""Cash"",B444,IF(GOOGLEFINANCE(D444,""CURRENCY"")=""GBX"",""GBP"",GOOGLEFINANCE(D444,""CURRENCY"")))))),B444)"),"")</f>
        <v/>
      </c>
      <c r="R444" s="263" t="str">
        <f>IFERROR(__xludf.DUMMYFUNCTION("IF(ISBLANK(A444),"""",IFERROR(IF(OR(Q444=""GPB"",Q444=""ZAR""),IF(Q444=Dashboard!$L$1,K444,(K444*GOOGLEFINANCE(""CURRENCY:""&amp;Q444&amp;""""&amp;Dashboard!$L$1&amp;""""))/100),IF(Q444=Dashboard!$L$1,K444,K444*GOOGLEFINANCE(""CURRENCY:""&amp;Q444&amp;""""&amp;Dashboard!$L$1&amp;"""")))"&amp;",K444))"),"")</f>
        <v/>
      </c>
      <c r="S444" s="266" t="str">
        <f>IFERROR(__xludf.DUMMYFUNCTION("IF(ISBLANK(A444),"""",IFERROR(IF(OR(Q444=""GPB"",Q444=""ZAR""),IF(Q444=Dashboard!$L$1,M444,(M444*GOOGLEFINANCE(""CURRENCY:""&amp;Q444&amp;""""&amp;Dashboard!$L$1&amp;""""))/100),IF(Q444=Dashboard!$L$1,M444,M444*GOOGLEFINANCE(""CURRENCY:""&amp;Q444&amp;""""&amp;Dashboard!$L$1&amp;"""")))"&amp;",M444))"),"")</f>
        <v/>
      </c>
      <c r="T444" s="264" t="str">
        <f t="shared" si="4"/>
        <v/>
      </c>
      <c r="U444" s="264" t="str">
        <f t="shared" si="5"/>
        <v/>
      </c>
      <c r="V444" s="264" t="str">
        <f t="shared" si="6"/>
        <v/>
      </c>
      <c r="W444" s="267" t="str">
        <f t="shared" si="8"/>
        <v/>
      </c>
      <c r="X444" s="264" t="str">
        <f t="shared" si="7"/>
        <v/>
      </c>
    </row>
    <row r="445" ht="15.75" customHeight="1">
      <c r="A445" s="258"/>
      <c r="B445" s="258"/>
      <c r="C445" s="269"/>
      <c r="D445" s="258"/>
      <c r="E445" s="258"/>
      <c r="F445" s="258"/>
      <c r="G445" s="258"/>
      <c r="H445" s="271"/>
      <c r="I445" s="258"/>
      <c r="J445" s="272"/>
      <c r="K445" s="260"/>
      <c r="L445" s="261"/>
      <c r="M445" s="262" t="str">
        <f t="shared" si="1"/>
        <v/>
      </c>
      <c r="N445" s="263" t="str">
        <f t="shared" si="2"/>
        <v/>
      </c>
      <c r="O445" s="264" t="str">
        <f t="shared" si="3"/>
        <v/>
      </c>
      <c r="P445" s="265" t="str">
        <f>IFERROR(__xludf.DUMMYFUNCTION("IF(ISBLANK(A445),"""",IFERROR(IF(H445=""Sell"",VLOOKUP(9^99,FILTER({ROW(P$2:P444),P$2:P444},D$2:D444=D445),2),(VLOOKUP(9^99,FILTER({ROW(P$2:P444),P$2:P444},D$2:D444=D445),2)*VLOOKUP(9^99,FILTER({ROW(O$2:O444),O$2:O444},D$2:D444=D445),2)-N445)/O445),J445))"),"")</f>
        <v/>
      </c>
      <c r="Q445" s="264" t="str">
        <f>IFERROR(__xludf.DUMMYFUNCTION("IFERROR(IF(F445=""Crypto"",B445,(IF(ISBLANK(D445),"""",IF(D445=""Cash"",B445,IF(GOOGLEFINANCE(D445,""CURRENCY"")=""GBX"",""GBP"",GOOGLEFINANCE(D445,""CURRENCY"")))))),B445)"),"")</f>
        <v/>
      </c>
      <c r="R445" s="263" t="str">
        <f>IFERROR(__xludf.DUMMYFUNCTION("IF(ISBLANK(A445),"""",IFERROR(IF(OR(Q445=""GPB"",Q445=""ZAR""),IF(Q445=Dashboard!$L$1,K445,(K445*GOOGLEFINANCE(""CURRENCY:""&amp;Q445&amp;""""&amp;Dashboard!$L$1&amp;""""))/100),IF(Q445=Dashboard!$L$1,K445,K445*GOOGLEFINANCE(""CURRENCY:""&amp;Q445&amp;""""&amp;Dashboard!$L$1&amp;"""")))"&amp;",K445))"),"")</f>
        <v/>
      </c>
      <c r="S445" s="266" t="str">
        <f>IFERROR(__xludf.DUMMYFUNCTION("IF(ISBLANK(A445),"""",IFERROR(IF(OR(Q445=""GPB"",Q445=""ZAR""),IF(Q445=Dashboard!$L$1,M445,(M445*GOOGLEFINANCE(""CURRENCY:""&amp;Q445&amp;""""&amp;Dashboard!$L$1&amp;""""))/100),IF(Q445=Dashboard!$L$1,M445,M445*GOOGLEFINANCE(""CURRENCY:""&amp;Q445&amp;""""&amp;Dashboard!$L$1&amp;"""")))"&amp;",M445))"),"")</f>
        <v/>
      </c>
      <c r="T445" s="264" t="str">
        <f t="shared" si="4"/>
        <v/>
      </c>
      <c r="U445" s="264" t="str">
        <f t="shared" si="5"/>
        <v/>
      </c>
      <c r="V445" s="264" t="str">
        <f t="shared" si="6"/>
        <v/>
      </c>
      <c r="W445" s="267" t="str">
        <f t="shared" si="8"/>
        <v/>
      </c>
      <c r="X445" s="264" t="str">
        <f t="shared" si="7"/>
        <v/>
      </c>
    </row>
    <row r="446" ht="15.75" customHeight="1">
      <c r="A446" s="258"/>
      <c r="B446" s="258"/>
      <c r="C446" s="269"/>
      <c r="D446" s="258"/>
      <c r="E446" s="258"/>
      <c r="F446" s="258"/>
      <c r="G446" s="258"/>
      <c r="H446" s="271"/>
      <c r="I446" s="258"/>
      <c r="J446" s="272"/>
      <c r="K446" s="260"/>
      <c r="L446" s="261"/>
      <c r="M446" s="262" t="str">
        <f t="shared" si="1"/>
        <v/>
      </c>
      <c r="N446" s="263" t="str">
        <f t="shared" si="2"/>
        <v/>
      </c>
      <c r="O446" s="264" t="str">
        <f t="shared" si="3"/>
        <v/>
      </c>
      <c r="P446" s="265" t="str">
        <f>IFERROR(__xludf.DUMMYFUNCTION("IF(ISBLANK(A446),"""",IFERROR(IF(H446=""Sell"",VLOOKUP(9^99,FILTER({ROW(P$2:P445),P$2:P445},D$2:D445=D446),2),(VLOOKUP(9^99,FILTER({ROW(P$2:P445),P$2:P445},D$2:D445=D446),2)*VLOOKUP(9^99,FILTER({ROW(O$2:O445),O$2:O445},D$2:D445=D446),2)-N446)/O446),J446))"),"")</f>
        <v/>
      </c>
      <c r="Q446" s="264" t="str">
        <f>IFERROR(__xludf.DUMMYFUNCTION("IFERROR(IF(F446=""Crypto"",B446,(IF(ISBLANK(D446),"""",IF(D446=""Cash"",B446,IF(GOOGLEFINANCE(D446,""CURRENCY"")=""GBX"",""GBP"",GOOGLEFINANCE(D446,""CURRENCY"")))))),B446)"),"")</f>
        <v/>
      </c>
      <c r="R446" s="263" t="str">
        <f>IFERROR(__xludf.DUMMYFUNCTION("IF(ISBLANK(A446),"""",IFERROR(IF(OR(Q446=""GPB"",Q446=""ZAR""),IF(Q446=Dashboard!$L$1,K446,(K446*GOOGLEFINANCE(""CURRENCY:""&amp;Q446&amp;""""&amp;Dashboard!$L$1&amp;""""))/100),IF(Q446=Dashboard!$L$1,K446,K446*GOOGLEFINANCE(""CURRENCY:""&amp;Q446&amp;""""&amp;Dashboard!$L$1&amp;"""")))"&amp;",K446))"),"")</f>
        <v/>
      </c>
      <c r="S446" s="266" t="str">
        <f>IFERROR(__xludf.DUMMYFUNCTION("IF(ISBLANK(A446),"""",IFERROR(IF(OR(Q446=""GPB"",Q446=""ZAR""),IF(Q446=Dashboard!$L$1,M446,(M446*GOOGLEFINANCE(""CURRENCY:""&amp;Q446&amp;""""&amp;Dashboard!$L$1&amp;""""))/100),IF(Q446=Dashboard!$L$1,M446,M446*GOOGLEFINANCE(""CURRENCY:""&amp;Q446&amp;""""&amp;Dashboard!$L$1&amp;"""")))"&amp;",M446))"),"")</f>
        <v/>
      </c>
      <c r="T446" s="264" t="str">
        <f t="shared" si="4"/>
        <v/>
      </c>
      <c r="U446" s="264" t="str">
        <f t="shared" si="5"/>
        <v/>
      </c>
      <c r="V446" s="264" t="str">
        <f t="shared" si="6"/>
        <v/>
      </c>
      <c r="W446" s="267" t="str">
        <f t="shared" si="8"/>
        <v/>
      </c>
      <c r="X446" s="264" t="str">
        <f t="shared" si="7"/>
        <v/>
      </c>
    </row>
    <row r="447" ht="15.75" customHeight="1">
      <c r="A447" s="258"/>
      <c r="B447" s="258"/>
      <c r="C447" s="269"/>
      <c r="D447" s="258"/>
      <c r="E447" s="258"/>
      <c r="F447" s="258"/>
      <c r="G447" s="258"/>
      <c r="H447" s="271"/>
      <c r="I447" s="258"/>
      <c r="J447" s="272"/>
      <c r="K447" s="260"/>
      <c r="L447" s="261"/>
      <c r="M447" s="262" t="str">
        <f t="shared" si="1"/>
        <v/>
      </c>
      <c r="N447" s="263" t="str">
        <f t="shared" si="2"/>
        <v/>
      </c>
      <c r="O447" s="264" t="str">
        <f t="shared" si="3"/>
        <v/>
      </c>
      <c r="P447" s="265" t="str">
        <f>IFERROR(__xludf.DUMMYFUNCTION("IF(ISBLANK(A447),"""",IFERROR(IF(H447=""Sell"",VLOOKUP(9^99,FILTER({ROW(P$2:P446),P$2:P446},D$2:D446=D447),2),(VLOOKUP(9^99,FILTER({ROW(P$2:P446),P$2:P446},D$2:D446=D447),2)*VLOOKUP(9^99,FILTER({ROW(O$2:O446),O$2:O446},D$2:D446=D447),2)-N447)/O447),J447))"),"")</f>
        <v/>
      </c>
      <c r="Q447" s="264" t="str">
        <f>IFERROR(__xludf.DUMMYFUNCTION("IFERROR(IF(F447=""Crypto"",B447,(IF(ISBLANK(D447),"""",IF(D447=""Cash"",B447,IF(GOOGLEFINANCE(D447,""CURRENCY"")=""GBX"",""GBP"",GOOGLEFINANCE(D447,""CURRENCY"")))))),B447)"),"")</f>
        <v/>
      </c>
      <c r="R447" s="263" t="str">
        <f>IFERROR(__xludf.DUMMYFUNCTION("IF(ISBLANK(A447),"""",IFERROR(IF(OR(Q447=""GPB"",Q447=""ZAR""),IF(Q447=Dashboard!$L$1,K447,(K447*GOOGLEFINANCE(""CURRENCY:""&amp;Q447&amp;""""&amp;Dashboard!$L$1&amp;""""))/100),IF(Q447=Dashboard!$L$1,K447,K447*GOOGLEFINANCE(""CURRENCY:""&amp;Q447&amp;""""&amp;Dashboard!$L$1&amp;"""")))"&amp;",K447))"),"")</f>
        <v/>
      </c>
      <c r="S447" s="266" t="str">
        <f>IFERROR(__xludf.DUMMYFUNCTION("IF(ISBLANK(A447),"""",IFERROR(IF(OR(Q447=""GPB"",Q447=""ZAR""),IF(Q447=Dashboard!$L$1,M447,(M447*GOOGLEFINANCE(""CURRENCY:""&amp;Q447&amp;""""&amp;Dashboard!$L$1&amp;""""))/100),IF(Q447=Dashboard!$L$1,M447,M447*GOOGLEFINANCE(""CURRENCY:""&amp;Q447&amp;""""&amp;Dashboard!$L$1&amp;"""")))"&amp;",M447))"),"")</f>
        <v/>
      </c>
      <c r="T447" s="264" t="str">
        <f t="shared" si="4"/>
        <v/>
      </c>
      <c r="U447" s="264" t="str">
        <f t="shared" si="5"/>
        <v/>
      </c>
      <c r="V447" s="264" t="str">
        <f t="shared" si="6"/>
        <v/>
      </c>
      <c r="W447" s="267" t="str">
        <f t="shared" si="8"/>
        <v/>
      </c>
      <c r="X447" s="264" t="str">
        <f t="shared" si="7"/>
        <v/>
      </c>
    </row>
    <row r="448" ht="15.75" customHeight="1">
      <c r="A448" s="258"/>
      <c r="B448" s="258"/>
      <c r="C448" s="269"/>
      <c r="D448" s="258"/>
      <c r="E448" s="258"/>
      <c r="F448" s="258"/>
      <c r="G448" s="258"/>
      <c r="H448" s="271"/>
      <c r="I448" s="258"/>
      <c r="J448" s="272"/>
      <c r="K448" s="260"/>
      <c r="L448" s="261"/>
      <c r="M448" s="262" t="str">
        <f t="shared" si="1"/>
        <v/>
      </c>
      <c r="N448" s="263" t="str">
        <f t="shared" si="2"/>
        <v/>
      </c>
      <c r="O448" s="264" t="str">
        <f t="shared" si="3"/>
        <v/>
      </c>
      <c r="P448" s="265" t="str">
        <f>IFERROR(__xludf.DUMMYFUNCTION("IF(ISBLANK(A448),"""",IFERROR(IF(H448=""Sell"",VLOOKUP(9^99,FILTER({ROW(P$2:P447),P$2:P447},D$2:D447=D448),2),(VLOOKUP(9^99,FILTER({ROW(P$2:P447),P$2:P447},D$2:D447=D448),2)*VLOOKUP(9^99,FILTER({ROW(O$2:O447),O$2:O447},D$2:D447=D448),2)-N448)/O448),J448))"),"")</f>
        <v/>
      </c>
      <c r="Q448" s="264" t="str">
        <f>IFERROR(__xludf.DUMMYFUNCTION("IFERROR(IF(F448=""Crypto"",B448,(IF(ISBLANK(D448),"""",IF(D448=""Cash"",B448,IF(GOOGLEFINANCE(D448,""CURRENCY"")=""GBX"",""GBP"",GOOGLEFINANCE(D448,""CURRENCY"")))))),B448)"),"")</f>
        <v/>
      </c>
      <c r="R448" s="263" t="str">
        <f>IFERROR(__xludf.DUMMYFUNCTION("IF(ISBLANK(A448),"""",IFERROR(IF(OR(Q448=""GPB"",Q448=""ZAR""),IF(Q448=Dashboard!$L$1,K448,(K448*GOOGLEFINANCE(""CURRENCY:""&amp;Q448&amp;""""&amp;Dashboard!$L$1&amp;""""))/100),IF(Q448=Dashboard!$L$1,K448,K448*GOOGLEFINANCE(""CURRENCY:""&amp;Q448&amp;""""&amp;Dashboard!$L$1&amp;"""")))"&amp;",K448))"),"")</f>
        <v/>
      </c>
      <c r="S448" s="266" t="str">
        <f>IFERROR(__xludf.DUMMYFUNCTION("IF(ISBLANK(A448),"""",IFERROR(IF(OR(Q448=""GPB"",Q448=""ZAR""),IF(Q448=Dashboard!$L$1,M448,(M448*GOOGLEFINANCE(""CURRENCY:""&amp;Q448&amp;""""&amp;Dashboard!$L$1&amp;""""))/100),IF(Q448=Dashboard!$L$1,M448,M448*GOOGLEFINANCE(""CURRENCY:""&amp;Q448&amp;""""&amp;Dashboard!$L$1&amp;"""")))"&amp;",M448))"),"")</f>
        <v/>
      </c>
      <c r="T448" s="264" t="str">
        <f t="shared" si="4"/>
        <v/>
      </c>
      <c r="U448" s="264" t="str">
        <f t="shared" si="5"/>
        <v/>
      </c>
      <c r="V448" s="264" t="str">
        <f t="shared" si="6"/>
        <v/>
      </c>
      <c r="W448" s="267" t="str">
        <f t="shared" si="8"/>
        <v/>
      </c>
      <c r="X448" s="264" t="str">
        <f t="shared" si="7"/>
        <v/>
      </c>
    </row>
    <row r="449" ht="15.75" customHeight="1">
      <c r="A449" s="258"/>
      <c r="B449" s="258"/>
      <c r="C449" s="269"/>
      <c r="D449" s="258"/>
      <c r="E449" s="258"/>
      <c r="F449" s="258"/>
      <c r="G449" s="258"/>
      <c r="H449" s="271"/>
      <c r="I449" s="258"/>
      <c r="J449" s="272"/>
      <c r="K449" s="260"/>
      <c r="L449" s="261"/>
      <c r="M449" s="262" t="str">
        <f t="shared" si="1"/>
        <v/>
      </c>
      <c r="N449" s="263" t="str">
        <f t="shared" si="2"/>
        <v/>
      </c>
      <c r="O449" s="264" t="str">
        <f t="shared" si="3"/>
        <v/>
      </c>
      <c r="P449" s="265" t="str">
        <f>IFERROR(__xludf.DUMMYFUNCTION("IF(ISBLANK(A449),"""",IFERROR(IF(H449=""Sell"",VLOOKUP(9^99,FILTER({ROW(P$2:P448),P$2:P448},D$2:D448=D449),2),(VLOOKUP(9^99,FILTER({ROW(P$2:P448),P$2:P448},D$2:D448=D449),2)*VLOOKUP(9^99,FILTER({ROW(O$2:O448),O$2:O448},D$2:D448=D449),2)-N449)/O449),J449))"),"")</f>
        <v/>
      </c>
      <c r="Q449" s="264" t="str">
        <f>IFERROR(__xludf.DUMMYFUNCTION("IFERROR(IF(F449=""Crypto"",B449,(IF(ISBLANK(D449),"""",IF(D449=""Cash"",B449,IF(GOOGLEFINANCE(D449,""CURRENCY"")=""GBX"",""GBP"",GOOGLEFINANCE(D449,""CURRENCY"")))))),B449)"),"")</f>
        <v/>
      </c>
      <c r="R449" s="263" t="str">
        <f>IFERROR(__xludf.DUMMYFUNCTION("IF(ISBLANK(A449),"""",IFERROR(IF(OR(Q449=""GPB"",Q449=""ZAR""),IF(Q449=Dashboard!$L$1,K449,(K449*GOOGLEFINANCE(""CURRENCY:""&amp;Q449&amp;""""&amp;Dashboard!$L$1&amp;""""))/100),IF(Q449=Dashboard!$L$1,K449,K449*GOOGLEFINANCE(""CURRENCY:""&amp;Q449&amp;""""&amp;Dashboard!$L$1&amp;"""")))"&amp;",K449))"),"")</f>
        <v/>
      </c>
      <c r="S449" s="266" t="str">
        <f>IFERROR(__xludf.DUMMYFUNCTION("IF(ISBLANK(A449),"""",IFERROR(IF(OR(Q449=""GPB"",Q449=""ZAR""),IF(Q449=Dashboard!$L$1,M449,(M449*GOOGLEFINANCE(""CURRENCY:""&amp;Q449&amp;""""&amp;Dashboard!$L$1&amp;""""))/100),IF(Q449=Dashboard!$L$1,M449,M449*GOOGLEFINANCE(""CURRENCY:""&amp;Q449&amp;""""&amp;Dashboard!$L$1&amp;"""")))"&amp;",M449))"),"")</f>
        <v/>
      </c>
      <c r="T449" s="264" t="str">
        <f t="shared" si="4"/>
        <v/>
      </c>
      <c r="U449" s="264" t="str">
        <f t="shared" si="5"/>
        <v/>
      </c>
      <c r="V449" s="264" t="str">
        <f t="shared" si="6"/>
        <v/>
      </c>
      <c r="W449" s="267" t="str">
        <f t="shared" si="8"/>
        <v/>
      </c>
      <c r="X449" s="264" t="str">
        <f t="shared" si="7"/>
        <v/>
      </c>
    </row>
    <row r="450" ht="15.75" customHeight="1">
      <c r="A450" s="258"/>
      <c r="B450" s="258"/>
      <c r="C450" s="269"/>
      <c r="D450" s="258"/>
      <c r="E450" s="258"/>
      <c r="F450" s="258"/>
      <c r="G450" s="258"/>
      <c r="H450" s="271"/>
      <c r="I450" s="258"/>
      <c r="J450" s="272"/>
      <c r="K450" s="260"/>
      <c r="L450" s="261"/>
      <c r="M450" s="262" t="str">
        <f t="shared" si="1"/>
        <v/>
      </c>
      <c r="N450" s="263" t="str">
        <f t="shared" si="2"/>
        <v/>
      </c>
      <c r="O450" s="264" t="str">
        <f t="shared" si="3"/>
        <v/>
      </c>
      <c r="P450" s="265" t="str">
        <f>IFERROR(__xludf.DUMMYFUNCTION("IF(ISBLANK(A450),"""",IFERROR(IF(H450=""Sell"",VLOOKUP(9^99,FILTER({ROW(P$2:P449),P$2:P449},D$2:D449=D450),2),(VLOOKUP(9^99,FILTER({ROW(P$2:P449),P$2:P449},D$2:D449=D450),2)*VLOOKUP(9^99,FILTER({ROW(O$2:O449),O$2:O449},D$2:D449=D450),2)-N450)/O450),J450))"),"")</f>
        <v/>
      </c>
      <c r="Q450" s="264" t="str">
        <f>IFERROR(__xludf.DUMMYFUNCTION("IFERROR(IF(F450=""Crypto"",B450,(IF(ISBLANK(D450),"""",IF(D450=""Cash"",B450,IF(GOOGLEFINANCE(D450,""CURRENCY"")=""GBX"",""GBP"",GOOGLEFINANCE(D450,""CURRENCY"")))))),B450)"),"")</f>
        <v/>
      </c>
      <c r="R450" s="263" t="str">
        <f>IFERROR(__xludf.DUMMYFUNCTION("IF(ISBLANK(A450),"""",IFERROR(IF(OR(Q450=""GPB"",Q450=""ZAR""),IF(Q450=Dashboard!$L$1,K450,(K450*GOOGLEFINANCE(""CURRENCY:""&amp;Q450&amp;""""&amp;Dashboard!$L$1&amp;""""))/100),IF(Q450=Dashboard!$L$1,K450,K450*GOOGLEFINANCE(""CURRENCY:""&amp;Q450&amp;""""&amp;Dashboard!$L$1&amp;"""")))"&amp;",K450))"),"")</f>
        <v/>
      </c>
      <c r="S450" s="266" t="str">
        <f>IFERROR(__xludf.DUMMYFUNCTION("IF(ISBLANK(A450),"""",IFERROR(IF(OR(Q450=""GPB"",Q450=""ZAR""),IF(Q450=Dashboard!$L$1,M450,(M450*GOOGLEFINANCE(""CURRENCY:""&amp;Q450&amp;""""&amp;Dashboard!$L$1&amp;""""))/100),IF(Q450=Dashboard!$L$1,M450,M450*GOOGLEFINANCE(""CURRENCY:""&amp;Q450&amp;""""&amp;Dashboard!$L$1&amp;"""")))"&amp;",M450))"),"")</f>
        <v/>
      </c>
      <c r="T450" s="264" t="str">
        <f t="shared" si="4"/>
        <v/>
      </c>
      <c r="U450" s="264" t="str">
        <f t="shared" si="5"/>
        <v/>
      </c>
      <c r="V450" s="264" t="str">
        <f t="shared" si="6"/>
        <v/>
      </c>
      <c r="W450" s="267" t="str">
        <f t="shared" si="8"/>
        <v/>
      </c>
      <c r="X450" s="264" t="str">
        <f t="shared" si="7"/>
        <v/>
      </c>
    </row>
    <row r="451" ht="15.75" customHeight="1">
      <c r="A451" s="258"/>
      <c r="B451" s="258"/>
      <c r="C451" s="269"/>
      <c r="D451" s="258"/>
      <c r="E451" s="258"/>
      <c r="F451" s="258"/>
      <c r="G451" s="258"/>
      <c r="H451" s="271"/>
      <c r="I451" s="258"/>
      <c r="J451" s="272"/>
      <c r="K451" s="260"/>
      <c r="L451" s="261"/>
      <c r="M451" s="262" t="str">
        <f t="shared" si="1"/>
        <v/>
      </c>
      <c r="N451" s="263" t="str">
        <f t="shared" si="2"/>
        <v/>
      </c>
      <c r="O451" s="264" t="str">
        <f t="shared" si="3"/>
        <v/>
      </c>
      <c r="P451" s="265" t="str">
        <f>IFERROR(__xludf.DUMMYFUNCTION("IF(ISBLANK(A451),"""",IFERROR(IF(H451=""Sell"",VLOOKUP(9^99,FILTER({ROW(P$2:P450),P$2:P450},D$2:D450=D451),2),(VLOOKUP(9^99,FILTER({ROW(P$2:P450),P$2:P450},D$2:D450=D451),2)*VLOOKUP(9^99,FILTER({ROW(O$2:O450),O$2:O450},D$2:D450=D451),2)-N451)/O451),J451))"),"")</f>
        <v/>
      </c>
      <c r="Q451" s="264" t="str">
        <f>IFERROR(__xludf.DUMMYFUNCTION("IFERROR(IF(F451=""Crypto"",B451,(IF(ISBLANK(D451),"""",IF(D451=""Cash"",B451,IF(GOOGLEFINANCE(D451,""CURRENCY"")=""GBX"",""GBP"",GOOGLEFINANCE(D451,""CURRENCY"")))))),B451)"),"")</f>
        <v/>
      </c>
      <c r="R451" s="263" t="str">
        <f>IFERROR(__xludf.DUMMYFUNCTION("IF(ISBLANK(A451),"""",IFERROR(IF(OR(Q451=""GPB"",Q451=""ZAR""),IF(Q451=Dashboard!$L$1,K451,(K451*GOOGLEFINANCE(""CURRENCY:""&amp;Q451&amp;""""&amp;Dashboard!$L$1&amp;""""))/100),IF(Q451=Dashboard!$L$1,K451,K451*GOOGLEFINANCE(""CURRENCY:""&amp;Q451&amp;""""&amp;Dashboard!$L$1&amp;"""")))"&amp;",K451))"),"")</f>
        <v/>
      </c>
      <c r="S451" s="266" t="str">
        <f>IFERROR(__xludf.DUMMYFUNCTION("IF(ISBLANK(A451),"""",IFERROR(IF(OR(Q451=""GPB"",Q451=""ZAR""),IF(Q451=Dashboard!$L$1,M451,(M451*GOOGLEFINANCE(""CURRENCY:""&amp;Q451&amp;""""&amp;Dashboard!$L$1&amp;""""))/100),IF(Q451=Dashboard!$L$1,M451,M451*GOOGLEFINANCE(""CURRENCY:""&amp;Q451&amp;""""&amp;Dashboard!$L$1&amp;"""")))"&amp;",M451))"),"")</f>
        <v/>
      </c>
      <c r="T451" s="264" t="str">
        <f t="shared" si="4"/>
        <v/>
      </c>
      <c r="U451" s="264" t="str">
        <f t="shared" si="5"/>
        <v/>
      </c>
      <c r="V451" s="264" t="str">
        <f t="shared" si="6"/>
        <v/>
      </c>
      <c r="W451" s="267" t="str">
        <f t="shared" si="8"/>
        <v/>
      </c>
      <c r="X451" s="264" t="str">
        <f t="shared" si="7"/>
        <v/>
      </c>
    </row>
    <row r="452" ht="15.75" customHeight="1">
      <c r="A452" s="258"/>
      <c r="B452" s="258"/>
      <c r="C452" s="269"/>
      <c r="D452" s="258"/>
      <c r="E452" s="258"/>
      <c r="F452" s="258"/>
      <c r="G452" s="258"/>
      <c r="H452" s="271"/>
      <c r="I452" s="258"/>
      <c r="J452" s="272"/>
      <c r="K452" s="260"/>
      <c r="L452" s="261"/>
      <c r="M452" s="262" t="str">
        <f t="shared" si="1"/>
        <v/>
      </c>
      <c r="N452" s="263" t="str">
        <f t="shared" si="2"/>
        <v/>
      </c>
      <c r="O452" s="264" t="str">
        <f t="shared" si="3"/>
        <v/>
      </c>
      <c r="P452" s="265" t="str">
        <f>IFERROR(__xludf.DUMMYFUNCTION("IF(ISBLANK(A452),"""",IFERROR(IF(H452=""Sell"",VLOOKUP(9^99,FILTER({ROW(P$2:P451),P$2:P451},D$2:D451=D452),2),(VLOOKUP(9^99,FILTER({ROW(P$2:P451),P$2:P451},D$2:D451=D452),2)*VLOOKUP(9^99,FILTER({ROW(O$2:O451),O$2:O451},D$2:D451=D452),2)-N452)/O452),J452))"),"")</f>
        <v/>
      </c>
      <c r="Q452" s="264" t="str">
        <f>IFERROR(__xludf.DUMMYFUNCTION("IFERROR(IF(F452=""Crypto"",B452,(IF(ISBLANK(D452),"""",IF(D452=""Cash"",B452,IF(GOOGLEFINANCE(D452,""CURRENCY"")=""GBX"",""GBP"",GOOGLEFINANCE(D452,""CURRENCY"")))))),B452)"),"")</f>
        <v/>
      </c>
      <c r="R452" s="263" t="str">
        <f>IFERROR(__xludf.DUMMYFUNCTION("IF(ISBLANK(A452),"""",IFERROR(IF(OR(Q452=""GPB"",Q452=""ZAR""),IF(Q452=Dashboard!$L$1,K452,(K452*GOOGLEFINANCE(""CURRENCY:""&amp;Q452&amp;""""&amp;Dashboard!$L$1&amp;""""))/100),IF(Q452=Dashboard!$L$1,K452,K452*GOOGLEFINANCE(""CURRENCY:""&amp;Q452&amp;""""&amp;Dashboard!$L$1&amp;"""")))"&amp;",K452))"),"")</f>
        <v/>
      </c>
      <c r="S452" s="266" t="str">
        <f>IFERROR(__xludf.DUMMYFUNCTION("IF(ISBLANK(A452),"""",IFERROR(IF(OR(Q452=""GPB"",Q452=""ZAR""),IF(Q452=Dashboard!$L$1,M452,(M452*GOOGLEFINANCE(""CURRENCY:""&amp;Q452&amp;""""&amp;Dashboard!$L$1&amp;""""))/100),IF(Q452=Dashboard!$L$1,M452,M452*GOOGLEFINANCE(""CURRENCY:""&amp;Q452&amp;""""&amp;Dashboard!$L$1&amp;"""")))"&amp;",M452))"),"")</f>
        <v/>
      </c>
      <c r="T452" s="264" t="str">
        <f t="shared" si="4"/>
        <v/>
      </c>
      <c r="U452" s="264" t="str">
        <f t="shared" si="5"/>
        <v/>
      </c>
      <c r="V452" s="264" t="str">
        <f t="shared" si="6"/>
        <v/>
      </c>
      <c r="W452" s="267" t="str">
        <f t="shared" si="8"/>
        <v/>
      </c>
      <c r="X452" s="264" t="str">
        <f t="shared" si="7"/>
        <v/>
      </c>
    </row>
    <row r="453" ht="15.75" customHeight="1">
      <c r="A453" s="258"/>
      <c r="B453" s="258"/>
      <c r="C453" s="269"/>
      <c r="D453" s="258"/>
      <c r="E453" s="258"/>
      <c r="F453" s="258"/>
      <c r="G453" s="258"/>
      <c r="H453" s="271"/>
      <c r="I453" s="258"/>
      <c r="J453" s="272"/>
      <c r="K453" s="260"/>
      <c r="L453" s="261"/>
      <c r="M453" s="262" t="str">
        <f t="shared" si="1"/>
        <v/>
      </c>
      <c r="N453" s="263" t="str">
        <f t="shared" si="2"/>
        <v/>
      </c>
      <c r="O453" s="264" t="str">
        <f t="shared" si="3"/>
        <v/>
      </c>
      <c r="P453" s="265" t="str">
        <f>IFERROR(__xludf.DUMMYFUNCTION("IF(ISBLANK(A453),"""",IFERROR(IF(H453=""Sell"",VLOOKUP(9^99,FILTER({ROW(P$2:P452),P$2:P452},D$2:D452=D453),2),(VLOOKUP(9^99,FILTER({ROW(P$2:P452),P$2:P452},D$2:D452=D453),2)*VLOOKUP(9^99,FILTER({ROW(O$2:O452),O$2:O452},D$2:D452=D453),2)-N453)/O453),J453))"),"")</f>
        <v/>
      </c>
      <c r="Q453" s="264" t="str">
        <f>IFERROR(__xludf.DUMMYFUNCTION("IFERROR(IF(F453=""Crypto"",B453,(IF(ISBLANK(D453),"""",IF(D453=""Cash"",B453,IF(GOOGLEFINANCE(D453,""CURRENCY"")=""GBX"",""GBP"",GOOGLEFINANCE(D453,""CURRENCY"")))))),B453)"),"")</f>
        <v/>
      </c>
      <c r="R453" s="263" t="str">
        <f>IFERROR(__xludf.DUMMYFUNCTION("IF(ISBLANK(A453),"""",IFERROR(IF(OR(Q453=""GPB"",Q453=""ZAR""),IF(Q453=Dashboard!$L$1,K453,(K453*GOOGLEFINANCE(""CURRENCY:""&amp;Q453&amp;""""&amp;Dashboard!$L$1&amp;""""))/100),IF(Q453=Dashboard!$L$1,K453,K453*GOOGLEFINANCE(""CURRENCY:""&amp;Q453&amp;""""&amp;Dashboard!$L$1&amp;"""")))"&amp;",K453))"),"")</f>
        <v/>
      </c>
      <c r="S453" s="266" t="str">
        <f>IFERROR(__xludf.DUMMYFUNCTION("IF(ISBLANK(A453),"""",IFERROR(IF(OR(Q453=""GPB"",Q453=""ZAR""),IF(Q453=Dashboard!$L$1,M453,(M453*GOOGLEFINANCE(""CURRENCY:""&amp;Q453&amp;""""&amp;Dashboard!$L$1&amp;""""))/100),IF(Q453=Dashboard!$L$1,M453,M453*GOOGLEFINANCE(""CURRENCY:""&amp;Q453&amp;""""&amp;Dashboard!$L$1&amp;"""")))"&amp;",M453))"),"")</f>
        <v/>
      </c>
      <c r="T453" s="264" t="str">
        <f t="shared" si="4"/>
        <v/>
      </c>
      <c r="U453" s="264" t="str">
        <f t="shared" si="5"/>
        <v/>
      </c>
      <c r="V453" s="264" t="str">
        <f t="shared" si="6"/>
        <v/>
      </c>
      <c r="W453" s="267" t="str">
        <f t="shared" si="8"/>
        <v/>
      </c>
      <c r="X453" s="264" t="str">
        <f t="shared" si="7"/>
        <v/>
      </c>
    </row>
    <row r="454" ht="15.75" customHeight="1">
      <c r="A454" s="258"/>
      <c r="B454" s="258"/>
      <c r="C454" s="269"/>
      <c r="D454" s="258"/>
      <c r="E454" s="258"/>
      <c r="F454" s="258"/>
      <c r="G454" s="258"/>
      <c r="H454" s="271"/>
      <c r="I454" s="258"/>
      <c r="J454" s="272"/>
      <c r="K454" s="260"/>
      <c r="L454" s="261"/>
      <c r="M454" s="262" t="str">
        <f t="shared" si="1"/>
        <v/>
      </c>
      <c r="N454" s="263" t="str">
        <f t="shared" si="2"/>
        <v/>
      </c>
      <c r="O454" s="264" t="str">
        <f t="shared" si="3"/>
        <v/>
      </c>
      <c r="P454" s="265" t="str">
        <f>IFERROR(__xludf.DUMMYFUNCTION("IF(ISBLANK(A454),"""",IFERROR(IF(H454=""Sell"",VLOOKUP(9^99,FILTER({ROW(P$2:P453),P$2:P453},D$2:D453=D454),2),(VLOOKUP(9^99,FILTER({ROW(P$2:P453),P$2:P453},D$2:D453=D454),2)*VLOOKUP(9^99,FILTER({ROW(O$2:O453),O$2:O453},D$2:D453=D454),2)-N454)/O454),J454))"),"")</f>
        <v/>
      </c>
      <c r="Q454" s="264" t="str">
        <f>IFERROR(__xludf.DUMMYFUNCTION("IFERROR(IF(F454=""Crypto"",B454,(IF(ISBLANK(D454),"""",IF(D454=""Cash"",B454,IF(GOOGLEFINANCE(D454,""CURRENCY"")=""GBX"",""GBP"",GOOGLEFINANCE(D454,""CURRENCY"")))))),B454)"),"")</f>
        <v/>
      </c>
      <c r="R454" s="263" t="str">
        <f>IFERROR(__xludf.DUMMYFUNCTION("IF(ISBLANK(A454),"""",IFERROR(IF(OR(Q454=""GPB"",Q454=""ZAR""),IF(Q454=Dashboard!$L$1,K454,(K454*GOOGLEFINANCE(""CURRENCY:""&amp;Q454&amp;""""&amp;Dashboard!$L$1&amp;""""))/100),IF(Q454=Dashboard!$L$1,K454,K454*GOOGLEFINANCE(""CURRENCY:""&amp;Q454&amp;""""&amp;Dashboard!$L$1&amp;"""")))"&amp;",K454))"),"")</f>
        <v/>
      </c>
      <c r="S454" s="266" t="str">
        <f>IFERROR(__xludf.DUMMYFUNCTION("IF(ISBLANK(A454),"""",IFERROR(IF(OR(Q454=""GPB"",Q454=""ZAR""),IF(Q454=Dashboard!$L$1,M454,(M454*GOOGLEFINANCE(""CURRENCY:""&amp;Q454&amp;""""&amp;Dashboard!$L$1&amp;""""))/100),IF(Q454=Dashboard!$L$1,M454,M454*GOOGLEFINANCE(""CURRENCY:""&amp;Q454&amp;""""&amp;Dashboard!$L$1&amp;"""")))"&amp;",M454))"),"")</f>
        <v/>
      </c>
      <c r="T454" s="264" t="str">
        <f t="shared" si="4"/>
        <v/>
      </c>
      <c r="U454" s="264" t="str">
        <f t="shared" si="5"/>
        <v/>
      </c>
      <c r="V454" s="264" t="str">
        <f t="shared" si="6"/>
        <v/>
      </c>
      <c r="W454" s="267" t="str">
        <f t="shared" si="8"/>
        <v/>
      </c>
      <c r="X454" s="264" t="str">
        <f t="shared" si="7"/>
        <v/>
      </c>
    </row>
    <row r="455" ht="15.75" customHeight="1">
      <c r="A455" s="258"/>
      <c r="B455" s="258"/>
      <c r="C455" s="269"/>
      <c r="D455" s="258"/>
      <c r="E455" s="258"/>
      <c r="F455" s="258"/>
      <c r="G455" s="258"/>
      <c r="H455" s="271"/>
      <c r="I455" s="258"/>
      <c r="J455" s="272"/>
      <c r="K455" s="260"/>
      <c r="L455" s="261"/>
      <c r="M455" s="262" t="str">
        <f t="shared" si="1"/>
        <v/>
      </c>
      <c r="N455" s="263" t="str">
        <f t="shared" si="2"/>
        <v/>
      </c>
      <c r="O455" s="264" t="str">
        <f t="shared" si="3"/>
        <v/>
      </c>
      <c r="P455" s="265" t="str">
        <f>IFERROR(__xludf.DUMMYFUNCTION("IF(ISBLANK(A455),"""",IFERROR(IF(H455=""Sell"",VLOOKUP(9^99,FILTER({ROW(P$2:P454),P$2:P454},D$2:D454=D455),2),(VLOOKUP(9^99,FILTER({ROW(P$2:P454),P$2:P454},D$2:D454=D455),2)*VLOOKUP(9^99,FILTER({ROW(O$2:O454),O$2:O454},D$2:D454=D455),2)-N455)/O455),J455))"),"")</f>
        <v/>
      </c>
      <c r="Q455" s="264" t="str">
        <f>IFERROR(__xludf.DUMMYFUNCTION("IFERROR(IF(F455=""Crypto"",B455,(IF(ISBLANK(D455),"""",IF(D455=""Cash"",B455,IF(GOOGLEFINANCE(D455,""CURRENCY"")=""GBX"",""GBP"",GOOGLEFINANCE(D455,""CURRENCY"")))))),B455)"),"")</f>
        <v/>
      </c>
      <c r="R455" s="263" t="str">
        <f>IFERROR(__xludf.DUMMYFUNCTION("IF(ISBLANK(A455),"""",IFERROR(IF(OR(Q455=""GPB"",Q455=""ZAR""),IF(Q455=Dashboard!$L$1,K455,(K455*GOOGLEFINANCE(""CURRENCY:""&amp;Q455&amp;""""&amp;Dashboard!$L$1&amp;""""))/100),IF(Q455=Dashboard!$L$1,K455,K455*GOOGLEFINANCE(""CURRENCY:""&amp;Q455&amp;""""&amp;Dashboard!$L$1&amp;"""")))"&amp;",K455))"),"")</f>
        <v/>
      </c>
      <c r="S455" s="266" t="str">
        <f>IFERROR(__xludf.DUMMYFUNCTION("IF(ISBLANK(A455),"""",IFERROR(IF(OR(Q455=""GPB"",Q455=""ZAR""),IF(Q455=Dashboard!$L$1,M455,(M455*GOOGLEFINANCE(""CURRENCY:""&amp;Q455&amp;""""&amp;Dashboard!$L$1&amp;""""))/100),IF(Q455=Dashboard!$L$1,M455,M455*GOOGLEFINANCE(""CURRENCY:""&amp;Q455&amp;""""&amp;Dashboard!$L$1&amp;"""")))"&amp;",M455))"),"")</f>
        <v/>
      </c>
      <c r="T455" s="264" t="str">
        <f t="shared" si="4"/>
        <v/>
      </c>
      <c r="U455" s="264" t="str">
        <f t="shared" si="5"/>
        <v/>
      </c>
      <c r="V455" s="264" t="str">
        <f t="shared" si="6"/>
        <v/>
      </c>
      <c r="W455" s="267" t="str">
        <f t="shared" si="8"/>
        <v/>
      </c>
      <c r="X455" s="264" t="str">
        <f t="shared" si="7"/>
        <v/>
      </c>
    </row>
    <row r="456" ht="15.75" customHeight="1">
      <c r="A456" s="258"/>
      <c r="B456" s="258"/>
      <c r="C456" s="269"/>
      <c r="D456" s="258"/>
      <c r="E456" s="258"/>
      <c r="F456" s="258"/>
      <c r="G456" s="258"/>
      <c r="H456" s="271"/>
      <c r="I456" s="258"/>
      <c r="J456" s="272"/>
      <c r="K456" s="260"/>
      <c r="L456" s="261"/>
      <c r="M456" s="262" t="str">
        <f t="shared" si="1"/>
        <v/>
      </c>
      <c r="N456" s="263" t="str">
        <f t="shared" si="2"/>
        <v/>
      </c>
      <c r="O456" s="264" t="str">
        <f t="shared" si="3"/>
        <v/>
      </c>
      <c r="P456" s="265" t="str">
        <f>IFERROR(__xludf.DUMMYFUNCTION("IF(ISBLANK(A456),"""",IFERROR(IF(H456=""Sell"",VLOOKUP(9^99,FILTER({ROW(P$2:P455),P$2:P455},D$2:D455=D456),2),(VLOOKUP(9^99,FILTER({ROW(P$2:P455),P$2:P455},D$2:D455=D456),2)*VLOOKUP(9^99,FILTER({ROW(O$2:O455),O$2:O455},D$2:D455=D456),2)-N456)/O456),J456))"),"")</f>
        <v/>
      </c>
      <c r="Q456" s="264" t="str">
        <f>IFERROR(__xludf.DUMMYFUNCTION("IFERROR(IF(F456=""Crypto"",B456,(IF(ISBLANK(D456),"""",IF(D456=""Cash"",B456,IF(GOOGLEFINANCE(D456,""CURRENCY"")=""GBX"",""GBP"",GOOGLEFINANCE(D456,""CURRENCY"")))))),B456)"),"")</f>
        <v/>
      </c>
      <c r="R456" s="263" t="str">
        <f>IFERROR(__xludf.DUMMYFUNCTION("IF(ISBLANK(A456),"""",IFERROR(IF(OR(Q456=""GPB"",Q456=""ZAR""),IF(Q456=Dashboard!$L$1,K456,(K456*GOOGLEFINANCE(""CURRENCY:""&amp;Q456&amp;""""&amp;Dashboard!$L$1&amp;""""))/100),IF(Q456=Dashboard!$L$1,K456,K456*GOOGLEFINANCE(""CURRENCY:""&amp;Q456&amp;""""&amp;Dashboard!$L$1&amp;"""")))"&amp;",K456))"),"")</f>
        <v/>
      </c>
      <c r="S456" s="266" t="str">
        <f>IFERROR(__xludf.DUMMYFUNCTION("IF(ISBLANK(A456),"""",IFERROR(IF(OR(Q456=""GPB"",Q456=""ZAR""),IF(Q456=Dashboard!$L$1,M456,(M456*GOOGLEFINANCE(""CURRENCY:""&amp;Q456&amp;""""&amp;Dashboard!$L$1&amp;""""))/100),IF(Q456=Dashboard!$L$1,M456,M456*GOOGLEFINANCE(""CURRENCY:""&amp;Q456&amp;""""&amp;Dashboard!$L$1&amp;"""")))"&amp;",M456))"),"")</f>
        <v/>
      </c>
      <c r="T456" s="264" t="str">
        <f t="shared" si="4"/>
        <v/>
      </c>
      <c r="U456" s="264" t="str">
        <f t="shared" si="5"/>
        <v/>
      </c>
      <c r="V456" s="264" t="str">
        <f t="shared" si="6"/>
        <v/>
      </c>
      <c r="W456" s="267" t="str">
        <f t="shared" si="8"/>
        <v/>
      </c>
      <c r="X456" s="264" t="str">
        <f t="shared" si="7"/>
        <v/>
      </c>
    </row>
    <row r="457" ht="15.75" customHeight="1">
      <c r="A457" s="258"/>
      <c r="B457" s="258"/>
      <c r="C457" s="269"/>
      <c r="D457" s="258"/>
      <c r="E457" s="258"/>
      <c r="F457" s="258"/>
      <c r="G457" s="258"/>
      <c r="H457" s="271"/>
      <c r="I457" s="258"/>
      <c r="J457" s="272"/>
      <c r="K457" s="260"/>
      <c r="L457" s="261"/>
      <c r="M457" s="262" t="str">
        <f t="shared" si="1"/>
        <v/>
      </c>
      <c r="N457" s="263" t="str">
        <f t="shared" si="2"/>
        <v/>
      </c>
      <c r="O457" s="264" t="str">
        <f t="shared" si="3"/>
        <v/>
      </c>
      <c r="P457" s="265" t="str">
        <f>IFERROR(__xludf.DUMMYFUNCTION("IF(ISBLANK(A457),"""",IFERROR(IF(H457=""Sell"",VLOOKUP(9^99,FILTER({ROW(P$2:P456),P$2:P456},D$2:D456=D457),2),(VLOOKUP(9^99,FILTER({ROW(P$2:P456),P$2:P456},D$2:D456=D457),2)*VLOOKUP(9^99,FILTER({ROW(O$2:O456),O$2:O456},D$2:D456=D457),2)-N457)/O457),J457))"),"")</f>
        <v/>
      </c>
      <c r="Q457" s="264" t="str">
        <f>IFERROR(__xludf.DUMMYFUNCTION("IFERROR(IF(F457=""Crypto"",B457,(IF(ISBLANK(D457),"""",IF(D457=""Cash"",B457,IF(GOOGLEFINANCE(D457,""CURRENCY"")=""GBX"",""GBP"",GOOGLEFINANCE(D457,""CURRENCY"")))))),B457)"),"")</f>
        <v/>
      </c>
      <c r="R457" s="263" t="str">
        <f>IFERROR(__xludf.DUMMYFUNCTION("IF(ISBLANK(A457),"""",IFERROR(IF(OR(Q457=""GPB"",Q457=""ZAR""),IF(Q457=Dashboard!$L$1,K457,(K457*GOOGLEFINANCE(""CURRENCY:""&amp;Q457&amp;""""&amp;Dashboard!$L$1&amp;""""))/100),IF(Q457=Dashboard!$L$1,K457,K457*GOOGLEFINANCE(""CURRENCY:""&amp;Q457&amp;""""&amp;Dashboard!$L$1&amp;"""")))"&amp;",K457))"),"")</f>
        <v/>
      </c>
      <c r="S457" s="266" t="str">
        <f>IFERROR(__xludf.DUMMYFUNCTION("IF(ISBLANK(A457),"""",IFERROR(IF(OR(Q457=""GPB"",Q457=""ZAR""),IF(Q457=Dashboard!$L$1,M457,(M457*GOOGLEFINANCE(""CURRENCY:""&amp;Q457&amp;""""&amp;Dashboard!$L$1&amp;""""))/100),IF(Q457=Dashboard!$L$1,M457,M457*GOOGLEFINANCE(""CURRENCY:""&amp;Q457&amp;""""&amp;Dashboard!$L$1&amp;"""")))"&amp;",M457))"),"")</f>
        <v/>
      </c>
      <c r="T457" s="264" t="str">
        <f t="shared" si="4"/>
        <v/>
      </c>
      <c r="U457" s="264" t="str">
        <f t="shared" si="5"/>
        <v/>
      </c>
      <c r="V457" s="264" t="str">
        <f t="shared" si="6"/>
        <v/>
      </c>
      <c r="W457" s="267" t="str">
        <f t="shared" si="8"/>
        <v/>
      </c>
      <c r="X457" s="264" t="str">
        <f t="shared" si="7"/>
        <v/>
      </c>
    </row>
    <row r="458" ht="15.75" customHeight="1">
      <c r="A458" s="258"/>
      <c r="B458" s="258"/>
      <c r="C458" s="269"/>
      <c r="D458" s="258"/>
      <c r="E458" s="258"/>
      <c r="F458" s="258"/>
      <c r="G458" s="258"/>
      <c r="H458" s="271"/>
      <c r="I458" s="258"/>
      <c r="J458" s="272"/>
      <c r="K458" s="260"/>
      <c r="L458" s="261"/>
      <c r="M458" s="262" t="str">
        <f t="shared" si="1"/>
        <v/>
      </c>
      <c r="N458" s="263" t="str">
        <f t="shared" si="2"/>
        <v/>
      </c>
      <c r="O458" s="264" t="str">
        <f t="shared" si="3"/>
        <v/>
      </c>
      <c r="P458" s="265" t="str">
        <f>IFERROR(__xludf.DUMMYFUNCTION("IF(ISBLANK(A458),"""",IFERROR(IF(H458=""Sell"",VLOOKUP(9^99,FILTER({ROW(P$2:P457),P$2:P457},D$2:D457=D458),2),(VLOOKUP(9^99,FILTER({ROW(P$2:P457),P$2:P457},D$2:D457=D458),2)*VLOOKUP(9^99,FILTER({ROW(O$2:O457),O$2:O457},D$2:D457=D458),2)-N458)/O458),J458))"),"")</f>
        <v/>
      </c>
      <c r="Q458" s="264" t="str">
        <f>IFERROR(__xludf.DUMMYFUNCTION("IFERROR(IF(F458=""Crypto"",B458,(IF(ISBLANK(D458),"""",IF(D458=""Cash"",B458,IF(GOOGLEFINANCE(D458,""CURRENCY"")=""GBX"",""GBP"",GOOGLEFINANCE(D458,""CURRENCY"")))))),B458)"),"")</f>
        <v/>
      </c>
      <c r="R458" s="263" t="str">
        <f>IFERROR(__xludf.DUMMYFUNCTION("IF(ISBLANK(A458),"""",IFERROR(IF(OR(Q458=""GPB"",Q458=""ZAR""),IF(Q458=Dashboard!$L$1,K458,(K458*GOOGLEFINANCE(""CURRENCY:""&amp;Q458&amp;""""&amp;Dashboard!$L$1&amp;""""))/100),IF(Q458=Dashboard!$L$1,K458,K458*GOOGLEFINANCE(""CURRENCY:""&amp;Q458&amp;""""&amp;Dashboard!$L$1&amp;"""")))"&amp;",K458))"),"")</f>
        <v/>
      </c>
      <c r="S458" s="266" t="str">
        <f>IFERROR(__xludf.DUMMYFUNCTION("IF(ISBLANK(A458),"""",IFERROR(IF(OR(Q458=""GPB"",Q458=""ZAR""),IF(Q458=Dashboard!$L$1,M458,(M458*GOOGLEFINANCE(""CURRENCY:""&amp;Q458&amp;""""&amp;Dashboard!$L$1&amp;""""))/100),IF(Q458=Dashboard!$L$1,M458,M458*GOOGLEFINANCE(""CURRENCY:""&amp;Q458&amp;""""&amp;Dashboard!$L$1&amp;"""")))"&amp;",M458))"),"")</f>
        <v/>
      </c>
      <c r="T458" s="264" t="str">
        <f t="shared" si="4"/>
        <v/>
      </c>
      <c r="U458" s="264" t="str">
        <f t="shared" si="5"/>
        <v/>
      </c>
      <c r="V458" s="264" t="str">
        <f t="shared" si="6"/>
        <v/>
      </c>
      <c r="W458" s="267" t="str">
        <f t="shared" si="8"/>
        <v/>
      </c>
      <c r="X458" s="264" t="str">
        <f t="shared" si="7"/>
        <v/>
      </c>
    </row>
    <row r="459" ht="15.75" customHeight="1">
      <c r="A459" s="258"/>
      <c r="B459" s="258"/>
      <c r="C459" s="269"/>
      <c r="D459" s="258"/>
      <c r="E459" s="258"/>
      <c r="F459" s="258"/>
      <c r="G459" s="258"/>
      <c r="H459" s="271"/>
      <c r="I459" s="258"/>
      <c r="J459" s="272"/>
      <c r="K459" s="260"/>
      <c r="L459" s="261"/>
      <c r="M459" s="262" t="str">
        <f t="shared" si="1"/>
        <v/>
      </c>
      <c r="N459" s="263" t="str">
        <f t="shared" si="2"/>
        <v/>
      </c>
      <c r="O459" s="264" t="str">
        <f t="shared" si="3"/>
        <v/>
      </c>
      <c r="P459" s="265" t="str">
        <f>IFERROR(__xludf.DUMMYFUNCTION("IF(ISBLANK(A459),"""",IFERROR(IF(H459=""Sell"",VLOOKUP(9^99,FILTER({ROW(P$2:P458),P$2:P458},D$2:D458=D459),2),(VLOOKUP(9^99,FILTER({ROW(P$2:P458),P$2:P458},D$2:D458=D459),2)*VLOOKUP(9^99,FILTER({ROW(O$2:O458),O$2:O458},D$2:D458=D459),2)-N459)/O459),J459))"),"")</f>
        <v/>
      </c>
      <c r="Q459" s="264" t="str">
        <f>IFERROR(__xludf.DUMMYFUNCTION("IFERROR(IF(F459=""Crypto"",B459,(IF(ISBLANK(D459),"""",IF(D459=""Cash"",B459,IF(GOOGLEFINANCE(D459,""CURRENCY"")=""GBX"",""GBP"",GOOGLEFINANCE(D459,""CURRENCY"")))))),B459)"),"")</f>
        <v/>
      </c>
      <c r="R459" s="263" t="str">
        <f>IFERROR(__xludf.DUMMYFUNCTION("IF(ISBLANK(A459),"""",IFERROR(IF(OR(Q459=""GPB"",Q459=""ZAR""),IF(Q459=Dashboard!$L$1,K459,(K459*GOOGLEFINANCE(""CURRENCY:""&amp;Q459&amp;""""&amp;Dashboard!$L$1&amp;""""))/100),IF(Q459=Dashboard!$L$1,K459,K459*GOOGLEFINANCE(""CURRENCY:""&amp;Q459&amp;""""&amp;Dashboard!$L$1&amp;"""")))"&amp;",K459))"),"")</f>
        <v/>
      </c>
      <c r="S459" s="266" t="str">
        <f>IFERROR(__xludf.DUMMYFUNCTION("IF(ISBLANK(A459),"""",IFERROR(IF(OR(Q459=""GPB"",Q459=""ZAR""),IF(Q459=Dashboard!$L$1,M459,(M459*GOOGLEFINANCE(""CURRENCY:""&amp;Q459&amp;""""&amp;Dashboard!$L$1&amp;""""))/100),IF(Q459=Dashboard!$L$1,M459,M459*GOOGLEFINANCE(""CURRENCY:""&amp;Q459&amp;""""&amp;Dashboard!$L$1&amp;"""")))"&amp;",M459))"),"")</f>
        <v/>
      </c>
      <c r="T459" s="264" t="str">
        <f t="shared" si="4"/>
        <v/>
      </c>
      <c r="U459" s="264" t="str">
        <f t="shared" si="5"/>
        <v/>
      </c>
      <c r="V459" s="264" t="str">
        <f t="shared" si="6"/>
        <v/>
      </c>
      <c r="W459" s="267" t="str">
        <f t="shared" si="8"/>
        <v/>
      </c>
      <c r="X459" s="264" t="str">
        <f t="shared" si="7"/>
        <v/>
      </c>
    </row>
    <row r="460" ht="15.75" customHeight="1">
      <c r="A460" s="258"/>
      <c r="B460" s="258"/>
      <c r="C460" s="269"/>
      <c r="D460" s="258"/>
      <c r="E460" s="258"/>
      <c r="F460" s="258"/>
      <c r="G460" s="258"/>
      <c r="H460" s="271"/>
      <c r="I460" s="258"/>
      <c r="J460" s="272"/>
      <c r="K460" s="260"/>
      <c r="L460" s="261"/>
      <c r="M460" s="262" t="str">
        <f t="shared" si="1"/>
        <v/>
      </c>
      <c r="N460" s="263" t="str">
        <f t="shared" si="2"/>
        <v/>
      </c>
      <c r="O460" s="264" t="str">
        <f t="shared" si="3"/>
        <v/>
      </c>
      <c r="P460" s="265" t="str">
        <f>IFERROR(__xludf.DUMMYFUNCTION("IF(ISBLANK(A460),"""",IFERROR(IF(H460=""Sell"",VLOOKUP(9^99,FILTER({ROW(P$2:P459),P$2:P459},D$2:D459=D460),2),(VLOOKUP(9^99,FILTER({ROW(P$2:P459),P$2:P459},D$2:D459=D460),2)*VLOOKUP(9^99,FILTER({ROW(O$2:O459),O$2:O459},D$2:D459=D460),2)-N460)/O460),J460))"),"")</f>
        <v/>
      </c>
      <c r="Q460" s="264" t="str">
        <f>IFERROR(__xludf.DUMMYFUNCTION("IFERROR(IF(F460=""Crypto"",B460,(IF(ISBLANK(D460),"""",IF(D460=""Cash"",B460,IF(GOOGLEFINANCE(D460,""CURRENCY"")=""GBX"",""GBP"",GOOGLEFINANCE(D460,""CURRENCY"")))))),B460)"),"")</f>
        <v/>
      </c>
      <c r="R460" s="263" t="str">
        <f>IFERROR(__xludf.DUMMYFUNCTION("IF(ISBLANK(A460),"""",IFERROR(IF(OR(Q460=""GPB"",Q460=""ZAR""),IF(Q460=Dashboard!$L$1,K460,(K460*GOOGLEFINANCE(""CURRENCY:""&amp;Q460&amp;""""&amp;Dashboard!$L$1&amp;""""))/100),IF(Q460=Dashboard!$L$1,K460,K460*GOOGLEFINANCE(""CURRENCY:""&amp;Q460&amp;""""&amp;Dashboard!$L$1&amp;"""")))"&amp;",K460))"),"")</f>
        <v/>
      </c>
      <c r="S460" s="266" t="str">
        <f>IFERROR(__xludf.DUMMYFUNCTION("IF(ISBLANK(A460),"""",IFERROR(IF(OR(Q460=""GPB"",Q460=""ZAR""),IF(Q460=Dashboard!$L$1,M460,(M460*GOOGLEFINANCE(""CURRENCY:""&amp;Q460&amp;""""&amp;Dashboard!$L$1&amp;""""))/100),IF(Q460=Dashboard!$L$1,M460,M460*GOOGLEFINANCE(""CURRENCY:""&amp;Q460&amp;""""&amp;Dashboard!$L$1&amp;"""")))"&amp;",M460))"),"")</f>
        <v/>
      </c>
      <c r="T460" s="264" t="str">
        <f t="shared" si="4"/>
        <v/>
      </c>
      <c r="U460" s="264" t="str">
        <f t="shared" si="5"/>
        <v/>
      </c>
      <c r="V460" s="264" t="str">
        <f t="shared" si="6"/>
        <v/>
      </c>
      <c r="W460" s="267" t="str">
        <f t="shared" si="8"/>
        <v/>
      </c>
      <c r="X460" s="264" t="str">
        <f t="shared" si="7"/>
        <v/>
      </c>
    </row>
    <row r="461" ht="15.75" customHeight="1">
      <c r="A461" s="258"/>
      <c r="B461" s="258"/>
      <c r="C461" s="269"/>
      <c r="D461" s="258"/>
      <c r="E461" s="258"/>
      <c r="F461" s="258"/>
      <c r="G461" s="258"/>
      <c r="H461" s="271"/>
      <c r="I461" s="258"/>
      <c r="J461" s="272"/>
      <c r="K461" s="260"/>
      <c r="L461" s="261"/>
      <c r="M461" s="262" t="str">
        <f t="shared" si="1"/>
        <v/>
      </c>
      <c r="N461" s="263" t="str">
        <f t="shared" si="2"/>
        <v/>
      </c>
      <c r="O461" s="264" t="str">
        <f t="shared" si="3"/>
        <v/>
      </c>
      <c r="P461" s="265" t="str">
        <f>IFERROR(__xludf.DUMMYFUNCTION("IF(ISBLANK(A461),"""",IFERROR(IF(H461=""Sell"",VLOOKUP(9^99,FILTER({ROW(P$2:P460),P$2:P460},D$2:D460=D461),2),(VLOOKUP(9^99,FILTER({ROW(P$2:P460),P$2:P460},D$2:D460=D461),2)*VLOOKUP(9^99,FILTER({ROW(O$2:O460),O$2:O460},D$2:D460=D461),2)-N461)/O461),J461))"),"")</f>
        <v/>
      </c>
      <c r="Q461" s="264" t="str">
        <f>IFERROR(__xludf.DUMMYFUNCTION("IFERROR(IF(F461=""Crypto"",B461,(IF(ISBLANK(D461),"""",IF(D461=""Cash"",B461,IF(GOOGLEFINANCE(D461,""CURRENCY"")=""GBX"",""GBP"",GOOGLEFINANCE(D461,""CURRENCY"")))))),B461)"),"")</f>
        <v/>
      </c>
      <c r="R461" s="263" t="str">
        <f>IFERROR(__xludf.DUMMYFUNCTION("IF(ISBLANK(A461),"""",IFERROR(IF(OR(Q461=""GPB"",Q461=""ZAR""),IF(Q461=Dashboard!$L$1,K461,(K461*GOOGLEFINANCE(""CURRENCY:""&amp;Q461&amp;""""&amp;Dashboard!$L$1&amp;""""))/100),IF(Q461=Dashboard!$L$1,K461,K461*GOOGLEFINANCE(""CURRENCY:""&amp;Q461&amp;""""&amp;Dashboard!$L$1&amp;"""")))"&amp;",K461))"),"")</f>
        <v/>
      </c>
      <c r="S461" s="266" t="str">
        <f>IFERROR(__xludf.DUMMYFUNCTION("IF(ISBLANK(A461),"""",IFERROR(IF(OR(Q461=""GPB"",Q461=""ZAR""),IF(Q461=Dashboard!$L$1,M461,(M461*GOOGLEFINANCE(""CURRENCY:""&amp;Q461&amp;""""&amp;Dashboard!$L$1&amp;""""))/100),IF(Q461=Dashboard!$L$1,M461,M461*GOOGLEFINANCE(""CURRENCY:""&amp;Q461&amp;""""&amp;Dashboard!$L$1&amp;"""")))"&amp;",M461))"),"")</f>
        <v/>
      </c>
      <c r="T461" s="264" t="str">
        <f t="shared" si="4"/>
        <v/>
      </c>
      <c r="U461" s="264" t="str">
        <f t="shared" si="5"/>
        <v/>
      </c>
      <c r="V461" s="264" t="str">
        <f t="shared" si="6"/>
        <v/>
      </c>
      <c r="W461" s="267" t="str">
        <f t="shared" si="8"/>
        <v/>
      </c>
      <c r="X461" s="264" t="str">
        <f t="shared" si="7"/>
        <v/>
      </c>
    </row>
    <row r="462" ht="15.75" customHeight="1">
      <c r="A462" s="258"/>
      <c r="B462" s="258"/>
      <c r="C462" s="269"/>
      <c r="D462" s="258"/>
      <c r="E462" s="258"/>
      <c r="F462" s="258"/>
      <c r="G462" s="258"/>
      <c r="H462" s="271"/>
      <c r="I462" s="258"/>
      <c r="J462" s="272"/>
      <c r="K462" s="260"/>
      <c r="L462" s="261"/>
      <c r="M462" s="262" t="str">
        <f t="shared" si="1"/>
        <v/>
      </c>
      <c r="N462" s="263" t="str">
        <f t="shared" si="2"/>
        <v/>
      </c>
      <c r="O462" s="264" t="str">
        <f t="shared" si="3"/>
        <v/>
      </c>
      <c r="P462" s="265" t="str">
        <f>IFERROR(__xludf.DUMMYFUNCTION("IF(ISBLANK(A462),"""",IFERROR(IF(H462=""Sell"",VLOOKUP(9^99,FILTER({ROW(P$2:P461),P$2:P461},D$2:D461=D462),2),(VLOOKUP(9^99,FILTER({ROW(P$2:P461),P$2:P461},D$2:D461=D462),2)*VLOOKUP(9^99,FILTER({ROW(O$2:O461),O$2:O461},D$2:D461=D462),2)-N462)/O462),J462))"),"")</f>
        <v/>
      </c>
      <c r="Q462" s="264" t="str">
        <f>IFERROR(__xludf.DUMMYFUNCTION("IFERROR(IF(F462=""Crypto"",B462,(IF(ISBLANK(D462),"""",IF(D462=""Cash"",B462,IF(GOOGLEFINANCE(D462,""CURRENCY"")=""GBX"",""GBP"",GOOGLEFINANCE(D462,""CURRENCY"")))))),B462)"),"")</f>
        <v/>
      </c>
      <c r="R462" s="263" t="str">
        <f>IFERROR(__xludf.DUMMYFUNCTION("IF(ISBLANK(A462),"""",IFERROR(IF(OR(Q462=""GPB"",Q462=""ZAR""),IF(Q462=Dashboard!$L$1,K462,(K462*GOOGLEFINANCE(""CURRENCY:""&amp;Q462&amp;""""&amp;Dashboard!$L$1&amp;""""))/100),IF(Q462=Dashboard!$L$1,K462,K462*GOOGLEFINANCE(""CURRENCY:""&amp;Q462&amp;""""&amp;Dashboard!$L$1&amp;"""")))"&amp;",K462))"),"")</f>
        <v/>
      </c>
      <c r="S462" s="266" t="str">
        <f>IFERROR(__xludf.DUMMYFUNCTION("IF(ISBLANK(A462),"""",IFERROR(IF(OR(Q462=""GPB"",Q462=""ZAR""),IF(Q462=Dashboard!$L$1,M462,(M462*GOOGLEFINANCE(""CURRENCY:""&amp;Q462&amp;""""&amp;Dashboard!$L$1&amp;""""))/100),IF(Q462=Dashboard!$L$1,M462,M462*GOOGLEFINANCE(""CURRENCY:""&amp;Q462&amp;""""&amp;Dashboard!$L$1&amp;"""")))"&amp;",M462))"),"")</f>
        <v/>
      </c>
      <c r="T462" s="264" t="str">
        <f t="shared" si="4"/>
        <v/>
      </c>
      <c r="U462" s="264" t="str">
        <f t="shared" si="5"/>
        <v/>
      </c>
      <c r="V462" s="264" t="str">
        <f t="shared" si="6"/>
        <v/>
      </c>
      <c r="W462" s="267" t="str">
        <f t="shared" si="8"/>
        <v/>
      </c>
      <c r="X462" s="264" t="str">
        <f t="shared" si="7"/>
        <v/>
      </c>
    </row>
    <row r="463" ht="15.75" customHeight="1">
      <c r="A463" s="258"/>
      <c r="B463" s="258"/>
      <c r="C463" s="269"/>
      <c r="D463" s="258"/>
      <c r="E463" s="258"/>
      <c r="F463" s="258"/>
      <c r="G463" s="258"/>
      <c r="H463" s="271"/>
      <c r="I463" s="258"/>
      <c r="J463" s="272"/>
      <c r="K463" s="260"/>
      <c r="L463" s="261"/>
      <c r="M463" s="262" t="str">
        <f t="shared" si="1"/>
        <v/>
      </c>
      <c r="N463" s="263" t="str">
        <f t="shared" si="2"/>
        <v/>
      </c>
      <c r="O463" s="264" t="str">
        <f t="shared" si="3"/>
        <v/>
      </c>
      <c r="P463" s="265" t="str">
        <f>IFERROR(__xludf.DUMMYFUNCTION("IF(ISBLANK(A463),"""",IFERROR(IF(H463=""Sell"",VLOOKUP(9^99,FILTER({ROW(P$2:P462),P$2:P462},D$2:D462=D463),2),(VLOOKUP(9^99,FILTER({ROW(P$2:P462),P$2:P462},D$2:D462=D463),2)*VLOOKUP(9^99,FILTER({ROW(O$2:O462),O$2:O462},D$2:D462=D463),2)-N463)/O463),J463))"),"")</f>
        <v/>
      </c>
      <c r="Q463" s="264" t="str">
        <f>IFERROR(__xludf.DUMMYFUNCTION("IFERROR(IF(F463=""Crypto"",B463,(IF(ISBLANK(D463),"""",IF(D463=""Cash"",B463,IF(GOOGLEFINANCE(D463,""CURRENCY"")=""GBX"",""GBP"",GOOGLEFINANCE(D463,""CURRENCY"")))))),B463)"),"")</f>
        <v/>
      </c>
      <c r="R463" s="263" t="str">
        <f>IFERROR(__xludf.DUMMYFUNCTION("IF(ISBLANK(A463),"""",IFERROR(IF(OR(Q463=""GPB"",Q463=""ZAR""),IF(Q463=Dashboard!$L$1,K463,(K463*GOOGLEFINANCE(""CURRENCY:""&amp;Q463&amp;""""&amp;Dashboard!$L$1&amp;""""))/100),IF(Q463=Dashboard!$L$1,K463,K463*GOOGLEFINANCE(""CURRENCY:""&amp;Q463&amp;""""&amp;Dashboard!$L$1&amp;"""")))"&amp;",K463))"),"")</f>
        <v/>
      </c>
      <c r="S463" s="266" t="str">
        <f>IFERROR(__xludf.DUMMYFUNCTION("IF(ISBLANK(A463),"""",IFERROR(IF(OR(Q463=""GPB"",Q463=""ZAR""),IF(Q463=Dashboard!$L$1,M463,(M463*GOOGLEFINANCE(""CURRENCY:""&amp;Q463&amp;""""&amp;Dashboard!$L$1&amp;""""))/100),IF(Q463=Dashboard!$L$1,M463,M463*GOOGLEFINANCE(""CURRENCY:""&amp;Q463&amp;""""&amp;Dashboard!$L$1&amp;"""")))"&amp;",M463))"),"")</f>
        <v/>
      </c>
      <c r="T463" s="264" t="str">
        <f t="shared" si="4"/>
        <v/>
      </c>
      <c r="U463" s="264" t="str">
        <f t="shared" si="5"/>
        <v/>
      </c>
      <c r="V463" s="264" t="str">
        <f t="shared" si="6"/>
        <v/>
      </c>
      <c r="W463" s="267" t="str">
        <f t="shared" si="8"/>
        <v/>
      </c>
      <c r="X463" s="264" t="str">
        <f t="shared" si="7"/>
        <v/>
      </c>
    </row>
    <row r="464" ht="15.75" customHeight="1">
      <c r="A464" s="258"/>
      <c r="B464" s="258"/>
      <c r="C464" s="269"/>
      <c r="D464" s="258"/>
      <c r="E464" s="258"/>
      <c r="F464" s="258"/>
      <c r="G464" s="258"/>
      <c r="H464" s="271"/>
      <c r="I464" s="258"/>
      <c r="J464" s="272"/>
      <c r="K464" s="260"/>
      <c r="L464" s="261"/>
      <c r="M464" s="262" t="str">
        <f t="shared" si="1"/>
        <v/>
      </c>
      <c r="N464" s="263" t="str">
        <f t="shared" si="2"/>
        <v/>
      </c>
      <c r="O464" s="264" t="str">
        <f t="shared" si="3"/>
        <v/>
      </c>
      <c r="P464" s="265" t="str">
        <f>IFERROR(__xludf.DUMMYFUNCTION("IF(ISBLANK(A464),"""",IFERROR(IF(H464=""Sell"",VLOOKUP(9^99,FILTER({ROW(P$2:P463),P$2:P463},D$2:D463=D464),2),(VLOOKUP(9^99,FILTER({ROW(P$2:P463),P$2:P463},D$2:D463=D464),2)*VLOOKUP(9^99,FILTER({ROW(O$2:O463),O$2:O463},D$2:D463=D464),2)-N464)/O464),J464))"),"")</f>
        <v/>
      </c>
      <c r="Q464" s="264" t="str">
        <f>IFERROR(__xludf.DUMMYFUNCTION("IFERROR(IF(F464=""Crypto"",B464,(IF(ISBLANK(D464),"""",IF(D464=""Cash"",B464,IF(GOOGLEFINANCE(D464,""CURRENCY"")=""GBX"",""GBP"",GOOGLEFINANCE(D464,""CURRENCY"")))))),B464)"),"")</f>
        <v/>
      </c>
      <c r="R464" s="263" t="str">
        <f>IFERROR(__xludf.DUMMYFUNCTION("IF(ISBLANK(A464),"""",IFERROR(IF(OR(Q464=""GPB"",Q464=""ZAR""),IF(Q464=Dashboard!$L$1,K464,(K464*GOOGLEFINANCE(""CURRENCY:""&amp;Q464&amp;""""&amp;Dashboard!$L$1&amp;""""))/100),IF(Q464=Dashboard!$L$1,K464,K464*GOOGLEFINANCE(""CURRENCY:""&amp;Q464&amp;""""&amp;Dashboard!$L$1&amp;"""")))"&amp;",K464))"),"")</f>
        <v/>
      </c>
      <c r="S464" s="266" t="str">
        <f>IFERROR(__xludf.DUMMYFUNCTION("IF(ISBLANK(A464),"""",IFERROR(IF(OR(Q464=""GPB"",Q464=""ZAR""),IF(Q464=Dashboard!$L$1,M464,(M464*GOOGLEFINANCE(""CURRENCY:""&amp;Q464&amp;""""&amp;Dashboard!$L$1&amp;""""))/100),IF(Q464=Dashboard!$L$1,M464,M464*GOOGLEFINANCE(""CURRENCY:""&amp;Q464&amp;""""&amp;Dashboard!$L$1&amp;"""")))"&amp;",M464))"),"")</f>
        <v/>
      </c>
      <c r="T464" s="264" t="str">
        <f t="shared" si="4"/>
        <v/>
      </c>
      <c r="U464" s="264" t="str">
        <f t="shared" si="5"/>
        <v/>
      </c>
      <c r="V464" s="264" t="str">
        <f t="shared" si="6"/>
        <v/>
      </c>
      <c r="W464" s="267" t="str">
        <f t="shared" si="8"/>
        <v/>
      </c>
      <c r="X464" s="264" t="str">
        <f t="shared" si="7"/>
        <v/>
      </c>
    </row>
    <row r="465" ht="15.75" customHeight="1">
      <c r="A465" s="258"/>
      <c r="B465" s="258"/>
      <c r="C465" s="269"/>
      <c r="D465" s="258"/>
      <c r="E465" s="258"/>
      <c r="F465" s="258"/>
      <c r="G465" s="258"/>
      <c r="H465" s="271"/>
      <c r="I465" s="258"/>
      <c r="J465" s="272"/>
      <c r="K465" s="260"/>
      <c r="L465" s="261"/>
      <c r="M465" s="262" t="str">
        <f t="shared" si="1"/>
        <v/>
      </c>
      <c r="N465" s="263" t="str">
        <f t="shared" si="2"/>
        <v/>
      </c>
      <c r="O465" s="264" t="str">
        <f t="shared" si="3"/>
        <v/>
      </c>
      <c r="P465" s="265" t="str">
        <f>IFERROR(__xludf.DUMMYFUNCTION("IF(ISBLANK(A465),"""",IFERROR(IF(H465=""Sell"",VLOOKUP(9^99,FILTER({ROW(P$2:P464),P$2:P464},D$2:D464=D465),2),(VLOOKUP(9^99,FILTER({ROW(P$2:P464),P$2:P464},D$2:D464=D465),2)*VLOOKUP(9^99,FILTER({ROW(O$2:O464),O$2:O464},D$2:D464=D465),2)-N465)/O465),J465))"),"")</f>
        <v/>
      </c>
      <c r="Q465" s="264" t="str">
        <f>IFERROR(__xludf.DUMMYFUNCTION("IFERROR(IF(F465=""Crypto"",B465,(IF(ISBLANK(D465),"""",IF(D465=""Cash"",B465,IF(GOOGLEFINANCE(D465,""CURRENCY"")=""GBX"",""GBP"",GOOGLEFINANCE(D465,""CURRENCY"")))))),B465)"),"")</f>
        <v/>
      </c>
      <c r="R465" s="263" t="str">
        <f>IFERROR(__xludf.DUMMYFUNCTION("IF(ISBLANK(A465),"""",IFERROR(IF(OR(Q465=""GPB"",Q465=""ZAR""),IF(Q465=Dashboard!$L$1,K465,(K465*GOOGLEFINANCE(""CURRENCY:""&amp;Q465&amp;""""&amp;Dashboard!$L$1&amp;""""))/100),IF(Q465=Dashboard!$L$1,K465,K465*GOOGLEFINANCE(""CURRENCY:""&amp;Q465&amp;""""&amp;Dashboard!$L$1&amp;"""")))"&amp;",K465))"),"")</f>
        <v/>
      </c>
      <c r="S465" s="266" t="str">
        <f>IFERROR(__xludf.DUMMYFUNCTION("IF(ISBLANK(A465),"""",IFERROR(IF(OR(Q465=""GPB"",Q465=""ZAR""),IF(Q465=Dashboard!$L$1,M465,(M465*GOOGLEFINANCE(""CURRENCY:""&amp;Q465&amp;""""&amp;Dashboard!$L$1&amp;""""))/100),IF(Q465=Dashboard!$L$1,M465,M465*GOOGLEFINANCE(""CURRENCY:""&amp;Q465&amp;""""&amp;Dashboard!$L$1&amp;"""")))"&amp;",M465))"),"")</f>
        <v/>
      </c>
      <c r="T465" s="264" t="str">
        <f t="shared" si="4"/>
        <v/>
      </c>
      <c r="U465" s="264" t="str">
        <f t="shared" si="5"/>
        <v/>
      </c>
      <c r="V465" s="264" t="str">
        <f t="shared" si="6"/>
        <v/>
      </c>
      <c r="W465" s="267" t="str">
        <f t="shared" si="8"/>
        <v/>
      </c>
      <c r="X465" s="264" t="str">
        <f t="shared" si="7"/>
        <v/>
      </c>
    </row>
    <row r="466" ht="15.75" customHeight="1">
      <c r="A466" s="258"/>
      <c r="B466" s="258"/>
      <c r="C466" s="269"/>
      <c r="D466" s="258"/>
      <c r="E466" s="258"/>
      <c r="F466" s="258"/>
      <c r="G466" s="258"/>
      <c r="H466" s="271"/>
      <c r="I466" s="258"/>
      <c r="J466" s="272"/>
      <c r="K466" s="260"/>
      <c r="L466" s="261"/>
      <c r="M466" s="262" t="str">
        <f t="shared" si="1"/>
        <v/>
      </c>
      <c r="N466" s="263" t="str">
        <f t="shared" si="2"/>
        <v/>
      </c>
      <c r="O466" s="264" t="str">
        <f t="shared" si="3"/>
        <v/>
      </c>
      <c r="P466" s="265" t="str">
        <f>IFERROR(__xludf.DUMMYFUNCTION("IF(ISBLANK(A466),"""",IFERROR(IF(H466=""Sell"",VLOOKUP(9^99,FILTER({ROW(P$2:P465),P$2:P465},D$2:D465=D466),2),(VLOOKUP(9^99,FILTER({ROW(P$2:P465),P$2:P465},D$2:D465=D466),2)*VLOOKUP(9^99,FILTER({ROW(O$2:O465),O$2:O465},D$2:D465=D466),2)-N466)/O466),J466))"),"")</f>
        <v/>
      </c>
      <c r="Q466" s="264" t="str">
        <f>IFERROR(__xludf.DUMMYFUNCTION("IFERROR(IF(F466=""Crypto"",B466,(IF(ISBLANK(D466),"""",IF(D466=""Cash"",B466,IF(GOOGLEFINANCE(D466,""CURRENCY"")=""GBX"",""GBP"",GOOGLEFINANCE(D466,""CURRENCY"")))))),B466)"),"")</f>
        <v/>
      </c>
      <c r="R466" s="263" t="str">
        <f>IFERROR(__xludf.DUMMYFUNCTION("IF(ISBLANK(A466),"""",IFERROR(IF(OR(Q466=""GPB"",Q466=""ZAR""),IF(Q466=Dashboard!$L$1,K466,(K466*GOOGLEFINANCE(""CURRENCY:""&amp;Q466&amp;""""&amp;Dashboard!$L$1&amp;""""))/100),IF(Q466=Dashboard!$L$1,K466,K466*GOOGLEFINANCE(""CURRENCY:""&amp;Q466&amp;""""&amp;Dashboard!$L$1&amp;"""")))"&amp;",K466))"),"")</f>
        <v/>
      </c>
      <c r="S466" s="266" t="str">
        <f>IFERROR(__xludf.DUMMYFUNCTION("IF(ISBLANK(A466),"""",IFERROR(IF(OR(Q466=""GPB"",Q466=""ZAR""),IF(Q466=Dashboard!$L$1,M466,(M466*GOOGLEFINANCE(""CURRENCY:""&amp;Q466&amp;""""&amp;Dashboard!$L$1&amp;""""))/100),IF(Q466=Dashboard!$L$1,M466,M466*GOOGLEFINANCE(""CURRENCY:""&amp;Q466&amp;""""&amp;Dashboard!$L$1&amp;"""")))"&amp;",M466))"),"")</f>
        <v/>
      </c>
      <c r="T466" s="264" t="str">
        <f t="shared" si="4"/>
        <v/>
      </c>
      <c r="U466" s="264" t="str">
        <f t="shared" si="5"/>
        <v/>
      </c>
      <c r="V466" s="264" t="str">
        <f t="shared" si="6"/>
        <v/>
      </c>
      <c r="W466" s="267" t="str">
        <f t="shared" si="8"/>
        <v/>
      </c>
      <c r="X466" s="264" t="str">
        <f t="shared" si="7"/>
        <v/>
      </c>
    </row>
    <row r="467" ht="15.75" customHeight="1">
      <c r="A467" s="258"/>
      <c r="B467" s="258"/>
      <c r="C467" s="269"/>
      <c r="D467" s="258"/>
      <c r="E467" s="258"/>
      <c r="F467" s="258"/>
      <c r="G467" s="258"/>
      <c r="H467" s="271"/>
      <c r="I467" s="258"/>
      <c r="J467" s="272"/>
      <c r="K467" s="260"/>
      <c r="L467" s="261"/>
      <c r="M467" s="262" t="str">
        <f t="shared" si="1"/>
        <v/>
      </c>
      <c r="N467" s="263" t="str">
        <f t="shared" si="2"/>
        <v/>
      </c>
      <c r="O467" s="264" t="str">
        <f t="shared" si="3"/>
        <v/>
      </c>
      <c r="P467" s="265" t="str">
        <f>IFERROR(__xludf.DUMMYFUNCTION("IF(ISBLANK(A467),"""",IFERROR(IF(H467=""Sell"",VLOOKUP(9^99,FILTER({ROW(P$2:P466),P$2:P466},D$2:D466=D467),2),(VLOOKUP(9^99,FILTER({ROW(P$2:P466),P$2:P466},D$2:D466=D467),2)*VLOOKUP(9^99,FILTER({ROW(O$2:O466),O$2:O466},D$2:D466=D467),2)-N467)/O467),J467))"),"")</f>
        <v/>
      </c>
      <c r="Q467" s="264" t="str">
        <f>IFERROR(__xludf.DUMMYFUNCTION("IFERROR(IF(F467=""Crypto"",B467,(IF(ISBLANK(D467),"""",IF(D467=""Cash"",B467,IF(GOOGLEFINANCE(D467,""CURRENCY"")=""GBX"",""GBP"",GOOGLEFINANCE(D467,""CURRENCY"")))))),B467)"),"")</f>
        <v/>
      </c>
      <c r="R467" s="263" t="str">
        <f>IFERROR(__xludf.DUMMYFUNCTION("IF(ISBLANK(A467),"""",IFERROR(IF(OR(Q467=""GPB"",Q467=""ZAR""),IF(Q467=Dashboard!$L$1,K467,(K467*GOOGLEFINANCE(""CURRENCY:""&amp;Q467&amp;""""&amp;Dashboard!$L$1&amp;""""))/100),IF(Q467=Dashboard!$L$1,K467,K467*GOOGLEFINANCE(""CURRENCY:""&amp;Q467&amp;""""&amp;Dashboard!$L$1&amp;"""")))"&amp;",K467))"),"")</f>
        <v/>
      </c>
      <c r="S467" s="266" t="str">
        <f>IFERROR(__xludf.DUMMYFUNCTION("IF(ISBLANK(A467),"""",IFERROR(IF(OR(Q467=""GPB"",Q467=""ZAR""),IF(Q467=Dashboard!$L$1,M467,(M467*GOOGLEFINANCE(""CURRENCY:""&amp;Q467&amp;""""&amp;Dashboard!$L$1&amp;""""))/100),IF(Q467=Dashboard!$L$1,M467,M467*GOOGLEFINANCE(""CURRENCY:""&amp;Q467&amp;""""&amp;Dashboard!$L$1&amp;"""")))"&amp;",M467))"),"")</f>
        <v/>
      </c>
      <c r="T467" s="264" t="str">
        <f t="shared" si="4"/>
        <v/>
      </c>
      <c r="U467" s="264" t="str">
        <f t="shared" si="5"/>
        <v/>
      </c>
      <c r="V467" s="264" t="str">
        <f t="shared" si="6"/>
        <v/>
      </c>
      <c r="W467" s="267" t="str">
        <f t="shared" si="8"/>
        <v/>
      </c>
      <c r="X467" s="264" t="str">
        <f t="shared" si="7"/>
        <v/>
      </c>
    </row>
    <row r="468" ht="15.75" customHeight="1">
      <c r="A468" s="258"/>
      <c r="B468" s="258"/>
      <c r="C468" s="269"/>
      <c r="D468" s="258"/>
      <c r="E468" s="258"/>
      <c r="F468" s="258"/>
      <c r="G468" s="258"/>
      <c r="H468" s="271"/>
      <c r="I468" s="258"/>
      <c r="J468" s="272"/>
      <c r="K468" s="260"/>
      <c r="L468" s="261"/>
      <c r="M468" s="262" t="str">
        <f t="shared" si="1"/>
        <v/>
      </c>
      <c r="N468" s="263" t="str">
        <f t="shared" si="2"/>
        <v/>
      </c>
      <c r="O468" s="264" t="str">
        <f t="shared" si="3"/>
        <v/>
      </c>
      <c r="P468" s="265" t="str">
        <f>IFERROR(__xludf.DUMMYFUNCTION("IF(ISBLANK(A468),"""",IFERROR(IF(H468=""Sell"",VLOOKUP(9^99,FILTER({ROW(P$2:P467),P$2:P467},D$2:D467=D468),2),(VLOOKUP(9^99,FILTER({ROW(P$2:P467),P$2:P467},D$2:D467=D468),2)*VLOOKUP(9^99,FILTER({ROW(O$2:O467),O$2:O467},D$2:D467=D468),2)-N468)/O468),J468))"),"")</f>
        <v/>
      </c>
      <c r="Q468" s="264" t="str">
        <f>IFERROR(__xludf.DUMMYFUNCTION("IFERROR(IF(F468=""Crypto"",B468,(IF(ISBLANK(D468),"""",IF(D468=""Cash"",B468,IF(GOOGLEFINANCE(D468,""CURRENCY"")=""GBX"",""GBP"",GOOGLEFINANCE(D468,""CURRENCY"")))))),B468)"),"")</f>
        <v/>
      </c>
      <c r="R468" s="263" t="str">
        <f>IFERROR(__xludf.DUMMYFUNCTION("IF(ISBLANK(A468),"""",IFERROR(IF(OR(Q468=""GPB"",Q468=""ZAR""),IF(Q468=Dashboard!$L$1,K468,(K468*GOOGLEFINANCE(""CURRENCY:""&amp;Q468&amp;""""&amp;Dashboard!$L$1&amp;""""))/100),IF(Q468=Dashboard!$L$1,K468,K468*GOOGLEFINANCE(""CURRENCY:""&amp;Q468&amp;""""&amp;Dashboard!$L$1&amp;"""")))"&amp;",K468))"),"")</f>
        <v/>
      </c>
      <c r="S468" s="266" t="str">
        <f>IFERROR(__xludf.DUMMYFUNCTION("IF(ISBLANK(A468),"""",IFERROR(IF(OR(Q468=""GPB"",Q468=""ZAR""),IF(Q468=Dashboard!$L$1,M468,(M468*GOOGLEFINANCE(""CURRENCY:""&amp;Q468&amp;""""&amp;Dashboard!$L$1&amp;""""))/100),IF(Q468=Dashboard!$L$1,M468,M468*GOOGLEFINANCE(""CURRENCY:""&amp;Q468&amp;""""&amp;Dashboard!$L$1&amp;"""")))"&amp;",M468))"),"")</f>
        <v/>
      </c>
      <c r="T468" s="264" t="str">
        <f t="shared" si="4"/>
        <v/>
      </c>
      <c r="U468" s="264" t="str">
        <f t="shared" si="5"/>
        <v/>
      </c>
      <c r="V468" s="264" t="str">
        <f t="shared" si="6"/>
        <v/>
      </c>
      <c r="W468" s="267" t="str">
        <f t="shared" si="8"/>
        <v/>
      </c>
      <c r="X468" s="264" t="str">
        <f t="shared" si="7"/>
        <v/>
      </c>
    </row>
    <row r="469" ht="15.75" customHeight="1">
      <c r="A469" s="258"/>
      <c r="B469" s="258"/>
      <c r="C469" s="269"/>
      <c r="D469" s="258"/>
      <c r="E469" s="258"/>
      <c r="F469" s="258"/>
      <c r="G469" s="258"/>
      <c r="H469" s="271"/>
      <c r="I469" s="258"/>
      <c r="J469" s="272"/>
      <c r="K469" s="260"/>
      <c r="L469" s="261"/>
      <c r="M469" s="262" t="str">
        <f t="shared" si="1"/>
        <v/>
      </c>
      <c r="N469" s="263" t="str">
        <f t="shared" si="2"/>
        <v/>
      </c>
      <c r="O469" s="264" t="str">
        <f t="shared" si="3"/>
        <v/>
      </c>
      <c r="P469" s="265" t="str">
        <f>IFERROR(__xludf.DUMMYFUNCTION("IF(ISBLANK(A469),"""",IFERROR(IF(H469=""Sell"",VLOOKUP(9^99,FILTER({ROW(P$2:P468),P$2:P468},D$2:D468=D469),2),(VLOOKUP(9^99,FILTER({ROW(P$2:P468),P$2:P468},D$2:D468=D469),2)*VLOOKUP(9^99,FILTER({ROW(O$2:O468),O$2:O468},D$2:D468=D469),2)-N469)/O469),J469))"),"")</f>
        <v/>
      </c>
      <c r="Q469" s="264" t="str">
        <f>IFERROR(__xludf.DUMMYFUNCTION("IFERROR(IF(F469=""Crypto"",B469,(IF(ISBLANK(D469),"""",IF(D469=""Cash"",B469,IF(GOOGLEFINANCE(D469,""CURRENCY"")=""GBX"",""GBP"",GOOGLEFINANCE(D469,""CURRENCY"")))))),B469)"),"")</f>
        <v/>
      </c>
      <c r="R469" s="263" t="str">
        <f>IFERROR(__xludf.DUMMYFUNCTION("IF(ISBLANK(A469),"""",IFERROR(IF(OR(Q469=""GPB"",Q469=""ZAR""),IF(Q469=Dashboard!$L$1,K469,(K469*GOOGLEFINANCE(""CURRENCY:""&amp;Q469&amp;""""&amp;Dashboard!$L$1&amp;""""))/100),IF(Q469=Dashboard!$L$1,K469,K469*GOOGLEFINANCE(""CURRENCY:""&amp;Q469&amp;""""&amp;Dashboard!$L$1&amp;"""")))"&amp;",K469))"),"")</f>
        <v/>
      </c>
      <c r="S469" s="266" t="str">
        <f>IFERROR(__xludf.DUMMYFUNCTION("IF(ISBLANK(A469),"""",IFERROR(IF(OR(Q469=""GPB"",Q469=""ZAR""),IF(Q469=Dashboard!$L$1,M469,(M469*GOOGLEFINANCE(""CURRENCY:""&amp;Q469&amp;""""&amp;Dashboard!$L$1&amp;""""))/100),IF(Q469=Dashboard!$L$1,M469,M469*GOOGLEFINANCE(""CURRENCY:""&amp;Q469&amp;""""&amp;Dashboard!$L$1&amp;"""")))"&amp;",M469))"),"")</f>
        <v/>
      </c>
      <c r="T469" s="264" t="str">
        <f t="shared" si="4"/>
        <v/>
      </c>
      <c r="U469" s="264" t="str">
        <f t="shared" si="5"/>
        <v/>
      </c>
      <c r="V469" s="264" t="str">
        <f t="shared" si="6"/>
        <v/>
      </c>
      <c r="W469" s="267" t="str">
        <f t="shared" si="8"/>
        <v/>
      </c>
      <c r="X469" s="264" t="str">
        <f t="shared" si="7"/>
        <v/>
      </c>
    </row>
    <row r="470" ht="15.75" customHeight="1">
      <c r="A470" s="258"/>
      <c r="B470" s="258"/>
      <c r="C470" s="269"/>
      <c r="D470" s="258"/>
      <c r="E470" s="258"/>
      <c r="F470" s="258"/>
      <c r="G470" s="258"/>
      <c r="H470" s="271"/>
      <c r="I470" s="258"/>
      <c r="J470" s="272"/>
      <c r="K470" s="260"/>
      <c r="L470" s="261"/>
      <c r="M470" s="262" t="str">
        <f t="shared" si="1"/>
        <v/>
      </c>
      <c r="N470" s="263" t="str">
        <f t="shared" si="2"/>
        <v/>
      </c>
      <c r="O470" s="264" t="str">
        <f t="shared" si="3"/>
        <v/>
      </c>
      <c r="P470" s="265" t="str">
        <f>IFERROR(__xludf.DUMMYFUNCTION("IF(ISBLANK(A470),"""",IFERROR(IF(H470=""Sell"",VLOOKUP(9^99,FILTER({ROW(P$2:P469),P$2:P469},D$2:D469=D470),2),(VLOOKUP(9^99,FILTER({ROW(P$2:P469),P$2:P469},D$2:D469=D470),2)*VLOOKUP(9^99,FILTER({ROW(O$2:O469),O$2:O469},D$2:D469=D470),2)-N470)/O470),J470))"),"")</f>
        <v/>
      </c>
      <c r="Q470" s="264" t="str">
        <f>IFERROR(__xludf.DUMMYFUNCTION("IFERROR(IF(F470=""Crypto"",B470,(IF(ISBLANK(D470),"""",IF(D470=""Cash"",B470,IF(GOOGLEFINANCE(D470,""CURRENCY"")=""GBX"",""GBP"",GOOGLEFINANCE(D470,""CURRENCY"")))))),B470)"),"")</f>
        <v/>
      </c>
      <c r="R470" s="263" t="str">
        <f>IFERROR(__xludf.DUMMYFUNCTION("IF(ISBLANK(A470),"""",IFERROR(IF(OR(Q470=""GPB"",Q470=""ZAR""),IF(Q470=Dashboard!$L$1,K470,(K470*GOOGLEFINANCE(""CURRENCY:""&amp;Q470&amp;""""&amp;Dashboard!$L$1&amp;""""))/100),IF(Q470=Dashboard!$L$1,K470,K470*GOOGLEFINANCE(""CURRENCY:""&amp;Q470&amp;""""&amp;Dashboard!$L$1&amp;"""")))"&amp;",K470))"),"")</f>
        <v/>
      </c>
      <c r="S470" s="266" t="str">
        <f>IFERROR(__xludf.DUMMYFUNCTION("IF(ISBLANK(A470),"""",IFERROR(IF(OR(Q470=""GPB"",Q470=""ZAR""),IF(Q470=Dashboard!$L$1,M470,(M470*GOOGLEFINANCE(""CURRENCY:""&amp;Q470&amp;""""&amp;Dashboard!$L$1&amp;""""))/100),IF(Q470=Dashboard!$L$1,M470,M470*GOOGLEFINANCE(""CURRENCY:""&amp;Q470&amp;""""&amp;Dashboard!$L$1&amp;"""")))"&amp;",M470))"),"")</f>
        <v/>
      </c>
      <c r="T470" s="264" t="str">
        <f t="shared" si="4"/>
        <v/>
      </c>
      <c r="U470" s="264" t="str">
        <f t="shared" si="5"/>
        <v/>
      </c>
      <c r="V470" s="264" t="str">
        <f t="shared" si="6"/>
        <v/>
      </c>
      <c r="W470" s="267" t="str">
        <f t="shared" si="8"/>
        <v/>
      </c>
      <c r="X470" s="264" t="str">
        <f t="shared" si="7"/>
        <v/>
      </c>
    </row>
    <row r="471" ht="15.75" customHeight="1">
      <c r="A471" s="258"/>
      <c r="B471" s="258"/>
      <c r="C471" s="269"/>
      <c r="D471" s="258"/>
      <c r="E471" s="258"/>
      <c r="F471" s="258"/>
      <c r="G471" s="258"/>
      <c r="H471" s="271"/>
      <c r="I471" s="258"/>
      <c r="J471" s="272"/>
      <c r="K471" s="260"/>
      <c r="L471" s="261"/>
      <c r="M471" s="262" t="str">
        <f t="shared" si="1"/>
        <v/>
      </c>
      <c r="N471" s="263" t="str">
        <f t="shared" si="2"/>
        <v/>
      </c>
      <c r="O471" s="264" t="str">
        <f t="shared" si="3"/>
        <v/>
      </c>
      <c r="P471" s="265" t="str">
        <f>IFERROR(__xludf.DUMMYFUNCTION("IF(ISBLANK(A471),"""",IFERROR(IF(H471=""Sell"",VLOOKUP(9^99,FILTER({ROW(P$2:P470),P$2:P470},D$2:D470=D471),2),(VLOOKUP(9^99,FILTER({ROW(P$2:P470),P$2:P470},D$2:D470=D471),2)*VLOOKUP(9^99,FILTER({ROW(O$2:O470),O$2:O470},D$2:D470=D471),2)-N471)/O471),J471))"),"")</f>
        <v/>
      </c>
      <c r="Q471" s="264" t="str">
        <f>IFERROR(__xludf.DUMMYFUNCTION("IFERROR(IF(F471=""Crypto"",B471,(IF(ISBLANK(D471),"""",IF(D471=""Cash"",B471,IF(GOOGLEFINANCE(D471,""CURRENCY"")=""GBX"",""GBP"",GOOGLEFINANCE(D471,""CURRENCY"")))))),B471)"),"")</f>
        <v/>
      </c>
      <c r="R471" s="263" t="str">
        <f>IFERROR(__xludf.DUMMYFUNCTION("IF(ISBLANK(A471),"""",IFERROR(IF(OR(Q471=""GPB"",Q471=""ZAR""),IF(Q471=Dashboard!$L$1,K471,(K471*GOOGLEFINANCE(""CURRENCY:""&amp;Q471&amp;""""&amp;Dashboard!$L$1&amp;""""))/100),IF(Q471=Dashboard!$L$1,K471,K471*GOOGLEFINANCE(""CURRENCY:""&amp;Q471&amp;""""&amp;Dashboard!$L$1&amp;"""")))"&amp;",K471))"),"")</f>
        <v/>
      </c>
      <c r="S471" s="266" t="str">
        <f>IFERROR(__xludf.DUMMYFUNCTION("IF(ISBLANK(A471),"""",IFERROR(IF(OR(Q471=""GPB"",Q471=""ZAR""),IF(Q471=Dashboard!$L$1,M471,(M471*GOOGLEFINANCE(""CURRENCY:""&amp;Q471&amp;""""&amp;Dashboard!$L$1&amp;""""))/100),IF(Q471=Dashboard!$L$1,M471,M471*GOOGLEFINANCE(""CURRENCY:""&amp;Q471&amp;""""&amp;Dashboard!$L$1&amp;"""")))"&amp;",M471))"),"")</f>
        <v/>
      </c>
      <c r="T471" s="264" t="str">
        <f t="shared" si="4"/>
        <v/>
      </c>
      <c r="U471" s="264" t="str">
        <f t="shared" si="5"/>
        <v/>
      </c>
      <c r="V471" s="264" t="str">
        <f t="shared" si="6"/>
        <v/>
      </c>
      <c r="W471" s="267" t="str">
        <f t="shared" si="8"/>
        <v/>
      </c>
      <c r="X471" s="264" t="str">
        <f t="shared" si="7"/>
        <v/>
      </c>
    </row>
    <row r="472" ht="15.75" customHeight="1">
      <c r="A472" s="258"/>
      <c r="B472" s="258"/>
      <c r="C472" s="269"/>
      <c r="D472" s="258"/>
      <c r="E472" s="258"/>
      <c r="F472" s="258"/>
      <c r="G472" s="258"/>
      <c r="H472" s="271"/>
      <c r="I472" s="258"/>
      <c r="J472" s="272"/>
      <c r="K472" s="260"/>
      <c r="L472" s="261"/>
      <c r="M472" s="262" t="str">
        <f t="shared" si="1"/>
        <v/>
      </c>
      <c r="N472" s="263" t="str">
        <f t="shared" si="2"/>
        <v/>
      </c>
      <c r="O472" s="264" t="str">
        <f t="shared" si="3"/>
        <v/>
      </c>
      <c r="P472" s="265" t="str">
        <f>IFERROR(__xludf.DUMMYFUNCTION("IF(ISBLANK(A472),"""",IFERROR(IF(H472=""Sell"",VLOOKUP(9^99,FILTER({ROW(P$2:P471),P$2:P471},D$2:D471=D472),2),(VLOOKUP(9^99,FILTER({ROW(P$2:P471),P$2:P471},D$2:D471=D472),2)*VLOOKUP(9^99,FILTER({ROW(O$2:O471),O$2:O471},D$2:D471=D472),2)-N472)/O472),J472))"),"")</f>
        <v/>
      </c>
      <c r="Q472" s="264" t="str">
        <f>IFERROR(__xludf.DUMMYFUNCTION("IFERROR(IF(F472=""Crypto"",B472,(IF(ISBLANK(D472),"""",IF(D472=""Cash"",B472,IF(GOOGLEFINANCE(D472,""CURRENCY"")=""GBX"",""GBP"",GOOGLEFINANCE(D472,""CURRENCY"")))))),B472)"),"")</f>
        <v/>
      </c>
      <c r="R472" s="263" t="str">
        <f>IFERROR(__xludf.DUMMYFUNCTION("IF(ISBLANK(A472),"""",IFERROR(IF(OR(Q472=""GPB"",Q472=""ZAR""),IF(Q472=Dashboard!$L$1,K472,(K472*GOOGLEFINANCE(""CURRENCY:""&amp;Q472&amp;""""&amp;Dashboard!$L$1&amp;""""))/100),IF(Q472=Dashboard!$L$1,K472,K472*GOOGLEFINANCE(""CURRENCY:""&amp;Q472&amp;""""&amp;Dashboard!$L$1&amp;"""")))"&amp;",K472))"),"")</f>
        <v/>
      </c>
      <c r="S472" s="266" t="str">
        <f>IFERROR(__xludf.DUMMYFUNCTION("IF(ISBLANK(A472),"""",IFERROR(IF(OR(Q472=""GPB"",Q472=""ZAR""),IF(Q472=Dashboard!$L$1,M472,(M472*GOOGLEFINANCE(""CURRENCY:""&amp;Q472&amp;""""&amp;Dashboard!$L$1&amp;""""))/100),IF(Q472=Dashboard!$L$1,M472,M472*GOOGLEFINANCE(""CURRENCY:""&amp;Q472&amp;""""&amp;Dashboard!$L$1&amp;"""")))"&amp;",M472))"),"")</f>
        <v/>
      </c>
      <c r="T472" s="264" t="str">
        <f t="shared" si="4"/>
        <v/>
      </c>
      <c r="U472" s="264" t="str">
        <f t="shared" si="5"/>
        <v/>
      </c>
      <c r="V472" s="264" t="str">
        <f t="shared" si="6"/>
        <v/>
      </c>
      <c r="W472" s="267" t="str">
        <f t="shared" si="8"/>
        <v/>
      </c>
      <c r="X472" s="264" t="str">
        <f t="shared" si="7"/>
        <v/>
      </c>
    </row>
    <row r="473" ht="15.75" customHeight="1">
      <c r="A473" s="258"/>
      <c r="B473" s="258"/>
      <c r="C473" s="269"/>
      <c r="D473" s="258"/>
      <c r="E473" s="258"/>
      <c r="F473" s="258"/>
      <c r="G473" s="258"/>
      <c r="H473" s="271"/>
      <c r="I473" s="258"/>
      <c r="J473" s="272"/>
      <c r="K473" s="260"/>
      <c r="L473" s="261"/>
      <c r="M473" s="262" t="str">
        <f t="shared" si="1"/>
        <v/>
      </c>
      <c r="N473" s="263" t="str">
        <f t="shared" si="2"/>
        <v/>
      </c>
      <c r="O473" s="264" t="str">
        <f t="shared" si="3"/>
        <v/>
      </c>
      <c r="P473" s="265" t="str">
        <f>IFERROR(__xludf.DUMMYFUNCTION("IF(ISBLANK(A473),"""",IFERROR(IF(H473=""Sell"",VLOOKUP(9^99,FILTER({ROW(P$2:P472),P$2:P472},D$2:D472=D473),2),(VLOOKUP(9^99,FILTER({ROW(P$2:P472),P$2:P472},D$2:D472=D473),2)*VLOOKUP(9^99,FILTER({ROW(O$2:O472),O$2:O472},D$2:D472=D473),2)-N473)/O473),J473))"),"")</f>
        <v/>
      </c>
      <c r="Q473" s="264" t="str">
        <f>IFERROR(__xludf.DUMMYFUNCTION("IFERROR(IF(F473=""Crypto"",B473,(IF(ISBLANK(D473),"""",IF(D473=""Cash"",B473,IF(GOOGLEFINANCE(D473,""CURRENCY"")=""GBX"",""GBP"",GOOGLEFINANCE(D473,""CURRENCY"")))))),B473)"),"")</f>
        <v/>
      </c>
      <c r="R473" s="263" t="str">
        <f>IFERROR(__xludf.DUMMYFUNCTION("IF(ISBLANK(A473),"""",IFERROR(IF(OR(Q473=""GPB"",Q473=""ZAR""),IF(Q473=Dashboard!$L$1,K473,(K473*GOOGLEFINANCE(""CURRENCY:""&amp;Q473&amp;""""&amp;Dashboard!$L$1&amp;""""))/100),IF(Q473=Dashboard!$L$1,K473,K473*GOOGLEFINANCE(""CURRENCY:""&amp;Q473&amp;""""&amp;Dashboard!$L$1&amp;"""")))"&amp;",K473))"),"")</f>
        <v/>
      </c>
      <c r="S473" s="266" t="str">
        <f>IFERROR(__xludf.DUMMYFUNCTION("IF(ISBLANK(A473),"""",IFERROR(IF(OR(Q473=""GPB"",Q473=""ZAR""),IF(Q473=Dashboard!$L$1,M473,(M473*GOOGLEFINANCE(""CURRENCY:""&amp;Q473&amp;""""&amp;Dashboard!$L$1&amp;""""))/100),IF(Q473=Dashboard!$L$1,M473,M473*GOOGLEFINANCE(""CURRENCY:""&amp;Q473&amp;""""&amp;Dashboard!$L$1&amp;"""")))"&amp;",M473))"),"")</f>
        <v/>
      </c>
      <c r="T473" s="264" t="str">
        <f t="shared" si="4"/>
        <v/>
      </c>
      <c r="U473" s="264" t="str">
        <f t="shared" si="5"/>
        <v/>
      </c>
      <c r="V473" s="264" t="str">
        <f t="shared" si="6"/>
        <v/>
      </c>
      <c r="W473" s="267" t="str">
        <f t="shared" si="8"/>
        <v/>
      </c>
      <c r="X473" s="264" t="str">
        <f t="shared" si="7"/>
        <v/>
      </c>
    </row>
    <row r="474" ht="15.75" customHeight="1">
      <c r="A474" s="258"/>
      <c r="B474" s="258"/>
      <c r="C474" s="269"/>
      <c r="D474" s="258"/>
      <c r="E474" s="258"/>
      <c r="F474" s="258"/>
      <c r="G474" s="258"/>
      <c r="H474" s="271"/>
      <c r="I474" s="258"/>
      <c r="J474" s="272"/>
      <c r="K474" s="260"/>
      <c r="L474" s="261"/>
      <c r="M474" s="262" t="str">
        <f t="shared" si="1"/>
        <v/>
      </c>
      <c r="N474" s="263" t="str">
        <f t="shared" si="2"/>
        <v/>
      </c>
      <c r="O474" s="264" t="str">
        <f t="shared" si="3"/>
        <v/>
      </c>
      <c r="P474" s="265" t="str">
        <f>IFERROR(__xludf.DUMMYFUNCTION("IF(ISBLANK(A474),"""",IFERROR(IF(H474=""Sell"",VLOOKUP(9^99,FILTER({ROW(P$2:P473),P$2:P473},D$2:D473=D474),2),(VLOOKUP(9^99,FILTER({ROW(P$2:P473),P$2:P473},D$2:D473=D474),2)*VLOOKUP(9^99,FILTER({ROW(O$2:O473),O$2:O473},D$2:D473=D474),2)-N474)/O474),J474))"),"")</f>
        <v/>
      </c>
      <c r="Q474" s="264" t="str">
        <f>IFERROR(__xludf.DUMMYFUNCTION("IFERROR(IF(F474=""Crypto"",B474,(IF(ISBLANK(D474),"""",IF(D474=""Cash"",B474,IF(GOOGLEFINANCE(D474,""CURRENCY"")=""GBX"",""GBP"",GOOGLEFINANCE(D474,""CURRENCY"")))))),B474)"),"")</f>
        <v/>
      </c>
      <c r="R474" s="263" t="str">
        <f>IFERROR(__xludf.DUMMYFUNCTION("IF(ISBLANK(A474),"""",IFERROR(IF(OR(Q474=""GPB"",Q474=""ZAR""),IF(Q474=Dashboard!$L$1,K474,(K474*GOOGLEFINANCE(""CURRENCY:""&amp;Q474&amp;""""&amp;Dashboard!$L$1&amp;""""))/100),IF(Q474=Dashboard!$L$1,K474,K474*GOOGLEFINANCE(""CURRENCY:""&amp;Q474&amp;""""&amp;Dashboard!$L$1&amp;"""")))"&amp;",K474))"),"")</f>
        <v/>
      </c>
      <c r="S474" s="266" t="str">
        <f>IFERROR(__xludf.DUMMYFUNCTION("IF(ISBLANK(A474),"""",IFERROR(IF(OR(Q474=""GPB"",Q474=""ZAR""),IF(Q474=Dashboard!$L$1,M474,(M474*GOOGLEFINANCE(""CURRENCY:""&amp;Q474&amp;""""&amp;Dashboard!$L$1&amp;""""))/100),IF(Q474=Dashboard!$L$1,M474,M474*GOOGLEFINANCE(""CURRENCY:""&amp;Q474&amp;""""&amp;Dashboard!$L$1&amp;"""")))"&amp;",M474))"),"")</f>
        <v/>
      </c>
      <c r="T474" s="264" t="str">
        <f t="shared" si="4"/>
        <v/>
      </c>
      <c r="U474" s="264" t="str">
        <f t="shared" si="5"/>
        <v/>
      </c>
      <c r="V474" s="264" t="str">
        <f t="shared" si="6"/>
        <v/>
      </c>
      <c r="W474" s="267" t="str">
        <f t="shared" si="8"/>
        <v/>
      </c>
      <c r="X474" s="264" t="str">
        <f t="shared" si="7"/>
        <v/>
      </c>
    </row>
    <row r="475" ht="15.75" customHeight="1">
      <c r="A475" s="258"/>
      <c r="B475" s="258"/>
      <c r="C475" s="269"/>
      <c r="D475" s="258"/>
      <c r="E475" s="258"/>
      <c r="F475" s="258"/>
      <c r="G475" s="258"/>
      <c r="H475" s="271"/>
      <c r="I475" s="258"/>
      <c r="J475" s="272"/>
      <c r="K475" s="260"/>
      <c r="L475" s="261"/>
      <c r="M475" s="262" t="str">
        <f t="shared" si="1"/>
        <v/>
      </c>
      <c r="N475" s="263" t="str">
        <f t="shared" si="2"/>
        <v/>
      </c>
      <c r="O475" s="264" t="str">
        <f t="shared" si="3"/>
        <v/>
      </c>
      <c r="P475" s="265" t="str">
        <f>IFERROR(__xludf.DUMMYFUNCTION("IF(ISBLANK(A475),"""",IFERROR(IF(H475=""Sell"",VLOOKUP(9^99,FILTER({ROW(P$2:P474),P$2:P474},D$2:D474=D475),2),(VLOOKUP(9^99,FILTER({ROW(P$2:P474),P$2:P474},D$2:D474=D475),2)*VLOOKUP(9^99,FILTER({ROW(O$2:O474),O$2:O474},D$2:D474=D475),2)-N475)/O475),J475))"),"")</f>
        <v/>
      </c>
      <c r="Q475" s="264" t="str">
        <f>IFERROR(__xludf.DUMMYFUNCTION("IFERROR(IF(F475=""Crypto"",B475,(IF(ISBLANK(D475),"""",IF(D475=""Cash"",B475,IF(GOOGLEFINANCE(D475,""CURRENCY"")=""GBX"",""GBP"",GOOGLEFINANCE(D475,""CURRENCY"")))))),B475)"),"")</f>
        <v/>
      </c>
      <c r="R475" s="263" t="str">
        <f>IFERROR(__xludf.DUMMYFUNCTION("IF(ISBLANK(A475),"""",IFERROR(IF(OR(Q475=""GPB"",Q475=""ZAR""),IF(Q475=Dashboard!$L$1,K475,(K475*GOOGLEFINANCE(""CURRENCY:""&amp;Q475&amp;""""&amp;Dashboard!$L$1&amp;""""))/100),IF(Q475=Dashboard!$L$1,K475,K475*GOOGLEFINANCE(""CURRENCY:""&amp;Q475&amp;""""&amp;Dashboard!$L$1&amp;"""")))"&amp;",K475))"),"")</f>
        <v/>
      </c>
      <c r="S475" s="266" t="str">
        <f>IFERROR(__xludf.DUMMYFUNCTION("IF(ISBLANK(A475),"""",IFERROR(IF(OR(Q475=""GPB"",Q475=""ZAR""),IF(Q475=Dashboard!$L$1,M475,(M475*GOOGLEFINANCE(""CURRENCY:""&amp;Q475&amp;""""&amp;Dashboard!$L$1&amp;""""))/100),IF(Q475=Dashboard!$L$1,M475,M475*GOOGLEFINANCE(""CURRENCY:""&amp;Q475&amp;""""&amp;Dashboard!$L$1&amp;"""")))"&amp;",M475))"),"")</f>
        <v/>
      </c>
      <c r="T475" s="264" t="str">
        <f t="shared" si="4"/>
        <v/>
      </c>
      <c r="U475" s="264" t="str">
        <f t="shared" si="5"/>
        <v/>
      </c>
      <c r="V475" s="264" t="str">
        <f t="shared" si="6"/>
        <v/>
      </c>
      <c r="W475" s="267" t="str">
        <f t="shared" si="8"/>
        <v/>
      </c>
      <c r="X475" s="264" t="str">
        <f t="shared" si="7"/>
        <v/>
      </c>
    </row>
    <row r="476" ht="15.75" customHeight="1">
      <c r="A476" s="258"/>
      <c r="B476" s="258"/>
      <c r="C476" s="269"/>
      <c r="D476" s="258"/>
      <c r="E476" s="258"/>
      <c r="F476" s="258"/>
      <c r="G476" s="258"/>
      <c r="H476" s="271"/>
      <c r="I476" s="258"/>
      <c r="J476" s="272"/>
      <c r="K476" s="260"/>
      <c r="L476" s="261"/>
      <c r="M476" s="262" t="str">
        <f t="shared" si="1"/>
        <v/>
      </c>
      <c r="N476" s="263" t="str">
        <f t="shared" si="2"/>
        <v/>
      </c>
      <c r="O476" s="264" t="str">
        <f t="shared" si="3"/>
        <v/>
      </c>
      <c r="P476" s="265" t="str">
        <f>IFERROR(__xludf.DUMMYFUNCTION("IF(ISBLANK(A476),"""",IFERROR(IF(H476=""Sell"",VLOOKUP(9^99,FILTER({ROW(P$2:P475),P$2:P475},D$2:D475=D476),2),(VLOOKUP(9^99,FILTER({ROW(P$2:P475),P$2:P475},D$2:D475=D476),2)*VLOOKUP(9^99,FILTER({ROW(O$2:O475),O$2:O475},D$2:D475=D476),2)-N476)/O476),J476))"),"")</f>
        <v/>
      </c>
      <c r="Q476" s="264" t="str">
        <f>IFERROR(__xludf.DUMMYFUNCTION("IFERROR(IF(F476=""Crypto"",B476,(IF(ISBLANK(D476),"""",IF(D476=""Cash"",B476,IF(GOOGLEFINANCE(D476,""CURRENCY"")=""GBX"",""GBP"",GOOGLEFINANCE(D476,""CURRENCY"")))))),B476)"),"")</f>
        <v/>
      </c>
      <c r="R476" s="263" t="str">
        <f>IFERROR(__xludf.DUMMYFUNCTION("IF(ISBLANK(A476),"""",IFERROR(IF(OR(Q476=""GPB"",Q476=""ZAR""),IF(Q476=Dashboard!$L$1,K476,(K476*GOOGLEFINANCE(""CURRENCY:""&amp;Q476&amp;""""&amp;Dashboard!$L$1&amp;""""))/100),IF(Q476=Dashboard!$L$1,K476,K476*GOOGLEFINANCE(""CURRENCY:""&amp;Q476&amp;""""&amp;Dashboard!$L$1&amp;"""")))"&amp;",K476))"),"")</f>
        <v/>
      </c>
      <c r="S476" s="266" t="str">
        <f>IFERROR(__xludf.DUMMYFUNCTION("IF(ISBLANK(A476),"""",IFERROR(IF(OR(Q476=""GPB"",Q476=""ZAR""),IF(Q476=Dashboard!$L$1,M476,(M476*GOOGLEFINANCE(""CURRENCY:""&amp;Q476&amp;""""&amp;Dashboard!$L$1&amp;""""))/100),IF(Q476=Dashboard!$L$1,M476,M476*GOOGLEFINANCE(""CURRENCY:""&amp;Q476&amp;""""&amp;Dashboard!$L$1&amp;"""")))"&amp;",M476))"),"")</f>
        <v/>
      </c>
      <c r="T476" s="264" t="str">
        <f t="shared" si="4"/>
        <v/>
      </c>
      <c r="U476" s="264" t="str">
        <f t="shared" si="5"/>
        <v/>
      </c>
      <c r="V476" s="264" t="str">
        <f t="shared" si="6"/>
        <v/>
      </c>
      <c r="W476" s="267" t="str">
        <f t="shared" si="8"/>
        <v/>
      </c>
      <c r="X476" s="264" t="str">
        <f t="shared" si="7"/>
        <v/>
      </c>
    </row>
    <row r="477" ht="15.75" customHeight="1">
      <c r="A477" s="258"/>
      <c r="B477" s="258"/>
      <c r="C477" s="269"/>
      <c r="D477" s="258"/>
      <c r="E477" s="258"/>
      <c r="F477" s="258"/>
      <c r="G477" s="258"/>
      <c r="H477" s="271"/>
      <c r="I477" s="258"/>
      <c r="J477" s="272"/>
      <c r="K477" s="260"/>
      <c r="L477" s="261"/>
      <c r="M477" s="262" t="str">
        <f t="shared" si="1"/>
        <v/>
      </c>
      <c r="N477" s="263" t="str">
        <f t="shared" si="2"/>
        <v/>
      </c>
      <c r="O477" s="264" t="str">
        <f t="shared" si="3"/>
        <v/>
      </c>
      <c r="P477" s="265" t="str">
        <f>IFERROR(__xludf.DUMMYFUNCTION("IF(ISBLANK(A477),"""",IFERROR(IF(H477=""Sell"",VLOOKUP(9^99,FILTER({ROW(P$2:P476),P$2:P476},D$2:D476=D477),2),(VLOOKUP(9^99,FILTER({ROW(P$2:P476),P$2:P476},D$2:D476=D477),2)*VLOOKUP(9^99,FILTER({ROW(O$2:O476),O$2:O476},D$2:D476=D477),2)-N477)/O477),J477))"),"")</f>
        <v/>
      </c>
      <c r="Q477" s="264" t="str">
        <f>IFERROR(__xludf.DUMMYFUNCTION("IFERROR(IF(F477=""Crypto"",B477,(IF(ISBLANK(D477),"""",IF(D477=""Cash"",B477,IF(GOOGLEFINANCE(D477,""CURRENCY"")=""GBX"",""GBP"",GOOGLEFINANCE(D477,""CURRENCY"")))))),B477)"),"")</f>
        <v/>
      </c>
      <c r="R477" s="263" t="str">
        <f>IFERROR(__xludf.DUMMYFUNCTION("IF(ISBLANK(A477),"""",IFERROR(IF(OR(Q477=""GPB"",Q477=""ZAR""),IF(Q477=Dashboard!$L$1,K477,(K477*GOOGLEFINANCE(""CURRENCY:""&amp;Q477&amp;""""&amp;Dashboard!$L$1&amp;""""))/100),IF(Q477=Dashboard!$L$1,K477,K477*GOOGLEFINANCE(""CURRENCY:""&amp;Q477&amp;""""&amp;Dashboard!$L$1&amp;"""")))"&amp;",K477))"),"")</f>
        <v/>
      </c>
      <c r="S477" s="266" t="str">
        <f>IFERROR(__xludf.DUMMYFUNCTION("IF(ISBLANK(A477),"""",IFERROR(IF(OR(Q477=""GPB"",Q477=""ZAR""),IF(Q477=Dashboard!$L$1,M477,(M477*GOOGLEFINANCE(""CURRENCY:""&amp;Q477&amp;""""&amp;Dashboard!$L$1&amp;""""))/100),IF(Q477=Dashboard!$L$1,M477,M477*GOOGLEFINANCE(""CURRENCY:""&amp;Q477&amp;""""&amp;Dashboard!$L$1&amp;"""")))"&amp;",M477))"),"")</f>
        <v/>
      </c>
      <c r="T477" s="264" t="str">
        <f t="shared" si="4"/>
        <v/>
      </c>
      <c r="U477" s="264" t="str">
        <f t="shared" si="5"/>
        <v/>
      </c>
      <c r="V477" s="264" t="str">
        <f t="shared" si="6"/>
        <v/>
      </c>
      <c r="W477" s="267" t="str">
        <f t="shared" si="8"/>
        <v/>
      </c>
      <c r="X477" s="264" t="str">
        <f t="shared" si="7"/>
        <v/>
      </c>
    </row>
    <row r="478" ht="15.75" customHeight="1">
      <c r="A478" s="258"/>
      <c r="B478" s="258"/>
      <c r="C478" s="269"/>
      <c r="D478" s="258"/>
      <c r="E478" s="258"/>
      <c r="F478" s="258"/>
      <c r="G478" s="258"/>
      <c r="H478" s="271"/>
      <c r="I478" s="258"/>
      <c r="J478" s="272"/>
      <c r="K478" s="260"/>
      <c r="L478" s="261"/>
      <c r="M478" s="262" t="str">
        <f t="shared" si="1"/>
        <v/>
      </c>
      <c r="N478" s="263" t="str">
        <f t="shared" si="2"/>
        <v/>
      </c>
      <c r="O478" s="264" t="str">
        <f t="shared" si="3"/>
        <v/>
      </c>
      <c r="P478" s="265" t="str">
        <f>IFERROR(__xludf.DUMMYFUNCTION("IF(ISBLANK(A478),"""",IFERROR(IF(H478=""Sell"",VLOOKUP(9^99,FILTER({ROW(P$2:P477),P$2:P477},D$2:D477=D478),2),(VLOOKUP(9^99,FILTER({ROW(P$2:P477),P$2:P477},D$2:D477=D478),2)*VLOOKUP(9^99,FILTER({ROW(O$2:O477),O$2:O477},D$2:D477=D478),2)-N478)/O478),J478))"),"")</f>
        <v/>
      </c>
      <c r="Q478" s="264" t="str">
        <f>IFERROR(__xludf.DUMMYFUNCTION("IFERROR(IF(F478=""Crypto"",B478,(IF(ISBLANK(D478),"""",IF(D478=""Cash"",B478,IF(GOOGLEFINANCE(D478,""CURRENCY"")=""GBX"",""GBP"",GOOGLEFINANCE(D478,""CURRENCY"")))))),B478)"),"")</f>
        <v/>
      </c>
      <c r="R478" s="263" t="str">
        <f>IFERROR(__xludf.DUMMYFUNCTION("IF(ISBLANK(A478),"""",IFERROR(IF(OR(Q478=""GPB"",Q478=""ZAR""),IF(Q478=Dashboard!$L$1,K478,(K478*GOOGLEFINANCE(""CURRENCY:""&amp;Q478&amp;""""&amp;Dashboard!$L$1&amp;""""))/100),IF(Q478=Dashboard!$L$1,K478,K478*GOOGLEFINANCE(""CURRENCY:""&amp;Q478&amp;""""&amp;Dashboard!$L$1&amp;"""")))"&amp;",K478))"),"")</f>
        <v/>
      </c>
      <c r="S478" s="266" t="str">
        <f>IFERROR(__xludf.DUMMYFUNCTION("IF(ISBLANK(A478),"""",IFERROR(IF(OR(Q478=""GPB"",Q478=""ZAR""),IF(Q478=Dashboard!$L$1,M478,(M478*GOOGLEFINANCE(""CURRENCY:""&amp;Q478&amp;""""&amp;Dashboard!$L$1&amp;""""))/100),IF(Q478=Dashboard!$L$1,M478,M478*GOOGLEFINANCE(""CURRENCY:""&amp;Q478&amp;""""&amp;Dashboard!$L$1&amp;"""")))"&amp;",M478))"),"")</f>
        <v/>
      </c>
      <c r="T478" s="264" t="str">
        <f t="shared" si="4"/>
        <v/>
      </c>
      <c r="U478" s="264" t="str">
        <f t="shared" si="5"/>
        <v/>
      </c>
      <c r="V478" s="264" t="str">
        <f t="shared" si="6"/>
        <v/>
      </c>
      <c r="W478" s="267" t="str">
        <f t="shared" si="8"/>
        <v/>
      </c>
      <c r="X478" s="264" t="str">
        <f t="shared" si="7"/>
        <v/>
      </c>
    </row>
    <row r="479" ht="15.75" customHeight="1">
      <c r="A479" s="258"/>
      <c r="B479" s="258"/>
      <c r="C479" s="269"/>
      <c r="D479" s="258"/>
      <c r="E479" s="258"/>
      <c r="F479" s="258"/>
      <c r="G479" s="258"/>
      <c r="H479" s="271"/>
      <c r="I479" s="258"/>
      <c r="J479" s="272"/>
      <c r="K479" s="260"/>
      <c r="L479" s="261"/>
      <c r="M479" s="262" t="str">
        <f t="shared" si="1"/>
        <v/>
      </c>
      <c r="N479" s="263" t="str">
        <f t="shared" si="2"/>
        <v/>
      </c>
      <c r="O479" s="264" t="str">
        <f t="shared" si="3"/>
        <v/>
      </c>
      <c r="P479" s="265" t="str">
        <f>IFERROR(__xludf.DUMMYFUNCTION("IF(ISBLANK(A479),"""",IFERROR(IF(H479=""Sell"",VLOOKUP(9^99,FILTER({ROW(P$2:P478),P$2:P478},D$2:D478=D479),2),(VLOOKUP(9^99,FILTER({ROW(P$2:P478),P$2:P478},D$2:D478=D479),2)*VLOOKUP(9^99,FILTER({ROW(O$2:O478),O$2:O478},D$2:D478=D479),2)-N479)/O479),J479))"),"")</f>
        <v/>
      </c>
      <c r="Q479" s="264" t="str">
        <f>IFERROR(__xludf.DUMMYFUNCTION("IFERROR(IF(F479=""Crypto"",B479,(IF(ISBLANK(D479),"""",IF(D479=""Cash"",B479,IF(GOOGLEFINANCE(D479,""CURRENCY"")=""GBX"",""GBP"",GOOGLEFINANCE(D479,""CURRENCY"")))))),B479)"),"")</f>
        <v/>
      </c>
      <c r="R479" s="263" t="str">
        <f>IFERROR(__xludf.DUMMYFUNCTION("IF(ISBLANK(A479),"""",IFERROR(IF(OR(Q479=""GPB"",Q479=""ZAR""),IF(Q479=Dashboard!$L$1,K479,(K479*GOOGLEFINANCE(""CURRENCY:""&amp;Q479&amp;""""&amp;Dashboard!$L$1&amp;""""))/100),IF(Q479=Dashboard!$L$1,K479,K479*GOOGLEFINANCE(""CURRENCY:""&amp;Q479&amp;""""&amp;Dashboard!$L$1&amp;"""")))"&amp;",K479))"),"")</f>
        <v/>
      </c>
      <c r="S479" s="266" t="str">
        <f>IFERROR(__xludf.DUMMYFUNCTION("IF(ISBLANK(A479),"""",IFERROR(IF(OR(Q479=""GPB"",Q479=""ZAR""),IF(Q479=Dashboard!$L$1,M479,(M479*GOOGLEFINANCE(""CURRENCY:""&amp;Q479&amp;""""&amp;Dashboard!$L$1&amp;""""))/100),IF(Q479=Dashboard!$L$1,M479,M479*GOOGLEFINANCE(""CURRENCY:""&amp;Q479&amp;""""&amp;Dashboard!$L$1&amp;"""")))"&amp;",M479))"),"")</f>
        <v/>
      </c>
      <c r="T479" s="264" t="str">
        <f t="shared" si="4"/>
        <v/>
      </c>
      <c r="U479" s="264" t="str">
        <f t="shared" si="5"/>
        <v/>
      </c>
      <c r="V479" s="264" t="str">
        <f t="shared" si="6"/>
        <v/>
      </c>
      <c r="W479" s="267" t="str">
        <f t="shared" si="8"/>
        <v/>
      </c>
      <c r="X479" s="264" t="str">
        <f t="shared" si="7"/>
        <v/>
      </c>
    </row>
    <row r="480" ht="15.75" customHeight="1">
      <c r="A480" s="258"/>
      <c r="B480" s="258"/>
      <c r="C480" s="269"/>
      <c r="D480" s="258"/>
      <c r="E480" s="258"/>
      <c r="F480" s="258"/>
      <c r="G480" s="258"/>
      <c r="H480" s="271"/>
      <c r="I480" s="258"/>
      <c r="J480" s="272"/>
      <c r="K480" s="260"/>
      <c r="L480" s="261"/>
      <c r="M480" s="262" t="str">
        <f t="shared" si="1"/>
        <v/>
      </c>
      <c r="N480" s="263" t="str">
        <f t="shared" si="2"/>
        <v/>
      </c>
      <c r="O480" s="264" t="str">
        <f t="shared" si="3"/>
        <v/>
      </c>
      <c r="P480" s="265" t="str">
        <f>IFERROR(__xludf.DUMMYFUNCTION("IF(ISBLANK(A480),"""",IFERROR(IF(H480=""Sell"",VLOOKUP(9^99,FILTER({ROW(P$2:P479),P$2:P479},D$2:D479=D480),2),(VLOOKUP(9^99,FILTER({ROW(P$2:P479),P$2:P479},D$2:D479=D480),2)*VLOOKUP(9^99,FILTER({ROW(O$2:O479),O$2:O479},D$2:D479=D480),2)-N480)/O480),J480))"),"")</f>
        <v/>
      </c>
      <c r="Q480" s="264" t="str">
        <f>IFERROR(__xludf.DUMMYFUNCTION("IFERROR(IF(F480=""Crypto"",B480,(IF(ISBLANK(D480),"""",IF(D480=""Cash"",B480,IF(GOOGLEFINANCE(D480,""CURRENCY"")=""GBX"",""GBP"",GOOGLEFINANCE(D480,""CURRENCY"")))))),B480)"),"")</f>
        <v/>
      </c>
      <c r="R480" s="263" t="str">
        <f>IFERROR(__xludf.DUMMYFUNCTION("IF(ISBLANK(A480),"""",IFERROR(IF(OR(Q480=""GPB"",Q480=""ZAR""),IF(Q480=Dashboard!$L$1,K480,(K480*GOOGLEFINANCE(""CURRENCY:""&amp;Q480&amp;""""&amp;Dashboard!$L$1&amp;""""))/100),IF(Q480=Dashboard!$L$1,K480,K480*GOOGLEFINANCE(""CURRENCY:""&amp;Q480&amp;""""&amp;Dashboard!$L$1&amp;"""")))"&amp;",K480))"),"")</f>
        <v/>
      </c>
      <c r="S480" s="266" t="str">
        <f>IFERROR(__xludf.DUMMYFUNCTION("IF(ISBLANK(A480),"""",IFERROR(IF(OR(Q480=""GPB"",Q480=""ZAR""),IF(Q480=Dashboard!$L$1,M480,(M480*GOOGLEFINANCE(""CURRENCY:""&amp;Q480&amp;""""&amp;Dashboard!$L$1&amp;""""))/100),IF(Q480=Dashboard!$L$1,M480,M480*GOOGLEFINANCE(""CURRENCY:""&amp;Q480&amp;""""&amp;Dashboard!$L$1&amp;"""")))"&amp;",M480))"),"")</f>
        <v/>
      </c>
      <c r="T480" s="264" t="str">
        <f t="shared" si="4"/>
        <v/>
      </c>
      <c r="U480" s="264" t="str">
        <f t="shared" si="5"/>
        <v/>
      </c>
      <c r="V480" s="264" t="str">
        <f t="shared" si="6"/>
        <v/>
      </c>
      <c r="W480" s="267" t="str">
        <f t="shared" si="8"/>
        <v/>
      </c>
      <c r="X480" s="264" t="str">
        <f t="shared" si="7"/>
        <v/>
      </c>
    </row>
    <row r="481" ht="15.75" customHeight="1">
      <c r="A481" s="258"/>
      <c r="B481" s="258"/>
      <c r="C481" s="269"/>
      <c r="D481" s="258"/>
      <c r="E481" s="258"/>
      <c r="F481" s="258"/>
      <c r="G481" s="258"/>
      <c r="H481" s="271"/>
      <c r="I481" s="258"/>
      <c r="J481" s="272"/>
      <c r="K481" s="260"/>
      <c r="L481" s="261"/>
      <c r="M481" s="262" t="str">
        <f t="shared" si="1"/>
        <v/>
      </c>
      <c r="N481" s="263" t="str">
        <f t="shared" si="2"/>
        <v/>
      </c>
      <c r="O481" s="264" t="str">
        <f t="shared" si="3"/>
        <v/>
      </c>
      <c r="P481" s="265" t="str">
        <f>IFERROR(__xludf.DUMMYFUNCTION("IF(ISBLANK(A481),"""",IFERROR(IF(H481=""Sell"",VLOOKUP(9^99,FILTER({ROW(P$2:P480),P$2:P480},D$2:D480=D481),2),(VLOOKUP(9^99,FILTER({ROW(P$2:P480),P$2:P480},D$2:D480=D481),2)*VLOOKUP(9^99,FILTER({ROW(O$2:O480),O$2:O480},D$2:D480=D481),2)-N481)/O481),J481))"),"")</f>
        <v/>
      </c>
      <c r="Q481" s="264" t="str">
        <f>IFERROR(__xludf.DUMMYFUNCTION("IFERROR(IF(F481=""Crypto"",B481,(IF(ISBLANK(D481),"""",IF(D481=""Cash"",B481,IF(GOOGLEFINANCE(D481,""CURRENCY"")=""GBX"",""GBP"",GOOGLEFINANCE(D481,""CURRENCY"")))))),B481)"),"")</f>
        <v/>
      </c>
      <c r="R481" s="263" t="str">
        <f>IFERROR(__xludf.DUMMYFUNCTION("IF(ISBLANK(A481),"""",IFERROR(IF(OR(Q481=""GPB"",Q481=""ZAR""),IF(Q481=Dashboard!$L$1,K481,(K481*GOOGLEFINANCE(""CURRENCY:""&amp;Q481&amp;""""&amp;Dashboard!$L$1&amp;""""))/100),IF(Q481=Dashboard!$L$1,K481,K481*GOOGLEFINANCE(""CURRENCY:""&amp;Q481&amp;""""&amp;Dashboard!$L$1&amp;"""")))"&amp;",K481))"),"")</f>
        <v/>
      </c>
      <c r="S481" s="266" t="str">
        <f>IFERROR(__xludf.DUMMYFUNCTION("IF(ISBLANK(A481),"""",IFERROR(IF(OR(Q481=""GPB"",Q481=""ZAR""),IF(Q481=Dashboard!$L$1,M481,(M481*GOOGLEFINANCE(""CURRENCY:""&amp;Q481&amp;""""&amp;Dashboard!$L$1&amp;""""))/100),IF(Q481=Dashboard!$L$1,M481,M481*GOOGLEFINANCE(""CURRENCY:""&amp;Q481&amp;""""&amp;Dashboard!$L$1&amp;"""")))"&amp;",M481))"),"")</f>
        <v/>
      </c>
      <c r="T481" s="264" t="str">
        <f t="shared" si="4"/>
        <v/>
      </c>
      <c r="U481" s="264" t="str">
        <f t="shared" si="5"/>
        <v/>
      </c>
      <c r="V481" s="264" t="str">
        <f t="shared" si="6"/>
        <v/>
      </c>
      <c r="W481" s="267" t="str">
        <f t="shared" si="8"/>
        <v/>
      </c>
      <c r="X481" s="264" t="str">
        <f t="shared" si="7"/>
        <v/>
      </c>
    </row>
    <row r="482" ht="15.75" customHeight="1">
      <c r="A482" s="258"/>
      <c r="B482" s="258"/>
      <c r="C482" s="269"/>
      <c r="D482" s="258"/>
      <c r="E482" s="258"/>
      <c r="F482" s="258"/>
      <c r="G482" s="258"/>
      <c r="H482" s="271"/>
      <c r="I482" s="258"/>
      <c r="J482" s="272"/>
      <c r="K482" s="260"/>
      <c r="L482" s="261"/>
      <c r="M482" s="262" t="str">
        <f t="shared" si="1"/>
        <v/>
      </c>
      <c r="N482" s="263" t="str">
        <f t="shared" si="2"/>
        <v/>
      </c>
      <c r="O482" s="264" t="str">
        <f t="shared" si="3"/>
        <v/>
      </c>
      <c r="P482" s="265" t="str">
        <f>IFERROR(__xludf.DUMMYFUNCTION("IF(ISBLANK(A482),"""",IFERROR(IF(H482=""Sell"",VLOOKUP(9^99,FILTER({ROW(P$2:P481),P$2:P481},D$2:D481=D482),2),(VLOOKUP(9^99,FILTER({ROW(P$2:P481),P$2:P481},D$2:D481=D482),2)*VLOOKUP(9^99,FILTER({ROW(O$2:O481),O$2:O481},D$2:D481=D482),2)-N482)/O482),J482))"),"")</f>
        <v/>
      </c>
      <c r="Q482" s="264" t="str">
        <f>IFERROR(__xludf.DUMMYFUNCTION("IFERROR(IF(F482=""Crypto"",B482,(IF(ISBLANK(D482),"""",IF(D482=""Cash"",B482,IF(GOOGLEFINANCE(D482,""CURRENCY"")=""GBX"",""GBP"",GOOGLEFINANCE(D482,""CURRENCY"")))))),B482)"),"")</f>
        <v/>
      </c>
      <c r="R482" s="263" t="str">
        <f>IFERROR(__xludf.DUMMYFUNCTION("IF(ISBLANK(A482),"""",IFERROR(IF(OR(Q482=""GPB"",Q482=""ZAR""),IF(Q482=Dashboard!$L$1,K482,(K482*GOOGLEFINANCE(""CURRENCY:""&amp;Q482&amp;""""&amp;Dashboard!$L$1&amp;""""))/100),IF(Q482=Dashboard!$L$1,K482,K482*GOOGLEFINANCE(""CURRENCY:""&amp;Q482&amp;""""&amp;Dashboard!$L$1&amp;"""")))"&amp;",K482))"),"")</f>
        <v/>
      </c>
      <c r="S482" s="266" t="str">
        <f>IFERROR(__xludf.DUMMYFUNCTION("IF(ISBLANK(A482),"""",IFERROR(IF(OR(Q482=""GPB"",Q482=""ZAR""),IF(Q482=Dashboard!$L$1,M482,(M482*GOOGLEFINANCE(""CURRENCY:""&amp;Q482&amp;""""&amp;Dashboard!$L$1&amp;""""))/100),IF(Q482=Dashboard!$L$1,M482,M482*GOOGLEFINANCE(""CURRENCY:""&amp;Q482&amp;""""&amp;Dashboard!$L$1&amp;"""")))"&amp;",M482))"),"")</f>
        <v/>
      </c>
      <c r="T482" s="264" t="str">
        <f t="shared" si="4"/>
        <v/>
      </c>
      <c r="U482" s="264" t="str">
        <f t="shared" si="5"/>
        <v/>
      </c>
      <c r="V482" s="264" t="str">
        <f t="shared" si="6"/>
        <v/>
      </c>
      <c r="W482" s="267" t="str">
        <f t="shared" si="8"/>
        <v/>
      </c>
      <c r="X482" s="264" t="str">
        <f t="shared" si="7"/>
        <v/>
      </c>
    </row>
    <row r="483" ht="15.75" customHeight="1">
      <c r="A483" s="258"/>
      <c r="B483" s="258"/>
      <c r="C483" s="269"/>
      <c r="D483" s="258"/>
      <c r="E483" s="258"/>
      <c r="F483" s="258"/>
      <c r="G483" s="258"/>
      <c r="H483" s="271"/>
      <c r="I483" s="258"/>
      <c r="J483" s="272"/>
      <c r="K483" s="260"/>
      <c r="L483" s="261"/>
      <c r="M483" s="262" t="str">
        <f t="shared" si="1"/>
        <v/>
      </c>
      <c r="N483" s="263" t="str">
        <f t="shared" si="2"/>
        <v/>
      </c>
      <c r="O483" s="264" t="str">
        <f t="shared" si="3"/>
        <v/>
      </c>
      <c r="P483" s="265" t="str">
        <f>IFERROR(__xludf.DUMMYFUNCTION("IF(ISBLANK(A483),"""",IFERROR(IF(H483=""Sell"",VLOOKUP(9^99,FILTER({ROW(P$2:P482),P$2:P482},D$2:D482=D483),2),(VLOOKUP(9^99,FILTER({ROW(P$2:P482),P$2:P482},D$2:D482=D483),2)*VLOOKUP(9^99,FILTER({ROW(O$2:O482),O$2:O482},D$2:D482=D483),2)-N483)/O483),J483))"),"")</f>
        <v/>
      </c>
      <c r="Q483" s="264" t="str">
        <f>IFERROR(__xludf.DUMMYFUNCTION("IFERROR(IF(F483=""Crypto"",B483,(IF(ISBLANK(D483),"""",IF(D483=""Cash"",B483,IF(GOOGLEFINANCE(D483,""CURRENCY"")=""GBX"",""GBP"",GOOGLEFINANCE(D483,""CURRENCY"")))))),B483)"),"")</f>
        <v/>
      </c>
      <c r="R483" s="263" t="str">
        <f>IFERROR(__xludf.DUMMYFUNCTION("IF(ISBLANK(A483),"""",IFERROR(IF(OR(Q483=""GPB"",Q483=""ZAR""),IF(Q483=Dashboard!$L$1,K483,(K483*GOOGLEFINANCE(""CURRENCY:""&amp;Q483&amp;""""&amp;Dashboard!$L$1&amp;""""))/100),IF(Q483=Dashboard!$L$1,K483,K483*GOOGLEFINANCE(""CURRENCY:""&amp;Q483&amp;""""&amp;Dashboard!$L$1&amp;"""")))"&amp;",K483))"),"")</f>
        <v/>
      </c>
      <c r="S483" s="266" t="str">
        <f>IFERROR(__xludf.DUMMYFUNCTION("IF(ISBLANK(A483),"""",IFERROR(IF(OR(Q483=""GPB"",Q483=""ZAR""),IF(Q483=Dashboard!$L$1,M483,(M483*GOOGLEFINANCE(""CURRENCY:""&amp;Q483&amp;""""&amp;Dashboard!$L$1&amp;""""))/100),IF(Q483=Dashboard!$L$1,M483,M483*GOOGLEFINANCE(""CURRENCY:""&amp;Q483&amp;""""&amp;Dashboard!$L$1&amp;"""")))"&amp;",M483))"),"")</f>
        <v/>
      </c>
      <c r="T483" s="264" t="str">
        <f t="shared" si="4"/>
        <v/>
      </c>
      <c r="U483" s="264" t="str">
        <f t="shared" si="5"/>
        <v/>
      </c>
      <c r="V483" s="264" t="str">
        <f t="shared" si="6"/>
        <v/>
      </c>
      <c r="W483" s="267" t="str">
        <f t="shared" si="8"/>
        <v/>
      </c>
      <c r="X483" s="264" t="str">
        <f t="shared" si="7"/>
        <v/>
      </c>
    </row>
    <row r="484" ht="15.75" customHeight="1">
      <c r="A484" s="258"/>
      <c r="B484" s="258"/>
      <c r="C484" s="269"/>
      <c r="D484" s="258"/>
      <c r="E484" s="258"/>
      <c r="F484" s="258"/>
      <c r="G484" s="258"/>
      <c r="H484" s="271"/>
      <c r="I484" s="258"/>
      <c r="J484" s="272"/>
      <c r="K484" s="260"/>
      <c r="L484" s="261"/>
      <c r="M484" s="262" t="str">
        <f t="shared" si="1"/>
        <v/>
      </c>
      <c r="N484" s="263" t="str">
        <f t="shared" si="2"/>
        <v/>
      </c>
      <c r="O484" s="264" t="str">
        <f t="shared" si="3"/>
        <v/>
      </c>
      <c r="P484" s="265" t="str">
        <f>IFERROR(__xludf.DUMMYFUNCTION("IF(ISBLANK(A484),"""",IFERROR(IF(H484=""Sell"",VLOOKUP(9^99,FILTER({ROW(P$2:P483),P$2:P483},D$2:D483=D484),2),(VLOOKUP(9^99,FILTER({ROW(P$2:P483),P$2:P483},D$2:D483=D484),2)*VLOOKUP(9^99,FILTER({ROW(O$2:O483),O$2:O483},D$2:D483=D484),2)-N484)/O484),J484))"),"")</f>
        <v/>
      </c>
      <c r="Q484" s="264" t="str">
        <f>IFERROR(__xludf.DUMMYFUNCTION("IFERROR(IF(F484=""Crypto"",B484,(IF(ISBLANK(D484),"""",IF(D484=""Cash"",B484,IF(GOOGLEFINANCE(D484,""CURRENCY"")=""GBX"",""GBP"",GOOGLEFINANCE(D484,""CURRENCY"")))))),B484)"),"")</f>
        <v/>
      </c>
      <c r="R484" s="263" t="str">
        <f>IFERROR(__xludf.DUMMYFUNCTION("IF(ISBLANK(A484),"""",IFERROR(IF(OR(Q484=""GPB"",Q484=""ZAR""),IF(Q484=Dashboard!$L$1,K484,(K484*GOOGLEFINANCE(""CURRENCY:""&amp;Q484&amp;""""&amp;Dashboard!$L$1&amp;""""))/100),IF(Q484=Dashboard!$L$1,K484,K484*GOOGLEFINANCE(""CURRENCY:""&amp;Q484&amp;""""&amp;Dashboard!$L$1&amp;"""")))"&amp;",K484))"),"")</f>
        <v/>
      </c>
      <c r="S484" s="266" t="str">
        <f>IFERROR(__xludf.DUMMYFUNCTION("IF(ISBLANK(A484),"""",IFERROR(IF(OR(Q484=""GPB"",Q484=""ZAR""),IF(Q484=Dashboard!$L$1,M484,(M484*GOOGLEFINANCE(""CURRENCY:""&amp;Q484&amp;""""&amp;Dashboard!$L$1&amp;""""))/100),IF(Q484=Dashboard!$L$1,M484,M484*GOOGLEFINANCE(""CURRENCY:""&amp;Q484&amp;""""&amp;Dashboard!$L$1&amp;"""")))"&amp;",M484))"),"")</f>
        <v/>
      </c>
      <c r="T484" s="264" t="str">
        <f t="shared" si="4"/>
        <v/>
      </c>
      <c r="U484" s="264" t="str">
        <f t="shared" si="5"/>
        <v/>
      </c>
      <c r="V484" s="264" t="str">
        <f t="shared" si="6"/>
        <v/>
      </c>
      <c r="W484" s="267" t="str">
        <f t="shared" si="8"/>
        <v/>
      </c>
      <c r="X484" s="264" t="str">
        <f t="shared" si="7"/>
        <v/>
      </c>
    </row>
    <row r="485" ht="15.75" customHeight="1">
      <c r="A485" s="258"/>
      <c r="B485" s="258"/>
      <c r="C485" s="269"/>
      <c r="D485" s="258"/>
      <c r="E485" s="258"/>
      <c r="F485" s="258"/>
      <c r="G485" s="258"/>
      <c r="H485" s="271"/>
      <c r="I485" s="258"/>
      <c r="J485" s="272"/>
      <c r="K485" s="260"/>
      <c r="L485" s="261"/>
      <c r="M485" s="262" t="str">
        <f t="shared" si="1"/>
        <v/>
      </c>
      <c r="N485" s="263" t="str">
        <f t="shared" si="2"/>
        <v/>
      </c>
      <c r="O485" s="264" t="str">
        <f t="shared" si="3"/>
        <v/>
      </c>
      <c r="P485" s="265" t="str">
        <f>IFERROR(__xludf.DUMMYFUNCTION("IF(ISBLANK(A485),"""",IFERROR(IF(H485=""Sell"",VLOOKUP(9^99,FILTER({ROW(P$2:P484),P$2:P484},D$2:D484=D485),2),(VLOOKUP(9^99,FILTER({ROW(P$2:P484),P$2:P484},D$2:D484=D485),2)*VLOOKUP(9^99,FILTER({ROW(O$2:O484),O$2:O484},D$2:D484=D485),2)-N485)/O485),J485))"),"")</f>
        <v/>
      </c>
      <c r="Q485" s="264" t="str">
        <f>IFERROR(__xludf.DUMMYFUNCTION("IFERROR(IF(F485=""Crypto"",B485,(IF(ISBLANK(D485),"""",IF(D485=""Cash"",B485,IF(GOOGLEFINANCE(D485,""CURRENCY"")=""GBX"",""GBP"",GOOGLEFINANCE(D485,""CURRENCY"")))))),B485)"),"")</f>
        <v/>
      </c>
      <c r="R485" s="263" t="str">
        <f>IFERROR(__xludf.DUMMYFUNCTION("IF(ISBLANK(A485),"""",IFERROR(IF(OR(Q485=""GPB"",Q485=""ZAR""),IF(Q485=Dashboard!$L$1,K485,(K485*GOOGLEFINANCE(""CURRENCY:""&amp;Q485&amp;""""&amp;Dashboard!$L$1&amp;""""))/100),IF(Q485=Dashboard!$L$1,K485,K485*GOOGLEFINANCE(""CURRENCY:""&amp;Q485&amp;""""&amp;Dashboard!$L$1&amp;"""")))"&amp;",K485))"),"")</f>
        <v/>
      </c>
      <c r="S485" s="266" t="str">
        <f>IFERROR(__xludf.DUMMYFUNCTION("IF(ISBLANK(A485),"""",IFERROR(IF(OR(Q485=""GPB"",Q485=""ZAR""),IF(Q485=Dashboard!$L$1,M485,(M485*GOOGLEFINANCE(""CURRENCY:""&amp;Q485&amp;""""&amp;Dashboard!$L$1&amp;""""))/100),IF(Q485=Dashboard!$L$1,M485,M485*GOOGLEFINANCE(""CURRENCY:""&amp;Q485&amp;""""&amp;Dashboard!$L$1&amp;"""")))"&amp;",M485))"),"")</f>
        <v/>
      </c>
      <c r="T485" s="264" t="str">
        <f t="shared" si="4"/>
        <v/>
      </c>
      <c r="U485" s="264" t="str">
        <f t="shared" si="5"/>
        <v/>
      </c>
      <c r="V485" s="264" t="str">
        <f t="shared" si="6"/>
        <v/>
      </c>
      <c r="W485" s="267" t="str">
        <f t="shared" si="8"/>
        <v/>
      </c>
      <c r="X485" s="264" t="str">
        <f t="shared" si="7"/>
        <v/>
      </c>
    </row>
    <row r="486" ht="15.75" customHeight="1">
      <c r="A486" s="258"/>
      <c r="B486" s="258"/>
      <c r="C486" s="269"/>
      <c r="D486" s="258"/>
      <c r="E486" s="258"/>
      <c r="F486" s="258"/>
      <c r="G486" s="258"/>
      <c r="H486" s="271"/>
      <c r="I486" s="258"/>
      <c r="J486" s="272"/>
      <c r="K486" s="260"/>
      <c r="L486" s="261"/>
      <c r="M486" s="262" t="str">
        <f t="shared" si="1"/>
        <v/>
      </c>
      <c r="N486" s="263" t="str">
        <f t="shared" si="2"/>
        <v/>
      </c>
      <c r="O486" s="264" t="str">
        <f t="shared" si="3"/>
        <v/>
      </c>
      <c r="P486" s="265" t="str">
        <f>IFERROR(__xludf.DUMMYFUNCTION("IF(ISBLANK(A486),"""",IFERROR(IF(H486=""Sell"",VLOOKUP(9^99,FILTER({ROW(P$2:P485),P$2:P485},D$2:D485=D486),2),(VLOOKUP(9^99,FILTER({ROW(P$2:P485),P$2:P485},D$2:D485=D486),2)*VLOOKUP(9^99,FILTER({ROW(O$2:O485),O$2:O485},D$2:D485=D486),2)-N486)/O486),J486))"),"")</f>
        <v/>
      </c>
      <c r="Q486" s="264" t="str">
        <f>IFERROR(__xludf.DUMMYFUNCTION("IFERROR(IF(F486=""Crypto"",B486,(IF(ISBLANK(D486),"""",IF(D486=""Cash"",B486,IF(GOOGLEFINANCE(D486,""CURRENCY"")=""GBX"",""GBP"",GOOGLEFINANCE(D486,""CURRENCY"")))))),B486)"),"")</f>
        <v/>
      </c>
      <c r="R486" s="263" t="str">
        <f>IFERROR(__xludf.DUMMYFUNCTION("IF(ISBLANK(A486),"""",IFERROR(IF(OR(Q486=""GPB"",Q486=""ZAR""),IF(Q486=Dashboard!$L$1,K486,(K486*GOOGLEFINANCE(""CURRENCY:""&amp;Q486&amp;""""&amp;Dashboard!$L$1&amp;""""))/100),IF(Q486=Dashboard!$L$1,K486,K486*GOOGLEFINANCE(""CURRENCY:""&amp;Q486&amp;""""&amp;Dashboard!$L$1&amp;"""")))"&amp;",K486))"),"")</f>
        <v/>
      </c>
      <c r="S486" s="266" t="str">
        <f>IFERROR(__xludf.DUMMYFUNCTION("IF(ISBLANK(A486),"""",IFERROR(IF(OR(Q486=""GPB"",Q486=""ZAR""),IF(Q486=Dashboard!$L$1,M486,(M486*GOOGLEFINANCE(""CURRENCY:""&amp;Q486&amp;""""&amp;Dashboard!$L$1&amp;""""))/100),IF(Q486=Dashboard!$L$1,M486,M486*GOOGLEFINANCE(""CURRENCY:""&amp;Q486&amp;""""&amp;Dashboard!$L$1&amp;"""")))"&amp;",M486))"),"")</f>
        <v/>
      </c>
      <c r="T486" s="264" t="str">
        <f t="shared" si="4"/>
        <v/>
      </c>
      <c r="U486" s="264" t="str">
        <f t="shared" si="5"/>
        <v/>
      </c>
      <c r="V486" s="264" t="str">
        <f t="shared" si="6"/>
        <v/>
      </c>
      <c r="W486" s="267" t="str">
        <f t="shared" si="8"/>
        <v/>
      </c>
      <c r="X486" s="264" t="str">
        <f t="shared" si="7"/>
        <v/>
      </c>
    </row>
    <row r="487" ht="15.75" customHeight="1">
      <c r="A487" s="258"/>
      <c r="B487" s="258"/>
      <c r="C487" s="269"/>
      <c r="D487" s="258"/>
      <c r="E487" s="258"/>
      <c r="F487" s="258"/>
      <c r="G487" s="258"/>
      <c r="H487" s="271"/>
      <c r="I487" s="258"/>
      <c r="J487" s="272"/>
      <c r="K487" s="260"/>
      <c r="L487" s="261"/>
      <c r="M487" s="262" t="str">
        <f t="shared" si="1"/>
        <v/>
      </c>
      <c r="N487" s="263" t="str">
        <f t="shared" si="2"/>
        <v/>
      </c>
      <c r="O487" s="264" t="str">
        <f t="shared" si="3"/>
        <v/>
      </c>
      <c r="P487" s="265" t="str">
        <f>IFERROR(__xludf.DUMMYFUNCTION("IF(ISBLANK(A487),"""",IFERROR(IF(H487=""Sell"",VLOOKUP(9^99,FILTER({ROW(P$2:P486),P$2:P486},D$2:D486=D487),2),(VLOOKUP(9^99,FILTER({ROW(P$2:P486),P$2:P486},D$2:D486=D487),2)*VLOOKUP(9^99,FILTER({ROW(O$2:O486),O$2:O486},D$2:D486=D487),2)-N487)/O487),J487))"),"")</f>
        <v/>
      </c>
      <c r="Q487" s="264" t="str">
        <f>IFERROR(__xludf.DUMMYFUNCTION("IFERROR(IF(F487=""Crypto"",B487,(IF(ISBLANK(D487),"""",IF(D487=""Cash"",B487,IF(GOOGLEFINANCE(D487,""CURRENCY"")=""GBX"",""GBP"",GOOGLEFINANCE(D487,""CURRENCY"")))))),B487)"),"")</f>
        <v/>
      </c>
      <c r="R487" s="263" t="str">
        <f>IFERROR(__xludf.DUMMYFUNCTION("IF(ISBLANK(A487),"""",IFERROR(IF(OR(Q487=""GPB"",Q487=""ZAR""),IF(Q487=Dashboard!$L$1,K487,(K487*GOOGLEFINANCE(""CURRENCY:""&amp;Q487&amp;""""&amp;Dashboard!$L$1&amp;""""))/100),IF(Q487=Dashboard!$L$1,K487,K487*GOOGLEFINANCE(""CURRENCY:""&amp;Q487&amp;""""&amp;Dashboard!$L$1&amp;"""")))"&amp;",K487))"),"")</f>
        <v/>
      </c>
      <c r="S487" s="266" t="str">
        <f>IFERROR(__xludf.DUMMYFUNCTION("IF(ISBLANK(A487),"""",IFERROR(IF(OR(Q487=""GPB"",Q487=""ZAR""),IF(Q487=Dashboard!$L$1,M487,(M487*GOOGLEFINANCE(""CURRENCY:""&amp;Q487&amp;""""&amp;Dashboard!$L$1&amp;""""))/100),IF(Q487=Dashboard!$L$1,M487,M487*GOOGLEFINANCE(""CURRENCY:""&amp;Q487&amp;""""&amp;Dashboard!$L$1&amp;"""")))"&amp;",M487))"),"")</f>
        <v/>
      </c>
      <c r="T487" s="264" t="str">
        <f t="shared" si="4"/>
        <v/>
      </c>
      <c r="U487" s="264" t="str">
        <f t="shared" si="5"/>
        <v/>
      </c>
      <c r="V487" s="264" t="str">
        <f t="shared" si="6"/>
        <v/>
      </c>
      <c r="W487" s="267" t="str">
        <f t="shared" si="8"/>
        <v/>
      </c>
      <c r="X487" s="264" t="str">
        <f t="shared" si="7"/>
        <v/>
      </c>
    </row>
    <row r="488" ht="15.75" customHeight="1">
      <c r="A488" s="258"/>
      <c r="B488" s="258"/>
      <c r="C488" s="269"/>
      <c r="D488" s="258"/>
      <c r="E488" s="258"/>
      <c r="F488" s="258"/>
      <c r="G488" s="258"/>
      <c r="H488" s="271"/>
      <c r="I488" s="258"/>
      <c r="J488" s="272"/>
      <c r="K488" s="260"/>
      <c r="L488" s="261"/>
      <c r="M488" s="262" t="str">
        <f t="shared" si="1"/>
        <v/>
      </c>
      <c r="N488" s="263" t="str">
        <f t="shared" si="2"/>
        <v/>
      </c>
      <c r="O488" s="264" t="str">
        <f t="shared" si="3"/>
        <v/>
      </c>
      <c r="P488" s="265" t="str">
        <f>IFERROR(__xludf.DUMMYFUNCTION("IF(ISBLANK(A488),"""",IFERROR(IF(H488=""Sell"",VLOOKUP(9^99,FILTER({ROW(P$2:P487),P$2:P487},D$2:D487=D488),2),(VLOOKUP(9^99,FILTER({ROW(P$2:P487),P$2:P487},D$2:D487=D488),2)*VLOOKUP(9^99,FILTER({ROW(O$2:O487),O$2:O487},D$2:D487=D488),2)-N488)/O488),J488))"),"")</f>
        <v/>
      </c>
      <c r="Q488" s="264" t="str">
        <f>IFERROR(__xludf.DUMMYFUNCTION("IFERROR(IF(F488=""Crypto"",B488,(IF(ISBLANK(D488),"""",IF(D488=""Cash"",B488,IF(GOOGLEFINANCE(D488,""CURRENCY"")=""GBX"",""GBP"",GOOGLEFINANCE(D488,""CURRENCY"")))))),B488)"),"")</f>
        <v/>
      </c>
      <c r="R488" s="263" t="str">
        <f>IFERROR(__xludf.DUMMYFUNCTION("IF(ISBLANK(A488),"""",IFERROR(IF(OR(Q488=""GPB"",Q488=""ZAR""),IF(Q488=Dashboard!$L$1,K488,(K488*GOOGLEFINANCE(""CURRENCY:""&amp;Q488&amp;""""&amp;Dashboard!$L$1&amp;""""))/100),IF(Q488=Dashboard!$L$1,K488,K488*GOOGLEFINANCE(""CURRENCY:""&amp;Q488&amp;""""&amp;Dashboard!$L$1&amp;"""")))"&amp;",K488))"),"")</f>
        <v/>
      </c>
      <c r="S488" s="266" t="str">
        <f>IFERROR(__xludf.DUMMYFUNCTION("IF(ISBLANK(A488),"""",IFERROR(IF(OR(Q488=""GPB"",Q488=""ZAR""),IF(Q488=Dashboard!$L$1,M488,(M488*GOOGLEFINANCE(""CURRENCY:""&amp;Q488&amp;""""&amp;Dashboard!$L$1&amp;""""))/100),IF(Q488=Dashboard!$L$1,M488,M488*GOOGLEFINANCE(""CURRENCY:""&amp;Q488&amp;""""&amp;Dashboard!$L$1&amp;"""")))"&amp;",M488))"),"")</f>
        <v/>
      </c>
      <c r="T488" s="264" t="str">
        <f t="shared" si="4"/>
        <v/>
      </c>
      <c r="U488" s="264" t="str">
        <f t="shared" si="5"/>
        <v/>
      </c>
      <c r="V488" s="264" t="str">
        <f t="shared" si="6"/>
        <v/>
      </c>
      <c r="W488" s="267" t="str">
        <f t="shared" si="8"/>
        <v/>
      </c>
      <c r="X488" s="264" t="str">
        <f t="shared" si="7"/>
        <v/>
      </c>
    </row>
    <row r="489" ht="15.75" customHeight="1">
      <c r="A489" s="258"/>
      <c r="B489" s="258"/>
      <c r="C489" s="269"/>
      <c r="D489" s="258"/>
      <c r="E489" s="258"/>
      <c r="F489" s="258"/>
      <c r="G489" s="258"/>
      <c r="H489" s="271"/>
      <c r="I489" s="258"/>
      <c r="J489" s="272"/>
      <c r="K489" s="260"/>
      <c r="L489" s="261"/>
      <c r="M489" s="262" t="str">
        <f t="shared" si="1"/>
        <v/>
      </c>
      <c r="N489" s="263" t="str">
        <f t="shared" si="2"/>
        <v/>
      </c>
      <c r="O489" s="264" t="str">
        <f t="shared" si="3"/>
        <v/>
      </c>
      <c r="P489" s="265" t="str">
        <f>IFERROR(__xludf.DUMMYFUNCTION("IF(ISBLANK(A489),"""",IFERROR(IF(H489=""Sell"",VLOOKUP(9^99,FILTER({ROW(P$2:P488),P$2:P488},D$2:D488=D489),2),(VLOOKUP(9^99,FILTER({ROW(P$2:P488),P$2:P488},D$2:D488=D489),2)*VLOOKUP(9^99,FILTER({ROW(O$2:O488),O$2:O488},D$2:D488=D489),2)-N489)/O489),J489))"),"")</f>
        <v/>
      </c>
      <c r="Q489" s="264" t="str">
        <f>IFERROR(__xludf.DUMMYFUNCTION("IFERROR(IF(F489=""Crypto"",B489,(IF(ISBLANK(D489),"""",IF(D489=""Cash"",B489,IF(GOOGLEFINANCE(D489,""CURRENCY"")=""GBX"",""GBP"",GOOGLEFINANCE(D489,""CURRENCY"")))))),B489)"),"")</f>
        <v/>
      </c>
      <c r="R489" s="263" t="str">
        <f>IFERROR(__xludf.DUMMYFUNCTION("IF(ISBLANK(A489),"""",IFERROR(IF(OR(Q489=""GPB"",Q489=""ZAR""),IF(Q489=Dashboard!$L$1,K489,(K489*GOOGLEFINANCE(""CURRENCY:""&amp;Q489&amp;""""&amp;Dashboard!$L$1&amp;""""))/100),IF(Q489=Dashboard!$L$1,K489,K489*GOOGLEFINANCE(""CURRENCY:""&amp;Q489&amp;""""&amp;Dashboard!$L$1&amp;"""")))"&amp;",K489))"),"")</f>
        <v/>
      </c>
      <c r="S489" s="266" t="str">
        <f>IFERROR(__xludf.DUMMYFUNCTION("IF(ISBLANK(A489),"""",IFERROR(IF(OR(Q489=""GPB"",Q489=""ZAR""),IF(Q489=Dashboard!$L$1,M489,(M489*GOOGLEFINANCE(""CURRENCY:""&amp;Q489&amp;""""&amp;Dashboard!$L$1&amp;""""))/100),IF(Q489=Dashboard!$L$1,M489,M489*GOOGLEFINANCE(""CURRENCY:""&amp;Q489&amp;""""&amp;Dashboard!$L$1&amp;"""")))"&amp;",M489))"),"")</f>
        <v/>
      </c>
      <c r="T489" s="264" t="str">
        <f t="shared" si="4"/>
        <v/>
      </c>
      <c r="U489" s="264" t="str">
        <f t="shared" si="5"/>
        <v/>
      </c>
      <c r="V489" s="264" t="str">
        <f t="shared" si="6"/>
        <v/>
      </c>
      <c r="W489" s="267" t="str">
        <f t="shared" si="8"/>
        <v/>
      </c>
      <c r="X489" s="264" t="str">
        <f t="shared" si="7"/>
        <v/>
      </c>
    </row>
    <row r="490" ht="15.75" customHeight="1">
      <c r="A490" s="258"/>
      <c r="B490" s="258"/>
      <c r="C490" s="269"/>
      <c r="D490" s="258"/>
      <c r="E490" s="258"/>
      <c r="F490" s="258"/>
      <c r="G490" s="258"/>
      <c r="H490" s="271"/>
      <c r="I490" s="258"/>
      <c r="J490" s="272"/>
      <c r="K490" s="260"/>
      <c r="L490" s="261"/>
      <c r="M490" s="262" t="str">
        <f t="shared" si="1"/>
        <v/>
      </c>
      <c r="N490" s="263" t="str">
        <f t="shared" si="2"/>
        <v/>
      </c>
      <c r="O490" s="264" t="str">
        <f t="shared" si="3"/>
        <v/>
      </c>
      <c r="P490" s="265" t="str">
        <f>IFERROR(__xludf.DUMMYFUNCTION("IF(ISBLANK(A490),"""",IFERROR(IF(H490=""Sell"",VLOOKUP(9^99,FILTER({ROW(P$2:P489),P$2:P489},D$2:D489=D490),2),(VLOOKUP(9^99,FILTER({ROW(P$2:P489),P$2:P489},D$2:D489=D490),2)*VLOOKUP(9^99,FILTER({ROW(O$2:O489),O$2:O489},D$2:D489=D490),2)-N490)/O490),J490))"),"")</f>
        <v/>
      </c>
      <c r="Q490" s="264" t="str">
        <f>IFERROR(__xludf.DUMMYFUNCTION("IFERROR(IF(F490=""Crypto"",B490,(IF(ISBLANK(D490),"""",IF(D490=""Cash"",B490,IF(GOOGLEFINANCE(D490,""CURRENCY"")=""GBX"",""GBP"",GOOGLEFINANCE(D490,""CURRENCY"")))))),B490)"),"")</f>
        <v/>
      </c>
      <c r="R490" s="263" t="str">
        <f>IFERROR(__xludf.DUMMYFUNCTION("IF(ISBLANK(A490),"""",IFERROR(IF(OR(Q490=""GPB"",Q490=""ZAR""),IF(Q490=Dashboard!$L$1,K490,(K490*GOOGLEFINANCE(""CURRENCY:""&amp;Q490&amp;""""&amp;Dashboard!$L$1&amp;""""))/100),IF(Q490=Dashboard!$L$1,K490,K490*GOOGLEFINANCE(""CURRENCY:""&amp;Q490&amp;""""&amp;Dashboard!$L$1&amp;"""")))"&amp;",K490))"),"")</f>
        <v/>
      </c>
      <c r="S490" s="266" t="str">
        <f>IFERROR(__xludf.DUMMYFUNCTION("IF(ISBLANK(A490),"""",IFERROR(IF(OR(Q490=""GPB"",Q490=""ZAR""),IF(Q490=Dashboard!$L$1,M490,(M490*GOOGLEFINANCE(""CURRENCY:""&amp;Q490&amp;""""&amp;Dashboard!$L$1&amp;""""))/100),IF(Q490=Dashboard!$L$1,M490,M490*GOOGLEFINANCE(""CURRENCY:""&amp;Q490&amp;""""&amp;Dashboard!$L$1&amp;"""")))"&amp;",M490))"),"")</f>
        <v/>
      </c>
      <c r="T490" s="264" t="str">
        <f t="shared" si="4"/>
        <v/>
      </c>
      <c r="U490" s="264" t="str">
        <f t="shared" si="5"/>
        <v/>
      </c>
      <c r="V490" s="264" t="str">
        <f t="shared" si="6"/>
        <v/>
      </c>
      <c r="W490" s="267" t="str">
        <f t="shared" si="8"/>
        <v/>
      </c>
      <c r="X490" s="264" t="str">
        <f t="shared" si="7"/>
        <v/>
      </c>
    </row>
    <row r="491" ht="15.75" customHeight="1">
      <c r="A491" s="258"/>
      <c r="B491" s="258"/>
      <c r="C491" s="269"/>
      <c r="D491" s="258"/>
      <c r="E491" s="258"/>
      <c r="F491" s="258"/>
      <c r="G491" s="258"/>
      <c r="H491" s="271"/>
      <c r="I491" s="258"/>
      <c r="J491" s="272"/>
      <c r="K491" s="260"/>
      <c r="L491" s="261"/>
      <c r="M491" s="262" t="str">
        <f t="shared" si="1"/>
        <v/>
      </c>
      <c r="N491" s="263" t="str">
        <f t="shared" si="2"/>
        <v/>
      </c>
      <c r="O491" s="264" t="str">
        <f t="shared" si="3"/>
        <v/>
      </c>
      <c r="P491" s="265" t="str">
        <f>IFERROR(__xludf.DUMMYFUNCTION("IF(ISBLANK(A491),"""",IFERROR(IF(H491=""Sell"",VLOOKUP(9^99,FILTER({ROW(P$2:P490),P$2:P490},D$2:D490=D491),2),(VLOOKUP(9^99,FILTER({ROW(P$2:P490),P$2:P490},D$2:D490=D491),2)*VLOOKUP(9^99,FILTER({ROW(O$2:O490),O$2:O490},D$2:D490=D491),2)-N491)/O491),J491))"),"")</f>
        <v/>
      </c>
      <c r="Q491" s="264" t="str">
        <f>IFERROR(__xludf.DUMMYFUNCTION("IFERROR(IF(F491=""Crypto"",B491,(IF(ISBLANK(D491),"""",IF(D491=""Cash"",B491,IF(GOOGLEFINANCE(D491,""CURRENCY"")=""GBX"",""GBP"",GOOGLEFINANCE(D491,""CURRENCY"")))))),B491)"),"")</f>
        <v/>
      </c>
      <c r="R491" s="263" t="str">
        <f>IFERROR(__xludf.DUMMYFUNCTION("IF(ISBLANK(A491),"""",IFERROR(IF(OR(Q491=""GPB"",Q491=""ZAR""),IF(Q491=Dashboard!$L$1,K491,(K491*GOOGLEFINANCE(""CURRENCY:""&amp;Q491&amp;""""&amp;Dashboard!$L$1&amp;""""))/100),IF(Q491=Dashboard!$L$1,K491,K491*GOOGLEFINANCE(""CURRENCY:""&amp;Q491&amp;""""&amp;Dashboard!$L$1&amp;"""")))"&amp;",K491))"),"")</f>
        <v/>
      </c>
      <c r="S491" s="266" t="str">
        <f>IFERROR(__xludf.DUMMYFUNCTION("IF(ISBLANK(A491),"""",IFERROR(IF(OR(Q491=""GPB"",Q491=""ZAR""),IF(Q491=Dashboard!$L$1,M491,(M491*GOOGLEFINANCE(""CURRENCY:""&amp;Q491&amp;""""&amp;Dashboard!$L$1&amp;""""))/100),IF(Q491=Dashboard!$L$1,M491,M491*GOOGLEFINANCE(""CURRENCY:""&amp;Q491&amp;""""&amp;Dashboard!$L$1&amp;"""")))"&amp;",M491))"),"")</f>
        <v/>
      </c>
      <c r="T491" s="264" t="str">
        <f t="shared" si="4"/>
        <v/>
      </c>
      <c r="U491" s="264" t="str">
        <f t="shared" si="5"/>
        <v/>
      </c>
      <c r="V491" s="264" t="str">
        <f t="shared" si="6"/>
        <v/>
      </c>
      <c r="W491" s="267" t="str">
        <f t="shared" si="8"/>
        <v/>
      </c>
      <c r="X491" s="264" t="str">
        <f t="shared" si="7"/>
        <v/>
      </c>
    </row>
    <row r="492" ht="15.75" customHeight="1">
      <c r="A492" s="258"/>
      <c r="B492" s="258"/>
      <c r="C492" s="269"/>
      <c r="D492" s="258"/>
      <c r="E492" s="258"/>
      <c r="F492" s="258"/>
      <c r="G492" s="258"/>
      <c r="H492" s="271"/>
      <c r="I492" s="258"/>
      <c r="J492" s="272"/>
      <c r="K492" s="260"/>
      <c r="L492" s="261"/>
      <c r="M492" s="262" t="str">
        <f t="shared" si="1"/>
        <v/>
      </c>
      <c r="N492" s="263" t="str">
        <f t="shared" si="2"/>
        <v/>
      </c>
      <c r="O492" s="264" t="str">
        <f t="shared" si="3"/>
        <v/>
      </c>
      <c r="P492" s="265" t="str">
        <f>IFERROR(__xludf.DUMMYFUNCTION("IF(ISBLANK(A492),"""",IFERROR(IF(H492=""Sell"",VLOOKUP(9^99,FILTER({ROW(P$2:P491),P$2:P491},D$2:D491=D492),2),(VLOOKUP(9^99,FILTER({ROW(P$2:P491),P$2:P491},D$2:D491=D492),2)*VLOOKUP(9^99,FILTER({ROW(O$2:O491),O$2:O491},D$2:D491=D492),2)-N492)/O492),J492))"),"")</f>
        <v/>
      </c>
      <c r="Q492" s="264" t="str">
        <f>IFERROR(__xludf.DUMMYFUNCTION("IFERROR(IF(F492=""Crypto"",B492,(IF(ISBLANK(D492),"""",IF(D492=""Cash"",B492,IF(GOOGLEFINANCE(D492,""CURRENCY"")=""GBX"",""GBP"",GOOGLEFINANCE(D492,""CURRENCY"")))))),B492)"),"")</f>
        <v/>
      </c>
      <c r="R492" s="263" t="str">
        <f>IFERROR(__xludf.DUMMYFUNCTION("IF(ISBLANK(A492),"""",IFERROR(IF(OR(Q492=""GPB"",Q492=""ZAR""),IF(Q492=Dashboard!$L$1,K492,(K492*GOOGLEFINANCE(""CURRENCY:""&amp;Q492&amp;""""&amp;Dashboard!$L$1&amp;""""))/100),IF(Q492=Dashboard!$L$1,K492,K492*GOOGLEFINANCE(""CURRENCY:""&amp;Q492&amp;""""&amp;Dashboard!$L$1&amp;"""")))"&amp;",K492))"),"")</f>
        <v/>
      </c>
      <c r="S492" s="266" t="str">
        <f>IFERROR(__xludf.DUMMYFUNCTION("IF(ISBLANK(A492),"""",IFERROR(IF(OR(Q492=""GPB"",Q492=""ZAR""),IF(Q492=Dashboard!$L$1,M492,(M492*GOOGLEFINANCE(""CURRENCY:""&amp;Q492&amp;""""&amp;Dashboard!$L$1&amp;""""))/100),IF(Q492=Dashboard!$L$1,M492,M492*GOOGLEFINANCE(""CURRENCY:""&amp;Q492&amp;""""&amp;Dashboard!$L$1&amp;"""")))"&amp;",M492))"),"")</f>
        <v/>
      </c>
      <c r="T492" s="264" t="str">
        <f t="shared" si="4"/>
        <v/>
      </c>
      <c r="U492" s="264" t="str">
        <f t="shared" si="5"/>
        <v/>
      </c>
      <c r="V492" s="264" t="str">
        <f t="shared" si="6"/>
        <v/>
      </c>
      <c r="W492" s="267" t="str">
        <f t="shared" si="8"/>
        <v/>
      </c>
      <c r="X492" s="264" t="str">
        <f t="shared" si="7"/>
        <v/>
      </c>
    </row>
    <row r="493" ht="15.75" customHeight="1">
      <c r="A493" s="258"/>
      <c r="B493" s="258"/>
      <c r="C493" s="269"/>
      <c r="D493" s="258"/>
      <c r="E493" s="258"/>
      <c r="F493" s="258"/>
      <c r="G493" s="258"/>
      <c r="H493" s="271"/>
      <c r="I493" s="258"/>
      <c r="J493" s="272"/>
      <c r="K493" s="260"/>
      <c r="L493" s="261"/>
      <c r="M493" s="262" t="str">
        <f t="shared" si="1"/>
        <v/>
      </c>
      <c r="N493" s="263" t="str">
        <f t="shared" si="2"/>
        <v/>
      </c>
      <c r="O493" s="264" t="str">
        <f t="shared" si="3"/>
        <v/>
      </c>
      <c r="P493" s="265" t="str">
        <f>IFERROR(__xludf.DUMMYFUNCTION("IF(ISBLANK(A493),"""",IFERROR(IF(H493=""Sell"",VLOOKUP(9^99,FILTER({ROW(P$2:P492),P$2:P492},D$2:D492=D493),2),(VLOOKUP(9^99,FILTER({ROW(P$2:P492),P$2:P492},D$2:D492=D493),2)*VLOOKUP(9^99,FILTER({ROW(O$2:O492),O$2:O492},D$2:D492=D493),2)-N493)/O493),J493))"),"")</f>
        <v/>
      </c>
      <c r="Q493" s="264" t="str">
        <f>IFERROR(__xludf.DUMMYFUNCTION("IFERROR(IF(F493=""Crypto"",B493,(IF(ISBLANK(D493),"""",IF(D493=""Cash"",B493,IF(GOOGLEFINANCE(D493,""CURRENCY"")=""GBX"",""GBP"",GOOGLEFINANCE(D493,""CURRENCY"")))))),B493)"),"")</f>
        <v/>
      </c>
      <c r="R493" s="263" t="str">
        <f>IFERROR(__xludf.DUMMYFUNCTION("IF(ISBLANK(A493),"""",IFERROR(IF(OR(Q493=""GPB"",Q493=""ZAR""),IF(Q493=Dashboard!$L$1,K493,(K493*GOOGLEFINANCE(""CURRENCY:""&amp;Q493&amp;""""&amp;Dashboard!$L$1&amp;""""))/100),IF(Q493=Dashboard!$L$1,K493,K493*GOOGLEFINANCE(""CURRENCY:""&amp;Q493&amp;""""&amp;Dashboard!$L$1&amp;"""")))"&amp;",K493))"),"")</f>
        <v/>
      </c>
      <c r="S493" s="266" t="str">
        <f>IFERROR(__xludf.DUMMYFUNCTION("IF(ISBLANK(A493),"""",IFERROR(IF(OR(Q493=""GPB"",Q493=""ZAR""),IF(Q493=Dashboard!$L$1,M493,(M493*GOOGLEFINANCE(""CURRENCY:""&amp;Q493&amp;""""&amp;Dashboard!$L$1&amp;""""))/100),IF(Q493=Dashboard!$L$1,M493,M493*GOOGLEFINANCE(""CURRENCY:""&amp;Q493&amp;""""&amp;Dashboard!$L$1&amp;"""")))"&amp;",M493))"),"")</f>
        <v/>
      </c>
      <c r="T493" s="264" t="str">
        <f t="shared" si="4"/>
        <v/>
      </c>
      <c r="U493" s="264" t="str">
        <f t="shared" si="5"/>
        <v/>
      </c>
      <c r="V493" s="264" t="str">
        <f t="shared" si="6"/>
        <v/>
      </c>
      <c r="W493" s="267" t="str">
        <f t="shared" si="8"/>
        <v/>
      </c>
      <c r="X493" s="264" t="str">
        <f t="shared" si="7"/>
        <v/>
      </c>
    </row>
    <row r="494" ht="15.75" customHeight="1">
      <c r="A494" s="258"/>
      <c r="B494" s="258"/>
      <c r="C494" s="269"/>
      <c r="D494" s="258"/>
      <c r="E494" s="258"/>
      <c r="F494" s="258"/>
      <c r="G494" s="258"/>
      <c r="H494" s="271"/>
      <c r="I494" s="258"/>
      <c r="J494" s="272"/>
      <c r="K494" s="260"/>
      <c r="L494" s="261"/>
      <c r="M494" s="262" t="str">
        <f t="shared" si="1"/>
        <v/>
      </c>
      <c r="N494" s="263" t="str">
        <f t="shared" si="2"/>
        <v/>
      </c>
      <c r="O494" s="264" t="str">
        <f t="shared" si="3"/>
        <v/>
      </c>
      <c r="P494" s="265" t="str">
        <f>IFERROR(__xludf.DUMMYFUNCTION("IF(ISBLANK(A494),"""",IFERROR(IF(H494=""Sell"",VLOOKUP(9^99,FILTER({ROW(P$2:P493),P$2:P493},D$2:D493=D494),2),(VLOOKUP(9^99,FILTER({ROW(P$2:P493),P$2:P493},D$2:D493=D494),2)*VLOOKUP(9^99,FILTER({ROW(O$2:O493),O$2:O493},D$2:D493=D494),2)-N494)/O494),J494))"),"")</f>
        <v/>
      </c>
      <c r="Q494" s="264" t="str">
        <f>IFERROR(__xludf.DUMMYFUNCTION("IFERROR(IF(F494=""Crypto"",B494,(IF(ISBLANK(D494),"""",IF(D494=""Cash"",B494,IF(GOOGLEFINANCE(D494,""CURRENCY"")=""GBX"",""GBP"",GOOGLEFINANCE(D494,""CURRENCY"")))))),B494)"),"")</f>
        <v/>
      </c>
      <c r="R494" s="263" t="str">
        <f>IFERROR(__xludf.DUMMYFUNCTION("IF(ISBLANK(A494),"""",IFERROR(IF(OR(Q494=""GPB"",Q494=""ZAR""),IF(Q494=Dashboard!$L$1,K494,(K494*GOOGLEFINANCE(""CURRENCY:""&amp;Q494&amp;""""&amp;Dashboard!$L$1&amp;""""))/100),IF(Q494=Dashboard!$L$1,K494,K494*GOOGLEFINANCE(""CURRENCY:""&amp;Q494&amp;""""&amp;Dashboard!$L$1&amp;"""")))"&amp;",K494))"),"")</f>
        <v/>
      </c>
      <c r="S494" s="266" t="str">
        <f>IFERROR(__xludf.DUMMYFUNCTION("IF(ISBLANK(A494),"""",IFERROR(IF(OR(Q494=""GPB"",Q494=""ZAR""),IF(Q494=Dashboard!$L$1,M494,(M494*GOOGLEFINANCE(""CURRENCY:""&amp;Q494&amp;""""&amp;Dashboard!$L$1&amp;""""))/100),IF(Q494=Dashboard!$L$1,M494,M494*GOOGLEFINANCE(""CURRENCY:""&amp;Q494&amp;""""&amp;Dashboard!$L$1&amp;"""")))"&amp;",M494))"),"")</f>
        <v/>
      </c>
      <c r="T494" s="264" t="str">
        <f t="shared" si="4"/>
        <v/>
      </c>
      <c r="U494" s="264" t="str">
        <f t="shared" si="5"/>
        <v/>
      </c>
      <c r="V494" s="264" t="str">
        <f t="shared" si="6"/>
        <v/>
      </c>
      <c r="W494" s="267" t="str">
        <f t="shared" si="8"/>
        <v/>
      </c>
      <c r="X494" s="264" t="str">
        <f t="shared" si="7"/>
        <v/>
      </c>
    </row>
    <row r="495" ht="15.75" customHeight="1">
      <c r="A495" s="258"/>
      <c r="B495" s="258"/>
      <c r="C495" s="269"/>
      <c r="D495" s="258"/>
      <c r="E495" s="258"/>
      <c r="F495" s="258"/>
      <c r="G495" s="258"/>
      <c r="H495" s="271"/>
      <c r="I495" s="258"/>
      <c r="J495" s="272"/>
      <c r="K495" s="260"/>
      <c r="L495" s="261"/>
      <c r="M495" s="262" t="str">
        <f t="shared" si="1"/>
        <v/>
      </c>
      <c r="N495" s="263" t="str">
        <f t="shared" si="2"/>
        <v/>
      </c>
      <c r="O495" s="264" t="str">
        <f t="shared" si="3"/>
        <v/>
      </c>
      <c r="P495" s="265" t="str">
        <f>IFERROR(__xludf.DUMMYFUNCTION("IF(ISBLANK(A495),"""",IFERROR(IF(H495=""Sell"",VLOOKUP(9^99,FILTER({ROW(P$2:P494),P$2:P494},D$2:D494=D495),2),(VLOOKUP(9^99,FILTER({ROW(P$2:P494),P$2:P494},D$2:D494=D495),2)*VLOOKUP(9^99,FILTER({ROW(O$2:O494),O$2:O494},D$2:D494=D495),2)-N495)/O495),J495))"),"")</f>
        <v/>
      </c>
      <c r="Q495" s="264" t="str">
        <f>IFERROR(__xludf.DUMMYFUNCTION("IFERROR(IF(F495=""Crypto"",B495,(IF(ISBLANK(D495),"""",IF(D495=""Cash"",B495,IF(GOOGLEFINANCE(D495,""CURRENCY"")=""GBX"",""GBP"",GOOGLEFINANCE(D495,""CURRENCY"")))))),B495)"),"")</f>
        <v/>
      </c>
      <c r="R495" s="263" t="str">
        <f>IFERROR(__xludf.DUMMYFUNCTION("IF(ISBLANK(A495),"""",IFERROR(IF(OR(Q495=""GPB"",Q495=""ZAR""),IF(Q495=Dashboard!$L$1,K495,(K495*GOOGLEFINANCE(""CURRENCY:""&amp;Q495&amp;""""&amp;Dashboard!$L$1&amp;""""))/100),IF(Q495=Dashboard!$L$1,K495,K495*GOOGLEFINANCE(""CURRENCY:""&amp;Q495&amp;""""&amp;Dashboard!$L$1&amp;"""")))"&amp;",K495))"),"")</f>
        <v/>
      </c>
      <c r="S495" s="266" t="str">
        <f>IFERROR(__xludf.DUMMYFUNCTION("IF(ISBLANK(A495),"""",IFERROR(IF(OR(Q495=""GPB"",Q495=""ZAR""),IF(Q495=Dashboard!$L$1,M495,(M495*GOOGLEFINANCE(""CURRENCY:""&amp;Q495&amp;""""&amp;Dashboard!$L$1&amp;""""))/100),IF(Q495=Dashboard!$L$1,M495,M495*GOOGLEFINANCE(""CURRENCY:""&amp;Q495&amp;""""&amp;Dashboard!$L$1&amp;"""")))"&amp;",M495))"),"")</f>
        <v/>
      </c>
      <c r="T495" s="264" t="str">
        <f t="shared" si="4"/>
        <v/>
      </c>
      <c r="U495" s="264" t="str">
        <f t="shared" si="5"/>
        <v/>
      </c>
      <c r="V495" s="264" t="str">
        <f t="shared" si="6"/>
        <v/>
      </c>
      <c r="W495" s="267" t="str">
        <f t="shared" si="8"/>
        <v/>
      </c>
      <c r="X495" s="264" t="str">
        <f t="shared" si="7"/>
        <v/>
      </c>
    </row>
    <row r="496" ht="15.75" customHeight="1">
      <c r="A496" s="258"/>
      <c r="B496" s="258"/>
      <c r="C496" s="269"/>
      <c r="D496" s="258"/>
      <c r="E496" s="258"/>
      <c r="F496" s="258"/>
      <c r="G496" s="258"/>
      <c r="H496" s="271"/>
      <c r="I496" s="258"/>
      <c r="J496" s="272"/>
      <c r="K496" s="260"/>
      <c r="L496" s="261"/>
      <c r="M496" s="262" t="str">
        <f t="shared" si="1"/>
        <v/>
      </c>
      <c r="N496" s="263" t="str">
        <f t="shared" si="2"/>
        <v/>
      </c>
      <c r="O496" s="264" t="str">
        <f t="shared" si="3"/>
        <v/>
      </c>
      <c r="P496" s="265" t="str">
        <f>IFERROR(__xludf.DUMMYFUNCTION("IF(ISBLANK(A496),"""",IFERROR(IF(H496=""Sell"",VLOOKUP(9^99,FILTER({ROW(P$2:P495),P$2:P495},D$2:D495=D496),2),(VLOOKUP(9^99,FILTER({ROW(P$2:P495),P$2:P495},D$2:D495=D496),2)*VLOOKUP(9^99,FILTER({ROW(O$2:O495),O$2:O495},D$2:D495=D496),2)-N496)/O496),J496))"),"")</f>
        <v/>
      </c>
      <c r="Q496" s="264" t="str">
        <f>IFERROR(__xludf.DUMMYFUNCTION("IFERROR(IF(F496=""Crypto"",B496,(IF(ISBLANK(D496),"""",IF(D496=""Cash"",B496,IF(GOOGLEFINANCE(D496,""CURRENCY"")=""GBX"",""GBP"",GOOGLEFINANCE(D496,""CURRENCY"")))))),B496)"),"")</f>
        <v/>
      </c>
      <c r="R496" s="263" t="str">
        <f>IFERROR(__xludf.DUMMYFUNCTION("IF(ISBLANK(A496),"""",IFERROR(IF(OR(Q496=""GPB"",Q496=""ZAR""),IF(Q496=Dashboard!$L$1,K496,(K496*GOOGLEFINANCE(""CURRENCY:""&amp;Q496&amp;""""&amp;Dashboard!$L$1&amp;""""))/100),IF(Q496=Dashboard!$L$1,K496,K496*GOOGLEFINANCE(""CURRENCY:""&amp;Q496&amp;""""&amp;Dashboard!$L$1&amp;"""")))"&amp;",K496))"),"")</f>
        <v/>
      </c>
      <c r="S496" s="266" t="str">
        <f>IFERROR(__xludf.DUMMYFUNCTION("IF(ISBLANK(A496),"""",IFERROR(IF(OR(Q496=""GPB"",Q496=""ZAR""),IF(Q496=Dashboard!$L$1,M496,(M496*GOOGLEFINANCE(""CURRENCY:""&amp;Q496&amp;""""&amp;Dashboard!$L$1&amp;""""))/100),IF(Q496=Dashboard!$L$1,M496,M496*GOOGLEFINANCE(""CURRENCY:""&amp;Q496&amp;""""&amp;Dashboard!$L$1&amp;"""")))"&amp;",M496))"),"")</f>
        <v/>
      </c>
      <c r="T496" s="264" t="str">
        <f t="shared" si="4"/>
        <v/>
      </c>
      <c r="U496" s="264" t="str">
        <f t="shared" si="5"/>
        <v/>
      </c>
      <c r="V496" s="264" t="str">
        <f t="shared" si="6"/>
        <v/>
      </c>
      <c r="W496" s="267" t="str">
        <f t="shared" si="8"/>
        <v/>
      </c>
      <c r="X496" s="264" t="str">
        <f t="shared" si="7"/>
        <v/>
      </c>
    </row>
    <row r="497" ht="15.75" customHeight="1">
      <c r="A497" s="258"/>
      <c r="B497" s="258"/>
      <c r="C497" s="269"/>
      <c r="D497" s="258"/>
      <c r="E497" s="258"/>
      <c r="F497" s="258"/>
      <c r="G497" s="258"/>
      <c r="H497" s="271"/>
      <c r="I497" s="258"/>
      <c r="J497" s="272"/>
      <c r="K497" s="260"/>
      <c r="L497" s="261"/>
      <c r="M497" s="262" t="str">
        <f t="shared" si="1"/>
        <v/>
      </c>
      <c r="N497" s="263" t="str">
        <f t="shared" si="2"/>
        <v/>
      </c>
      <c r="O497" s="264" t="str">
        <f t="shared" si="3"/>
        <v/>
      </c>
      <c r="P497" s="265" t="str">
        <f>IFERROR(__xludf.DUMMYFUNCTION("IF(ISBLANK(A497),"""",IFERROR(IF(H497=""Sell"",VLOOKUP(9^99,FILTER({ROW(P$2:P496),P$2:P496},D$2:D496=D497),2),(VLOOKUP(9^99,FILTER({ROW(P$2:P496),P$2:P496},D$2:D496=D497),2)*VLOOKUP(9^99,FILTER({ROW(O$2:O496),O$2:O496},D$2:D496=D497),2)-N497)/O497),J497))"),"")</f>
        <v/>
      </c>
      <c r="Q497" s="264" t="str">
        <f>IFERROR(__xludf.DUMMYFUNCTION("IFERROR(IF(F497=""Crypto"",B497,(IF(ISBLANK(D497),"""",IF(D497=""Cash"",B497,IF(GOOGLEFINANCE(D497,""CURRENCY"")=""GBX"",""GBP"",GOOGLEFINANCE(D497,""CURRENCY"")))))),B497)"),"")</f>
        <v/>
      </c>
      <c r="R497" s="263" t="str">
        <f>IFERROR(__xludf.DUMMYFUNCTION("IF(ISBLANK(A497),"""",IFERROR(IF(OR(Q497=""GPB"",Q497=""ZAR""),IF(Q497=Dashboard!$L$1,K497,(K497*GOOGLEFINANCE(""CURRENCY:""&amp;Q497&amp;""""&amp;Dashboard!$L$1&amp;""""))/100),IF(Q497=Dashboard!$L$1,K497,K497*GOOGLEFINANCE(""CURRENCY:""&amp;Q497&amp;""""&amp;Dashboard!$L$1&amp;"""")))"&amp;",K497))"),"")</f>
        <v/>
      </c>
      <c r="S497" s="266" t="str">
        <f>IFERROR(__xludf.DUMMYFUNCTION("IF(ISBLANK(A497),"""",IFERROR(IF(OR(Q497=""GPB"",Q497=""ZAR""),IF(Q497=Dashboard!$L$1,M497,(M497*GOOGLEFINANCE(""CURRENCY:""&amp;Q497&amp;""""&amp;Dashboard!$L$1&amp;""""))/100),IF(Q497=Dashboard!$L$1,M497,M497*GOOGLEFINANCE(""CURRENCY:""&amp;Q497&amp;""""&amp;Dashboard!$L$1&amp;"""")))"&amp;",M497))"),"")</f>
        <v/>
      </c>
      <c r="T497" s="264" t="str">
        <f t="shared" si="4"/>
        <v/>
      </c>
      <c r="U497" s="264" t="str">
        <f t="shared" si="5"/>
        <v/>
      </c>
      <c r="V497" s="264" t="str">
        <f t="shared" si="6"/>
        <v/>
      </c>
      <c r="W497" s="267" t="str">
        <f t="shared" si="8"/>
        <v/>
      </c>
      <c r="X497" s="264" t="str">
        <f t="shared" si="7"/>
        <v/>
      </c>
    </row>
    <row r="498" ht="15.75" customHeight="1">
      <c r="A498" s="258"/>
      <c r="B498" s="258"/>
      <c r="C498" s="269"/>
      <c r="D498" s="258"/>
      <c r="E498" s="258"/>
      <c r="F498" s="258"/>
      <c r="G498" s="258"/>
      <c r="H498" s="271"/>
      <c r="I498" s="258"/>
      <c r="J498" s="272"/>
      <c r="K498" s="260"/>
      <c r="L498" s="261"/>
      <c r="M498" s="262" t="str">
        <f t="shared" si="1"/>
        <v/>
      </c>
      <c r="N498" s="263" t="str">
        <f t="shared" si="2"/>
        <v/>
      </c>
      <c r="O498" s="264" t="str">
        <f t="shared" si="3"/>
        <v/>
      </c>
      <c r="P498" s="265" t="str">
        <f>IFERROR(__xludf.DUMMYFUNCTION("IF(ISBLANK(A498),"""",IFERROR(IF(H498=""Sell"",VLOOKUP(9^99,FILTER({ROW(P$2:P497),P$2:P497},D$2:D497=D498),2),(VLOOKUP(9^99,FILTER({ROW(P$2:P497),P$2:P497},D$2:D497=D498),2)*VLOOKUP(9^99,FILTER({ROW(O$2:O497),O$2:O497},D$2:D497=D498),2)-N498)/O498),J498))"),"")</f>
        <v/>
      </c>
      <c r="Q498" s="264" t="str">
        <f>IFERROR(__xludf.DUMMYFUNCTION("IFERROR(IF(F498=""Crypto"",B498,(IF(ISBLANK(D498),"""",IF(D498=""Cash"",B498,IF(GOOGLEFINANCE(D498,""CURRENCY"")=""GBX"",""GBP"",GOOGLEFINANCE(D498,""CURRENCY"")))))),B498)"),"")</f>
        <v/>
      </c>
      <c r="R498" s="263" t="str">
        <f>IFERROR(__xludf.DUMMYFUNCTION("IF(ISBLANK(A498),"""",IFERROR(IF(OR(Q498=""GPB"",Q498=""ZAR""),IF(Q498=Dashboard!$L$1,K498,(K498*GOOGLEFINANCE(""CURRENCY:""&amp;Q498&amp;""""&amp;Dashboard!$L$1&amp;""""))/100),IF(Q498=Dashboard!$L$1,K498,K498*GOOGLEFINANCE(""CURRENCY:""&amp;Q498&amp;""""&amp;Dashboard!$L$1&amp;"""")))"&amp;",K498))"),"")</f>
        <v/>
      </c>
      <c r="S498" s="266" t="str">
        <f>IFERROR(__xludf.DUMMYFUNCTION("IF(ISBLANK(A498),"""",IFERROR(IF(OR(Q498=""GPB"",Q498=""ZAR""),IF(Q498=Dashboard!$L$1,M498,(M498*GOOGLEFINANCE(""CURRENCY:""&amp;Q498&amp;""""&amp;Dashboard!$L$1&amp;""""))/100),IF(Q498=Dashboard!$L$1,M498,M498*GOOGLEFINANCE(""CURRENCY:""&amp;Q498&amp;""""&amp;Dashboard!$L$1&amp;"""")))"&amp;",M498))"),"")</f>
        <v/>
      </c>
      <c r="T498" s="264" t="str">
        <f t="shared" si="4"/>
        <v/>
      </c>
      <c r="U498" s="264" t="str">
        <f t="shared" si="5"/>
        <v/>
      </c>
      <c r="V498" s="264" t="str">
        <f t="shared" si="6"/>
        <v/>
      </c>
      <c r="W498" s="267" t="str">
        <f t="shared" si="8"/>
        <v/>
      </c>
      <c r="X498" s="264" t="str">
        <f t="shared" si="7"/>
        <v/>
      </c>
    </row>
    <row r="499" ht="15.75" customHeight="1">
      <c r="A499" s="258"/>
      <c r="B499" s="258"/>
      <c r="C499" s="269"/>
      <c r="D499" s="258"/>
      <c r="E499" s="258"/>
      <c r="F499" s="258"/>
      <c r="G499" s="258"/>
      <c r="H499" s="271"/>
      <c r="I499" s="258"/>
      <c r="J499" s="272"/>
      <c r="K499" s="260"/>
      <c r="L499" s="261"/>
      <c r="M499" s="262" t="str">
        <f t="shared" si="1"/>
        <v/>
      </c>
      <c r="N499" s="263" t="str">
        <f t="shared" si="2"/>
        <v/>
      </c>
      <c r="O499" s="264" t="str">
        <f t="shared" si="3"/>
        <v/>
      </c>
      <c r="P499" s="265" t="str">
        <f>IFERROR(__xludf.DUMMYFUNCTION("IF(ISBLANK(A499),"""",IFERROR(IF(H499=""Sell"",VLOOKUP(9^99,FILTER({ROW(P$2:P498),P$2:P498},D$2:D498=D499),2),(VLOOKUP(9^99,FILTER({ROW(P$2:P498),P$2:P498},D$2:D498=D499),2)*VLOOKUP(9^99,FILTER({ROW(O$2:O498),O$2:O498},D$2:D498=D499),2)-N499)/O499),J499))"),"")</f>
        <v/>
      </c>
      <c r="Q499" s="264" t="str">
        <f>IFERROR(__xludf.DUMMYFUNCTION("IFERROR(IF(F499=""Crypto"",B499,(IF(ISBLANK(D499),"""",IF(D499=""Cash"",B499,IF(GOOGLEFINANCE(D499,""CURRENCY"")=""GBX"",""GBP"",GOOGLEFINANCE(D499,""CURRENCY"")))))),B499)"),"")</f>
        <v/>
      </c>
      <c r="R499" s="263" t="str">
        <f>IFERROR(__xludf.DUMMYFUNCTION("IF(ISBLANK(A499),"""",IFERROR(IF(OR(Q499=""GPB"",Q499=""ZAR""),IF(Q499=Dashboard!$L$1,K499,(K499*GOOGLEFINANCE(""CURRENCY:""&amp;Q499&amp;""""&amp;Dashboard!$L$1&amp;""""))/100),IF(Q499=Dashboard!$L$1,K499,K499*GOOGLEFINANCE(""CURRENCY:""&amp;Q499&amp;""""&amp;Dashboard!$L$1&amp;"""")))"&amp;",K499))"),"")</f>
        <v/>
      </c>
      <c r="S499" s="266" t="str">
        <f>IFERROR(__xludf.DUMMYFUNCTION("IF(ISBLANK(A499),"""",IFERROR(IF(OR(Q499=""GPB"",Q499=""ZAR""),IF(Q499=Dashboard!$L$1,M499,(M499*GOOGLEFINANCE(""CURRENCY:""&amp;Q499&amp;""""&amp;Dashboard!$L$1&amp;""""))/100),IF(Q499=Dashboard!$L$1,M499,M499*GOOGLEFINANCE(""CURRENCY:""&amp;Q499&amp;""""&amp;Dashboard!$L$1&amp;"""")))"&amp;",M499))"),"")</f>
        <v/>
      </c>
      <c r="T499" s="264" t="str">
        <f t="shared" si="4"/>
        <v/>
      </c>
      <c r="U499" s="264" t="str">
        <f t="shared" si="5"/>
        <v/>
      </c>
      <c r="V499" s="264" t="str">
        <f t="shared" si="6"/>
        <v/>
      </c>
      <c r="W499" s="267" t="str">
        <f t="shared" si="8"/>
        <v/>
      </c>
      <c r="X499" s="264" t="str">
        <f t="shared" si="7"/>
        <v/>
      </c>
    </row>
    <row r="500" ht="15.75" customHeight="1">
      <c r="A500" s="258"/>
      <c r="B500" s="258"/>
      <c r="C500" s="269"/>
      <c r="D500" s="258"/>
      <c r="E500" s="258"/>
      <c r="F500" s="258"/>
      <c r="G500" s="258"/>
      <c r="H500" s="271"/>
      <c r="I500" s="258"/>
      <c r="J500" s="272"/>
      <c r="K500" s="260"/>
      <c r="L500" s="261"/>
      <c r="M500" s="262" t="str">
        <f t="shared" si="1"/>
        <v/>
      </c>
      <c r="N500" s="263" t="str">
        <f t="shared" si="2"/>
        <v/>
      </c>
      <c r="O500" s="264" t="str">
        <f t="shared" si="3"/>
        <v/>
      </c>
      <c r="P500" s="265" t="str">
        <f>IFERROR(__xludf.DUMMYFUNCTION("IF(ISBLANK(A500),"""",IFERROR(IF(H500=""Sell"",VLOOKUP(9^99,FILTER({ROW(P$2:P499),P$2:P499},D$2:D499=D500),2),(VLOOKUP(9^99,FILTER({ROW(P$2:P499),P$2:P499},D$2:D499=D500),2)*VLOOKUP(9^99,FILTER({ROW(O$2:O499),O$2:O499},D$2:D499=D500),2)-N500)/O500),J500))"),"")</f>
        <v/>
      </c>
      <c r="Q500" s="264" t="str">
        <f>IFERROR(__xludf.DUMMYFUNCTION("IFERROR(IF(F500=""Crypto"",B500,(IF(ISBLANK(D500),"""",IF(D500=""Cash"",B500,IF(GOOGLEFINANCE(D500,""CURRENCY"")=""GBX"",""GBP"",GOOGLEFINANCE(D500,""CURRENCY"")))))),B500)"),"")</f>
        <v/>
      </c>
      <c r="R500" s="263" t="str">
        <f>IFERROR(__xludf.DUMMYFUNCTION("IF(ISBLANK(A500),"""",IFERROR(IF(OR(Q500=""GPB"",Q500=""ZAR""),IF(Q500=Dashboard!$L$1,K500,(K500*GOOGLEFINANCE(""CURRENCY:""&amp;Q500&amp;""""&amp;Dashboard!$L$1&amp;""""))/100),IF(Q500=Dashboard!$L$1,K500,K500*GOOGLEFINANCE(""CURRENCY:""&amp;Q500&amp;""""&amp;Dashboard!$L$1&amp;"""")))"&amp;",K500))"),"")</f>
        <v/>
      </c>
      <c r="S500" s="266" t="str">
        <f>IFERROR(__xludf.DUMMYFUNCTION("IF(ISBLANK(A500),"""",IFERROR(IF(OR(Q500=""GPB"",Q500=""ZAR""),IF(Q500=Dashboard!$L$1,M500,(M500*GOOGLEFINANCE(""CURRENCY:""&amp;Q500&amp;""""&amp;Dashboard!$L$1&amp;""""))/100),IF(Q500=Dashboard!$L$1,M500,M500*GOOGLEFINANCE(""CURRENCY:""&amp;Q500&amp;""""&amp;Dashboard!$L$1&amp;"""")))"&amp;",M500))"),"")</f>
        <v/>
      </c>
      <c r="T500" s="264" t="str">
        <f t="shared" si="4"/>
        <v/>
      </c>
      <c r="U500" s="264" t="str">
        <f t="shared" si="5"/>
        <v/>
      </c>
      <c r="V500" s="264" t="str">
        <f t="shared" si="6"/>
        <v/>
      </c>
      <c r="W500" s="267" t="str">
        <f t="shared" si="8"/>
        <v/>
      </c>
      <c r="X500" s="264" t="str">
        <f t="shared" si="7"/>
        <v/>
      </c>
    </row>
    <row r="501" ht="15.75" customHeight="1">
      <c r="A501" s="258"/>
      <c r="B501" s="258"/>
      <c r="C501" s="269"/>
      <c r="D501" s="258"/>
      <c r="E501" s="258"/>
      <c r="F501" s="258"/>
      <c r="G501" s="258"/>
      <c r="H501" s="271"/>
      <c r="I501" s="258"/>
      <c r="J501" s="272"/>
      <c r="K501" s="260"/>
      <c r="L501" s="261"/>
      <c r="M501" s="262" t="str">
        <f t="shared" si="1"/>
        <v/>
      </c>
      <c r="N501" s="263" t="str">
        <f t="shared" si="2"/>
        <v/>
      </c>
      <c r="O501" s="264" t="str">
        <f t="shared" si="3"/>
        <v/>
      </c>
      <c r="P501" s="265" t="str">
        <f>IFERROR(__xludf.DUMMYFUNCTION("IF(ISBLANK(A501),"""",IFERROR(IF(H501=""Sell"",VLOOKUP(9^99,FILTER({ROW(P$2:P500),P$2:P500},D$2:D500=D501),2),(VLOOKUP(9^99,FILTER({ROW(P$2:P500),P$2:P500},D$2:D500=D501),2)*VLOOKUP(9^99,FILTER({ROW(O$2:O500),O$2:O500},D$2:D500=D501),2)-N501)/O501),J501))"),"")</f>
        <v/>
      </c>
      <c r="Q501" s="264" t="str">
        <f>IFERROR(__xludf.DUMMYFUNCTION("IFERROR(IF(F501=""Crypto"",B501,(IF(ISBLANK(D501),"""",IF(D501=""Cash"",B501,IF(GOOGLEFINANCE(D501,""CURRENCY"")=""GBX"",""GBP"",GOOGLEFINANCE(D501,""CURRENCY"")))))),B501)"),"")</f>
        <v/>
      </c>
      <c r="R501" s="263" t="str">
        <f>IFERROR(__xludf.DUMMYFUNCTION("IF(ISBLANK(A501),"""",IFERROR(IF(OR(Q501=""GPB"",Q501=""ZAR""),IF(Q501=Dashboard!$L$1,K501,(K501*GOOGLEFINANCE(""CURRENCY:""&amp;Q501&amp;""""&amp;Dashboard!$L$1&amp;""""))/100),IF(Q501=Dashboard!$L$1,K501,K501*GOOGLEFINANCE(""CURRENCY:""&amp;Q501&amp;""""&amp;Dashboard!$L$1&amp;"""")))"&amp;",K501))"),"")</f>
        <v/>
      </c>
      <c r="S501" s="266" t="str">
        <f>IFERROR(__xludf.DUMMYFUNCTION("IF(ISBLANK(A501),"""",IFERROR(IF(OR(Q501=""GPB"",Q501=""ZAR""),IF(Q501=Dashboard!$L$1,M501,(M501*GOOGLEFINANCE(""CURRENCY:""&amp;Q501&amp;""""&amp;Dashboard!$L$1&amp;""""))/100),IF(Q501=Dashboard!$L$1,M501,M501*GOOGLEFINANCE(""CURRENCY:""&amp;Q501&amp;""""&amp;Dashboard!$L$1&amp;"""")))"&amp;",M501))"),"")</f>
        <v/>
      </c>
      <c r="T501" s="264" t="str">
        <f t="shared" si="4"/>
        <v/>
      </c>
      <c r="U501" s="264" t="str">
        <f t="shared" si="5"/>
        <v/>
      </c>
      <c r="V501" s="264" t="str">
        <f t="shared" si="6"/>
        <v/>
      </c>
      <c r="W501" s="267" t="str">
        <f t="shared" si="8"/>
        <v/>
      </c>
      <c r="X501" s="264" t="str">
        <f t="shared" si="7"/>
        <v/>
      </c>
    </row>
    <row r="502" ht="15.75" customHeight="1">
      <c r="A502" s="258"/>
      <c r="B502" s="258"/>
      <c r="C502" s="269"/>
      <c r="D502" s="258"/>
      <c r="E502" s="258"/>
      <c r="F502" s="258"/>
      <c r="G502" s="258"/>
      <c r="H502" s="271"/>
      <c r="I502" s="258"/>
      <c r="J502" s="272"/>
      <c r="K502" s="260"/>
      <c r="L502" s="261"/>
      <c r="M502" s="262" t="str">
        <f t="shared" si="1"/>
        <v/>
      </c>
      <c r="N502" s="263" t="str">
        <f t="shared" si="2"/>
        <v/>
      </c>
      <c r="O502" s="264" t="str">
        <f t="shared" si="3"/>
        <v/>
      </c>
      <c r="P502" s="265" t="str">
        <f>IFERROR(__xludf.DUMMYFUNCTION("IF(ISBLANK(A502),"""",IFERROR(IF(H502=""Sell"",VLOOKUP(9^99,FILTER({ROW(P$2:P501),P$2:P501},D$2:D501=D502),2),(VLOOKUP(9^99,FILTER({ROW(P$2:P501),P$2:P501},D$2:D501=D502),2)*VLOOKUP(9^99,FILTER({ROW(O$2:O501),O$2:O501},D$2:D501=D502),2)-N502)/O502),J502))"),"")</f>
        <v/>
      </c>
      <c r="Q502" s="264" t="str">
        <f>IFERROR(__xludf.DUMMYFUNCTION("IFERROR(IF(F502=""Crypto"",B502,(IF(ISBLANK(D502),"""",IF(D502=""Cash"",B502,IF(GOOGLEFINANCE(D502,""CURRENCY"")=""GBX"",""GBP"",GOOGLEFINANCE(D502,""CURRENCY"")))))),B502)"),"")</f>
        <v/>
      </c>
      <c r="R502" s="263" t="str">
        <f>IFERROR(__xludf.DUMMYFUNCTION("IF(ISBLANK(A502),"""",IFERROR(IF(OR(Q502=""GPB"",Q502=""ZAR""),IF(Q502=Dashboard!$L$1,K502,(K502*GOOGLEFINANCE(""CURRENCY:""&amp;Q502&amp;""""&amp;Dashboard!$L$1&amp;""""))/100),IF(Q502=Dashboard!$L$1,K502,K502*GOOGLEFINANCE(""CURRENCY:""&amp;Q502&amp;""""&amp;Dashboard!$L$1&amp;"""")))"&amp;",K502))"),"")</f>
        <v/>
      </c>
      <c r="S502" s="266" t="str">
        <f>IFERROR(__xludf.DUMMYFUNCTION("IF(ISBLANK(A502),"""",IFERROR(IF(OR(Q502=""GPB"",Q502=""ZAR""),IF(Q502=Dashboard!$L$1,M502,(M502*GOOGLEFINANCE(""CURRENCY:""&amp;Q502&amp;""""&amp;Dashboard!$L$1&amp;""""))/100),IF(Q502=Dashboard!$L$1,M502,M502*GOOGLEFINANCE(""CURRENCY:""&amp;Q502&amp;""""&amp;Dashboard!$L$1&amp;"""")))"&amp;",M502))"),"")</f>
        <v/>
      </c>
      <c r="T502" s="264" t="str">
        <f t="shared" si="4"/>
        <v/>
      </c>
      <c r="U502" s="264" t="str">
        <f t="shared" si="5"/>
        <v/>
      </c>
      <c r="V502" s="264" t="str">
        <f t="shared" si="6"/>
        <v/>
      </c>
      <c r="W502" s="267" t="str">
        <f t="shared" si="8"/>
        <v/>
      </c>
      <c r="X502" s="264" t="str">
        <f t="shared" si="7"/>
        <v/>
      </c>
    </row>
    <row r="503" ht="15.75" customHeight="1">
      <c r="A503" s="258"/>
      <c r="B503" s="258"/>
      <c r="C503" s="269"/>
      <c r="D503" s="258"/>
      <c r="E503" s="258"/>
      <c r="F503" s="258"/>
      <c r="G503" s="258"/>
      <c r="H503" s="271"/>
      <c r="I503" s="258"/>
      <c r="J503" s="272"/>
      <c r="K503" s="260"/>
      <c r="L503" s="261"/>
      <c r="M503" s="262" t="str">
        <f t="shared" si="1"/>
        <v/>
      </c>
      <c r="N503" s="263" t="str">
        <f t="shared" si="2"/>
        <v/>
      </c>
      <c r="O503" s="264" t="str">
        <f t="shared" si="3"/>
        <v/>
      </c>
      <c r="P503" s="265" t="str">
        <f>IFERROR(__xludf.DUMMYFUNCTION("IF(ISBLANK(A503),"""",IFERROR(IF(H503=""Sell"",VLOOKUP(9^99,FILTER({ROW(P$2:P502),P$2:P502},D$2:D502=D503),2),(VLOOKUP(9^99,FILTER({ROW(P$2:P502),P$2:P502},D$2:D502=D503),2)*VLOOKUP(9^99,FILTER({ROW(O$2:O502),O$2:O502},D$2:D502=D503),2)-N503)/O503),J503))"),"")</f>
        <v/>
      </c>
      <c r="Q503" s="264" t="str">
        <f>IFERROR(__xludf.DUMMYFUNCTION("IFERROR(IF(F503=""Crypto"",B503,(IF(ISBLANK(D503),"""",IF(D503=""Cash"",B503,IF(GOOGLEFINANCE(D503,""CURRENCY"")=""GBX"",""GBP"",GOOGLEFINANCE(D503,""CURRENCY"")))))),B503)"),"")</f>
        <v/>
      </c>
      <c r="R503" s="263" t="str">
        <f>IFERROR(__xludf.DUMMYFUNCTION("IF(ISBLANK(A503),"""",IFERROR(IF(OR(Q503=""GPB"",Q503=""ZAR""),IF(Q503=Dashboard!$L$1,K503,(K503*GOOGLEFINANCE(""CURRENCY:""&amp;Q503&amp;""""&amp;Dashboard!$L$1&amp;""""))/100),IF(Q503=Dashboard!$L$1,K503,K503*GOOGLEFINANCE(""CURRENCY:""&amp;Q503&amp;""""&amp;Dashboard!$L$1&amp;"""")))"&amp;",K503))"),"")</f>
        <v/>
      </c>
      <c r="S503" s="266" t="str">
        <f>IFERROR(__xludf.DUMMYFUNCTION("IF(ISBLANK(A503),"""",IFERROR(IF(OR(Q503=""GPB"",Q503=""ZAR""),IF(Q503=Dashboard!$L$1,M503,(M503*GOOGLEFINANCE(""CURRENCY:""&amp;Q503&amp;""""&amp;Dashboard!$L$1&amp;""""))/100),IF(Q503=Dashboard!$L$1,M503,M503*GOOGLEFINANCE(""CURRENCY:""&amp;Q503&amp;""""&amp;Dashboard!$L$1&amp;"""")))"&amp;",M503))"),"")</f>
        <v/>
      </c>
      <c r="T503" s="264" t="str">
        <f t="shared" si="4"/>
        <v/>
      </c>
      <c r="U503" s="264" t="str">
        <f t="shared" si="5"/>
        <v/>
      </c>
      <c r="V503" s="264" t="str">
        <f t="shared" si="6"/>
        <v/>
      </c>
      <c r="W503" s="267" t="str">
        <f t="shared" si="8"/>
        <v/>
      </c>
      <c r="X503" s="264" t="str">
        <f t="shared" si="7"/>
        <v/>
      </c>
    </row>
    <row r="504" ht="15.75" customHeight="1">
      <c r="A504" s="258"/>
      <c r="B504" s="258"/>
      <c r="C504" s="269"/>
      <c r="D504" s="258"/>
      <c r="E504" s="258"/>
      <c r="F504" s="258"/>
      <c r="G504" s="258"/>
      <c r="H504" s="271"/>
      <c r="I504" s="258"/>
      <c r="J504" s="272"/>
      <c r="K504" s="260"/>
      <c r="L504" s="261"/>
      <c r="M504" s="262" t="str">
        <f t="shared" si="1"/>
        <v/>
      </c>
      <c r="N504" s="263" t="str">
        <f t="shared" si="2"/>
        <v/>
      </c>
      <c r="O504" s="264" t="str">
        <f t="shared" si="3"/>
        <v/>
      </c>
      <c r="P504" s="265" t="str">
        <f>IFERROR(__xludf.DUMMYFUNCTION("IF(ISBLANK(A504),"""",IFERROR(IF(H504=""Sell"",VLOOKUP(9^99,FILTER({ROW(P$2:P503),P$2:P503},D$2:D503=D504),2),(VLOOKUP(9^99,FILTER({ROW(P$2:P503),P$2:P503},D$2:D503=D504),2)*VLOOKUP(9^99,FILTER({ROW(O$2:O503),O$2:O503},D$2:D503=D504),2)-N504)/O504),J504))"),"")</f>
        <v/>
      </c>
      <c r="Q504" s="264" t="str">
        <f>IFERROR(__xludf.DUMMYFUNCTION("IFERROR(IF(F504=""Crypto"",B504,(IF(ISBLANK(D504),"""",IF(D504=""Cash"",B504,IF(GOOGLEFINANCE(D504,""CURRENCY"")=""GBX"",""GBP"",GOOGLEFINANCE(D504,""CURRENCY"")))))),B504)"),"")</f>
        <v/>
      </c>
      <c r="R504" s="263" t="str">
        <f>IFERROR(__xludf.DUMMYFUNCTION("IF(ISBLANK(A504),"""",IFERROR(IF(OR(Q504=""GPB"",Q504=""ZAR""),IF(Q504=Dashboard!$L$1,K504,(K504*GOOGLEFINANCE(""CURRENCY:""&amp;Q504&amp;""""&amp;Dashboard!$L$1&amp;""""))/100),IF(Q504=Dashboard!$L$1,K504,K504*GOOGLEFINANCE(""CURRENCY:""&amp;Q504&amp;""""&amp;Dashboard!$L$1&amp;"""")))"&amp;",K504))"),"")</f>
        <v/>
      </c>
      <c r="S504" s="266" t="str">
        <f>IFERROR(__xludf.DUMMYFUNCTION("IF(ISBLANK(A504),"""",IFERROR(IF(OR(Q504=""GPB"",Q504=""ZAR""),IF(Q504=Dashboard!$L$1,M504,(M504*GOOGLEFINANCE(""CURRENCY:""&amp;Q504&amp;""""&amp;Dashboard!$L$1&amp;""""))/100),IF(Q504=Dashboard!$L$1,M504,M504*GOOGLEFINANCE(""CURRENCY:""&amp;Q504&amp;""""&amp;Dashboard!$L$1&amp;"""")))"&amp;",M504))"),"")</f>
        <v/>
      </c>
      <c r="T504" s="264" t="str">
        <f t="shared" si="4"/>
        <v/>
      </c>
      <c r="U504" s="264" t="str">
        <f t="shared" si="5"/>
        <v/>
      </c>
      <c r="V504" s="264" t="str">
        <f t="shared" si="6"/>
        <v/>
      </c>
      <c r="W504" s="267" t="str">
        <f t="shared" si="8"/>
        <v/>
      </c>
      <c r="X504" s="264" t="str">
        <f t="shared" si="7"/>
        <v/>
      </c>
    </row>
    <row r="505" ht="15.75" customHeight="1">
      <c r="A505" s="258"/>
      <c r="B505" s="258"/>
      <c r="C505" s="269"/>
      <c r="D505" s="258"/>
      <c r="E505" s="258"/>
      <c r="F505" s="258"/>
      <c r="G505" s="258"/>
      <c r="H505" s="271"/>
      <c r="I505" s="258"/>
      <c r="J505" s="272"/>
      <c r="K505" s="260"/>
      <c r="L505" s="261"/>
      <c r="M505" s="262" t="str">
        <f t="shared" si="1"/>
        <v/>
      </c>
      <c r="N505" s="263" t="str">
        <f t="shared" si="2"/>
        <v/>
      </c>
      <c r="O505" s="264" t="str">
        <f t="shared" si="3"/>
        <v/>
      </c>
      <c r="P505" s="265" t="str">
        <f>IFERROR(__xludf.DUMMYFUNCTION("IF(ISBLANK(A505),"""",IFERROR(IF(H505=""Sell"",VLOOKUP(9^99,FILTER({ROW(P$2:P504),P$2:P504},D$2:D504=D505),2),(VLOOKUP(9^99,FILTER({ROW(P$2:P504),P$2:P504},D$2:D504=D505),2)*VLOOKUP(9^99,FILTER({ROW(O$2:O504),O$2:O504},D$2:D504=D505),2)-N505)/O505),J505))"),"")</f>
        <v/>
      </c>
      <c r="Q505" s="264" t="str">
        <f>IFERROR(__xludf.DUMMYFUNCTION("IFERROR(IF(F505=""Crypto"",B505,(IF(ISBLANK(D505),"""",IF(D505=""Cash"",B505,IF(GOOGLEFINANCE(D505,""CURRENCY"")=""GBX"",""GBP"",GOOGLEFINANCE(D505,""CURRENCY"")))))),B505)"),"")</f>
        <v/>
      </c>
      <c r="R505" s="263" t="str">
        <f>IFERROR(__xludf.DUMMYFUNCTION("IF(ISBLANK(A505),"""",IFERROR(IF(OR(Q505=""GPB"",Q505=""ZAR""),IF(Q505=Dashboard!$L$1,K505,(K505*GOOGLEFINANCE(""CURRENCY:""&amp;Q505&amp;""""&amp;Dashboard!$L$1&amp;""""))/100),IF(Q505=Dashboard!$L$1,K505,K505*GOOGLEFINANCE(""CURRENCY:""&amp;Q505&amp;""""&amp;Dashboard!$L$1&amp;"""")))"&amp;",K505))"),"")</f>
        <v/>
      </c>
      <c r="S505" s="266" t="str">
        <f>IFERROR(__xludf.DUMMYFUNCTION("IF(ISBLANK(A505),"""",IFERROR(IF(OR(Q505=""GPB"",Q505=""ZAR""),IF(Q505=Dashboard!$L$1,M505,(M505*GOOGLEFINANCE(""CURRENCY:""&amp;Q505&amp;""""&amp;Dashboard!$L$1&amp;""""))/100),IF(Q505=Dashboard!$L$1,M505,M505*GOOGLEFINANCE(""CURRENCY:""&amp;Q505&amp;""""&amp;Dashboard!$L$1&amp;"""")))"&amp;",M505))"),"")</f>
        <v/>
      </c>
      <c r="T505" s="264" t="str">
        <f t="shared" si="4"/>
        <v/>
      </c>
      <c r="U505" s="264" t="str">
        <f t="shared" si="5"/>
        <v/>
      </c>
      <c r="V505" s="264" t="str">
        <f t="shared" si="6"/>
        <v/>
      </c>
      <c r="W505" s="267" t="str">
        <f t="shared" si="8"/>
        <v/>
      </c>
      <c r="X505" s="264" t="str">
        <f t="shared" si="7"/>
        <v/>
      </c>
    </row>
    <row r="506" ht="15.75" customHeight="1">
      <c r="A506" s="258"/>
      <c r="B506" s="258"/>
      <c r="C506" s="269"/>
      <c r="D506" s="258"/>
      <c r="E506" s="258"/>
      <c r="F506" s="258"/>
      <c r="G506" s="258"/>
      <c r="H506" s="271"/>
      <c r="I506" s="258"/>
      <c r="J506" s="272"/>
      <c r="K506" s="260"/>
      <c r="L506" s="261"/>
      <c r="M506" s="262" t="str">
        <f t="shared" si="1"/>
        <v/>
      </c>
      <c r="N506" s="263" t="str">
        <f t="shared" si="2"/>
        <v/>
      </c>
      <c r="O506" s="264" t="str">
        <f t="shared" si="3"/>
        <v/>
      </c>
      <c r="P506" s="265" t="str">
        <f>IFERROR(__xludf.DUMMYFUNCTION("IF(ISBLANK(A506),"""",IFERROR(IF(H506=""Sell"",VLOOKUP(9^99,FILTER({ROW(P$2:P505),P$2:P505},D$2:D505=D506),2),(VLOOKUP(9^99,FILTER({ROW(P$2:P505),P$2:P505},D$2:D505=D506),2)*VLOOKUP(9^99,FILTER({ROW(O$2:O505),O$2:O505},D$2:D505=D506),2)-N506)/O506),J506))"),"")</f>
        <v/>
      </c>
      <c r="Q506" s="264" t="str">
        <f>IFERROR(__xludf.DUMMYFUNCTION("IFERROR(IF(F506=""Crypto"",B506,(IF(ISBLANK(D506),"""",IF(D506=""Cash"",B506,IF(GOOGLEFINANCE(D506,""CURRENCY"")=""GBX"",""GBP"",GOOGLEFINANCE(D506,""CURRENCY"")))))),B506)"),"")</f>
        <v/>
      </c>
      <c r="R506" s="263" t="str">
        <f>IFERROR(__xludf.DUMMYFUNCTION("IF(ISBLANK(A506),"""",IFERROR(IF(OR(Q506=""GPB"",Q506=""ZAR""),IF(Q506=Dashboard!$L$1,K506,(K506*GOOGLEFINANCE(""CURRENCY:""&amp;Q506&amp;""""&amp;Dashboard!$L$1&amp;""""))/100),IF(Q506=Dashboard!$L$1,K506,K506*GOOGLEFINANCE(""CURRENCY:""&amp;Q506&amp;""""&amp;Dashboard!$L$1&amp;"""")))"&amp;",K506))"),"")</f>
        <v/>
      </c>
      <c r="S506" s="266" t="str">
        <f>IFERROR(__xludf.DUMMYFUNCTION("IF(ISBLANK(A506),"""",IFERROR(IF(OR(Q506=""GPB"",Q506=""ZAR""),IF(Q506=Dashboard!$L$1,M506,(M506*GOOGLEFINANCE(""CURRENCY:""&amp;Q506&amp;""""&amp;Dashboard!$L$1&amp;""""))/100),IF(Q506=Dashboard!$L$1,M506,M506*GOOGLEFINANCE(""CURRENCY:""&amp;Q506&amp;""""&amp;Dashboard!$L$1&amp;"""")))"&amp;",M506))"),"")</f>
        <v/>
      </c>
      <c r="T506" s="264" t="str">
        <f t="shared" si="4"/>
        <v/>
      </c>
      <c r="U506" s="264" t="str">
        <f t="shared" si="5"/>
        <v/>
      </c>
      <c r="V506" s="264" t="str">
        <f t="shared" si="6"/>
        <v/>
      </c>
      <c r="W506" s="267" t="str">
        <f t="shared" si="8"/>
        <v/>
      </c>
      <c r="X506" s="264" t="str">
        <f t="shared" si="7"/>
        <v/>
      </c>
    </row>
    <row r="507" ht="15.75" customHeight="1">
      <c r="A507" s="258"/>
      <c r="B507" s="258"/>
      <c r="C507" s="269"/>
      <c r="D507" s="258"/>
      <c r="E507" s="258"/>
      <c r="F507" s="258"/>
      <c r="G507" s="258"/>
      <c r="H507" s="271"/>
      <c r="I507" s="258"/>
      <c r="J507" s="272"/>
      <c r="K507" s="260"/>
      <c r="L507" s="261"/>
      <c r="M507" s="262" t="str">
        <f t="shared" si="1"/>
        <v/>
      </c>
      <c r="N507" s="263" t="str">
        <f t="shared" si="2"/>
        <v/>
      </c>
      <c r="O507" s="264" t="str">
        <f t="shared" si="3"/>
        <v/>
      </c>
      <c r="P507" s="265" t="str">
        <f>IFERROR(__xludf.DUMMYFUNCTION("IF(ISBLANK(A507),"""",IFERROR(IF(H507=""Sell"",VLOOKUP(9^99,FILTER({ROW(P$2:P506),P$2:P506},D$2:D506=D507),2),(VLOOKUP(9^99,FILTER({ROW(P$2:P506),P$2:P506},D$2:D506=D507),2)*VLOOKUP(9^99,FILTER({ROW(O$2:O506),O$2:O506},D$2:D506=D507),2)-N507)/O507),J507))"),"")</f>
        <v/>
      </c>
      <c r="Q507" s="264" t="str">
        <f>IFERROR(__xludf.DUMMYFUNCTION("IFERROR(IF(F507=""Crypto"",B507,(IF(ISBLANK(D507),"""",IF(D507=""Cash"",B507,IF(GOOGLEFINANCE(D507,""CURRENCY"")=""GBX"",""GBP"",GOOGLEFINANCE(D507,""CURRENCY"")))))),B507)"),"")</f>
        <v/>
      </c>
      <c r="R507" s="263" t="str">
        <f>IFERROR(__xludf.DUMMYFUNCTION("IF(ISBLANK(A507),"""",IFERROR(IF(OR(Q507=""GPB"",Q507=""ZAR""),IF(Q507=Dashboard!$L$1,K507,(K507*GOOGLEFINANCE(""CURRENCY:""&amp;Q507&amp;""""&amp;Dashboard!$L$1&amp;""""))/100),IF(Q507=Dashboard!$L$1,K507,K507*GOOGLEFINANCE(""CURRENCY:""&amp;Q507&amp;""""&amp;Dashboard!$L$1&amp;"""")))"&amp;",K507))"),"")</f>
        <v/>
      </c>
      <c r="S507" s="266" t="str">
        <f>IFERROR(__xludf.DUMMYFUNCTION("IF(ISBLANK(A507),"""",IFERROR(IF(OR(Q507=""GPB"",Q507=""ZAR""),IF(Q507=Dashboard!$L$1,M507,(M507*GOOGLEFINANCE(""CURRENCY:""&amp;Q507&amp;""""&amp;Dashboard!$L$1&amp;""""))/100),IF(Q507=Dashboard!$L$1,M507,M507*GOOGLEFINANCE(""CURRENCY:""&amp;Q507&amp;""""&amp;Dashboard!$L$1&amp;"""")))"&amp;",M507))"),"")</f>
        <v/>
      </c>
      <c r="T507" s="264" t="str">
        <f t="shared" si="4"/>
        <v/>
      </c>
      <c r="U507" s="264" t="str">
        <f t="shared" si="5"/>
        <v/>
      </c>
      <c r="V507" s="264" t="str">
        <f t="shared" si="6"/>
        <v/>
      </c>
      <c r="W507" s="267" t="str">
        <f t="shared" si="8"/>
        <v/>
      </c>
      <c r="X507" s="264" t="str">
        <f t="shared" si="7"/>
        <v/>
      </c>
    </row>
    <row r="508" ht="15.75" customHeight="1">
      <c r="A508" s="258"/>
      <c r="B508" s="258"/>
      <c r="C508" s="269"/>
      <c r="D508" s="258"/>
      <c r="E508" s="258"/>
      <c r="F508" s="258"/>
      <c r="G508" s="258"/>
      <c r="H508" s="271"/>
      <c r="I508" s="258"/>
      <c r="J508" s="272"/>
      <c r="K508" s="260"/>
      <c r="L508" s="261"/>
      <c r="M508" s="262" t="str">
        <f t="shared" si="1"/>
        <v/>
      </c>
      <c r="N508" s="263" t="str">
        <f t="shared" si="2"/>
        <v/>
      </c>
      <c r="O508" s="264" t="str">
        <f t="shared" si="3"/>
        <v/>
      </c>
      <c r="P508" s="265" t="str">
        <f>IFERROR(__xludf.DUMMYFUNCTION("IF(ISBLANK(A508),"""",IFERROR(IF(H508=""Sell"",VLOOKUP(9^99,FILTER({ROW(P$2:P507),P$2:P507},D$2:D507=D508),2),(VLOOKUP(9^99,FILTER({ROW(P$2:P507),P$2:P507},D$2:D507=D508),2)*VLOOKUP(9^99,FILTER({ROW(O$2:O507),O$2:O507},D$2:D507=D508),2)-N508)/O508),J508))"),"")</f>
        <v/>
      </c>
      <c r="Q508" s="264" t="str">
        <f>IFERROR(__xludf.DUMMYFUNCTION("IFERROR(IF(F508=""Crypto"",B508,(IF(ISBLANK(D508),"""",IF(D508=""Cash"",B508,IF(GOOGLEFINANCE(D508,""CURRENCY"")=""GBX"",""GBP"",GOOGLEFINANCE(D508,""CURRENCY"")))))),B508)"),"")</f>
        <v/>
      </c>
      <c r="R508" s="263" t="str">
        <f>IFERROR(__xludf.DUMMYFUNCTION("IF(ISBLANK(A508),"""",IFERROR(IF(OR(Q508=""GPB"",Q508=""ZAR""),IF(Q508=Dashboard!$L$1,K508,(K508*GOOGLEFINANCE(""CURRENCY:""&amp;Q508&amp;""""&amp;Dashboard!$L$1&amp;""""))/100),IF(Q508=Dashboard!$L$1,K508,K508*GOOGLEFINANCE(""CURRENCY:""&amp;Q508&amp;""""&amp;Dashboard!$L$1&amp;"""")))"&amp;",K508))"),"")</f>
        <v/>
      </c>
      <c r="S508" s="266" t="str">
        <f>IFERROR(__xludf.DUMMYFUNCTION("IF(ISBLANK(A508),"""",IFERROR(IF(OR(Q508=""GPB"",Q508=""ZAR""),IF(Q508=Dashboard!$L$1,M508,(M508*GOOGLEFINANCE(""CURRENCY:""&amp;Q508&amp;""""&amp;Dashboard!$L$1&amp;""""))/100),IF(Q508=Dashboard!$L$1,M508,M508*GOOGLEFINANCE(""CURRENCY:""&amp;Q508&amp;""""&amp;Dashboard!$L$1&amp;"""")))"&amp;",M508))"),"")</f>
        <v/>
      </c>
      <c r="T508" s="264" t="str">
        <f t="shared" si="4"/>
        <v/>
      </c>
      <c r="U508" s="264" t="str">
        <f t="shared" si="5"/>
        <v/>
      </c>
      <c r="V508" s="264" t="str">
        <f t="shared" si="6"/>
        <v/>
      </c>
      <c r="W508" s="267" t="str">
        <f t="shared" si="8"/>
        <v/>
      </c>
      <c r="X508" s="264" t="str">
        <f t="shared" si="7"/>
        <v/>
      </c>
    </row>
    <row r="509" ht="15.75" customHeight="1">
      <c r="A509" s="258"/>
      <c r="B509" s="258"/>
      <c r="C509" s="269"/>
      <c r="D509" s="258"/>
      <c r="E509" s="258"/>
      <c r="F509" s="258"/>
      <c r="G509" s="258"/>
      <c r="H509" s="271"/>
      <c r="I509" s="258"/>
      <c r="J509" s="272"/>
      <c r="K509" s="260"/>
      <c r="L509" s="261"/>
      <c r="M509" s="262" t="str">
        <f t="shared" si="1"/>
        <v/>
      </c>
      <c r="N509" s="263" t="str">
        <f t="shared" si="2"/>
        <v/>
      </c>
      <c r="O509" s="264" t="str">
        <f t="shared" si="3"/>
        <v/>
      </c>
      <c r="P509" s="265" t="str">
        <f>IFERROR(__xludf.DUMMYFUNCTION("IF(ISBLANK(A509),"""",IFERROR(IF(H509=""Sell"",VLOOKUP(9^99,FILTER({ROW(P$2:P508),P$2:P508},D$2:D508=D509),2),(VLOOKUP(9^99,FILTER({ROW(P$2:P508),P$2:P508},D$2:D508=D509),2)*VLOOKUP(9^99,FILTER({ROW(O$2:O508),O$2:O508},D$2:D508=D509),2)-N509)/O509),J509))"),"")</f>
        <v/>
      </c>
      <c r="Q509" s="264" t="str">
        <f>IFERROR(__xludf.DUMMYFUNCTION("IFERROR(IF(F509=""Crypto"",B509,(IF(ISBLANK(D509),"""",IF(D509=""Cash"",B509,IF(GOOGLEFINANCE(D509,""CURRENCY"")=""GBX"",""GBP"",GOOGLEFINANCE(D509,""CURRENCY"")))))),B509)"),"")</f>
        <v/>
      </c>
      <c r="R509" s="263" t="str">
        <f>IFERROR(__xludf.DUMMYFUNCTION("IF(ISBLANK(A509),"""",IFERROR(IF(OR(Q509=""GPB"",Q509=""ZAR""),IF(Q509=Dashboard!$L$1,K509,(K509*GOOGLEFINANCE(""CURRENCY:""&amp;Q509&amp;""""&amp;Dashboard!$L$1&amp;""""))/100),IF(Q509=Dashboard!$L$1,K509,K509*GOOGLEFINANCE(""CURRENCY:""&amp;Q509&amp;""""&amp;Dashboard!$L$1&amp;"""")))"&amp;",K509))"),"")</f>
        <v/>
      </c>
      <c r="S509" s="266" t="str">
        <f>IFERROR(__xludf.DUMMYFUNCTION("IF(ISBLANK(A509),"""",IFERROR(IF(OR(Q509=""GPB"",Q509=""ZAR""),IF(Q509=Dashboard!$L$1,M509,(M509*GOOGLEFINANCE(""CURRENCY:""&amp;Q509&amp;""""&amp;Dashboard!$L$1&amp;""""))/100),IF(Q509=Dashboard!$L$1,M509,M509*GOOGLEFINANCE(""CURRENCY:""&amp;Q509&amp;""""&amp;Dashboard!$L$1&amp;"""")))"&amp;",M509))"),"")</f>
        <v/>
      </c>
      <c r="T509" s="264" t="str">
        <f t="shared" si="4"/>
        <v/>
      </c>
      <c r="U509" s="264" t="str">
        <f t="shared" si="5"/>
        <v/>
      </c>
      <c r="V509" s="264" t="str">
        <f t="shared" si="6"/>
        <v/>
      </c>
      <c r="W509" s="267" t="str">
        <f t="shared" si="8"/>
        <v/>
      </c>
      <c r="X509" s="264" t="str">
        <f t="shared" si="7"/>
        <v/>
      </c>
    </row>
    <row r="510" ht="15.75" customHeight="1">
      <c r="A510" s="258"/>
      <c r="B510" s="258"/>
      <c r="C510" s="269"/>
      <c r="D510" s="258"/>
      <c r="E510" s="258"/>
      <c r="F510" s="258"/>
      <c r="G510" s="258"/>
      <c r="H510" s="271"/>
      <c r="I510" s="258"/>
      <c r="J510" s="272"/>
      <c r="K510" s="260"/>
      <c r="L510" s="261"/>
      <c r="M510" s="262" t="str">
        <f t="shared" si="1"/>
        <v/>
      </c>
      <c r="N510" s="263" t="str">
        <f t="shared" si="2"/>
        <v/>
      </c>
      <c r="O510" s="264" t="str">
        <f t="shared" si="3"/>
        <v/>
      </c>
      <c r="P510" s="265" t="str">
        <f>IFERROR(__xludf.DUMMYFUNCTION("IF(ISBLANK(A510),"""",IFERROR(IF(H510=""Sell"",VLOOKUP(9^99,FILTER({ROW(P$2:P509),P$2:P509},D$2:D509=D510),2),(VLOOKUP(9^99,FILTER({ROW(P$2:P509),P$2:P509},D$2:D509=D510),2)*VLOOKUP(9^99,FILTER({ROW(O$2:O509),O$2:O509},D$2:D509=D510),2)-N510)/O510),J510))"),"")</f>
        <v/>
      </c>
      <c r="Q510" s="264" t="str">
        <f>IFERROR(__xludf.DUMMYFUNCTION("IFERROR(IF(F510=""Crypto"",B510,(IF(ISBLANK(D510),"""",IF(D510=""Cash"",B510,IF(GOOGLEFINANCE(D510,""CURRENCY"")=""GBX"",""GBP"",GOOGLEFINANCE(D510,""CURRENCY"")))))),B510)"),"")</f>
        <v/>
      </c>
      <c r="R510" s="263" t="str">
        <f>IFERROR(__xludf.DUMMYFUNCTION("IF(ISBLANK(A510),"""",IFERROR(IF(OR(Q510=""GPB"",Q510=""ZAR""),IF(Q510=Dashboard!$L$1,K510,(K510*GOOGLEFINANCE(""CURRENCY:""&amp;Q510&amp;""""&amp;Dashboard!$L$1&amp;""""))/100),IF(Q510=Dashboard!$L$1,K510,K510*GOOGLEFINANCE(""CURRENCY:""&amp;Q510&amp;""""&amp;Dashboard!$L$1&amp;"""")))"&amp;",K510))"),"")</f>
        <v/>
      </c>
      <c r="S510" s="266" t="str">
        <f>IFERROR(__xludf.DUMMYFUNCTION("IF(ISBLANK(A510),"""",IFERROR(IF(OR(Q510=""GPB"",Q510=""ZAR""),IF(Q510=Dashboard!$L$1,M510,(M510*GOOGLEFINANCE(""CURRENCY:""&amp;Q510&amp;""""&amp;Dashboard!$L$1&amp;""""))/100),IF(Q510=Dashboard!$L$1,M510,M510*GOOGLEFINANCE(""CURRENCY:""&amp;Q510&amp;""""&amp;Dashboard!$L$1&amp;"""")))"&amp;",M510))"),"")</f>
        <v/>
      </c>
      <c r="T510" s="264" t="str">
        <f t="shared" si="4"/>
        <v/>
      </c>
      <c r="U510" s="264" t="str">
        <f t="shared" si="5"/>
        <v/>
      </c>
      <c r="V510" s="264" t="str">
        <f t="shared" si="6"/>
        <v/>
      </c>
      <c r="W510" s="267" t="str">
        <f t="shared" si="8"/>
        <v/>
      </c>
      <c r="X510" s="264" t="str">
        <f t="shared" si="7"/>
        <v/>
      </c>
    </row>
    <row r="511" ht="15.75" customHeight="1">
      <c r="A511" s="258"/>
      <c r="B511" s="258"/>
      <c r="C511" s="269"/>
      <c r="D511" s="258"/>
      <c r="E511" s="258"/>
      <c r="F511" s="258"/>
      <c r="G511" s="258"/>
      <c r="H511" s="271"/>
      <c r="I511" s="258"/>
      <c r="J511" s="272"/>
      <c r="K511" s="260"/>
      <c r="L511" s="261"/>
      <c r="M511" s="262" t="str">
        <f t="shared" si="1"/>
        <v/>
      </c>
      <c r="N511" s="263" t="str">
        <f t="shared" si="2"/>
        <v/>
      </c>
      <c r="O511" s="264" t="str">
        <f t="shared" si="3"/>
        <v/>
      </c>
      <c r="P511" s="265" t="str">
        <f>IFERROR(__xludf.DUMMYFUNCTION("IF(ISBLANK(A511),"""",IFERROR(IF(H511=""Sell"",VLOOKUP(9^99,FILTER({ROW(P$2:P510),P$2:P510},D$2:D510=D511),2),(VLOOKUP(9^99,FILTER({ROW(P$2:P510),P$2:P510},D$2:D510=D511),2)*VLOOKUP(9^99,FILTER({ROW(O$2:O510),O$2:O510},D$2:D510=D511),2)-N511)/O511),J511))"),"")</f>
        <v/>
      </c>
      <c r="Q511" s="264" t="str">
        <f>IFERROR(__xludf.DUMMYFUNCTION("IFERROR(IF(F511=""Crypto"",B511,(IF(ISBLANK(D511),"""",IF(D511=""Cash"",B511,IF(GOOGLEFINANCE(D511,""CURRENCY"")=""GBX"",""GBP"",GOOGLEFINANCE(D511,""CURRENCY"")))))),B511)"),"")</f>
        <v/>
      </c>
      <c r="R511" s="263" t="str">
        <f>IFERROR(__xludf.DUMMYFUNCTION("IF(ISBLANK(A511),"""",IFERROR(IF(OR(Q511=""GPB"",Q511=""ZAR""),IF(Q511=Dashboard!$L$1,K511,(K511*GOOGLEFINANCE(""CURRENCY:""&amp;Q511&amp;""""&amp;Dashboard!$L$1&amp;""""))/100),IF(Q511=Dashboard!$L$1,K511,K511*GOOGLEFINANCE(""CURRENCY:""&amp;Q511&amp;""""&amp;Dashboard!$L$1&amp;"""")))"&amp;",K511))"),"")</f>
        <v/>
      </c>
      <c r="S511" s="266" t="str">
        <f>IFERROR(__xludf.DUMMYFUNCTION("IF(ISBLANK(A511),"""",IFERROR(IF(OR(Q511=""GPB"",Q511=""ZAR""),IF(Q511=Dashboard!$L$1,M511,(M511*GOOGLEFINANCE(""CURRENCY:""&amp;Q511&amp;""""&amp;Dashboard!$L$1&amp;""""))/100),IF(Q511=Dashboard!$L$1,M511,M511*GOOGLEFINANCE(""CURRENCY:""&amp;Q511&amp;""""&amp;Dashboard!$L$1&amp;"""")))"&amp;",M511))"),"")</f>
        <v/>
      </c>
      <c r="T511" s="264" t="str">
        <f t="shared" si="4"/>
        <v/>
      </c>
      <c r="U511" s="264" t="str">
        <f t="shared" si="5"/>
        <v/>
      </c>
      <c r="V511" s="264" t="str">
        <f t="shared" si="6"/>
        <v/>
      </c>
      <c r="W511" s="267" t="str">
        <f t="shared" si="8"/>
        <v/>
      </c>
      <c r="X511" s="264" t="str">
        <f t="shared" si="7"/>
        <v/>
      </c>
    </row>
    <row r="512" ht="15.75" customHeight="1">
      <c r="A512" s="258"/>
      <c r="B512" s="258"/>
      <c r="C512" s="269"/>
      <c r="D512" s="258"/>
      <c r="E512" s="258"/>
      <c r="F512" s="258"/>
      <c r="G512" s="258"/>
      <c r="H512" s="271"/>
      <c r="I512" s="258"/>
      <c r="J512" s="272"/>
      <c r="K512" s="260"/>
      <c r="L512" s="261"/>
      <c r="M512" s="262" t="str">
        <f t="shared" si="1"/>
        <v/>
      </c>
      <c r="N512" s="263" t="str">
        <f t="shared" si="2"/>
        <v/>
      </c>
      <c r="O512" s="264" t="str">
        <f t="shared" si="3"/>
        <v/>
      </c>
      <c r="P512" s="265" t="str">
        <f>IFERROR(__xludf.DUMMYFUNCTION("IF(ISBLANK(A512),"""",IFERROR(IF(H512=""Sell"",VLOOKUP(9^99,FILTER({ROW(P$2:P511),P$2:P511},D$2:D511=D512),2),(VLOOKUP(9^99,FILTER({ROW(P$2:P511),P$2:P511},D$2:D511=D512),2)*VLOOKUP(9^99,FILTER({ROW(O$2:O511),O$2:O511},D$2:D511=D512),2)-N512)/O512),J512))"),"")</f>
        <v/>
      </c>
      <c r="Q512" s="264" t="str">
        <f>IFERROR(__xludf.DUMMYFUNCTION("IFERROR(IF(F512=""Crypto"",B512,(IF(ISBLANK(D512),"""",IF(D512=""Cash"",B512,IF(GOOGLEFINANCE(D512,""CURRENCY"")=""GBX"",""GBP"",GOOGLEFINANCE(D512,""CURRENCY"")))))),B512)"),"")</f>
        <v/>
      </c>
      <c r="R512" s="263" t="str">
        <f>IFERROR(__xludf.DUMMYFUNCTION("IF(ISBLANK(A512),"""",IFERROR(IF(OR(Q512=""GPB"",Q512=""ZAR""),IF(Q512=Dashboard!$L$1,K512,(K512*GOOGLEFINANCE(""CURRENCY:""&amp;Q512&amp;""""&amp;Dashboard!$L$1&amp;""""))/100),IF(Q512=Dashboard!$L$1,K512,K512*GOOGLEFINANCE(""CURRENCY:""&amp;Q512&amp;""""&amp;Dashboard!$L$1&amp;"""")))"&amp;",K512))"),"")</f>
        <v/>
      </c>
      <c r="S512" s="266" t="str">
        <f>IFERROR(__xludf.DUMMYFUNCTION("IF(ISBLANK(A512),"""",IFERROR(IF(OR(Q512=""GPB"",Q512=""ZAR""),IF(Q512=Dashboard!$L$1,M512,(M512*GOOGLEFINANCE(""CURRENCY:""&amp;Q512&amp;""""&amp;Dashboard!$L$1&amp;""""))/100),IF(Q512=Dashboard!$L$1,M512,M512*GOOGLEFINANCE(""CURRENCY:""&amp;Q512&amp;""""&amp;Dashboard!$L$1&amp;"""")))"&amp;",M512))"),"")</f>
        <v/>
      </c>
      <c r="T512" s="264" t="str">
        <f t="shared" si="4"/>
        <v/>
      </c>
      <c r="U512" s="264" t="str">
        <f t="shared" si="5"/>
        <v/>
      </c>
      <c r="V512" s="264" t="str">
        <f t="shared" si="6"/>
        <v/>
      </c>
      <c r="W512" s="267" t="str">
        <f t="shared" si="8"/>
        <v/>
      </c>
      <c r="X512" s="264" t="str">
        <f t="shared" si="7"/>
        <v/>
      </c>
    </row>
    <row r="513" ht="15.75" customHeight="1">
      <c r="A513" s="258"/>
      <c r="B513" s="258"/>
      <c r="C513" s="269"/>
      <c r="D513" s="258"/>
      <c r="E513" s="258"/>
      <c r="F513" s="258"/>
      <c r="G513" s="258"/>
      <c r="H513" s="271"/>
      <c r="I513" s="258"/>
      <c r="J513" s="272"/>
      <c r="K513" s="260"/>
      <c r="L513" s="261"/>
      <c r="M513" s="262" t="str">
        <f t="shared" si="1"/>
        <v/>
      </c>
      <c r="N513" s="263" t="str">
        <f t="shared" si="2"/>
        <v/>
      </c>
      <c r="O513" s="264" t="str">
        <f t="shared" si="3"/>
        <v/>
      </c>
      <c r="P513" s="265" t="str">
        <f>IFERROR(__xludf.DUMMYFUNCTION("IF(ISBLANK(A513),"""",IFERROR(IF(H513=""Sell"",VLOOKUP(9^99,FILTER({ROW(P$2:P512),P$2:P512},D$2:D512=D513),2),(VLOOKUP(9^99,FILTER({ROW(P$2:P512),P$2:P512},D$2:D512=D513),2)*VLOOKUP(9^99,FILTER({ROW(O$2:O512),O$2:O512},D$2:D512=D513),2)-N513)/O513),J513))"),"")</f>
        <v/>
      </c>
      <c r="Q513" s="264" t="str">
        <f>IFERROR(__xludf.DUMMYFUNCTION("IFERROR(IF(F513=""Crypto"",B513,(IF(ISBLANK(D513),"""",IF(D513=""Cash"",B513,IF(GOOGLEFINANCE(D513,""CURRENCY"")=""GBX"",""GBP"",GOOGLEFINANCE(D513,""CURRENCY"")))))),B513)"),"")</f>
        <v/>
      </c>
      <c r="R513" s="263" t="str">
        <f>IFERROR(__xludf.DUMMYFUNCTION("IF(ISBLANK(A513),"""",IFERROR(IF(OR(Q513=""GPB"",Q513=""ZAR""),IF(Q513=Dashboard!$L$1,K513,(K513*GOOGLEFINANCE(""CURRENCY:""&amp;Q513&amp;""""&amp;Dashboard!$L$1&amp;""""))/100),IF(Q513=Dashboard!$L$1,K513,K513*GOOGLEFINANCE(""CURRENCY:""&amp;Q513&amp;""""&amp;Dashboard!$L$1&amp;"""")))"&amp;",K513))"),"")</f>
        <v/>
      </c>
      <c r="S513" s="266" t="str">
        <f>IFERROR(__xludf.DUMMYFUNCTION("IF(ISBLANK(A513),"""",IFERROR(IF(OR(Q513=""GPB"",Q513=""ZAR""),IF(Q513=Dashboard!$L$1,M513,(M513*GOOGLEFINANCE(""CURRENCY:""&amp;Q513&amp;""""&amp;Dashboard!$L$1&amp;""""))/100),IF(Q513=Dashboard!$L$1,M513,M513*GOOGLEFINANCE(""CURRENCY:""&amp;Q513&amp;""""&amp;Dashboard!$L$1&amp;"""")))"&amp;",M513))"),"")</f>
        <v/>
      </c>
      <c r="T513" s="264" t="str">
        <f t="shared" si="4"/>
        <v/>
      </c>
      <c r="U513" s="264" t="str">
        <f t="shared" si="5"/>
        <v/>
      </c>
      <c r="V513" s="264" t="str">
        <f t="shared" si="6"/>
        <v/>
      </c>
      <c r="W513" s="267" t="str">
        <f t="shared" si="8"/>
        <v/>
      </c>
      <c r="X513" s="264" t="str">
        <f t="shared" si="7"/>
        <v/>
      </c>
    </row>
    <row r="514" ht="15.75" customHeight="1">
      <c r="A514" s="258"/>
      <c r="B514" s="258"/>
      <c r="C514" s="269"/>
      <c r="D514" s="258"/>
      <c r="E514" s="258"/>
      <c r="F514" s="258"/>
      <c r="G514" s="258"/>
      <c r="H514" s="271"/>
      <c r="I514" s="258"/>
      <c r="J514" s="272"/>
      <c r="K514" s="260"/>
      <c r="L514" s="261"/>
      <c r="M514" s="262" t="str">
        <f t="shared" si="1"/>
        <v/>
      </c>
      <c r="N514" s="263" t="str">
        <f t="shared" si="2"/>
        <v/>
      </c>
      <c r="O514" s="264" t="str">
        <f t="shared" si="3"/>
        <v/>
      </c>
      <c r="P514" s="265" t="str">
        <f>IFERROR(__xludf.DUMMYFUNCTION("IF(ISBLANK(A514),"""",IFERROR(IF(H514=""Sell"",VLOOKUP(9^99,FILTER({ROW(P$2:P513),P$2:P513},D$2:D513=D514),2),(VLOOKUP(9^99,FILTER({ROW(P$2:P513),P$2:P513},D$2:D513=D514),2)*VLOOKUP(9^99,FILTER({ROW(O$2:O513),O$2:O513},D$2:D513=D514),2)-N514)/O514),J514))"),"")</f>
        <v/>
      </c>
      <c r="Q514" s="264" t="str">
        <f>IFERROR(__xludf.DUMMYFUNCTION("IFERROR(IF(F514=""Crypto"",B514,(IF(ISBLANK(D514),"""",IF(D514=""Cash"",B514,IF(GOOGLEFINANCE(D514,""CURRENCY"")=""GBX"",""GBP"",GOOGLEFINANCE(D514,""CURRENCY"")))))),B514)"),"")</f>
        <v/>
      </c>
      <c r="R514" s="263" t="str">
        <f>IFERROR(__xludf.DUMMYFUNCTION("IF(ISBLANK(A514),"""",IFERROR(IF(OR(Q514=""GPB"",Q514=""ZAR""),IF(Q514=Dashboard!$L$1,K514,(K514*GOOGLEFINANCE(""CURRENCY:""&amp;Q514&amp;""""&amp;Dashboard!$L$1&amp;""""))/100),IF(Q514=Dashboard!$L$1,K514,K514*GOOGLEFINANCE(""CURRENCY:""&amp;Q514&amp;""""&amp;Dashboard!$L$1&amp;"""")))"&amp;",K514))"),"")</f>
        <v/>
      </c>
      <c r="S514" s="266" t="str">
        <f>IFERROR(__xludf.DUMMYFUNCTION("IF(ISBLANK(A514),"""",IFERROR(IF(OR(Q514=""GPB"",Q514=""ZAR""),IF(Q514=Dashboard!$L$1,M514,(M514*GOOGLEFINANCE(""CURRENCY:""&amp;Q514&amp;""""&amp;Dashboard!$L$1&amp;""""))/100),IF(Q514=Dashboard!$L$1,M514,M514*GOOGLEFINANCE(""CURRENCY:""&amp;Q514&amp;""""&amp;Dashboard!$L$1&amp;"""")))"&amp;",M514))"),"")</f>
        <v/>
      </c>
      <c r="T514" s="264" t="str">
        <f t="shared" si="4"/>
        <v/>
      </c>
      <c r="U514" s="264" t="str">
        <f t="shared" si="5"/>
        <v/>
      </c>
      <c r="V514" s="264" t="str">
        <f t="shared" si="6"/>
        <v/>
      </c>
      <c r="W514" s="267" t="str">
        <f t="shared" si="8"/>
        <v/>
      </c>
      <c r="X514" s="264" t="str">
        <f t="shared" si="7"/>
        <v/>
      </c>
    </row>
    <row r="515" ht="15.75" customHeight="1">
      <c r="A515" s="258"/>
      <c r="B515" s="258"/>
      <c r="C515" s="269"/>
      <c r="D515" s="258"/>
      <c r="E515" s="258"/>
      <c r="F515" s="258"/>
      <c r="G515" s="258"/>
      <c r="H515" s="271"/>
      <c r="I515" s="258"/>
      <c r="J515" s="272"/>
      <c r="K515" s="260"/>
      <c r="L515" s="261"/>
      <c r="M515" s="262" t="str">
        <f t="shared" si="1"/>
        <v/>
      </c>
      <c r="N515" s="263" t="str">
        <f t="shared" si="2"/>
        <v/>
      </c>
      <c r="O515" s="264" t="str">
        <f t="shared" si="3"/>
        <v/>
      </c>
      <c r="P515" s="265" t="str">
        <f>IFERROR(__xludf.DUMMYFUNCTION("IF(ISBLANK(A515),"""",IFERROR(IF(H515=""Sell"",VLOOKUP(9^99,FILTER({ROW(P$2:P514),P$2:P514},D$2:D514=D515),2),(VLOOKUP(9^99,FILTER({ROW(P$2:P514),P$2:P514},D$2:D514=D515),2)*VLOOKUP(9^99,FILTER({ROW(O$2:O514),O$2:O514},D$2:D514=D515),2)-N515)/O515),J515))"),"")</f>
        <v/>
      </c>
      <c r="Q515" s="264" t="str">
        <f>IFERROR(__xludf.DUMMYFUNCTION("IFERROR(IF(F515=""Crypto"",B515,(IF(ISBLANK(D515),"""",IF(D515=""Cash"",B515,IF(GOOGLEFINANCE(D515,""CURRENCY"")=""GBX"",""GBP"",GOOGLEFINANCE(D515,""CURRENCY"")))))),B515)"),"")</f>
        <v/>
      </c>
      <c r="R515" s="263" t="str">
        <f>IFERROR(__xludf.DUMMYFUNCTION("IF(ISBLANK(A515),"""",IFERROR(IF(OR(Q515=""GPB"",Q515=""ZAR""),IF(Q515=Dashboard!$L$1,K515,(K515*GOOGLEFINANCE(""CURRENCY:""&amp;Q515&amp;""""&amp;Dashboard!$L$1&amp;""""))/100),IF(Q515=Dashboard!$L$1,K515,K515*GOOGLEFINANCE(""CURRENCY:""&amp;Q515&amp;""""&amp;Dashboard!$L$1&amp;"""")))"&amp;",K515))"),"")</f>
        <v/>
      </c>
      <c r="S515" s="266" t="str">
        <f>IFERROR(__xludf.DUMMYFUNCTION("IF(ISBLANK(A515),"""",IFERROR(IF(OR(Q515=""GPB"",Q515=""ZAR""),IF(Q515=Dashboard!$L$1,M515,(M515*GOOGLEFINANCE(""CURRENCY:""&amp;Q515&amp;""""&amp;Dashboard!$L$1&amp;""""))/100),IF(Q515=Dashboard!$L$1,M515,M515*GOOGLEFINANCE(""CURRENCY:""&amp;Q515&amp;""""&amp;Dashboard!$L$1&amp;"""")))"&amp;",M515))"),"")</f>
        <v/>
      </c>
      <c r="T515" s="264" t="str">
        <f t="shared" si="4"/>
        <v/>
      </c>
      <c r="U515" s="264" t="str">
        <f t="shared" si="5"/>
        <v/>
      </c>
      <c r="V515" s="264" t="str">
        <f t="shared" si="6"/>
        <v/>
      </c>
      <c r="W515" s="267" t="str">
        <f t="shared" si="8"/>
        <v/>
      </c>
      <c r="X515" s="264" t="str">
        <f t="shared" si="7"/>
        <v/>
      </c>
    </row>
    <row r="516" ht="15.75" customHeight="1">
      <c r="A516" s="258"/>
      <c r="B516" s="258"/>
      <c r="C516" s="269"/>
      <c r="D516" s="258"/>
      <c r="E516" s="258"/>
      <c r="F516" s="258"/>
      <c r="G516" s="258"/>
      <c r="H516" s="271"/>
      <c r="I516" s="258"/>
      <c r="J516" s="272"/>
      <c r="K516" s="260"/>
      <c r="L516" s="261"/>
      <c r="M516" s="262" t="str">
        <f t="shared" si="1"/>
        <v/>
      </c>
      <c r="N516" s="263" t="str">
        <f t="shared" si="2"/>
        <v/>
      </c>
      <c r="O516" s="264" t="str">
        <f t="shared" si="3"/>
        <v/>
      </c>
      <c r="P516" s="265" t="str">
        <f>IFERROR(__xludf.DUMMYFUNCTION("IF(ISBLANK(A516),"""",IFERROR(IF(H516=""Sell"",VLOOKUP(9^99,FILTER({ROW(P$2:P515),P$2:P515},D$2:D515=D516),2),(VLOOKUP(9^99,FILTER({ROW(P$2:P515),P$2:P515},D$2:D515=D516),2)*VLOOKUP(9^99,FILTER({ROW(O$2:O515),O$2:O515},D$2:D515=D516),2)-N516)/O516),J516))"),"")</f>
        <v/>
      </c>
      <c r="Q516" s="264" t="str">
        <f>IFERROR(__xludf.DUMMYFUNCTION("IFERROR(IF(F516=""Crypto"",B516,(IF(ISBLANK(D516),"""",IF(D516=""Cash"",B516,IF(GOOGLEFINANCE(D516,""CURRENCY"")=""GBX"",""GBP"",GOOGLEFINANCE(D516,""CURRENCY"")))))),B516)"),"")</f>
        <v/>
      </c>
      <c r="R516" s="263" t="str">
        <f>IFERROR(__xludf.DUMMYFUNCTION("IF(ISBLANK(A516),"""",IFERROR(IF(OR(Q516=""GPB"",Q516=""ZAR""),IF(Q516=Dashboard!$L$1,K516,(K516*GOOGLEFINANCE(""CURRENCY:""&amp;Q516&amp;""""&amp;Dashboard!$L$1&amp;""""))/100),IF(Q516=Dashboard!$L$1,K516,K516*GOOGLEFINANCE(""CURRENCY:""&amp;Q516&amp;""""&amp;Dashboard!$L$1&amp;"""")))"&amp;",K516))"),"")</f>
        <v/>
      </c>
      <c r="S516" s="266" t="str">
        <f>IFERROR(__xludf.DUMMYFUNCTION("IF(ISBLANK(A516),"""",IFERROR(IF(OR(Q516=""GPB"",Q516=""ZAR""),IF(Q516=Dashboard!$L$1,M516,(M516*GOOGLEFINANCE(""CURRENCY:""&amp;Q516&amp;""""&amp;Dashboard!$L$1&amp;""""))/100),IF(Q516=Dashboard!$L$1,M516,M516*GOOGLEFINANCE(""CURRENCY:""&amp;Q516&amp;""""&amp;Dashboard!$L$1&amp;"""")))"&amp;",M516))"),"")</f>
        <v/>
      </c>
      <c r="T516" s="264" t="str">
        <f t="shared" si="4"/>
        <v/>
      </c>
      <c r="U516" s="264" t="str">
        <f t="shared" si="5"/>
        <v/>
      </c>
      <c r="V516" s="264" t="str">
        <f t="shared" si="6"/>
        <v/>
      </c>
      <c r="W516" s="267" t="str">
        <f t="shared" si="8"/>
        <v/>
      </c>
      <c r="X516" s="264" t="str">
        <f t="shared" si="7"/>
        <v/>
      </c>
    </row>
    <row r="517" ht="15.75" customHeight="1">
      <c r="A517" s="258"/>
      <c r="B517" s="258"/>
      <c r="C517" s="269"/>
      <c r="D517" s="258"/>
      <c r="E517" s="258"/>
      <c r="F517" s="258"/>
      <c r="G517" s="258"/>
      <c r="H517" s="271"/>
      <c r="I517" s="258"/>
      <c r="J517" s="272"/>
      <c r="K517" s="260"/>
      <c r="L517" s="261"/>
      <c r="M517" s="262" t="str">
        <f t="shared" si="1"/>
        <v/>
      </c>
      <c r="N517" s="263" t="str">
        <f t="shared" si="2"/>
        <v/>
      </c>
      <c r="O517" s="264" t="str">
        <f t="shared" si="3"/>
        <v/>
      </c>
      <c r="P517" s="265" t="str">
        <f>IFERROR(__xludf.DUMMYFUNCTION("IF(ISBLANK(A517),"""",IFERROR(IF(H517=""Sell"",VLOOKUP(9^99,FILTER({ROW(P$2:P516),P$2:P516},D$2:D516=D517),2),(VLOOKUP(9^99,FILTER({ROW(P$2:P516),P$2:P516},D$2:D516=D517),2)*VLOOKUP(9^99,FILTER({ROW(O$2:O516),O$2:O516},D$2:D516=D517),2)-N517)/O517),J517))"),"")</f>
        <v/>
      </c>
      <c r="Q517" s="264" t="str">
        <f>IFERROR(__xludf.DUMMYFUNCTION("IFERROR(IF(F517=""Crypto"",B517,(IF(ISBLANK(D517),"""",IF(D517=""Cash"",B517,IF(GOOGLEFINANCE(D517,""CURRENCY"")=""GBX"",""GBP"",GOOGLEFINANCE(D517,""CURRENCY"")))))),B517)"),"")</f>
        <v/>
      </c>
      <c r="R517" s="263" t="str">
        <f>IFERROR(__xludf.DUMMYFUNCTION("IF(ISBLANK(A517),"""",IFERROR(IF(OR(Q517=""GPB"",Q517=""ZAR""),IF(Q517=Dashboard!$L$1,K517,(K517*GOOGLEFINANCE(""CURRENCY:""&amp;Q517&amp;""""&amp;Dashboard!$L$1&amp;""""))/100),IF(Q517=Dashboard!$L$1,K517,K517*GOOGLEFINANCE(""CURRENCY:""&amp;Q517&amp;""""&amp;Dashboard!$L$1&amp;"""")))"&amp;",K517))"),"")</f>
        <v/>
      </c>
      <c r="S517" s="266" t="str">
        <f>IFERROR(__xludf.DUMMYFUNCTION("IF(ISBLANK(A517),"""",IFERROR(IF(OR(Q517=""GPB"",Q517=""ZAR""),IF(Q517=Dashboard!$L$1,M517,(M517*GOOGLEFINANCE(""CURRENCY:""&amp;Q517&amp;""""&amp;Dashboard!$L$1&amp;""""))/100),IF(Q517=Dashboard!$L$1,M517,M517*GOOGLEFINANCE(""CURRENCY:""&amp;Q517&amp;""""&amp;Dashboard!$L$1&amp;"""")))"&amp;",M517))"),"")</f>
        <v/>
      </c>
      <c r="T517" s="264" t="str">
        <f t="shared" si="4"/>
        <v/>
      </c>
      <c r="U517" s="264" t="str">
        <f t="shared" si="5"/>
        <v/>
      </c>
      <c r="V517" s="264" t="str">
        <f t="shared" si="6"/>
        <v/>
      </c>
      <c r="W517" s="267" t="str">
        <f t="shared" si="8"/>
        <v/>
      </c>
      <c r="X517" s="264" t="str">
        <f t="shared" si="7"/>
        <v/>
      </c>
    </row>
    <row r="518" ht="15.75" customHeight="1">
      <c r="A518" s="258"/>
      <c r="B518" s="258"/>
      <c r="C518" s="269"/>
      <c r="D518" s="258"/>
      <c r="E518" s="258"/>
      <c r="F518" s="258"/>
      <c r="G518" s="258"/>
      <c r="H518" s="271"/>
      <c r="I518" s="258"/>
      <c r="J518" s="272"/>
      <c r="K518" s="260"/>
      <c r="L518" s="261"/>
      <c r="M518" s="262" t="str">
        <f t="shared" si="1"/>
        <v/>
      </c>
      <c r="N518" s="263" t="str">
        <f t="shared" si="2"/>
        <v/>
      </c>
      <c r="O518" s="264" t="str">
        <f t="shared" si="3"/>
        <v/>
      </c>
      <c r="P518" s="265" t="str">
        <f>IFERROR(__xludf.DUMMYFUNCTION("IF(ISBLANK(A518),"""",IFERROR(IF(H518=""Sell"",VLOOKUP(9^99,FILTER({ROW(P$2:P517),P$2:P517},D$2:D517=D518),2),(VLOOKUP(9^99,FILTER({ROW(P$2:P517),P$2:P517},D$2:D517=D518),2)*VLOOKUP(9^99,FILTER({ROW(O$2:O517),O$2:O517},D$2:D517=D518),2)-N518)/O518),J518))"),"")</f>
        <v/>
      </c>
      <c r="Q518" s="264" t="str">
        <f>IFERROR(__xludf.DUMMYFUNCTION("IFERROR(IF(F518=""Crypto"",B518,(IF(ISBLANK(D518),"""",IF(D518=""Cash"",B518,IF(GOOGLEFINANCE(D518,""CURRENCY"")=""GBX"",""GBP"",GOOGLEFINANCE(D518,""CURRENCY"")))))),B518)"),"")</f>
        <v/>
      </c>
      <c r="R518" s="263" t="str">
        <f>IFERROR(__xludf.DUMMYFUNCTION("IF(ISBLANK(A518),"""",IFERROR(IF(OR(Q518=""GPB"",Q518=""ZAR""),IF(Q518=Dashboard!$L$1,K518,(K518*GOOGLEFINANCE(""CURRENCY:""&amp;Q518&amp;""""&amp;Dashboard!$L$1&amp;""""))/100),IF(Q518=Dashboard!$L$1,K518,K518*GOOGLEFINANCE(""CURRENCY:""&amp;Q518&amp;""""&amp;Dashboard!$L$1&amp;"""")))"&amp;",K518))"),"")</f>
        <v/>
      </c>
      <c r="S518" s="266" t="str">
        <f>IFERROR(__xludf.DUMMYFUNCTION("IF(ISBLANK(A518),"""",IFERROR(IF(OR(Q518=""GPB"",Q518=""ZAR""),IF(Q518=Dashboard!$L$1,M518,(M518*GOOGLEFINANCE(""CURRENCY:""&amp;Q518&amp;""""&amp;Dashboard!$L$1&amp;""""))/100),IF(Q518=Dashboard!$L$1,M518,M518*GOOGLEFINANCE(""CURRENCY:""&amp;Q518&amp;""""&amp;Dashboard!$L$1&amp;"""")))"&amp;",M518))"),"")</f>
        <v/>
      </c>
      <c r="T518" s="264" t="str">
        <f t="shared" si="4"/>
        <v/>
      </c>
      <c r="U518" s="264" t="str">
        <f t="shared" si="5"/>
        <v/>
      </c>
      <c r="V518" s="264" t="str">
        <f t="shared" si="6"/>
        <v/>
      </c>
      <c r="W518" s="267" t="str">
        <f t="shared" si="8"/>
        <v/>
      </c>
      <c r="X518" s="264" t="str">
        <f t="shared" si="7"/>
        <v/>
      </c>
    </row>
    <row r="519" ht="15.75" customHeight="1">
      <c r="A519" s="258"/>
      <c r="B519" s="258"/>
      <c r="C519" s="269"/>
      <c r="D519" s="258"/>
      <c r="E519" s="258"/>
      <c r="F519" s="258"/>
      <c r="G519" s="258"/>
      <c r="H519" s="271"/>
      <c r="I519" s="258"/>
      <c r="J519" s="272"/>
      <c r="K519" s="260"/>
      <c r="L519" s="261"/>
      <c r="M519" s="262" t="str">
        <f t="shared" si="1"/>
        <v/>
      </c>
      <c r="N519" s="263" t="str">
        <f t="shared" si="2"/>
        <v/>
      </c>
      <c r="O519" s="264" t="str">
        <f t="shared" si="3"/>
        <v/>
      </c>
      <c r="P519" s="265" t="str">
        <f>IFERROR(__xludf.DUMMYFUNCTION("IF(ISBLANK(A519),"""",IFERROR(IF(H519=""Sell"",VLOOKUP(9^99,FILTER({ROW(P$2:P518),P$2:P518},D$2:D518=D519),2),(VLOOKUP(9^99,FILTER({ROW(P$2:P518),P$2:P518},D$2:D518=D519),2)*VLOOKUP(9^99,FILTER({ROW(O$2:O518),O$2:O518},D$2:D518=D519),2)-N519)/O519),J519))"),"")</f>
        <v/>
      </c>
      <c r="Q519" s="264" t="str">
        <f>IFERROR(__xludf.DUMMYFUNCTION("IFERROR(IF(F519=""Crypto"",B519,(IF(ISBLANK(D519),"""",IF(D519=""Cash"",B519,IF(GOOGLEFINANCE(D519,""CURRENCY"")=""GBX"",""GBP"",GOOGLEFINANCE(D519,""CURRENCY"")))))),B519)"),"")</f>
        <v/>
      </c>
      <c r="R519" s="263" t="str">
        <f>IFERROR(__xludf.DUMMYFUNCTION("IF(ISBLANK(A519),"""",IFERROR(IF(OR(Q519=""GPB"",Q519=""ZAR""),IF(Q519=Dashboard!$L$1,K519,(K519*GOOGLEFINANCE(""CURRENCY:""&amp;Q519&amp;""""&amp;Dashboard!$L$1&amp;""""))/100),IF(Q519=Dashboard!$L$1,K519,K519*GOOGLEFINANCE(""CURRENCY:""&amp;Q519&amp;""""&amp;Dashboard!$L$1&amp;"""")))"&amp;",K519))"),"")</f>
        <v/>
      </c>
      <c r="S519" s="266" t="str">
        <f>IFERROR(__xludf.DUMMYFUNCTION("IF(ISBLANK(A519),"""",IFERROR(IF(OR(Q519=""GPB"",Q519=""ZAR""),IF(Q519=Dashboard!$L$1,M519,(M519*GOOGLEFINANCE(""CURRENCY:""&amp;Q519&amp;""""&amp;Dashboard!$L$1&amp;""""))/100),IF(Q519=Dashboard!$L$1,M519,M519*GOOGLEFINANCE(""CURRENCY:""&amp;Q519&amp;""""&amp;Dashboard!$L$1&amp;"""")))"&amp;",M519))"),"")</f>
        <v/>
      </c>
      <c r="T519" s="264" t="str">
        <f t="shared" si="4"/>
        <v/>
      </c>
      <c r="U519" s="264" t="str">
        <f t="shared" si="5"/>
        <v/>
      </c>
      <c r="V519" s="264" t="str">
        <f t="shared" si="6"/>
        <v/>
      </c>
      <c r="W519" s="267" t="str">
        <f t="shared" si="8"/>
        <v/>
      </c>
      <c r="X519" s="264" t="str">
        <f t="shared" si="7"/>
        <v/>
      </c>
    </row>
    <row r="520" ht="15.75" customHeight="1">
      <c r="A520" s="258"/>
      <c r="B520" s="258"/>
      <c r="C520" s="269"/>
      <c r="D520" s="258"/>
      <c r="E520" s="258"/>
      <c r="F520" s="258"/>
      <c r="G520" s="258"/>
      <c r="H520" s="271"/>
      <c r="I520" s="258"/>
      <c r="J520" s="272"/>
      <c r="K520" s="260"/>
      <c r="L520" s="261"/>
      <c r="M520" s="262" t="str">
        <f t="shared" si="1"/>
        <v/>
      </c>
      <c r="N520" s="263" t="str">
        <f t="shared" si="2"/>
        <v/>
      </c>
      <c r="O520" s="264" t="str">
        <f t="shared" si="3"/>
        <v/>
      </c>
      <c r="P520" s="265" t="str">
        <f>IFERROR(__xludf.DUMMYFUNCTION("IF(ISBLANK(A520),"""",IFERROR(IF(H520=""Sell"",VLOOKUP(9^99,FILTER({ROW(P$2:P519),P$2:P519},D$2:D519=D520),2),(VLOOKUP(9^99,FILTER({ROW(P$2:P519),P$2:P519},D$2:D519=D520),2)*VLOOKUP(9^99,FILTER({ROW(O$2:O519),O$2:O519},D$2:D519=D520),2)-N520)/O520),J520))"),"")</f>
        <v/>
      </c>
      <c r="Q520" s="264" t="str">
        <f>IFERROR(__xludf.DUMMYFUNCTION("IFERROR(IF(F520=""Crypto"",B520,(IF(ISBLANK(D520),"""",IF(D520=""Cash"",B520,IF(GOOGLEFINANCE(D520,""CURRENCY"")=""GBX"",""GBP"",GOOGLEFINANCE(D520,""CURRENCY"")))))),B520)"),"")</f>
        <v/>
      </c>
      <c r="R520" s="263" t="str">
        <f>IFERROR(__xludf.DUMMYFUNCTION("IF(ISBLANK(A520),"""",IFERROR(IF(OR(Q520=""GPB"",Q520=""ZAR""),IF(Q520=Dashboard!$L$1,K520,(K520*GOOGLEFINANCE(""CURRENCY:""&amp;Q520&amp;""""&amp;Dashboard!$L$1&amp;""""))/100),IF(Q520=Dashboard!$L$1,K520,K520*GOOGLEFINANCE(""CURRENCY:""&amp;Q520&amp;""""&amp;Dashboard!$L$1&amp;"""")))"&amp;",K520))"),"")</f>
        <v/>
      </c>
      <c r="S520" s="266" t="str">
        <f>IFERROR(__xludf.DUMMYFUNCTION("IF(ISBLANK(A520),"""",IFERROR(IF(OR(Q520=""GPB"",Q520=""ZAR""),IF(Q520=Dashboard!$L$1,M520,(M520*GOOGLEFINANCE(""CURRENCY:""&amp;Q520&amp;""""&amp;Dashboard!$L$1&amp;""""))/100),IF(Q520=Dashboard!$L$1,M520,M520*GOOGLEFINANCE(""CURRENCY:""&amp;Q520&amp;""""&amp;Dashboard!$L$1&amp;"""")))"&amp;",M520))"),"")</f>
        <v/>
      </c>
      <c r="T520" s="264" t="str">
        <f t="shared" si="4"/>
        <v/>
      </c>
      <c r="U520" s="264" t="str">
        <f t="shared" si="5"/>
        <v/>
      </c>
      <c r="V520" s="264" t="str">
        <f t="shared" si="6"/>
        <v/>
      </c>
      <c r="W520" s="267" t="str">
        <f t="shared" si="8"/>
        <v/>
      </c>
      <c r="X520" s="264" t="str">
        <f t="shared" si="7"/>
        <v/>
      </c>
    </row>
    <row r="521" ht="15.75" customHeight="1">
      <c r="A521" s="258"/>
      <c r="B521" s="258"/>
      <c r="C521" s="269"/>
      <c r="D521" s="258"/>
      <c r="E521" s="258"/>
      <c r="F521" s="258"/>
      <c r="G521" s="258"/>
      <c r="H521" s="271"/>
      <c r="I521" s="258"/>
      <c r="J521" s="272"/>
      <c r="K521" s="260"/>
      <c r="L521" s="261"/>
      <c r="M521" s="262" t="str">
        <f t="shared" si="1"/>
        <v/>
      </c>
      <c r="N521" s="263" t="str">
        <f t="shared" si="2"/>
        <v/>
      </c>
      <c r="O521" s="264" t="str">
        <f t="shared" si="3"/>
        <v/>
      </c>
      <c r="P521" s="265" t="str">
        <f>IFERROR(__xludf.DUMMYFUNCTION("IF(ISBLANK(A521),"""",IFERROR(IF(H521=""Sell"",VLOOKUP(9^99,FILTER({ROW(P$2:P520),P$2:P520},D$2:D520=D521),2),(VLOOKUP(9^99,FILTER({ROW(P$2:P520),P$2:P520},D$2:D520=D521),2)*VLOOKUP(9^99,FILTER({ROW(O$2:O520),O$2:O520},D$2:D520=D521),2)-N521)/O521),J521))"),"")</f>
        <v/>
      </c>
      <c r="Q521" s="264" t="str">
        <f>IFERROR(__xludf.DUMMYFUNCTION("IFERROR(IF(F521=""Crypto"",B521,(IF(ISBLANK(D521),"""",IF(D521=""Cash"",B521,IF(GOOGLEFINANCE(D521,""CURRENCY"")=""GBX"",""GBP"",GOOGLEFINANCE(D521,""CURRENCY"")))))),B521)"),"")</f>
        <v/>
      </c>
      <c r="R521" s="263" t="str">
        <f>IFERROR(__xludf.DUMMYFUNCTION("IF(ISBLANK(A521),"""",IFERROR(IF(OR(Q521=""GPB"",Q521=""ZAR""),IF(Q521=Dashboard!$L$1,K521,(K521*GOOGLEFINANCE(""CURRENCY:""&amp;Q521&amp;""""&amp;Dashboard!$L$1&amp;""""))/100),IF(Q521=Dashboard!$L$1,K521,K521*GOOGLEFINANCE(""CURRENCY:""&amp;Q521&amp;""""&amp;Dashboard!$L$1&amp;"""")))"&amp;",K521))"),"")</f>
        <v/>
      </c>
      <c r="S521" s="266" t="str">
        <f>IFERROR(__xludf.DUMMYFUNCTION("IF(ISBLANK(A521),"""",IFERROR(IF(OR(Q521=""GPB"",Q521=""ZAR""),IF(Q521=Dashboard!$L$1,M521,(M521*GOOGLEFINANCE(""CURRENCY:""&amp;Q521&amp;""""&amp;Dashboard!$L$1&amp;""""))/100),IF(Q521=Dashboard!$L$1,M521,M521*GOOGLEFINANCE(""CURRENCY:""&amp;Q521&amp;""""&amp;Dashboard!$L$1&amp;"""")))"&amp;",M521))"),"")</f>
        <v/>
      </c>
      <c r="T521" s="264" t="str">
        <f t="shared" si="4"/>
        <v/>
      </c>
      <c r="U521" s="264" t="str">
        <f t="shared" si="5"/>
        <v/>
      </c>
      <c r="V521" s="264" t="str">
        <f t="shared" si="6"/>
        <v/>
      </c>
      <c r="W521" s="267" t="str">
        <f t="shared" si="8"/>
        <v/>
      </c>
      <c r="X521" s="264" t="str">
        <f t="shared" si="7"/>
        <v/>
      </c>
    </row>
    <row r="522" ht="15.75" customHeight="1">
      <c r="A522" s="258"/>
      <c r="B522" s="258"/>
      <c r="C522" s="269"/>
      <c r="D522" s="258"/>
      <c r="E522" s="258"/>
      <c r="F522" s="258"/>
      <c r="G522" s="258"/>
      <c r="H522" s="271"/>
      <c r="I522" s="258"/>
      <c r="J522" s="272"/>
      <c r="K522" s="260"/>
      <c r="L522" s="261"/>
      <c r="M522" s="262" t="str">
        <f t="shared" si="1"/>
        <v/>
      </c>
      <c r="N522" s="263" t="str">
        <f t="shared" si="2"/>
        <v/>
      </c>
      <c r="O522" s="264" t="str">
        <f t="shared" si="3"/>
        <v/>
      </c>
      <c r="P522" s="265" t="str">
        <f>IFERROR(__xludf.DUMMYFUNCTION("IF(ISBLANK(A522),"""",IFERROR(IF(H522=""Sell"",VLOOKUP(9^99,FILTER({ROW(P$2:P521),P$2:P521},D$2:D521=D522),2),(VLOOKUP(9^99,FILTER({ROW(P$2:P521),P$2:P521},D$2:D521=D522),2)*VLOOKUP(9^99,FILTER({ROW(O$2:O521),O$2:O521},D$2:D521=D522),2)-N522)/O522),J522))"),"")</f>
        <v/>
      </c>
      <c r="Q522" s="264" t="str">
        <f>IFERROR(__xludf.DUMMYFUNCTION("IFERROR(IF(F522=""Crypto"",B522,(IF(ISBLANK(D522),"""",IF(D522=""Cash"",B522,IF(GOOGLEFINANCE(D522,""CURRENCY"")=""GBX"",""GBP"",GOOGLEFINANCE(D522,""CURRENCY"")))))),B522)"),"")</f>
        <v/>
      </c>
      <c r="R522" s="263" t="str">
        <f>IFERROR(__xludf.DUMMYFUNCTION("IF(ISBLANK(A522),"""",IFERROR(IF(OR(Q522=""GPB"",Q522=""ZAR""),IF(Q522=Dashboard!$L$1,K522,(K522*GOOGLEFINANCE(""CURRENCY:""&amp;Q522&amp;""""&amp;Dashboard!$L$1&amp;""""))/100),IF(Q522=Dashboard!$L$1,K522,K522*GOOGLEFINANCE(""CURRENCY:""&amp;Q522&amp;""""&amp;Dashboard!$L$1&amp;"""")))"&amp;",K522))"),"")</f>
        <v/>
      </c>
      <c r="S522" s="266" t="str">
        <f>IFERROR(__xludf.DUMMYFUNCTION("IF(ISBLANK(A522),"""",IFERROR(IF(OR(Q522=""GPB"",Q522=""ZAR""),IF(Q522=Dashboard!$L$1,M522,(M522*GOOGLEFINANCE(""CURRENCY:""&amp;Q522&amp;""""&amp;Dashboard!$L$1&amp;""""))/100),IF(Q522=Dashboard!$L$1,M522,M522*GOOGLEFINANCE(""CURRENCY:""&amp;Q522&amp;""""&amp;Dashboard!$L$1&amp;"""")))"&amp;",M522))"),"")</f>
        <v/>
      </c>
      <c r="T522" s="264" t="str">
        <f t="shared" si="4"/>
        <v/>
      </c>
      <c r="U522" s="264" t="str">
        <f t="shared" si="5"/>
        <v/>
      </c>
      <c r="V522" s="264" t="str">
        <f t="shared" si="6"/>
        <v/>
      </c>
      <c r="W522" s="267" t="str">
        <f t="shared" si="8"/>
        <v/>
      </c>
      <c r="X522" s="264" t="str">
        <f t="shared" si="7"/>
        <v/>
      </c>
    </row>
    <row r="523" ht="15.75" customHeight="1">
      <c r="A523" s="258"/>
      <c r="B523" s="258"/>
      <c r="C523" s="269"/>
      <c r="D523" s="258"/>
      <c r="E523" s="258"/>
      <c r="F523" s="258"/>
      <c r="G523" s="258"/>
      <c r="H523" s="271"/>
      <c r="I523" s="258"/>
      <c r="J523" s="272"/>
      <c r="K523" s="260"/>
      <c r="L523" s="261"/>
      <c r="M523" s="262" t="str">
        <f t="shared" si="1"/>
        <v/>
      </c>
      <c r="N523" s="263" t="str">
        <f t="shared" si="2"/>
        <v/>
      </c>
      <c r="O523" s="264" t="str">
        <f t="shared" si="3"/>
        <v/>
      </c>
      <c r="P523" s="265" t="str">
        <f>IFERROR(__xludf.DUMMYFUNCTION("IF(ISBLANK(A523),"""",IFERROR(IF(H523=""Sell"",VLOOKUP(9^99,FILTER({ROW(P$2:P522),P$2:P522},D$2:D522=D523),2),(VLOOKUP(9^99,FILTER({ROW(P$2:P522),P$2:P522},D$2:D522=D523),2)*VLOOKUP(9^99,FILTER({ROW(O$2:O522),O$2:O522},D$2:D522=D523),2)-N523)/O523),J523))"),"")</f>
        <v/>
      </c>
      <c r="Q523" s="264" t="str">
        <f>IFERROR(__xludf.DUMMYFUNCTION("IFERROR(IF(F523=""Crypto"",B523,(IF(ISBLANK(D523),"""",IF(D523=""Cash"",B523,IF(GOOGLEFINANCE(D523,""CURRENCY"")=""GBX"",""GBP"",GOOGLEFINANCE(D523,""CURRENCY"")))))),B523)"),"")</f>
        <v/>
      </c>
      <c r="R523" s="263" t="str">
        <f>IFERROR(__xludf.DUMMYFUNCTION("IF(ISBLANK(A523),"""",IFERROR(IF(OR(Q523=""GPB"",Q523=""ZAR""),IF(Q523=Dashboard!$L$1,K523,(K523*GOOGLEFINANCE(""CURRENCY:""&amp;Q523&amp;""""&amp;Dashboard!$L$1&amp;""""))/100),IF(Q523=Dashboard!$L$1,K523,K523*GOOGLEFINANCE(""CURRENCY:""&amp;Q523&amp;""""&amp;Dashboard!$L$1&amp;"""")))"&amp;",K523))"),"")</f>
        <v/>
      </c>
      <c r="S523" s="266" t="str">
        <f>IFERROR(__xludf.DUMMYFUNCTION("IF(ISBLANK(A523),"""",IFERROR(IF(OR(Q523=""GPB"",Q523=""ZAR""),IF(Q523=Dashboard!$L$1,M523,(M523*GOOGLEFINANCE(""CURRENCY:""&amp;Q523&amp;""""&amp;Dashboard!$L$1&amp;""""))/100),IF(Q523=Dashboard!$L$1,M523,M523*GOOGLEFINANCE(""CURRENCY:""&amp;Q523&amp;""""&amp;Dashboard!$L$1&amp;"""")))"&amp;",M523))"),"")</f>
        <v/>
      </c>
      <c r="T523" s="264" t="str">
        <f t="shared" si="4"/>
        <v/>
      </c>
      <c r="U523" s="264" t="str">
        <f t="shared" si="5"/>
        <v/>
      </c>
      <c r="V523" s="264" t="str">
        <f t="shared" si="6"/>
        <v/>
      </c>
      <c r="W523" s="267" t="str">
        <f t="shared" si="8"/>
        <v/>
      </c>
      <c r="X523" s="264" t="str">
        <f t="shared" si="7"/>
        <v/>
      </c>
    </row>
    <row r="524" ht="15.75" customHeight="1">
      <c r="A524" s="258"/>
      <c r="B524" s="258"/>
      <c r="C524" s="269"/>
      <c r="D524" s="258"/>
      <c r="E524" s="258"/>
      <c r="F524" s="258"/>
      <c r="G524" s="258"/>
      <c r="H524" s="271"/>
      <c r="I524" s="258"/>
      <c r="J524" s="272"/>
      <c r="K524" s="260"/>
      <c r="L524" s="261"/>
      <c r="M524" s="262" t="str">
        <f t="shared" si="1"/>
        <v/>
      </c>
      <c r="N524" s="263" t="str">
        <f t="shared" si="2"/>
        <v/>
      </c>
      <c r="O524" s="264" t="str">
        <f t="shared" si="3"/>
        <v/>
      </c>
      <c r="P524" s="265" t="str">
        <f>IFERROR(__xludf.DUMMYFUNCTION("IF(ISBLANK(A524),"""",IFERROR(IF(H524=""Sell"",VLOOKUP(9^99,FILTER({ROW(P$2:P523),P$2:P523},D$2:D523=D524),2),(VLOOKUP(9^99,FILTER({ROW(P$2:P523),P$2:P523},D$2:D523=D524),2)*VLOOKUP(9^99,FILTER({ROW(O$2:O523),O$2:O523},D$2:D523=D524),2)-N524)/O524),J524))"),"")</f>
        <v/>
      </c>
      <c r="Q524" s="264" t="str">
        <f>IFERROR(__xludf.DUMMYFUNCTION("IFERROR(IF(F524=""Crypto"",B524,(IF(ISBLANK(D524),"""",IF(D524=""Cash"",B524,IF(GOOGLEFINANCE(D524,""CURRENCY"")=""GBX"",""GBP"",GOOGLEFINANCE(D524,""CURRENCY"")))))),B524)"),"")</f>
        <v/>
      </c>
      <c r="R524" s="263" t="str">
        <f>IFERROR(__xludf.DUMMYFUNCTION("IF(ISBLANK(A524),"""",IFERROR(IF(OR(Q524=""GPB"",Q524=""ZAR""),IF(Q524=Dashboard!$L$1,K524,(K524*GOOGLEFINANCE(""CURRENCY:""&amp;Q524&amp;""""&amp;Dashboard!$L$1&amp;""""))/100),IF(Q524=Dashboard!$L$1,K524,K524*GOOGLEFINANCE(""CURRENCY:""&amp;Q524&amp;""""&amp;Dashboard!$L$1&amp;"""")))"&amp;",K524))"),"")</f>
        <v/>
      </c>
      <c r="S524" s="266" t="str">
        <f>IFERROR(__xludf.DUMMYFUNCTION("IF(ISBLANK(A524),"""",IFERROR(IF(OR(Q524=""GPB"",Q524=""ZAR""),IF(Q524=Dashboard!$L$1,M524,(M524*GOOGLEFINANCE(""CURRENCY:""&amp;Q524&amp;""""&amp;Dashboard!$L$1&amp;""""))/100),IF(Q524=Dashboard!$L$1,M524,M524*GOOGLEFINANCE(""CURRENCY:""&amp;Q524&amp;""""&amp;Dashboard!$L$1&amp;"""")))"&amp;",M524))"),"")</f>
        <v/>
      </c>
      <c r="T524" s="264" t="str">
        <f t="shared" si="4"/>
        <v/>
      </c>
      <c r="U524" s="264" t="str">
        <f t="shared" si="5"/>
        <v/>
      </c>
      <c r="V524" s="264" t="str">
        <f t="shared" si="6"/>
        <v/>
      </c>
      <c r="W524" s="267" t="str">
        <f t="shared" si="8"/>
        <v/>
      </c>
      <c r="X524" s="264" t="str">
        <f t="shared" si="7"/>
        <v/>
      </c>
    </row>
    <row r="525" ht="15.75" customHeight="1">
      <c r="A525" s="258"/>
      <c r="B525" s="258"/>
      <c r="C525" s="269"/>
      <c r="D525" s="258"/>
      <c r="E525" s="258"/>
      <c r="F525" s="258"/>
      <c r="G525" s="258"/>
      <c r="H525" s="271"/>
      <c r="I525" s="258"/>
      <c r="J525" s="272"/>
      <c r="K525" s="260"/>
      <c r="L525" s="261"/>
      <c r="M525" s="262" t="str">
        <f t="shared" si="1"/>
        <v/>
      </c>
      <c r="N525" s="263" t="str">
        <f t="shared" si="2"/>
        <v/>
      </c>
      <c r="O525" s="264" t="str">
        <f t="shared" si="3"/>
        <v/>
      </c>
      <c r="P525" s="265" t="str">
        <f>IFERROR(__xludf.DUMMYFUNCTION("IF(ISBLANK(A525),"""",IFERROR(IF(H525=""Sell"",VLOOKUP(9^99,FILTER({ROW(P$2:P524),P$2:P524},D$2:D524=D525),2),(VLOOKUP(9^99,FILTER({ROW(P$2:P524),P$2:P524},D$2:D524=D525),2)*VLOOKUP(9^99,FILTER({ROW(O$2:O524),O$2:O524},D$2:D524=D525),2)-N525)/O525),J525))"),"")</f>
        <v/>
      </c>
      <c r="Q525" s="264" t="str">
        <f>IFERROR(__xludf.DUMMYFUNCTION("IFERROR(IF(F525=""Crypto"",B525,(IF(ISBLANK(D525),"""",IF(D525=""Cash"",B525,IF(GOOGLEFINANCE(D525,""CURRENCY"")=""GBX"",""GBP"",GOOGLEFINANCE(D525,""CURRENCY"")))))),B525)"),"")</f>
        <v/>
      </c>
      <c r="R525" s="263" t="str">
        <f>IFERROR(__xludf.DUMMYFUNCTION("IF(ISBLANK(A525),"""",IFERROR(IF(OR(Q525=""GPB"",Q525=""ZAR""),IF(Q525=Dashboard!$L$1,K525,(K525*GOOGLEFINANCE(""CURRENCY:""&amp;Q525&amp;""""&amp;Dashboard!$L$1&amp;""""))/100),IF(Q525=Dashboard!$L$1,K525,K525*GOOGLEFINANCE(""CURRENCY:""&amp;Q525&amp;""""&amp;Dashboard!$L$1&amp;"""")))"&amp;",K525))"),"")</f>
        <v/>
      </c>
      <c r="S525" s="266" t="str">
        <f>IFERROR(__xludf.DUMMYFUNCTION("IF(ISBLANK(A525),"""",IFERROR(IF(OR(Q525=""GPB"",Q525=""ZAR""),IF(Q525=Dashboard!$L$1,M525,(M525*GOOGLEFINANCE(""CURRENCY:""&amp;Q525&amp;""""&amp;Dashboard!$L$1&amp;""""))/100),IF(Q525=Dashboard!$L$1,M525,M525*GOOGLEFINANCE(""CURRENCY:""&amp;Q525&amp;""""&amp;Dashboard!$L$1&amp;"""")))"&amp;",M525))"),"")</f>
        <v/>
      </c>
      <c r="T525" s="264" t="str">
        <f t="shared" si="4"/>
        <v/>
      </c>
      <c r="U525" s="264" t="str">
        <f t="shared" si="5"/>
        <v/>
      </c>
      <c r="V525" s="264" t="str">
        <f t="shared" si="6"/>
        <v/>
      </c>
      <c r="W525" s="267" t="str">
        <f t="shared" si="8"/>
        <v/>
      </c>
      <c r="X525" s="264" t="str">
        <f t="shared" si="7"/>
        <v/>
      </c>
    </row>
    <row r="526" ht="15.75" customHeight="1">
      <c r="A526" s="258"/>
      <c r="B526" s="258"/>
      <c r="C526" s="269"/>
      <c r="D526" s="258"/>
      <c r="E526" s="258"/>
      <c r="F526" s="258"/>
      <c r="G526" s="258"/>
      <c r="H526" s="271"/>
      <c r="I526" s="258"/>
      <c r="J526" s="272"/>
      <c r="K526" s="260"/>
      <c r="L526" s="261"/>
      <c r="M526" s="262" t="str">
        <f t="shared" si="1"/>
        <v/>
      </c>
      <c r="N526" s="263" t="str">
        <f t="shared" si="2"/>
        <v/>
      </c>
      <c r="O526" s="264" t="str">
        <f t="shared" si="3"/>
        <v/>
      </c>
      <c r="P526" s="265" t="str">
        <f>IFERROR(__xludf.DUMMYFUNCTION("IF(ISBLANK(A526),"""",IFERROR(IF(H526=""Sell"",VLOOKUP(9^99,FILTER({ROW(P$2:P525),P$2:P525},D$2:D525=D526),2),(VLOOKUP(9^99,FILTER({ROW(P$2:P525),P$2:P525},D$2:D525=D526),2)*VLOOKUP(9^99,FILTER({ROW(O$2:O525),O$2:O525},D$2:D525=D526),2)-N526)/O526),J526))"),"")</f>
        <v/>
      </c>
      <c r="Q526" s="264" t="str">
        <f>IFERROR(__xludf.DUMMYFUNCTION("IFERROR(IF(F526=""Crypto"",B526,(IF(ISBLANK(D526),"""",IF(D526=""Cash"",B526,IF(GOOGLEFINANCE(D526,""CURRENCY"")=""GBX"",""GBP"",GOOGLEFINANCE(D526,""CURRENCY"")))))),B526)"),"")</f>
        <v/>
      </c>
      <c r="R526" s="263" t="str">
        <f>IFERROR(__xludf.DUMMYFUNCTION("IF(ISBLANK(A526),"""",IFERROR(IF(OR(Q526=""GPB"",Q526=""ZAR""),IF(Q526=Dashboard!$L$1,K526,(K526*GOOGLEFINANCE(""CURRENCY:""&amp;Q526&amp;""""&amp;Dashboard!$L$1&amp;""""))/100),IF(Q526=Dashboard!$L$1,K526,K526*GOOGLEFINANCE(""CURRENCY:""&amp;Q526&amp;""""&amp;Dashboard!$L$1&amp;"""")))"&amp;",K526))"),"")</f>
        <v/>
      </c>
      <c r="S526" s="266" t="str">
        <f>IFERROR(__xludf.DUMMYFUNCTION("IF(ISBLANK(A526),"""",IFERROR(IF(OR(Q526=""GPB"",Q526=""ZAR""),IF(Q526=Dashboard!$L$1,M526,(M526*GOOGLEFINANCE(""CURRENCY:""&amp;Q526&amp;""""&amp;Dashboard!$L$1&amp;""""))/100),IF(Q526=Dashboard!$L$1,M526,M526*GOOGLEFINANCE(""CURRENCY:""&amp;Q526&amp;""""&amp;Dashboard!$L$1&amp;"""")))"&amp;",M526))"),"")</f>
        <v/>
      </c>
      <c r="T526" s="264" t="str">
        <f t="shared" si="4"/>
        <v/>
      </c>
      <c r="U526" s="264" t="str">
        <f t="shared" si="5"/>
        <v/>
      </c>
      <c r="V526" s="264" t="str">
        <f t="shared" si="6"/>
        <v/>
      </c>
      <c r="W526" s="267" t="str">
        <f t="shared" si="8"/>
        <v/>
      </c>
      <c r="X526" s="264" t="str">
        <f t="shared" si="7"/>
        <v/>
      </c>
    </row>
    <row r="527" ht="15.75" customHeight="1">
      <c r="A527" s="258"/>
      <c r="B527" s="258"/>
      <c r="C527" s="269"/>
      <c r="D527" s="258"/>
      <c r="E527" s="258"/>
      <c r="F527" s="258"/>
      <c r="G527" s="258"/>
      <c r="H527" s="271"/>
      <c r="I527" s="258"/>
      <c r="J527" s="272"/>
      <c r="K527" s="260"/>
      <c r="L527" s="261"/>
      <c r="M527" s="262" t="str">
        <f t="shared" si="1"/>
        <v/>
      </c>
      <c r="N527" s="263" t="str">
        <f t="shared" si="2"/>
        <v/>
      </c>
      <c r="O527" s="264" t="str">
        <f t="shared" si="3"/>
        <v/>
      </c>
      <c r="P527" s="265" t="str">
        <f>IFERROR(__xludf.DUMMYFUNCTION("IF(ISBLANK(A527),"""",IFERROR(IF(H527=""Sell"",VLOOKUP(9^99,FILTER({ROW(P$2:P526),P$2:P526},D$2:D526=D527),2),(VLOOKUP(9^99,FILTER({ROW(P$2:P526),P$2:P526},D$2:D526=D527),2)*VLOOKUP(9^99,FILTER({ROW(O$2:O526),O$2:O526},D$2:D526=D527),2)-N527)/O527),J527))"),"")</f>
        <v/>
      </c>
      <c r="Q527" s="264" t="str">
        <f>IFERROR(__xludf.DUMMYFUNCTION("IFERROR(IF(F527=""Crypto"",B527,(IF(ISBLANK(D527),"""",IF(D527=""Cash"",B527,IF(GOOGLEFINANCE(D527,""CURRENCY"")=""GBX"",""GBP"",GOOGLEFINANCE(D527,""CURRENCY"")))))),B527)"),"")</f>
        <v/>
      </c>
      <c r="R527" s="263" t="str">
        <f>IFERROR(__xludf.DUMMYFUNCTION("IF(ISBLANK(A527),"""",IFERROR(IF(OR(Q527=""GPB"",Q527=""ZAR""),IF(Q527=Dashboard!$L$1,K527,(K527*GOOGLEFINANCE(""CURRENCY:""&amp;Q527&amp;""""&amp;Dashboard!$L$1&amp;""""))/100),IF(Q527=Dashboard!$L$1,K527,K527*GOOGLEFINANCE(""CURRENCY:""&amp;Q527&amp;""""&amp;Dashboard!$L$1&amp;"""")))"&amp;",K527))"),"")</f>
        <v/>
      </c>
      <c r="S527" s="266" t="str">
        <f>IFERROR(__xludf.DUMMYFUNCTION("IF(ISBLANK(A527),"""",IFERROR(IF(OR(Q527=""GPB"",Q527=""ZAR""),IF(Q527=Dashboard!$L$1,M527,(M527*GOOGLEFINANCE(""CURRENCY:""&amp;Q527&amp;""""&amp;Dashboard!$L$1&amp;""""))/100),IF(Q527=Dashboard!$L$1,M527,M527*GOOGLEFINANCE(""CURRENCY:""&amp;Q527&amp;""""&amp;Dashboard!$L$1&amp;"""")))"&amp;",M527))"),"")</f>
        <v/>
      </c>
      <c r="T527" s="264" t="str">
        <f t="shared" si="4"/>
        <v/>
      </c>
      <c r="U527" s="264" t="str">
        <f t="shared" si="5"/>
        <v/>
      </c>
      <c r="V527" s="264" t="str">
        <f t="shared" si="6"/>
        <v/>
      </c>
      <c r="W527" s="267" t="str">
        <f t="shared" si="8"/>
        <v/>
      </c>
      <c r="X527" s="264" t="str">
        <f t="shared" si="7"/>
        <v/>
      </c>
    </row>
    <row r="528" ht="15.75" customHeight="1">
      <c r="A528" s="258"/>
      <c r="B528" s="258"/>
      <c r="C528" s="269"/>
      <c r="D528" s="258"/>
      <c r="E528" s="258"/>
      <c r="F528" s="258"/>
      <c r="G528" s="258"/>
      <c r="H528" s="271"/>
      <c r="I528" s="258"/>
      <c r="J528" s="272"/>
      <c r="K528" s="260"/>
      <c r="L528" s="261"/>
      <c r="M528" s="262" t="str">
        <f t="shared" si="1"/>
        <v/>
      </c>
      <c r="N528" s="263" t="str">
        <f t="shared" si="2"/>
        <v/>
      </c>
      <c r="O528" s="264" t="str">
        <f t="shared" si="3"/>
        <v/>
      </c>
      <c r="P528" s="265" t="str">
        <f>IFERROR(__xludf.DUMMYFUNCTION("IF(ISBLANK(A528),"""",IFERROR(IF(H528=""Sell"",VLOOKUP(9^99,FILTER({ROW(P$2:P527),P$2:P527},D$2:D527=D528),2),(VLOOKUP(9^99,FILTER({ROW(P$2:P527),P$2:P527},D$2:D527=D528),2)*VLOOKUP(9^99,FILTER({ROW(O$2:O527),O$2:O527},D$2:D527=D528),2)-N528)/O528),J528))"),"")</f>
        <v/>
      </c>
      <c r="Q528" s="264" t="str">
        <f>IFERROR(__xludf.DUMMYFUNCTION("IFERROR(IF(F528=""Crypto"",B528,(IF(ISBLANK(D528),"""",IF(D528=""Cash"",B528,IF(GOOGLEFINANCE(D528,""CURRENCY"")=""GBX"",""GBP"",GOOGLEFINANCE(D528,""CURRENCY"")))))),B528)"),"")</f>
        <v/>
      </c>
      <c r="R528" s="263" t="str">
        <f>IFERROR(__xludf.DUMMYFUNCTION("IF(ISBLANK(A528),"""",IFERROR(IF(OR(Q528=""GPB"",Q528=""ZAR""),IF(Q528=Dashboard!$L$1,K528,(K528*GOOGLEFINANCE(""CURRENCY:""&amp;Q528&amp;""""&amp;Dashboard!$L$1&amp;""""))/100),IF(Q528=Dashboard!$L$1,K528,K528*GOOGLEFINANCE(""CURRENCY:""&amp;Q528&amp;""""&amp;Dashboard!$L$1&amp;"""")))"&amp;",K528))"),"")</f>
        <v/>
      </c>
      <c r="S528" s="266" t="str">
        <f>IFERROR(__xludf.DUMMYFUNCTION("IF(ISBLANK(A528),"""",IFERROR(IF(OR(Q528=""GPB"",Q528=""ZAR""),IF(Q528=Dashboard!$L$1,M528,(M528*GOOGLEFINANCE(""CURRENCY:""&amp;Q528&amp;""""&amp;Dashboard!$L$1&amp;""""))/100),IF(Q528=Dashboard!$L$1,M528,M528*GOOGLEFINANCE(""CURRENCY:""&amp;Q528&amp;""""&amp;Dashboard!$L$1&amp;"""")))"&amp;",M528))"),"")</f>
        <v/>
      </c>
      <c r="T528" s="264" t="str">
        <f t="shared" si="4"/>
        <v/>
      </c>
      <c r="U528" s="264" t="str">
        <f t="shared" si="5"/>
        <v/>
      </c>
      <c r="V528" s="264" t="str">
        <f t="shared" si="6"/>
        <v/>
      </c>
      <c r="W528" s="267" t="str">
        <f t="shared" si="8"/>
        <v/>
      </c>
      <c r="X528" s="264" t="str">
        <f t="shared" si="7"/>
        <v/>
      </c>
    </row>
    <row r="529" ht="15.75" customHeight="1">
      <c r="A529" s="258"/>
      <c r="B529" s="258"/>
      <c r="C529" s="269"/>
      <c r="D529" s="258"/>
      <c r="E529" s="258"/>
      <c r="F529" s="258"/>
      <c r="G529" s="258"/>
      <c r="H529" s="271"/>
      <c r="I529" s="258"/>
      <c r="J529" s="272"/>
      <c r="K529" s="260"/>
      <c r="L529" s="261"/>
      <c r="M529" s="262" t="str">
        <f t="shared" si="1"/>
        <v/>
      </c>
      <c r="N529" s="263" t="str">
        <f t="shared" si="2"/>
        <v/>
      </c>
      <c r="O529" s="264" t="str">
        <f t="shared" si="3"/>
        <v/>
      </c>
      <c r="P529" s="265" t="str">
        <f>IFERROR(__xludf.DUMMYFUNCTION("IF(ISBLANK(A529),"""",IFERROR(IF(H529=""Sell"",VLOOKUP(9^99,FILTER({ROW(P$2:P528),P$2:P528},D$2:D528=D529),2),(VLOOKUP(9^99,FILTER({ROW(P$2:P528),P$2:P528},D$2:D528=D529),2)*VLOOKUP(9^99,FILTER({ROW(O$2:O528),O$2:O528},D$2:D528=D529),2)-N529)/O529),J529))"),"")</f>
        <v/>
      </c>
      <c r="Q529" s="264" t="str">
        <f>IFERROR(__xludf.DUMMYFUNCTION("IFERROR(IF(F529=""Crypto"",B529,(IF(ISBLANK(D529),"""",IF(D529=""Cash"",B529,IF(GOOGLEFINANCE(D529,""CURRENCY"")=""GBX"",""GBP"",GOOGLEFINANCE(D529,""CURRENCY"")))))),B529)"),"")</f>
        <v/>
      </c>
      <c r="R529" s="263" t="str">
        <f>IFERROR(__xludf.DUMMYFUNCTION("IF(ISBLANK(A529),"""",IFERROR(IF(OR(Q529=""GPB"",Q529=""ZAR""),IF(Q529=Dashboard!$L$1,K529,(K529*GOOGLEFINANCE(""CURRENCY:""&amp;Q529&amp;""""&amp;Dashboard!$L$1&amp;""""))/100),IF(Q529=Dashboard!$L$1,K529,K529*GOOGLEFINANCE(""CURRENCY:""&amp;Q529&amp;""""&amp;Dashboard!$L$1&amp;"""")))"&amp;",K529))"),"")</f>
        <v/>
      </c>
      <c r="S529" s="266" t="str">
        <f>IFERROR(__xludf.DUMMYFUNCTION("IF(ISBLANK(A529),"""",IFERROR(IF(OR(Q529=""GPB"",Q529=""ZAR""),IF(Q529=Dashboard!$L$1,M529,(M529*GOOGLEFINANCE(""CURRENCY:""&amp;Q529&amp;""""&amp;Dashboard!$L$1&amp;""""))/100),IF(Q529=Dashboard!$L$1,M529,M529*GOOGLEFINANCE(""CURRENCY:""&amp;Q529&amp;""""&amp;Dashboard!$L$1&amp;"""")))"&amp;",M529))"),"")</f>
        <v/>
      </c>
      <c r="T529" s="264" t="str">
        <f t="shared" si="4"/>
        <v/>
      </c>
      <c r="U529" s="264" t="str">
        <f t="shared" si="5"/>
        <v/>
      </c>
      <c r="V529" s="264" t="str">
        <f t="shared" si="6"/>
        <v/>
      </c>
      <c r="W529" s="267" t="str">
        <f t="shared" si="8"/>
        <v/>
      </c>
      <c r="X529" s="264" t="str">
        <f t="shared" si="7"/>
        <v/>
      </c>
    </row>
    <row r="530" ht="15.75" customHeight="1">
      <c r="A530" s="258"/>
      <c r="B530" s="258"/>
      <c r="C530" s="269"/>
      <c r="D530" s="258"/>
      <c r="E530" s="258"/>
      <c r="F530" s="258"/>
      <c r="G530" s="258"/>
      <c r="H530" s="271"/>
      <c r="I530" s="258"/>
      <c r="J530" s="272"/>
      <c r="K530" s="260"/>
      <c r="L530" s="261"/>
      <c r="M530" s="262" t="str">
        <f t="shared" si="1"/>
        <v/>
      </c>
      <c r="N530" s="263" t="str">
        <f t="shared" si="2"/>
        <v/>
      </c>
      <c r="O530" s="264" t="str">
        <f t="shared" si="3"/>
        <v/>
      </c>
      <c r="P530" s="265" t="str">
        <f>IFERROR(__xludf.DUMMYFUNCTION("IF(ISBLANK(A530),"""",IFERROR(IF(H530=""Sell"",VLOOKUP(9^99,FILTER({ROW(P$2:P529),P$2:P529},D$2:D529=D530),2),(VLOOKUP(9^99,FILTER({ROW(P$2:P529),P$2:P529},D$2:D529=D530),2)*VLOOKUP(9^99,FILTER({ROW(O$2:O529),O$2:O529},D$2:D529=D530),2)-N530)/O530),J530))"),"")</f>
        <v/>
      </c>
      <c r="Q530" s="264" t="str">
        <f>IFERROR(__xludf.DUMMYFUNCTION("IFERROR(IF(F530=""Crypto"",B530,(IF(ISBLANK(D530),"""",IF(D530=""Cash"",B530,IF(GOOGLEFINANCE(D530,""CURRENCY"")=""GBX"",""GBP"",GOOGLEFINANCE(D530,""CURRENCY"")))))),B530)"),"")</f>
        <v/>
      </c>
      <c r="R530" s="263" t="str">
        <f>IFERROR(__xludf.DUMMYFUNCTION("IF(ISBLANK(A530),"""",IFERROR(IF(OR(Q530=""GPB"",Q530=""ZAR""),IF(Q530=Dashboard!$L$1,K530,(K530*GOOGLEFINANCE(""CURRENCY:""&amp;Q530&amp;""""&amp;Dashboard!$L$1&amp;""""))/100),IF(Q530=Dashboard!$L$1,K530,K530*GOOGLEFINANCE(""CURRENCY:""&amp;Q530&amp;""""&amp;Dashboard!$L$1&amp;"""")))"&amp;",K530))"),"")</f>
        <v/>
      </c>
      <c r="S530" s="266" t="str">
        <f>IFERROR(__xludf.DUMMYFUNCTION("IF(ISBLANK(A530),"""",IFERROR(IF(OR(Q530=""GPB"",Q530=""ZAR""),IF(Q530=Dashboard!$L$1,M530,(M530*GOOGLEFINANCE(""CURRENCY:""&amp;Q530&amp;""""&amp;Dashboard!$L$1&amp;""""))/100),IF(Q530=Dashboard!$L$1,M530,M530*GOOGLEFINANCE(""CURRENCY:""&amp;Q530&amp;""""&amp;Dashboard!$L$1&amp;"""")))"&amp;",M530))"),"")</f>
        <v/>
      </c>
      <c r="T530" s="264" t="str">
        <f t="shared" si="4"/>
        <v/>
      </c>
      <c r="U530" s="264" t="str">
        <f t="shared" si="5"/>
        <v/>
      </c>
      <c r="V530" s="264" t="str">
        <f t="shared" si="6"/>
        <v/>
      </c>
      <c r="W530" s="267" t="str">
        <f t="shared" si="8"/>
        <v/>
      </c>
      <c r="X530" s="264" t="str">
        <f t="shared" si="7"/>
        <v/>
      </c>
    </row>
    <row r="531" ht="15.75" customHeight="1">
      <c r="A531" s="258"/>
      <c r="B531" s="258"/>
      <c r="C531" s="269"/>
      <c r="D531" s="258"/>
      <c r="E531" s="258"/>
      <c r="F531" s="258"/>
      <c r="G531" s="258"/>
      <c r="H531" s="271"/>
      <c r="I531" s="258"/>
      <c r="J531" s="272"/>
      <c r="K531" s="260"/>
      <c r="L531" s="261"/>
      <c r="M531" s="262" t="str">
        <f t="shared" si="1"/>
        <v/>
      </c>
      <c r="N531" s="263" t="str">
        <f t="shared" si="2"/>
        <v/>
      </c>
      <c r="O531" s="264" t="str">
        <f t="shared" si="3"/>
        <v/>
      </c>
      <c r="P531" s="265" t="str">
        <f>IFERROR(__xludf.DUMMYFUNCTION("IF(ISBLANK(A531),"""",IFERROR(IF(H531=""Sell"",VLOOKUP(9^99,FILTER({ROW(P$2:P530),P$2:P530},D$2:D530=D531),2),(VLOOKUP(9^99,FILTER({ROW(P$2:P530),P$2:P530},D$2:D530=D531),2)*VLOOKUP(9^99,FILTER({ROW(O$2:O530),O$2:O530},D$2:D530=D531),2)-N531)/O531),J531))"),"")</f>
        <v/>
      </c>
      <c r="Q531" s="264" t="str">
        <f>IFERROR(__xludf.DUMMYFUNCTION("IFERROR(IF(F531=""Crypto"",B531,(IF(ISBLANK(D531),"""",IF(D531=""Cash"",B531,IF(GOOGLEFINANCE(D531,""CURRENCY"")=""GBX"",""GBP"",GOOGLEFINANCE(D531,""CURRENCY"")))))),B531)"),"")</f>
        <v/>
      </c>
      <c r="R531" s="263" t="str">
        <f>IFERROR(__xludf.DUMMYFUNCTION("IF(ISBLANK(A531),"""",IFERROR(IF(OR(Q531=""GPB"",Q531=""ZAR""),IF(Q531=Dashboard!$L$1,K531,(K531*GOOGLEFINANCE(""CURRENCY:""&amp;Q531&amp;""""&amp;Dashboard!$L$1&amp;""""))/100),IF(Q531=Dashboard!$L$1,K531,K531*GOOGLEFINANCE(""CURRENCY:""&amp;Q531&amp;""""&amp;Dashboard!$L$1&amp;"""")))"&amp;",K531))"),"")</f>
        <v/>
      </c>
      <c r="S531" s="266" t="str">
        <f>IFERROR(__xludf.DUMMYFUNCTION("IF(ISBLANK(A531),"""",IFERROR(IF(OR(Q531=""GPB"",Q531=""ZAR""),IF(Q531=Dashboard!$L$1,M531,(M531*GOOGLEFINANCE(""CURRENCY:""&amp;Q531&amp;""""&amp;Dashboard!$L$1&amp;""""))/100),IF(Q531=Dashboard!$L$1,M531,M531*GOOGLEFINANCE(""CURRENCY:""&amp;Q531&amp;""""&amp;Dashboard!$L$1&amp;"""")))"&amp;",M531))"),"")</f>
        <v/>
      </c>
      <c r="T531" s="264" t="str">
        <f t="shared" si="4"/>
        <v/>
      </c>
      <c r="U531" s="264" t="str">
        <f t="shared" si="5"/>
        <v/>
      </c>
      <c r="V531" s="264" t="str">
        <f t="shared" si="6"/>
        <v/>
      </c>
      <c r="W531" s="267" t="str">
        <f t="shared" si="8"/>
        <v/>
      </c>
      <c r="X531" s="264" t="str">
        <f t="shared" si="7"/>
        <v/>
      </c>
    </row>
    <row r="532" ht="15.75" customHeight="1">
      <c r="A532" s="258"/>
      <c r="B532" s="258"/>
      <c r="C532" s="269"/>
      <c r="D532" s="258"/>
      <c r="E532" s="258"/>
      <c r="F532" s="258"/>
      <c r="G532" s="258"/>
      <c r="H532" s="271"/>
      <c r="I532" s="258"/>
      <c r="J532" s="272"/>
      <c r="K532" s="260"/>
      <c r="L532" s="261"/>
      <c r="M532" s="262" t="str">
        <f t="shared" si="1"/>
        <v/>
      </c>
      <c r="N532" s="263" t="str">
        <f t="shared" si="2"/>
        <v/>
      </c>
      <c r="O532" s="264" t="str">
        <f t="shared" si="3"/>
        <v/>
      </c>
      <c r="P532" s="265" t="str">
        <f>IFERROR(__xludf.DUMMYFUNCTION("IF(ISBLANK(A532),"""",IFERROR(IF(H532=""Sell"",VLOOKUP(9^99,FILTER({ROW(P$2:P531),P$2:P531},D$2:D531=D532),2),(VLOOKUP(9^99,FILTER({ROW(P$2:P531),P$2:P531},D$2:D531=D532),2)*VLOOKUP(9^99,FILTER({ROW(O$2:O531),O$2:O531},D$2:D531=D532),2)-N532)/O532),J532))"),"")</f>
        <v/>
      </c>
      <c r="Q532" s="264" t="str">
        <f>IFERROR(__xludf.DUMMYFUNCTION("IFERROR(IF(F532=""Crypto"",B532,(IF(ISBLANK(D532),"""",IF(D532=""Cash"",B532,IF(GOOGLEFINANCE(D532,""CURRENCY"")=""GBX"",""GBP"",GOOGLEFINANCE(D532,""CURRENCY"")))))),B532)"),"")</f>
        <v/>
      </c>
      <c r="R532" s="263" t="str">
        <f>IFERROR(__xludf.DUMMYFUNCTION("IF(ISBLANK(A532),"""",IFERROR(IF(OR(Q532=""GPB"",Q532=""ZAR""),IF(Q532=Dashboard!$L$1,K532,(K532*GOOGLEFINANCE(""CURRENCY:""&amp;Q532&amp;""""&amp;Dashboard!$L$1&amp;""""))/100),IF(Q532=Dashboard!$L$1,K532,K532*GOOGLEFINANCE(""CURRENCY:""&amp;Q532&amp;""""&amp;Dashboard!$L$1&amp;"""")))"&amp;",K532))"),"")</f>
        <v/>
      </c>
      <c r="S532" s="266" t="str">
        <f>IFERROR(__xludf.DUMMYFUNCTION("IF(ISBLANK(A532),"""",IFERROR(IF(OR(Q532=""GPB"",Q532=""ZAR""),IF(Q532=Dashboard!$L$1,M532,(M532*GOOGLEFINANCE(""CURRENCY:""&amp;Q532&amp;""""&amp;Dashboard!$L$1&amp;""""))/100),IF(Q532=Dashboard!$L$1,M532,M532*GOOGLEFINANCE(""CURRENCY:""&amp;Q532&amp;""""&amp;Dashboard!$L$1&amp;"""")))"&amp;",M532))"),"")</f>
        <v/>
      </c>
      <c r="T532" s="264" t="str">
        <f t="shared" si="4"/>
        <v/>
      </c>
      <c r="U532" s="264" t="str">
        <f t="shared" si="5"/>
        <v/>
      </c>
      <c r="V532" s="264" t="str">
        <f t="shared" si="6"/>
        <v/>
      </c>
      <c r="W532" s="267" t="str">
        <f t="shared" si="8"/>
        <v/>
      </c>
      <c r="X532" s="264" t="str">
        <f t="shared" si="7"/>
        <v/>
      </c>
    </row>
    <row r="533" ht="15.75" customHeight="1">
      <c r="A533" s="258"/>
      <c r="B533" s="258"/>
      <c r="C533" s="269"/>
      <c r="D533" s="258"/>
      <c r="E533" s="258"/>
      <c r="F533" s="258"/>
      <c r="G533" s="258"/>
      <c r="H533" s="271"/>
      <c r="I533" s="258"/>
      <c r="J533" s="272"/>
      <c r="K533" s="260"/>
      <c r="L533" s="261"/>
      <c r="M533" s="262" t="str">
        <f t="shared" si="1"/>
        <v/>
      </c>
      <c r="N533" s="263" t="str">
        <f t="shared" si="2"/>
        <v/>
      </c>
      <c r="O533" s="264" t="str">
        <f t="shared" si="3"/>
        <v/>
      </c>
      <c r="P533" s="265" t="str">
        <f>IFERROR(__xludf.DUMMYFUNCTION("IF(ISBLANK(A533),"""",IFERROR(IF(H533=""Sell"",VLOOKUP(9^99,FILTER({ROW(P$2:P532),P$2:P532},D$2:D532=D533),2),(VLOOKUP(9^99,FILTER({ROW(P$2:P532),P$2:P532},D$2:D532=D533),2)*VLOOKUP(9^99,FILTER({ROW(O$2:O532),O$2:O532},D$2:D532=D533),2)-N533)/O533),J533))"),"")</f>
        <v/>
      </c>
      <c r="Q533" s="264" t="str">
        <f>IFERROR(__xludf.DUMMYFUNCTION("IFERROR(IF(F533=""Crypto"",B533,(IF(ISBLANK(D533),"""",IF(D533=""Cash"",B533,IF(GOOGLEFINANCE(D533,""CURRENCY"")=""GBX"",""GBP"",GOOGLEFINANCE(D533,""CURRENCY"")))))),B533)"),"")</f>
        <v/>
      </c>
      <c r="R533" s="263" t="str">
        <f>IFERROR(__xludf.DUMMYFUNCTION("IF(ISBLANK(A533),"""",IFERROR(IF(OR(Q533=""GPB"",Q533=""ZAR""),IF(Q533=Dashboard!$L$1,K533,(K533*GOOGLEFINANCE(""CURRENCY:""&amp;Q533&amp;""""&amp;Dashboard!$L$1&amp;""""))/100),IF(Q533=Dashboard!$L$1,K533,K533*GOOGLEFINANCE(""CURRENCY:""&amp;Q533&amp;""""&amp;Dashboard!$L$1&amp;"""")))"&amp;",K533))"),"")</f>
        <v/>
      </c>
      <c r="S533" s="266" t="str">
        <f>IFERROR(__xludf.DUMMYFUNCTION("IF(ISBLANK(A533),"""",IFERROR(IF(OR(Q533=""GPB"",Q533=""ZAR""),IF(Q533=Dashboard!$L$1,M533,(M533*GOOGLEFINANCE(""CURRENCY:""&amp;Q533&amp;""""&amp;Dashboard!$L$1&amp;""""))/100),IF(Q533=Dashboard!$L$1,M533,M533*GOOGLEFINANCE(""CURRENCY:""&amp;Q533&amp;""""&amp;Dashboard!$L$1&amp;"""")))"&amp;",M533))"),"")</f>
        <v/>
      </c>
      <c r="T533" s="264" t="str">
        <f t="shared" si="4"/>
        <v/>
      </c>
      <c r="U533" s="264" t="str">
        <f t="shared" si="5"/>
        <v/>
      </c>
      <c r="V533" s="264" t="str">
        <f t="shared" si="6"/>
        <v/>
      </c>
      <c r="W533" s="267" t="str">
        <f t="shared" si="8"/>
        <v/>
      </c>
      <c r="X533" s="264" t="str">
        <f t="shared" si="7"/>
        <v/>
      </c>
    </row>
    <row r="534" ht="15.75" customHeight="1">
      <c r="A534" s="258"/>
      <c r="B534" s="258"/>
      <c r="C534" s="269"/>
      <c r="D534" s="258"/>
      <c r="E534" s="258"/>
      <c r="F534" s="258"/>
      <c r="G534" s="258"/>
      <c r="H534" s="271"/>
      <c r="I534" s="258"/>
      <c r="J534" s="272"/>
      <c r="K534" s="260"/>
      <c r="L534" s="261"/>
      <c r="M534" s="262" t="str">
        <f t="shared" si="1"/>
        <v/>
      </c>
      <c r="N534" s="263" t="str">
        <f t="shared" si="2"/>
        <v/>
      </c>
      <c r="O534" s="264" t="str">
        <f t="shared" si="3"/>
        <v/>
      </c>
      <c r="P534" s="265" t="str">
        <f>IFERROR(__xludf.DUMMYFUNCTION("IF(ISBLANK(A534),"""",IFERROR(IF(H534=""Sell"",VLOOKUP(9^99,FILTER({ROW(P$2:P533),P$2:P533},D$2:D533=D534),2),(VLOOKUP(9^99,FILTER({ROW(P$2:P533),P$2:P533},D$2:D533=D534),2)*VLOOKUP(9^99,FILTER({ROW(O$2:O533),O$2:O533},D$2:D533=D534),2)-N534)/O534),J534))"),"")</f>
        <v/>
      </c>
      <c r="Q534" s="264" t="str">
        <f>IFERROR(__xludf.DUMMYFUNCTION("IFERROR(IF(F534=""Crypto"",B534,(IF(ISBLANK(D534),"""",IF(D534=""Cash"",B534,IF(GOOGLEFINANCE(D534,""CURRENCY"")=""GBX"",""GBP"",GOOGLEFINANCE(D534,""CURRENCY"")))))),B534)"),"")</f>
        <v/>
      </c>
      <c r="R534" s="263" t="str">
        <f>IFERROR(__xludf.DUMMYFUNCTION("IF(ISBLANK(A534),"""",IFERROR(IF(OR(Q534=""GPB"",Q534=""ZAR""),IF(Q534=Dashboard!$L$1,K534,(K534*GOOGLEFINANCE(""CURRENCY:""&amp;Q534&amp;""""&amp;Dashboard!$L$1&amp;""""))/100),IF(Q534=Dashboard!$L$1,K534,K534*GOOGLEFINANCE(""CURRENCY:""&amp;Q534&amp;""""&amp;Dashboard!$L$1&amp;"""")))"&amp;",K534))"),"")</f>
        <v/>
      </c>
      <c r="S534" s="266" t="str">
        <f>IFERROR(__xludf.DUMMYFUNCTION("IF(ISBLANK(A534),"""",IFERROR(IF(OR(Q534=""GPB"",Q534=""ZAR""),IF(Q534=Dashboard!$L$1,M534,(M534*GOOGLEFINANCE(""CURRENCY:""&amp;Q534&amp;""""&amp;Dashboard!$L$1&amp;""""))/100),IF(Q534=Dashboard!$L$1,M534,M534*GOOGLEFINANCE(""CURRENCY:""&amp;Q534&amp;""""&amp;Dashboard!$L$1&amp;"""")))"&amp;",M534))"),"")</f>
        <v/>
      </c>
      <c r="T534" s="264" t="str">
        <f t="shared" si="4"/>
        <v/>
      </c>
      <c r="U534" s="264" t="str">
        <f t="shared" si="5"/>
        <v/>
      </c>
      <c r="V534" s="264" t="str">
        <f t="shared" si="6"/>
        <v/>
      </c>
      <c r="W534" s="267" t="str">
        <f t="shared" si="8"/>
        <v/>
      </c>
      <c r="X534" s="264" t="str">
        <f t="shared" si="7"/>
        <v/>
      </c>
    </row>
    <row r="535" ht="15.75" customHeight="1">
      <c r="A535" s="258"/>
      <c r="B535" s="258"/>
      <c r="C535" s="269"/>
      <c r="D535" s="258"/>
      <c r="E535" s="258"/>
      <c r="F535" s="258"/>
      <c r="G535" s="258"/>
      <c r="H535" s="271"/>
      <c r="I535" s="258"/>
      <c r="J535" s="272"/>
      <c r="K535" s="260"/>
      <c r="L535" s="261"/>
      <c r="M535" s="262" t="str">
        <f t="shared" si="1"/>
        <v/>
      </c>
      <c r="N535" s="263" t="str">
        <f t="shared" si="2"/>
        <v/>
      </c>
      <c r="O535" s="264" t="str">
        <f t="shared" si="3"/>
        <v/>
      </c>
      <c r="P535" s="265" t="str">
        <f>IFERROR(__xludf.DUMMYFUNCTION("IF(ISBLANK(A535),"""",IFERROR(IF(H535=""Sell"",VLOOKUP(9^99,FILTER({ROW(P$2:P534),P$2:P534},D$2:D534=D535),2),(VLOOKUP(9^99,FILTER({ROW(P$2:P534),P$2:P534},D$2:D534=D535),2)*VLOOKUP(9^99,FILTER({ROW(O$2:O534),O$2:O534},D$2:D534=D535),2)-N535)/O535),J535))"),"")</f>
        <v/>
      </c>
      <c r="Q535" s="264" t="str">
        <f>IFERROR(__xludf.DUMMYFUNCTION("IFERROR(IF(F535=""Crypto"",B535,(IF(ISBLANK(D535),"""",IF(D535=""Cash"",B535,IF(GOOGLEFINANCE(D535,""CURRENCY"")=""GBX"",""GBP"",GOOGLEFINANCE(D535,""CURRENCY"")))))),B535)"),"")</f>
        <v/>
      </c>
      <c r="R535" s="263" t="str">
        <f>IFERROR(__xludf.DUMMYFUNCTION("IF(ISBLANK(A535),"""",IFERROR(IF(OR(Q535=""GPB"",Q535=""ZAR""),IF(Q535=Dashboard!$L$1,K535,(K535*GOOGLEFINANCE(""CURRENCY:""&amp;Q535&amp;""""&amp;Dashboard!$L$1&amp;""""))/100),IF(Q535=Dashboard!$L$1,K535,K535*GOOGLEFINANCE(""CURRENCY:""&amp;Q535&amp;""""&amp;Dashboard!$L$1&amp;"""")))"&amp;",K535))"),"")</f>
        <v/>
      </c>
      <c r="S535" s="266" t="str">
        <f>IFERROR(__xludf.DUMMYFUNCTION("IF(ISBLANK(A535),"""",IFERROR(IF(OR(Q535=""GPB"",Q535=""ZAR""),IF(Q535=Dashboard!$L$1,M535,(M535*GOOGLEFINANCE(""CURRENCY:""&amp;Q535&amp;""""&amp;Dashboard!$L$1&amp;""""))/100),IF(Q535=Dashboard!$L$1,M535,M535*GOOGLEFINANCE(""CURRENCY:""&amp;Q535&amp;""""&amp;Dashboard!$L$1&amp;"""")))"&amp;",M535))"),"")</f>
        <v/>
      </c>
      <c r="T535" s="264" t="str">
        <f t="shared" si="4"/>
        <v/>
      </c>
      <c r="U535" s="264" t="str">
        <f t="shared" si="5"/>
        <v/>
      </c>
      <c r="V535" s="264" t="str">
        <f t="shared" si="6"/>
        <v/>
      </c>
      <c r="W535" s="267" t="str">
        <f t="shared" si="8"/>
        <v/>
      </c>
      <c r="X535" s="264" t="str">
        <f t="shared" si="7"/>
        <v/>
      </c>
    </row>
    <row r="536" ht="15.75" customHeight="1">
      <c r="A536" s="258"/>
      <c r="B536" s="258"/>
      <c r="C536" s="269"/>
      <c r="D536" s="258"/>
      <c r="E536" s="258"/>
      <c r="F536" s="258"/>
      <c r="G536" s="258"/>
      <c r="H536" s="271"/>
      <c r="I536" s="258"/>
      <c r="J536" s="272"/>
      <c r="K536" s="260"/>
      <c r="L536" s="261"/>
      <c r="M536" s="262" t="str">
        <f t="shared" si="1"/>
        <v/>
      </c>
      <c r="N536" s="263" t="str">
        <f t="shared" si="2"/>
        <v/>
      </c>
      <c r="O536" s="264" t="str">
        <f t="shared" si="3"/>
        <v/>
      </c>
      <c r="P536" s="265" t="str">
        <f>IFERROR(__xludf.DUMMYFUNCTION("IF(ISBLANK(A536),"""",IFERROR(IF(H536=""Sell"",VLOOKUP(9^99,FILTER({ROW(P$2:P535),P$2:P535},D$2:D535=D536),2),(VLOOKUP(9^99,FILTER({ROW(P$2:P535),P$2:P535},D$2:D535=D536),2)*VLOOKUP(9^99,FILTER({ROW(O$2:O535),O$2:O535},D$2:D535=D536),2)-N536)/O536),J536))"),"")</f>
        <v/>
      </c>
      <c r="Q536" s="264" t="str">
        <f>IFERROR(__xludf.DUMMYFUNCTION("IFERROR(IF(F536=""Crypto"",B536,(IF(ISBLANK(D536),"""",IF(D536=""Cash"",B536,IF(GOOGLEFINANCE(D536,""CURRENCY"")=""GBX"",""GBP"",GOOGLEFINANCE(D536,""CURRENCY"")))))),B536)"),"")</f>
        <v/>
      </c>
      <c r="R536" s="263" t="str">
        <f>IFERROR(__xludf.DUMMYFUNCTION("IF(ISBLANK(A536),"""",IFERROR(IF(OR(Q536=""GPB"",Q536=""ZAR""),IF(Q536=Dashboard!$L$1,K536,(K536*GOOGLEFINANCE(""CURRENCY:""&amp;Q536&amp;""""&amp;Dashboard!$L$1&amp;""""))/100),IF(Q536=Dashboard!$L$1,K536,K536*GOOGLEFINANCE(""CURRENCY:""&amp;Q536&amp;""""&amp;Dashboard!$L$1&amp;"""")))"&amp;",K536))"),"")</f>
        <v/>
      </c>
      <c r="S536" s="266" t="str">
        <f>IFERROR(__xludf.DUMMYFUNCTION("IF(ISBLANK(A536),"""",IFERROR(IF(OR(Q536=""GPB"",Q536=""ZAR""),IF(Q536=Dashboard!$L$1,M536,(M536*GOOGLEFINANCE(""CURRENCY:""&amp;Q536&amp;""""&amp;Dashboard!$L$1&amp;""""))/100),IF(Q536=Dashboard!$L$1,M536,M536*GOOGLEFINANCE(""CURRENCY:""&amp;Q536&amp;""""&amp;Dashboard!$L$1&amp;"""")))"&amp;",M536))"),"")</f>
        <v/>
      </c>
      <c r="T536" s="264" t="str">
        <f t="shared" si="4"/>
        <v/>
      </c>
      <c r="U536" s="264" t="str">
        <f t="shared" si="5"/>
        <v/>
      </c>
      <c r="V536" s="264" t="str">
        <f t="shared" si="6"/>
        <v/>
      </c>
      <c r="W536" s="267" t="str">
        <f t="shared" si="8"/>
        <v/>
      </c>
      <c r="X536" s="264" t="str">
        <f t="shared" si="7"/>
        <v/>
      </c>
    </row>
    <row r="537" ht="15.75" customHeight="1">
      <c r="A537" s="258"/>
      <c r="B537" s="258"/>
      <c r="C537" s="269"/>
      <c r="D537" s="258"/>
      <c r="E537" s="258"/>
      <c r="F537" s="258"/>
      <c r="G537" s="258"/>
      <c r="H537" s="271"/>
      <c r="I537" s="258"/>
      <c r="J537" s="272"/>
      <c r="K537" s="260"/>
      <c r="L537" s="261"/>
      <c r="M537" s="262" t="str">
        <f t="shared" si="1"/>
        <v/>
      </c>
      <c r="N537" s="263" t="str">
        <f t="shared" si="2"/>
        <v/>
      </c>
      <c r="O537" s="264" t="str">
        <f t="shared" si="3"/>
        <v/>
      </c>
      <c r="P537" s="265" t="str">
        <f>IFERROR(__xludf.DUMMYFUNCTION("IF(ISBLANK(A537),"""",IFERROR(IF(H537=""Sell"",VLOOKUP(9^99,FILTER({ROW(P$2:P536),P$2:P536},D$2:D536=D537),2),(VLOOKUP(9^99,FILTER({ROW(P$2:P536),P$2:P536},D$2:D536=D537),2)*VLOOKUP(9^99,FILTER({ROW(O$2:O536),O$2:O536},D$2:D536=D537),2)-N537)/O537),J537))"),"")</f>
        <v/>
      </c>
      <c r="Q537" s="264" t="str">
        <f>IFERROR(__xludf.DUMMYFUNCTION("IFERROR(IF(F537=""Crypto"",B537,(IF(ISBLANK(D537),"""",IF(D537=""Cash"",B537,IF(GOOGLEFINANCE(D537,""CURRENCY"")=""GBX"",""GBP"",GOOGLEFINANCE(D537,""CURRENCY"")))))),B537)"),"")</f>
        <v/>
      </c>
      <c r="R537" s="263" t="str">
        <f>IFERROR(__xludf.DUMMYFUNCTION("IF(ISBLANK(A537),"""",IFERROR(IF(OR(Q537=""GPB"",Q537=""ZAR""),IF(Q537=Dashboard!$L$1,K537,(K537*GOOGLEFINANCE(""CURRENCY:""&amp;Q537&amp;""""&amp;Dashboard!$L$1&amp;""""))/100),IF(Q537=Dashboard!$L$1,K537,K537*GOOGLEFINANCE(""CURRENCY:""&amp;Q537&amp;""""&amp;Dashboard!$L$1&amp;"""")))"&amp;",K537))"),"")</f>
        <v/>
      </c>
      <c r="S537" s="266" t="str">
        <f>IFERROR(__xludf.DUMMYFUNCTION("IF(ISBLANK(A537),"""",IFERROR(IF(OR(Q537=""GPB"",Q537=""ZAR""),IF(Q537=Dashboard!$L$1,M537,(M537*GOOGLEFINANCE(""CURRENCY:""&amp;Q537&amp;""""&amp;Dashboard!$L$1&amp;""""))/100),IF(Q537=Dashboard!$L$1,M537,M537*GOOGLEFINANCE(""CURRENCY:""&amp;Q537&amp;""""&amp;Dashboard!$L$1&amp;"""")))"&amp;",M537))"),"")</f>
        <v/>
      </c>
      <c r="T537" s="264" t="str">
        <f t="shared" si="4"/>
        <v/>
      </c>
      <c r="U537" s="264" t="str">
        <f t="shared" si="5"/>
        <v/>
      </c>
      <c r="V537" s="264" t="str">
        <f t="shared" si="6"/>
        <v/>
      </c>
      <c r="W537" s="267" t="str">
        <f t="shared" si="8"/>
        <v/>
      </c>
      <c r="X537" s="264" t="str">
        <f t="shared" si="7"/>
        <v/>
      </c>
    </row>
    <row r="538" ht="15.75" customHeight="1">
      <c r="A538" s="258"/>
      <c r="B538" s="258"/>
      <c r="C538" s="269"/>
      <c r="D538" s="258"/>
      <c r="E538" s="258"/>
      <c r="F538" s="258"/>
      <c r="G538" s="258"/>
      <c r="H538" s="271"/>
      <c r="I538" s="258"/>
      <c r="J538" s="272"/>
      <c r="K538" s="260"/>
      <c r="L538" s="261"/>
      <c r="M538" s="262" t="str">
        <f t="shared" si="1"/>
        <v/>
      </c>
      <c r="N538" s="263" t="str">
        <f t="shared" si="2"/>
        <v/>
      </c>
      <c r="O538" s="264" t="str">
        <f t="shared" si="3"/>
        <v/>
      </c>
      <c r="P538" s="265" t="str">
        <f>IFERROR(__xludf.DUMMYFUNCTION("IF(ISBLANK(A538),"""",IFERROR(IF(H538=""Sell"",VLOOKUP(9^99,FILTER({ROW(P$2:P537),P$2:P537},D$2:D537=D538),2),(VLOOKUP(9^99,FILTER({ROW(P$2:P537),P$2:P537},D$2:D537=D538),2)*VLOOKUP(9^99,FILTER({ROW(O$2:O537),O$2:O537},D$2:D537=D538),2)-N538)/O538),J538))"),"")</f>
        <v/>
      </c>
      <c r="Q538" s="264" t="str">
        <f>IFERROR(__xludf.DUMMYFUNCTION("IFERROR(IF(F538=""Crypto"",B538,(IF(ISBLANK(D538),"""",IF(D538=""Cash"",B538,IF(GOOGLEFINANCE(D538,""CURRENCY"")=""GBX"",""GBP"",GOOGLEFINANCE(D538,""CURRENCY"")))))),B538)"),"")</f>
        <v/>
      </c>
      <c r="R538" s="263" t="str">
        <f>IFERROR(__xludf.DUMMYFUNCTION("IF(ISBLANK(A538),"""",IFERROR(IF(OR(Q538=""GPB"",Q538=""ZAR""),IF(Q538=Dashboard!$L$1,K538,(K538*GOOGLEFINANCE(""CURRENCY:""&amp;Q538&amp;""""&amp;Dashboard!$L$1&amp;""""))/100),IF(Q538=Dashboard!$L$1,K538,K538*GOOGLEFINANCE(""CURRENCY:""&amp;Q538&amp;""""&amp;Dashboard!$L$1&amp;"""")))"&amp;",K538))"),"")</f>
        <v/>
      </c>
      <c r="S538" s="266" t="str">
        <f>IFERROR(__xludf.DUMMYFUNCTION("IF(ISBLANK(A538),"""",IFERROR(IF(OR(Q538=""GPB"",Q538=""ZAR""),IF(Q538=Dashboard!$L$1,M538,(M538*GOOGLEFINANCE(""CURRENCY:""&amp;Q538&amp;""""&amp;Dashboard!$L$1&amp;""""))/100),IF(Q538=Dashboard!$L$1,M538,M538*GOOGLEFINANCE(""CURRENCY:""&amp;Q538&amp;""""&amp;Dashboard!$L$1&amp;"""")))"&amp;",M538))"),"")</f>
        <v/>
      </c>
      <c r="T538" s="264" t="str">
        <f t="shared" si="4"/>
        <v/>
      </c>
      <c r="U538" s="264" t="str">
        <f t="shared" si="5"/>
        <v/>
      </c>
      <c r="V538" s="264" t="str">
        <f t="shared" si="6"/>
        <v/>
      </c>
      <c r="W538" s="267" t="str">
        <f t="shared" si="8"/>
        <v/>
      </c>
      <c r="X538" s="264" t="str">
        <f t="shared" si="7"/>
        <v/>
      </c>
    </row>
    <row r="539" ht="15.75" customHeight="1">
      <c r="A539" s="258"/>
      <c r="B539" s="258"/>
      <c r="C539" s="269"/>
      <c r="D539" s="258"/>
      <c r="E539" s="258"/>
      <c r="F539" s="258"/>
      <c r="G539" s="258"/>
      <c r="H539" s="271"/>
      <c r="I539" s="258"/>
      <c r="J539" s="272"/>
      <c r="K539" s="260"/>
      <c r="L539" s="261"/>
      <c r="M539" s="262" t="str">
        <f t="shared" si="1"/>
        <v/>
      </c>
      <c r="N539" s="263" t="str">
        <f t="shared" si="2"/>
        <v/>
      </c>
      <c r="O539" s="264" t="str">
        <f t="shared" si="3"/>
        <v/>
      </c>
      <c r="P539" s="265" t="str">
        <f>IFERROR(__xludf.DUMMYFUNCTION("IF(ISBLANK(A539),"""",IFERROR(IF(H539=""Sell"",VLOOKUP(9^99,FILTER({ROW(P$2:P538),P$2:P538},D$2:D538=D539),2),(VLOOKUP(9^99,FILTER({ROW(P$2:P538),P$2:P538},D$2:D538=D539),2)*VLOOKUP(9^99,FILTER({ROW(O$2:O538),O$2:O538},D$2:D538=D539),2)-N539)/O539),J539))"),"")</f>
        <v/>
      </c>
      <c r="Q539" s="264" t="str">
        <f>IFERROR(__xludf.DUMMYFUNCTION("IFERROR(IF(F539=""Crypto"",B539,(IF(ISBLANK(D539),"""",IF(D539=""Cash"",B539,IF(GOOGLEFINANCE(D539,""CURRENCY"")=""GBX"",""GBP"",GOOGLEFINANCE(D539,""CURRENCY"")))))),B539)"),"")</f>
        <v/>
      </c>
      <c r="R539" s="263" t="str">
        <f>IFERROR(__xludf.DUMMYFUNCTION("IF(ISBLANK(A539),"""",IFERROR(IF(OR(Q539=""GPB"",Q539=""ZAR""),IF(Q539=Dashboard!$L$1,K539,(K539*GOOGLEFINANCE(""CURRENCY:""&amp;Q539&amp;""""&amp;Dashboard!$L$1&amp;""""))/100),IF(Q539=Dashboard!$L$1,K539,K539*GOOGLEFINANCE(""CURRENCY:""&amp;Q539&amp;""""&amp;Dashboard!$L$1&amp;"""")))"&amp;",K539))"),"")</f>
        <v/>
      </c>
      <c r="S539" s="266" t="str">
        <f>IFERROR(__xludf.DUMMYFUNCTION("IF(ISBLANK(A539),"""",IFERROR(IF(OR(Q539=""GPB"",Q539=""ZAR""),IF(Q539=Dashboard!$L$1,M539,(M539*GOOGLEFINANCE(""CURRENCY:""&amp;Q539&amp;""""&amp;Dashboard!$L$1&amp;""""))/100),IF(Q539=Dashboard!$L$1,M539,M539*GOOGLEFINANCE(""CURRENCY:""&amp;Q539&amp;""""&amp;Dashboard!$L$1&amp;"""")))"&amp;",M539))"),"")</f>
        <v/>
      </c>
      <c r="T539" s="264" t="str">
        <f t="shared" si="4"/>
        <v/>
      </c>
      <c r="U539" s="264" t="str">
        <f t="shared" si="5"/>
        <v/>
      </c>
      <c r="V539" s="264" t="str">
        <f t="shared" si="6"/>
        <v/>
      </c>
      <c r="W539" s="267" t="str">
        <f t="shared" si="8"/>
        <v/>
      </c>
      <c r="X539" s="264" t="str">
        <f t="shared" si="7"/>
        <v/>
      </c>
    </row>
    <row r="540" ht="15.75" customHeight="1">
      <c r="A540" s="258"/>
      <c r="B540" s="258"/>
      <c r="C540" s="269"/>
      <c r="D540" s="258"/>
      <c r="E540" s="258"/>
      <c r="F540" s="258"/>
      <c r="G540" s="258"/>
      <c r="H540" s="271"/>
      <c r="I540" s="258"/>
      <c r="J540" s="272"/>
      <c r="K540" s="260"/>
      <c r="L540" s="261"/>
      <c r="M540" s="262" t="str">
        <f t="shared" si="1"/>
        <v/>
      </c>
      <c r="N540" s="263" t="str">
        <f t="shared" si="2"/>
        <v/>
      </c>
      <c r="O540" s="264" t="str">
        <f t="shared" si="3"/>
        <v/>
      </c>
      <c r="P540" s="265" t="str">
        <f>IFERROR(__xludf.DUMMYFUNCTION("IF(ISBLANK(A540),"""",IFERROR(IF(H540=""Sell"",VLOOKUP(9^99,FILTER({ROW(P$2:P539),P$2:P539},D$2:D539=D540),2),(VLOOKUP(9^99,FILTER({ROW(P$2:P539),P$2:P539},D$2:D539=D540),2)*VLOOKUP(9^99,FILTER({ROW(O$2:O539),O$2:O539},D$2:D539=D540),2)-N540)/O540),J540))"),"")</f>
        <v/>
      </c>
      <c r="Q540" s="264" t="str">
        <f>IFERROR(__xludf.DUMMYFUNCTION("IFERROR(IF(F540=""Crypto"",B540,(IF(ISBLANK(D540),"""",IF(D540=""Cash"",B540,IF(GOOGLEFINANCE(D540,""CURRENCY"")=""GBX"",""GBP"",GOOGLEFINANCE(D540,""CURRENCY"")))))),B540)"),"")</f>
        <v/>
      </c>
      <c r="R540" s="263" t="str">
        <f>IFERROR(__xludf.DUMMYFUNCTION("IF(ISBLANK(A540),"""",IFERROR(IF(OR(Q540=""GPB"",Q540=""ZAR""),IF(Q540=Dashboard!$L$1,K540,(K540*GOOGLEFINANCE(""CURRENCY:""&amp;Q540&amp;""""&amp;Dashboard!$L$1&amp;""""))/100),IF(Q540=Dashboard!$L$1,K540,K540*GOOGLEFINANCE(""CURRENCY:""&amp;Q540&amp;""""&amp;Dashboard!$L$1&amp;"""")))"&amp;",K540))"),"")</f>
        <v/>
      </c>
      <c r="S540" s="266" t="str">
        <f>IFERROR(__xludf.DUMMYFUNCTION("IF(ISBLANK(A540),"""",IFERROR(IF(OR(Q540=""GPB"",Q540=""ZAR""),IF(Q540=Dashboard!$L$1,M540,(M540*GOOGLEFINANCE(""CURRENCY:""&amp;Q540&amp;""""&amp;Dashboard!$L$1&amp;""""))/100),IF(Q540=Dashboard!$L$1,M540,M540*GOOGLEFINANCE(""CURRENCY:""&amp;Q540&amp;""""&amp;Dashboard!$L$1&amp;"""")))"&amp;",M540))"),"")</f>
        <v/>
      </c>
      <c r="T540" s="264" t="str">
        <f t="shared" si="4"/>
        <v/>
      </c>
      <c r="U540" s="264" t="str">
        <f t="shared" si="5"/>
        <v/>
      </c>
      <c r="V540" s="264" t="str">
        <f t="shared" si="6"/>
        <v/>
      </c>
      <c r="W540" s="267" t="str">
        <f t="shared" si="8"/>
        <v/>
      </c>
      <c r="X540" s="264" t="str">
        <f t="shared" si="7"/>
        <v/>
      </c>
    </row>
    <row r="541" ht="15.75" customHeight="1">
      <c r="A541" s="258"/>
      <c r="B541" s="258"/>
      <c r="C541" s="269"/>
      <c r="D541" s="258"/>
      <c r="E541" s="258"/>
      <c r="F541" s="258"/>
      <c r="G541" s="258"/>
      <c r="H541" s="271"/>
      <c r="I541" s="258"/>
      <c r="J541" s="272"/>
      <c r="K541" s="260"/>
      <c r="L541" s="261"/>
      <c r="M541" s="262" t="str">
        <f t="shared" si="1"/>
        <v/>
      </c>
      <c r="N541" s="263" t="str">
        <f t="shared" si="2"/>
        <v/>
      </c>
      <c r="O541" s="264" t="str">
        <f t="shared" si="3"/>
        <v/>
      </c>
      <c r="P541" s="265" t="str">
        <f>IFERROR(__xludf.DUMMYFUNCTION("IF(ISBLANK(A541),"""",IFERROR(IF(H541=""Sell"",VLOOKUP(9^99,FILTER({ROW(P$2:P540),P$2:P540},D$2:D540=D541),2),(VLOOKUP(9^99,FILTER({ROW(P$2:P540),P$2:P540},D$2:D540=D541),2)*VLOOKUP(9^99,FILTER({ROW(O$2:O540),O$2:O540},D$2:D540=D541),2)-N541)/O541),J541))"),"")</f>
        <v/>
      </c>
      <c r="Q541" s="264" t="str">
        <f>IFERROR(__xludf.DUMMYFUNCTION("IFERROR(IF(F541=""Crypto"",B541,(IF(ISBLANK(D541),"""",IF(D541=""Cash"",B541,IF(GOOGLEFINANCE(D541,""CURRENCY"")=""GBX"",""GBP"",GOOGLEFINANCE(D541,""CURRENCY"")))))),B541)"),"")</f>
        <v/>
      </c>
      <c r="R541" s="263" t="str">
        <f>IFERROR(__xludf.DUMMYFUNCTION("IF(ISBLANK(A541),"""",IFERROR(IF(OR(Q541=""GPB"",Q541=""ZAR""),IF(Q541=Dashboard!$L$1,K541,(K541*GOOGLEFINANCE(""CURRENCY:""&amp;Q541&amp;""""&amp;Dashboard!$L$1&amp;""""))/100),IF(Q541=Dashboard!$L$1,K541,K541*GOOGLEFINANCE(""CURRENCY:""&amp;Q541&amp;""""&amp;Dashboard!$L$1&amp;"""")))"&amp;",K541))"),"")</f>
        <v/>
      </c>
      <c r="S541" s="266" t="str">
        <f>IFERROR(__xludf.DUMMYFUNCTION("IF(ISBLANK(A541),"""",IFERROR(IF(OR(Q541=""GPB"",Q541=""ZAR""),IF(Q541=Dashboard!$L$1,M541,(M541*GOOGLEFINANCE(""CURRENCY:""&amp;Q541&amp;""""&amp;Dashboard!$L$1&amp;""""))/100),IF(Q541=Dashboard!$L$1,M541,M541*GOOGLEFINANCE(""CURRENCY:""&amp;Q541&amp;""""&amp;Dashboard!$L$1&amp;"""")))"&amp;",M541))"),"")</f>
        <v/>
      </c>
      <c r="T541" s="264" t="str">
        <f t="shared" si="4"/>
        <v/>
      </c>
      <c r="U541" s="264" t="str">
        <f t="shared" si="5"/>
        <v/>
      </c>
      <c r="V541" s="264" t="str">
        <f t="shared" si="6"/>
        <v/>
      </c>
      <c r="W541" s="267" t="str">
        <f t="shared" si="8"/>
        <v/>
      </c>
      <c r="X541" s="264" t="str">
        <f t="shared" si="7"/>
        <v/>
      </c>
    </row>
    <row r="542" ht="15.75" customHeight="1">
      <c r="A542" s="258"/>
      <c r="B542" s="258"/>
      <c r="C542" s="269"/>
      <c r="D542" s="258"/>
      <c r="E542" s="258"/>
      <c r="F542" s="258"/>
      <c r="G542" s="258"/>
      <c r="H542" s="271"/>
      <c r="I542" s="258"/>
      <c r="J542" s="272"/>
      <c r="K542" s="260"/>
      <c r="L542" s="261"/>
      <c r="M542" s="262" t="str">
        <f t="shared" si="1"/>
        <v/>
      </c>
      <c r="N542" s="263" t="str">
        <f t="shared" si="2"/>
        <v/>
      </c>
      <c r="O542" s="264" t="str">
        <f t="shared" si="3"/>
        <v/>
      </c>
      <c r="P542" s="265" t="str">
        <f>IFERROR(__xludf.DUMMYFUNCTION("IF(ISBLANK(A542),"""",IFERROR(IF(H542=""Sell"",VLOOKUP(9^99,FILTER({ROW(P$2:P541),P$2:P541},D$2:D541=D542),2),(VLOOKUP(9^99,FILTER({ROW(P$2:P541),P$2:P541},D$2:D541=D542),2)*VLOOKUP(9^99,FILTER({ROW(O$2:O541),O$2:O541},D$2:D541=D542),2)-N542)/O542),J542))"),"")</f>
        <v/>
      </c>
      <c r="Q542" s="264" t="str">
        <f>IFERROR(__xludf.DUMMYFUNCTION("IFERROR(IF(F542=""Crypto"",B542,(IF(ISBLANK(D542),"""",IF(D542=""Cash"",B542,IF(GOOGLEFINANCE(D542,""CURRENCY"")=""GBX"",""GBP"",GOOGLEFINANCE(D542,""CURRENCY"")))))),B542)"),"")</f>
        <v/>
      </c>
      <c r="R542" s="263" t="str">
        <f>IFERROR(__xludf.DUMMYFUNCTION("IF(ISBLANK(A542),"""",IFERROR(IF(OR(Q542=""GPB"",Q542=""ZAR""),IF(Q542=Dashboard!$L$1,K542,(K542*GOOGLEFINANCE(""CURRENCY:""&amp;Q542&amp;""""&amp;Dashboard!$L$1&amp;""""))/100),IF(Q542=Dashboard!$L$1,K542,K542*GOOGLEFINANCE(""CURRENCY:""&amp;Q542&amp;""""&amp;Dashboard!$L$1&amp;"""")))"&amp;",K542))"),"")</f>
        <v/>
      </c>
      <c r="S542" s="266" t="str">
        <f>IFERROR(__xludf.DUMMYFUNCTION("IF(ISBLANK(A542),"""",IFERROR(IF(OR(Q542=""GPB"",Q542=""ZAR""),IF(Q542=Dashboard!$L$1,M542,(M542*GOOGLEFINANCE(""CURRENCY:""&amp;Q542&amp;""""&amp;Dashboard!$L$1&amp;""""))/100),IF(Q542=Dashboard!$L$1,M542,M542*GOOGLEFINANCE(""CURRENCY:""&amp;Q542&amp;""""&amp;Dashboard!$L$1&amp;"""")))"&amp;",M542))"),"")</f>
        <v/>
      </c>
      <c r="T542" s="264" t="str">
        <f t="shared" si="4"/>
        <v/>
      </c>
      <c r="U542" s="264" t="str">
        <f t="shared" si="5"/>
        <v/>
      </c>
      <c r="V542" s="264" t="str">
        <f t="shared" si="6"/>
        <v/>
      </c>
      <c r="W542" s="267" t="str">
        <f t="shared" si="8"/>
        <v/>
      </c>
      <c r="X542" s="264" t="str">
        <f t="shared" si="7"/>
        <v/>
      </c>
    </row>
    <row r="543" ht="15.75" customHeight="1">
      <c r="A543" s="258"/>
      <c r="B543" s="258"/>
      <c r="C543" s="269"/>
      <c r="D543" s="258"/>
      <c r="E543" s="258"/>
      <c r="F543" s="258"/>
      <c r="G543" s="258"/>
      <c r="H543" s="271"/>
      <c r="I543" s="258"/>
      <c r="J543" s="272"/>
      <c r="K543" s="260"/>
      <c r="L543" s="261"/>
      <c r="M543" s="262" t="str">
        <f t="shared" si="1"/>
        <v/>
      </c>
      <c r="N543" s="263" t="str">
        <f t="shared" si="2"/>
        <v/>
      </c>
      <c r="O543" s="264" t="str">
        <f t="shared" si="3"/>
        <v/>
      </c>
      <c r="P543" s="265" t="str">
        <f>IFERROR(__xludf.DUMMYFUNCTION("IF(ISBLANK(A543),"""",IFERROR(IF(H543=""Sell"",VLOOKUP(9^99,FILTER({ROW(P$2:P542),P$2:P542},D$2:D542=D543),2),(VLOOKUP(9^99,FILTER({ROW(P$2:P542),P$2:P542},D$2:D542=D543),2)*VLOOKUP(9^99,FILTER({ROW(O$2:O542),O$2:O542},D$2:D542=D543),2)-N543)/O543),J543))"),"")</f>
        <v/>
      </c>
      <c r="Q543" s="264" t="str">
        <f>IFERROR(__xludf.DUMMYFUNCTION("IFERROR(IF(F543=""Crypto"",B543,(IF(ISBLANK(D543),"""",IF(D543=""Cash"",B543,IF(GOOGLEFINANCE(D543,""CURRENCY"")=""GBX"",""GBP"",GOOGLEFINANCE(D543,""CURRENCY"")))))),B543)"),"")</f>
        <v/>
      </c>
      <c r="R543" s="263" t="str">
        <f>IFERROR(__xludf.DUMMYFUNCTION("IF(ISBLANK(A543),"""",IFERROR(IF(OR(Q543=""GPB"",Q543=""ZAR""),IF(Q543=Dashboard!$L$1,K543,(K543*GOOGLEFINANCE(""CURRENCY:""&amp;Q543&amp;""""&amp;Dashboard!$L$1&amp;""""))/100),IF(Q543=Dashboard!$L$1,K543,K543*GOOGLEFINANCE(""CURRENCY:""&amp;Q543&amp;""""&amp;Dashboard!$L$1&amp;"""")))"&amp;",K543))"),"")</f>
        <v/>
      </c>
      <c r="S543" s="266" t="str">
        <f>IFERROR(__xludf.DUMMYFUNCTION("IF(ISBLANK(A543),"""",IFERROR(IF(OR(Q543=""GPB"",Q543=""ZAR""),IF(Q543=Dashboard!$L$1,M543,(M543*GOOGLEFINANCE(""CURRENCY:""&amp;Q543&amp;""""&amp;Dashboard!$L$1&amp;""""))/100),IF(Q543=Dashboard!$L$1,M543,M543*GOOGLEFINANCE(""CURRENCY:""&amp;Q543&amp;""""&amp;Dashboard!$L$1&amp;"""")))"&amp;",M543))"),"")</f>
        <v/>
      </c>
      <c r="T543" s="264" t="str">
        <f t="shared" si="4"/>
        <v/>
      </c>
      <c r="U543" s="264" t="str">
        <f t="shared" si="5"/>
        <v/>
      </c>
      <c r="V543" s="264" t="str">
        <f t="shared" si="6"/>
        <v/>
      </c>
      <c r="W543" s="267" t="str">
        <f t="shared" si="8"/>
        <v/>
      </c>
      <c r="X543" s="264" t="str">
        <f t="shared" si="7"/>
        <v/>
      </c>
    </row>
    <row r="544" ht="15.75" customHeight="1">
      <c r="A544" s="258"/>
      <c r="B544" s="258"/>
      <c r="C544" s="269"/>
      <c r="D544" s="258"/>
      <c r="E544" s="258"/>
      <c r="F544" s="258"/>
      <c r="G544" s="258"/>
      <c r="H544" s="271"/>
      <c r="I544" s="258"/>
      <c r="J544" s="272"/>
      <c r="K544" s="260"/>
      <c r="L544" s="261"/>
      <c r="M544" s="262" t="str">
        <f t="shared" si="1"/>
        <v/>
      </c>
      <c r="N544" s="263" t="str">
        <f t="shared" si="2"/>
        <v/>
      </c>
      <c r="O544" s="264" t="str">
        <f t="shared" si="3"/>
        <v/>
      </c>
      <c r="P544" s="265" t="str">
        <f>IFERROR(__xludf.DUMMYFUNCTION("IF(ISBLANK(A544),"""",IFERROR(IF(H544=""Sell"",VLOOKUP(9^99,FILTER({ROW(P$2:P543),P$2:P543},D$2:D543=D544),2),(VLOOKUP(9^99,FILTER({ROW(P$2:P543),P$2:P543},D$2:D543=D544),2)*VLOOKUP(9^99,FILTER({ROW(O$2:O543),O$2:O543},D$2:D543=D544),2)-N544)/O544),J544))"),"")</f>
        <v/>
      </c>
      <c r="Q544" s="264" t="str">
        <f>IFERROR(__xludf.DUMMYFUNCTION("IFERROR(IF(F544=""Crypto"",B544,(IF(ISBLANK(D544),"""",IF(D544=""Cash"",B544,IF(GOOGLEFINANCE(D544,""CURRENCY"")=""GBX"",""GBP"",GOOGLEFINANCE(D544,""CURRENCY"")))))),B544)"),"")</f>
        <v/>
      </c>
      <c r="R544" s="263" t="str">
        <f>IFERROR(__xludf.DUMMYFUNCTION("IF(ISBLANK(A544),"""",IFERROR(IF(OR(Q544=""GPB"",Q544=""ZAR""),IF(Q544=Dashboard!$L$1,K544,(K544*GOOGLEFINANCE(""CURRENCY:""&amp;Q544&amp;""""&amp;Dashboard!$L$1&amp;""""))/100),IF(Q544=Dashboard!$L$1,K544,K544*GOOGLEFINANCE(""CURRENCY:""&amp;Q544&amp;""""&amp;Dashboard!$L$1&amp;"""")))"&amp;",K544))"),"")</f>
        <v/>
      </c>
      <c r="S544" s="266" t="str">
        <f>IFERROR(__xludf.DUMMYFUNCTION("IF(ISBLANK(A544),"""",IFERROR(IF(OR(Q544=""GPB"",Q544=""ZAR""),IF(Q544=Dashboard!$L$1,M544,(M544*GOOGLEFINANCE(""CURRENCY:""&amp;Q544&amp;""""&amp;Dashboard!$L$1&amp;""""))/100),IF(Q544=Dashboard!$L$1,M544,M544*GOOGLEFINANCE(""CURRENCY:""&amp;Q544&amp;""""&amp;Dashboard!$L$1&amp;"""")))"&amp;",M544))"),"")</f>
        <v/>
      </c>
      <c r="T544" s="264" t="str">
        <f t="shared" si="4"/>
        <v/>
      </c>
      <c r="U544" s="264" t="str">
        <f t="shared" si="5"/>
        <v/>
      </c>
      <c r="V544" s="264" t="str">
        <f t="shared" si="6"/>
        <v/>
      </c>
      <c r="W544" s="267" t="str">
        <f t="shared" si="8"/>
        <v/>
      </c>
      <c r="X544" s="264" t="str">
        <f t="shared" si="7"/>
        <v/>
      </c>
    </row>
    <row r="545" ht="15.75" customHeight="1">
      <c r="A545" s="258"/>
      <c r="B545" s="258"/>
      <c r="C545" s="269"/>
      <c r="D545" s="258"/>
      <c r="E545" s="258"/>
      <c r="F545" s="258"/>
      <c r="G545" s="258"/>
      <c r="H545" s="271"/>
      <c r="I545" s="258"/>
      <c r="J545" s="272"/>
      <c r="K545" s="260"/>
      <c r="L545" s="261"/>
      <c r="M545" s="262" t="str">
        <f t="shared" si="1"/>
        <v/>
      </c>
      <c r="N545" s="263" t="str">
        <f t="shared" si="2"/>
        <v/>
      </c>
      <c r="O545" s="264" t="str">
        <f t="shared" si="3"/>
        <v/>
      </c>
      <c r="P545" s="265" t="str">
        <f>IFERROR(__xludf.DUMMYFUNCTION("IF(ISBLANK(A545),"""",IFERROR(IF(H545=""Sell"",VLOOKUP(9^99,FILTER({ROW(P$2:P544),P$2:P544},D$2:D544=D545),2),(VLOOKUP(9^99,FILTER({ROW(P$2:P544),P$2:P544},D$2:D544=D545),2)*VLOOKUP(9^99,FILTER({ROW(O$2:O544),O$2:O544},D$2:D544=D545),2)-N545)/O545),J545))"),"")</f>
        <v/>
      </c>
      <c r="Q545" s="264" t="str">
        <f>IFERROR(__xludf.DUMMYFUNCTION("IFERROR(IF(F545=""Crypto"",B545,(IF(ISBLANK(D545),"""",IF(D545=""Cash"",B545,IF(GOOGLEFINANCE(D545,""CURRENCY"")=""GBX"",""GBP"",GOOGLEFINANCE(D545,""CURRENCY"")))))),B545)"),"")</f>
        <v/>
      </c>
      <c r="R545" s="263" t="str">
        <f>IFERROR(__xludf.DUMMYFUNCTION("IF(ISBLANK(A545),"""",IFERROR(IF(OR(Q545=""GPB"",Q545=""ZAR""),IF(Q545=Dashboard!$L$1,K545,(K545*GOOGLEFINANCE(""CURRENCY:""&amp;Q545&amp;""""&amp;Dashboard!$L$1&amp;""""))/100),IF(Q545=Dashboard!$L$1,K545,K545*GOOGLEFINANCE(""CURRENCY:""&amp;Q545&amp;""""&amp;Dashboard!$L$1&amp;"""")))"&amp;",K545))"),"")</f>
        <v/>
      </c>
      <c r="S545" s="266" t="str">
        <f>IFERROR(__xludf.DUMMYFUNCTION("IF(ISBLANK(A545),"""",IFERROR(IF(OR(Q545=""GPB"",Q545=""ZAR""),IF(Q545=Dashboard!$L$1,M545,(M545*GOOGLEFINANCE(""CURRENCY:""&amp;Q545&amp;""""&amp;Dashboard!$L$1&amp;""""))/100),IF(Q545=Dashboard!$L$1,M545,M545*GOOGLEFINANCE(""CURRENCY:""&amp;Q545&amp;""""&amp;Dashboard!$L$1&amp;"""")))"&amp;",M545))"),"")</f>
        <v/>
      </c>
      <c r="T545" s="264" t="str">
        <f t="shared" si="4"/>
        <v/>
      </c>
      <c r="U545" s="264" t="str">
        <f t="shared" si="5"/>
        <v/>
      </c>
      <c r="V545" s="264" t="str">
        <f t="shared" si="6"/>
        <v/>
      </c>
      <c r="W545" s="267" t="str">
        <f t="shared" si="8"/>
        <v/>
      </c>
      <c r="X545" s="264" t="str">
        <f t="shared" si="7"/>
        <v/>
      </c>
    </row>
    <row r="546" ht="15.75" customHeight="1">
      <c r="A546" s="258"/>
      <c r="B546" s="258"/>
      <c r="C546" s="269"/>
      <c r="D546" s="258"/>
      <c r="E546" s="258"/>
      <c r="F546" s="258"/>
      <c r="G546" s="258"/>
      <c r="H546" s="271"/>
      <c r="I546" s="258"/>
      <c r="J546" s="272"/>
      <c r="K546" s="260"/>
      <c r="L546" s="261"/>
      <c r="M546" s="262" t="str">
        <f t="shared" si="1"/>
        <v/>
      </c>
      <c r="N546" s="263" t="str">
        <f t="shared" si="2"/>
        <v/>
      </c>
      <c r="O546" s="264" t="str">
        <f t="shared" si="3"/>
        <v/>
      </c>
      <c r="P546" s="265" t="str">
        <f>IFERROR(__xludf.DUMMYFUNCTION("IF(ISBLANK(A546),"""",IFERROR(IF(H546=""Sell"",VLOOKUP(9^99,FILTER({ROW(P$2:P545),P$2:P545},D$2:D545=D546),2),(VLOOKUP(9^99,FILTER({ROW(P$2:P545),P$2:P545},D$2:D545=D546),2)*VLOOKUP(9^99,FILTER({ROW(O$2:O545),O$2:O545},D$2:D545=D546),2)-N546)/O546),J546))"),"")</f>
        <v/>
      </c>
      <c r="Q546" s="264" t="str">
        <f>IFERROR(__xludf.DUMMYFUNCTION("IFERROR(IF(F546=""Crypto"",B546,(IF(ISBLANK(D546),"""",IF(D546=""Cash"",B546,IF(GOOGLEFINANCE(D546,""CURRENCY"")=""GBX"",""GBP"",GOOGLEFINANCE(D546,""CURRENCY"")))))),B546)"),"")</f>
        <v/>
      </c>
      <c r="R546" s="263" t="str">
        <f>IFERROR(__xludf.DUMMYFUNCTION("IF(ISBLANK(A546),"""",IFERROR(IF(OR(Q546=""GPB"",Q546=""ZAR""),IF(Q546=Dashboard!$L$1,K546,(K546*GOOGLEFINANCE(""CURRENCY:""&amp;Q546&amp;""""&amp;Dashboard!$L$1&amp;""""))/100),IF(Q546=Dashboard!$L$1,K546,K546*GOOGLEFINANCE(""CURRENCY:""&amp;Q546&amp;""""&amp;Dashboard!$L$1&amp;"""")))"&amp;",K546))"),"")</f>
        <v/>
      </c>
      <c r="S546" s="266" t="str">
        <f>IFERROR(__xludf.DUMMYFUNCTION("IF(ISBLANK(A546),"""",IFERROR(IF(OR(Q546=""GPB"",Q546=""ZAR""),IF(Q546=Dashboard!$L$1,M546,(M546*GOOGLEFINANCE(""CURRENCY:""&amp;Q546&amp;""""&amp;Dashboard!$L$1&amp;""""))/100),IF(Q546=Dashboard!$L$1,M546,M546*GOOGLEFINANCE(""CURRENCY:""&amp;Q546&amp;""""&amp;Dashboard!$L$1&amp;"""")))"&amp;",M546))"),"")</f>
        <v/>
      </c>
      <c r="T546" s="264" t="str">
        <f t="shared" si="4"/>
        <v/>
      </c>
      <c r="U546" s="264" t="str">
        <f t="shared" si="5"/>
        <v/>
      </c>
      <c r="V546" s="264" t="str">
        <f t="shared" si="6"/>
        <v/>
      </c>
      <c r="W546" s="267" t="str">
        <f t="shared" si="8"/>
        <v/>
      </c>
      <c r="X546" s="264" t="str">
        <f t="shared" si="7"/>
        <v/>
      </c>
    </row>
    <row r="547" ht="15.75" customHeight="1">
      <c r="A547" s="258"/>
      <c r="B547" s="258"/>
      <c r="C547" s="269"/>
      <c r="D547" s="258"/>
      <c r="E547" s="258"/>
      <c r="F547" s="258"/>
      <c r="G547" s="258"/>
      <c r="H547" s="271"/>
      <c r="I547" s="258"/>
      <c r="J547" s="272"/>
      <c r="K547" s="260"/>
      <c r="L547" s="261"/>
      <c r="M547" s="262" t="str">
        <f t="shared" si="1"/>
        <v/>
      </c>
      <c r="N547" s="263" t="str">
        <f t="shared" si="2"/>
        <v/>
      </c>
      <c r="O547" s="264" t="str">
        <f t="shared" si="3"/>
        <v/>
      </c>
      <c r="P547" s="265" t="str">
        <f>IFERROR(__xludf.DUMMYFUNCTION("IF(ISBLANK(A547),"""",IFERROR(IF(H547=""Sell"",VLOOKUP(9^99,FILTER({ROW(P$2:P546),P$2:P546},D$2:D546=D547),2),(VLOOKUP(9^99,FILTER({ROW(P$2:P546),P$2:P546},D$2:D546=D547),2)*VLOOKUP(9^99,FILTER({ROW(O$2:O546),O$2:O546},D$2:D546=D547),2)-N547)/O547),J547))"),"")</f>
        <v/>
      </c>
      <c r="Q547" s="264" t="str">
        <f>IFERROR(__xludf.DUMMYFUNCTION("IFERROR(IF(F547=""Crypto"",B547,(IF(ISBLANK(D547),"""",IF(D547=""Cash"",B547,IF(GOOGLEFINANCE(D547,""CURRENCY"")=""GBX"",""GBP"",GOOGLEFINANCE(D547,""CURRENCY"")))))),B547)"),"")</f>
        <v/>
      </c>
      <c r="R547" s="263" t="str">
        <f>IFERROR(__xludf.DUMMYFUNCTION("IF(ISBLANK(A547),"""",IFERROR(IF(OR(Q547=""GPB"",Q547=""ZAR""),IF(Q547=Dashboard!$L$1,K547,(K547*GOOGLEFINANCE(""CURRENCY:""&amp;Q547&amp;""""&amp;Dashboard!$L$1&amp;""""))/100),IF(Q547=Dashboard!$L$1,K547,K547*GOOGLEFINANCE(""CURRENCY:""&amp;Q547&amp;""""&amp;Dashboard!$L$1&amp;"""")))"&amp;",K547))"),"")</f>
        <v/>
      </c>
      <c r="S547" s="266" t="str">
        <f>IFERROR(__xludf.DUMMYFUNCTION("IF(ISBLANK(A547),"""",IFERROR(IF(OR(Q547=""GPB"",Q547=""ZAR""),IF(Q547=Dashboard!$L$1,M547,(M547*GOOGLEFINANCE(""CURRENCY:""&amp;Q547&amp;""""&amp;Dashboard!$L$1&amp;""""))/100),IF(Q547=Dashboard!$L$1,M547,M547*GOOGLEFINANCE(""CURRENCY:""&amp;Q547&amp;""""&amp;Dashboard!$L$1&amp;"""")))"&amp;",M547))"),"")</f>
        <v/>
      </c>
      <c r="T547" s="264" t="str">
        <f t="shared" si="4"/>
        <v/>
      </c>
      <c r="U547" s="264" t="str">
        <f t="shared" si="5"/>
        <v/>
      </c>
      <c r="V547" s="264" t="str">
        <f t="shared" si="6"/>
        <v/>
      </c>
      <c r="W547" s="267" t="str">
        <f t="shared" si="8"/>
        <v/>
      </c>
      <c r="X547" s="264" t="str">
        <f t="shared" si="7"/>
        <v/>
      </c>
    </row>
    <row r="548" ht="15.75" customHeight="1">
      <c r="A548" s="258"/>
      <c r="B548" s="258"/>
      <c r="C548" s="269"/>
      <c r="D548" s="258"/>
      <c r="E548" s="258"/>
      <c r="F548" s="258"/>
      <c r="G548" s="258"/>
      <c r="H548" s="271"/>
      <c r="I548" s="258"/>
      <c r="J548" s="272"/>
      <c r="K548" s="260"/>
      <c r="L548" s="261"/>
      <c r="M548" s="262" t="str">
        <f t="shared" si="1"/>
        <v/>
      </c>
      <c r="N548" s="263" t="str">
        <f t="shared" si="2"/>
        <v/>
      </c>
      <c r="O548" s="264" t="str">
        <f t="shared" si="3"/>
        <v/>
      </c>
      <c r="P548" s="265" t="str">
        <f>IFERROR(__xludf.DUMMYFUNCTION("IF(ISBLANK(A548),"""",IFERROR(IF(H548=""Sell"",VLOOKUP(9^99,FILTER({ROW(P$2:P547),P$2:P547},D$2:D547=D548),2),(VLOOKUP(9^99,FILTER({ROW(P$2:P547),P$2:P547},D$2:D547=D548),2)*VLOOKUP(9^99,FILTER({ROW(O$2:O547),O$2:O547},D$2:D547=D548),2)-N548)/O548),J548))"),"")</f>
        <v/>
      </c>
      <c r="Q548" s="264" t="str">
        <f>IFERROR(__xludf.DUMMYFUNCTION("IFERROR(IF(F548=""Crypto"",B548,(IF(ISBLANK(D548),"""",IF(D548=""Cash"",B548,IF(GOOGLEFINANCE(D548,""CURRENCY"")=""GBX"",""GBP"",GOOGLEFINANCE(D548,""CURRENCY"")))))),B548)"),"")</f>
        <v/>
      </c>
      <c r="R548" s="263" t="str">
        <f>IFERROR(__xludf.DUMMYFUNCTION("IF(ISBLANK(A548),"""",IFERROR(IF(OR(Q548=""GPB"",Q548=""ZAR""),IF(Q548=Dashboard!$L$1,K548,(K548*GOOGLEFINANCE(""CURRENCY:""&amp;Q548&amp;""""&amp;Dashboard!$L$1&amp;""""))/100),IF(Q548=Dashboard!$L$1,K548,K548*GOOGLEFINANCE(""CURRENCY:""&amp;Q548&amp;""""&amp;Dashboard!$L$1&amp;"""")))"&amp;",K548))"),"")</f>
        <v/>
      </c>
      <c r="S548" s="266" t="str">
        <f>IFERROR(__xludf.DUMMYFUNCTION("IF(ISBLANK(A548),"""",IFERROR(IF(OR(Q548=""GPB"",Q548=""ZAR""),IF(Q548=Dashboard!$L$1,M548,(M548*GOOGLEFINANCE(""CURRENCY:""&amp;Q548&amp;""""&amp;Dashboard!$L$1&amp;""""))/100),IF(Q548=Dashboard!$L$1,M548,M548*GOOGLEFINANCE(""CURRENCY:""&amp;Q548&amp;""""&amp;Dashboard!$L$1&amp;"""")))"&amp;",M548))"),"")</f>
        <v/>
      </c>
      <c r="T548" s="264" t="str">
        <f t="shared" si="4"/>
        <v/>
      </c>
      <c r="U548" s="264" t="str">
        <f t="shared" si="5"/>
        <v/>
      </c>
      <c r="V548" s="264" t="str">
        <f t="shared" si="6"/>
        <v/>
      </c>
      <c r="W548" s="267" t="str">
        <f t="shared" si="8"/>
        <v/>
      </c>
      <c r="X548" s="264" t="str">
        <f t="shared" si="7"/>
        <v/>
      </c>
    </row>
    <row r="549" ht="15.75" customHeight="1">
      <c r="A549" s="258"/>
      <c r="B549" s="258"/>
      <c r="C549" s="269"/>
      <c r="D549" s="258"/>
      <c r="E549" s="258"/>
      <c r="F549" s="258"/>
      <c r="G549" s="258"/>
      <c r="H549" s="271"/>
      <c r="I549" s="258"/>
      <c r="J549" s="272"/>
      <c r="K549" s="260"/>
      <c r="L549" s="261"/>
      <c r="M549" s="262" t="str">
        <f t="shared" si="1"/>
        <v/>
      </c>
      <c r="N549" s="263" t="str">
        <f t="shared" si="2"/>
        <v/>
      </c>
      <c r="O549" s="264" t="str">
        <f t="shared" si="3"/>
        <v/>
      </c>
      <c r="P549" s="265" t="str">
        <f>IFERROR(__xludf.DUMMYFUNCTION("IF(ISBLANK(A549),"""",IFERROR(IF(H549=""Sell"",VLOOKUP(9^99,FILTER({ROW(P$2:P548),P$2:P548},D$2:D548=D549),2),(VLOOKUP(9^99,FILTER({ROW(P$2:P548),P$2:P548},D$2:D548=D549),2)*VLOOKUP(9^99,FILTER({ROW(O$2:O548),O$2:O548},D$2:D548=D549),2)-N549)/O549),J549))"),"")</f>
        <v/>
      </c>
      <c r="Q549" s="264" t="str">
        <f>IFERROR(__xludf.DUMMYFUNCTION("IFERROR(IF(F549=""Crypto"",B549,(IF(ISBLANK(D549),"""",IF(D549=""Cash"",B549,IF(GOOGLEFINANCE(D549,""CURRENCY"")=""GBX"",""GBP"",GOOGLEFINANCE(D549,""CURRENCY"")))))),B549)"),"")</f>
        <v/>
      </c>
      <c r="R549" s="263" t="str">
        <f>IFERROR(__xludf.DUMMYFUNCTION("IF(ISBLANK(A549),"""",IFERROR(IF(OR(Q549=""GPB"",Q549=""ZAR""),IF(Q549=Dashboard!$L$1,K549,(K549*GOOGLEFINANCE(""CURRENCY:""&amp;Q549&amp;""""&amp;Dashboard!$L$1&amp;""""))/100),IF(Q549=Dashboard!$L$1,K549,K549*GOOGLEFINANCE(""CURRENCY:""&amp;Q549&amp;""""&amp;Dashboard!$L$1&amp;"""")))"&amp;",K549))"),"")</f>
        <v/>
      </c>
      <c r="S549" s="266" t="str">
        <f>IFERROR(__xludf.DUMMYFUNCTION("IF(ISBLANK(A549),"""",IFERROR(IF(OR(Q549=""GPB"",Q549=""ZAR""),IF(Q549=Dashboard!$L$1,M549,(M549*GOOGLEFINANCE(""CURRENCY:""&amp;Q549&amp;""""&amp;Dashboard!$L$1&amp;""""))/100),IF(Q549=Dashboard!$L$1,M549,M549*GOOGLEFINANCE(""CURRENCY:""&amp;Q549&amp;""""&amp;Dashboard!$L$1&amp;"""")))"&amp;",M549))"),"")</f>
        <v/>
      </c>
      <c r="T549" s="264" t="str">
        <f t="shared" si="4"/>
        <v/>
      </c>
      <c r="U549" s="264" t="str">
        <f t="shared" si="5"/>
        <v/>
      </c>
      <c r="V549" s="264" t="str">
        <f t="shared" si="6"/>
        <v/>
      </c>
      <c r="W549" s="267" t="str">
        <f t="shared" si="8"/>
        <v/>
      </c>
      <c r="X549" s="264" t="str">
        <f t="shared" si="7"/>
        <v/>
      </c>
    </row>
    <row r="550" ht="15.75" customHeight="1">
      <c r="A550" s="258"/>
      <c r="B550" s="258"/>
      <c r="C550" s="269"/>
      <c r="D550" s="258"/>
      <c r="E550" s="258"/>
      <c r="F550" s="258"/>
      <c r="G550" s="258"/>
      <c r="H550" s="271"/>
      <c r="I550" s="258"/>
      <c r="J550" s="272"/>
      <c r="K550" s="260"/>
      <c r="L550" s="261"/>
      <c r="M550" s="262" t="str">
        <f t="shared" si="1"/>
        <v/>
      </c>
      <c r="N550" s="263" t="str">
        <f t="shared" si="2"/>
        <v/>
      </c>
      <c r="O550" s="264" t="str">
        <f t="shared" si="3"/>
        <v/>
      </c>
      <c r="P550" s="265" t="str">
        <f>IFERROR(__xludf.DUMMYFUNCTION("IF(ISBLANK(A550),"""",IFERROR(IF(H550=""Sell"",VLOOKUP(9^99,FILTER({ROW(P$2:P549),P$2:P549},D$2:D549=D550),2),(VLOOKUP(9^99,FILTER({ROW(P$2:P549),P$2:P549},D$2:D549=D550),2)*VLOOKUP(9^99,FILTER({ROW(O$2:O549),O$2:O549},D$2:D549=D550),2)-N550)/O550),J550))"),"")</f>
        <v/>
      </c>
      <c r="Q550" s="264" t="str">
        <f>IFERROR(__xludf.DUMMYFUNCTION("IFERROR(IF(F550=""Crypto"",B550,(IF(ISBLANK(D550),"""",IF(D550=""Cash"",B550,IF(GOOGLEFINANCE(D550,""CURRENCY"")=""GBX"",""GBP"",GOOGLEFINANCE(D550,""CURRENCY"")))))),B550)"),"")</f>
        <v/>
      </c>
      <c r="R550" s="263" t="str">
        <f>IFERROR(__xludf.DUMMYFUNCTION("IF(ISBLANK(A550),"""",IFERROR(IF(OR(Q550=""GPB"",Q550=""ZAR""),IF(Q550=Dashboard!$L$1,K550,(K550*GOOGLEFINANCE(""CURRENCY:""&amp;Q550&amp;""""&amp;Dashboard!$L$1&amp;""""))/100),IF(Q550=Dashboard!$L$1,K550,K550*GOOGLEFINANCE(""CURRENCY:""&amp;Q550&amp;""""&amp;Dashboard!$L$1&amp;"""")))"&amp;",K550))"),"")</f>
        <v/>
      </c>
      <c r="S550" s="266" t="str">
        <f>IFERROR(__xludf.DUMMYFUNCTION("IF(ISBLANK(A550),"""",IFERROR(IF(OR(Q550=""GPB"",Q550=""ZAR""),IF(Q550=Dashboard!$L$1,M550,(M550*GOOGLEFINANCE(""CURRENCY:""&amp;Q550&amp;""""&amp;Dashboard!$L$1&amp;""""))/100),IF(Q550=Dashboard!$L$1,M550,M550*GOOGLEFINANCE(""CURRENCY:""&amp;Q550&amp;""""&amp;Dashboard!$L$1&amp;"""")))"&amp;",M550))"),"")</f>
        <v/>
      </c>
      <c r="T550" s="264" t="str">
        <f t="shared" si="4"/>
        <v/>
      </c>
      <c r="U550" s="264" t="str">
        <f t="shared" si="5"/>
        <v/>
      </c>
      <c r="V550" s="264" t="str">
        <f t="shared" si="6"/>
        <v/>
      </c>
      <c r="W550" s="267" t="str">
        <f t="shared" si="8"/>
        <v/>
      </c>
      <c r="X550" s="264" t="str">
        <f t="shared" si="7"/>
        <v/>
      </c>
    </row>
    <row r="551" ht="15.75" customHeight="1">
      <c r="A551" s="258"/>
      <c r="B551" s="258"/>
      <c r="C551" s="269"/>
      <c r="D551" s="258"/>
      <c r="E551" s="258"/>
      <c r="F551" s="258"/>
      <c r="G551" s="258"/>
      <c r="H551" s="271"/>
      <c r="I551" s="258"/>
      <c r="J551" s="272"/>
      <c r="K551" s="260"/>
      <c r="L551" s="261"/>
      <c r="M551" s="262" t="str">
        <f t="shared" si="1"/>
        <v/>
      </c>
      <c r="N551" s="263" t="str">
        <f t="shared" si="2"/>
        <v/>
      </c>
      <c r="O551" s="264" t="str">
        <f t="shared" si="3"/>
        <v/>
      </c>
      <c r="P551" s="265" t="str">
        <f>IFERROR(__xludf.DUMMYFUNCTION("IF(ISBLANK(A551),"""",IFERROR(IF(H551=""Sell"",VLOOKUP(9^99,FILTER({ROW(P$2:P550),P$2:P550},D$2:D550=D551),2),(VLOOKUP(9^99,FILTER({ROW(P$2:P550),P$2:P550},D$2:D550=D551),2)*VLOOKUP(9^99,FILTER({ROW(O$2:O550),O$2:O550},D$2:D550=D551),2)-N551)/O551),J551))"),"")</f>
        <v/>
      </c>
      <c r="Q551" s="264" t="str">
        <f>IFERROR(__xludf.DUMMYFUNCTION("IFERROR(IF(F551=""Crypto"",B551,(IF(ISBLANK(D551),"""",IF(D551=""Cash"",B551,IF(GOOGLEFINANCE(D551,""CURRENCY"")=""GBX"",""GBP"",GOOGLEFINANCE(D551,""CURRENCY"")))))),B551)"),"")</f>
        <v/>
      </c>
      <c r="R551" s="263" t="str">
        <f>IFERROR(__xludf.DUMMYFUNCTION("IF(ISBLANK(A551),"""",IFERROR(IF(OR(Q551=""GPB"",Q551=""ZAR""),IF(Q551=Dashboard!$L$1,K551,(K551*GOOGLEFINANCE(""CURRENCY:""&amp;Q551&amp;""""&amp;Dashboard!$L$1&amp;""""))/100),IF(Q551=Dashboard!$L$1,K551,K551*GOOGLEFINANCE(""CURRENCY:""&amp;Q551&amp;""""&amp;Dashboard!$L$1&amp;"""")))"&amp;",K551))"),"")</f>
        <v/>
      </c>
      <c r="S551" s="266" t="str">
        <f>IFERROR(__xludf.DUMMYFUNCTION("IF(ISBLANK(A551),"""",IFERROR(IF(OR(Q551=""GPB"",Q551=""ZAR""),IF(Q551=Dashboard!$L$1,M551,(M551*GOOGLEFINANCE(""CURRENCY:""&amp;Q551&amp;""""&amp;Dashboard!$L$1&amp;""""))/100),IF(Q551=Dashboard!$L$1,M551,M551*GOOGLEFINANCE(""CURRENCY:""&amp;Q551&amp;""""&amp;Dashboard!$L$1&amp;"""")))"&amp;",M551))"),"")</f>
        <v/>
      </c>
      <c r="T551" s="264" t="str">
        <f t="shared" si="4"/>
        <v/>
      </c>
      <c r="U551" s="264" t="str">
        <f t="shared" si="5"/>
        <v/>
      </c>
      <c r="V551" s="264" t="str">
        <f t="shared" si="6"/>
        <v/>
      </c>
      <c r="W551" s="267" t="str">
        <f t="shared" si="8"/>
        <v/>
      </c>
      <c r="X551" s="264" t="str">
        <f t="shared" si="7"/>
        <v/>
      </c>
    </row>
    <row r="552" ht="15.75" customHeight="1">
      <c r="A552" s="258"/>
      <c r="B552" s="258"/>
      <c r="C552" s="269"/>
      <c r="D552" s="258"/>
      <c r="E552" s="258"/>
      <c r="F552" s="258"/>
      <c r="G552" s="258"/>
      <c r="H552" s="271"/>
      <c r="I552" s="258"/>
      <c r="J552" s="272"/>
      <c r="K552" s="260"/>
      <c r="L552" s="261"/>
      <c r="M552" s="262" t="str">
        <f t="shared" si="1"/>
        <v/>
      </c>
      <c r="N552" s="263" t="str">
        <f t="shared" si="2"/>
        <v/>
      </c>
      <c r="O552" s="264" t="str">
        <f t="shared" si="3"/>
        <v/>
      </c>
      <c r="P552" s="265" t="str">
        <f>IFERROR(__xludf.DUMMYFUNCTION("IF(ISBLANK(A552),"""",IFERROR(IF(H552=""Sell"",VLOOKUP(9^99,FILTER({ROW(P$2:P551),P$2:P551},D$2:D551=D552),2),(VLOOKUP(9^99,FILTER({ROW(P$2:P551),P$2:P551},D$2:D551=D552),2)*VLOOKUP(9^99,FILTER({ROW(O$2:O551),O$2:O551},D$2:D551=D552),2)-N552)/O552),J552))"),"")</f>
        <v/>
      </c>
      <c r="Q552" s="264" t="str">
        <f>IFERROR(__xludf.DUMMYFUNCTION("IFERROR(IF(F552=""Crypto"",B552,(IF(ISBLANK(D552),"""",IF(D552=""Cash"",B552,IF(GOOGLEFINANCE(D552,""CURRENCY"")=""GBX"",""GBP"",GOOGLEFINANCE(D552,""CURRENCY"")))))),B552)"),"")</f>
        <v/>
      </c>
      <c r="R552" s="263" t="str">
        <f>IFERROR(__xludf.DUMMYFUNCTION("IF(ISBLANK(A552),"""",IFERROR(IF(OR(Q552=""GPB"",Q552=""ZAR""),IF(Q552=Dashboard!$L$1,K552,(K552*GOOGLEFINANCE(""CURRENCY:""&amp;Q552&amp;""""&amp;Dashboard!$L$1&amp;""""))/100),IF(Q552=Dashboard!$L$1,K552,K552*GOOGLEFINANCE(""CURRENCY:""&amp;Q552&amp;""""&amp;Dashboard!$L$1&amp;"""")))"&amp;",K552))"),"")</f>
        <v/>
      </c>
      <c r="S552" s="266" t="str">
        <f>IFERROR(__xludf.DUMMYFUNCTION("IF(ISBLANK(A552),"""",IFERROR(IF(OR(Q552=""GPB"",Q552=""ZAR""),IF(Q552=Dashboard!$L$1,M552,(M552*GOOGLEFINANCE(""CURRENCY:""&amp;Q552&amp;""""&amp;Dashboard!$L$1&amp;""""))/100),IF(Q552=Dashboard!$L$1,M552,M552*GOOGLEFINANCE(""CURRENCY:""&amp;Q552&amp;""""&amp;Dashboard!$L$1&amp;"""")))"&amp;",M552))"),"")</f>
        <v/>
      </c>
      <c r="T552" s="264" t="str">
        <f t="shared" si="4"/>
        <v/>
      </c>
      <c r="U552" s="264" t="str">
        <f t="shared" si="5"/>
        <v/>
      </c>
      <c r="V552" s="264" t="str">
        <f t="shared" si="6"/>
        <v/>
      </c>
      <c r="W552" s="267" t="str">
        <f t="shared" si="8"/>
        <v/>
      </c>
      <c r="X552" s="264" t="str">
        <f t="shared" si="7"/>
        <v/>
      </c>
    </row>
    <row r="553" ht="15.75" customHeight="1">
      <c r="A553" s="258"/>
      <c r="B553" s="258"/>
      <c r="C553" s="269"/>
      <c r="D553" s="258"/>
      <c r="E553" s="258"/>
      <c r="F553" s="258"/>
      <c r="G553" s="258"/>
      <c r="H553" s="271"/>
      <c r="I553" s="258"/>
      <c r="J553" s="272"/>
      <c r="K553" s="260"/>
      <c r="L553" s="261"/>
      <c r="M553" s="262" t="str">
        <f t="shared" si="1"/>
        <v/>
      </c>
      <c r="N553" s="263" t="str">
        <f t="shared" si="2"/>
        <v/>
      </c>
      <c r="O553" s="264" t="str">
        <f t="shared" si="3"/>
        <v/>
      </c>
      <c r="P553" s="265" t="str">
        <f>IFERROR(__xludf.DUMMYFUNCTION("IF(ISBLANK(A553),"""",IFERROR(IF(H553=""Sell"",VLOOKUP(9^99,FILTER({ROW(P$2:P552),P$2:P552},D$2:D552=D553),2),(VLOOKUP(9^99,FILTER({ROW(P$2:P552),P$2:P552},D$2:D552=D553),2)*VLOOKUP(9^99,FILTER({ROW(O$2:O552),O$2:O552},D$2:D552=D553),2)-N553)/O553),J553))"),"")</f>
        <v/>
      </c>
      <c r="Q553" s="264" t="str">
        <f>IFERROR(__xludf.DUMMYFUNCTION("IFERROR(IF(F553=""Crypto"",B553,(IF(ISBLANK(D553),"""",IF(D553=""Cash"",B553,IF(GOOGLEFINANCE(D553,""CURRENCY"")=""GBX"",""GBP"",GOOGLEFINANCE(D553,""CURRENCY"")))))),B553)"),"")</f>
        <v/>
      </c>
      <c r="R553" s="263" t="str">
        <f>IFERROR(__xludf.DUMMYFUNCTION("IF(ISBLANK(A553),"""",IFERROR(IF(OR(Q553=""GPB"",Q553=""ZAR""),IF(Q553=Dashboard!$L$1,K553,(K553*GOOGLEFINANCE(""CURRENCY:""&amp;Q553&amp;""""&amp;Dashboard!$L$1&amp;""""))/100),IF(Q553=Dashboard!$L$1,K553,K553*GOOGLEFINANCE(""CURRENCY:""&amp;Q553&amp;""""&amp;Dashboard!$L$1&amp;"""")))"&amp;",K553))"),"")</f>
        <v/>
      </c>
      <c r="S553" s="266" t="str">
        <f>IFERROR(__xludf.DUMMYFUNCTION("IF(ISBLANK(A553),"""",IFERROR(IF(OR(Q553=""GPB"",Q553=""ZAR""),IF(Q553=Dashboard!$L$1,M553,(M553*GOOGLEFINANCE(""CURRENCY:""&amp;Q553&amp;""""&amp;Dashboard!$L$1&amp;""""))/100),IF(Q553=Dashboard!$L$1,M553,M553*GOOGLEFINANCE(""CURRENCY:""&amp;Q553&amp;""""&amp;Dashboard!$L$1&amp;"""")))"&amp;",M553))"),"")</f>
        <v/>
      </c>
      <c r="T553" s="264" t="str">
        <f t="shared" si="4"/>
        <v/>
      </c>
      <c r="U553" s="264" t="str">
        <f t="shared" si="5"/>
        <v/>
      </c>
      <c r="V553" s="264" t="str">
        <f t="shared" si="6"/>
        <v/>
      </c>
      <c r="W553" s="267" t="str">
        <f t="shared" si="8"/>
        <v/>
      </c>
      <c r="X553" s="264" t="str">
        <f t="shared" si="7"/>
        <v/>
      </c>
    </row>
    <row r="554" ht="15.75" customHeight="1">
      <c r="A554" s="258"/>
      <c r="B554" s="258"/>
      <c r="C554" s="269"/>
      <c r="D554" s="258"/>
      <c r="E554" s="258"/>
      <c r="F554" s="258"/>
      <c r="G554" s="258"/>
      <c r="H554" s="271"/>
      <c r="I554" s="258"/>
      <c r="J554" s="272"/>
      <c r="K554" s="260"/>
      <c r="L554" s="261"/>
      <c r="M554" s="262" t="str">
        <f t="shared" si="1"/>
        <v/>
      </c>
      <c r="N554" s="263" t="str">
        <f t="shared" si="2"/>
        <v/>
      </c>
      <c r="O554" s="264" t="str">
        <f t="shared" si="3"/>
        <v/>
      </c>
      <c r="P554" s="265" t="str">
        <f>IFERROR(__xludf.DUMMYFUNCTION("IF(ISBLANK(A554),"""",IFERROR(IF(H554=""Sell"",VLOOKUP(9^99,FILTER({ROW(P$2:P553),P$2:P553},D$2:D553=D554),2),(VLOOKUP(9^99,FILTER({ROW(P$2:P553),P$2:P553},D$2:D553=D554),2)*VLOOKUP(9^99,FILTER({ROW(O$2:O553),O$2:O553},D$2:D553=D554),2)-N554)/O554),J554))"),"")</f>
        <v/>
      </c>
      <c r="Q554" s="264" t="str">
        <f>IFERROR(__xludf.DUMMYFUNCTION("IFERROR(IF(F554=""Crypto"",B554,(IF(ISBLANK(D554),"""",IF(D554=""Cash"",B554,IF(GOOGLEFINANCE(D554,""CURRENCY"")=""GBX"",""GBP"",GOOGLEFINANCE(D554,""CURRENCY"")))))),B554)"),"")</f>
        <v/>
      </c>
      <c r="R554" s="263" t="str">
        <f>IFERROR(__xludf.DUMMYFUNCTION("IF(ISBLANK(A554),"""",IFERROR(IF(OR(Q554=""GPB"",Q554=""ZAR""),IF(Q554=Dashboard!$L$1,K554,(K554*GOOGLEFINANCE(""CURRENCY:""&amp;Q554&amp;""""&amp;Dashboard!$L$1&amp;""""))/100),IF(Q554=Dashboard!$L$1,K554,K554*GOOGLEFINANCE(""CURRENCY:""&amp;Q554&amp;""""&amp;Dashboard!$L$1&amp;"""")))"&amp;",K554))"),"")</f>
        <v/>
      </c>
      <c r="S554" s="266" t="str">
        <f>IFERROR(__xludf.DUMMYFUNCTION("IF(ISBLANK(A554),"""",IFERROR(IF(OR(Q554=""GPB"",Q554=""ZAR""),IF(Q554=Dashboard!$L$1,M554,(M554*GOOGLEFINANCE(""CURRENCY:""&amp;Q554&amp;""""&amp;Dashboard!$L$1&amp;""""))/100),IF(Q554=Dashboard!$L$1,M554,M554*GOOGLEFINANCE(""CURRENCY:""&amp;Q554&amp;""""&amp;Dashboard!$L$1&amp;"""")))"&amp;",M554))"),"")</f>
        <v/>
      </c>
      <c r="T554" s="264" t="str">
        <f t="shared" si="4"/>
        <v/>
      </c>
      <c r="U554" s="264" t="str">
        <f t="shared" si="5"/>
        <v/>
      </c>
      <c r="V554" s="264" t="str">
        <f t="shared" si="6"/>
        <v/>
      </c>
      <c r="W554" s="267" t="str">
        <f t="shared" si="8"/>
        <v/>
      </c>
      <c r="X554" s="264" t="str">
        <f t="shared" si="7"/>
        <v/>
      </c>
    </row>
    <row r="555" ht="15.75" customHeight="1">
      <c r="A555" s="258"/>
      <c r="B555" s="258"/>
      <c r="C555" s="269"/>
      <c r="D555" s="258"/>
      <c r="E555" s="258"/>
      <c r="F555" s="258"/>
      <c r="G555" s="258"/>
      <c r="H555" s="271"/>
      <c r="I555" s="258"/>
      <c r="J555" s="272"/>
      <c r="K555" s="260"/>
      <c r="L555" s="261"/>
      <c r="M555" s="262" t="str">
        <f t="shared" si="1"/>
        <v/>
      </c>
      <c r="N555" s="263" t="str">
        <f t="shared" si="2"/>
        <v/>
      </c>
      <c r="O555" s="264" t="str">
        <f t="shared" si="3"/>
        <v/>
      </c>
      <c r="P555" s="265" t="str">
        <f>IFERROR(__xludf.DUMMYFUNCTION("IF(ISBLANK(A555),"""",IFERROR(IF(H555=""Sell"",VLOOKUP(9^99,FILTER({ROW(P$2:P554),P$2:P554},D$2:D554=D555),2),(VLOOKUP(9^99,FILTER({ROW(P$2:P554),P$2:P554},D$2:D554=D555),2)*VLOOKUP(9^99,FILTER({ROW(O$2:O554),O$2:O554},D$2:D554=D555),2)-N555)/O555),J555))"),"")</f>
        <v/>
      </c>
      <c r="Q555" s="264" t="str">
        <f>IFERROR(__xludf.DUMMYFUNCTION("IFERROR(IF(F555=""Crypto"",B555,(IF(ISBLANK(D555),"""",IF(D555=""Cash"",B555,IF(GOOGLEFINANCE(D555,""CURRENCY"")=""GBX"",""GBP"",GOOGLEFINANCE(D555,""CURRENCY"")))))),B555)"),"")</f>
        <v/>
      </c>
      <c r="R555" s="263" t="str">
        <f>IFERROR(__xludf.DUMMYFUNCTION("IF(ISBLANK(A555),"""",IFERROR(IF(OR(Q555=""GPB"",Q555=""ZAR""),IF(Q555=Dashboard!$L$1,K555,(K555*GOOGLEFINANCE(""CURRENCY:""&amp;Q555&amp;""""&amp;Dashboard!$L$1&amp;""""))/100),IF(Q555=Dashboard!$L$1,K555,K555*GOOGLEFINANCE(""CURRENCY:""&amp;Q555&amp;""""&amp;Dashboard!$L$1&amp;"""")))"&amp;",K555))"),"")</f>
        <v/>
      </c>
      <c r="S555" s="266" t="str">
        <f>IFERROR(__xludf.DUMMYFUNCTION("IF(ISBLANK(A555),"""",IFERROR(IF(OR(Q555=""GPB"",Q555=""ZAR""),IF(Q555=Dashboard!$L$1,M555,(M555*GOOGLEFINANCE(""CURRENCY:""&amp;Q555&amp;""""&amp;Dashboard!$L$1&amp;""""))/100),IF(Q555=Dashboard!$L$1,M555,M555*GOOGLEFINANCE(""CURRENCY:""&amp;Q555&amp;""""&amp;Dashboard!$L$1&amp;"""")))"&amp;",M555))"),"")</f>
        <v/>
      </c>
      <c r="T555" s="264" t="str">
        <f t="shared" si="4"/>
        <v/>
      </c>
      <c r="U555" s="264" t="str">
        <f t="shared" si="5"/>
        <v/>
      </c>
      <c r="V555" s="264" t="str">
        <f t="shared" si="6"/>
        <v/>
      </c>
      <c r="W555" s="267" t="str">
        <f t="shared" si="8"/>
        <v/>
      </c>
      <c r="X555" s="264" t="str">
        <f t="shared" si="7"/>
        <v/>
      </c>
    </row>
    <row r="556" ht="15.75" customHeight="1">
      <c r="A556" s="258"/>
      <c r="B556" s="258"/>
      <c r="C556" s="269"/>
      <c r="D556" s="258"/>
      <c r="E556" s="258"/>
      <c r="F556" s="258"/>
      <c r="G556" s="258"/>
      <c r="H556" s="271"/>
      <c r="I556" s="258"/>
      <c r="J556" s="272"/>
      <c r="K556" s="260"/>
      <c r="L556" s="261"/>
      <c r="M556" s="262" t="str">
        <f t="shared" si="1"/>
        <v/>
      </c>
      <c r="N556" s="263" t="str">
        <f t="shared" si="2"/>
        <v/>
      </c>
      <c r="O556" s="264" t="str">
        <f t="shared" si="3"/>
        <v/>
      </c>
      <c r="P556" s="265" t="str">
        <f>IFERROR(__xludf.DUMMYFUNCTION("IF(ISBLANK(A556),"""",IFERROR(IF(H556=""Sell"",VLOOKUP(9^99,FILTER({ROW(P$2:P555),P$2:P555},D$2:D555=D556),2),(VLOOKUP(9^99,FILTER({ROW(P$2:P555),P$2:P555},D$2:D555=D556),2)*VLOOKUP(9^99,FILTER({ROW(O$2:O555),O$2:O555},D$2:D555=D556),2)-N556)/O556),J556))"),"")</f>
        <v/>
      </c>
      <c r="Q556" s="264" t="str">
        <f>IFERROR(__xludf.DUMMYFUNCTION("IFERROR(IF(F556=""Crypto"",B556,(IF(ISBLANK(D556),"""",IF(D556=""Cash"",B556,IF(GOOGLEFINANCE(D556,""CURRENCY"")=""GBX"",""GBP"",GOOGLEFINANCE(D556,""CURRENCY"")))))),B556)"),"")</f>
        <v/>
      </c>
      <c r="R556" s="263" t="str">
        <f>IFERROR(__xludf.DUMMYFUNCTION("IF(ISBLANK(A556),"""",IFERROR(IF(OR(Q556=""GPB"",Q556=""ZAR""),IF(Q556=Dashboard!$L$1,K556,(K556*GOOGLEFINANCE(""CURRENCY:""&amp;Q556&amp;""""&amp;Dashboard!$L$1&amp;""""))/100),IF(Q556=Dashboard!$L$1,K556,K556*GOOGLEFINANCE(""CURRENCY:""&amp;Q556&amp;""""&amp;Dashboard!$L$1&amp;"""")))"&amp;",K556))"),"")</f>
        <v/>
      </c>
      <c r="S556" s="266" t="str">
        <f>IFERROR(__xludf.DUMMYFUNCTION("IF(ISBLANK(A556),"""",IFERROR(IF(OR(Q556=""GPB"",Q556=""ZAR""),IF(Q556=Dashboard!$L$1,M556,(M556*GOOGLEFINANCE(""CURRENCY:""&amp;Q556&amp;""""&amp;Dashboard!$L$1&amp;""""))/100),IF(Q556=Dashboard!$L$1,M556,M556*GOOGLEFINANCE(""CURRENCY:""&amp;Q556&amp;""""&amp;Dashboard!$L$1&amp;"""")))"&amp;",M556))"),"")</f>
        <v/>
      </c>
      <c r="T556" s="264" t="str">
        <f t="shared" si="4"/>
        <v/>
      </c>
      <c r="U556" s="264" t="str">
        <f t="shared" si="5"/>
        <v/>
      </c>
      <c r="V556" s="264" t="str">
        <f t="shared" si="6"/>
        <v/>
      </c>
      <c r="W556" s="267" t="str">
        <f t="shared" si="8"/>
        <v/>
      </c>
      <c r="X556" s="264" t="str">
        <f t="shared" si="7"/>
        <v/>
      </c>
    </row>
    <row r="557" ht="15.75" customHeight="1">
      <c r="A557" s="258"/>
      <c r="B557" s="258"/>
      <c r="C557" s="269"/>
      <c r="D557" s="258"/>
      <c r="E557" s="258"/>
      <c r="F557" s="258"/>
      <c r="G557" s="258"/>
      <c r="H557" s="271"/>
      <c r="I557" s="258"/>
      <c r="J557" s="272"/>
      <c r="K557" s="260"/>
      <c r="L557" s="261"/>
      <c r="M557" s="262" t="str">
        <f t="shared" si="1"/>
        <v/>
      </c>
      <c r="N557" s="263" t="str">
        <f t="shared" si="2"/>
        <v/>
      </c>
      <c r="O557" s="264" t="str">
        <f t="shared" si="3"/>
        <v/>
      </c>
      <c r="P557" s="265" t="str">
        <f>IFERROR(__xludf.DUMMYFUNCTION("IF(ISBLANK(A557),"""",IFERROR(IF(H557=""Sell"",VLOOKUP(9^99,FILTER({ROW(P$2:P556),P$2:P556},D$2:D556=D557),2),(VLOOKUP(9^99,FILTER({ROW(P$2:P556),P$2:P556},D$2:D556=D557),2)*VLOOKUP(9^99,FILTER({ROW(O$2:O556),O$2:O556},D$2:D556=D557),2)-N557)/O557),J557))"),"")</f>
        <v/>
      </c>
      <c r="Q557" s="264" t="str">
        <f>IFERROR(__xludf.DUMMYFUNCTION("IFERROR(IF(F557=""Crypto"",B557,(IF(ISBLANK(D557),"""",IF(D557=""Cash"",B557,IF(GOOGLEFINANCE(D557,""CURRENCY"")=""GBX"",""GBP"",GOOGLEFINANCE(D557,""CURRENCY"")))))),B557)"),"")</f>
        <v/>
      </c>
      <c r="R557" s="263" t="str">
        <f>IFERROR(__xludf.DUMMYFUNCTION("IF(ISBLANK(A557),"""",IFERROR(IF(OR(Q557=""GPB"",Q557=""ZAR""),IF(Q557=Dashboard!$L$1,K557,(K557*GOOGLEFINANCE(""CURRENCY:""&amp;Q557&amp;""""&amp;Dashboard!$L$1&amp;""""))/100),IF(Q557=Dashboard!$L$1,K557,K557*GOOGLEFINANCE(""CURRENCY:""&amp;Q557&amp;""""&amp;Dashboard!$L$1&amp;"""")))"&amp;",K557))"),"")</f>
        <v/>
      </c>
      <c r="S557" s="266" t="str">
        <f>IFERROR(__xludf.DUMMYFUNCTION("IF(ISBLANK(A557),"""",IFERROR(IF(OR(Q557=""GPB"",Q557=""ZAR""),IF(Q557=Dashboard!$L$1,M557,(M557*GOOGLEFINANCE(""CURRENCY:""&amp;Q557&amp;""""&amp;Dashboard!$L$1&amp;""""))/100),IF(Q557=Dashboard!$L$1,M557,M557*GOOGLEFINANCE(""CURRENCY:""&amp;Q557&amp;""""&amp;Dashboard!$L$1&amp;"""")))"&amp;",M557))"),"")</f>
        <v/>
      </c>
      <c r="T557" s="264" t="str">
        <f t="shared" si="4"/>
        <v/>
      </c>
      <c r="U557" s="264" t="str">
        <f t="shared" si="5"/>
        <v/>
      </c>
      <c r="V557" s="264" t="str">
        <f t="shared" si="6"/>
        <v/>
      </c>
      <c r="W557" s="267" t="str">
        <f t="shared" si="8"/>
        <v/>
      </c>
      <c r="X557" s="264" t="str">
        <f t="shared" si="7"/>
        <v/>
      </c>
    </row>
    <row r="558" ht="15.75" customHeight="1">
      <c r="A558" s="258"/>
      <c r="B558" s="258"/>
      <c r="C558" s="269"/>
      <c r="D558" s="258"/>
      <c r="E558" s="258"/>
      <c r="F558" s="258"/>
      <c r="G558" s="258"/>
      <c r="H558" s="271"/>
      <c r="I558" s="258"/>
      <c r="J558" s="272"/>
      <c r="K558" s="260"/>
      <c r="L558" s="261"/>
      <c r="M558" s="262" t="str">
        <f t="shared" si="1"/>
        <v/>
      </c>
      <c r="N558" s="263" t="str">
        <f t="shared" si="2"/>
        <v/>
      </c>
      <c r="O558" s="264" t="str">
        <f t="shared" si="3"/>
        <v/>
      </c>
      <c r="P558" s="265" t="str">
        <f>IFERROR(__xludf.DUMMYFUNCTION("IF(ISBLANK(A558),"""",IFERROR(IF(H558=""Sell"",VLOOKUP(9^99,FILTER({ROW(P$2:P557),P$2:P557},D$2:D557=D558),2),(VLOOKUP(9^99,FILTER({ROW(P$2:P557),P$2:P557},D$2:D557=D558),2)*VLOOKUP(9^99,FILTER({ROW(O$2:O557),O$2:O557},D$2:D557=D558),2)-N558)/O558),J558))"),"")</f>
        <v/>
      </c>
      <c r="Q558" s="264" t="str">
        <f>IFERROR(__xludf.DUMMYFUNCTION("IFERROR(IF(F558=""Crypto"",B558,(IF(ISBLANK(D558),"""",IF(D558=""Cash"",B558,IF(GOOGLEFINANCE(D558,""CURRENCY"")=""GBX"",""GBP"",GOOGLEFINANCE(D558,""CURRENCY"")))))),B558)"),"")</f>
        <v/>
      </c>
      <c r="R558" s="263" t="str">
        <f>IFERROR(__xludf.DUMMYFUNCTION("IF(ISBLANK(A558),"""",IFERROR(IF(OR(Q558=""GPB"",Q558=""ZAR""),IF(Q558=Dashboard!$L$1,K558,(K558*GOOGLEFINANCE(""CURRENCY:""&amp;Q558&amp;""""&amp;Dashboard!$L$1&amp;""""))/100),IF(Q558=Dashboard!$L$1,K558,K558*GOOGLEFINANCE(""CURRENCY:""&amp;Q558&amp;""""&amp;Dashboard!$L$1&amp;"""")))"&amp;",K558))"),"")</f>
        <v/>
      </c>
      <c r="S558" s="266" t="str">
        <f>IFERROR(__xludf.DUMMYFUNCTION("IF(ISBLANK(A558),"""",IFERROR(IF(OR(Q558=""GPB"",Q558=""ZAR""),IF(Q558=Dashboard!$L$1,M558,(M558*GOOGLEFINANCE(""CURRENCY:""&amp;Q558&amp;""""&amp;Dashboard!$L$1&amp;""""))/100),IF(Q558=Dashboard!$L$1,M558,M558*GOOGLEFINANCE(""CURRENCY:""&amp;Q558&amp;""""&amp;Dashboard!$L$1&amp;"""")))"&amp;",M558))"),"")</f>
        <v/>
      </c>
      <c r="T558" s="264" t="str">
        <f t="shared" si="4"/>
        <v/>
      </c>
      <c r="U558" s="264" t="str">
        <f t="shared" si="5"/>
        <v/>
      </c>
      <c r="V558" s="264" t="str">
        <f t="shared" si="6"/>
        <v/>
      </c>
      <c r="W558" s="267" t="str">
        <f t="shared" si="8"/>
        <v/>
      </c>
      <c r="X558" s="264" t="str">
        <f t="shared" si="7"/>
        <v/>
      </c>
    </row>
    <row r="559" ht="15.75" customHeight="1">
      <c r="A559" s="258"/>
      <c r="B559" s="258"/>
      <c r="C559" s="269"/>
      <c r="D559" s="258"/>
      <c r="E559" s="258"/>
      <c r="F559" s="258"/>
      <c r="G559" s="258"/>
      <c r="H559" s="271"/>
      <c r="I559" s="258"/>
      <c r="J559" s="272"/>
      <c r="K559" s="260"/>
      <c r="L559" s="261"/>
      <c r="M559" s="262" t="str">
        <f t="shared" si="1"/>
        <v/>
      </c>
      <c r="N559" s="263" t="str">
        <f t="shared" si="2"/>
        <v/>
      </c>
      <c r="O559" s="264" t="str">
        <f t="shared" si="3"/>
        <v/>
      </c>
      <c r="P559" s="265" t="str">
        <f>IFERROR(__xludf.DUMMYFUNCTION("IF(ISBLANK(A559),"""",IFERROR(IF(H559=""Sell"",VLOOKUP(9^99,FILTER({ROW(P$2:P558),P$2:P558},D$2:D558=D559),2),(VLOOKUP(9^99,FILTER({ROW(P$2:P558),P$2:P558},D$2:D558=D559),2)*VLOOKUP(9^99,FILTER({ROW(O$2:O558),O$2:O558},D$2:D558=D559),2)-N559)/O559),J559))"),"")</f>
        <v/>
      </c>
      <c r="Q559" s="264" t="str">
        <f>IFERROR(__xludf.DUMMYFUNCTION("IFERROR(IF(F559=""Crypto"",B559,(IF(ISBLANK(D559),"""",IF(D559=""Cash"",B559,IF(GOOGLEFINANCE(D559,""CURRENCY"")=""GBX"",""GBP"",GOOGLEFINANCE(D559,""CURRENCY"")))))),B559)"),"")</f>
        <v/>
      </c>
      <c r="R559" s="263" t="str">
        <f>IFERROR(__xludf.DUMMYFUNCTION("IF(ISBLANK(A559),"""",IFERROR(IF(OR(Q559=""GPB"",Q559=""ZAR""),IF(Q559=Dashboard!$L$1,K559,(K559*GOOGLEFINANCE(""CURRENCY:""&amp;Q559&amp;""""&amp;Dashboard!$L$1&amp;""""))/100),IF(Q559=Dashboard!$L$1,K559,K559*GOOGLEFINANCE(""CURRENCY:""&amp;Q559&amp;""""&amp;Dashboard!$L$1&amp;"""")))"&amp;",K559))"),"")</f>
        <v/>
      </c>
      <c r="S559" s="266" t="str">
        <f>IFERROR(__xludf.DUMMYFUNCTION("IF(ISBLANK(A559),"""",IFERROR(IF(OR(Q559=""GPB"",Q559=""ZAR""),IF(Q559=Dashboard!$L$1,M559,(M559*GOOGLEFINANCE(""CURRENCY:""&amp;Q559&amp;""""&amp;Dashboard!$L$1&amp;""""))/100),IF(Q559=Dashboard!$L$1,M559,M559*GOOGLEFINANCE(""CURRENCY:""&amp;Q559&amp;""""&amp;Dashboard!$L$1&amp;"""")))"&amp;",M559))"),"")</f>
        <v/>
      </c>
      <c r="T559" s="264" t="str">
        <f t="shared" si="4"/>
        <v/>
      </c>
      <c r="U559" s="264" t="str">
        <f t="shared" si="5"/>
        <v/>
      </c>
      <c r="V559" s="264" t="str">
        <f t="shared" si="6"/>
        <v/>
      </c>
      <c r="W559" s="267" t="str">
        <f t="shared" si="8"/>
        <v/>
      </c>
      <c r="X559" s="264" t="str">
        <f t="shared" si="7"/>
        <v/>
      </c>
    </row>
    <row r="560" ht="15.75" customHeight="1">
      <c r="A560" s="258"/>
      <c r="B560" s="258"/>
      <c r="C560" s="269"/>
      <c r="D560" s="258"/>
      <c r="E560" s="258"/>
      <c r="F560" s="258"/>
      <c r="G560" s="258"/>
      <c r="H560" s="271"/>
      <c r="I560" s="258"/>
      <c r="J560" s="272"/>
      <c r="K560" s="260"/>
      <c r="L560" s="261"/>
      <c r="M560" s="262" t="str">
        <f t="shared" si="1"/>
        <v/>
      </c>
      <c r="N560" s="263" t="str">
        <f t="shared" si="2"/>
        <v/>
      </c>
      <c r="O560" s="264" t="str">
        <f t="shared" si="3"/>
        <v/>
      </c>
      <c r="P560" s="265" t="str">
        <f>IFERROR(__xludf.DUMMYFUNCTION("IF(ISBLANK(A560),"""",IFERROR(IF(H560=""Sell"",VLOOKUP(9^99,FILTER({ROW(P$2:P559),P$2:P559},D$2:D559=D560),2),(VLOOKUP(9^99,FILTER({ROW(P$2:P559),P$2:P559},D$2:D559=D560),2)*VLOOKUP(9^99,FILTER({ROW(O$2:O559),O$2:O559},D$2:D559=D560),2)-N560)/O560),J560))"),"")</f>
        <v/>
      </c>
      <c r="Q560" s="264" t="str">
        <f>IFERROR(__xludf.DUMMYFUNCTION("IFERROR(IF(F560=""Crypto"",B560,(IF(ISBLANK(D560),"""",IF(D560=""Cash"",B560,IF(GOOGLEFINANCE(D560,""CURRENCY"")=""GBX"",""GBP"",GOOGLEFINANCE(D560,""CURRENCY"")))))),B560)"),"")</f>
        <v/>
      </c>
      <c r="R560" s="263" t="str">
        <f>IFERROR(__xludf.DUMMYFUNCTION("IF(ISBLANK(A560),"""",IFERROR(IF(OR(Q560=""GPB"",Q560=""ZAR""),IF(Q560=Dashboard!$L$1,K560,(K560*GOOGLEFINANCE(""CURRENCY:""&amp;Q560&amp;""""&amp;Dashboard!$L$1&amp;""""))/100),IF(Q560=Dashboard!$L$1,K560,K560*GOOGLEFINANCE(""CURRENCY:""&amp;Q560&amp;""""&amp;Dashboard!$L$1&amp;"""")))"&amp;",K560))"),"")</f>
        <v/>
      </c>
      <c r="S560" s="266" t="str">
        <f>IFERROR(__xludf.DUMMYFUNCTION("IF(ISBLANK(A560),"""",IFERROR(IF(OR(Q560=""GPB"",Q560=""ZAR""),IF(Q560=Dashboard!$L$1,M560,(M560*GOOGLEFINANCE(""CURRENCY:""&amp;Q560&amp;""""&amp;Dashboard!$L$1&amp;""""))/100),IF(Q560=Dashboard!$L$1,M560,M560*GOOGLEFINANCE(""CURRENCY:""&amp;Q560&amp;""""&amp;Dashboard!$L$1&amp;"""")))"&amp;",M560))"),"")</f>
        <v/>
      </c>
      <c r="T560" s="264" t="str">
        <f t="shared" si="4"/>
        <v/>
      </c>
      <c r="U560" s="264" t="str">
        <f t="shared" si="5"/>
        <v/>
      </c>
      <c r="V560" s="264" t="str">
        <f t="shared" si="6"/>
        <v/>
      </c>
      <c r="W560" s="267" t="str">
        <f t="shared" si="8"/>
        <v/>
      </c>
      <c r="X560" s="264" t="str">
        <f t="shared" si="7"/>
        <v/>
      </c>
    </row>
    <row r="561" ht="15.75" customHeight="1">
      <c r="A561" s="258"/>
      <c r="B561" s="258"/>
      <c r="C561" s="269"/>
      <c r="D561" s="258"/>
      <c r="E561" s="258"/>
      <c r="F561" s="258"/>
      <c r="G561" s="258"/>
      <c r="H561" s="271"/>
      <c r="I561" s="258"/>
      <c r="J561" s="272"/>
      <c r="K561" s="260"/>
      <c r="L561" s="261"/>
      <c r="M561" s="262" t="str">
        <f t="shared" si="1"/>
        <v/>
      </c>
      <c r="N561" s="263" t="str">
        <f t="shared" si="2"/>
        <v/>
      </c>
      <c r="O561" s="264" t="str">
        <f t="shared" si="3"/>
        <v/>
      </c>
      <c r="P561" s="265" t="str">
        <f>IFERROR(__xludf.DUMMYFUNCTION("IF(ISBLANK(A561),"""",IFERROR(IF(H561=""Sell"",VLOOKUP(9^99,FILTER({ROW(P$2:P560),P$2:P560},D$2:D560=D561),2),(VLOOKUP(9^99,FILTER({ROW(P$2:P560),P$2:P560},D$2:D560=D561),2)*VLOOKUP(9^99,FILTER({ROW(O$2:O560),O$2:O560},D$2:D560=D561),2)-N561)/O561),J561))"),"")</f>
        <v/>
      </c>
      <c r="Q561" s="264" t="str">
        <f>IFERROR(__xludf.DUMMYFUNCTION("IFERROR(IF(F561=""Crypto"",B561,(IF(ISBLANK(D561),"""",IF(D561=""Cash"",B561,IF(GOOGLEFINANCE(D561,""CURRENCY"")=""GBX"",""GBP"",GOOGLEFINANCE(D561,""CURRENCY"")))))),B561)"),"")</f>
        <v/>
      </c>
      <c r="R561" s="263" t="str">
        <f>IFERROR(__xludf.DUMMYFUNCTION("IF(ISBLANK(A561),"""",IFERROR(IF(OR(Q561=""GPB"",Q561=""ZAR""),IF(Q561=Dashboard!$L$1,K561,(K561*GOOGLEFINANCE(""CURRENCY:""&amp;Q561&amp;""""&amp;Dashboard!$L$1&amp;""""))/100),IF(Q561=Dashboard!$L$1,K561,K561*GOOGLEFINANCE(""CURRENCY:""&amp;Q561&amp;""""&amp;Dashboard!$L$1&amp;"""")))"&amp;",K561))"),"")</f>
        <v/>
      </c>
      <c r="S561" s="266" t="str">
        <f>IFERROR(__xludf.DUMMYFUNCTION("IF(ISBLANK(A561),"""",IFERROR(IF(OR(Q561=""GPB"",Q561=""ZAR""),IF(Q561=Dashboard!$L$1,M561,(M561*GOOGLEFINANCE(""CURRENCY:""&amp;Q561&amp;""""&amp;Dashboard!$L$1&amp;""""))/100),IF(Q561=Dashboard!$L$1,M561,M561*GOOGLEFINANCE(""CURRENCY:""&amp;Q561&amp;""""&amp;Dashboard!$L$1&amp;"""")))"&amp;",M561))"),"")</f>
        <v/>
      </c>
      <c r="T561" s="264" t="str">
        <f t="shared" si="4"/>
        <v/>
      </c>
      <c r="U561" s="264" t="str">
        <f t="shared" si="5"/>
        <v/>
      </c>
      <c r="V561" s="264" t="str">
        <f t="shared" si="6"/>
        <v/>
      </c>
      <c r="W561" s="267" t="str">
        <f t="shared" si="8"/>
        <v/>
      </c>
      <c r="X561" s="264" t="str">
        <f t="shared" si="7"/>
        <v/>
      </c>
    </row>
    <row r="562" ht="15.75" customHeight="1">
      <c r="A562" s="258"/>
      <c r="B562" s="258"/>
      <c r="C562" s="269"/>
      <c r="D562" s="258"/>
      <c r="E562" s="258"/>
      <c r="F562" s="258"/>
      <c r="G562" s="258"/>
      <c r="H562" s="271"/>
      <c r="I562" s="258"/>
      <c r="J562" s="272"/>
      <c r="K562" s="260"/>
      <c r="L562" s="261"/>
      <c r="M562" s="262" t="str">
        <f t="shared" si="1"/>
        <v/>
      </c>
      <c r="N562" s="263" t="str">
        <f t="shared" si="2"/>
        <v/>
      </c>
      <c r="O562" s="264" t="str">
        <f t="shared" si="3"/>
        <v/>
      </c>
      <c r="P562" s="265" t="str">
        <f>IFERROR(__xludf.DUMMYFUNCTION("IF(ISBLANK(A562),"""",IFERROR(IF(H562=""Sell"",VLOOKUP(9^99,FILTER({ROW(P$2:P561),P$2:P561},D$2:D561=D562),2),(VLOOKUP(9^99,FILTER({ROW(P$2:P561),P$2:P561},D$2:D561=D562),2)*VLOOKUP(9^99,FILTER({ROW(O$2:O561),O$2:O561},D$2:D561=D562),2)-N562)/O562),J562))"),"")</f>
        <v/>
      </c>
      <c r="Q562" s="264" t="str">
        <f>IFERROR(__xludf.DUMMYFUNCTION("IFERROR(IF(F562=""Crypto"",B562,(IF(ISBLANK(D562),"""",IF(D562=""Cash"",B562,IF(GOOGLEFINANCE(D562,""CURRENCY"")=""GBX"",""GBP"",GOOGLEFINANCE(D562,""CURRENCY"")))))),B562)"),"")</f>
        <v/>
      </c>
      <c r="R562" s="263" t="str">
        <f>IFERROR(__xludf.DUMMYFUNCTION("IF(ISBLANK(A562),"""",IFERROR(IF(OR(Q562=""GPB"",Q562=""ZAR""),IF(Q562=Dashboard!$L$1,K562,(K562*GOOGLEFINANCE(""CURRENCY:""&amp;Q562&amp;""""&amp;Dashboard!$L$1&amp;""""))/100),IF(Q562=Dashboard!$L$1,K562,K562*GOOGLEFINANCE(""CURRENCY:""&amp;Q562&amp;""""&amp;Dashboard!$L$1&amp;"""")))"&amp;",K562))"),"")</f>
        <v/>
      </c>
      <c r="S562" s="266" t="str">
        <f>IFERROR(__xludf.DUMMYFUNCTION("IF(ISBLANK(A562),"""",IFERROR(IF(OR(Q562=""GPB"",Q562=""ZAR""),IF(Q562=Dashboard!$L$1,M562,(M562*GOOGLEFINANCE(""CURRENCY:""&amp;Q562&amp;""""&amp;Dashboard!$L$1&amp;""""))/100),IF(Q562=Dashboard!$L$1,M562,M562*GOOGLEFINANCE(""CURRENCY:""&amp;Q562&amp;""""&amp;Dashboard!$L$1&amp;"""")))"&amp;",M562))"),"")</f>
        <v/>
      </c>
      <c r="T562" s="264" t="str">
        <f t="shared" si="4"/>
        <v/>
      </c>
      <c r="U562" s="264" t="str">
        <f t="shared" si="5"/>
        <v/>
      </c>
      <c r="V562" s="264" t="str">
        <f t="shared" si="6"/>
        <v/>
      </c>
      <c r="W562" s="267" t="str">
        <f t="shared" si="8"/>
        <v/>
      </c>
      <c r="X562" s="264" t="str">
        <f t="shared" si="7"/>
        <v/>
      </c>
    </row>
    <row r="563" ht="15.75" customHeight="1">
      <c r="A563" s="258"/>
      <c r="B563" s="258"/>
      <c r="C563" s="269"/>
      <c r="D563" s="258"/>
      <c r="E563" s="258"/>
      <c r="F563" s="258"/>
      <c r="G563" s="258"/>
      <c r="H563" s="271"/>
      <c r="I563" s="258"/>
      <c r="J563" s="272"/>
      <c r="K563" s="260"/>
      <c r="L563" s="261"/>
      <c r="M563" s="262" t="str">
        <f t="shared" si="1"/>
        <v/>
      </c>
      <c r="N563" s="263" t="str">
        <f t="shared" si="2"/>
        <v/>
      </c>
      <c r="O563" s="264" t="str">
        <f t="shared" si="3"/>
        <v/>
      </c>
      <c r="P563" s="265" t="str">
        <f>IFERROR(__xludf.DUMMYFUNCTION("IF(ISBLANK(A563),"""",IFERROR(IF(H563=""Sell"",VLOOKUP(9^99,FILTER({ROW(P$2:P562),P$2:P562},D$2:D562=D563),2),(VLOOKUP(9^99,FILTER({ROW(P$2:P562),P$2:P562},D$2:D562=D563),2)*VLOOKUP(9^99,FILTER({ROW(O$2:O562),O$2:O562},D$2:D562=D563),2)-N563)/O563),J563))"),"")</f>
        <v/>
      </c>
      <c r="Q563" s="264" t="str">
        <f>IFERROR(__xludf.DUMMYFUNCTION("IFERROR(IF(F563=""Crypto"",B563,(IF(ISBLANK(D563),"""",IF(D563=""Cash"",B563,IF(GOOGLEFINANCE(D563,""CURRENCY"")=""GBX"",""GBP"",GOOGLEFINANCE(D563,""CURRENCY"")))))),B563)"),"")</f>
        <v/>
      </c>
      <c r="R563" s="263" t="str">
        <f>IFERROR(__xludf.DUMMYFUNCTION("IF(ISBLANK(A563),"""",IFERROR(IF(OR(Q563=""GPB"",Q563=""ZAR""),IF(Q563=Dashboard!$L$1,K563,(K563*GOOGLEFINANCE(""CURRENCY:""&amp;Q563&amp;""""&amp;Dashboard!$L$1&amp;""""))/100),IF(Q563=Dashboard!$L$1,K563,K563*GOOGLEFINANCE(""CURRENCY:""&amp;Q563&amp;""""&amp;Dashboard!$L$1&amp;"""")))"&amp;",K563))"),"")</f>
        <v/>
      </c>
      <c r="S563" s="266" t="str">
        <f>IFERROR(__xludf.DUMMYFUNCTION("IF(ISBLANK(A563),"""",IFERROR(IF(OR(Q563=""GPB"",Q563=""ZAR""),IF(Q563=Dashboard!$L$1,M563,(M563*GOOGLEFINANCE(""CURRENCY:""&amp;Q563&amp;""""&amp;Dashboard!$L$1&amp;""""))/100),IF(Q563=Dashboard!$L$1,M563,M563*GOOGLEFINANCE(""CURRENCY:""&amp;Q563&amp;""""&amp;Dashboard!$L$1&amp;"""")))"&amp;",M563))"),"")</f>
        <v/>
      </c>
      <c r="T563" s="264" t="str">
        <f t="shared" si="4"/>
        <v/>
      </c>
      <c r="U563" s="264" t="str">
        <f t="shared" si="5"/>
        <v/>
      </c>
      <c r="V563" s="264" t="str">
        <f t="shared" si="6"/>
        <v/>
      </c>
      <c r="W563" s="267" t="str">
        <f t="shared" si="8"/>
        <v/>
      </c>
      <c r="X563" s="264" t="str">
        <f t="shared" si="7"/>
        <v/>
      </c>
    </row>
    <row r="564" ht="15.75" customHeight="1">
      <c r="A564" s="258"/>
      <c r="B564" s="258"/>
      <c r="C564" s="269"/>
      <c r="D564" s="258"/>
      <c r="E564" s="258"/>
      <c r="F564" s="258"/>
      <c r="G564" s="258"/>
      <c r="H564" s="271"/>
      <c r="I564" s="258"/>
      <c r="J564" s="272"/>
      <c r="K564" s="260"/>
      <c r="L564" s="261"/>
      <c r="M564" s="262" t="str">
        <f t="shared" si="1"/>
        <v/>
      </c>
      <c r="N564" s="263" t="str">
        <f t="shared" si="2"/>
        <v/>
      </c>
      <c r="O564" s="264" t="str">
        <f t="shared" si="3"/>
        <v/>
      </c>
      <c r="P564" s="265" t="str">
        <f>IFERROR(__xludf.DUMMYFUNCTION("IF(ISBLANK(A564),"""",IFERROR(IF(H564=""Sell"",VLOOKUP(9^99,FILTER({ROW(P$2:P563),P$2:P563},D$2:D563=D564),2),(VLOOKUP(9^99,FILTER({ROW(P$2:P563),P$2:P563},D$2:D563=D564),2)*VLOOKUP(9^99,FILTER({ROW(O$2:O563),O$2:O563},D$2:D563=D564),2)-N564)/O564),J564))"),"")</f>
        <v/>
      </c>
      <c r="Q564" s="264" t="str">
        <f>IFERROR(__xludf.DUMMYFUNCTION("IFERROR(IF(F564=""Crypto"",B564,(IF(ISBLANK(D564),"""",IF(D564=""Cash"",B564,IF(GOOGLEFINANCE(D564,""CURRENCY"")=""GBX"",""GBP"",GOOGLEFINANCE(D564,""CURRENCY"")))))),B564)"),"")</f>
        <v/>
      </c>
      <c r="R564" s="263" t="str">
        <f>IFERROR(__xludf.DUMMYFUNCTION("IF(ISBLANK(A564),"""",IFERROR(IF(OR(Q564=""GPB"",Q564=""ZAR""),IF(Q564=Dashboard!$L$1,K564,(K564*GOOGLEFINANCE(""CURRENCY:""&amp;Q564&amp;""""&amp;Dashboard!$L$1&amp;""""))/100),IF(Q564=Dashboard!$L$1,K564,K564*GOOGLEFINANCE(""CURRENCY:""&amp;Q564&amp;""""&amp;Dashboard!$L$1&amp;"""")))"&amp;",K564))"),"")</f>
        <v/>
      </c>
      <c r="S564" s="266" t="str">
        <f>IFERROR(__xludf.DUMMYFUNCTION("IF(ISBLANK(A564),"""",IFERROR(IF(OR(Q564=""GPB"",Q564=""ZAR""),IF(Q564=Dashboard!$L$1,M564,(M564*GOOGLEFINANCE(""CURRENCY:""&amp;Q564&amp;""""&amp;Dashboard!$L$1&amp;""""))/100),IF(Q564=Dashboard!$L$1,M564,M564*GOOGLEFINANCE(""CURRENCY:""&amp;Q564&amp;""""&amp;Dashboard!$L$1&amp;"""")))"&amp;",M564))"),"")</f>
        <v/>
      </c>
      <c r="T564" s="264" t="str">
        <f t="shared" si="4"/>
        <v/>
      </c>
      <c r="U564" s="264" t="str">
        <f t="shared" si="5"/>
        <v/>
      </c>
      <c r="V564" s="264" t="str">
        <f t="shared" si="6"/>
        <v/>
      </c>
      <c r="W564" s="267" t="str">
        <f t="shared" si="8"/>
        <v/>
      </c>
      <c r="X564" s="264" t="str">
        <f t="shared" si="7"/>
        <v/>
      </c>
    </row>
    <row r="565" ht="15.75" customHeight="1">
      <c r="A565" s="258"/>
      <c r="B565" s="258"/>
      <c r="C565" s="269"/>
      <c r="D565" s="258"/>
      <c r="E565" s="258"/>
      <c r="F565" s="258"/>
      <c r="G565" s="258"/>
      <c r="H565" s="271"/>
      <c r="I565" s="258"/>
      <c r="J565" s="272"/>
      <c r="K565" s="260"/>
      <c r="L565" s="261"/>
      <c r="M565" s="262" t="str">
        <f t="shared" si="1"/>
        <v/>
      </c>
      <c r="N565" s="263" t="str">
        <f t="shared" si="2"/>
        <v/>
      </c>
      <c r="O565" s="264" t="str">
        <f t="shared" si="3"/>
        <v/>
      </c>
      <c r="P565" s="265" t="str">
        <f>IFERROR(__xludf.DUMMYFUNCTION("IF(ISBLANK(A565),"""",IFERROR(IF(H565=""Sell"",VLOOKUP(9^99,FILTER({ROW(P$2:P564),P$2:P564},D$2:D564=D565),2),(VLOOKUP(9^99,FILTER({ROW(P$2:P564),P$2:P564},D$2:D564=D565),2)*VLOOKUP(9^99,FILTER({ROW(O$2:O564),O$2:O564},D$2:D564=D565),2)-N565)/O565),J565))"),"")</f>
        <v/>
      </c>
      <c r="Q565" s="264" t="str">
        <f>IFERROR(__xludf.DUMMYFUNCTION("IFERROR(IF(F565=""Crypto"",B565,(IF(ISBLANK(D565),"""",IF(D565=""Cash"",B565,IF(GOOGLEFINANCE(D565,""CURRENCY"")=""GBX"",""GBP"",GOOGLEFINANCE(D565,""CURRENCY"")))))),B565)"),"")</f>
        <v/>
      </c>
      <c r="R565" s="263" t="str">
        <f>IFERROR(__xludf.DUMMYFUNCTION("IF(ISBLANK(A565),"""",IFERROR(IF(OR(Q565=""GPB"",Q565=""ZAR""),IF(Q565=Dashboard!$L$1,K565,(K565*GOOGLEFINANCE(""CURRENCY:""&amp;Q565&amp;""""&amp;Dashboard!$L$1&amp;""""))/100),IF(Q565=Dashboard!$L$1,K565,K565*GOOGLEFINANCE(""CURRENCY:""&amp;Q565&amp;""""&amp;Dashboard!$L$1&amp;"""")))"&amp;",K565))"),"")</f>
        <v/>
      </c>
      <c r="S565" s="266" t="str">
        <f>IFERROR(__xludf.DUMMYFUNCTION("IF(ISBLANK(A565),"""",IFERROR(IF(OR(Q565=""GPB"",Q565=""ZAR""),IF(Q565=Dashboard!$L$1,M565,(M565*GOOGLEFINANCE(""CURRENCY:""&amp;Q565&amp;""""&amp;Dashboard!$L$1&amp;""""))/100),IF(Q565=Dashboard!$L$1,M565,M565*GOOGLEFINANCE(""CURRENCY:""&amp;Q565&amp;""""&amp;Dashboard!$L$1&amp;"""")))"&amp;",M565))"),"")</f>
        <v/>
      </c>
      <c r="T565" s="264" t="str">
        <f t="shared" si="4"/>
        <v/>
      </c>
      <c r="U565" s="264" t="str">
        <f t="shared" si="5"/>
        <v/>
      </c>
      <c r="V565" s="264" t="str">
        <f t="shared" si="6"/>
        <v/>
      </c>
      <c r="W565" s="267" t="str">
        <f t="shared" si="8"/>
        <v/>
      </c>
      <c r="X565" s="264" t="str">
        <f t="shared" si="7"/>
        <v/>
      </c>
    </row>
    <row r="566" ht="15.75" customHeight="1">
      <c r="A566" s="258"/>
      <c r="B566" s="258"/>
      <c r="C566" s="269"/>
      <c r="D566" s="258"/>
      <c r="E566" s="258"/>
      <c r="F566" s="258"/>
      <c r="G566" s="258"/>
      <c r="H566" s="271"/>
      <c r="I566" s="258"/>
      <c r="J566" s="272"/>
      <c r="K566" s="260"/>
      <c r="L566" s="261"/>
      <c r="M566" s="262" t="str">
        <f t="shared" si="1"/>
        <v/>
      </c>
      <c r="N566" s="263" t="str">
        <f t="shared" si="2"/>
        <v/>
      </c>
      <c r="O566" s="264" t="str">
        <f t="shared" si="3"/>
        <v/>
      </c>
      <c r="P566" s="265" t="str">
        <f>IFERROR(__xludf.DUMMYFUNCTION("IF(ISBLANK(A566),"""",IFERROR(IF(H566=""Sell"",VLOOKUP(9^99,FILTER({ROW(P$2:P565),P$2:P565},D$2:D565=D566),2),(VLOOKUP(9^99,FILTER({ROW(P$2:P565),P$2:P565},D$2:D565=D566),2)*VLOOKUP(9^99,FILTER({ROW(O$2:O565),O$2:O565},D$2:D565=D566),2)-N566)/O566),J566))"),"")</f>
        <v/>
      </c>
      <c r="Q566" s="264" t="str">
        <f>IFERROR(__xludf.DUMMYFUNCTION("IFERROR(IF(F566=""Crypto"",B566,(IF(ISBLANK(D566),"""",IF(D566=""Cash"",B566,IF(GOOGLEFINANCE(D566,""CURRENCY"")=""GBX"",""GBP"",GOOGLEFINANCE(D566,""CURRENCY"")))))),B566)"),"")</f>
        <v/>
      </c>
      <c r="R566" s="263" t="str">
        <f>IFERROR(__xludf.DUMMYFUNCTION("IF(ISBLANK(A566),"""",IFERROR(IF(OR(Q566=""GPB"",Q566=""ZAR""),IF(Q566=Dashboard!$L$1,K566,(K566*GOOGLEFINANCE(""CURRENCY:""&amp;Q566&amp;""""&amp;Dashboard!$L$1&amp;""""))/100),IF(Q566=Dashboard!$L$1,K566,K566*GOOGLEFINANCE(""CURRENCY:""&amp;Q566&amp;""""&amp;Dashboard!$L$1&amp;"""")))"&amp;",K566))"),"")</f>
        <v/>
      </c>
      <c r="S566" s="266" t="str">
        <f>IFERROR(__xludf.DUMMYFUNCTION("IF(ISBLANK(A566),"""",IFERROR(IF(OR(Q566=""GPB"",Q566=""ZAR""),IF(Q566=Dashboard!$L$1,M566,(M566*GOOGLEFINANCE(""CURRENCY:""&amp;Q566&amp;""""&amp;Dashboard!$L$1&amp;""""))/100),IF(Q566=Dashboard!$L$1,M566,M566*GOOGLEFINANCE(""CURRENCY:""&amp;Q566&amp;""""&amp;Dashboard!$L$1&amp;"""")))"&amp;",M566))"),"")</f>
        <v/>
      </c>
      <c r="T566" s="264" t="str">
        <f t="shared" si="4"/>
        <v/>
      </c>
      <c r="U566" s="264" t="str">
        <f t="shared" si="5"/>
        <v/>
      </c>
      <c r="V566" s="264" t="str">
        <f t="shared" si="6"/>
        <v/>
      </c>
      <c r="W566" s="267" t="str">
        <f t="shared" si="8"/>
        <v/>
      </c>
      <c r="X566" s="264" t="str">
        <f t="shared" si="7"/>
        <v/>
      </c>
    </row>
    <row r="567" ht="15.75" customHeight="1">
      <c r="A567" s="258"/>
      <c r="B567" s="258"/>
      <c r="C567" s="269"/>
      <c r="D567" s="258"/>
      <c r="E567" s="258"/>
      <c r="F567" s="258"/>
      <c r="G567" s="258"/>
      <c r="H567" s="271"/>
      <c r="I567" s="258"/>
      <c r="J567" s="272"/>
      <c r="K567" s="260"/>
      <c r="L567" s="261"/>
      <c r="M567" s="262" t="str">
        <f t="shared" si="1"/>
        <v/>
      </c>
      <c r="N567" s="263" t="str">
        <f t="shared" si="2"/>
        <v/>
      </c>
      <c r="O567" s="264" t="str">
        <f t="shared" si="3"/>
        <v/>
      </c>
      <c r="P567" s="265" t="str">
        <f>IFERROR(__xludf.DUMMYFUNCTION("IF(ISBLANK(A567),"""",IFERROR(IF(H567=""Sell"",VLOOKUP(9^99,FILTER({ROW(P$2:P566),P$2:P566},D$2:D566=D567),2),(VLOOKUP(9^99,FILTER({ROW(P$2:P566),P$2:P566},D$2:D566=D567),2)*VLOOKUP(9^99,FILTER({ROW(O$2:O566),O$2:O566},D$2:D566=D567),2)-N567)/O567),J567))"),"")</f>
        <v/>
      </c>
      <c r="Q567" s="264" t="str">
        <f>IFERROR(__xludf.DUMMYFUNCTION("IFERROR(IF(F567=""Crypto"",B567,(IF(ISBLANK(D567),"""",IF(D567=""Cash"",B567,IF(GOOGLEFINANCE(D567,""CURRENCY"")=""GBX"",""GBP"",GOOGLEFINANCE(D567,""CURRENCY"")))))),B567)"),"")</f>
        <v/>
      </c>
      <c r="R567" s="263" t="str">
        <f>IFERROR(__xludf.DUMMYFUNCTION("IF(ISBLANK(A567),"""",IFERROR(IF(OR(Q567=""GPB"",Q567=""ZAR""),IF(Q567=Dashboard!$L$1,K567,(K567*GOOGLEFINANCE(""CURRENCY:""&amp;Q567&amp;""""&amp;Dashboard!$L$1&amp;""""))/100),IF(Q567=Dashboard!$L$1,K567,K567*GOOGLEFINANCE(""CURRENCY:""&amp;Q567&amp;""""&amp;Dashboard!$L$1&amp;"""")))"&amp;",K567))"),"")</f>
        <v/>
      </c>
      <c r="S567" s="266" t="str">
        <f>IFERROR(__xludf.DUMMYFUNCTION("IF(ISBLANK(A567),"""",IFERROR(IF(OR(Q567=""GPB"",Q567=""ZAR""),IF(Q567=Dashboard!$L$1,M567,(M567*GOOGLEFINANCE(""CURRENCY:""&amp;Q567&amp;""""&amp;Dashboard!$L$1&amp;""""))/100),IF(Q567=Dashboard!$L$1,M567,M567*GOOGLEFINANCE(""CURRENCY:""&amp;Q567&amp;""""&amp;Dashboard!$L$1&amp;"""")))"&amp;",M567))"),"")</f>
        <v/>
      </c>
      <c r="T567" s="264" t="str">
        <f t="shared" si="4"/>
        <v/>
      </c>
      <c r="U567" s="264" t="str">
        <f t="shared" si="5"/>
        <v/>
      </c>
      <c r="V567" s="264" t="str">
        <f t="shared" si="6"/>
        <v/>
      </c>
      <c r="W567" s="267" t="str">
        <f t="shared" si="8"/>
        <v/>
      </c>
      <c r="X567" s="264" t="str">
        <f t="shared" si="7"/>
        <v/>
      </c>
    </row>
    <row r="568" ht="15.75" customHeight="1">
      <c r="A568" s="258"/>
      <c r="B568" s="258"/>
      <c r="C568" s="269"/>
      <c r="D568" s="258"/>
      <c r="E568" s="258"/>
      <c r="F568" s="258"/>
      <c r="G568" s="258"/>
      <c r="H568" s="271"/>
      <c r="I568" s="258"/>
      <c r="J568" s="272"/>
      <c r="K568" s="260"/>
      <c r="L568" s="261"/>
      <c r="M568" s="262" t="str">
        <f t="shared" si="1"/>
        <v/>
      </c>
      <c r="N568" s="263" t="str">
        <f t="shared" si="2"/>
        <v/>
      </c>
      <c r="O568" s="264" t="str">
        <f t="shared" si="3"/>
        <v/>
      </c>
      <c r="P568" s="265" t="str">
        <f>IFERROR(__xludf.DUMMYFUNCTION("IF(ISBLANK(A568),"""",IFERROR(IF(H568=""Sell"",VLOOKUP(9^99,FILTER({ROW(P$2:P567),P$2:P567},D$2:D567=D568),2),(VLOOKUP(9^99,FILTER({ROW(P$2:P567),P$2:P567},D$2:D567=D568),2)*VLOOKUP(9^99,FILTER({ROW(O$2:O567),O$2:O567},D$2:D567=D568),2)-N568)/O568),J568))"),"")</f>
        <v/>
      </c>
      <c r="Q568" s="264" t="str">
        <f>IFERROR(__xludf.DUMMYFUNCTION("IFERROR(IF(F568=""Crypto"",B568,(IF(ISBLANK(D568),"""",IF(D568=""Cash"",B568,IF(GOOGLEFINANCE(D568,""CURRENCY"")=""GBX"",""GBP"",GOOGLEFINANCE(D568,""CURRENCY"")))))),B568)"),"")</f>
        <v/>
      </c>
      <c r="R568" s="263" t="str">
        <f>IFERROR(__xludf.DUMMYFUNCTION("IF(ISBLANK(A568),"""",IFERROR(IF(OR(Q568=""GPB"",Q568=""ZAR""),IF(Q568=Dashboard!$L$1,K568,(K568*GOOGLEFINANCE(""CURRENCY:""&amp;Q568&amp;""""&amp;Dashboard!$L$1&amp;""""))/100),IF(Q568=Dashboard!$L$1,K568,K568*GOOGLEFINANCE(""CURRENCY:""&amp;Q568&amp;""""&amp;Dashboard!$L$1&amp;"""")))"&amp;",K568))"),"")</f>
        <v/>
      </c>
      <c r="S568" s="266" t="str">
        <f>IFERROR(__xludf.DUMMYFUNCTION("IF(ISBLANK(A568),"""",IFERROR(IF(OR(Q568=""GPB"",Q568=""ZAR""),IF(Q568=Dashboard!$L$1,M568,(M568*GOOGLEFINANCE(""CURRENCY:""&amp;Q568&amp;""""&amp;Dashboard!$L$1&amp;""""))/100),IF(Q568=Dashboard!$L$1,M568,M568*GOOGLEFINANCE(""CURRENCY:""&amp;Q568&amp;""""&amp;Dashboard!$L$1&amp;"""")))"&amp;",M568))"),"")</f>
        <v/>
      </c>
      <c r="T568" s="264" t="str">
        <f t="shared" si="4"/>
        <v/>
      </c>
      <c r="U568" s="264" t="str">
        <f t="shared" si="5"/>
        <v/>
      </c>
      <c r="V568" s="264" t="str">
        <f t="shared" si="6"/>
        <v/>
      </c>
      <c r="W568" s="267" t="str">
        <f t="shared" si="8"/>
        <v/>
      </c>
      <c r="X568" s="264" t="str">
        <f t="shared" si="7"/>
        <v/>
      </c>
    </row>
    <row r="569" ht="15.75" customHeight="1">
      <c r="A569" s="258"/>
      <c r="B569" s="258"/>
      <c r="C569" s="269"/>
      <c r="D569" s="258"/>
      <c r="E569" s="258"/>
      <c r="F569" s="258"/>
      <c r="G569" s="258"/>
      <c r="H569" s="271"/>
      <c r="I569" s="258"/>
      <c r="J569" s="272"/>
      <c r="K569" s="260"/>
      <c r="L569" s="261"/>
      <c r="M569" s="262" t="str">
        <f t="shared" si="1"/>
        <v/>
      </c>
      <c r="N569" s="263" t="str">
        <f t="shared" si="2"/>
        <v/>
      </c>
      <c r="O569" s="264" t="str">
        <f t="shared" si="3"/>
        <v/>
      </c>
      <c r="P569" s="265" t="str">
        <f>IFERROR(__xludf.DUMMYFUNCTION("IF(ISBLANK(A569),"""",IFERROR(IF(H569=""Sell"",VLOOKUP(9^99,FILTER({ROW(P$2:P568),P$2:P568},D$2:D568=D569),2),(VLOOKUP(9^99,FILTER({ROW(P$2:P568),P$2:P568},D$2:D568=D569),2)*VLOOKUP(9^99,FILTER({ROW(O$2:O568),O$2:O568},D$2:D568=D569),2)-N569)/O569),J569))"),"")</f>
        <v/>
      </c>
      <c r="Q569" s="264" t="str">
        <f>IFERROR(__xludf.DUMMYFUNCTION("IFERROR(IF(F569=""Crypto"",B569,(IF(ISBLANK(D569),"""",IF(D569=""Cash"",B569,IF(GOOGLEFINANCE(D569,""CURRENCY"")=""GBX"",""GBP"",GOOGLEFINANCE(D569,""CURRENCY"")))))),B569)"),"")</f>
        <v/>
      </c>
      <c r="R569" s="263" t="str">
        <f>IFERROR(__xludf.DUMMYFUNCTION("IF(ISBLANK(A569),"""",IFERROR(IF(OR(Q569=""GPB"",Q569=""ZAR""),IF(Q569=Dashboard!$L$1,K569,(K569*GOOGLEFINANCE(""CURRENCY:""&amp;Q569&amp;""""&amp;Dashboard!$L$1&amp;""""))/100),IF(Q569=Dashboard!$L$1,K569,K569*GOOGLEFINANCE(""CURRENCY:""&amp;Q569&amp;""""&amp;Dashboard!$L$1&amp;"""")))"&amp;",K569))"),"")</f>
        <v/>
      </c>
      <c r="S569" s="266" t="str">
        <f>IFERROR(__xludf.DUMMYFUNCTION("IF(ISBLANK(A569),"""",IFERROR(IF(OR(Q569=""GPB"",Q569=""ZAR""),IF(Q569=Dashboard!$L$1,M569,(M569*GOOGLEFINANCE(""CURRENCY:""&amp;Q569&amp;""""&amp;Dashboard!$L$1&amp;""""))/100),IF(Q569=Dashboard!$L$1,M569,M569*GOOGLEFINANCE(""CURRENCY:""&amp;Q569&amp;""""&amp;Dashboard!$L$1&amp;"""")))"&amp;",M569))"),"")</f>
        <v/>
      </c>
      <c r="T569" s="264" t="str">
        <f t="shared" si="4"/>
        <v/>
      </c>
      <c r="U569" s="264" t="str">
        <f t="shared" si="5"/>
        <v/>
      </c>
      <c r="V569" s="264" t="str">
        <f t="shared" si="6"/>
        <v/>
      </c>
      <c r="W569" s="267" t="str">
        <f t="shared" si="8"/>
        <v/>
      </c>
      <c r="X569" s="264" t="str">
        <f t="shared" si="7"/>
        <v/>
      </c>
    </row>
    <row r="570" ht="15.75" customHeight="1">
      <c r="A570" s="258"/>
      <c r="B570" s="258"/>
      <c r="C570" s="269"/>
      <c r="D570" s="258"/>
      <c r="E570" s="258"/>
      <c r="F570" s="258"/>
      <c r="G570" s="258"/>
      <c r="H570" s="271"/>
      <c r="I570" s="258"/>
      <c r="J570" s="272"/>
      <c r="K570" s="260"/>
      <c r="L570" s="261"/>
      <c r="M570" s="262" t="str">
        <f t="shared" si="1"/>
        <v/>
      </c>
      <c r="N570" s="263" t="str">
        <f t="shared" si="2"/>
        <v/>
      </c>
      <c r="O570" s="264" t="str">
        <f t="shared" si="3"/>
        <v/>
      </c>
      <c r="P570" s="265" t="str">
        <f>IFERROR(__xludf.DUMMYFUNCTION("IF(ISBLANK(A570),"""",IFERROR(IF(H570=""Sell"",VLOOKUP(9^99,FILTER({ROW(P$2:P569),P$2:P569},D$2:D569=D570),2),(VLOOKUP(9^99,FILTER({ROW(P$2:P569),P$2:P569},D$2:D569=D570),2)*VLOOKUP(9^99,FILTER({ROW(O$2:O569),O$2:O569},D$2:D569=D570),2)-N570)/O570),J570))"),"")</f>
        <v/>
      </c>
      <c r="Q570" s="264" t="str">
        <f>IFERROR(__xludf.DUMMYFUNCTION("IFERROR(IF(F570=""Crypto"",B570,(IF(ISBLANK(D570),"""",IF(D570=""Cash"",B570,IF(GOOGLEFINANCE(D570,""CURRENCY"")=""GBX"",""GBP"",GOOGLEFINANCE(D570,""CURRENCY"")))))),B570)"),"")</f>
        <v/>
      </c>
      <c r="R570" s="263" t="str">
        <f>IFERROR(__xludf.DUMMYFUNCTION("IF(ISBLANK(A570),"""",IFERROR(IF(OR(Q570=""GPB"",Q570=""ZAR""),IF(Q570=Dashboard!$L$1,K570,(K570*GOOGLEFINANCE(""CURRENCY:""&amp;Q570&amp;""""&amp;Dashboard!$L$1&amp;""""))/100),IF(Q570=Dashboard!$L$1,K570,K570*GOOGLEFINANCE(""CURRENCY:""&amp;Q570&amp;""""&amp;Dashboard!$L$1&amp;"""")))"&amp;",K570))"),"")</f>
        <v/>
      </c>
      <c r="S570" s="266" t="str">
        <f>IFERROR(__xludf.DUMMYFUNCTION("IF(ISBLANK(A570),"""",IFERROR(IF(OR(Q570=""GPB"",Q570=""ZAR""),IF(Q570=Dashboard!$L$1,M570,(M570*GOOGLEFINANCE(""CURRENCY:""&amp;Q570&amp;""""&amp;Dashboard!$L$1&amp;""""))/100),IF(Q570=Dashboard!$L$1,M570,M570*GOOGLEFINANCE(""CURRENCY:""&amp;Q570&amp;""""&amp;Dashboard!$L$1&amp;"""")))"&amp;",M570))"),"")</f>
        <v/>
      </c>
      <c r="T570" s="264" t="str">
        <f t="shared" si="4"/>
        <v/>
      </c>
      <c r="U570" s="264" t="str">
        <f t="shared" si="5"/>
        <v/>
      </c>
      <c r="V570" s="264" t="str">
        <f t="shared" si="6"/>
        <v/>
      </c>
      <c r="W570" s="267" t="str">
        <f t="shared" si="8"/>
        <v/>
      </c>
      <c r="X570" s="264" t="str">
        <f t="shared" si="7"/>
        <v/>
      </c>
    </row>
    <row r="571" ht="15.75" customHeight="1">
      <c r="A571" s="258"/>
      <c r="B571" s="258"/>
      <c r="C571" s="269"/>
      <c r="D571" s="258"/>
      <c r="E571" s="258"/>
      <c r="F571" s="258"/>
      <c r="G571" s="258"/>
      <c r="H571" s="271"/>
      <c r="I571" s="258"/>
      <c r="J571" s="272"/>
      <c r="K571" s="260"/>
      <c r="L571" s="261"/>
      <c r="M571" s="262" t="str">
        <f t="shared" si="1"/>
        <v/>
      </c>
      <c r="N571" s="263" t="str">
        <f t="shared" si="2"/>
        <v/>
      </c>
      <c r="O571" s="264" t="str">
        <f t="shared" si="3"/>
        <v/>
      </c>
      <c r="P571" s="265" t="str">
        <f>IFERROR(__xludf.DUMMYFUNCTION("IF(ISBLANK(A571),"""",IFERROR(IF(H571=""Sell"",VLOOKUP(9^99,FILTER({ROW(P$2:P570),P$2:P570},D$2:D570=D571),2),(VLOOKUP(9^99,FILTER({ROW(P$2:P570),P$2:P570},D$2:D570=D571),2)*VLOOKUP(9^99,FILTER({ROW(O$2:O570),O$2:O570},D$2:D570=D571),2)-N571)/O571),J571))"),"")</f>
        <v/>
      </c>
      <c r="Q571" s="264" t="str">
        <f>IFERROR(__xludf.DUMMYFUNCTION("IFERROR(IF(F571=""Crypto"",B571,(IF(ISBLANK(D571),"""",IF(D571=""Cash"",B571,IF(GOOGLEFINANCE(D571,""CURRENCY"")=""GBX"",""GBP"",GOOGLEFINANCE(D571,""CURRENCY"")))))),B571)"),"")</f>
        <v/>
      </c>
      <c r="R571" s="263" t="str">
        <f>IFERROR(__xludf.DUMMYFUNCTION("IF(ISBLANK(A571),"""",IFERROR(IF(OR(Q571=""GPB"",Q571=""ZAR""),IF(Q571=Dashboard!$L$1,K571,(K571*GOOGLEFINANCE(""CURRENCY:""&amp;Q571&amp;""""&amp;Dashboard!$L$1&amp;""""))/100),IF(Q571=Dashboard!$L$1,K571,K571*GOOGLEFINANCE(""CURRENCY:""&amp;Q571&amp;""""&amp;Dashboard!$L$1&amp;"""")))"&amp;",K571))"),"")</f>
        <v/>
      </c>
      <c r="S571" s="266" t="str">
        <f>IFERROR(__xludf.DUMMYFUNCTION("IF(ISBLANK(A571),"""",IFERROR(IF(OR(Q571=""GPB"",Q571=""ZAR""),IF(Q571=Dashboard!$L$1,M571,(M571*GOOGLEFINANCE(""CURRENCY:""&amp;Q571&amp;""""&amp;Dashboard!$L$1&amp;""""))/100),IF(Q571=Dashboard!$L$1,M571,M571*GOOGLEFINANCE(""CURRENCY:""&amp;Q571&amp;""""&amp;Dashboard!$L$1&amp;"""")))"&amp;",M571))"),"")</f>
        <v/>
      </c>
      <c r="T571" s="264" t="str">
        <f t="shared" si="4"/>
        <v/>
      </c>
      <c r="U571" s="264" t="str">
        <f t="shared" si="5"/>
        <v/>
      </c>
      <c r="V571" s="264" t="str">
        <f t="shared" si="6"/>
        <v/>
      </c>
      <c r="W571" s="267" t="str">
        <f t="shared" si="8"/>
        <v/>
      </c>
      <c r="X571" s="264" t="str">
        <f t="shared" si="7"/>
        <v/>
      </c>
    </row>
    <row r="572" ht="15.75" customHeight="1">
      <c r="A572" s="258"/>
      <c r="B572" s="258"/>
      <c r="C572" s="269"/>
      <c r="D572" s="258"/>
      <c r="E572" s="258"/>
      <c r="F572" s="258"/>
      <c r="G572" s="258"/>
      <c r="H572" s="271"/>
      <c r="I572" s="258"/>
      <c r="J572" s="272"/>
      <c r="K572" s="260"/>
      <c r="L572" s="261"/>
      <c r="M572" s="262" t="str">
        <f t="shared" si="1"/>
        <v/>
      </c>
      <c r="N572" s="263" t="str">
        <f t="shared" si="2"/>
        <v/>
      </c>
      <c r="O572" s="264" t="str">
        <f t="shared" si="3"/>
        <v/>
      </c>
      <c r="P572" s="265" t="str">
        <f>IFERROR(__xludf.DUMMYFUNCTION("IF(ISBLANK(A572),"""",IFERROR(IF(H572=""Sell"",VLOOKUP(9^99,FILTER({ROW(P$2:P571),P$2:P571},D$2:D571=D572),2),(VLOOKUP(9^99,FILTER({ROW(P$2:P571),P$2:P571},D$2:D571=D572),2)*VLOOKUP(9^99,FILTER({ROW(O$2:O571),O$2:O571},D$2:D571=D572),2)-N572)/O572),J572))"),"")</f>
        <v/>
      </c>
      <c r="Q572" s="264" t="str">
        <f>IFERROR(__xludf.DUMMYFUNCTION("IFERROR(IF(F572=""Crypto"",B572,(IF(ISBLANK(D572),"""",IF(D572=""Cash"",B572,IF(GOOGLEFINANCE(D572,""CURRENCY"")=""GBX"",""GBP"",GOOGLEFINANCE(D572,""CURRENCY"")))))),B572)"),"")</f>
        <v/>
      </c>
      <c r="R572" s="263" t="str">
        <f>IFERROR(__xludf.DUMMYFUNCTION("IF(ISBLANK(A572),"""",IFERROR(IF(OR(Q572=""GPB"",Q572=""ZAR""),IF(Q572=Dashboard!$L$1,K572,(K572*GOOGLEFINANCE(""CURRENCY:""&amp;Q572&amp;""""&amp;Dashboard!$L$1&amp;""""))/100),IF(Q572=Dashboard!$L$1,K572,K572*GOOGLEFINANCE(""CURRENCY:""&amp;Q572&amp;""""&amp;Dashboard!$L$1&amp;"""")))"&amp;",K572))"),"")</f>
        <v/>
      </c>
      <c r="S572" s="266" t="str">
        <f>IFERROR(__xludf.DUMMYFUNCTION("IF(ISBLANK(A572),"""",IFERROR(IF(OR(Q572=""GPB"",Q572=""ZAR""),IF(Q572=Dashboard!$L$1,M572,(M572*GOOGLEFINANCE(""CURRENCY:""&amp;Q572&amp;""""&amp;Dashboard!$L$1&amp;""""))/100),IF(Q572=Dashboard!$L$1,M572,M572*GOOGLEFINANCE(""CURRENCY:""&amp;Q572&amp;""""&amp;Dashboard!$L$1&amp;"""")))"&amp;",M572))"),"")</f>
        <v/>
      </c>
      <c r="T572" s="264" t="str">
        <f t="shared" si="4"/>
        <v/>
      </c>
      <c r="U572" s="264" t="str">
        <f t="shared" si="5"/>
        <v/>
      </c>
      <c r="V572" s="264" t="str">
        <f t="shared" si="6"/>
        <v/>
      </c>
      <c r="W572" s="267" t="str">
        <f t="shared" si="8"/>
        <v/>
      </c>
      <c r="X572" s="264" t="str">
        <f t="shared" si="7"/>
        <v/>
      </c>
    </row>
    <row r="573" ht="15.75" customHeight="1">
      <c r="A573" s="258"/>
      <c r="B573" s="258"/>
      <c r="C573" s="269"/>
      <c r="D573" s="258"/>
      <c r="E573" s="258"/>
      <c r="F573" s="258"/>
      <c r="G573" s="258"/>
      <c r="H573" s="271"/>
      <c r="I573" s="258"/>
      <c r="J573" s="272"/>
      <c r="K573" s="260"/>
      <c r="L573" s="261"/>
      <c r="M573" s="262" t="str">
        <f t="shared" si="1"/>
        <v/>
      </c>
      <c r="N573" s="263" t="str">
        <f t="shared" si="2"/>
        <v/>
      </c>
      <c r="O573" s="264" t="str">
        <f t="shared" si="3"/>
        <v/>
      </c>
      <c r="P573" s="265" t="str">
        <f>IFERROR(__xludf.DUMMYFUNCTION("IF(ISBLANK(A573),"""",IFERROR(IF(H573=""Sell"",VLOOKUP(9^99,FILTER({ROW(P$2:P572),P$2:P572},D$2:D572=D573),2),(VLOOKUP(9^99,FILTER({ROW(P$2:P572),P$2:P572},D$2:D572=D573),2)*VLOOKUP(9^99,FILTER({ROW(O$2:O572),O$2:O572},D$2:D572=D573),2)-N573)/O573),J573))"),"")</f>
        <v/>
      </c>
      <c r="Q573" s="264" t="str">
        <f>IFERROR(__xludf.DUMMYFUNCTION("IFERROR(IF(F573=""Crypto"",B573,(IF(ISBLANK(D573),"""",IF(D573=""Cash"",B573,IF(GOOGLEFINANCE(D573,""CURRENCY"")=""GBX"",""GBP"",GOOGLEFINANCE(D573,""CURRENCY"")))))),B573)"),"")</f>
        <v/>
      </c>
      <c r="R573" s="263" t="str">
        <f>IFERROR(__xludf.DUMMYFUNCTION("IF(ISBLANK(A573),"""",IFERROR(IF(OR(Q573=""GPB"",Q573=""ZAR""),IF(Q573=Dashboard!$L$1,K573,(K573*GOOGLEFINANCE(""CURRENCY:""&amp;Q573&amp;""""&amp;Dashboard!$L$1&amp;""""))/100),IF(Q573=Dashboard!$L$1,K573,K573*GOOGLEFINANCE(""CURRENCY:""&amp;Q573&amp;""""&amp;Dashboard!$L$1&amp;"""")))"&amp;",K573))"),"")</f>
        <v/>
      </c>
      <c r="S573" s="266" t="str">
        <f>IFERROR(__xludf.DUMMYFUNCTION("IF(ISBLANK(A573),"""",IFERROR(IF(OR(Q573=""GPB"",Q573=""ZAR""),IF(Q573=Dashboard!$L$1,M573,(M573*GOOGLEFINANCE(""CURRENCY:""&amp;Q573&amp;""""&amp;Dashboard!$L$1&amp;""""))/100),IF(Q573=Dashboard!$L$1,M573,M573*GOOGLEFINANCE(""CURRENCY:""&amp;Q573&amp;""""&amp;Dashboard!$L$1&amp;"""")))"&amp;",M573))"),"")</f>
        <v/>
      </c>
      <c r="T573" s="264" t="str">
        <f t="shared" si="4"/>
        <v/>
      </c>
      <c r="U573" s="264" t="str">
        <f t="shared" si="5"/>
        <v/>
      </c>
      <c r="V573" s="264" t="str">
        <f t="shared" si="6"/>
        <v/>
      </c>
      <c r="W573" s="267" t="str">
        <f t="shared" si="8"/>
        <v/>
      </c>
      <c r="X573" s="264" t="str">
        <f t="shared" si="7"/>
        <v/>
      </c>
    </row>
    <row r="574" ht="15.75" customHeight="1">
      <c r="A574" s="258"/>
      <c r="B574" s="258"/>
      <c r="C574" s="269"/>
      <c r="D574" s="258"/>
      <c r="E574" s="258"/>
      <c r="F574" s="258"/>
      <c r="G574" s="258"/>
      <c r="H574" s="271"/>
      <c r="I574" s="258"/>
      <c r="J574" s="272"/>
      <c r="K574" s="260"/>
      <c r="L574" s="261"/>
      <c r="M574" s="262" t="str">
        <f t="shared" si="1"/>
        <v/>
      </c>
      <c r="N574" s="263" t="str">
        <f t="shared" si="2"/>
        <v/>
      </c>
      <c r="O574" s="264" t="str">
        <f t="shared" si="3"/>
        <v/>
      </c>
      <c r="P574" s="265" t="str">
        <f>IFERROR(__xludf.DUMMYFUNCTION("IF(ISBLANK(A574),"""",IFERROR(IF(H574=""Sell"",VLOOKUP(9^99,FILTER({ROW(P$2:P573),P$2:P573},D$2:D573=D574),2),(VLOOKUP(9^99,FILTER({ROW(P$2:P573),P$2:P573},D$2:D573=D574),2)*VLOOKUP(9^99,FILTER({ROW(O$2:O573),O$2:O573},D$2:D573=D574),2)-N574)/O574),J574))"),"")</f>
        <v/>
      </c>
      <c r="Q574" s="264" t="str">
        <f>IFERROR(__xludf.DUMMYFUNCTION("IFERROR(IF(F574=""Crypto"",B574,(IF(ISBLANK(D574),"""",IF(D574=""Cash"",B574,IF(GOOGLEFINANCE(D574,""CURRENCY"")=""GBX"",""GBP"",GOOGLEFINANCE(D574,""CURRENCY"")))))),B574)"),"")</f>
        <v/>
      </c>
      <c r="R574" s="263" t="str">
        <f>IFERROR(__xludf.DUMMYFUNCTION("IF(ISBLANK(A574),"""",IFERROR(IF(OR(Q574=""GPB"",Q574=""ZAR""),IF(Q574=Dashboard!$L$1,K574,(K574*GOOGLEFINANCE(""CURRENCY:""&amp;Q574&amp;""""&amp;Dashboard!$L$1&amp;""""))/100),IF(Q574=Dashboard!$L$1,K574,K574*GOOGLEFINANCE(""CURRENCY:""&amp;Q574&amp;""""&amp;Dashboard!$L$1&amp;"""")))"&amp;",K574))"),"")</f>
        <v/>
      </c>
      <c r="S574" s="266" t="str">
        <f>IFERROR(__xludf.DUMMYFUNCTION("IF(ISBLANK(A574),"""",IFERROR(IF(OR(Q574=""GPB"",Q574=""ZAR""),IF(Q574=Dashboard!$L$1,M574,(M574*GOOGLEFINANCE(""CURRENCY:""&amp;Q574&amp;""""&amp;Dashboard!$L$1&amp;""""))/100),IF(Q574=Dashboard!$L$1,M574,M574*GOOGLEFINANCE(""CURRENCY:""&amp;Q574&amp;""""&amp;Dashboard!$L$1&amp;"""")))"&amp;",M574))"),"")</f>
        <v/>
      </c>
      <c r="T574" s="264" t="str">
        <f t="shared" si="4"/>
        <v/>
      </c>
      <c r="U574" s="264" t="str">
        <f t="shared" si="5"/>
        <v/>
      </c>
      <c r="V574" s="264" t="str">
        <f t="shared" si="6"/>
        <v/>
      </c>
      <c r="W574" s="267" t="str">
        <f t="shared" si="8"/>
        <v/>
      </c>
      <c r="X574" s="264" t="str">
        <f t="shared" si="7"/>
        <v/>
      </c>
    </row>
    <row r="575" ht="15.75" customHeight="1">
      <c r="A575" s="258"/>
      <c r="B575" s="258"/>
      <c r="C575" s="269"/>
      <c r="D575" s="258"/>
      <c r="E575" s="258"/>
      <c r="F575" s="258"/>
      <c r="G575" s="258"/>
      <c r="H575" s="271"/>
      <c r="I575" s="258"/>
      <c r="J575" s="272"/>
      <c r="K575" s="260"/>
      <c r="L575" s="261"/>
      <c r="M575" s="262" t="str">
        <f t="shared" si="1"/>
        <v/>
      </c>
      <c r="N575" s="263" t="str">
        <f t="shared" si="2"/>
        <v/>
      </c>
      <c r="O575" s="264" t="str">
        <f t="shared" si="3"/>
        <v/>
      </c>
      <c r="P575" s="265" t="str">
        <f>IFERROR(__xludf.DUMMYFUNCTION("IF(ISBLANK(A575),"""",IFERROR(IF(H575=""Sell"",VLOOKUP(9^99,FILTER({ROW(P$2:P574),P$2:P574},D$2:D574=D575),2),(VLOOKUP(9^99,FILTER({ROW(P$2:P574),P$2:P574},D$2:D574=D575),2)*VLOOKUP(9^99,FILTER({ROW(O$2:O574),O$2:O574},D$2:D574=D575),2)-N575)/O575),J575))"),"")</f>
        <v/>
      </c>
      <c r="Q575" s="264" t="str">
        <f>IFERROR(__xludf.DUMMYFUNCTION("IFERROR(IF(F575=""Crypto"",B575,(IF(ISBLANK(D575),"""",IF(D575=""Cash"",B575,IF(GOOGLEFINANCE(D575,""CURRENCY"")=""GBX"",""GBP"",GOOGLEFINANCE(D575,""CURRENCY"")))))),B575)"),"")</f>
        <v/>
      </c>
      <c r="R575" s="263" t="str">
        <f>IFERROR(__xludf.DUMMYFUNCTION("IF(ISBLANK(A575),"""",IFERROR(IF(OR(Q575=""GPB"",Q575=""ZAR""),IF(Q575=Dashboard!$L$1,K575,(K575*GOOGLEFINANCE(""CURRENCY:""&amp;Q575&amp;""""&amp;Dashboard!$L$1&amp;""""))/100),IF(Q575=Dashboard!$L$1,K575,K575*GOOGLEFINANCE(""CURRENCY:""&amp;Q575&amp;""""&amp;Dashboard!$L$1&amp;"""")))"&amp;",K575))"),"")</f>
        <v/>
      </c>
      <c r="S575" s="266" t="str">
        <f>IFERROR(__xludf.DUMMYFUNCTION("IF(ISBLANK(A575),"""",IFERROR(IF(OR(Q575=""GPB"",Q575=""ZAR""),IF(Q575=Dashboard!$L$1,M575,(M575*GOOGLEFINANCE(""CURRENCY:""&amp;Q575&amp;""""&amp;Dashboard!$L$1&amp;""""))/100),IF(Q575=Dashboard!$L$1,M575,M575*GOOGLEFINANCE(""CURRENCY:""&amp;Q575&amp;""""&amp;Dashboard!$L$1&amp;"""")))"&amp;",M575))"),"")</f>
        <v/>
      </c>
      <c r="T575" s="264" t="str">
        <f t="shared" si="4"/>
        <v/>
      </c>
      <c r="U575" s="264" t="str">
        <f t="shared" si="5"/>
        <v/>
      </c>
      <c r="V575" s="264" t="str">
        <f t="shared" si="6"/>
        <v/>
      </c>
      <c r="W575" s="267" t="str">
        <f t="shared" si="8"/>
        <v/>
      </c>
      <c r="X575" s="264" t="str">
        <f t="shared" si="7"/>
        <v/>
      </c>
    </row>
    <row r="576" ht="15.75" customHeight="1">
      <c r="A576" s="258"/>
      <c r="B576" s="258"/>
      <c r="C576" s="269"/>
      <c r="D576" s="258"/>
      <c r="E576" s="258"/>
      <c r="F576" s="258"/>
      <c r="G576" s="258"/>
      <c r="H576" s="271"/>
      <c r="I576" s="258"/>
      <c r="J576" s="272"/>
      <c r="K576" s="260"/>
      <c r="L576" s="261"/>
      <c r="M576" s="262" t="str">
        <f t="shared" si="1"/>
        <v/>
      </c>
      <c r="N576" s="263" t="str">
        <f t="shared" si="2"/>
        <v/>
      </c>
      <c r="O576" s="264" t="str">
        <f t="shared" si="3"/>
        <v/>
      </c>
      <c r="P576" s="265" t="str">
        <f>IFERROR(__xludf.DUMMYFUNCTION("IF(ISBLANK(A576),"""",IFERROR(IF(H576=""Sell"",VLOOKUP(9^99,FILTER({ROW(P$2:P575),P$2:P575},D$2:D575=D576),2),(VLOOKUP(9^99,FILTER({ROW(P$2:P575),P$2:P575},D$2:D575=D576),2)*VLOOKUP(9^99,FILTER({ROW(O$2:O575),O$2:O575},D$2:D575=D576),2)-N576)/O576),J576))"),"")</f>
        <v/>
      </c>
      <c r="Q576" s="264" t="str">
        <f>IFERROR(__xludf.DUMMYFUNCTION("IFERROR(IF(F576=""Crypto"",B576,(IF(ISBLANK(D576),"""",IF(D576=""Cash"",B576,IF(GOOGLEFINANCE(D576,""CURRENCY"")=""GBX"",""GBP"",GOOGLEFINANCE(D576,""CURRENCY"")))))),B576)"),"")</f>
        <v/>
      </c>
      <c r="R576" s="263" t="str">
        <f>IFERROR(__xludf.DUMMYFUNCTION("IF(ISBLANK(A576),"""",IFERROR(IF(OR(Q576=""GPB"",Q576=""ZAR""),IF(Q576=Dashboard!$L$1,K576,(K576*GOOGLEFINANCE(""CURRENCY:""&amp;Q576&amp;""""&amp;Dashboard!$L$1&amp;""""))/100),IF(Q576=Dashboard!$L$1,K576,K576*GOOGLEFINANCE(""CURRENCY:""&amp;Q576&amp;""""&amp;Dashboard!$L$1&amp;"""")))"&amp;",K576))"),"")</f>
        <v/>
      </c>
      <c r="S576" s="266" t="str">
        <f>IFERROR(__xludf.DUMMYFUNCTION("IF(ISBLANK(A576),"""",IFERROR(IF(OR(Q576=""GPB"",Q576=""ZAR""),IF(Q576=Dashboard!$L$1,M576,(M576*GOOGLEFINANCE(""CURRENCY:""&amp;Q576&amp;""""&amp;Dashboard!$L$1&amp;""""))/100),IF(Q576=Dashboard!$L$1,M576,M576*GOOGLEFINANCE(""CURRENCY:""&amp;Q576&amp;""""&amp;Dashboard!$L$1&amp;"""")))"&amp;",M576))"),"")</f>
        <v/>
      </c>
      <c r="T576" s="264" t="str">
        <f t="shared" si="4"/>
        <v/>
      </c>
      <c r="U576" s="264" t="str">
        <f t="shared" si="5"/>
        <v/>
      </c>
      <c r="V576" s="264" t="str">
        <f t="shared" si="6"/>
        <v/>
      </c>
      <c r="W576" s="267" t="str">
        <f t="shared" si="8"/>
        <v/>
      </c>
      <c r="X576" s="264" t="str">
        <f t="shared" si="7"/>
        <v/>
      </c>
    </row>
    <row r="577" ht="15.75" customHeight="1">
      <c r="A577" s="258"/>
      <c r="B577" s="258"/>
      <c r="C577" s="269"/>
      <c r="D577" s="258"/>
      <c r="E577" s="258"/>
      <c r="F577" s="258"/>
      <c r="G577" s="258"/>
      <c r="H577" s="271"/>
      <c r="I577" s="258"/>
      <c r="J577" s="272"/>
      <c r="K577" s="260"/>
      <c r="L577" s="261"/>
      <c r="M577" s="262" t="str">
        <f t="shared" si="1"/>
        <v/>
      </c>
      <c r="N577" s="263" t="str">
        <f t="shared" si="2"/>
        <v/>
      </c>
      <c r="O577" s="264" t="str">
        <f t="shared" si="3"/>
        <v/>
      </c>
      <c r="P577" s="265" t="str">
        <f>IFERROR(__xludf.DUMMYFUNCTION("IF(ISBLANK(A577),"""",IFERROR(IF(H577=""Sell"",VLOOKUP(9^99,FILTER({ROW(P$2:P576),P$2:P576},D$2:D576=D577),2),(VLOOKUP(9^99,FILTER({ROW(P$2:P576),P$2:P576},D$2:D576=D577),2)*VLOOKUP(9^99,FILTER({ROW(O$2:O576),O$2:O576},D$2:D576=D577),2)-N577)/O577),J577))"),"")</f>
        <v/>
      </c>
      <c r="Q577" s="264" t="str">
        <f>IFERROR(__xludf.DUMMYFUNCTION("IFERROR(IF(F577=""Crypto"",B577,(IF(ISBLANK(D577),"""",IF(D577=""Cash"",B577,IF(GOOGLEFINANCE(D577,""CURRENCY"")=""GBX"",""GBP"",GOOGLEFINANCE(D577,""CURRENCY"")))))),B577)"),"")</f>
        <v/>
      </c>
      <c r="R577" s="263" t="str">
        <f>IFERROR(__xludf.DUMMYFUNCTION("IF(ISBLANK(A577),"""",IFERROR(IF(OR(Q577=""GPB"",Q577=""ZAR""),IF(Q577=Dashboard!$L$1,K577,(K577*GOOGLEFINANCE(""CURRENCY:""&amp;Q577&amp;""""&amp;Dashboard!$L$1&amp;""""))/100),IF(Q577=Dashboard!$L$1,K577,K577*GOOGLEFINANCE(""CURRENCY:""&amp;Q577&amp;""""&amp;Dashboard!$L$1&amp;"""")))"&amp;",K577))"),"")</f>
        <v/>
      </c>
      <c r="S577" s="266" t="str">
        <f>IFERROR(__xludf.DUMMYFUNCTION("IF(ISBLANK(A577),"""",IFERROR(IF(OR(Q577=""GPB"",Q577=""ZAR""),IF(Q577=Dashboard!$L$1,M577,(M577*GOOGLEFINANCE(""CURRENCY:""&amp;Q577&amp;""""&amp;Dashboard!$L$1&amp;""""))/100),IF(Q577=Dashboard!$L$1,M577,M577*GOOGLEFINANCE(""CURRENCY:""&amp;Q577&amp;""""&amp;Dashboard!$L$1&amp;"""")))"&amp;",M577))"),"")</f>
        <v/>
      </c>
      <c r="T577" s="264" t="str">
        <f t="shared" si="4"/>
        <v/>
      </c>
      <c r="U577" s="264" t="str">
        <f t="shared" si="5"/>
        <v/>
      </c>
      <c r="V577" s="264" t="str">
        <f t="shared" si="6"/>
        <v/>
      </c>
      <c r="W577" s="267" t="str">
        <f t="shared" si="8"/>
        <v/>
      </c>
      <c r="X577" s="264" t="str">
        <f t="shared" si="7"/>
        <v/>
      </c>
    </row>
    <row r="578" ht="15.75" customHeight="1">
      <c r="A578" s="258"/>
      <c r="B578" s="258"/>
      <c r="C578" s="269"/>
      <c r="D578" s="258"/>
      <c r="E578" s="258"/>
      <c r="F578" s="258"/>
      <c r="G578" s="258"/>
      <c r="H578" s="271"/>
      <c r="I578" s="258"/>
      <c r="J578" s="272"/>
      <c r="K578" s="260"/>
      <c r="L578" s="261"/>
      <c r="M578" s="262" t="str">
        <f t="shared" si="1"/>
        <v/>
      </c>
      <c r="N578" s="263" t="str">
        <f t="shared" si="2"/>
        <v/>
      </c>
      <c r="O578" s="264" t="str">
        <f t="shared" si="3"/>
        <v/>
      </c>
      <c r="P578" s="265" t="str">
        <f>IFERROR(__xludf.DUMMYFUNCTION("IF(ISBLANK(A578),"""",IFERROR(IF(H578=""Sell"",VLOOKUP(9^99,FILTER({ROW(P$2:P577),P$2:P577},D$2:D577=D578),2),(VLOOKUP(9^99,FILTER({ROW(P$2:P577),P$2:P577},D$2:D577=D578),2)*VLOOKUP(9^99,FILTER({ROW(O$2:O577),O$2:O577},D$2:D577=D578),2)-N578)/O578),J578))"),"")</f>
        <v/>
      </c>
      <c r="Q578" s="264" t="str">
        <f>IFERROR(__xludf.DUMMYFUNCTION("IFERROR(IF(F578=""Crypto"",B578,(IF(ISBLANK(D578),"""",IF(D578=""Cash"",B578,IF(GOOGLEFINANCE(D578,""CURRENCY"")=""GBX"",""GBP"",GOOGLEFINANCE(D578,""CURRENCY"")))))),B578)"),"")</f>
        <v/>
      </c>
      <c r="R578" s="263" t="str">
        <f>IFERROR(__xludf.DUMMYFUNCTION("IF(ISBLANK(A578),"""",IFERROR(IF(OR(Q578=""GPB"",Q578=""ZAR""),IF(Q578=Dashboard!$L$1,K578,(K578*GOOGLEFINANCE(""CURRENCY:""&amp;Q578&amp;""""&amp;Dashboard!$L$1&amp;""""))/100),IF(Q578=Dashboard!$L$1,K578,K578*GOOGLEFINANCE(""CURRENCY:""&amp;Q578&amp;""""&amp;Dashboard!$L$1&amp;"""")))"&amp;",K578))"),"")</f>
        <v/>
      </c>
      <c r="S578" s="266" t="str">
        <f>IFERROR(__xludf.DUMMYFUNCTION("IF(ISBLANK(A578),"""",IFERROR(IF(OR(Q578=""GPB"",Q578=""ZAR""),IF(Q578=Dashboard!$L$1,M578,(M578*GOOGLEFINANCE(""CURRENCY:""&amp;Q578&amp;""""&amp;Dashboard!$L$1&amp;""""))/100),IF(Q578=Dashboard!$L$1,M578,M578*GOOGLEFINANCE(""CURRENCY:""&amp;Q578&amp;""""&amp;Dashboard!$L$1&amp;"""")))"&amp;",M578))"),"")</f>
        <v/>
      </c>
      <c r="T578" s="264" t="str">
        <f t="shared" si="4"/>
        <v/>
      </c>
      <c r="U578" s="264" t="str">
        <f t="shared" si="5"/>
        <v/>
      </c>
      <c r="V578" s="264" t="str">
        <f t="shared" si="6"/>
        <v/>
      </c>
      <c r="W578" s="267" t="str">
        <f t="shared" si="8"/>
        <v/>
      </c>
      <c r="X578" s="264" t="str">
        <f t="shared" si="7"/>
        <v/>
      </c>
    </row>
    <row r="579" ht="15.75" customHeight="1">
      <c r="A579" s="258"/>
      <c r="B579" s="258"/>
      <c r="C579" s="269"/>
      <c r="D579" s="258"/>
      <c r="E579" s="258"/>
      <c r="F579" s="258"/>
      <c r="G579" s="258"/>
      <c r="H579" s="271"/>
      <c r="I579" s="258"/>
      <c r="J579" s="272"/>
      <c r="K579" s="260"/>
      <c r="L579" s="261"/>
      <c r="M579" s="262" t="str">
        <f t="shared" si="1"/>
        <v/>
      </c>
      <c r="N579" s="263" t="str">
        <f t="shared" si="2"/>
        <v/>
      </c>
      <c r="O579" s="264" t="str">
        <f t="shared" si="3"/>
        <v/>
      </c>
      <c r="P579" s="265" t="str">
        <f>IFERROR(__xludf.DUMMYFUNCTION("IF(ISBLANK(A579),"""",IFERROR(IF(H579=""Sell"",VLOOKUP(9^99,FILTER({ROW(P$2:P578),P$2:P578},D$2:D578=D579),2),(VLOOKUP(9^99,FILTER({ROW(P$2:P578),P$2:P578},D$2:D578=D579),2)*VLOOKUP(9^99,FILTER({ROW(O$2:O578),O$2:O578},D$2:D578=D579),2)-N579)/O579),J579))"),"")</f>
        <v/>
      </c>
      <c r="Q579" s="264" t="str">
        <f>IFERROR(__xludf.DUMMYFUNCTION("IFERROR(IF(F579=""Crypto"",B579,(IF(ISBLANK(D579),"""",IF(D579=""Cash"",B579,IF(GOOGLEFINANCE(D579,""CURRENCY"")=""GBX"",""GBP"",GOOGLEFINANCE(D579,""CURRENCY"")))))),B579)"),"")</f>
        <v/>
      </c>
      <c r="R579" s="263" t="str">
        <f>IFERROR(__xludf.DUMMYFUNCTION("IF(ISBLANK(A579),"""",IFERROR(IF(OR(Q579=""GPB"",Q579=""ZAR""),IF(Q579=Dashboard!$L$1,K579,(K579*GOOGLEFINANCE(""CURRENCY:""&amp;Q579&amp;""""&amp;Dashboard!$L$1&amp;""""))/100),IF(Q579=Dashboard!$L$1,K579,K579*GOOGLEFINANCE(""CURRENCY:""&amp;Q579&amp;""""&amp;Dashboard!$L$1&amp;"""")))"&amp;",K579))"),"")</f>
        <v/>
      </c>
      <c r="S579" s="266" t="str">
        <f>IFERROR(__xludf.DUMMYFUNCTION("IF(ISBLANK(A579),"""",IFERROR(IF(OR(Q579=""GPB"",Q579=""ZAR""),IF(Q579=Dashboard!$L$1,M579,(M579*GOOGLEFINANCE(""CURRENCY:""&amp;Q579&amp;""""&amp;Dashboard!$L$1&amp;""""))/100),IF(Q579=Dashboard!$L$1,M579,M579*GOOGLEFINANCE(""CURRENCY:""&amp;Q579&amp;""""&amp;Dashboard!$L$1&amp;"""")))"&amp;",M579))"),"")</f>
        <v/>
      </c>
      <c r="T579" s="264" t="str">
        <f t="shared" si="4"/>
        <v/>
      </c>
      <c r="U579" s="264" t="str">
        <f t="shared" si="5"/>
        <v/>
      </c>
      <c r="V579" s="264" t="str">
        <f t="shared" si="6"/>
        <v/>
      </c>
      <c r="W579" s="267" t="str">
        <f t="shared" si="8"/>
        <v/>
      </c>
      <c r="X579" s="264" t="str">
        <f t="shared" si="7"/>
        <v/>
      </c>
    </row>
    <row r="580" ht="15.75" customHeight="1">
      <c r="A580" s="258"/>
      <c r="B580" s="258"/>
      <c r="C580" s="269"/>
      <c r="D580" s="258"/>
      <c r="E580" s="258"/>
      <c r="F580" s="258"/>
      <c r="G580" s="258"/>
      <c r="H580" s="271"/>
      <c r="I580" s="258"/>
      <c r="J580" s="272"/>
      <c r="K580" s="260"/>
      <c r="L580" s="261"/>
      <c r="M580" s="262" t="str">
        <f t="shared" si="1"/>
        <v/>
      </c>
      <c r="N580" s="263" t="str">
        <f t="shared" si="2"/>
        <v/>
      </c>
      <c r="O580" s="264" t="str">
        <f t="shared" si="3"/>
        <v/>
      </c>
      <c r="P580" s="265" t="str">
        <f>IFERROR(__xludf.DUMMYFUNCTION("IF(ISBLANK(A580),"""",IFERROR(IF(H580=""Sell"",VLOOKUP(9^99,FILTER({ROW(P$2:P579),P$2:P579},D$2:D579=D580),2),(VLOOKUP(9^99,FILTER({ROW(P$2:P579),P$2:P579},D$2:D579=D580),2)*VLOOKUP(9^99,FILTER({ROW(O$2:O579),O$2:O579},D$2:D579=D580),2)-N580)/O580),J580))"),"")</f>
        <v/>
      </c>
      <c r="Q580" s="264" t="str">
        <f>IFERROR(__xludf.DUMMYFUNCTION("IFERROR(IF(F580=""Crypto"",B580,(IF(ISBLANK(D580),"""",IF(D580=""Cash"",B580,IF(GOOGLEFINANCE(D580,""CURRENCY"")=""GBX"",""GBP"",GOOGLEFINANCE(D580,""CURRENCY"")))))),B580)"),"")</f>
        <v/>
      </c>
      <c r="R580" s="263" t="str">
        <f>IFERROR(__xludf.DUMMYFUNCTION("IF(ISBLANK(A580),"""",IFERROR(IF(OR(Q580=""GPB"",Q580=""ZAR""),IF(Q580=Dashboard!$L$1,K580,(K580*GOOGLEFINANCE(""CURRENCY:""&amp;Q580&amp;""""&amp;Dashboard!$L$1&amp;""""))/100),IF(Q580=Dashboard!$L$1,K580,K580*GOOGLEFINANCE(""CURRENCY:""&amp;Q580&amp;""""&amp;Dashboard!$L$1&amp;"""")))"&amp;",K580))"),"")</f>
        <v/>
      </c>
      <c r="S580" s="266" t="str">
        <f>IFERROR(__xludf.DUMMYFUNCTION("IF(ISBLANK(A580),"""",IFERROR(IF(OR(Q580=""GPB"",Q580=""ZAR""),IF(Q580=Dashboard!$L$1,M580,(M580*GOOGLEFINANCE(""CURRENCY:""&amp;Q580&amp;""""&amp;Dashboard!$L$1&amp;""""))/100),IF(Q580=Dashboard!$L$1,M580,M580*GOOGLEFINANCE(""CURRENCY:""&amp;Q580&amp;""""&amp;Dashboard!$L$1&amp;"""")))"&amp;",M580))"),"")</f>
        <v/>
      </c>
      <c r="T580" s="264" t="str">
        <f t="shared" si="4"/>
        <v/>
      </c>
      <c r="U580" s="264" t="str">
        <f t="shared" si="5"/>
        <v/>
      </c>
      <c r="V580" s="264" t="str">
        <f t="shared" si="6"/>
        <v/>
      </c>
      <c r="W580" s="267" t="str">
        <f t="shared" si="8"/>
        <v/>
      </c>
      <c r="X580" s="264" t="str">
        <f t="shared" si="7"/>
        <v/>
      </c>
    </row>
    <row r="581" ht="15.75" customHeight="1">
      <c r="A581" s="258"/>
      <c r="B581" s="258"/>
      <c r="C581" s="269"/>
      <c r="D581" s="258"/>
      <c r="E581" s="258"/>
      <c r="F581" s="258"/>
      <c r="G581" s="258"/>
      <c r="H581" s="271"/>
      <c r="I581" s="258"/>
      <c r="J581" s="272"/>
      <c r="K581" s="260"/>
      <c r="L581" s="261"/>
      <c r="M581" s="262" t="str">
        <f t="shared" si="1"/>
        <v/>
      </c>
      <c r="N581" s="263" t="str">
        <f t="shared" si="2"/>
        <v/>
      </c>
      <c r="O581" s="264" t="str">
        <f t="shared" si="3"/>
        <v/>
      </c>
      <c r="P581" s="265" t="str">
        <f>IFERROR(__xludf.DUMMYFUNCTION("IF(ISBLANK(A581),"""",IFERROR(IF(H581=""Sell"",VLOOKUP(9^99,FILTER({ROW(P$2:P580),P$2:P580},D$2:D580=D581),2),(VLOOKUP(9^99,FILTER({ROW(P$2:P580),P$2:P580},D$2:D580=D581),2)*VLOOKUP(9^99,FILTER({ROW(O$2:O580),O$2:O580},D$2:D580=D581),2)-N581)/O581),J581))"),"")</f>
        <v/>
      </c>
      <c r="Q581" s="264" t="str">
        <f>IFERROR(__xludf.DUMMYFUNCTION("IFERROR(IF(F581=""Crypto"",B581,(IF(ISBLANK(D581),"""",IF(D581=""Cash"",B581,IF(GOOGLEFINANCE(D581,""CURRENCY"")=""GBX"",""GBP"",GOOGLEFINANCE(D581,""CURRENCY"")))))),B581)"),"")</f>
        <v/>
      </c>
      <c r="R581" s="263" t="str">
        <f>IFERROR(__xludf.DUMMYFUNCTION("IF(ISBLANK(A581),"""",IFERROR(IF(OR(Q581=""GPB"",Q581=""ZAR""),IF(Q581=Dashboard!$L$1,K581,(K581*GOOGLEFINANCE(""CURRENCY:""&amp;Q581&amp;""""&amp;Dashboard!$L$1&amp;""""))/100),IF(Q581=Dashboard!$L$1,K581,K581*GOOGLEFINANCE(""CURRENCY:""&amp;Q581&amp;""""&amp;Dashboard!$L$1&amp;"""")))"&amp;",K581))"),"")</f>
        <v/>
      </c>
      <c r="S581" s="266" t="str">
        <f>IFERROR(__xludf.DUMMYFUNCTION("IF(ISBLANK(A581),"""",IFERROR(IF(OR(Q581=""GPB"",Q581=""ZAR""),IF(Q581=Dashboard!$L$1,M581,(M581*GOOGLEFINANCE(""CURRENCY:""&amp;Q581&amp;""""&amp;Dashboard!$L$1&amp;""""))/100),IF(Q581=Dashboard!$L$1,M581,M581*GOOGLEFINANCE(""CURRENCY:""&amp;Q581&amp;""""&amp;Dashboard!$L$1&amp;"""")))"&amp;",M581))"),"")</f>
        <v/>
      </c>
      <c r="T581" s="264" t="str">
        <f t="shared" si="4"/>
        <v/>
      </c>
      <c r="U581" s="264" t="str">
        <f t="shared" si="5"/>
        <v/>
      </c>
      <c r="V581" s="264" t="str">
        <f t="shared" si="6"/>
        <v/>
      </c>
      <c r="W581" s="267" t="str">
        <f t="shared" si="8"/>
        <v/>
      </c>
      <c r="X581" s="264" t="str">
        <f t="shared" si="7"/>
        <v/>
      </c>
    </row>
    <row r="582" ht="15.75" customHeight="1">
      <c r="A582" s="258"/>
      <c r="B582" s="258"/>
      <c r="C582" s="269"/>
      <c r="D582" s="258"/>
      <c r="E582" s="258"/>
      <c r="F582" s="258"/>
      <c r="G582" s="258"/>
      <c r="H582" s="271"/>
      <c r="I582" s="258"/>
      <c r="J582" s="272"/>
      <c r="K582" s="260"/>
      <c r="L582" s="261"/>
      <c r="M582" s="262" t="str">
        <f t="shared" si="1"/>
        <v/>
      </c>
      <c r="N582" s="263" t="str">
        <f t="shared" si="2"/>
        <v/>
      </c>
      <c r="O582" s="264" t="str">
        <f t="shared" si="3"/>
        <v/>
      </c>
      <c r="P582" s="265" t="str">
        <f>IFERROR(__xludf.DUMMYFUNCTION("IF(ISBLANK(A582),"""",IFERROR(IF(H582=""Sell"",VLOOKUP(9^99,FILTER({ROW(P$2:P581),P$2:P581},D$2:D581=D582),2),(VLOOKUP(9^99,FILTER({ROW(P$2:P581),P$2:P581},D$2:D581=D582),2)*VLOOKUP(9^99,FILTER({ROW(O$2:O581),O$2:O581},D$2:D581=D582),2)-N582)/O582),J582))"),"")</f>
        <v/>
      </c>
      <c r="Q582" s="264" t="str">
        <f>IFERROR(__xludf.DUMMYFUNCTION("IFERROR(IF(F582=""Crypto"",B582,(IF(ISBLANK(D582),"""",IF(D582=""Cash"",B582,IF(GOOGLEFINANCE(D582,""CURRENCY"")=""GBX"",""GBP"",GOOGLEFINANCE(D582,""CURRENCY"")))))),B582)"),"")</f>
        <v/>
      </c>
      <c r="R582" s="263" t="str">
        <f>IFERROR(__xludf.DUMMYFUNCTION("IF(ISBLANK(A582),"""",IFERROR(IF(OR(Q582=""GPB"",Q582=""ZAR""),IF(Q582=Dashboard!$L$1,K582,(K582*GOOGLEFINANCE(""CURRENCY:""&amp;Q582&amp;""""&amp;Dashboard!$L$1&amp;""""))/100),IF(Q582=Dashboard!$L$1,K582,K582*GOOGLEFINANCE(""CURRENCY:""&amp;Q582&amp;""""&amp;Dashboard!$L$1&amp;"""")))"&amp;",K582))"),"")</f>
        <v/>
      </c>
      <c r="S582" s="266" t="str">
        <f>IFERROR(__xludf.DUMMYFUNCTION("IF(ISBLANK(A582),"""",IFERROR(IF(OR(Q582=""GPB"",Q582=""ZAR""),IF(Q582=Dashboard!$L$1,M582,(M582*GOOGLEFINANCE(""CURRENCY:""&amp;Q582&amp;""""&amp;Dashboard!$L$1&amp;""""))/100),IF(Q582=Dashboard!$L$1,M582,M582*GOOGLEFINANCE(""CURRENCY:""&amp;Q582&amp;""""&amp;Dashboard!$L$1&amp;"""")))"&amp;",M582))"),"")</f>
        <v/>
      </c>
      <c r="T582" s="264" t="str">
        <f t="shared" si="4"/>
        <v/>
      </c>
      <c r="U582" s="264" t="str">
        <f t="shared" si="5"/>
        <v/>
      </c>
      <c r="V582" s="264" t="str">
        <f t="shared" si="6"/>
        <v/>
      </c>
      <c r="W582" s="267" t="str">
        <f t="shared" si="8"/>
        <v/>
      </c>
      <c r="X582" s="264" t="str">
        <f t="shared" si="7"/>
        <v/>
      </c>
    </row>
    <row r="583" ht="15.75" customHeight="1">
      <c r="A583" s="258"/>
      <c r="B583" s="258"/>
      <c r="C583" s="269"/>
      <c r="D583" s="258"/>
      <c r="E583" s="258"/>
      <c r="F583" s="258"/>
      <c r="G583" s="258"/>
      <c r="H583" s="271"/>
      <c r="I583" s="258"/>
      <c r="J583" s="272"/>
      <c r="K583" s="260"/>
      <c r="L583" s="261"/>
      <c r="M583" s="262" t="str">
        <f t="shared" si="1"/>
        <v/>
      </c>
      <c r="N583" s="263" t="str">
        <f t="shared" si="2"/>
        <v/>
      </c>
      <c r="O583" s="264" t="str">
        <f t="shared" si="3"/>
        <v/>
      </c>
      <c r="P583" s="265" t="str">
        <f>IFERROR(__xludf.DUMMYFUNCTION("IF(ISBLANK(A583),"""",IFERROR(IF(H583=""Sell"",VLOOKUP(9^99,FILTER({ROW(P$2:P582),P$2:P582},D$2:D582=D583),2),(VLOOKUP(9^99,FILTER({ROW(P$2:P582),P$2:P582},D$2:D582=D583),2)*VLOOKUP(9^99,FILTER({ROW(O$2:O582),O$2:O582},D$2:D582=D583),2)-N583)/O583),J583))"),"")</f>
        <v/>
      </c>
      <c r="Q583" s="264" t="str">
        <f>IFERROR(__xludf.DUMMYFUNCTION("IFERROR(IF(F583=""Crypto"",B583,(IF(ISBLANK(D583),"""",IF(D583=""Cash"",B583,IF(GOOGLEFINANCE(D583,""CURRENCY"")=""GBX"",""GBP"",GOOGLEFINANCE(D583,""CURRENCY"")))))),B583)"),"")</f>
        <v/>
      </c>
      <c r="R583" s="263" t="str">
        <f>IFERROR(__xludf.DUMMYFUNCTION("IF(ISBLANK(A583),"""",IFERROR(IF(OR(Q583=""GPB"",Q583=""ZAR""),IF(Q583=Dashboard!$L$1,K583,(K583*GOOGLEFINANCE(""CURRENCY:""&amp;Q583&amp;""""&amp;Dashboard!$L$1&amp;""""))/100),IF(Q583=Dashboard!$L$1,K583,K583*GOOGLEFINANCE(""CURRENCY:""&amp;Q583&amp;""""&amp;Dashboard!$L$1&amp;"""")))"&amp;",K583))"),"")</f>
        <v/>
      </c>
      <c r="S583" s="266" t="str">
        <f>IFERROR(__xludf.DUMMYFUNCTION("IF(ISBLANK(A583),"""",IFERROR(IF(OR(Q583=""GPB"",Q583=""ZAR""),IF(Q583=Dashboard!$L$1,M583,(M583*GOOGLEFINANCE(""CURRENCY:""&amp;Q583&amp;""""&amp;Dashboard!$L$1&amp;""""))/100),IF(Q583=Dashboard!$L$1,M583,M583*GOOGLEFINANCE(""CURRENCY:""&amp;Q583&amp;""""&amp;Dashboard!$L$1&amp;"""")))"&amp;",M583))"),"")</f>
        <v/>
      </c>
      <c r="T583" s="264" t="str">
        <f t="shared" si="4"/>
        <v/>
      </c>
      <c r="U583" s="264" t="str">
        <f t="shared" si="5"/>
        <v/>
      </c>
      <c r="V583" s="264" t="str">
        <f t="shared" si="6"/>
        <v/>
      </c>
      <c r="W583" s="267" t="str">
        <f t="shared" si="8"/>
        <v/>
      </c>
      <c r="X583" s="264" t="str">
        <f t="shared" si="7"/>
        <v/>
      </c>
    </row>
    <row r="584" ht="15.75" customHeight="1">
      <c r="A584" s="258"/>
      <c r="B584" s="258"/>
      <c r="C584" s="269"/>
      <c r="D584" s="258"/>
      <c r="E584" s="258"/>
      <c r="F584" s="258"/>
      <c r="G584" s="258"/>
      <c r="H584" s="271"/>
      <c r="I584" s="258"/>
      <c r="J584" s="272"/>
      <c r="K584" s="260"/>
      <c r="L584" s="261"/>
      <c r="M584" s="262" t="str">
        <f t="shared" si="1"/>
        <v/>
      </c>
      <c r="N584" s="263" t="str">
        <f t="shared" si="2"/>
        <v/>
      </c>
      <c r="O584" s="264" t="str">
        <f t="shared" si="3"/>
        <v/>
      </c>
      <c r="P584" s="265" t="str">
        <f>IFERROR(__xludf.DUMMYFUNCTION("IF(ISBLANK(A584),"""",IFERROR(IF(H584=""Sell"",VLOOKUP(9^99,FILTER({ROW(P$2:P583),P$2:P583},D$2:D583=D584),2),(VLOOKUP(9^99,FILTER({ROW(P$2:P583),P$2:P583},D$2:D583=D584),2)*VLOOKUP(9^99,FILTER({ROW(O$2:O583),O$2:O583},D$2:D583=D584),2)-N584)/O584),J584))"),"")</f>
        <v/>
      </c>
      <c r="Q584" s="264" t="str">
        <f>IFERROR(__xludf.DUMMYFUNCTION("IFERROR(IF(F584=""Crypto"",B584,(IF(ISBLANK(D584),"""",IF(D584=""Cash"",B584,IF(GOOGLEFINANCE(D584,""CURRENCY"")=""GBX"",""GBP"",GOOGLEFINANCE(D584,""CURRENCY"")))))),B584)"),"")</f>
        <v/>
      </c>
      <c r="R584" s="263" t="str">
        <f>IFERROR(__xludf.DUMMYFUNCTION("IF(ISBLANK(A584),"""",IFERROR(IF(OR(Q584=""GPB"",Q584=""ZAR""),IF(Q584=Dashboard!$L$1,K584,(K584*GOOGLEFINANCE(""CURRENCY:""&amp;Q584&amp;""""&amp;Dashboard!$L$1&amp;""""))/100),IF(Q584=Dashboard!$L$1,K584,K584*GOOGLEFINANCE(""CURRENCY:""&amp;Q584&amp;""""&amp;Dashboard!$L$1&amp;"""")))"&amp;",K584))"),"")</f>
        <v/>
      </c>
      <c r="S584" s="266" t="str">
        <f>IFERROR(__xludf.DUMMYFUNCTION("IF(ISBLANK(A584),"""",IFERROR(IF(OR(Q584=""GPB"",Q584=""ZAR""),IF(Q584=Dashboard!$L$1,M584,(M584*GOOGLEFINANCE(""CURRENCY:""&amp;Q584&amp;""""&amp;Dashboard!$L$1&amp;""""))/100),IF(Q584=Dashboard!$L$1,M584,M584*GOOGLEFINANCE(""CURRENCY:""&amp;Q584&amp;""""&amp;Dashboard!$L$1&amp;"""")))"&amp;",M584))"),"")</f>
        <v/>
      </c>
      <c r="T584" s="264" t="str">
        <f t="shared" si="4"/>
        <v/>
      </c>
      <c r="U584" s="264" t="str">
        <f t="shared" si="5"/>
        <v/>
      </c>
      <c r="V584" s="264" t="str">
        <f t="shared" si="6"/>
        <v/>
      </c>
      <c r="W584" s="267" t="str">
        <f t="shared" si="8"/>
        <v/>
      </c>
      <c r="X584" s="264" t="str">
        <f t="shared" si="7"/>
        <v/>
      </c>
    </row>
    <row r="585" ht="15.75" customHeight="1">
      <c r="A585" s="258"/>
      <c r="B585" s="258"/>
      <c r="C585" s="269"/>
      <c r="D585" s="258"/>
      <c r="E585" s="258"/>
      <c r="F585" s="258"/>
      <c r="G585" s="258"/>
      <c r="H585" s="271"/>
      <c r="I585" s="258"/>
      <c r="J585" s="272"/>
      <c r="K585" s="260"/>
      <c r="L585" s="261"/>
      <c r="M585" s="262" t="str">
        <f t="shared" si="1"/>
        <v/>
      </c>
      <c r="N585" s="263" t="str">
        <f t="shared" si="2"/>
        <v/>
      </c>
      <c r="O585" s="264" t="str">
        <f t="shared" si="3"/>
        <v/>
      </c>
      <c r="P585" s="265" t="str">
        <f>IFERROR(__xludf.DUMMYFUNCTION("IF(ISBLANK(A585),"""",IFERROR(IF(H585=""Sell"",VLOOKUP(9^99,FILTER({ROW(P$2:P584),P$2:P584},D$2:D584=D585),2),(VLOOKUP(9^99,FILTER({ROW(P$2:P584),P$2:P584},D$2:D584=D585),2)*VLOOKUP(9^99,FILTER({ROW(O$2:O584),O$2:O584},D$2:D584=D585),2)-N585)/O585),J585))"),"")</f>
        <v/>
      </c>
      <c r="Q585" s="264" t="str">
        <f>IFERROR(__xludf.DUMMYFUNCTION("IFERROR(IF(F585=""Crypto"",B585,(IF(ISBLANK(D585),"""",IF(D585=""Cash"",B585,IF(GOOGLEFINANCE(D585,""CURRENCY"")=""GBX"",""GBP"",GOOGLEFINANCE(D585,""CURRENCY"")))))),B585)"),"")</f>
        <v/>
      </c>
      <c r="R585" s="263" t="str">
        <f>IFERROR(__xludf.DUMMYFUNCTION("IF(ISBLANK(A585),"""",IFERROR(IF(OR(Q585=""GPB"",Q585=""ZAR""),IF(Q585=Dashboard!$L$1,K585,(K585*GOOGLEFINANCE(""CURRENCY:""&amp;Q585&amp;""""&amp;Dashboard!$L$1&amp;""""))/100),IF(Q585=Dashboard!$L$1,K585,K585*GOOGLEFINANCE(""CURRENCY:""&amp;Q585&amp;""""&amp;Dashboard!$L$1&amp;"""")))"&amp;",K585))"),"")</f>
        <v/>
      </c>
      <c r="S585" s="266" t="str">
        <f>IFERROR(__xludf.DUMMYFUNCTION("IF(ISBLANK(A585),"""",IFERROR(IF(OR(Q585=""GPB"",Q585=""ZAR""),IF(Q585=Dashboard!$L$1,M585,(M585*GOOGLEFINANCE(""CURRENCY:""&amp;Q585&amp;""""&amp;Dashboard!$L$1&amp;""""))/100),IF(Q585=Dashboard!$L$1,M585,M585*GOOGLEFINANCE(""CURRENCY:""&amp;Q585&amp;""""&amp;Dashboard!$L$1&amp;"""")))"&amp;",M585))"),"")</f>
        <v/>
      </c>
      <c r="T585" s="264" t="str">
        <f t="shared" si="4"/>
        <v/>
      </c>
      <c r="U585" s="264" t="str">
        <f t="shared" si="5"/>
        <v/>
      </c>
      <c r="V585" s="264" t="str">
        <f t="shared" si="6"/>
        <v/>
      </c>
      <c r="W585" s="267" t="str">
        <f t="shared" si="8"/>
        <v/>
      </c>
      <c r="X585" s="264" t="str">
        <f t="shared" si="7"/>
        <v/>
      </c>
    </row>
    <row r="586" ht="15.75" customHeight="1">
      <c r="A586" s="258"/>
      <c r="B586" s="258"/>
      <c r="C586" s="269"/>
      <c r="D586" s="258"/>
      <c r="E586" s="258"/>
      <c r="F586" s="258"/>
      <c r="G586" s="258"/>
      <c r="H586" s="271"/>
      <c r="I586" s="258"/>
      <c r="J586" s="272"/>
      <c r="K586" s="260"/>
      <c r="L586" s="261"/>
      <c r="M586" s="262" t="str">
        <f t="shared" si="1"/>
        <v/>
      </c>
      <c r="N586" s="263" t="str">
        <f t="shared" si="2"/>
        <v/>
      </c>
      <c r="O586" s="264" t="str">
        <f t="shared" si="3"/>
        <v/>
      </c>
      <c r="P586" s="265" t="str">
        <f>IFERROR(__xludf.DUMMYFUNCTION("IF(ISBLANK(A586),"""",IFERROR(IF(H586=""Sell"",VLOOKUP(9^99,FILTER({ROW(P$2:P585),P$2:P585},D$2:D585=D586),2),(VLOOKUP(9^99,FILTER({ROW(P$2:P585),P$2:P585},D$2:D585=D586),2)*VLOOKUP(9^99,FILTER({ROW(O$2:O585),O$2:O585},D$2:D585=D586),2)-N586)/O586),J586))"),"")</f>
        <v/>
      </c>
      <c r="Q586" s="264" t="str">
        <f>IFERROR(__xludf.DUMMYFUNCTION("IFERROR(IF(F586=""Crypto"",B586,(IF(ISBLANK(D586),"""",IF(D586=""Cash"",B586,IF(GOOGLEFINANCE(D586,""CURRENCY"")=""GBX"",""GBP"",GOOGLEFINANCE(D586,""CURRENCY"")))))),B586)"),"")</f>
        <v/>
      </c>
      <c r="R586" s="263" t="str">
        <f>IFERROR(__xludf.DUMMYFUNCTION("IF(ISBLANK(A586),"""",IFERROR(IF(OR(Q586=""GPB"",Q586=""ZAR""),IF(Q586=Dashboard!$L$1,K586,(K586*GOOGLEFINANCE(""CURRENCY:""&amp;Q586&amp;""""&amp;Dashboard!$L$1&amp;""""))/100),IF(Q586=Dashboard!$L$1,K586,K586*GOOGLEFINANCE(""CURRENCY:""&amp;Q586&amp;""""&amp;Dashboard!$L$1&amp;"""")))"&amp;",K586))"),"")</f>
        <v/>
      </c>
      <c r="S586" s="266" t="str">
        <f>IFERROR(__xludf.DUMMYFUNCTION("IF(ISBLANK(A586),"""",IFERROR(IF(OR(Q586=""GPB"",Q586=""ZAR""),IF(Q586=Dashboard!$L$1,M586,(M586*GOOGLEFINANCE(""CURRENCY:""&amp;Q586&amp;""""&amp;Dashboard!$L$1&amp;""""))/100),IF(Q586=Dashboard!$L$1,M586,M586*GOOGLEFINANCE(""CURRENCY:""&amp;Q586&amp;""""&amp;Dashboard!$L$1&amp;"""")))"&amp;",M586))"),"")</f>
        <v/>
      </c>
      <c r="T586" s="264" t="str">
        <f t="shared" si="4"/>
        <v/>
      </c>
      <c r="U586" s="264" t="str">
        <f t="shared" si="5"/>
        <v/>
      </c>
      <c r="V586" s="264" t="str">
        <f t="shared" si="6"/>
        <v/>
      </c>
      <c r="W586" s="267" t="str">
        <f t="shared" si="8"/>
        <v/>
      </c>
      <c r="X586" s="264" t="str">
        <f t="shared" si="7"/>
        <v/>
      </c>
    </row>
    <row r="587" ht="15.75" customHeight="1">
      <c r="A587" s="258"/>
      <c r="B587" s="258"/>
      <c r="C587" s="269"/>
      <c r="D587" s="258"/>
      <c r="E587" s="258"/>
      <c r="F587" s="258"/>
      <c r="G587" s="258"/>
      <c r="H587" s="271"/>
      <c r="I587" s="258"/>
      <c r="J587" s="272"/>
      <c r="K587" s="260"/>
      <c r="L587" s="261"/>
      <c r="M587" s="262" t="str">
        <f t="shared" si="1"/>
        <v/>
      </c>
      <c r="N587" s="263" t="str">
        <f t="shared" si="2"/>
        <v/>
      </c>
      <c r="O587" s="264" t="str">
        <f t="shared" si="3"/>
        <v/>
      </c>
      <c r="P587" s="265" t="str">
        <f>IFERROR(__xludf.DUMMYFUNCTION("IF(ISBLANK(A587),"""",IFERROR(IF(H587=""Sell"",VLOOKUP(9^99,FILTER({ROW(P$2:P586),P$2:P586},D$2:D586=D587),2),(VLOOKUP(9^99,FILTER({ROW(P$2:P586),P$2:P586},D$2:D586=D587),2)*VLOOKUP(9^99,FILTER({ROW(O$2:O586),O$2:O586},D$2:D586=D587),2)-N587)/O587),J587))"),"")</f>
        <v/>
      </c>
      <c r="Q587" s="264" t="str">
        <f>IFERROR(__xludf.DUMMYFUNCTION("IFERROR(IF(F587=""Crypto"",B587,(IF(ISBLANK(D587),"""",IF(D587=""Cash"",B587,IF(GOOGLEFINANCE(D587,""CURRENCY"")=""GBX"",""GBP"",GOOGLEFINANCE(D587,""CURRENCY"")))))),B587)"),"")</f>
        <v/>
      </c>
      <c r="R587" s="263" t="str">
        <f>IFERROR(__xludf.DUMMYFUNCTION("IF(ISBLANK(A587),"""",IFERROR(IF(OR(Q587=""GPB"",Q587=""ZAR""),IF(Q587=Dashboard!$L$1,K587,(K587*GOOGLEFINANCE(""CURRENCY:""&amp;Q587&amp;""""&amp;Dashboard!$L$1&amp;""""))/100),IF(Q587=Dashboard!$L$1,K587,K587*GOOGLEFINANCE(""CURRENCY:""&amp;Q587&amp;""""&amp;Dashboard!$L$1&amp;"""")))"&amp;",K587))"),"")</f>
        <v/>
      </c>
      <c r="S587" s="266" t="str">
        <f>IFERROR(__xludf.DUMMYFUNCTION("IF(ISBLANK(A587),"""",IFERROR(IF(OR(Q587=""GPB"",Q587=""ZAR""),IF(Q587=Dashboard!$L$1,M587,(M587*GOOGLEFINANCE(""CURRENCY:""&amp;Q587&amp;""""&amp;Dashboard!$L$1&amp;""""))/100),IF(Q587=Dashboard!$L$1,M587,M587*GOOGLEFINANCE(""CURRENCY:""&amp;Q587&amp;""""&amp;Dashboard!$L$1&amp;"""")))"&amp;",M587))"),"")</f>
        <v/>
      </c>
      <c r="T587" s="264" t="str">
        <f t="shared" si="4"/>
        <v/>
      </c>
      <c r="U587" s="264" t="str">
        <f t="shared" si="5"/>
        <v/>
      </c>
      <c r="V587" s="264" t="str">
        <f t="shared" si="6"/>
        <v/>
      </c>
      <c r="W587" s="267" t="str">
        <f t="shared" si="8"/>
        <v/>
      </c>
      <c r="X587" s="264" t="str">
        <f t="shared" si="7"/>
        <v/>
      </c>
    </row>
    <row r="588" ht="15.75" customHeight="1">
      <c r="A588" s="258"/>
      <c r="B588" s="258"/>
      <c r="C588" s="269"/>
      <c r="D588" s="258"/>
      <c r="E588" s="258"/>
      <c r="F588" s="258"/>
      <c r="G588" s="258"/>
      <c r="H588" s="271"/>
      <c r="I588" s="258"/>
      <c r="J588" s="272"/>
      <c r="K588" s="260"/>
      <c r="L588" s="261"/>
      <c r="M588" s="262" t="str">
        <f t="shared" si="1"/>
        <v/>
      </c>
      <c r="N588" s="263" t="str">
        <f t="shared" si="2"/>
        <v/>
      </c>
      <c r="O588" s="264" t="str">
        <f t="shared" si="3"/>
        <v/>
      </c>
      <c r="P588" s="265" t="str">
        <f>IFERROR(__xludf.DUMMYFUNCTION("IF(ISBLANK(A588),"""",IFERROR(IF(H588=""Sell"",VLOOKUP(9^99,FILTER({ROW(P$2:P587),P$2:P587},D$2:D587=D588),2),(VLOOKUP(9^99,FILTER({ROW(P$2:P587),P$2:P587},D$2:D587=D588),2)*VLOOKUP(9^99,FILTER({ROW(O$2:O587),O$2:O587},D$2:D587=D588),2)-N588)/O588),J588))"),"")</f>
        <v/>
      </c>
      <c r="Q588" s="264" t="str">
        <f>IFERROR(__xludf.DUMMYFUNCTION("IFERROR(IF(F588=""Crypto"",B588,(IF(ISBLANK(D588),"""",IF(D588=""Cash"",B588,IF(GOOGLEFINANCE(D588,""CURRENCY"")=""GBX"",""GBP"",GOOGLEFINANCE(D588,""CURRENCY"")))))),B588)"),"")</f>
        <v/>
      </c>
      <c r="R588" s="263" t="str">
        <f>IFERROR(__xludf.DUMMYFUNCTION("IF(ISBLANK(A588),"""",IFERROR(IF(OR(Q588=""GPB"",Q588=""ZAR""),IF(Q588=Dashboard!$L$1,K588,(K588*GOOGLEFINANCE(""CURRENCY:""&amp;Q588&amp;""""&amp;Dashboard!$L$1&amp;""""))/100),IF(Q588=Dashboard!$L$1,K588,K588*GOOGLEFINANCE(""CURRENCY:""&amp;Q588&amp;""""&amp;Dashboard!$L$1&amp;"""")))"&amp;",K588))"),"")</f>
        <v/>
      </c>
      <c r="S588" s="266" t="str">
        <f>IFERROR(__xludf.DUMMYFUNCTION("IF(ISBLANK(A588),"""",IFERROR(IF(OR(Q588=""GPB"",Q588=""ZAR""),IF(Q588=Dashboard!$L$1,M588,(M588*GOOGLEFINANCE(""CURRENCY:""&amp;Q588&amp;""""&amp;Dashboard!$L$1&amp;""""))/100),IF(Q588=Dashboard!$L$1,M588,M588*GOOGLEFINANCE(""CURRENCY:""&amp;Q588&amp;""""&amp;Dashboard!$L$1&amp;"""")))"&amp;",M588))"),"")</f>
        <v/>
      </c>
      <c r="T588" s="264" t="str">
        <f t="shared" si="4"/>
        <v/>
      </c>
      <c r="U588" s="264" t="str">
        <f t="shared" si="5"/>
        <v/>
      </c>
      <c r="V588" s="264" t="str">
        <f t="shared" si="6"/>
        <v/>
      </c>
      <c r="W588" s="267" t="str">
        <f t="shared" si="8"/>
        <v/>
      </c>
      <c r="X588" s="264" t="str">
        <f t="shared" si="7"/>
        <v/>
      </c>
    </row>
    <row r="589" ht="15.75" customHeight="1">
      <c r="A589" s="258"/>
      <c r="B589" s="258"/>
      <c r="C589" s="269"/>
      <c r="D589" s="258"/>
      <c r="E589" s="258"/>
      <c r="F589" s="258"/>
      <c r="G589" s="258"/>
      <c r="H589" s="271"/>
      <c r="I589" s="258"/>
      <c r="J589" s="272"/>
      <c r="K589" s="260"/>
      <c r="L589" s="261"/>
      <c r="M589" s="262" t="str">
        <f t="shared" si="1"/>
        <v/>
      </c>
      <c r="N589" s="263" t="str">
        <f t="shared" si="2"/>
        <v/>
      </c>
      <c r="O589" s="264" t="str">
        <f t="shared" si="3"/>
        <v/>
      </c>
      <c r="P589" s="265" t="str">
        <f>IFERROR(__xludf.DUMMYFUNCTION("IF(ISBLANK(A589),"""",IFERROR(IF(H589=""Sell"",VLOOKUP(9^99,FILTER({ROW(P$2:P588),P$2:P588},D$2:D588=D589),2),(VLOOKUP(9^99,FILTER({ROW(P$2:P588),P$2:P588},D$2:D588=D589),2)*VLOOKUP(9^99,FILTER({ROW(O$2:O588),O$2:O588},D$2:D588=D589),2)-N589)/O589),J589))"),"")</f>
        <v/>
      </c>
      <c r="Q589" s="264" t="str">
        <f>IFERROR(__xludf.DUMMYFUNCTION("IFERROR(IF(F589=""Crypto"",B589,(IF(ISBLANK(D589),"""",IF(D589=""Cash"",B589,IF(GOOGLEFINANCE(D589,""CURRENCY"")=""GBX"",""GBP"",GOOGLEFINANCE(D589,""CURRENCY"")))))),B589)"),"")</f>
        <v/>
      </c>
      <c r="R589" s="263" t="str">
        <f>IFERROR(__xludf.DUMMYFUNCTION("IF(ISBLANK(A589),"""",IFERROR(IF(OR(Q589=""GPB"",Q589=""ZAR""),IF(Q589=Dashboard!$L$1,K589,(K589*GOOGLEFINANCE(""CURRENCY:""&amp;Q589&amp;""""&amp;Dashboard!$L$1&amp;""""))/100),IF(Q589=Dashboard!$L$1,K589,K589*GOOGLEFINANCE(""CURRENCY:""&amp;Q589&amp;""""&amp;Dashboard!$L$1&amp;"""")))"&amp;",K589))"),"")</f>
        <v/>
      </c>
      <c r="S589" s="266" t="str">
        <f>IFERROR(__xludf.DUMMYFUNCTION("IF(ISBLANK(A589),"""",IFERROR(IF(OR(Q589=""GPB"",Q589=""ZAR""),IF(Q589=Dashboard!$L$1,M589,(M589*GOOGLEFINANCE(""CURRENCY:""&amp;Q589&amp;""""&amp;Dashboard!$L$1&amp;""""))/100),IF(Q589=Dashboard!$L$1,M589,M589*GOOGLEFINANCE(""CURRENCY:""&amp;Q589&amp;""""&amp;Dashboard!$L$1&amp;"""")))"&amp;",M589))"),"")</f>
        <v/>
      </c>
      <c r="T589" s="264" t="str">
        <f t="shared" si="4"/>
        <v/>
      </c>
      <c r="U589" s="264" t="str">
        <f t="shared" si="5"/>
        <v/>
      </c>
      <c r="V589" s="264" t="str">
        <f t="shared" si="6"/>
        <v/>
      </c>
      <c r="W589" s="267" t="str">
        <f t="shared" si="8"/>
        <v/>
      </c>
      <c r="X589" s="264" t="str">
        <f t="shared" si="7"/>
        <v/>
      </c>
    </row>
    <row r="590" ht="15.75" customHeight="1">
      <c r="A590" s="258"/>
      <c r="B590" s="258"/>
      <c r="C590" s="269"/>
      <c r="D590" s="258"/>
      <c r="E590" s="258"/>
      <c r="F590" s="258"/>
      <c r="G590" s="258"/>
      <c r="H590" s="271"/>
      <c r="I590" s="258"/>
      <c r="J590" s="272"/>
      <c r="K590" s="260"/>
      <c r="L590" s="261"/>
      <c r="M590" s="262" t="str">
        <f t="shared" si="1"/>
        <v/>
      </c>
      <c r="N590" s="263" t="str">
        <f t="shared" si="2"/>
        <v/>
      </c>
      <c r="O590" s="264" t="str">
        <f t="shared" si="3"/>
        <v/>
      </c>
      <c r="P590" s="265" t="str">
        <f>IFERROR(__xludf.DUMMYFUNCTION("IF(ISBLANK(A590),"""",IFERROR(IF(H590=""Sell"",VLOOKUP(9^99,FILTER({ROW(P$2:P589),P$2:P589},D$2:D589=D590),2),(VLOOKUP(9^99,FILTER({ROW(P$2:P589),P$2:P589},D$2:D589=D590),2)*VLOOKUP(9^99,FILTER({ROW(O$2:O589),O$2:O589},D$2:D589=D590),2)-N590)/O590),J590))"),"")</f>
        <v/>
      </c>
      <c r="Q590" s="264" t="str">
        <f>IFERROR(__xludf.DUMMYFUNCTION("IFERROR(IF(F590=""Crypto"",B590,(IF(ISBLANK(D590),"""",IF(D590=""Cash"",B590,IF(GOOGLEFINANCE(D590,""CURRENCY"")=""GBX"",""GBP"",GOOGLEFINANCE(D590,""CURRENCY"")))))),B590)"),"")</f>
        <v/>
      </c>
      <c r="R590" s="263" t="str">
        <f>IFERROR(__xludf.DUMMYFUNCTION("IF(ISBLANK(A590),"""",IFERROR(IF(OR(Q590=""GPB"",Q590=""ZAR""),IF(Q590=Dashboard!$L$1,K590,(K590*GOOGLEFINANCE(""CURRENCY:""&amp;Q590&amp;""""&amp;Dashboard!$L$1&amp;""""))/100),IF(Q590=Dashboard!$L$1,K590,K590*GOOGLEFINANCE(""CURRENCY:""&amp;Q590&amp;""""&amp;Dashboard!$L$1&amp;"""")))"&amp;",K590))"),"")</f>
        <v/>
      </c>
      <c r="S590" s="266" t="str">
        <f>IFERROR(__xludf.DUMMYFUNCTION("IF(ISBLANK(A590),"""",IFERROR(IF(OR(Q590=""GPB"",Q590=""ZAR""),IF(Q590=Dashboard!$L$1,M590,(M590*GOOGLEFINANCE(""CURRENCY:""&amp;Q590&amp;""""&amp;Dashboard!$L$1&amp;""""))/100),IF(Q590=Dashboard!$L$1,M590,M590*GOOGLEFINANCE(""CURRENCY:""&amp;Q590&amp;""""&amp;Dashboard!$L$1&amp;"""")))"&amp;",M590))"),"")</f>
        <v/>
      </c>
      <c r="T590" s="264" t="str">
        <f t="shared" si="4"/>
        <v/>
      </c>
      <c r="U590" s="264" t="str">
        <f t="shared" si="5"/>
        <v/>
      </c>
      <c r="V590" s="264" t="str">
        <f t="shared" si="6"/>
        <v/>
      </c>
      <c r="W590" s="267" t="str">
        <f t="shared" si="8"/>
        <v/>
      </c>
      <c r="X590" s="264" t="str">
        <f t="shared" si="7"/>
        <v/>
      </c>
    </row>
    <row r="591" ht="15.75" customHeight="1">
      <c r="A591" s="258"/>
      <c r="B591" s="258"/>
      <c r="C591" s="269"/>
      <c r="D591" s="258"/>
      <c r="E591" s="258"/>
      <c r="F591" s="258"/>
      <c r="G591" s="258"/>
      <c r="H591" s="271"/>
      <c r="I591" s="258"/>
      <c r="J591" s="272"/>
      <c r="K591" s="260"/>
      <c r="L591" s="261"/>
      <c r="M591" s="262" t="str">
        <f t="shared" si="1"/>
        <v/>
      </c>
      <c r="N591" s="263" t="str">
        <f t="shared" si="2"/>
        <v/>
      </c>
      <c r="O591" s="264" t="str">
        <f t="shared" si="3"/>
        <v/>
      </c>
      <c r="P591" s="265" t="str">
        <f>IFERROR(__xludf.DUMMYFUNCTION("IF(ISBLANK(A591),"""",IFERROR(IF(H591=""Sell"",VLOOKUP(9^99,FILTER({ROW(P$2:P590),P$2:P590},D$2:D590=D591),2),(VLOOKUP(9^99,FILTER({ROW(P$2:P590),P$2:P590},D$2:D590=D591),2)*VLOOKUP(9^99,FILTER({ROW(O$2:O590),O$2:O590},D$2:D590=D591),2)-N591)/O591),J591))"),"")</f>
        <v/>
      </c>
      <c r="Q591" s="264" t="str">
        <f>IFERROR(__xludf.DUMMYFUNCTION("IFERROR(IF(F591=""Crypto"",B591,(IF(ISBLANK(D591),"""",IF(D591=""Cash"",B591,IF(GOOGLEFINANCE(D591,""CURRENCY"")=""GBX"",""GBP"",GOOGLEFINANCE(D591,""CURRENCY"")))))),B591)"),"")</f>
        <v/>
      </c>
      <c r="R591" s="263" t="str">
        <f>IFERROR(__xludf.DUMMYFUNCTION("IF(ISBLANK(A591),"""",IFERROR(IF(OR(Q591=""GPB"",Q591=""ZAR""),IF(Q591=Dashboard!$L$1,K591,(K591*GOOGLEFINANCE(""CURRENCY:""&amp;Q591&amp;""""&amp;Dashboard!$L$1&amp;""""))/100),IF(Q591=Dashboard!$L$1,K591,K591*GOOGLEFINANCE(""CURRENCY:""&amp;Q591&amp;""""&amp;Dashboard!$L$1&amp;"""")))"&amp;",K591))"),"")</f>
        <v/>
      </c>
      <c r="S591" s="266" t="str">
        <f>IFERROR(__xludf.DUMMYFUNCTION("IF(ISBLANK(A591),"""",IFERROR(IF(OR(Q591=""GPB"",Q591=""ZAR""),IF(Q591=Dashboard!$L$1,M591,(M591*GOOGLEFINANCE(""CURRENCY:""&amp;Q591&amp;""""&amp;Dashboard!$L$1&amp;""""))/100),IF(Q591=Dashboard!$L$1,M591,M591*GOOGLEFINANCE(""CURRENCY:""&amp;Q591&amp;""""&amp;Dashboard!$L$1&amp;"""")))"&amp;",M591))"),"")</f>
        <v/>
      </c>
      <c r="T591" s="264" t="str">
        <f t="shared" si="4"/>
        <v/>
      </c>
      <c r="U591" s="264" t="str">
        <f t="shared" si="5"/>
        <v/>
      </c>
      <c r="V591" s="264" t="str">
        <f t="shared" si="6"/>
        <v/>
      </c>
      <c r="W591" s="267" t="str">
        <f t="shared" si="8"/>
        <v/>
      </c>
      <c r="X591" s="264" t="str">
        <f t="shared" si="7"/>
        <v/>
      </c>
    </row>
    <row r="592" ht="15.75" customHeight="1">
      <c r="A592" s="258"/>
      <c r="B592" s="258"/>
      <c r="C592" s="269"/>
      <c r="D592" s="258"/>
      <c r="E592" s="258"/>
      <c r="F592" s="258"/>
      <c r="G592" s="258"/>
      <c r="H592" s="271"/>
      <c r="I592" s="258"/>
      <c r="J592" s="272"/>
      <c r="K592" s="260"/>
      <c r="L592" s="261"/>
      <c r="M592" s="262" t="str">
        <f t="shared" si="1"/>
        <v/>
      </c>
      <c r="N592" s="263" t="str">
        <f t="shared" si="2"/>
        <v/>
      </c>
      <c r="O592" s="264" t="str">
        <f t="shared" si="3"/>
        <v/>
      </c>
      <c r="P592" s="265" t="str">
        <f>IFERROR(__xludf.DUMMYFUNCTION("IF(ISBLANK(A592),"""",IFERROR(IF(H592=""Sell"",VLOOKUP(9^99,FILTER({ROW(P$2:P591),P$2:P591},D$2:D591=D592),2),(VLOOKUP(9^99,FILTER({ROW(P$2:P591),P$2:P591},D$2:D591=D592),2)*VLOOKUP(9^99,FILTER({ROW(O$2:O591),O$2:O591},D$2:D591=D592),2)-N592)/O592),J592))"),"")</f>
        <v/>
      </c>
      <c r="Q592" s="264" t="str">
        <f>IFERROR(__xludf.DUMMYFUNCTION("IFERROR(IF(F592=""Crypto"",B592,(IF(ISBLANK(D592),"""",IF(D592=""Cash"",B592,IF(GOOGLEFINANCE(D592,""CURRENCY"")=""GBX"",""GBP"",GOOGLEFINANCE(D592,""CURRENCY"")))))),B592)"),"")</f>
        <v/>
      </c>
      <c r="R592" s="263" t="str">
        <f>IFERROR(__xludf.DUMMYFUNCTION("IF(ISBLANK(A592),"""",IFERROR(IF(OR(Q592=""GPB"",Q592=""ZAR""),IF(Q592=Dashboard!$L$1,K592,(K592*GOOGLEFINANCE(""CURRENCY:""&amp;Q592&amp;""""&amp;Dashboard!$L$1&amp;""""))/100),IF(Q592=Dashboard!$L$1,K592,K592*GOOGLEFINANCE(""CURRENCY:""&amp;Q592&amp;""""&amp;Dashboard!$L$1&amp;"""")))"&amp;",K592))"),"")</f>
        <v/>
      </c>
      <c r="S592" s="266" t="str">
        <f>IFERROR(__xludf.DUMMYFUNCTION("IF(ISBLANK(A592),"""",IFERROR(IF(OR(Q592=""GPB"",Q592=""ZAR""),IF(Q592=Dashboard!$L$1,M592,(M592*GOOGLEFINANCE(""CURRENCY:""&amp;Q592&amp;""""&amp;Dashboard!$L$1&amp;""""))/100),IF(Q592=Dashboard!$L$1,M592,M592*GOOGLEFINANCE(""CURRENCY:""&amp;Q592&amp;""""&amp;Dashboard!$L$1&amp;"""")))"&amp;",M592))"),"")</f>
        <v/>
      </c>
      <c r="T592" s="264" t="str">
        <f t="shared" si="4"/>
        <v/>
      </c>
      <c r="U592" s="264" t="str">
        <f t="shared" si="5"/>
        <v/>
      </c>
      <c r="V592" s="264" t="str">
        <f t="shared" si="6"/>
        <v/>
      </c>
      <c r="W592" s="267" t="str">
        <f t="shared" si="8"/>
        <v/>
      </c>
      <c r="X592" s="264" t="str">
        <f t="shared" si="7"/>
        <v/>
      </c>
    </row>
    <row r="593" ht="15.75" customHeight="1">
      <c r="A593" s="258"/>
      <c r="B593" s="258"/>
      <c r="C593" s="269"/>
      <c r="D593" s="258"/>
      <c r="E593" s="258"/>
      <c r="F593" s="258"/>
      <c r="G593" s="258"/>
      <c r="H593" s="271"/>
      <c r="I593" s="258"/>
      <c r="J593" s="272"/>
      <c r="K593" s="260"/>
      <c r="L593" s="261"/>
      <c r="M593" s="262" t="str">
        <f t="shared" si="1"/>
        <v/>
      </c>
      <c r="N593" s="263" t="str">
        <f t="shared" si="2"/>
        <v/>
      </c>
      <c r="O593" s="264" t="str">
        <f t="shared" si="3"/>
        <v/>
      </c>
      <c r="P593" s="265" t="str">
        <f>IFERROR(__xludf.DUMMYFUNCTION("IF(ISBLANK(A593),"""",IFERROR(IF(H593=""Sell"",VLOOKUP(9^99,FILTER({ROW(P$2:P592),P$2:P592},D$2:D592=D593),2),(VLOOKUP(9^99,FILTER({ROW(P$2:P592),P$2:P592},D$2:D592=D593),2)*VLOOKUP(9^99,FILTER({ROW(O$2:O592),O$2:O592},D$2:D592=D593),2)-N593)/O593),J593))"),"")</f>
        <v/>
      </c>
      <c r="Q593" s="264" t="str">
        <f>IFERROR(__xludf.DUMMYFUNCTION("IFERROR(IF(F593=""Crypto"",B593,(IF(ISBLANK(D593),"""",IF(D593=""Cash"",B593,IF(GOOGLEFINANCE(D593,""CURRENCY"")=""GBX"",""GBP"",GOOGLEFINANCE(D593,""CURRENCY"")))))),B593)"),"")</f>
        <v/>
      </c>
      <c r="R593" s="263" t="str">
        <f>IFERROR(__xludf.DUMMYFUNCTION("IF(ISBLANK(A593),"""",IFERROR(IF(OR(Q593=""GPB"",Q593=""ZAR""),IF(Q593=Dashboard!$L$1,K593,(K593*GOOGLEFINANCE(""CURRENCY:""&amp;Q593&amp;""""&amp;Dashboard!$L$1&amp;""""))/100),IF(Q593=Dashboard!$L$1,K593,K593*GOOGLEFINANCE(""CURRENCY:""&amp;Q593&amp;""""&amp;Dashboard!$L$1&amp;"""")))"&amp;",K593))"),"")</f>
        <v/>
      </c>
      <c r="S593" s="266" t="str">
        <f>IFERROR(__xludf.DUMMYFUNCTION("IF(ISBLANK(A593),"""",IFERROR(IF(OR(Q593=""GPB"",Q593=""ZAR""),IF(Q593=Dashboard!$L$1,M593,(M593*GOOGLEFINANCE(""CURRENCY:""&amp;Q593&amp;""""&amp;Dashboard!$L$1&amp;""""))/100),IF(Q593=Dashboard!$L$1,M593,M593*GOOGLEFINANCE(""CURRENCY:""&amp;Q593&amp;""""&amp;Dashboard!$L$1&amp;"""")))"&amp;",M593))"),"")</f>
        <v/>
      </c>
      <c r="T593" s="264" t="str">
        <f t="shared" si="4"/>
        <v/>
      </c>
      <c r="U593" s="264" t="str">
        <f t="shared" si="5"/>
        <v/>
      </c>
      <c r="V593" s="264" t="str">
        <f t="shared" si="6"/>
        <v/>
      </c>
      <c r="W593" s="267" t="str">
        <f t="shared" si="8"/>
        <v/>
      </c>
      <c r="X593" s="264" t="str">
        <f t="shared" si="7"/>
        <v/>
      </c>
    </row>
    <row r="594" ht="15.75" customHeight="1">
      <c r="A594" s="258"/>
      <c r="B594" s="258"/>
      <c r="C594" s="269"/>
      <c r="D594" s="258"/>
      <c r="E594" s="258"/>
      <c r="F594" s="258"/>
      <c r="G594" s="258"/>
      <c r="H594" s="271"/>
      <c r="I594" s="258"/>
      <c r="J594" s="272"/>
      <c r="K594" s="260"/>
      <c r="L594" s="261"/>
      <c r="M594" s="262" t="str">
        <f t="shared" si="1"/>
        <v/>
      </c>
      <c r="N594" s="263" t="str">
        <f t="shared" si="2"/>
        <v/>
      </c>
      <c r="O594" s="264" t="str">
        <f t="shared" si="3"/>
        <v/>
      </c>
      <c r="P594" s="265" t="str">
        <f>IFERROR(__xludf.DUMMYFUNCTION("IF(ISBLANK(A594),"""",IFERROR(IF(H594=""Sell"",VLOOKUP(9^99,FILTER({ROW(P$2:P593),P$2:P593},D$2:D593=D594),2),(VLOOKUP(9^99,FILTER({ROW(P$2:P593),P$2:P593},D$2:D593=D594),2)*VLOOKUP(9^99,FILTER({ROW(O$2:O593),O$2:O593},D$2:D593=D594),2)-N594)/O594),J594))"),"")</f>
        <v/>
      </c>
      <c r="Q594" s="264" t="str">
        <f>IFERROR(__xludf.DUMMYFUNCTION("IFERROR(IF(F594=""Crypto"",B594,(IF(ISBLANK(D594),"""",IF(D594=""Cash"",B594,IF(GOOGLEFINANCE(D594,""CURRENCY"")=""GBX"",""GBP"",GOOGLEFINANCE(D594,""CURRENCY"")))))),B594)"),"")</f>
        <v/>
      </c>
      <c r="R594" s="263" t="str">
        <f>IFERROR(__xludf.DUMMYFUNCTION("IF(ISBLANK(A594),"""",IFERROR(IF(OR(Q594=""GPB"",Q594=""ZAR""),IF(Q594=Dashboard!$L$1,K594,(K594*GOOGLEFINANCE(""CURRENCY:""&amp;Q594&amp;""""&amp;Dashboard!$L$1&amp;""""))/100),IF(Q594=Dashboard!$L$1,K594,K594*GOOGLEFINANCE(""CURRENCY:""&amp;Q594&amp;""""&amp;Dashboard!$L$1&amp;"""")))"&amp;",K594))"),"")</f>
        <v/>
      </c>
      <c r="S594" s="266" t="str">
        <f>IFERROR(__xludf.DUMMYFUNCTION("IF(ISBLANK(A594),"""",IFERROR(IF(OR(Q594=""GPB"",Q594=""ZAR""),IF(Q594=Dashboard!$L$1,M594,(M594*GOOGLEFINANCE(""CURRENCY:""&amp;Q594&amp;""""&amp;Dashboard!$L$1&amp;""""))/100),IF(Q594=Dashboard!$L$1,M594,M594*GOOGLEFINANCE(""CURRENCY:""&amp;Q594&amp;""""&amp;Dashboard!$L$1&amp;"""")))"&amp;",M594))"),"")</f>
        <v/>
      </c>
      <c r="T594" s="264" t="str">
        <f t="shared" si="4"/>
        <v/>
      </c>
      <c r="U594" s="264" t="str">
        <f t="shared" si="5"/>
        <v/>
      </c>
      <c r="V594" s="264" t="str">
        <f t="shared" si="6"/>
        <v/>
      </c>
      <c r="W594" s="267" t="str">
        <f t="shared" si="8"/>
        <v/>
      </c>
      <c r="X594" s="264" t="str">
        <f t="shared" si="7"/>
        <v/>
      </c>
    </row>
    <row r="595" ht="15.75" customHeight="1">
      <c r="A595" s="258"/>
      <c r="B595" s="258"/>
      <c r="C595" s="269"/>
      <c r="D595" s="258"/>
      <c r="E595" s="258"/>
      <c r="F595" s="258"/>
      <c r="G595" s="258"/>
      <c r="H595" s="271"/>
      <c r="I595" s="258"/>
      <c r="J595" s="272"/>
      <c r="K595" s="260"/>
      <c r="L595" s="261"/>
      <c r="M595" s="262" t="str">
        <f t="shared" si="1"/>
        <v/>
      </c>
      <c r="N595" s="263" t="str">
        <f t="shared" si="2"/>
        <v/>
      </c>
      <c r="O595" s="264" t="str">
        <f t="shared" si="3"/>
        <v/>
      </c>
      <c r="P595" s="265" t="str">
        <f>IFERROR(__xludf.DUMMYFUNCTION("IF(ISBLANK(A595),"""",IFERROR(IF(H595=""Sell"",VLOOKUP(9^99,FILTER({ROW(P$2:P594),P$2:P594},D$2:D594=D595),2),(VLOOKUP(9^99,FILTER({ROW(P$2:P594),P$2:P594},D$2:D594=D595),2)*VLOOKUP(9^99,FILTER({ROW(O$2:O594),O$2:O594},D$2:D594=D595),2)-N595)/O595),J595))"),"")</f>
        <v/>
      </c>
      <c r="Q595" s="264" t="str">
        <f>IFERROR(__xludf.DUMMYFUNCTION("IFERROR(IF(F595=""Crypto"",B595,(IF(ISBLANK(D595),"""",IF(D595=""Cash"",B595,IF(GOOGLEFINANCE(D595,""CURRENCY"")=""GBX"",""GBP"",GOOGLEFINANCE(D595,""CURRENCY"")))))),B595)"),"")</f>
        <v/>
      </c>
      <c r="R595" s="263" t="str">
        <f>IFERROR(__xludf.DUMMYFUNCTION("IF(ISBLANK(A595),"""",IFERROR(IF(OR(Q595=""GPB"",Q595=""ZAR""),IF(Q595=Dashboard!$L$1,K595,(K595*GOOGLEFINANCE(""CURRENCY:""&amp;Q595&amp;""""&amp;Dashboard!$L$1&amp;""""))/100),IF(Q595=Dashboard!$L$1,K595,K595*GOOGLEFINANCE(""CURRENCY:""&amp;Q595&amp;""""&amp;Dashboard!$L$1&amp;"""")))"&amp;",K595))"),"")</f>
        <v/>
      </c>
      <c r="S595" s="266" t="str">
        <f>IFERROR(__xludf.DUMMYFUNCTION("IF(ISBLANK(A595),"""",IFERROR(IF(OR(Q595=""GPB"",Q595=""ZAR""),IF(Q595=Dashboard!$L$1,M595,(M595*GOOGLEFINANCE(""CURRENCY:""&amp;Q595&amp;""""&amp;Dashboard!$L$1&amp;""""))/100),IF(Q595=Dashboard!$L$1,M595,M595*GOOGLEFINANCE(""CURRENCY:""&amp;Q595&amp;""""&amp;Dashboard!$L$1&amp;"""")))"&amp;",M595))"),"")</f>
        <v/>
      </c>
      <c r="T595" s="264" t="str">
        <f t="shared" si="4"/>
        <v/>
      </c>
      <c r="U595" s="264" t="str">
        <f t="shared" si="5"/>
        <v/>
      </c>
      <c r="V595" s="264" t="str">
        <f t="shared" si="6"/>
        <v/>
      </c>
      <c r="W595" s="267" t="str">
        <f t="shared" si="8"/>
        <v/>
      </c>
      <c r="X595" s="264" t="str">
        <f t="shared" si="7"/>
        <v/>
      </c>
    </row>
    <row r="596" ht="15.75" customHeight="1">
      <c r="A596" s="258"/>
      <c r="B596" s="258"/>
      <c r="C596" s="269"/>
      <c r="D596" s="258"/>
      <c r="E596" s="258"/>
      <c r="F596" s="258"/>
      <c r="G596" s="258"/>
      <c r="H596" s="271"/>
      <c r="I596" s="258"/>
      <c r="J596" s="272"/>
      <c r="K596" s="260"/>
      <c r="L596" s="261"/>
      <c r="M596" s="262" t="str">
        <f t="shared" si="1"/>
        <v/>
      </c>
      <c r="N596" s="263" t="str">
        <f t="shared" si="2"/>
        <v/>
      </c>
      <c r="O596" s="264" t="str">
        <f t="shared" si="3"/>
        <v/>
      </c>
      <c r="P596" s="265" t="str">
        <f>IFERROR(__xludf.DUMMYFUNCTION("IF(ISBLANK(A596),"""",IFERROR(IF(H596=""Sell"",VLOOKUP(9^99,FILTER({ROW(P$2:P595),P$2:P595},D$2:D595=D596),2),(VLOOKUP(9^99,FILTER({ROW(P$2:P595),P$2:P595},D$2:D595=D596),2)*VLOOKUP(9^99,FILTER({ROW(O$2:O595),O$2:O595},D$2:D595=D596),2)-N596)/O596),J596))"),"")</f>
        <v/>
      </c>
      <c r="Q596" s="264" t="str">
        <f>IFERROR(__xludf.DUMMYFUNCTION("IFERROR(IF(F596=""Crypto"",B596,(IF(ISBLANK(D596),"""",IF(D596=""Cash"",B596,IF(GOOGLEFINANCE(D596,""CURRENCY"")=""GBX"",""GBP"",GOOGLEFINANCE(D596,""CURRENCY"")))))),B596)"),"")</f>
        <v/>
      </c>
      <c r="R596" s="263" t="str">
        <f>IFERROR(__xludf.DUMMYFUNCTION("IF(ISBLANK(A596),"""",IFERROR(IF(OR(Q596=""GPB"",Q596=""ZAR""),IF(Q596=Dashboard!$L$1,K596,(K596*GOOGLEFINANCE(""CURRENCY:""&amp;Q596&amp;""""&amp;Dashboard!$L$1&amp;""""))/100),IF(Q596=Dashboard!$L$1,K596,K596*GOOGLEFINANCE(""CURRENCY:""&amp;Q596&amp;""""&amp;Dashboard!$L$1&amp;"""")))"&amp;",K596))"),"")</f>
        <v/>
      </c>
      <c r="S596" s="266" t="str">
        <f>IFERROR(__xludf.DUMMYFUNCTION("IF(ISBLANK(A596),"""",IFERROR(IF(OR(Q596=""GPB"",Q596=""ZAR""),IF(Q596=Dashboard!$L$1,M596,(M596*GOOGLEFINANCE(""CURRENCY:""&amp;Q596&amp;""""&amp;Dashboard!$L$1&amp;""""))/100),IF(Q596=Dashboard!$L$1,M596,M596*GOOGLEFINANCE(""CURRENCY:""&amp;Q596&amp;""""&amp;Dashboard!$L$1&amp;"""")))"&amp;",M596))"),"")</f>
        <v/>
      </c>
      <c r="T596" s="264" t="str">
        <f t="shared" si="4"/>
        <v/>
      </c>
      <c r="U596" s="264" t="str">
        <f t="shared" si="5"/>
        <v/>
      </c>
      <c r="V596" s="264" t="str">
        <f t="shared" si="6"/>
        <v/>
      </c>
      <c r="W596" s="267" t="str">
        <f t="shared" si="8"/>
        <v/>
      </c>
      <c r="X596" s="264" t="str">
        <f t="shared" si="7"/>
        <v/>
      </c>
    </row>
    <row r="597" ht="15.75" customHeight="1">
      <c r="A597" s="258"/>
      <c r="B597" s="258"/>
      <c r="C597" s="269"/>
      <c r="D597" s="258"/>
      <c r="E597" s="258"/>
      <c r="F597" s="258"/>
      <c r="G597" s="258"/>
      <c r="H597" s="271"/>
      <c r="I597" s="258"/>
      <c r="J597" s="272"/>
      <c r="K597" s="260"/>
      <c r="L597" s="261"/>
      <c r="M597" s="262" t="str">
        <f t="shared" si="1"/>
        <v/>
      </c>
      <c r="N597" s="263" t="str">
        <f t="shared" si="2"/>
        <v/>
      </c>
      <c r="O597" s="264" t="str">
        <f t="shared" si="3"/>
        <v/>
      </c>
      <c r="P597" s="265" t="str">
        <f>IFERROR(__xludf.DUMMYFUNCTION("IF(ISBLANK(A597),"""",IFERROR(IF(H597=""Sell"",VLOOKUP(9^99,FILTER({ROW(P$2:P596),P$2:P596},D$2:D596=D597),2),(VLOOKUP(9^99,FILTER({ROW(P$2:P596),P$2:P596},D$2:D596=D597),2)*VLOOKUP(9^99,FILTER({ROW(O$2:O596),O$2:O596},D$2:D596=D597),2)-N597)/O597),J597))"),"")</f>
        <v/>
      </c>
      <c r="Q597" s="264" t="str">
        <f>IFERROR(__xludf.DUMMYFUNCTION("IFERROR(IF(F597=""Crypto"",B597,(IF(ISBLANK(D597),"""",IF(D597=""Cash"",B597,IF(GOOGLEFINANCE(D597,""CURRENCY"")=""GBX"",""GBP"",GOOGLEFINANCE(D597,""CURRENCY"")))))),B597)"),"")</f>
        <v/>
      </c>
      <c r="R597" s="263" t="str">
        <f>IFERROR(__xludf.DUMMYFUNCTION("IF(ISBLANK(A597),"""",IFERROR(IF(OR(Q597=""GPB"",Q597=""ZAR""),IF(Q597=Dashboard!$L$1,K597,(K597*GOOGLEFINANCE(""CURRENCY:""&amp;Q597&amp;""""&amp;Dashboard!$L$1&amp;""""))/100),IF(Q597=Dashboard!$L$1,K597,K597*GOOGLEFINANCE(""CURRENCY:""&amp;Q597&amp;""""&amp;Dashboard!$L$1&amp;"""")))"&amp;",K597))"),"")</f>
        <v/>
      </c>
      <c r="S597" s="266" t="str">
        <f>IFERROR(__xludf.DUMMYFUNCTION("IF(ISBLANK(A597),"""",IFERROR(IF(OR(Q597=""GPB"",Q597=""ZAR""),IF(Q597=Dashboard!$L$1,M597,(M597*GOOGLEFINANCE(""CURRENCY:""&amp;Q597&amp;""""&amp;Dashboard!$L$1&amp;""""))/100),IF(Q597=Dashboard!$L$1,M597,M597*GOOGLEFINANCE(""CURRENCY:""&amp;Q597&amp;""""&amp;Dashboard!$L$1&amp;"""")))"&amp;",M597))"),"")</f>
        <v/>
      </c>
      <c r="T597" s="264" t="str">
        <f t="shared" si="4"/>
        <v/>
      </c>
      <c r="U597" s="264" t="str">
        <f t="shared" si="5"/>
        <v/>
      </c>
      <c r="V597" s="264" t="str">
        <f t="shared" si="6"/>
        <v/>
      </c>
      <c r="W597" s="267" t="str">
        <f t="shared" si="8"/>
        <v/>
      </c>
      <c r="X597" s="264" t="str">
        <f t="shared" si="7"/>
        <v/>
      </c>
    </row>
    <row r="598" ht="15.75" customHeight="1">
      <c r="A598" s="258"/>
      <c r="B598" s="258"/>
      <c r="C598" s="269"/>
      <c r="D598" s="258"/>
      <c r="E598" s="258"/>
      <c r="F598" s="258"/>
      <c r="G598" s="258"/>
      <c r="H598" s="271"/>
      <c r="I598" s="258"/>
      <c r="J598" s="272"/>
      <c r="K598" s="260"/>
      <c r="L598" s="261"/>
      <c r="M598" s="262" t="str">
        <f t="shared" si="1"/>
        <v/>
      </c>
      <c r="N598" s="263" t="str">
        <f t="shared" si="2"/>
        <v/>
      </c>
      <c r="O598" s="264" t="str">
        <f t="shared" si="3"/>
        <v/>
      </c>
      <c r="P598" s="265" t="str">
        <f>IFERROR(__xludf.DUMMYFUNCTION("IF(ISBLANK(A598),"""",IFERROR(IF(H598=""Sell"",VLOOKUP(9^99,FILTER({ROW(P$2:P597),P$2:P597},D$2:D597=D598),2),(VLOOKUP(9^99,FILTER({ROW(P$2:P597),P$2:P597},D$2:D597=D598),2)*VLOOKUP(9^99,FILTER({ROW(O$2:O597),O$2:O597},D$2:D597=D598),2)-N598)/O598),J598))"),"")</f>
        <v/>
      </c>
      <c r="Q598" s="264" t="str">
        <f>IFERROR(__xludf.DUMMYFUNCTION("IFERROR(IF(F598=""Crypto"",B598,(IF(ISBLANK(D598),"""",IF(D598=""Cash"",B598,IF(GOOGLEFINANCE(D598,""CURRENCY"")=""GBX"",""GBP"",GOOGLEFINANCE(D598,""CURRENCY"")))))),B598)"),"")</f>
        <v/>
      </c>
      <c r="R598" s="263" t="str">
        <f>IFERROR(__xludf.DUMMYFUNCTION("IF(ISBLANK(A598),"""",IFERROR(IF(OR(Q598=""GPB"",Q598=""ZAR""),IF(Q598=Dashboard!$L$1,K598,(K598*GOOGLEFINANCE(""CURRENCY:""&amp;Q598&amp;""""&amp;Dashboard!$L$1&amp;""""))/100),IF(Q598=Dashboard!$L$1,K598,K598*GOOGLEFINANCE(""CURRENCY:""&amp;Q598&amp;""""&amp;Dashboard!$L$1&amp;"""")))"&amp;",K598))"),"")</f>
        <v/>
      </c>
      <c r="S598" s="266" t="str">
        <f>IFERROR(__xludf.DUMMYFUNCTION("IF(ISBLANK(A598),"""",IFERROR(IF(OR(Q598=""GPB"",Q598=""ZAR""),IF(Q598=Dashboard!$L$1,M598,(M598*GOOGLEFINANCE(""CURRENCY:""&amp;Q598&amp;""""&amp;Dashboard!$L$1&amp;""""))/100),IF(Q598=Dashboard!$L$1,M598,M598*GOOGLEFINANCE(""CURRENCY:""&amp;Q598&amp;""""&amp;Dashboard!$L$1&amp;"""")))"&amp;",M598))"),"")</f>
        <v/>
      </c>
      <c r="T598" s="264" t="str">
        <f t="shared" si="4"/>
        <v/>
      </c>
      <c r="U598" s="264" t="str">
        <f t="shared" si="5"/>
        <v/>
      </c>
      <c r="V598" s="264" t="str">
        <f t="shared" si="6"/>
        <v/>
      </c>
      <c r="W598" s="267" t="str">
        <f t="shared" si="8"/>
        <v/>
      </c>
      <c r="X598" s="264" t="str">
        <f t="shared" si="7"/>
        <v/>
      </c>
    </row>
    <row r="599" ht="15.75" customHeight="1">
      <c r="A599" s="258"/>
      <c r="B599" s="258"/>
      <c r="C599" s="269"/>
      <c r="D599" s="258"/>
      <c r="E599" s="258"/>
      <c r="F599" s="258"/>
      <c r="G599" s="258"/>
      <c r="H599" s="271"/>
      <c r="I599" s="258"/>
      <c r="J599" s="272"/>
      <c r="K599" s="260"/>
      <c r="L599" s="261"/>
      <c r="M599" s="262" t="str">
        <f t="shared" si="1"/>
        <v/>
      </c>
      <c r="N599" s="263" t="str">
        <f t="shared" si="2"/>
        <v/>
      </c>
      <c r="O599" s="264" t="str">
        <f t="shared" si="3"/>
        <v/>
      </c>
      <c r="P599" s="265" t="str">
        <f>IFERROR(__xludf.DUMMYFUNCTION("IF(ISBLANK(A599),"""",IFERROR(IF(H599=""Sell"",VLOOKUP(9^99,FILTER({ROW(P$2:P598),P$2:P598},D$2:D598=D599),2),(VLOOKUP(9^99,FILTER({ROW(P$2:P598),P$2:P598},D$2:D598=D599),2)*VLOOKUP(9^99,FILTER({ROW(O$2:O598),O$2:O598},D$2:D598=D599),2)-N599)/O599),J599))"),"")</f>
        <v/>
      </c>
      <c r="Q599" s="264" t="str">
        <f>IFERROR(__xludf.DUMMYFUNCTION("IFERROR(IF(F599=""Crypto"",B599,(IF(ISBLANK(D599),"""",IF(D599=""Cash"",B599,IF(GOOGLEFINANCE(D599,""CURRENCY"")=""GBX"",""GBP"",GOOGLEFINANCE(D599,""CURRENCY"")))))),B599)"),"")</f>
        <v/>
      </c>
      <c r="R599" s="263" t="str">
        <f>IFERROR(__xludf.DUMMYFUNCTION("IF(ISBLANK(A599),"""",IFERROR(IF(OR(Q599=""GPB"",Q599=""ZAR""),IF(Q599=Dashboard!$L$1,K599,(K599*GOOGLEFINANCE(""CURRENCY:""&amp;Q599&amp;""""&amp;Dashboard!$L$1&amp;""""))/100),IF(Q599=Dashboard!$L$1,K599,K599*GOOGLEFINANCE(""CURRENCY:""&amp;Q599&amp;""""&amp;Dashboard!$L$1&amp;"""")))"&amp;",K599))"),"")</f>
        <v/>
      </c>
      <c r="S599" s="266" t="str">
        <f>IFERROR(__xludf.DUMMYFUNCTION("IF(ISBLANK(A599),"""",IFERROR(IF(OR(Q599=""GPB"",Q599=""ZAR""),IF(Q599=Dashboard!$L$1,M599,(M599*GOOGLEFINANCE(""CURRENCY:""&amp;Q599&amp;""""&amp;Dashboard!$L$1&amp;""""))/100),IF(Q599=Dashboard!$L$1,M599,M599*GOOGLEFINANCE(""CURRENCY:""&amp;Q599&amp;""""&amp;Dashboard!$L$1&amp;"""")))"&amp;",M599))"),"")</f>
        <v/>
      </c>
      <c r="T599" s="264" t="str">
        <f t="shared" si="4"/>
        <v/>
      </c>
      <c r="U599" s="264" t="str">
        <f t="shared" si="5"/>
        <v/>
      </c>
      <c r="V599" s="264" t="str">
        <f t="shared" si="6"/>
        <v/>
      </c>
      <c r="W599" s="267" t="str">
        <f t="shared" si="8"/>
        <v/>
      </c>
      <c r="X599" s="264" t="str">
        <f t="shared" si="7"/>
        <v/>
      </c>
    </row>
    <row r="600" ht="15.75" customHeight="1">
      <c r="A600" s="258"/>
      <c r="B600" s="258"/>
      <c r="C600" s="269"/>
      <c r="D600" s="258"/>
      <c r="E600" s="258"/>
      <c r="F600" s="258"/>
      <c r="G600" s="258"/>
      <c r="H600" s="271"/>
      <c r="I600" s="258"/>
      <c r="J600" s="272"/>
      <c r="K600" s="260"/>
      <c r="L600" s="261"/>
      <c r="M600" s="262" t="str">
        <f t="shared" si="1"/>
        <v/>
      </c>
      <c r="N600" s="263" t="str">
        <f t="shared" si="2"/>
        <v/>
      </c>
      <c r="O600" s="264" t="str">
        <f t="shared" si="3"/>
        <v/>
      </c>
      <c r="P600" s="265" t="str">
        <f>IFERROR(__xludf.DUMMYFUNCTION("IF(ISBLANK(A600),"""",IFERROR(IF(H600=""Sell"",VLOOKUP(9^99,FILTER({ROW(P$2:P599),P$2:P599},D$2:D599=D600),2),(VLOOKUP(9^99,FILTER({ROW(P$2:P599),P$2:P599},D$2:D599=D600),2)*VLOOKUP(9^99,FILTER({ROW(O$2:O599),O$2:O599},D$2:D599=D600),2)-N600)/O600),J600))"),"")</f>
        <v/>
      </c>
      <c r="Q600" s="264" t="str">
        <f>IFERROR(__xludf.DUMMYFUNCTION("IFERROR(IF(F600=""Crypto"",B600,(IF(ISBLANK(D600),"""",IF(D600=""Cash"",B600,IF(GOOGLEFINANCE(D600,""CURRENCY"")=""GBX"",""GBP"",GOOGLEFINANCE(D600,""CURRENCY"")))))),B600)"),"")</f>
        <v/>
      </c>
      <c r="R600" s="263" t="str">
        <f>IFERROR(__xludf.DUMMYFUNCTION("IF(ISBLANK(A600),"""",IFERROR(IF(OR(Q600=""GPB"",Q600=""ZAR""),IF(Q600=Dashboard!$L$1,K600,(K600*GOOGLEFINANCE(""CURRENCY:""&amp;Q600&amp;""""&amp;Dashboard!$L$1&amp;""""))/100),IF(Q600=Dashboard!$L$1,K600,K600*GOOGLEFINANCE(""CURRENCY:""&amp;Q600&amp;""""&amp;Dashboard!$L$1&amp;"""")))"&amp;",K600))"),"")</f>
        <v/>
      </c>
      <c r="S600" s="266" t="str">
        <f>IFERROR(__xludf.DUMMYFUNCTION("IF(ISBLANK(A600),"""",IFERROR(IF(OR(Q600=""GPB"",Q600=""ZAR""),IF(Q600=Dashboard!$L$1,M600,(M600*GOOGLEFINANCE(""CURRENCY:""&amp;Q600&amp;""""&amp;Dashboard!$L$1&amp;""""))/100),IF(Q600=Dashboard!$L$1,M600,M600*GOOGLEFINANCE(""CURRENCY:""&amp;Q600&amp;""""&amp;Dashboard!$L$1&amp;"""")))"&amp;",M600))"),"")</f>
        <v/>
      </c>
      <c r="T600" s="264" t="str">
        <f t="shared" si="4"/>
        <v/>
      </c>
      <c r="U600" s="264" t="str">
        <f t="shared" si="5"/>
        <v/>
      </c>
      <c r="V600" s="264" t="str">
        <f t="shared" si="6"/>
        <v/>
      </c>
      <c r="W600" s="267" t="str">
        <f t="shared" si="8"/>
        <v/>
      </c>
      <c r="X600" s="264" t="str">
        <f t="shared" si="7"/>
        <v/>
      </c>
    </row>
    <row r="601" ht="15.75" customHeight="1">
      <c r="A601" s="258"/>
      <c r="B601" s="258"/>
      <c r="C601" s="269"/>
      <c r="D601" s="258"/>
      <c r="E601" s="258"/>
      <c r="F601" s="258"/>
      <c r="G601" s="258"/>
      <c r="H601" s="271"/>
      <c r="I601" s="258"/>
      <c r="J601" s="272"/>
      <c r="K601" s="260"/>
      <c r="L601" s="261"/>
      <c r="M601" s="262" t="str">
        <f t="shared" si="1"/>
        <v/>
      </c>
      <c r="N601" s="263" t="str">
        <f t="shared" si="2"/>
        <v/>
      </c>
      <c r="O601" s="264" t="str">
        <f t="shared" si="3"/>
        <v/>
      </c>
      <c r="P601" s="265" t="str">
        <f>IFERROR(__xludf.DUMMYFUNCTION("IF(ISBLANK(A601),"""",IFERROR(IF(H601=""Sell"",VLOOKUP(9^99,FILTER({ROW(P$2:P600),P$2:P600},D$2:D600=D601),2),(VLOOKUP(9^99,FILTER({ROW(P$2:P600),P$2:P600},D$2:D600=D601),2)*VLOOKUP(9^99,FILTER({ROW(O$2:O600),O$2:O600},D$2:D600=D601),2)-N601)/O601),J601))"),"")</f>
        <v/>
      </c>
      <c r="Q601" s="264" t="str">
        <f>IFERROR(__xludf.DUMMYFUNCTION("IFERROR(IF(F601=""Crypto"",B601,(IF(ISBLANK(D601),"""",IF(D601=""Cash"",B601,IF(GOOGLEFINANCE(D601,""CURRENCY"")=""GBX"",""GBP"",GOOGLEFINANCE(D601,""CURRENCY"")))))),B601)"),"")</f>
        <v/>
      </c>
      <c r="R601" s="263" t="str">
        <f>IFERROR(__xludf.DUMMYFUNCTION("IF(ISBLANK(A601),"""",IFERROR(IF(OR(Q601=""GPB"",Q601=""ZAR""),IF(Q601=Dashboard!$L$1,K601,(K601*GOOGLEFINANCE(""CURRENCY:""&amp;Q601&amp;""""&amp;Dashboard!$L$1&amp;""""))/100),IF(Q601=Dashboard!$L$1,K601,K601*GOOGLEFINANCE(""CURRENCY:""&amp;Q601&amp;""""&amp;Dashboard!$L$1&amp;"""")))"&amp;",K601))"),"")</f>
        <v/>
      </c>
      <c r="S601" s="266" t="str">
        <f>IFERROR(__xludf.DUMMYFUNCTION("IF(ISBLANK(A601),"""",IFERROR(IF(OR(Q601=""GPB"",Q601=""ZAR""),IF(Q601=Dashboard!$L$1,M601,(M601*GOOGLEFINANCE(""CURRENCY:""&amp;Q601&amp;""""&amp;Dashboard!$L$1&amp;""""))/100),IF(Q601=Dashboard!$L$1,M601,M601*GOOGLEFINANCE(""CURRENCY:""&amp;Q601&amp;""""&amp;Dashboard!$L$1&amp;"""")))"&amp;",M601))"),"")</f>
        <v/>
      </c>
      <c r="T601" s="264" t="str">
        <f t="shared" si="4"/>
        <v/>
      </c>
      <c r="U601" s="264" t="str">
        <f t="shared" si="5"/>
        <v/>
      </c>
      <c r="V601" s="264" t="str">
        <f t="shared" si="6"/>
        <v/>
      </c>
      <c r="W601" s="267" t="str">
        <f t="shared" si="8"/>
        <v/>
      </c>
      <c r="X601" s="264" t="str">
        <f t="shared" si="7"/>
        <v/>
      </c>
    </row>
    <row r="602" ht="15.75" customHeight="1">
      <c r="A602" s="258"/>
      <c r="B602" s="258"/>
      <c r="C602" s="269"/>
      <c r="D602" s="258"/>
      <c r="E602" s="258"/>
      <c r="F602" s="258"/>
      <c r="G602" s="258"/>
      <c r="H602" s="271"/>
      <c r="I602" s="258"/>
      <c r="J602" s="272"/>
      <c r="K602" s="260"/>
      <c r="L602" s="261"/>
      <c r="M602" s="262" t="str">
        <f t="shared" si="1"/>
        <v/>
      </c>
      <c r="N602" s="263" t="str">
        <f t="shared" si="2"/>
        <v/>
      </c>
      <c r="O602" s="264" t="str">
        <f t="shared" si="3"/>
        <v/>
      </c>
      <c r="P602" s="265" t="str">
        <f>IFERROR(__xludf.DUMMYFUNCTION("IF(ISBLANK(A602),"""",IFERROR(IF(H602=""Sell"",VLOOKUP(9^99,FILTER({ROW(P$2:P601),P$2:P601},D$2:D601=D602),2),(VLOOKUP(9^99,FILTER({ROW(P$2:P601),P$2:P601},D$2:D601=D602),2)*VLOOKUP(9^99,FILTER({ROW(O$2:O601),O$2:O601},D$2:D601=D602),2)-N602)/O602),J602))"),"")</f>
        <v/>
      </c>
      <c r="Q602" s="264" t="str">
        <f>IFERROR(__xludf.DUMMYFUNCTION("IFERROR(IF(F602=""Crypto"",B602,(IF(ISBLANK(D602),"""",IF(D602=""Cash"",B602,IF(GOOGLEFINANCE(D602,""CURRENCY"")=""GBX"",""GBP"",GOOGLEFINANCE(D602,""CURRENCY"")))))),B602)"),"")</f>
        <v/>
      </c>
      <c r="R602" s="263" t="str">
        <f>IFERROR(__xludf.DUMMYFUNCTION("IF(ISBLANK(A602),"""",IFERROR(IF(OR(Q602=""GPB"",Q602=""ZAR""),IF(Q602=Dashboard!$L$1,K602,(K602*GOOGLEFINANCE(""CURRENCY:""&amp;Q602&amp;""""&amp;Dashboard!$L$1&amp;""""))/100),IF(Q602=Dashboard!$L$1,K602,K602*GOOGLEFINANCE(""CURRENCY:""&amp;Q602&amp;""""&amp;Dashboard!$L$1&amp;"""")))"&amp;",K602))"),"")</f>
        <v/>
      </c>
      <c r="S602" s="266" t="str">
        <f>IFERROR(__xludf.DUMMYFUNCTION("IF(ISBLANK(A602),"""",IFERROR(IF(OR(Q602=""GPB"",Q602=""ZAR""),IF(Q602=Dashboard!$L$1,M602,(M602*GOOGLEFINANCE(""CURRENCY:""&amp;Q602&amp;""""&amp;Dashboard!$L$1&amp;""""))/100),IF(Q602=Dashboard!$L$1,M602,M602*GOOGLEFINANCE(""CURRENCY:""&amp;Q602&amp;""""&amp;Dashboard!$L$1&amp;"""")))"&amp;",M602))"),"")</f>
        <v/>
      </c>
      <c r="T602" s="264" t="str">
        <f t="shared" si="4"/>
        <v/>
      </c>
      <c r="U602" s="264" t="str">
        <f t="shared" si="5"/>
        <v/>
      </c>
      <c r="V602" s="264" t="str">
        <f t="shared" si="6"/>
        <v/>
      </c>
      <c r="W602" s="267" t="str">
        <f t="shared" si="8"/>
        <v/>
      </c>
      <c r="X602" s="264" t="str">
        <f t="shared" si="7"/>
        <v/>
      </c>
    </row>
    <row r="603" ht="15.75" customHeight="1">
      <c r="A603" s="258"/>
      <c r="B603" s="258"/>
      <c r="C603" s="269"/>
      <c r="D603" s="258"/>
      <c r="E603" s="258"/>
      <c r="F603" s="258"/>
      <c r="G603" s="258"/>
      <c r="H603" s="271"/>
      <c r="I603" s="258"/>
      <c r="J603" s="272"/>
      <c r="K603" s="260"/>
      <c r="L603" s="261"/>
      <c r="M603" s="262" t="str">
        <f t="shared" si="1"/>
        <v/>
      </c>
      <c r="N603" s="263" t="str">
        <f t="shared" si="2"/>
        <v/>
      </c>
      <c r="O603" s="264" t="str">
        <f t="shared" si="3"/>
        <v/>
      </c>
      <c r="P603" s="265" t="str">
        <f>IFERROR(__xludf.DUMMYFUNCTION("IF(ISBLANK(A603),"""",IFERROR(IF(H603=""Sell"",VLOOKUP(9^99,FILTER({ROW(P$2:P602),P$2:P602},D$2:D602=D603),2),(VLOOKUP(9^99,FILTER({ROW(P$2:P602),P$2:P602},D$2:D602=D603),2)*VLOOKUP(9^99,FILTER({ROW(O$2:O602),O$2:O602},D$2:D602=D603),2)-N603)/O603),J603))"),"")</f>
        <v/>
      </c>
      <c r="Q603" s="264" t="str">
        <f>IFERROR(__xludf.DUMMYFUNCTION("IFERROR(IF(F603=""Crypto"",B603,(IF(ISBLANK(D603),"""",IF(D603=""Cash"",B603,IF(GOOGLEFINANCE(D603,""CURRENCY"")=""GBX"",""GBP"",GOOGLEFINANCE(D603,""CURRENCY"")))))),B603)"),"")</f>
        <v/>
      </c>
      <c r="R603" s="263" t="str">
        <f>IFERROR(__xludf.DUMMYFUNCTION("IF(ISBLANK(A603),"""",IFERROR(IF(OR(Q603=""GPB"",Q603=""ZAR""),IF(Q603=Dashboard!$L$1,K603,(K603*GOOGLEFINANCE(""CURRENCY:""&amp;Q603&amp;""""&amp;Dashboard!$L$1&amp;""""))/100),IF(Q603=Dashboard!$L$1,K603,K603*GOOGLEFINANCE(""CURRENCY:""&amp;Q603&amp;""""&amp;Dashboard!$L$1&amp;"""")))"&amp;",K603))"),"")</f>
        <v/>
      </c>
      <c r="S603" s="266" t="str">
        <f>IFERROR(__xludf.DUMMYFUNCTION("IF(ISBLANK(A603),"""",IFERROR(IF(OR(Q603=""GPB"",Q603=""ZAR""),IF(Q603=Dashboard!$L$1,M603,(M603*GOOGLEFINANCE(""CURRENCY:""&amp;Q603&amp;""""&amp;Dashboard!$L$1&amp;""""))/100),IF(Q603=Dashboard!$L$1,M603,M603*GOOGLEFINANCE(""CURRENCY:""&amp;Q603&amp;""""&amp;Dashboard!$L$1&amp;"""")))"&amp;",M603))"),"")</f>
        <v/>
      </c>
      <c r="T603" s="264" t="str">
        <f t="shared" si="4"/>
        <v/>
      </c>
      <c r="U603" s="264" t="str">
        <f t="shared" si="5"/>
        <v/>
      </c>
      <c r="V603" s="264" t="str">
        <f t="shared" si="6"/>
        <v/>
      </c>
      <c r="W603" s="267" t="str">
        <f t="shared" si="8"/>
        <v/>
      </c>
      <c r="X603" s="264" t="str">
        <f t="shared" si="7"/>
        <v/>
      </c>
    </row>
    <row r="604" ht="15.75" customHeight="1">
      <c r="A604" s="258"/>
      <c r="B604" s="258"/>
      <c r="C604" s="269"/>
      <c r="D604" s="258"/>
      <c r="E604" s="258"/>
      <c r="F604" s="258"/>
      <c r="G604" s="258"/>
      <c r="H604" s="271"/>
      <c r="I604" s="258"/>
      <c r="J604" s="272"/>
      <c r="K604" s="260"/>
      <c r="L604" s="261"/>
      <c r="M604" s="262" t="str">
        <f t="shared" si="1"/>
        <v/>
      </c>
      <c r="N604" s="263" t="str">
        <f t="shared" si="2"/>
        <v/>
      </c>
      <c r="O604" s="264" t="str">
        <f t="shared" si="3"/>
        <v/>
      </c>
      <c r="P604" s="265" t="str">
        <f>IFERROR(__xludf.DUMMYFUNCTION("IF(ISBLANK(A604),"""",IFERROR(IF(H604=""Sell"",VLOOKUP(9^99,FILTER({ROW(P$2:P603),P$2:P603},D$2:D603=D604),2),(VLOOKUP(9^99,FILTER({ROW(P$2:P603),P$2:P603},D$2:D603=D604),2)*VLOOKUP(9^99,FILTER({ROW(O$2:O603),O$2:O603},D$2:D603=D604),2)-N604)/O604),J604))"),"")</f>
        <v/>
      </c>
      <c r="Q604" s="264" t="str">
        <f>IFERROR(__xludf.DUMMYFUNCTION("IFERROR(IF(F604=""Crypto"",B604,(IF(ISBLANK(D604),"""",IF(D604=""Cash"",B604,IF(GOOGLEFINANCE(D604,""CURRENCY"")=""GBX"",""GBP"",GOOGLEFINANCE(D604,""CURRENCY"")))))),B604)"),"")</f>
        <v/>
      </c>
      <c r="R604" s="263" t="str">
        <f>IFERROR(__xludf.DUMMYFUNCTION("IF(ISBLANK(A604),"""",IFERROR(IF(OR(Q604=""GPB"",Q604=""ZAR""),IF(Q604=Dashboard!$L$1,K604,(K604*GOOGLEFINANCE(""CURRENCY:""&amp;Q604&amp;""""&amp;Dashboard!$L$1&amp;""""))/100),IF(Q604=Dashboard!$L$1,K604,K604*GOOGLEFINANCE(""CURRENCY:""&amp;Q604&amp;""""&amp;Dashboard!$L$1&amp;"""")))"&amp;",K604))"),"")</f>
        <v/>
      </c>
      <c r="S604" s="266" t="str">
        <f>IFERROR(__xludf.DUMMYFUNCTION("IF(ISBLANK(A604),"""",IFERROR(IF(OR(Q604=""GPB"",Q604=""ZAR""),IF(Q604=Dashboard!$L$1,M604,(M604*GOOGLEFINANCE(""CURRENCY:""&amp;Q604&amp;""""&amp;Dashboard!$L$1&amp;""""))/100),IF(Q604=Dashboard!$L$1,M604,M604*GOOGLEFINANCE(""CURRENCY:""&amp;Q604&amp;""""&amp;Dashboard!$L$1&amp;"""")))"&amp;",M604))"),"")</f>
        <v/>
      </c>
      <c r="T604" s="264" t="str">
        <f t="shared" si="4"/>
        <v/>
      </c>
      <c r="U604" s="264" t="str">
        <f t="shared" si="5"/>
        <v/>
      </c>
      <c r="V604" s="264" t="str">
        <f t="shared" si="6"/>
        <v/>
      </c>
      <c r="W604" s="267" t="str">
        <f t="shared" si="8"/>
        <v/>
      </c>
      <c r="X604" s="264" t="str">
        <f t="shared" si="7"/>
        <v/>
      </c>
    </row>
    <row r="605" ht="15.75" customHeight="1">
      <c r="A605" s="258"/>
      <c r="B605" s="258"/>
      <c r="C605" s="269"/>
      <c r="D605" s="258"/>
      <c r="E605" s="258"/>
      <c r="F605" s="258"/>
      <c r="G605" s="258"/>
      <c r="H605" s="271"/>
      <c r="I605" s="258"/>
      <c r="J605" s="272"/>
      <c r="K605" s="260"/>
      <c r="L605" s="261"/>
      <c r="M605" s="262" t="str">
        <f t="shared" si="1"/>
        <v/>
      </c>
      <c r="N605" s="263" t="str">
        <f t="shared" si="2"/>
        <v/>
      </c>
      <c r="O605" s="264" t="str">
        <f t="shared" si="3"/>
        <v/>
      </c>
      <c r="P605" s="265" t="str">
        <f>IFERROR(__xludf.DUMMYFUNCTION("IF(ISBLANK(A605),"""",IFERROR(IF(H605=""Sell"",VLOOKUP(9^99,FILTER({ROW(P$2:P604),P$2:P604},D$2:D604=D605),2),(VLOOKUP(9^99,FILTER({ROW(P$2:P604),P$2:P604},D$2:D604=D605),2)*VLOOKUP(9^99,FILTER({ROW(O$2:O604),O$2:O604},D$2:D604=D605),2)-N605)/O605),J605))"),"")</f>
        <v/>
      </c>
      <c r="Q605" s="264" t="str">
        <f>IFERROR(__xludf.DUMMYFUNCTION("IFERROR(IF(F605=""Crypto"",B605,(IF(ISBLANK(D605),"""",IF(D605=""Cash"",B605,IF(GOOGLEFINANCE(D605,""CURRENCY"")=""GBX"",""GBP"",GOOGLEFINANCE(D605,""CURRENCY"")))))),B605)"),"")</f>
        <v/>
      </c>
      <c r="R605" s="263" t="str">
        <f>IFERROR(__xludf.DUMMYFUNCTION("IF(ISBLANK(A605),"""",IFERROR(IF(OR(Q605=""GPB"",Q605=""ZAR""),IF(Q605=Dashboard!$L$1,K605,(K605*GOOGLEFINANCE(""CURRENCY:""&amp;Q605&amp;""""&amp;Dashboard!$L$1&amp;""""))/100),IF(Q605=Dashboard!$L$1,K605,K605*GOOGLEFINANCE(""CURRENCY:""&amp;Q605&amp;""""&amp;Dashboard!$L$1&amp;"""")))"&amp;",K605))"),"")</f>
        <v/>
      </c>
      <c r="S605" s="266" t="str">
        <f>IFERROR(__xludf.DUMMYFUNCTION("IF(ISBLANK(A605),"""",IFERROR(IF(OR(Q605=""GPB"",Q605=""ZAR""),IF(Q605=Dashboard!$L$1,M605,(M605*GOOGLEFINANCE(""CURRENCY:""&amp;Q605&amp;""""&amp;Dashboard!$L$1&amp;""""))/100),IF(Q605=Dashboard!$L$1,M605,M605*GOOGLEFINANCE(""CURRENCY:""&amp;Q605&amp;""""&amp;Dashboard!$L$1&amp;"""")))"&amp;",M605))"),"")</f>
        <v/>
      </c>
      <c r="T605" s="264" t="str">
        <f t="shared" si="4"/>
        <v/>
      </c>
      <c r="U605" s="264" t="str">
        <f t="shared" si="5"/>
        <v/>
      </c>
      <c r="V605" s="264" t="str">
        <f t="shared" si="6"/>
        <v/>
      </c>
      <c r="W605" s="267" t="str">
        <f t="shared" si="8"/>
        <v/>
      </c>
      <c r="X605" s="264" t="str">
        <f t="shared" si="7"/>
        <v/>
      </c>
    </row>
    <row r="606" ht="15.75" customHeight="1">
      <c r="A606" s="258"/>
      <c r="B606" s="258"/>
      <c r="C606" s="269"/>
      <c r="D606" s="258"/>
      <c r="E606" s="258"/>
      <c r="F606" s="258"/>
      <c r="G606" s="258"/>
      <c r="H606" s="271"/>
      <c r="I606" s="258"/>
      <c r="J606" s="272"/>
      <c r="K606" s="260"/>
      <c r="L606" s="261"/>
      <c r="M606" s="262" t="str">
        <f t="shared" si="1"/>
        <v/>
      </c>
      <c r="N606" s="263" t="str">
        <f t="shared" si="2"/>
        <v/>
      </c>
      <c r="O606" s="264" t="str">
        <f t="shared" si="3"/>
        <v/>
      </c>
      <c r="P606" s="265" t="str">
        <f>IFERROR(__xludf.DUMMYFUNCTION("IF(ISBLANK(A606),"""",IFERROR(IF(H606=""Sell"",VLOOKUP(9^99,FILTER({ROW(P$2:P605),P$2:P605},D$2:D605=D606),2),(VLOOKUP(9^99,FILTER({ROW(P$2:P605),P$2:P605},D$2:D605=D606),2)*VLOOKUP(9^99,FILTER({ROW(O$2:O605),O$2:O605},D$2:D605=D606),2)-N606)/O606),J606))"),"")</f>
        <v/>
      </c>
      <c r="Q606" s="264" t="str">
        <f>IFERROR(__xludf.DUMMYFUNCTION("IFERROR(IF(F606=""Crypto"",B606,(IF(ISBLANK(D606),"""",IF(D606=""Cash"",B606,IF(GOOGLEFINANCE(D606,""CURRENCY"")=""GBX"",""GBP"",GOOGLEFINANCE(D606,""CURRENCY"")))))),B606)"),"")</f>
        <v/>
      </c>
      <c r="R606" s="263" t="str">
        <f>IFERROR(__xludf.DUMMYFUNCTION("IF(ISBLANK(A606),"""",IFERROR(IF(OR(Q606=""GPB"",Q606=""ZAR""),IF(Q606=Dashboard!$L$1,K606,(K606*GOOGLEFINANCE(""CURRENCY:""&amp;Q606&amp;""""&amp;Dashboard!$L$1&amp;""""))/100),IF(Q606=Dashboard!$L$1,K606,K606*GOOGLEFINANCE(""CURRENCY:""&amp;Q606&amp;""""&amp;Dashboard!$L$1&amp;"""")))"&amp;",K606))"),"")</f>
        <v/>
      </c>
      <c r="S606" s="266" t="str">
        <f>IFERROR(__xludf.DUMMYFUNCTION("IF(ISBLANK(A606),"""",IFERROR(IF(OR(Q606=""GPB"",Q606=""ZAR""),IF(Q606=Dashboard!$L$1,M606,(M606*GOOGLEFINANCE(""CURRENCY:""&amp;Q606&amp;""""&amp;Dashboard!$L$1&amp;""""))/100),IF(Q606=Dashboard!$L$1,M606,M606*GOOGLEFINANCE(""CURRENCY:""&amp;Q606&amp;""""&amp;Dashboard!$L$1&amp;"""")))"&amp;",M606))"),"")</f>
        <v/>
      </c>
      <c r="T606" s="264" t="str">
        <f t="shared" si="4"/>
        <v/>
      </c>
      <c r="U606" s="264" t="str">
        <f t="shared" si="5"/>
        <v/>
      </c>
      <c r="V606" s="264" t="str">
        <f t="shared" si="6"/>
        <v/>
      </c>
      <c r="W606" s="267" t="str">
        <f t="shared" si="8"/>
        <v/>
      </c>
      <c r="X606" s="264" t="str">
        <f t="shared" si="7"/>
        <v/>
      </c>
    </row>
    <row r="607" ht="15.75" customHeight="1">
      <c r="A607" s="258"/>
      <c r="B607" s="258"/>
      <c r="C607" s="269"/>
      <c r="D607" s="258"/>
      <c r="E607" s="258"/>
      <c r="F607" s="258"/>
      <c r="G607" s="258"/>
      <c r="H607" s="271"/>
      <c r="I607" s="258"/>
      <c r="J607" s="272"/>
      <c r="K607" s="260"/>
      <c r="L607" s="261"/>
      <c r="M607" s="262" t="str">
        <f t="shared" si="1"/>
        <v/>
      </c>
      <c r="N607" s="263" t="str">
        <f t="shared" si="2"/>
        <v/>
      </c>
      <c r="O607" s="264" t="str">
        <f t="shared" si="3"/>
        <v/>
      </c>
      <c r="P607" s="265" t="str">
        <f>IFERROR(__xludf.DUMMYFUNCTION("IF(ISBLANK(A607),"""",IFERROR(IF(H607=""Sell"",VLOOKUP(9^99,FILTER({ROW(P$2:P606),P$2:P606},D$2:D606=D607),2),(VLOOKUP(9^99,FILTER({ROW(P$2:P606),P$2:P606},D$2:D606=D607),2)*VLOOKUP(9^99,FILTER({ROW(O$2:O606),O$2:O606},D$2:D606=D607),2)-N607)/O607),J607))"),"")</f>
        <v/>
      </c>
      <c r="Q607" s="264" t="str">
        <f>IFERROR(__xludf.DUMMYFUNCTION("IFERROR(IF(F607=""Crypto"",B607,(IF(ISBLANK(D607),"""",IF(D607=""Cash"",B607,IF(GOOGLEFINANCE(D607,""CURRENCY"")=""GBX"",""GBP"",GOOGLEFINANCE(D607,""CURRENCY"")))))),B607)"),"")</f>
        <v/>
      </c>
      <c r="R607" s="263" t="str">
        <f>IFERROR(__xludf.DUMMYFUNCTION("IF(ISBLANK(A607),"""",IFERROR(IF(OR(Q607=""GPB"",Q607=""ZAR""),IF(Q607=Dashboard!$L$1,K607,(K607*GOOGLEFINANCE(""CURRENCY:""&amp;Q607&amp;""""&amp;Dashboard!$L$1&amp;""""))/100),IF(Q607=Dashboard!$L$1,K607,K607*GOOGLEFINANCE(""CURRENCY:""&amp;Q607&amp;""""&amp;Dashboard!$L$1&amp;"""")))"&amp;",K607))"),"")</f>
        <v/>
      </c>
      <c r="S607" s="266" t="str">
        <f>IFERROR(__xludf.DUMMYFUNCTION("IF(ISBLANK(A607),"""",IFERROR(IF(OR(Q607=""GPB"",Q607=""ZAR""),IF(Q607=Dashboard!$L$1,M607,(M607*GOOGLEFINANCE(""CURRENCY:""&amp;Q607&amp;""""&amp;Dashboard!$L$1&amp;""""))/100),IF(Q607=Dashboard!$L$1,M607,M607*GOOGLEFINANCE(""CURRENCY:""&amp;Q607&amp;""""&amp;Dashboard!$L$1&amp;"""")))"&amp;",M607))"),"")</f>
        <v/>
      </c>
      <c r="T607" s="264" t="str">
        <f t="shared" si="4"/>
        <v/>
      </c>
      <c r="U607" s="264" t="str">
        <f t="shared" si="5"/>
        <v/>
      </c>
      <c r="V607" s="264" t="str">
        <f t="shared" si="6"/>
        <v/>
      </c>
      <c r="W607" s="267" t="str">
        <f t="shared" si="8"/>
        <v/>
      </c>
      <c r="X607" s="264" t="str">
        <f t="shared" si="7"/>
        <v/>
      </c>
    </row>
    <row r="608" ht="15.75" customHeight="1">
      <c r="A608" s="258"/>
      <c r="B608" s="258"/>
      <c r="C608" s="269"/>
      <c r="D608" s="258"/>
      <c r="E608" s="258"/>
      <c r="F608" s="258"/>
      <c r="G608" s="258"/>
      <c r="H608" s="271"/>
      <c r="I608" s="258"/>
      <c r="J608" s="272"/>
      <c r="K608" s="260"/>
      <c r="L608" s="261"/>
      <c r="M608" s="262" t="str">
        <f t="shared" si="1"/>
        <v/>
      </c>
      <c r="N608" s="263" t="str">
        <f t="shared" si="2"/>
        <v/>
      </c>
      <c r="O608" s="264" t="str">
        <f t="shared" si="3"/>
        <v/>
      </c>
      <c r="P608" s="265" t="str">
        <f>IFERROR(__xludf.DUMMYFUNCTION("IF(ISBLANK(A608),"""",IFERROR(IF(H608=""Sell"",VLOOKUP(9^99,FILTER({ROW(P$2:P607),P$2:P607},D$2:D607=D608),2),(VLOOKUP(9^99,FILTER({ROW(P$2:P607),P$2:P607},D$2:D607=D608),2)*VLOOKUP(9^99,FILTER({ROW(O$2:O607),O$2:O607},D$2:D607=D608),2)-N608)/O608),J608))"),"")</f>
        <v/>
      </c>
      <c r="Q608" s="264" t="str">
        <f>IFERROR(__xludf.DUMMYFUNCTION("IFERROR(IF(F608=""Crypto"",B608,(IF(ISBLANK(D608),"""",IF(D608=""Cash"",B608,IF(GOOGLEFINANCE(D608,""CURRENCY"")=""GBX"",""GBP"",GOOGLEFINANCE(D608,""CURRENCY"")))))),B608)"),"")</f>
        <v/>
      </c>
      <c r="R608" s="263" t="str">
        <f>IFERROR(__xludf.DUMMYFUNCTION("IF(ISBLANK(A608),"""",IFERROR(IF(OR(Q608=""GPB"",Q608=""ZAR""),IF(Q608=Dashboard!$L$1,K608,(K608*GOOGLEFINANCE(""CURRENCY:""&amp;Q608&amp;""""&amp;Dashboard!$L$1&amp;""""))/100),IF(Q608=Dashboard!$L$1,K608,K608*GOOGLEFINANCE(""CURRENCY:""&amp;Q608&amp;""""&amp;Dashboard!$L$1&amp;"""")))"&amp;",K608))"),"")</f>
        <v/>
      </c>
      <c r="S608" s="266" t="str">
        <f>IFERROR(__xludf.DUMMYFUNCTION("IF(ISBLANK(A608),"""",IFERROR(IF(OR(Q608=""GPB"",Q608=""ZAR""),IF(Q608=Dashboard!$L$1,M608,(M608*GOOGLEFINANCE(""CURRENCY:""&amp;Q608&amp;""""&amp;Dashboard!$L$1&amp;""""))/100),IF(Q608=Dashboard!$L$1,M608,M608*GOOGLEFINANCE(""CURRENCY:""&amp;Q608&amp;""""&amp;Dashboard!$L$1&amp;"""")))"&amp;",M608))"),"")</f>
        <v/>
      </c>
      <c r="T608" s="264" t="str">
        <f t="shared" si="4"/>
        <v/>
      </c>
      <c r="U608" s="264" t="str">
        <f t="shared" si="5"/>
        <v/>
      </c>
      <c r="V608" s="264" t="str">
        <f t="shared" si="6"/>
        <v/>
      </c>
      <c r="W608" s="267" t="str">
        <f t="shared" si="8"/>
        <v/>
      </c>
      <c r="X608" s="264" t="str">
        <f t="shared" si="7"/>
        <v/>
      </c>
    </row>
    <row r="609" ht="15.75" customHeight="1">
      <c r="A609" s="258"/>
      <c r="B609" s="258"/>
      <c r="C609" s="269"/>
      <c r="D609" s="258"/>
      <c r="E609" s="258"/>
      <c r="F609" s="258"/>
      <c r="G609" s="258"/>
      <c r="H609" s="271"/>
      <c r="I609" s="258"/>
      <c r="J609" s="272"/>
      <c r="K609" s="260"/>
      <c r="L609" s="261"/>
      <c r="M609" s="262" t="str">
        <f t="shared" si="1"/>
        <v/>
      </c>
      <c r="N609" s="263" t="str">
        <f t="shared" si="2"/>
        <v/>
      </c>
      <c r="O609" s="264" t="str">
        <f t="shared" si="3"/>
        <v/>
      </c>
      <c r="P609" s="265" t="str">
        <f>IFERROR(__xludf.DUMMYFUNCTION("IF(ISBLANK(A609),"""",IFERROR(IF(H609=""Sell"",VLOOKUP(9^99,FILTER({ROW(P$2:P608),P$2:P608},D$2:D608=D609),2),(VLOOKUP(9^99,FILTER({ROW(P$2:P608),P$2:P608},D$2:D608=D609),2)*VLOOKUP(9^99,FILTER({ROW(O$2:O608),O$2:O608},D$2:D608=D609),2)-N609)/O609),J609))"),"")</f>
        <v/>
      </c>
      <c r="Q609" s="264" t="str">
        <f>IFERROR(__xludf.DUMMYFUNCTION("IFERROR(IF(F609=""Crypto"",B609,(IF(ISBLANK(D609),"""",IF(D609=""Cash"",B609,IF(GOOGLEFINANCE(D609,""CURRENCY"")=""GBX"",""GBP"",GOOGLEFINANCE(D609,""CURRENCY"")))))),B609)"),"")</f>
        <v/>
      </c>
      <c r="R609" s="263" t="str">
        <f>IFERROR(__xludf.DUMMYFUNCTION("IF(ISBLANK(A609),"""",IFERROR(IF(OR(Q609=""GPB"",Q609=""ZAR""),IF(Q609=Dashboard!$L$1,K609,(K609*GOOGLEFINANCE(""CURRENCY:""&amp;Q609&amp;""""&amp;Dashboard!$L$1&amp;""""))/100),IF(Q609=Dashboard!$L$1,K609,K609*GOOGLEFINANCE(""CURRENCY:""&amp;Q609&amp;""""&amp;Dashboard!$L$1&amp;"""")))"&amp;",K609))"),"")</f>
        <v/>
      </c>
      <c r="S609" s="266" t="str">
        <f>IFERROR(__xludf.DUMMYFUNCTION("IF(ISBLANK(A609),"""",IFERROR(IF(OR(Q609=""GPB"",Q609=""ZAR""),IF(Q609=Dashboard!$L$1,M609,(M609*GOOGLEFINANCE(""CURRENCY:""&amp;Q609&amp;""""&amp;Dashboard!$L$1&amp;""""))/100),IF(Q609=Dashboard!$L$1,M609,M609*GOOGLEFINANCE(""CURRENCY:""&amp;Q609&amp;""""&amp;Dashboard!$L$1&amp;"""")))"&amp;",M609))"),"")</f>
        <v/>
      </c>
      <c r="T609" s="264" t="str">
        <f t="shared" si="4"/>
        <v/>
      </c>
      <c r="U609" s="264" t="str">
        <f t="shared" si="5"/>
        <v/>
      </c>
      <c r="V609" s="264" t="str">
        <f t="shared" si="6"/>
        <v/>
      </c>
      <c r="W609" s="267" t="str">
        <f t="shared" si="8"/>
        <v/>
      </c>
      <c r="X609" s="264" t="str">
        <f t="shared" si="7"/>
        <v/>
      </c>
    </row>
    <row r="610" ht="15.75" customHeight="1">
      <c r="A610" s="258"/>
      <c r="B610" s="258"/>
      <c r="C610" s="269"/>
      <c r="D610" s="258"/>
      <c r="E610" s="258"/>
      <c r="F610" s="258"/>
      <c r="G610" s="258"/>
      <c r="H610" s="271"/>
      <c r="I610" s="258"/>
      <c r="J610" s="272"/>
      <c r="K610" s="260"/>
      <c r="L610" s="261"/>
      <c r="M610" s="262" t="str">
        <f t="shared" si="1"/>
        <v/>
      </c>
      <c r="N610" s="263" t="str">
        <f t="shared" si="2"/>
        <v/>
      </c>
      <c r="O610" s="264" t="str">
        <f t="shared" si="3"/>
        <v/>
      </c>
      <c r="P610" s="265" t="str">
        <f>IFERROR(__xludf.DUMMYFUNCTION("IF(ISBLANK(A610),"""",IFERROR(IF(H610=""Sell"",VLOOKUP(9^99,FILTER({ROW(P$2:P609),P$2:P609},D$2:D609=D610),2),(VLOOKUP(9^99,FILTER({ROW(P$2:P609),P$2:P609},D$2:D609=D610),2)*VLOOKUP(9^99,FILTER({ROW(O$2:O609),O$2:O609},D$2:D609=D610),2)-N610)/O610),J610))"),"")</f>
        <v/>
      </c>
      <c r="Q610" s="264" t="str">
        <f>IFERROR(__xludf.DUMMYFUNCTION("IFERROR(IF(F610=""Crypto"",B610,(IF(ISBLANK(D610),"""",IF(D610=""Cash"",B610,IF(GOOGLEFINANCE(D610,""CURRENCY"")=""GBX"",""GBP"",GOOGLEFINANCE(D610,""CURRENCY"")))))),B610)"),"")</f>
        <v/>
      </c>
      <c r="R610" s="263" t="str">
        <f>IFERROR(__xludf.DUMMYFUNCTION("IF(ISBLANK(A610),"""",IFERROR(IF(OR(Q610=""GPB"",Q610=""ZAR""),IF(Q610=Dashboard!$L$1,K610,(K610*GOOGLEFINANCE(""CURRENCY:""&amp;Q610&amp;""""&amp;Dashboard!$L$1&amp;""""))/100),IF(Q610=Dashboard!$L$1,K610,K610*GOOGLEFINANCE(""CURRENCY:""&amp;Q610&amp;""""&amp;Dashboard!$L$1&amp;"""")))"&amp;",K610))"),"")</f>
        <v/>
      </c>
      <c r="S610" s="266" t="str">
        <f>IFERROR(__xludf.DUMMYFUNCTION("IF(ISBLANK(A610),"""",IFERROR(IF(OR(Q610=""GPB"",Q610=""ZAR""),IF(Q610=Dashboard!$L$1,M610,(M610*GOOGLEFINANCE(""CURRENCY:""&amp;Q610&amp;""""&amp;Dashboard!$L$1&amp;""""))/100),IF(Q610=Dashboard!$L$1,M610,M610*GOOGLEFINANCE(""CURRENCY:""&amp;Q610&amp;""""&amp;Dashboard!$L$1&amp;"""")))"&amp;",M610))"),"")</f>
        <v/>
      </c>
      <c r="T610" s="264" t="str">
        <f t="shared" si="4"/>
        <v/>
      </c>
      <c r="U610" s="264" t="str">
        <f t="shared" si="5"/>
        <v/>
      </c>
      <c r="V610" s="264" t="str">
        <f t="shared" si="6"/>
        <v/>
      </c>
      <c r="W610" s="267" t="str">
        <f t="shared" si="8"/>
        <v/>
      </c>
      <c r="X610" s="264" t="str">
        <f t="shared" si="7"/>
        <v/>
      </c>
    </row>
    <row r="611" ht="15.75" customHeight="1">
      <c r="A611" s="258"/>
      <c r="B611" s="258"/>
      <c r="C611" s="269"/>
      <c r="D611" s="258"/>
      <c r="E611" s="258"/>
      <c r="F611" s="258"/>
      <c r="G611" s="258"/>
      <c r="H611" s="271"/>
      <c r="I611" s="258"/>
      <c r="J611" s="272"/>
      <c r="K611" s="260"/>
      <c r="L611" s="261"/>
      <c r="M611" s="262" t="str">
        <f t="shared" si="1"/>
        <v/>
      </c>
      <c r="N611" s="263" t="str">
        <f t="shared" si="2"/>
        <v/>
      </c>
      <c r="O611" s="264" t="str">
        <f t="shared" si="3"/>
        <v/>
      </c>
      <c r="P611" s="265" t="str">
        <f>IFERROR(__xludf.DUMMYFUNCTION("IF(ISBLANK(A611),"""",IFERROR(IF(H611=""Sell"",VLOOKUP(9^99,FILTER({ROW(P$2:P610),P$2:P610},D$2:D610=D611),2),(VLOOKUP(9^99,FILTER({ROW(P$2:P610),P$2:P610},D$2:D610=D611),2)*VLOOKUP(9^99,FILTER({ROW(O$2:O610),O$2:O610},D$2:D610=D611),2)-N611)/O611),J611))"),"")</f>
        <v/>
      </c>
      <c r="Q611" s="264" t="str">
        <f>IFERROR(__xludf.DUMMYFUNCTION("IFERROR(IF(F611=""Crypto"",B611,(IF(ISBLANK(D611),"""",IF(D611=""Cash"",B611,IF(GOOGLEFINANCE(D611,""CURRENCY"")=""GBX"",""GBP"",GOOGLEFINANCE(D611,""CURRENCY"")))))),B611)"),"")</f>
        <v/>
      </c>
      <c r="R611" s="263" t="str">
        <f>IFERROR(__xludf.DUMMYFUNCTION("IF(ISBLANK(A611),"""",IFERROR(IF(OR(Q611=""GPB"",Q611=""ZAR""),IF(Q611=Dashboard!$L$1,K611,(K611*GOOGLEFINANCE(""CURRENCY:""&amp;Q611&amp;""""&amp;Dashboard!$L$1&amp;""""))/100),IF(Q611=Dashboard!$L$1,K611,K611*GOOGLEFINANCE(""CURRENCY:""&amp;Q611&amp;""""&amp;Dashboard!$L$1&amp;"""")))"&amp;",K611))"),"")</f>
        <v/>
      </c>
      <c r="S611" s="266" t="str">
        <f>IFERROR(__xludf.DUMMYFUNCTION("IF(ISBLANK(A611),"""",IFERROR(IF(OR(Q611=""GPB"",Q611=""ZAR""),IF(Q611=Dashboard!$L$1,M611,(M611*GOOGLEFINANCE(""CURRENCY:""&amp;Q611&amp;""""&amp;Dashboard!$L$1&amp;""""))/100),IF(Q611=Dashboard!$L$1,M611,M611*GOOGLEFINANCE(""CURRENCY:""&amp;Q611&amp;""""&amp;Dashboard!$L$1&amp;"""")))"&amp;",M611))"),"")</f>
        <v/>
      </c>
      <c r="T611" s="264" t="str">
        <f t="shared" si="4"/>
        <v/>
      </c>
      <c r="U611" s="264" t="str">
        <f t="shared" si="5"/>
        <v/>
      </c>
      <c r="V611" s="264" t="str">
        <f t="shared" si="6"/>
        <v/>
      </c>
      <c r="W611" s="267" t="str">
        <f t="shared" si="8"/>
        <v/>
      </c>
      <c r="X611" s="264" t="str">
        <f t="shared" si="7"/>
        <v/>
      </c>
    </row>
    <row r="612" ht="15.75" customHeight="1">
      <c r="A612" s="258"/>
      <c r="B612" s="258"/>
      <c r="C612" s="269"/>
      <c r="D612" s="258"/>
      <c r="E612" s="258"/>
      <c r="F612" s="258"/>
      <c r="G612" s="258"/>
      <c r="H612" s="271"/>
      <c r="I612" s="258"/>
      <c r="J612" s="272"/>
      <c r="K612" s="260"/>
      <c r="L612" s="261"/>
      <c r="M612" s="262" t="str">
        <f t="shared" si="1"/>
        <v/>
      </c>
      <c r="N612" s="263" t="str">
        <f t="shared" si="2"/>
        <v/>
      </c>
      <c r="O612" s="264" t="str">
        <f t="shared" si="3"/>
        <v/>
      </c>
      <c r="P612" s="265" t="str">
        <f>IFERROR(__xludf.DUMMYFUNCTION("IF(ISBLANK(A612),"""",IFERROR(IF(H612=""Sell"",VLOOKUP(9^99,FILTER({ROW(P$2:P611),P$2:P611},D$2:D611=D612),2),(VLOOKUP(9^99,FILTER({ROW(P$2:P611),P$2:P611},D$2:D611=D612),2)*VLOOKUP(9^99,FILTER({ROW(O$2:O611),O$2:O611},D$2:D611=D612),2)-N612)/O612),J612))"),"")</f>
        <v/>
      </c>
      <c r="Q612" s="264" t="str">
        <f>IFERROR(__xludf.DUMMYFUNCTION("IFERROR(IF(F612=""Crypto"",B612,(IF(ISBLANK(D612),"""",IF(D612=""Cash"",B612,IF(GOOGLEFINANCE(D612,""CURRENCY"")=""GBX"",""GBP"",GOOGLEFINANCE(D612,""CURRENCY"")))))),B612)"),"")</f>
        <v/>
      </c>
      <c r="R612" s="263" t="str">
        <f>IFERROR(__xludf.DUMMYFUNCTION("IF(ISBLANK(A612),"""",IFERROR(IF(OR(Q612=""GPB"",Q612=""ZAR""),IF(Q612=Dashboard!$L$1,K612,(K612*GOOGLEFINANCE(""CURRENCY:""&amp;Q612&amp;""""&amp;Dashboard!$L$1&amp;""""))/100),IF(Q612=Dashboard!$L$1,K612,K612*GOOGLEFINANCE(""CURRENCY:""&amp;Q612&amp;""""&amp;Dashboard!$L$1&amp;"""")))"&amp;",K612))"),"")</f>
        <v/>
      </c>
      <c r="S612" s="266" t="str">
        <f>IFERROR(__xludf.DUMMYFUNCTION("IF(ISBLANK(A612),"""",IFERROR(IF(OR(Q612=""GPB"",Q612=""ZAR""),IF(Q612=Dashboard!$L$1,M612,(M612*GOOGLEFINANCE(""CURRENCY:""&amp;Q612&amp;""""&amp;Dashboard!$L$1&amp;""""))/100),IF(Q612=Dashboard!$L$1,M612,M612*GOOGLEFINANCE(""CURRENCY:""&amp;Q612&amp;""""&amp;Dashboard!$L$1&amp;"""")))"&amp;",M612))"),"")</f>
        <v/>
      </c>
      <c r="T612" s="264" t="str">
        <f t="shared" si="4"/>
        <v/>
      </c>
      <c r="U612" s="264" t="str">
        <f t="shared" si="5"/>
        <v/>
      </c>
      <c r="V612" s="264" t="str">
        <f t="shared" si="6"/>
        <v/>
      </c>
      <c r="W612" s="267" t="str">
        <f t="shared" si="8"/>
        <v/>
      </c>
      <c r="X612" s="264" t="str">
        <f t="shared" si="7"/>
        <v/>
      </c>
    </row>
    <row r="613" ht="15.75" customHeight="1">
      <c r="A613" s="258"/>
      <c r="B613" s="258"/>
      <c r="C613" s="269"/>
      <c r="D613" s="258"/>
      <c r="E613" s="258"/>
      <c r="F613" s="258"/>
      <c r="G613" s="258"/>
      <c r="H613" s="271"/>
      <c r="I613" s="258"/>
      <c r="J613" s="272"/>
      <c r="K613" s="260"/>
      <c r="L613" s="261"/>
      <c r="M613" s="262" t="str">
        <f t="shared" si="1"/>
        <v/>
      </c>
      <c r="N613" s="263" t="str">
        <f t="shared" si="2"/>
        <v/>
      </c>
      <c r="O613" s="264" t="str">
        <f t="shared" si="3"/>
        <v/>
      </c>
      <c r="P613" s="265" t="str">
        <f>IFERROR(__xludf.DUMMYFUNCTION("IF(ISBLANK(A613),"""",IFERROR(IF(H613=""Sell"",VLOOKUP(9^99,FILTER({ROW(P$2:P612),P$2:P612},D$2:D612=D613),2),(VLOOKUP(9^99,FILTER({ROW(P$2:P612),P$2:P612},D$2:D612=D613),2)*VLOOKUP(9^99,FILTER({ROW(O$2:O612),O$2:O612},D$2:D612=D613),2)-N613)/O613),J613))"),"")</f>
        <v/>
      </c>
      <c r="Q613" s="264" t="str">
        <f>IFERROR(__xludf.DUMMYFUNCTION("IFERROR(IF(F613=""Crypto"",B613,(IF(ISBLANK(D613),"""",IF(D613=""Cash"",B613,IF(GOOGLEFINANCE(D613,""CURRENCY"")=""GBX"",""GBP"",GOOGLEFINANCE(D613,""CURRENCY"")))))),B613)"),"")</f>
        <v/>
      </c>
      <c r="R613" s="263" t="str">
        <f>IFERROR(__xludf.DUMMYFUNCTION("IF(ISBLANK(A613),"""",IFERROR(IF(OR(Q613=""GPB"",Q613=""ZAR""),IF(Q613=Dashboard!$L$1,K613,(K613*GOOGLEFINANCE(""CURRENCY:""&amp;Q613&amp;""""&amp;Dashboard!$L$1&amp;""""))/100),IF(Q613=Dashboard!$L$1,K613,K613*GOOGLEFINANCE(""CURRENCY:""&amp;Q613&amp;""""&amp;Dashboard!$L$1&amp;"""")))"&amp;",K613))"),"")</f>
        <v/>
      </c>
      <c r="S613" s="266" t="str">
        <f>IFERROR(__xludf.DUMMYFUNCTION("IF(ISBLANK(A613),"""",IFERROR(IF(OR(Q613=""GPB"",Q613=""ZAR""),IF(Q613=Dashboard!$L$1,M613,(M613*GOOGLEFINANCE(""CURRENCY:""&amp;Q613&amp;""""&amp;Dashboard!$L$1&amp;""""))/100),IF(Q613=Dashboard!$L$1,M613,M613*GOOGLEFINANCE(""CURRENCY:""&amp;Q613&amp;""""&amp;Dashboard!$L$1&amp;"""")))"&amp;",M613))"),"")</f>
        <v/>
      </c>
      <c r="T613" s="264" t="str">
        <f t="shared" si="4"/>
        <v/>
      </c>
      <c r="U613" s="264" t="str">
        <f t="shared" si="5"/>
        <v/>
      </c>
      <c r="V613" s="264" t="str">
        <f t="shared" si="6"/>
        <v/>
      </c>
      <c r="W613" s="267" t="str">
        <f t="shared" si="8"/>
        <v/>
      </c>
      <c r="X613" s="264" t="str">
        <f t="shared" si="7"/>
        <v/>
      </c>
    </row>
    <row r="614" ht="15.75" customHeight="1">
      <c r="A614" s="258"/>
      <c r="B614" s="258"/>
      <c r="C614" s="269"/>
      <c r="D614" s="258"/>
      <c r="E614" s="258"/>
      <c r="F614" s="258"/>
      <c r="G614" s="258"/>
      <c r="H614" s="271"/>
      <c r="I614" s="258"/>
      <c r="J614" s="272"/>
      <c r="K614" s="260"/>
      <c r="L614" s="261"/>
      <c r="M614" s="262" t="str">
        <f t="shared" si="1"/>
        <v/>
      </c>
      <c r="N614" s="263" t="str">
        <f t="shared" si="2"/>
        <v/>
      </c>
      <c r="O614" s="264" t="str">
        <f t="shared" si="3"/>
        <v/>
      </c>
      <c r="P614" s="265" t="str">
        <f>IFERROR(__xludf.DUMMYFUNCTION("IF(ISBLANK(A614),"""",IFERROR(IF(H614=""Sell"",VLOOKUP(9^99,FILTER({ROW(P$2:P613),P$2:P613},D$2:D613=D614),2),(VLOOKUP(9^99,FILTER({ROW(P$2:P613),P$2:P613},D$2:D613=D614),2)*VLOOKUP(9^99,FILTER({ROW(O$2:O613),O$2:O613},D$2:D613=D614),2)-N614)/O614),J614))"),"")</f>
        <v/>
      </c>
      <c r="Q614" s="264" t="str">
        <f>IFERROR(__xludf.DUMMYFUNCTION("IFERROR(IF(F614=""Crypto"",B614,(IF(ISBLANK(D614),"""",IF(D614=""Cash"",B614,IF(GOOGLEFINANCE(D614,""CURRENCY"")=""GBX"",""GBP"",GOOGLEFINANCE(D614,""CURRENCY"")))))),B614)"),"")</f>
        <v/>
      </c>
      <c r="R614" s="263" t="str">
        <f>IFERROR(__xludf.DUMMYFUNCTION("IF(ISBLANK(A614),"""",IFERROR(IF(OR(Q614=""GPB"",Q614=""ZAR""),IF(Q614=Dashboard!$L$1,K614,(K614*GOOGLEFINANCE(""CURRENCY:""&amp;Q614&amp;""""&amp;Dashboard!$L$1&amp;""""))/100),IF(Q614=Dashboard!$L$1,K614,K614*GOOGLEFINANCE(""CURRENCY:""&amp;Q614&amp;""""&amp;Dashboard!$L$1&amp;"""")))"&amp;",K614))"),"")</f>
        <v/>
      </c>
      <c r="S614" s="266" t="str">
        <f>IFERROR(__xludf.DUMMYFUNCTION("IF(ISBLANK(A614),"""",IFERROR(IF(OR(Q614=""GPB"",Q614=""ZAR""),IF(Q614=Dashboard!$L$1,M614,(M614*GOOGLEFINANCE(""CURRENCY:""&amp;Q614&amp;""""&amp;Dashboard!$L$1&amp;""""))/100),IF(Q614=Dashboard!$L$1,M614,M614*GOOGLEFINANCE(""CURRENCY:""&amp;Q614&amp;""""&amp;Dashboard!$L$1&amp;"""")))"&amp;",M614))"),"")</f>
        <v/>
      </c>
      <c r="T614" s="264" t="str">
        <f t="shared" si="4"/>
        <v/>
      </c>
      <c r="U614" s="264" t="str">
        <f t="shared" si="5"/>
        <v/>
      </c>
      <c r="V614" s="264" t="str">
        <f t="shared" si="6"/>
        <v/>
      </c>
      <c r="W614" s="267" t="str">
        <f t="shared" si="8"/>
        <v/>
      </c>
      <c r="X614" s="264" t="str">
        <f t="shared" si="7"/>
        <v/>
      </c>
    </row>
    <row r="615" ht="15.75" customHeight="1">
      <c r="A615" s="258"/>
      <c r="B615" s="258"/>
      <c r="C615" s="269"/>
      <c r="D615" s="258"/>
      <c r="E615" s="258"/>
      <c r="F615" s="258"/>
      <c r="G615" s="258"/>
      <c r="H615" s="271"/>
      <c r="I615" s="258"/>
      <c r="J615" s="272"/>
      <c r="K615" s="260"/>
      <c r="L615" s="261"/>
      <c r="M615" s="262" t="str">
        <f t="shared" si="1"/>
        <v/>
      </c>
      <c r="N615" s="263" t="str">
        <f t="shared" si="2"/>
        <v/>
      </c>
      <c r="O615" s="264" t="str">
        <f t="shared" si="3"/>
        <v/>
      </c>
      <c r="P615" s="265" t="str">
        <f>IFERROR(__xludf.DUMMYFUNCTION("IF(ISBLANK(A615),"""",IFERROR(IF(H615=""Sell"",VLOOKUP(9^99,FILTER({ROW(P$2:P614),P$2:P614},D$2:D614=D615),2),(VLOOKUP(9^99,FILTER({ROW(P$2:P614),P$2:P614},D$2:D614=D615),2)*VLOOKUP(9^99,FILTER({ROW(O$2:O614),O$2:O614},D$2:D614=D615),2)-N615)/O615),J615))"),"")</f>
        <v/>
      </c>
      <c r="Q615" s="264" t="str">
        <f>IFERROR(__xludf.DUMMYFUNCTION("IFERROR(IF(F615=""Crypto"",B615,(IF(ISBLANK(D615),"""",IF(D615=""Cash"",B615,IF(GOOGLEFINANCE(D615,""CURRENCY"")=""GBX"",""GBP"",GOOGLEFINANCE(D615,""CURRENCY"")))))),B615)"),"")</f>
        <v/>
      </c>
      <c r="R615" s="263" t="str">
        <f>IFERROR(__xludf.DUMMYFUNCTION("IF(ISBLANK(A615),"""",IFERROR(IF(OR(Q615=""GPB"",Q615=""ZAR""),IF(Q615=Dashboard!$L$1,K615,(K615*GOOGLEFINANCE(""CURRENCY:""&amp;Q615&amp;""""&amp;Dashboard!$L$1&amp;""""))/100),IF(Q615=Dashboard!$L$1,K615,K615*GOOGLEFINANCE(""CURRENCY:""&amp;Q615&amp;""""&amp;Dashboard!$L$1&amp;"""")))"&amp;",K615))"),"")</f>
        <v/>
      </c>
      <c r="S615" s="266" t="str">
        <f>IFERROR(__xludf.DUMMYFUNCTION("IF(ISBLANK(A615),"""",IFERROR(IF(OR(Q615=""GPB"",Q615=""ZAR""),IF(Q615=Dashboard!$L$1,M615,(M615*GOOGLEFINANCE(""CURRENCY:""&amp;Q615&amp;""""&amp;Dashboard!$L$1&amp;""""))/100),IF(Q615=Dashboard!$L$1,M615,M615*GOOGLEFINANCE(""CURRENCY:""&amp;Q615&amp;""""&amp;Dashboard!$L$1&amp;"""")))"&amp;",M615))"),"")</f>
        <v/>
      </c>
      <c r="T615" s="264" t="str">
        <f t="shared" si="4"/>
        <v/>
      </c>
      <c r="U615" s="264" t="str">
        <f t="shared" si="5"/>
        <v/>
      </c>
      <c r="V615" s="264" t="str">
        <f t="shared" si="6"/>
        <v/>
      </c>
      <c r="W615" s="267" t="str">
        <f t="shared" si="8"/>
        <v/>
      </c>
      <c r="X615" s="264" t="str">
        <f t="shared" si="7"/>
        <v/>
      </c>
    </row>
    <row r="616" ht="15.75" customHeight="1">
      <c r="A616" s="258"/>
      <c r="B616" s="258"/>
      <c r="C616" s="269"/>
      <c r="D616" s="258"/>
      <c r="E616" s="258"/>
      <c r="F616" s="258"/>
      <c r="G616" s="258"/>
      <c r="H616" s="271"/>
      <c r="I616" s="258"/>
      <c r="J616" s="272"/>
      <c r="K616" s="260"/>
      <c r="L616" s="261"/>
      <c r="M616" s="262" t="str">
        <f t="shared" si="1"/>
        <v/>
      </c>
      <c r="N616" s="263" t="str">
        <f t="shared" si="2"/>
        <v/>
      </c>
      <c r="O616" s="264" t="str">
        <f t="shared" si="3"/>
        <v/>
      </c>
      <c r="P616" s="265" t="str">
        <f>IFERROR(__xludf.DUMMYFUNCTION("IF(ISBLANK(A616),"""",IFERROR(IF(H616=""Sell"",VLOOKUP(9^99,FILTER({ROW(P$2:P615),P$2:P615},D$2:D615=D616),2),(VLOOKUP(9^99,FILTER({ROW(P$2:P615),P$2:P615},D$2:D615=D616),2)*VLOOKUP(9^99,FILTER({ROW(O$2:O615),O$2:O615},D$2:D615=D616),2)-N616)/O616),J616))"),"")</f>
        <v/>
      </c>
      <c r="Q616" s="264" t="str">
        <f>IFERROR(__xludf.DUMMYFUNCTION("IFERROR(IF(F616=""Crypto"",B616,(IF(ISBLANK(D616),"""",IF(D616=""Cash"",B616,IF(GOOGLEFINANCE(D616,""CURRENCY"")=""GBX"",""GBP"",GOOGLEFINANCE(D616,""CURRENCY"")))))),B616)"),"")</f>
        <v/>
      </c>
      <c r="R616" s="263" t="str">
        <f>IFERROR(__xludf.DUMMYFUNCTION("IF(ISBLANK(A616),"""",IFERROR(IF(OR(Q616=""GPB"",Q616=""ZAR""),IF(Q616=Dashboard!$L$1,K616,(K616*GOOGLEFINANCE(""CURRENCY:""&amp;Q616&amp;""""&amp;Dashboard!$L$1&amp;""""))/100),IF(Q616=Dashboard!$L$1,K616,K616*GOOGLEFINANCE(""CURRENCY:""&amp;Q616&amp;""""&amp;Dashboard!$L$1&amp;"""")))"&amp;",K616))"),"")</f>
        <v/>
      </c>
      <c r="S616" s="266" t="str">
        <f>IFERROR(__xludf.DUMMYFUNCTION("IF(ISBLANK(A616),"""",IFERROR(IF(OR(Q616=""GPB"",Q616=""ZAR""),IF(Q616=Dashboard!$L$1,M616,(M616*GOOGLEFINANCE(""CURRENCY:""&amp;Q616&amp;""""&amp;Dashboard!$L$1&amp;""""))/100),IF(Q616=Dashboard!$L$1,M616,M616*GOOGLEFINANCE(""CURRENCY:""&amp;Q616&amp;""""&amp;Dashboard!$L$1&amp;"""")))"&amp;",M616))"),"")</f>
        <v/>
      </c>
      <c r="T616" s="264" t="str">
        <f t="shared" si="4"/>
        <v/>
      </c>
      <c r="U616" s="264" t="str">
        <f t="shared" si="5"/>
        <v/>
      </c>
      <c r="V616" s="264" t="str">
        <f t="shared" si="6"/>
        <v/>
      </c>
      <c r="W616" s="267" t="str">
        <f t="shared" si="8"/>
        <v/>
      </c>
      <c r="X616" s="264" t="str">
        <f t="shared" si="7"/>
        <v/>
      </c>
    </row>
    <row r="617" ht="15.75" customHeight="1">
      <c r="A617" s="258"/>
      <c r="B617" s="258"/>
      <c r="C617" s="269"/>
      <c r="D617" s="258"/>
      <c r="E617" s="258"/>
      <c r="F617" s="258"/>
      <c r="G617" s="258"/>
      <c r="H617" s="271"/>
      <c r="I617" s="258"/>
      <c r="J617" s="272"/>
      <c r="K617" s="260"/>
      <c r="L617" s="261"/>
      <c r="M617" s="262" t="str">
        <f t="shared" si="1"/>
        <v/>
      </c>
      <c r="N617" s="263" t="str">
        <f t="shared" si="2"/>
        <v/>
      </c>
      <c r="O617" s="264" t="str">
        <f t="shared" si="3"/>
        <v/>
      </c>
      <c r="P617" s="265" t="str">
        <f>IFERROR(__xludf.DUMMYFUNCTION("IF(ISBLANK(A617),"""",IFERROR(IF(H617=""Sell"",VLOOKUP(9^99,FILTER({ROW(P$2:P616),P$2:P616},D$2:D616=D617),2),(VLOOKUP(9^99,FILTER({ROW(P$2:P616),P$2:P616},D$2:D616=D617),2)*VLOOKUP(9^99,FILTER({ROW(O$2:O616),O$2:O616},D$2:D616=D617),2)-N617)/O617),J617))"),"")</f>
        <v/>
      </c>
      <c r="Q617" s="264" t="str">
        <f>IFERROR(__xludf.DUMMYFUNCTION("IFERROR(IF(F617=""Crypto"",B617,(IF(ISBLANK(D617),"""",IF(D617=""Cash"",B617,IF(GOOGLEFINANCE(D617,""CURRENCY"")=""GBX"",""GBP"",GOOGLEFINANCE(D617,""CURRENCY"")))))),B617)"),"")</f>
        <v/>
      </c>
      <c r="R617" s="263" t="str">
        <f>IFERROR(__xludf.DUMMYFUNCTION("IF(ISBLANK(A617),"""",IFERROR(IF(OR(Q617=""GPB"",Q617=""ZAR""),IF(Q617=Dashboard!$L$1,K617,(K617*GOOGLEFINANCE(""CURRENCY:""&amp;Q617&amp;""""&amp;Dashboard!$L$1&amp;""""))/100),IF(Q617=Dashboard!$L$1,K617,K617*GOOGLEFINANCE(""CURRENCY:""&amp;Q617&amp;""""&amp;Dashboard!$L$1&amp;"""")))"&amp;",K617))"),"")</f>
        <v/>
      </c>
      <c r="S617" s="266" t="str">
        <f>IFERROR(__xludf.DUMMYFUNCTION("IF(ISBLANK(A617),"""",IFERROR(IF(OR(Q617=""GPB"",Q617=""ZAR""),IF(Q617=Dashboard!$L$1,M617,(M617*GOOGLEFINANCE(""CURRENCY:""&amp;Q617&amp;""""&amp;Dashboard!$L$1&amp;""""))/100),IF(Q617=Dashboard!$L$1,M617,M617*GOOGLEFINANCE(""CURRENCY:""&amp;Q617&amp;""""&amp;Dashboard!$L$1&amp;"""")))"&amp;",M617))"),"")</f>
        <v/>
      </c>
      <c r="T617" s="264" t="str">
        <f t="shared" si="4"/>
        <v/>
      </c>
      <c r="U617" s="264" t="str">
        <f t="shared" si="5"/>
        <v/>
      </c>
      <c r="V617" s="264" t="str">
        <f t="shared" si="6"/>
        <v/>
      </c>
      <c r="W617" s="267" t="str">
        <f t="shared" si="8"/>
        <v/>
      </c>
      <c r="X617" s="264" t="str">
        <f t="shared" si="7"/>
        <v/>
      </c>
    </row>
    <row r="618" ht="15.75" customHeight="1">
      <c r="A618" s="258"/>
      <c r="B618" s="258"/>
      <c r="C618" s="269"/>
      <c r="D618" s="258"/>
      <c r="E618" s="258"/>
      <c r="F618" s="258"/>
      <c r="G618" s="258"/>
      <c r="H618" s="271"/>
      <c r="I618" s="258"/>
      <c r="J618" s="272"/>
      <c r="K618" s="260"/>
      <c r="L618" s="261"/>
      <c r="M618" s="262" t="str">
        <f t="shared" si="1"/>
        <v/>
      </c>
      <c r="N618" s="263" t="str">
        <f t="shared" si="2"/>
        <v/>
      </c>
      <c r="O618" s="264" t="str">
        <f t="shared" si="3"/>
        <v/>
      </c>
      <c r="P618" s="265" t="str">
        <f>IFERROR(__xludf.DUMMYFUNCTION("IF(ISBLANK(A618),"""",IFERROR(IF(H618=""Sell"",VLOOKUP(9^99,FILTER({ROW(P$2:P617),P$2:P617},D$2:D617=D618),2),(VLOOKUP(9^99,FILTER({ROW(P$2:P617),P$2:P617},D$2:D617=D618),2)*VLOOKUP(9^99,FILTER({ROW(O$2:O617),O$2:O617},D$2:D617=D618),2)-N618)/O618),J618))"),"")</f>
        <v/>
      </c>
      <c r="Q618" s="264" t="str">
        <f>IFERROR(__xludf.DUMMYFUNCTION("IFERROR(IF(F618=""Crypto"",B618,(IF(ISBLANK(D618),"""",IF(D618=""Cash"",B618,IF(GOOGLEFINANCE(D618,""CURRENCY"")=""GBX"",""GBP"",GOOGLEFINANCE(D618,""CURRENCY"")))))),B618)"),"")</f>
        <v/>
      </c>
      <c r="R618" s="263" t="str">
        <f>IFERROR(__xludf.DUMMYFUNCTION("IF(ISBLANK(A618),"""",IFERROR(IF(OR(Q618=""GPB"",Q618=""ZAR""),IF(Q618=Dashboard!$L$1,K618,(K618*GOOGLEFINANCE(""CURRENCY:""&amp;Q618&amp;""""&amp;Dashboard!$L$1&amp;""""))/100),IF(Q618=Dashboard!$L$1,K618,K618*GOOGLEFINANCE(""CURRENCY:""&amp;Q618&amp;""""&amp;Dashboard!$L$1&amp;"""")))"&amp;",K618))"),"")</f>
        <v/>
      </c>
      <c r="S618" s="266" t="str">
        <f>IFERROR(__xludf.DUMMYFUNCTION("IF(ISBLANK(A618),"""",IFERROR(IF(OR(Q618=""GPB"",Q618=""ZAR""),IF(Q618=Dashboard!$L$1,M618,(M618*GOOGLEFINANCE(""CURRENCY:""&amp;Q618&amp;""""&amp;Dashboard!$L$1&amp;""""))/100),IF(Q618=Dashboard!$L$1,M618,M618*GOOGLEFINANCE(""CURRENCY:""&amp;Q618&amp;""""&amp;Dashboard!$L$1&amp;"""")))"&amp;",M618))"),"")</f>
        <v/>
      </c>
      <c r="T618" s="264" t="str">
        <f t="shared" si="4"/>
        <v/>
      </c>
      <c r="U618" s="264" t="str">
        <f t="shared" si="5"/>
        <v/>
      </c>
      <c r="V618" s="264" t="str">
        <f t="shared" si="6"/>
        <v/>
      </c>
      <c r="W618" s="267" t="str">
        <f t="shared" si="8"/>
        <v/>
      </c>
      <c r="X618" s="264" t="str">
        <f t="shared" si="7"/>
        <v/>
      </c>
    </row>
    <row r="619" ht="15.75" customHeight="1">
      <c r="A619" s="258"/>
      <c r="B619" s="258"/>
      <c r="C619" s="269"/>
      <c r="D619" s="258"/>
      <c r="E619" s="258"/>
      <c r="F619" s="258"/>
      <c r="G619" s="258"/>
      <c r="H619" s="271"/>
      <c r="I619" s="258"/>
      <c r="J619" s="272"/>
      <c r="K619" s="260"/>
      <c r="L619" s="261"/>
      <c r="M619" s="262" t="str">
        <f t="shared" si="1"/>
        <v/>
      </c>
      <c r="N619" s="263" t="str">
        <f t="shared" si="2"/>
        <v/>
      </c>
      <c r="O619" s="264" t="str">
        <f t="shared" si="3"/>
        <v/>
      </c>
      <c r="P619" s="265" t="str">
        <f>IFERROR(__xludf.DUMMYFUNCTION("IF(ISBLANK(A619),"""",IFERROR(IF(H619=""Sell"",VLOOKUP(9^99,FILTER({ROW(P$2:P618),P$2:P618},D$2:D618=D619),2),(VLOOKUP(9^99,FILTER({ROW(P$2:P618),P$2:P618},D$2:D618=D619),2)*VLOOKUP(9^99,FILTER({ROW(O$2:O618),O$2:O618},D$2:D618=D619),2)-N619)/O619),J619))"),"")</f>
        <v/>
      </c>
      <c r="Q619" s="264" t="str">
        <f>IFERROR(__xludf.DUMMYFUNCTION("IFERROR(IF(F619=""Crypto"",B619,(IF(ISBLANK(D619),"""",IF(D619=""Cash"",B619,IF(GOOGLEFINANCE(D619,""CURRENCY"")=""GBX"",""GBP"",GOOGLEFINANCE(D619,""CURRENCY"")))))),B619)"),"")</f>
        <v/>
      </c>
      <c r="R619" s="263" t="str">
        <f>IFERROR(__xludf.DUMMYFUNCTION("IF(ISBLANK(A619),"""",IFERROR(IF(OR(Q619=""GPB"",Q619=""ZAR""),IF(Q619=Dashboard!$L$1,K619,(K619*GOOGLEFINANCE(""CURRENCY:""&amp;Q619&amp;""""&amp;Dashboard!$L$1&amp;""""))/100),IF(Q619=Dashboard!$L$1,K619,K619*GOOGLEFINANCE(""CURRENCY:""&amp;Q619&amp;""""&amp;Dashboard!$L$1&amp;"""")))"&amp;",K619))"),"")</f>
        <v/>
      </c>
      <c r="S619" s="266" t="str">
        <f>IFERROR(__xludf.DUMMYFUNCTION("IF(ISBLANK(A619),"""",IFERROR(IF(OR(Q619=""GPB"",Q619=""ZAR""),IF(Q619=Dashboard!$L$1,M619,(M619*GOOGLEFINANCE(""CURRENCY:""&amp;Q619&amp;""""&amp;Dashboard!$L$1&amp;""""))/100),IF(Q619=Dashboard!$L$1,M619,M619*GOOGLEFINANCE(""CURRENCY:""&amp;Q619&amp;""""&amp;Dashboard!$L$1&amp;"""")))"&amp;",M619))"),"")</f>
        <v/>
      </c>
      <c r="T619" s="264" t="str">
        <f t="shared" si="4"/>
        <v/>
      </c>
      <c r="U619" s="264" t="str">
        <f t="shared" si="5"/>
        <v/>
      </c>
      <c r="V619" s="264" t="str">
        <f t="shared" si="6"/>
        <v/>
      </c>
      <c r="W619" s="267" t="str">
        <f t="shared" si="8"/>
        <v/>
      </c>
      <c r="X619" s="264" t="str">
        <f t="shared" si="7"/>
        <v/>
      </c>
    </row>
    <row r="620" ht="15.75" customHeight="1">
      <c r="A620" s="258"/>
      <c r="B620" s="258"/>
      <c r="C620" s="269"/>
      <c r="D620" s="258"/>
      <c r="E620" s="258"/>
      <c r="F620" s="258"/>
      <c r="G620" s="258"/>
      <c r="H620" s="271"/>
      <c r="I620" s="258"/>
      <c r="J620" s="272"/>
      <c r="K620" s="260"/>
      <c r="L620" s="261"/>
      <c r="M620" s="262" t="str">
        <f t="shared" si="1"/>
        <v/>
      </c>
      <c r="N620" s="263" t="str">
        <f t="shared" si="2"/>
        <v/>
      </c>
      <c r="O620" s="264" t="str">
        <f t="shared" si="3"/>
        <v/>
      </c>
      <c r="P620" s="265" t="str">
        <f>IFERROR(__xludf.DUMMYFUNCTION("IF(ISBLANK(A620),"""",IFERROR(IF(H620=""Sell"",VLOOKUP(9^99,FILTER({ROW(P$2:P619),P$2:P619},D$2:D619=D620),2),(VLOOKUP(9^99,FILTER({ROW(P$2:P619),P$2:P619},D$2:D619=D620),2)*VLOOKUP(9^99,FILTER({ROW(O$2:O619),O$2:O619},D$2:D619=D620),2)-N620)/O620),J620))"),"")</f>
        <v/>
      </c>
      <c r="Q620" s="264" t="str">
        <f>IFERROR(__xludf.DUMMYFUNCTION("IFERROR(IF(F620=""Crypto"",B620,(IF(ISBLANK(D620),"""",IF(D620=""Cash"",B620,IF(GOOGLEFINANCE(D620,""CURRENCY"")=""GBX"",""GBP"",GOOGLEFINANCE(D620,""CURRENCY"")))))),B620)"),"")</f>
        <v/>
      </c>
      <c r="R620" s="263" t="str">
        <f>IFERROR(__xludf.DUMMYFUNCTION("IF(ISBLANK(A620),"""",IFERROR(IF(OR(Q620=""GPB"",Q620=""ZAR""),IF(Q620=Dashboard!$L$1,K620,(K620*GOOGLEFINANCE(""CURRENCY:""&amp;Q620&amp;""""&amp;Dashboard!$L$1&amp;""""))/100),IF(Q620=Dashboard!$L$1,K620,K620*GOOGLEFINANCE(""CURRENCY:""&amp;Q620&amp;""""&amp;Dashboard!$L$1&amp;"""")))"&amp;",K620))"),"")</f>
        <v/>
      </c>
      <c r="S620" s="266" t="str">
        <f>IFERROR(__xludf.DUMMYFUNCTION("IF(ISBLANK(A620),"""",IFERROR(IF(OR(Q620=""GPB"",Q620=""ZAR""),IF(Q620=Dashboard!$L$1,M620,(M620*GOOGLEFINANCE(""CURRENCY:""&amp;Q620&amp;""""&amp;Dashboard!$L$1&amp;""""))/100),IF(Q620=Dashboard!$L$1,M620,M620*GOOGLEFINANCE(""CURRENCY:""&amp;Q620&amp;""""&amp;Dashboard!$L$1&amp;"""")))"&amp;",M620))"),"")</f>
        <v/>
      </c>
      <c r="T620" s="264" t="str">
        <f t="shared" si="4"/>
        <v/>
      </c>
      <c r="U620" s="264" t="str">
        <f t="shared" si="5"/>
        <v/>
      </c>
      <c r="V620" s="264" t="str">
        <f t="shared" si="6"/>
        <v/>
      </c>
      <c r="W620" s="267" t="str">
        <f t="shared" si="8"/>
        <v/>
      </c>
      <c r="X620" s="264" t="str">
        <f t="shared" si="7"/>
        <v/>
      </c>
    </row>
    <row r="621" ht="15.75" customHeight="1">
      <c r="A621" s="258"/>
      <c r="B621" s="258"/>
      <c r="C621" s="269"/>
      <c r="D621" s="258"/>
      <c r="E621" s="258"/>
      <c r="F621" s="258"/>
      <c r="G621" s="258"/>
      <c r="H621" s="271"/>
      <c r="I621" s="258"/>
      <c r="J621" s="272"/>
      <c r="K621" s="260"/>
      <c r="L621" s="261"/>
      <c r="M621" s="262" t="str">
        <f t="shared" si="1"/>
        <v/>
      </c>
      <c r="N621" s="263" t="str">
        <f t="shared" si="2"/>
        <v/>
      </c>
      <c r="O621" s="264" t="str">
        <f t="shared" si="3"/>
        <v/>
      </c>
      <c r="P621" s="265" t="str">
        <f>IFERROR(__xludf.DUMMYFUNCTION("IF(ISBLANK(A621),"""",IFERROR(IF(H621=""Sell"",VLOOKUP(9^99,FILTER({ROW(P$2:P620),P$2:P620},D$2:D620=D621),2),(VLOOKUP(9^99,FILTER({ROW(P$2:P620),P$2:P620},D$2:D620=D621),2)*VLOOKUP(9^99,FILTER({ROW(O$2:O620),O$2:O620},D$2:D620=D621),2)-N621)/O621),J621))"),"")</f>
        <v/>
      </c>
      <c r="Q621" s="264" t="str">
        <f>IFERROR(__xludf.DUMMYFUNCTION("IFERROR(IF(F621=""Crypto"",B621,(IF(ISBLANK(D621),"""",IF(D621=""Cash"",B621,IF(GOOGLEFINANCE(D621,""CURRENCY"")=""GBX"",""GBP"",GOOGLEFINANCE(D621,""CURRENCY"")))))),B621)"),"")</f>
        <v/>
      </c>
      <c r="R621" s="263" t="str">
        <f>IFERROR(__xludf.DUMMYFUNCTION("IF(ISBLANK(A621),"""",IFERROR(IF(OR(Q621=""GPB"",Q621=""ZAR""),IF(Q621=Dashboard!$L$1,K621,(K621*GOOGLEFINANCE(""CURRENCY:""&amp;Q621&amp;""""&amp;Dashboard!$L$1&amp;""""))/100),IF(Q621=Dashboard!$L$1,K621,K621*GOOGLEFINANCE(""CURRENCY:""&amp;Q621&amp;""""&amp;Dashboard!$L$1&amp;"""")))"&amp;",K621))"),"")</f>
        <v/>
      </c>
      <c r="S621" s="266" t="str">
        <f>IFERROR(__xludf.DUMMYFUNCTION("IF(ISBLANK(A621),"""",IFERROR(IF(OR(Q621=""GPB"",Q621=""ZAR""),IF(Q621=Dashboard!$L$1,M621,(M621*GOOGLEFINANCE(""CURRENCY:""&amp;Q621&amp;""""&amp;Dashboard!$L$1&amp;""""))/100),IF(Q621=Dashboard!$L$1,M621,M621*GOOGLEFINANCE(""CURRENCY:""&amp;Q621&amp;""""&amp;Dashboard!$L$1&amp;"""")))"&amp;",M621))"),"")</f>
        <v/>
      </c>
      <c r="T621" s="264" t="str">
        <f t="shared" si="4"/>
        <v/>
      </c>
      <c r="U621" s="264" t="str">
        <f t="shared" si="5"/>
        <v/>
      </c>
      <c r="V621" s="264" t="str">
        <f t="shared" si="6"/>
        <v/>
      </c>
      <c r="W621" s="267" t="str">
        <f t="shared" si="8"/>
        <v/>
      </c>
      <c r="X621" s="264" t="str">
        <f t="shared" si="7"/>
        <v/>
      </c>
    </row>
    <row r="622" ht="15.75" customHeight="1">
      <c r="A622" s="258"/>
      <c r="B622" s="258"/>
      <c r="C622" s="269"/>
      <c r="D622" s="258"/>
      <c r="E622" s="258"/>
      <c r="F622" s="258"/>
      <c r="G622" s="258"/>
      <c r="H622" s="271"/>
      <c r="I622" s="258"/>
      <c r="J622" s="272"/>
      <c r="K622" s="260"/>
      <c r="L622" s="261"/>
      <c r="M622" s="262" t="str">
        <f t="shared" si="1"/>
        <v/>
      </c>
      <c r="N622" s="263" t="str">
        <f t="shared" si="2"/>
        <v/>
      </c>
      <c r="O622" s="264" t="str">
        <f t="shared" si="3"/>
        <v/>
      </c>
      <c r="P622" s="265" t="str">
        <f>IFERROR(__xludf.DUMMYFUNCTION("IF(ISBLANK(A622),"""",IFERROR(IF(H622=""Sell"",VLOOKUP(9^99,FILTER({ROW(P$2:P621),P$2:P621},D$2:D621=D622),2),(VLOOKUP(9^99,FILTER({ROW(P$2:P621),P$2:P621},D$2:D621=D622),2)*VLOOKUP(9^99,FILTER({ROW(O$2:O621),O$2:O621},D$2:D621=D622),2)-N622)/O622),J622))"),"")</f>
        <v/>
      </c>
      <c r="Q622" s="264" t="str">
        <f>IFERROR(__xludf.DUMMYFUNCTION("IFERROR(IF(F622=""Crypto"",B622,(IF(ISBLANK(D622),"""",IF(D622=""Cash"",B622,IF(GOOGLEFINANCE(D622,""CURRENCY"")=""GBX"",""GBP"",GOOGLEFINANCE(D622,""CURRENCY"")))))),B622)"),"")</f>
        <v/>
      </c>
      <c r="R622" s="263" t="str">
        <f>IFERROR(__xludf.DUMMYFUNCTION("IF(ISBLANK(A622),"""",IFERROR(IF(OR(Q622=""GPB"",Q622=""ZAR""),IF(Q622=Dashboard!$L$1,K622,(K622*GOOGLEFINANCE(""CURRENCY:""&amp;Q622&amp;""""&amp;Dashboard!$L$1&amp;""""))/100),IF(Q622=Dashboard!$L$1,K622,K622*GOOGLEFINANCE(""CURRENCY:""&amp;Q622&amp;""""&amp;Dashboard!$L$1&amp;"""")))"&amp;",K622))"),"")</f>
        <v/>
      </c>
      <c r="S622" s="266" t="str">
        <f>IFERROR(__xludf.DUMMYFUNCTION("IF(ISBLANK(A622),"""",IFERROR(IF(OR(Q622=""GPB"",Q622=""ZAR""),IF(Q622=Dashboard!$L$1,M622,(M622*GOOGLEFINANCE(""CURRENCY:""&amp;Q622&amp;""""&amp;Dashboard!$L$1&amp;""""))/100),IF(Q622=Dashboard!$L$1,M622,M622*GOOGLEFINANCE(""CURRENCY:""&amp;Q622&amp;""""&amp;Dashboard!$L$1&amp;"""")))"&amp;",M622))"),"")</f>
        <v/>
      </c>
      <c r="T622" s="264" t="str">
        <f t="shared" si="4"/>
        <v/>
      </c>
      <c r="U622" s="264" t="str">
        <f t="shared" si="5"/>
        <v/>
      </c>
      <c r="V622" s="264" t="str">
        <f t="shared" si="6"/>
        <v/>
      </c>
      <c r="W622" s="267" t="str">
        <f t="shared" si="8"/>
        <v/>
      </c>
      <c r="X622" s="264" t="str">
        <f t="shared" si="7"/>
        <v/>
      </c>
    </row>
    <row r="623" ht="15.75" customHeight="1">
      <c r="A623" s="258"/>
      <c r="B623" s="258"/>
      <c r="C623" s="269"/>
      <c r="D623" s="258"/>
      <c r="E623" s="258"/>
      <c r="F623" s="258"/>
      <c r="G623" s="258"/>
      <c r="H623" s="271"/>
      <c r="I623" s="258"/>
      <c r="J623" s="272"/>
      <c r="K623" s="260"/>
      <c r="L623" s="261"/>
      <c r="M623" s="262" t="str">
        <f t="shared" si="1"/>
        <v/>
      </c>
      <c r="N623" s="263" t="str">
        <f t="shared" si="2"/>
        <v/>
      </c>
      <c r="O623" s="264" t="str">
        <f t="shared" si="3"/>
        <v/>
      </c>
      <c r="P623" s="265" t="str">
        <f>IFERROR(__xludf.DUMMYFUNCTION("IF(ISBLANK(A623),"""",IFERROR(IF(H623=""Sell"",VLOOKUP(9^99,FILTER({ROW(P$2:P622),P$2:P622},D$2:D622=D623),2),(VLOOKUP(9^99,FILTER({ROW(P$2:P622),P$2:P622},D$2:D622=D623),2)*VLOOKUP(9^99,FILTER({ROW(O$2:O622),O$2:O622},D$2:D622=D623),2)-N623)/O623),J623))"),"")</f>
        <v/>
      </c>
      <c r="Q623" s="264" t="str">
        <f>IFERROR(__xludf.DUMMYFUNCTION("IFERROR(IF(F623=""Crypto"",B623,(IF(ISBLANK(D623),"""",IF(D623=""Cash"",B623,IF(GOOGLEFINANCE(D623,""CURRENCY"")=""GBX"",""GBP"",GOOGLEFINANCE(D623,""CURRENCY"")))))),B623)"),"")</f>
        <v/>
      </c>
      <c r="R623" s="263" t="str">
        <f>IFERROR(__xludf.DUMMYFUNCTION("IF(ISBLANK(A623),"""",IFERROR(IF(OR(Q623=""GPB"",Q623=""ZAR""),IF(Q623=Dashboard!$L$1,K623,(K623*GOOGLEFINANCE(""CURRENCY:""&amp;Q623&amp;""""&amp;Dashboard!$L$1&amp;""""))/100),IF(Q623=Dashboard!$L$1,K623,K623*GOOGLEFINANCE(""CURRENCY:""&amp;Q623&amp;""""&amp;Dashboard!$L$1&amp;"""")))"&amp;",K623))"),"")</f>
        <v/>
      </c>
      <c r="S623" s="266" t="str">
        <f>IFERROR(__xludf.DUMMYFUNCTION("IF(ISBLANK(A623),"""",IFERROR(IF(OR(Q623=""GPB"",Q623=""ZAR""),IF(Q623=Dashboard!$L$1,M623,(M623*GOOGLEFINANCE(""CURRENCY:""&amp;Q623&amp;""""&amp;Dashboard!$L$1&amp;""""))/100),IF(Q623=Dashboard!$L$1,M623,M623*GOOGLEFINANCE(""CURRENCY:""&amp;Q623&amp;""""&amp;Dashboard!$L$1&amp;"""")))"&amp;",M623))"),"")</f>
        <v/>
      </c>
      <c r="T623" s="264" t="str">
        <f t="shared" si="4"/>
        <v/>
      </c>
      <c r="U623" s="264" t="str">
        <f t="shared" si="5"/>
        <v/>
      </c>
      <c r="V623" s="264" t="str">
        <f t="shared" si="6"/>
        <v/>
      </c>
      <c r="W623" s="267" t="str">
        <f t="shared" si="8"/>
        <v/>
      </c>
      <c r="X623" s="264" t="str">
        <f t="shared" si="7"/>
        <v/>
      </c>
    </row>
    <row r="624" ht="15.75" customHeight="1">
      <c r="A624" s="258"/>
      <c r="B624" s="258"/>
      <c r="C624" s="269"/>
      <c r="D624" s="258"/>
      <c r="E624" s="258"/>
      <c r="F624" s="258"/>
      <c r="G624" s="258"/>
      <c r="H624" s="271"/>
      <c r="I624" s="258"/>
      <c r="J624" s="272"/>
      <c r="K624" s="260"/>
      <c r="L624" s="261"/>
      <c r="M624" s="262" t="str">
        <f t="shared" si="1"/>
        <v/>
      </c>
      <c r="N624" s="263" t="str">
        <f t="shared" si="2"/>
        <v/>
      </c>
      <c r="O624" s="264" t="str">
        <f t="shared" si="3"/>
        <v/>
      </c>
      <c r="P624" s="265" t="str">
        <f>IFERROR(__xludf.DUMMYFUNCTION("IF(ISBLANK(A624),"""",IFERROR(IF(H624=""Sell"",VLOOKUP(9^99,FILTER({ROW(P$2:P623),P$2:P623},D$2:D623=D624),2),(VLOOKUP(9^99,FILTER({ROW(P$2:P623),P$2:P623},D$2:D623=D624),2)*VLOOKUP(9^99,FILTER({ROW(O$2:O623),O$2:O623},D$2:D623=D624),2)-N624)/O624),J624))"),"")</f>
        <v/>
      </c>
      <c r="Q624" s="264" t="str">
        <f>IFERROR(__xludf.DUMMYFUNCTION("IFERROR(IF(F624=""Crypto"",B624,(IF(ISBLANK(D624),"""",IF(D624=""Cash"",B624,IF(GOOGLEFINANCE(D624,""CURRENCY"")=""GBX"",""GBP"",GOOGLEFINANCE(D624,""CURRENCY"")))))),B624)"),"")</f>
        <v/>
      </c>
      <c r="R624" s="263" t="str">
        <f>IFERROR(__xludf.DUMMYFUNCTION("IF(ISBLANK(A624),"""",IFERROR(IF(OR(Q624=""GPB"",Q624=""ZAR""),IF(Q624=Dashboard!$L$1,K624,(K624*GOOGLEFINANCE(""CURRENCY:""&amp;Q624&amp;""""&amp;Dashboard!$L$1&amp;""""))/100),IF(Q624=Dashboard!$L$1,K624,K624*GOOGLEFINANCE(""CURRENCY:""&amp;Q624&amp;""""&amp;Dashboard!$L$1&amp;"""")))"&amp;",K624))"),"")</f>
        <v/>
      </c>
      <c r="S624" s="266" t="str">
        <f>IFERROR(__xludf.DUMMYFUNCTION("IF(ISBLANK(A624),"""",IFERROR(IF(OR(Q624=""GPB"",Q624=""ZAR""),IF(Q624=Dashboard!$L$1,M624,(M624*GOOGLEFINANCE(""CURRENCY:""&amp;Q624&amp;""""&amp;Dashboard!$L$1&amp;""""))/100),IF(Q624=Dashboard!$L$1,M624,M624*GOOGLEFINANCE(""CURRENCY:""&amp;Q624&amp;""""&amp;Dashboard!$L$1&amp;"""")))"&amp;",M624))"),"")</f>
        <v/>
      </c>
      <c r="T624" s="264" t="str">
        <f t="shared" si="4"/>
        <v/>
      </c>
      <c r="U624" s="264" t="str">
        <f t="shared" si="5"/>
        <v/>
      </c>
      <c r="V624" s="264" t="str">
        <f t="shared" si="6"/>
        <v/>
      </c>
      <c r="W624" s="267" t="str">
        <f t="shared" si="8"/>
        <v/>
      </c>
      <c r="X624" s="264" t="str">
        <f t="shared" si="7"/>
        <v/>
      </c>
    </row>
    <row r="625" ht="15.75" customHeight="1">
      <c r="A625" s="258"/>
      <c r="B625" s="258"/>
      <c r="C625" s="269"/>
      <c r="D625" s="258"/>
      <c r="E625" s="258"/>
      <c r="F625" s="258"/>
      <c r="G625" s="258"/>
      <c r="H625" s="271"/>
      <c r="I625" s="258"/>
      <c r="J625" s="272"/>
      <c r="K625" s="260"/>
      <c r="L625" s="261"/>
      <c r="M625" s="262" t="str">
        <f t="shared" si="1"/>
        <v/>
      </c>
      <c r="N625" s="263" t="str">
        <f t="shared" si="2"/>
        <v/>
      </c>
      <c r="O625" s="264" t="str">
        <f t="shared" si="3"/>
        <v/>
      </c>
      <c r="P625" s="265" t="str">
        <f>IFERROR(__xludf.DUMMYFUNCTION("IF(ISBLANK(A625),"""",IFERROR(IF(H625=""Sell"",VLOOKUP(9^99,FILTER({ROW(P$2:P624),P$2:P624},D$2:D624=D625),2),(VLOOKUP(9^99,FILTER({ROW(P$2:P624),P$2:P624},D$2:D624=D625),2)*VLOOKUP(9^99,FILTER({ROW(O$2:O624),O$2:O624},D$2:D624=D625),2)-N625)/O625),J625))"),"")</f>
        <v/>
      </c>
      <c r="Q625" s="264" t="str">
        <f>IFERROR(__xludf.DUMMYFUNCTION("IFERROR(IF(F625=""Crypto"",B625,(IF(ISBLANK(D625),"""",IF(D625=""Cash"",B625,IF(GOOGLEFINANCE(D625,""CURRENCY"")=""GBX"",""GBP"",GOOGLEFINANCE(D625,""CURRENCY"")))))),B625)"),"")</f>
        <v/>
      </c>
      <c r="R625" s="263" t="str">
        <f>IFERROR(__xludf.DUMMYFUNCTION("IF(ISBLANK(A625),"""",IFERROR(IF(OR(Q625=""GPB"",Q625=""ZAR""),IF(Q625=Dashboard!$L$1,K625,(K625*GOOGLEFINANCE(""CURRENCY:""&amp;Q625&amp;""""&amp;Dashboard!$L$1&amp;""""))/100),IF(Q625=Dashboard!$L$1,K625,K625*GOOGLEFINANCE(""CURRENCY:""&amp;Q625&amp;""""&amp;Dashboard!$L$1&amp;"""")))"&amp;",K625))"),"")</f>
        <v/>
      </c>
      <c r="S625" s="266" t="str">
        <f>IFERROR(__xludf.DUMMYFUNCTION("IF(ISBLANK(A625),"""",IFERROR(IF(OR(Q625=""GPB"",Q625=""ZAR""),IF(Q625=Dashboard!$L$1,M625,(M625*GOOGLEFINANCE(""CURRENCY:""&amp;Q625&amp;""""&amp;Dashboard!$L$1&amp;""""))/100),IF(Q625=Dashboard!$L$1,M625,M625*GOOGLEFINANCE(""CURRENCY:""&amp;Q625&amp;""""&amp;Dashboard!$L$1&amp;"""")))"&amp;",M625))"),"")</f>
        <v/>
      </c>
      <c r="T625" s="264" t="str">
        <f t="shared" si="4"/>
        <v/>
      </c>
      <c r="U625" s="264" t="str">
        <f t="shared" si="5"/>
        <v/>
      </c>
      <c r="V625" s="264" t="str">
        <f t="shared" si="6"/>
        <v/>
      </c>
      <c r="W625" s="267" t="str">
        <f t="shared" si="8"/>
        <v/>
      </c>
      <c r="X625" s="264" t="str">
        <f t="shared" si="7"/>
        <v/>
      </c>
    </row>
    <row r="626" ht="15.75" customHeight="1">
      <c r="A626" s="258"/>
      <c r="B626" s="258"/>
      <c r="C626" s="269"/>
      <c r="D626" s="258"/>
      <c r="E626" s="258"/>
      <c r="F626" s="258"/>
      <c r="G626" s="258"/>
      <c r="H626" s="271"/>
      <c r="I626" s="258"/>
      <c r="J626" s="272"/>
      <c r="K626" s="260"/>
      <c r="L626" s="261"/>
      <c r="M626" s="262" t="str">
        <f t="shared" si="1"/>
        <v/>
      </c>
      <c r="N626" s="263" t="str">
        <f t="shared" si="2"/>
        <v/>
      </c>
      <c r="O626" s="264" t="str">
        <f t="shared" si="3"/>
        <v/>
      </c>
      <c r="P626" s="265" t="str">
        <f>IFERROR(__xludf.DUMMYFUNCTION("IF(ISBLANK(A626),"""",IFERROR(IF(H626=""Sell"",VLOOKUP(9^99,FILTER({ROW(P$2:P625),P$2:P625},D$2:D625=D626),2),(VLOOKUP(9^99,FILTER({ROW(P$2:P625),P$2:P625},D$2:D625=D626),2)*VLOOKUP(9^99,FILTER({ROW(O$2:O625),O$2:O625},D$2:D625=D626),2)-N626)/O626),J626))"),"")</f>
        <v/>
      </c>
      <c r="Q626" s="264" t="str">
        <f>IFERROR(__xludf.DUMMYFUNCTION("IFERROR(IF(F626=""Crypto"",B626,(IF(ISBLANK(D626),"""",IF(D626=""Cash"",B626,IF(GOOGLEFINANCE(D626,""CURRENCY"")=""GBX"",""GBP"",GOOGLEFINANCE(D626,""CURRENCY"")))))),B626)"),"")</f>
        <v/>
      </c>
      <c r="R626" s="263" t="str">
        <f>IFERROR(__xludf.DUMMYFUNCTION("IF(ISBLANK(A626),"""",IFERROR(IF(OR(Q626=""GPB"",Q626=""ZAR""),IF(Q626=Dashboard!$L$1,K626,(K626*GOOGLEFINANCE(""CURRENCY:""&amp;Q626&amp;""""&amp;Dashboard!$L$1&amp;""""))/100),IF(Q626=Dashboard!$L$1,K626,K626*GOOGLEFINANCE(""CURRENCY:""&amp;Q626&amp;""""&amp;Dashboard!$L$1&amp;"""")))"&amp;",K626))"),"")</f>
        <v/>
      </c>
      <c r="S626" s="266" t="str">
        <f>IFERROR(__xludf.DUMMYFUNCTION("IF(ISBLANK(A626),"""",IFERROR(IF(OR(Q626=""GPB"",Q626=""ZAR""),IF(Q626=Dashboard!$L$1,M626,(M626*GOOGLEFINANCE(""CURRENCY:""&amp;Q626&amp;""""&amp;Dashboard!$L$1&amp;""""))/100),IF(Q626=Dashboard!$L$1,M626,M626*GOOGLEFINANCE(""CURRENCY:""&amp;Q626&amp;""""&amp;Dashboard!$L$1&amp;"""")))"&amp;",M626))"),"")</f>
        <v/>
      </c>
      <c r="T626" s="264" t="str">
        <f t="shared" si="4"/>
        <v/>
      </c>
      <c r="U626" s="264" t="str">
        <f t="shared" si="5"/>
        <v/>
      </c>
      <c r="V626" s="264" t="str">
        <f t="shared" si="6"/>
        <v/>
      </c>
      <c r="W626" s="267" t="str">
        <f t="shared" si="8"/>
        <v/>
      </c>
      <c r="X626" s="264" t="str">
        <f t="shared" si="7"/>
        <v/>
      </c>
    </row>
    <row r="627" ht="15.75" customHeight="1">
      <c r="A627" s="258"/>
      <c r="B627" s="258"/>
      <c r="C627" s="269"/>
      <c r="D627" s="258"/>
      <c r="E627" s="258"/>
      <c r="F627" s="258"/>
      <c r="G627" s="258"/>
      <c r="H627" s="271"/>
      <c r="I627" s="258"/>
      <c r="J627" s="272"/>
      <c r="K627" s="260"/>
      <c r="L627" s="261"/>
      <c r="M627" s="262" t="str">
        <f t="shared" si="1"/>
        <v/>
      </c>
      <c r="N627" s="263" t="str">
        <f t="shared" si="2"/>
        <v/>
      </c>
      <c r="O627" s="264" t="str">
        <f t="shared" si="3"/>
        <v/>
      </c>
      <c r="P627" s="265" t="str">
        <f>IFERROR(__xludf.DUMMYFUNCTION("IF(ISBLANK(A627),"""",IFERROR(IF(H627=""Sell"",VLOOKUP(9^99,FILTER({ROW(P$2:P626),P$2:P626},D$2:D626=D627),2),(VLOOKUP(9^99,FILTER({ROW(P$2:P626),P$2:P626},D$2:D626=D627),2)*VLOOKUP(9^99,FILTER({ROW(O$2:O626),O$2:O626},D$2:D626=D627),2)-N627)/O627),J627))"),"")</f>
        <v/>
      </c>
      <c r="Q627" s="264" t="str">
        <f>IFERROR(__xludf.DUMMYFUNCTION("IFERROR(IF(F627=""Crypto"",B627,(IF(ISBLANK(D627),"""",IF(D627=""Cash"",B627,IF(GOOGLEFINANCE(D627,""CURRENCY"")=""GBX"",""GBP"",GOOGLEFINANCE(D627,""CURRENCY"")))))),B627)"),"")</f>
        <v/>
      </c>
      <c r="R627" s="263" t="str">
        <f>IFERROR(__xludf.DUMMYFUNCTION("IF(ISBLANK(A627),"""",IFERROR(IF(OR(Q627=""GPB"",Q627=""ZAR""),IF(Q627=Dashboard!$L$1,K627,(K627*GOOGLEFINANCE(""CURRENCY:""&amp;Q627&amp;""""&amp;Dashboard!$L$1&amp;""""))/100),IF(Q627=Dashboard!$L$1,K627,K627*GOOGLEFINANCE(""CURRENCY:""&amp;Q627&amp;""""&amp;Dashboard!$L$1&amp;"""")))"&amp;",K627))"),"")</f>
        <v/>
      </c>
      <c r="S627" s="266" t="str">
        <f>IFERROR(__xludf.DUMMYFUNCTION("IF(ISBLANK(A627),"""",IFERROR(IF(OR(Q627=""GPB"",Q627=""ZAR""),IF(Q627=Dashboard!$L$1,M627,(M627*GOOGLEFINANCE(""CURRENCY:""&amp;Q627&amp;""""&amp;Dashboard!$L$1&amp;""""))/100),IF(Q627=Dashboard!$L$1,M627,M627*GOOGLEFINANCE(""CURRENCY:""&amp;Q627&amp;""""&amp;Dashboard!$L$1&amp;"""")))"&amp;",M627))"),"")</f>
        <v/>
      </c>
      <c r="T627" s="264" t="str">
        <f t="shared" si="4"/>
        <v/>
      </c>
      <c r="U627" s="264" t="str">
        <f t="shared" si="5"/>
        <v/>
      </c>
      <c r="V627" s="264" t="str">
        <f t="shared" si="6"/>
        <v/>
      </c>
      <c r="W627" s="267" t="str">
        <f t="shared" si="8"/>
        <v/>
      </c>
      <c r="X627" s="264" t="str">
        <f t="shared" si="7"/>
        <v/>
      </c>
    </row>
    <row r="628" ht="15.75" customHeight="1">
      <c r="A628" s="258"/>
      <c r="B628" s="258"/>
      <c r="C628" s="269"/>
      <c r="D628" s="258"/>
      <c r="E628" s="258"/>
      <c r="F628" s="258"/>
      <c r="G628" s="258"/>
      <c r="H628" s="271"/>
      <c r="I628" s="258"/>
      <c r="J628" s="272"/>
      <c r="K628" s="260"/>
      <c r="L628" s="261"/>
      <c r="M628" s="262" t="str">
        <f t="shared" si="1"/>
        <v/>
      </c>
      <c r="N628" s="263" t="str">
        <f t="shared" si="2"/>
        <v/>
      </c>
      <c r="O628" s="264" t="str">
        <f t="shared" si="3"/>
        <v/>
      </c>
      <c r="P628" s="265" t="str">
        <f>IFERROR(__xludf.DUMMYFUNCTION("IF(ISBLANK(A628),"""",IFERROR(IF(H628=""Sell"",VLOOKUP(9^99,FILTER({ROW(P$2:P627),P$2:P627},D$2:D627=D628),2),(VLOOKUP(9^99,FILTER({ROW(P$2:P627),P$2:P627},D$2:D627=D628),2)*VLOOKUP(9^99,FILTER({ROW(O$2:O627),O$2:O627},D$2:D627=D628),2)-N628)/O628),J628))"),"")</f>
        <v/>
      </c>
      <c r="Q628" s="264" t="str">
        <f>IFERROR(__xludf.DUMMYFUNCTION("IFERROR(IF(F628=""Crypto"",B628,(IF(ISBLANK(D628),"""",IF(D628=""Cash"",B628,IF(GOOGLEFINANCE(D628,""CURRENCY"")=""GBX"",""GBP"",GOOGLEFINANCE(D628,""CURRENCY"")))))),B628)"),"")</f>
        <v/>
      </c>
      <c r="R628" s="263" t="str">
        <f>IFERROR(__xludf.DUMMYFUNCTION("IF(ISBLANK(A628),"""",IFERROR(IF(OR(Q628=""GPB"",Q628=""ZAR""),IF(Q628=Dashboard!$L$1,K628,(K628*GOOGLEFINANCE(""CURRENCY:""&amp;Q628&amp;""""&amp;Dashboard!$L$1&amp;""""))/100),IF(Q628=Dashboard!$L$1,K628,K628*GOOGLEFINANCE(""CURRENCY:""&amp;Q628&amp;""""&amp;Dashboard!$L$1&amp;"""")))"&amp;",K628))"),"")</f>
        <v/>
      </c>
      <c r="S628" s="266" t="str">
        <f>IFERROR(__xludf.DUMMYFUNCTION("IF(ISBLANK(A628),"""",IFERROR(IF(OR(Q628=""GPB"",Q628=""ZAR""),IF(Q628=Dashboard!$L$1,M628,(M628*GOOGLEFINANCE(""CURRENCY:""&amp;Q628&amp;""""&amp;Dashboard!$L$1&amp;""""))/100),IF(Q628=Dashboard!$L$1,M628,M628*GOOGLEFINANCE(""CURRENCY:""&amp;Q628&amp;""""&amp;Dashboard!$L$1&amp;"""")))"&amp;",M628))"),"")</f>
        <v/>
      </c>
      <c r="T628" s="264" t="str">
        <f t="shared" si="4"/>
        <v/>
      </c>
      <c r="U628" s="264" t="str">
        <f t="shared" si="5"/>
        <v/>
      </c>
      <c r="V628" s="264" t="str">
        <f t="shared" si="6"/>
        <v/>
      </c>
      <c r="W628" s="267" t="str">
        <f t="shared" si="8"/>
        <v/>
      </c>
      <c r="X628" s="264" t="str">
        <f t="shared" si="7"/>
        <v/>
      </c>
    </row>
    <row r="629" ht="15.75" customHeight="1">
      <c r="A629" s="258"/>
      <c r="B629" s="258"/>
      <c r="C629" s="269"/>
      <c r="D629" s="258"/>
      <c r="E629" s="258"/>
      <c r="F629" s="258"/>
      <c r="G629" s="258"/>
      <c r="H629" s="271"/>
      <c r="I629" s="258"/>
      <c r="J629" s="272"/>
      <c r="K629" s="260"/>
      <c r="L629" s="261"/>
      <c r="M629" s="262" t="str">
        <f t="shared" si="1"/>
        <v/>
      </c>
      <c r="N629" s="263" t="str">
        <f t="shared" si="2"/>
        <v/>
      </c>
      <c r="O629" s="264" t="str">
        <f t="shared" si="3"/>
        <v/>
      </c>
      <c r="P629" s="265" t="str">
        <f>IFERROR(__xludf.DUMMYFUNCTION("IF(ISBLANK(A629),"""",IFERROR(IF(H629=""Sell"",VLOOKUP(9^99,FILTER({ROW(P$2:P628),P$2:P628},D$2:D628=D629),2),(VLOOKUP(9^99,FILTER({ROW(P$2:P628),P$2:P628},D$2:D628=D629),2)*VLOOKUP(9^99,FILTER({ROW(O$2:O628),O$2:O628},D$2:D628=D629),2)-N629)/O629),J629))"),"")</f>
        <v/>
      </c>
      <c r="Q629" s="264" t="str">
        <f>IFERROR(__xludf.DUMMYFUNCTION("IFERROR(IF(F629=""Crypto"",B629,(IF(ISBLANK(D629),"""",IF(D629=""Cash"",B629,IF(GOOGLEFINANCE(D629,""CURRENCY"")=""GBX"",""GBP"",GOOGLEFINANCE(D629,""CURRENCY"")))))),B629)"),"")</f>
        <v/>
      </c>
      <c r="R629" s="263" t="str">
        <f>IFERROR(__xludf.DUMMYFUNCTION("IF(ISBLANK(A629),"""",IFERROR(IF(OR(Q629=""GPB"",Q629=""ZAR""),IF(Q629=Dashboard!$L$1,K629,(K629*GOOGLEFINANCE(""CURRENCY:""&amp;Q629&amp;""""&amp;Dashboard!$L$1&amp;""""))/100),IF(Q629=Dashboard!$L$1,K629,K629*GOOGLEFINANCE(""CURRENCY:""&amp;Q629&amp;""""&amp;Dashboard!$L$1&amp;"""")))"&amp;",K629))"),"")</f>
        <v/>
      </c>
      <c r="S629" s="266" t="str">
        <f>IFERROR(__xludf.DUMMYFUNCTION("IF(ISBLANK(A629),"""",IFERROR(IF(OR(Q629=""GPB"",Q629=""ZAR""),IF(Q629=Dashboard!$L$1,M629,(M629*GOOGLEFINANCE(""CURRENCY:""&amp;Q629&amp;""""&amp;Dashboard!$L$1&amp;""""))/100),IF(Q629=Dashboard!$L$1,M629,M629*GOOGLEFINANCE(""CURRENCY:""&amp;Q629&amp;""""&amp;Dashboard!$L$1&amp;"""")))"&amp;",M629))"),"")</f>
        <v/>
      </c>
      <c r="T629" s="264" t="str">
        <f t="shared" si="4"/>
        <v/>
      </c>
      <c r="U629" s="264" t="str">
        <f t="shared" si="5"/>
        <v/>
      </c>
      <c r="V629" s="264" t="str">
        <f t="shared" si="6"/>
        <v/>
      </c>
      <c r="W629" s="267" t="str">
        <f t="shared" si="8"/>
        <v/>
      </c>
      <c r="X629" s="264" t="str">
        <f t="shared" si="7"/>
        <v/>
      </c>
    </row>
    <row r="630" ht="15.75" customHeight="1">
      <c r="A630" s="258"/>
      <c r="B630" s="258"/>
      <c r="C630" s="269"/>
      <c r="D630" s="258"/>
      <c r="E630" s="258"/>
      <c r="F630" s="258"/>
      <c r="G630" s="258"/>
      <c r="H630" s="271"/>
      <c r="I630" s="258"/>
      <c r="J630" s="272"/>
      <c r="K630" s="260"/>
      <c r="L630" s="261"/>
      <c r="M630" s="262" t="str">
        <f t="shared" si="1"/>
        <v/>
      </c>
      <c r="N630" s="263" t="str">
        <f t="shared" si="2"/>
        <v/>
      </c>
      <c r="O630" s="264" t="str">
        <f t="shared" si="3"/>
        <v/>
      </c>
      <c r="P630" s="265" t="str">
        <f>IFERROR(__xludf.DUMMYFUNCTION("IF(ISBLANK(A630),"""",IFERROR(IF(H630=""Sell"",VLOOKUP(9^99,FILTER({ROW(P$2:P629),P$2:P629},D$2:D629=D630),2),(VLOOKUP(9^99,FILTER({ROW(P$2:P629),P$2:P629},D$2:D629=D630),2)*VLOOKUP(9^99,FILTER({ROW(O$2:O629),O$2:O629},D$2:D629=D630),2)-N630)/O630),J630))"),"")</f>
        <v/>
      </c>
      <c r="Q630" s="264" t="str">
        <f>IFERROR(__xludf.DUMMYFUNCTION("IFERROR(IF(F630=""Crypto"",B630,(IF(ISBLANK(D630),"""",IF(D630=""Cash"",B630,IF(GOOGLEFINANCE(D630,""CURRENCY"")=""GBX"",""GBP"",GOOGLEFINANCE(D630,""CURRENCY"")))))),B630)"),"")</f>
        <v/>
      </c>
      <c r="R630" s="263" t="str">
        <f>IFERROR(__xludf.DUMMYFUNCTION("IF(ISBLANK(A630),"""",IFERROR(IF(OR(Q630=""GPB"",Q630=""ZAR""),IF(Q630=Dashboard!$L$1,K630,(K630*GOOGLEFINANCE(""CURRENCY:""&amp;Q630&amp;""""&amp;Dashboard!$L$1&amp;""""))/100),IF(Q630=Dashboard!$L$1,K630,K630*GOOGLEFINANCE(""CURRENCY:""&amp;Q630&amp;""""&amp;Dashboard!$L$1&amp;"""")))"&amp;",K630))"),"")</f>
        <v/>
      </c>
      <c r="S630" s="266" t="str">
        <f>IFERROR(__xludf.DUMMYFUNCTION("IF(ISBLANK(A630),"""",IFERROR(IF(OR(Q630=""GPB"",Q630=""ZAR""),IF(Q630=Dashboard!$L$1,M630,(M630*GOOGLEFINANCE(""CURRENCY:""&amp;Q630&amp;""""&amp;Dashboard!$L$1&amp;""""))/100),IF(Q630=Dashboard!$L$1,M630,M630*GOOGLEFINANCE(""CURRENCY:""&amp;Q630&amp;""""&amp;Dashboard!$L$1&amp;"""")))"&amp;",M630))"),"")</f>
        <v/>
      </c>
      <c r="T630" s="264" t="str">
        <f t="shared" si="4"/>
        <v/>
      </c>
      <c r="U630" s="264" t="str">
        <f t="shared" si="5"/>
        <v/>
      </c>
      <c r="V630" s="264" t="str">
        <f t="shared" si="6"/>
        <v/>
      </c>
      <c r="W630" s="267" t="str">
        <f t="shared" si="8"/>
        <v/>
      </c>
      <c r="X630" s="264" t="str">
        <f t="shared" si="7"/>
        <v/>
      </c>
    </row>
    <row r="631" ht="15.75" customHeight="1">
      <c r="A631" s="258"/>
      <c r="B631" s="258"/>
      <c r="C631" s="269"/>
      <c r="D631" s="258"/>
      <c r="E631" s="258"/>
      <c r="F631" s="258"/>
      <c r="G631" s="258"/>
      <c r="H631" s="271"/>
      <c r="I631" s="258"/>
      <c r="J631" s="272"/>
      <c r="K631" s="260"/>
      <c r="L631" s="261"/>
      <c r="M631" s="262" t="str">
        <f t="shared" si="1"/>
        <v/>
      </c>
      <c r="N631" s="263" t="str">
        <f t="shared" si="2"/>
        <v/>
      </c>
      <c r="O631" s="264" t="str">
        <f t="shared" si="3"/>
        <v/>
      </c>
      <c r="P631" s="265" t="str">
        <f>IFERROR(__xludf.DUMMYFUNCTION("IF(ISBLANK(A631),"""",IFERROR(IF(H631=""Sell"",VLOOKUP(9^99,FILTER({ROW(P$2:P630),P$2:P630},D$2:D630=D631),2),(VLOOKUP(9^99,FILTER({ROW(P$2:P630),P$2:P630},D$2:D630=D631),2)*VLOOKUP(9^99,FILTER({ROW(O$2:O630),O$2:O630},D$2:D630=D631),2)-N631)/O631),J631))"),"")</f>
        <v/>
      </c>
      <c r="Q631" s="264" t="str">
        <f>IFERROR(__xludf.DUMMYFUNCTION("IFERROR(IF(F631=""Crypto"",B631,(IF(ISBLANK(D631),"""",IF(D631=""Cash"",B631,IF(GOOGLEFINANCE(D631,""CURRENCY"")=""GBX"",""GBP"",GOOGLEFINANCE(D631,""CURRENCY"")))))),B631)"),"")</f>
        <v/>
      </c>
      <c r="R631" s="263" t="str">
        <f>IFERROR(__xludf.DUMMYFUNCTION("IF(ISBLANK(A631),"""",IFERROR(IF(OR(Q631=""GPB"",Q631=""ZAR""),IF(Q631=Dashboard!$L$1,K631,(K631*GOOGLEFINANCE(""CURRENCY:""&amp;Q631&amp;""""&amp;Dashboard!$L$1&amp;""""))/100),IF(Q631=Dashboard!$L$1,K631,K631*GOOGLEFINANCE(""CURRENCY:""&amp;Q631&amp;""""&amp;Dashboard!$L$1&amp;"""")))"&amp;",K631))"),"")</f>
        <v/>
      </c>
      <c r="S631" s="266" t="str">
        <f>IFERROR(__xludf.DUMMYFUNCTION("IF(ISBLANK(A631),"""",IFERROR(IF(OR(Q631=""GPB"",Q631=""ZAR""),IF(Q631=Dashboard!$L$1,M631,(M631*GOOGLEFINANCE(""CURRENCY:""&amp;Q631&amp;""""&amp;Dashboard!$L$1&amp;""""))/100),IF(Q631=Dashboard!$L$1,M631,M631*GOOGLEFINANCE(""CURRENCY:""&amp;Q631&amp;""""&amp;Dashboard!$L$1&amp;"""")))"&amp;",M631))"),"")</f>
        <v/>
      </c>
      <c r="T631" s="264" t="str">
        <f t="shared" si="4"/>
        <v/>
      </c>
      <c r="U631" s="264" t="str">
        <f t="shared" si="5"/>
        <v/>
      </c>
      <c r="V631" s="264" t="str">
        <f t="shared" si="6"/>
        <v/>
      </c>
      <c r="W631" s="267" t="str">
        <f t="shared" si="8"/>
        <v/>
      </c>
      <c r="X631" s="264" t="str">
        <f t="shared" si="7"/>
        <v/>
      </c>
    </row>
    <row r="632" ht="15.75" customHeight="1">
      <c r="A632" s="258"/>
      <c r="B632" s="258"/>
      <c r="C632" s="269"/>
      <c r="D632" s="258"/>
      <c r="E632" s="258"/>
      <c r="F632" s="258"/>
      <c r="G632" s="258"/>
      <c r="H632" s="271"/>
      <c r="I632" s="258"/>
      <c r="J632" s="272"/>
      <c r="K632" s="260"/>
      <c r="L632" s="261"/>
      <c r="M632" s="262" t="str">
        <f t="shared" si="1"/>
        <v/>
      </c>
      <c r="N632" s="263" t="str">
        <f t="shared" si="2"/>
        <v/>
      </c>
      <c r="O632" s="264" t="str">
        <f t="shared" si="3"/>
        <v/>
      </c>
      <c r="P632" s="265" t="str">
        <f>IFERROR(__xludf.DUMMYFUNCTION("IF(ISBLANK(A632),"""",IFERROR(IF(H632=""Sell"",VLOOKUP(9^99,FILTER({ROW(P$2:P631),P$2:P631},D$2:D631=D632),2),(VLOOKUP(9^99,FILTER({ROW(P$2:P631),P$2:P631},D$2:D631=D632),2)*VLOOKUP(9^99,FILTER({ROW(O$2:O631),O$2:O631},D$2:D631=D632),2)-N632)/O632),J632))"),"")</f>
        <v/>
      </c>
      <c r="Q632" s="264" t="str">
        <f>IFERROR(__xludf.DUMMYFUNCTION("IFERROR(IF(F632=""Crypto"",B632,(IF(ISBLANK(D632),"""",IF(D632=""Cash"",B632,IF(GOOGLEFINANCE(D632,""CURRENCY"")=""GBX"",""GBP"",GOOGLEFINANCE(D632,""CURRENCY"")))))),B632)"),"")</f>
        <v/>
      </c>
      <c r="R632" s="263" t="str">
        <f>IFERROR(__xludf.DUMMYFUNCTION("IF(ISBLANK(A632),"""",IFERROR(IF(OR(Q632=""GPB"",Q632=""ZAR""),IF(Q632=Dashboard!$L$1,K632,(K632*GOOGLEFINANCE(""CURRENCY:""&amp;Q632&amp;""""&amp;Dashboard!$L$1&amp;""""))/100),IF(Q632=Dashboard!$L$1,K632,K632*GOOGLEFINANCE(""CURRENCY:""&amp;Q632&amp;""""&amp;Dashboard!$L$1&amp;"""")))"&amp;",K632))"),"")</f>
        <v/>
      </c>
      <c r="S632" s="266" t="str">
        <f>IFERROR(__xludf.DUMMYFUNCTION("IF(ISBLANK(A632),"""",IFERROR(IF(OR(Q632=""GPB"",Q632=""ZAR""),IF(Q632=Dashboard!$L$1,M632,(M632*GOOGLEFINANCE(""CURRENCY:""&amp;Q632&amp;""""&amp;Dashboard!$L$1&amp;""""))/100),IF(Q632=Dashboard!$L$1,M632,M632*GOOGLEFINANCE(""CURRENCY:""&amp;Q632&amp;""""&amp;Dashboard!$L$1&amp;"""")))"&amp;",M632))"),"")</f>
        <v/>
      </c>
      <c r="T632" s="264" t="str">
        <f t="shared" si="4"/>
        <v/>
      </c>
      <c r="U632" s="264" t="str">
        <f t="shared" si="5"/>
        <v/>
      </c>
      <c r="V632" s="264" t="str">
        <f t="shared" si="6"/>
        <v/>
      </c>
      <c r="W632" s="267" t="str">
        <f t="shared" si="8"/>
        <v/>
      </c>
      <c r="X632" s="264" t="str">
        <f t="shared" si="7"/>
        <v/>
      </c>
    </row>
    <row r="633" ht="15.75" customHeight="1">
      <c r="A633" s="258"/>
      <c r="B633" s="258"/>
      <c r="C633" s="269"/>
      <c r="D633" s="258"/>
      <c r="E633" s="258"/>
      <c r="F633" s="258"/>
      <c r="G633" s="258"/>
      <c r="H633" s="271"/>
      <c r="I633" s="258"/>
      <c r="J633" s="272"/>
      <c r="K633" s="260"/>
      <c r="L633" s="261"/>
      <c r="M633" s="262" t="str">
        <f t="shared" si="1"/>
        <v/>
      </c>
      <c r="N633" s="263" t="str">
        <f t="shared" si="2"/>
        <v/>
      </c>
      <c r="O633" s="264" t="str">
        <f t="shared" si="3"/>
        <v/>
      </c>
      <c r="P633" s="265" t="str">
        <f>IFERROR(__xludf.DUMMYFUNCTION("IF(ISBLANK(A633),"""",IFERROR(IF(H633=""Sell"",VLOOKUP(9^99,FILTER({ROW(P$2:P632),P$2:P632},D$2:D632=D633),2),(VLOOKUP(9^99,FILTER({ROW(P$2:P632),P$2:P632},D$2:D632=D633),2)*VLOOKUP(9^99,FILTER({ROW(O$2:O632),O$2:O632},D$2:D632=D633),2)-N633)/O633),J633))"),"")</f>
        <v/>
      </c>
      <c r="Q633" s="264" t="str">
        <f>IFERROR(__xludf.DUMMYFUNCTION("IFERROR(IF(F633=""Crypto"",B633,(IF(ISBLANK(D633),"""",IF(D633=""Cash"",B633,IF(GOOGLEFINANCE(D633,""CURRENCY"")=""GBX"",""GBP"",GOOGLEFINANCE(D633,""CURRENCY"")))))),B633)"),"")</f>
        <v/>
      </c>
      <c r="R633" s="263" t="str">
        <f>IFERROR(__xludf.DUMMYFUNCTION("IF(ISBLANK(A633),"""",IFERROR(IF(OR(Q633=""GPB"",Q633=""ZAR""),IF(Q633=Dashboard!$L$1,K633,(K633*GOOGLEFINANCE(""CURRENCY:""&amp;Q633&amp;""""&amp;Dashboard!$L$1&amp;""""))/100),IF(Q633=Dashboard!$L$1,K633,K633*GOOGLEFINANCE(""CURRENCY:""&amp;Q633&amp;""""&amp;Dashboard!$L$1&amp;"""")))"&amp;",K633))"),"")</f>
        <v/>
      </c>
      <c r="S633" s="266" t="str">
        <f>IFERROR(__xludf.DUMMYFUNCTION("IF(ISBLANK(A633),"""",IFERROR(IF(OR(Q633=""GPB"",Q633=""ZAR""),IF(Q633=Dashboard!$L$1,M633,(M633*GOOGLEFINANCE(""CURRENCY:""&amp;Q633&amp;""""&amp;Dashboard!$L$1&amp;""""))/100),IF(Q633=Dashboard!$L$1,M633,M633*GOOGLEFINANCE(""CURRENCY:""&amp;Q633&amp;""""&amp;Dashboard!$L$1&amp;"""")))"&amp;",M633))"),"")</f>
        <v/>
      </c>
      <c r="T633" s="264" t="str">
        <f t="shared" si="4"/>
        <v/>
      </c>
      <c r="U633" s="264" t="str">
        <f t="shared" si="5"/>
        <v/>
      </c>
      <c r="V633" s="264" t="str">
        <f t="shared" si="6"/>
        <v/>
      </c>
      <c r="W633" s="267" t="str">
        <f t="shared" si="8"/>
        <v/>
      </c>
      <c r="X633" s="264" t="str">
        <f t="shared" si="7"/>
        <v/>
      </c>
    </row>
    <row r="634" ht="15.75" customHeight="1">
      <c r="A634" s="258"/>
      <c r="B634" s="258"/>
      <c r="C634" s="269"/>
      <c r="D634" s="258"/>
      <c r="E634" s="258"/>
      <c r="F634" s="258"/>
      <c r="G634" s="258"/>
      <c r="H634" s="271"/>
      <c r="I634" s="258"/>
      <c r="J634" s="272"/>
      <c r="K634" s="260"/>
      <c r="L634" s="261"/>
      <c r="M634" s="262" t="str">
        <f t="shared" si="1"/>
        <v/>
      </c>
      <c r="N634" s="263" t="str">
        <f t="shared" si="2"/>
        <v/>
      </c>
      <c r="O634" s="264" t="str">
        <f t="shared" si="3"/>
        <v/>
      </c>
      <c r="P634" s="265" t="str">
        <f>IFERROR(__xludf.DUMMYFUNCTION("IF(ISBLANK(A634),"""",IFERROR(IF(H634=""Sell"",VLOOKUP(9^99,FILTER({ROW(P$2:P633),P$2:P633},D$2:D633=D634),2),(VLOOKUP(9^99,FILTER({ROW(P$2:P633),P$2:P633},D$2:D633=D634),2)*VLOOKUP(9^99,FILTER({ROW(O$2:O633),O$2:O633},D$2:D633=D634),2)-N634)/O634),J634))"),"")</f>
        <v/>
      </c>
      <c r="Q634" s="264" t="str">
        <f>IFERROR(__xludf.DUMMYFUNCTION("IFERROR(IF(F634=""Crypto"",B634,(IF(ISBLANK(D634),"""",IF(D634=""Cash"",B634,IF(GOOGLEFINANCE(D634,""CURRENCY"")=""GBX"",""GBP"",GOOGLEFINANCE(D634,""CURRENCY"")))))),B634)"),"")</f>
        <v/>
      </c>
      <c r="R634" s="263" t="str">
        <f>IFERROR(__xludf.DUMMYFUNCTION("IF(ISBLANK(A634),"""",IFERROR(IF(OR(Q634=""GPB"",Q634=""ZAR""),IF(Q634=Dashboard!$L$1,K634,(K634*GOOGLEFINANCE(""CURRENCY:""&amp;Q634&amp;""""&amp;Dashboard!$L$1&amp;""""))/100),IF(Q634=Dashboard!$L$1,K634,K634*GOOGLEFINANCE(""CURRENCY:""&amp;Q634&amp;""""&amp;Dashboard!$L$1&amp;"""")))"&amp;",K634))"),"")</f>
        <v/>
      </c>
      <c r="S634" s="266" t="str">
        <f>IFERROR(__xludf.DUMMYFUNCTION("IF(ISBLANK(A634),"""",IFERROR(IF(OR(Q634=""GPB"",Q634=""ZAR""),IF(Q634=Dashboard!$L$1,M634,(M634*GOOGLEFINANCE(""CURRENCY:""&amp;Q634&amp;""""&amp;Dashboard!$L$1&amp;""""))/100),IF(Q634=Dashboard!$L$1,M634,M634*GOOGLEFINANCE(""CURRENCY:""&amp;Q634&amp;""""&amp;Dashboard!$L$1&amp;"""")))"&amp;",M634))"),"")</f>
        <v/>
      </c>
      <c r="T634" s="264" t="str">
        <f t="shared" si="4"/>
        <v/>
      </c>
      <c r="U634" s="264" t="str">
        <f t="shared" si="5"/>
        <v/>
      </c>
      <c r="V634" s="264" t="str">
        <f t="shared" si="6"/>
        <v/>
      </c>
      <c r="W634" s="267" t="str">
        <f t="shared" si="8"/>
        <v/>
      </c>
      <c r="X634" s="264" t="str">
        <f t="shared" si="7"/>
        <v/>
      </c>
    </row>
    <row r="635" ht="15.75" customHeight="1">
      <c r="A635" s="258"/>
      <c r="B635" s="258"/>
      <c r="C635" s="269"/>
      <c r="D635" s="258"/>
      <c r="E635" s="258"/>
      <c r="F635" s="258"/>
      <c r="G635" s="258"/>
      <c r="H635" s="271"/>
      <c r="I635" s="258"/>
      <c r="J635" s="272"/>
      <c r="K635" s="260"/>
      <c r="L635" s="261"/>
      <c r="M635" s="262" t="str">
        <f t="shared" si="1"/>
        <v/>
      </c>
      <c r="N635" s="263" t="str">
        <f t="shared" si="2"/>
        <v/>
      </c>
      <c r="O635" s="264" t="str">
        <f t="shared" si="3"/>
        <v/>
      </c>
      <c r="P635" s="265" t="str">
        <f>IFERROR(__xludf.DUMMYFUNCTION("IF(ISBLANK(A635),"""",IFERROR(IF(H635=""Sell"",VLOOKUP(9^99,FILTER({ROW(P$2:P634),P$2:P634},D$2:D634=D635),2),(VLOOKUP(9^99,FILTER({ROW(P$2:P634),P$2:P634},D$2:D634=D635),2)*VLOOKUP(9^99,FILTER({ROW(O$2:O634),O$2:O634},D$2:D634=D635),2)-N635)/O635),J635))"),"")</f>
        <v/>
      </c>
      <c r="Q635" s="264" t="str">
        <f>IFERROR(__xludf.DUMMYFUNCTION("IFERROR(IF(F635=""Crypto"",B635,(IF(ISBLANK(D635),"""",IF(D635=""Cash"",B635,IF(GOOGLEFINANCE(D635,""CURRENCY"")=""GBX"",""GBP"",GOOGLEFINANCE(D635,""CURRENCY"")))))),B635)"),"")</f>
        <v/>
      </c>
      <c r="R635" s="263" t="str">
        <f>IFERROR(__xludf.DUMMYFUNCTION("IF(ISBLANK(A635),"""",IFERROR(IF(OR(Q635=""GPB"",Q635=""ZAR""),IF(Q635=Dashboard!$L$1,K635,(K635*GOOGLEFINANCE(""CURRENCY:""&amp;Q635&amp;""""&amp;Dashboard!$L$1&amp;""""))/100),IF(Q635=Dashboard!$L$1,K635,K635*GOOGLEFINANCE(""CURRENCY:""&amp;Q635&amp;""""&amp;Dashboard!$L$1&amp;"""")))"&amp;",K635))"),"")</f>
        <v/>
      </c>
      <c r="S635" s="266" t="str">
        <f>IFERROR(__xludf.DUMMYFUNCTION("IF(ISBLANK(A635),"""",IFERROR(IF(OR(Q635=""GPB"",Q635=""ZAR""),IF(Q635=Dashboard!$L$1,M635,(M635*GOOGLEFINANCE(""CURRENCY:""&amp;Q635&amp;""""&amp;Dashboard!$L$1&amp;""""))/100),IF(Q635=Dashboard!$L$1,M635,M635*GOOGLEFINANCE(""CURRENCY:""&amp;Q635&amp;""""&amp;Dashboard!$L$1&amp;"""")))"&amp;",M635))"),"")</f>
        <v/>
      </c>
      <c r="T635" s="264" t="str">
        <f t="shared" si="4"/>
        <v/>
      </c>
      <c r="U635" s="264" t="str">
        <f t="shared" si="5"/>
        <v/>
      </c>
      <c r="V635" s="264" t="str">
        <f t="shared" si="6"/>
        <v/>
      </c>
      <c r="W635" s="267" t="str">
        <f t="shared" si="8"/>
        <v/>
      </c>
      <c r="X635" s="264" t="str">
        <f t="shared" si="7"/>
        <v/>
      </c>
    </row>
    <row r="636" ht="15.75" customHeight="1">
      <c r="A636" s="258"/>
      <c r="B636" s="258"/>
      <c r="C636" s="269"/>
      <c r="D636" s="258"/>
      <c r="E636" s="258"/>
      <c r="F636" s="258"/>
      <c r="G636" s="258"/>
      <c r="H636" s="271"/>
      <c r="I636" s="258"/>
      <c r="J636" s="272"/>
      <c r="K636" s="260"/>
      <c r="L636" s="261"/>
      <c r="M636" s="262" t="str">
        <f t="shared" si="1"/>
        <v/>
      </c>
      <c r="N636" s="263" t="str">
        <f t="shared" si="2"/>
        <v/>
      </c>
      <c r="O636" s="264" t="str">
        <f t="shared" si="3"/>
        <v/>
      </c>
      <c r="P636" s="265" t="str">
        <f>IFERROR(__xludf.DUMMYFUNCTION("IF(ISBLANK(A636),"""",IFERROR(IF(H636=""Sell"",VLOOKUP(9^99,FILTER({ROW(P$2:P635),P$2:P635},D$2:D635=D636),2),(VLOOKUP(9^99,FILTER({ROW(P$2:P635),P$2:P635},D$2:D635=D636),2)*VLOOKUP(9^99,FILTER({ROW(O$2:O635),O$2:O635},D$2:D635=D636),2)-N636)/O636),J636))"),"")</f>
        <v/>
      </c>
      <c r="Q636" s="264" t="str">
        <f>IFERROR(__xludf.DUMMYFUNCTION("IFERROR(IF(F636=""Crypto"",B636,(IF(ISBLANK(D636),"""",IF(D636=""Cash"",B636,IF(GOOGLEFINANCE(D636,""CURRENCY"")=""GBX"",""GBP"",GOOGLEFINANCE(D636,""CURRENCY"")))))),B636)"),"")</f>
        <v/>
      </c>
      <c r="R636" s="263" t="str">
        <f>IFERROR(__xludf.DUMMYFUNCTION("IF(ISBLANK(A636),"""",IFERROR(IF(OR(Q636=""GPB"",Q636=""ZAR""),IF(Q636=Dashboard!$L$1,K636,(K636*GOOGLEFINANCE(""CURRENCY:""&amp;Q636&amp;""""&amp;Dashboard!$L$1&amp;""""))/100),IF(Q636=Dashboard!$L$1,K636,K636*GOOGLEFINANCE(""CURRENCY:""&amp;Q636&amp;""""&amp;Dashboard!$L$1&amp;"""")))"&amp;",K636))"),"")</f>
        <v/>
      </c>
      <c r="S636" s="266" t="str">
        <f>IFERROR(__xludf.DUMMYFUNCTION("IF(ISBLANK(A636),"""",IFERROR(IF(OR(Q636=""GPB"",Q636=""ZAR""),IF(Q636=Dashboard!$L$1,M636,(M636*GOOGLEFINANCE(""CURRENCY:""&amp;Q636&amp;""""&amp;Dashboard!$L$1&amp;""""))/100),IF(Q636=Dashboard!$L$1,M636,M636*GOOGLEFINANCE(""CURRENCY:""&amp;Q636&amp;""""&amp;Dashboard!$L$1&amp;"""")))"&amp;",M636))"),"")</f>
        <v/>
      </c>
      <c r="T636" s="264" t="str">
        <f t="shared" si="4"/>
        <v/>
      </c>
      <c r="U636" s="264" t="str">
        <f t="shared" si="5"/>
        <v/>
      </c>
      <c r="V636" s="264" t="str">
        <f t="shared" si="6"/>
        <v/>
      </c>
      <c r="W636" s="267" t="str">
        <f t="shared" si="8"/>
        <v/>
      </c>
      <c r="X636" s="264" t="str">
        <f t="shared" si="7"/>
        <v/>
      </c>
    </row>
    <row r="637" ht="15.75" customHeight="1">
      <c r="A637" s="258"/>
      <c r="B637" s="258"/>
      <c r="C637" s="269"/>
      <c r="D637" s="258"/>
      <c r="E637" s="258"/>
      <c r="F637" s="258"/>
      <c r="G637" s="258"/>
      <c r="H637" s="271"/>
      <c r="I637" s="258"/>
      <c r="J637" s="272"/>
      <c r="K637" s="260"/>
      <c r="L637" s="261"/>
      <c r="M637" s="262" t="str">
        <f t="shared" si="1"/>
        <v/>
      </c>
      <c r="N637" s="263" t="str">
        <f t="shared" si="2"/>
        <v/>
      </c>
      <c r="O637" s="264" t="str">
        <f t="shared" si="3"/>
        <v/>
      </c>
      <c r="P637" s="265" t="str">
        <f>IFERROR(__xludf.DUMMYFUNCTION("IF(ISBLANK(A637),"""",IFERROR(IF(H637=""Sell"",VLOOKUP(9^99,FILTER({ROW(P$2:P636),P$2:P636},D$2:D636=D637),2),(VLOOKUP(9^99,FILTER({ROW(P$2:P636),P$2:P636},D$2:D636=D637),2)*VLOOKUP(9^99,FILTER({ROW(O$2:O636),O$2:O636},D$2:D636=D637),2)-N637)/O637),J637))"),"")</f>
        <v/>
      </c>
      <c r="Q637" s="264" t="str">
        <f>IFERROR(__xludf.DUMMYFUNCTION("IFERROR(IF(F637=""Crypto"",B637,(IF(ISBLANK(D637),"""",IF(D637=""Cash"",B637,IF(GOOGLEFINANCE(D637,""CURRENCY"")=""GBX"",""GBP"",GOOGLEFINANCE(D637,""CURRENCY"")))))),B637)"),"")</f>
        <v/>
      </c>
      <c r="R637" s="263" t="str">
        <f>IFERROR(__xludf.DUMMYFUNCTION("IF(ISBLANK(A637),"""",IFERROR(IF(OR(Q637=""GPB"",Q637=""ZAR""),IF(Q637=Dashboard!$L$1,K637,(K637*GOOGLEFINANCE(""CURRENCY:""&amp;Q637&amp;""""&amp;Dashboard!$L$1&amp;""""))/100),IF(Q637=Dashboard!$L$1,K637,K637*GOOGLEFINANCE(""CURRENCY:""&amp;Q637&amp;""""&amp;Dashboard!$L$1&amp;"""")))"&amp;",K637))"),"")</f>
        <v/>
      </c>
      <c r="S637" s="266" t="str">
        <f>IFERROR(__xludf.DUMMYFUNCTION("IF(ISBLANK(A637),"""",IFERROR(IF(OR(Q637=""GPB"",Q637=""ZAR""),IF(Q637=Dashboard!$L$1,M637,(M637*GOOGLEFINANCE(""CURRENCY:""&amp;Q637&amp;""""&amp;Dashboard!$L$1&amp;""""))/100),IF(Q637=Dashboard!$L$1,M637,M637*GOOGLEFINANCE(""CURRENCY:""&amp;Q637&amp;""""&amp;Dashboard!$L$1&amp;"""")))"&amp;",M637))"),"")</f>
        <v/>
      </c>
      <c r="T637" s="264" t="str">
        <f t="shared" si="4"/>
        <v/>
      </c>
      <c r="U637" s="264" t="str">
        <f t="shared" si="5"/>
        <v/>
      </c>
      <c r="V637" s="264" t="str">
        <f t="shared" si="6"/>
        <v/>
      </c>
      <c r="W637" s="267" t="str">
        <f t="shared" si="8"/>
        <v/>
      </c>
      <c r="X637" s="264" t="str">
        <f t="shared" si="7"/>
        <v/>
      </c>
    </row>
    <row r="638" ht="15.75" customHeight="1">
      <c r="A638" s="258"/>
      <c r="B638" s="258"/>
      <c r="C638" s="269"/>
      <c r="D638" s="258"/>
      <c r="E638" s="258"/>
      <c r="F638" s="258"/>
      <c r="G638" s="258"/>
      <c r="H638" s="271"/>
      <c r="I638" s="258"/>
      <c r="J638" s="272"/>
      <c r="K638" s="260"/>
      <c r="L638" s="261"/>
      <c r="M638" s="262" t="str">
        <f t="shared" si="1"/>
        <v/>
      </c>
      <c r="N638" s="263" t="str">
        <f t="shared" si="2"/>
        <v/>
      </c>
      <c r="O638" s="264" t="str">
        <f t="shared" si="3"/>
        <v/>
      </c>
      <c r="P638" s="265" t="str">
        <f>IFERROR(__xludf.DUMMYFUNCTION("IF(ISBLANK(A638),"""",IFERROR(IF(H638=""Sell"",VLOOKUP(9^99,FILTER({ROW(P$2:P637),P$2:P637},D$2:D637=D638),2),(VLOOKUP(9^99,FILTER({ROW(P$2:P637),P$2:P637},D$2:D637=D638),2)*VLOOKUP(9^99,FILTER({ROW(O$2:O637),O$2:O637},D$2:D637=D638),2)-N638)/O638),J638))"),"")</f>
        <v/>
      </c>
      <c r="Q638" s="264" t="str">
        <f>IFERROR(__xludf.DUMMYFUNCTION("IFERROR(IF(F638=""Crypto"",B638,(IF(ISBLANK(D638),"""",IF(D638=""Cash"",B638,IF(GOOGLEFINANCE(D638,""CURRENCY"")=""GBX"",""GBP"",GOOGLEFINANCE(D638,""CURRENCY"")))))),B638)"),"")</f>
        <v/>
      </c>
      <c r="R638" s="263" t="str">
        <f>IFERROR(__xludf.DUMMYFUNCTION("IF(ISBLANK(A638),"""",IFERROR(IF(OR(Q638=""GPB"",Q638=""ZAR""),IF(Q638=Dashboard!$L$1,K638,(K638*GOOGLEFINANCE(""CURRENCY:""&amp;Q638&amp;""""&amp;Dashboard!$L$1&amp;""""))/100),IF(Q638=Dashboard!$L$1,K638,K638*GOOGLEFINANCE(""CURRENCY:""&amp;Q638&amp;""""&amp;Dashboard!$L$1&amp;"""")))"&amp;",K638))"),"")</f>
        <v/>
      </c>
      <c r="S638" s="266" t="str">
        <f>IFERROR(__xludf.DUMMYFUNCTION("IF(ISBLANK(A638),"""",IFERROR(IF(OR(Q638=""GPB"",Q638=""ZAR""),IF(Q638=Dashboard!$L$1,M638,(M638*GOOGLEFINANCE(""CURRENCY:""&amp;Q638&amp;""""&amp;Dashboard!$L$1&amp;""""))/100),IF(Q638=Dashboard!$L$1,M638,M638*GOOGLEFINANCE(""CURRENCY:""&amp;Q638&amp;""""&amp;Dashboard!$L$1&amp;"""")))"&amp;",M638))"),"")</f>
        <v/>
      </c>
      <c r="T638" s="264" t="str">
        <f t="shared" si="4"/>
        <v/>
      </c>
      <c r="U638" s="264" t="str">
        <f t="shared" si="5"/>
        <v/>
      </c>
      <c r="V638" s="264" t="str">
        <f t="shared" si="6"/>
        <v/>
      </c>
      <c r="W638" s="267" t="str">
        <f t="shared" si="8"/>
        <v/>
      </c>
      <c r="X638" s="264" t="str">
        <f t="shared" si="7"/>
        <v/>
      </c>
    </row>
    <row r="639" ht="15.75" customHeight="1">
      <c r="A639" s="258"/>
      <c r="B639" s="258"/>
      <c r="C639" s="269"/>
      <c r="D639" s="258"/>
      <c r="E639" s="258"/>
      <c r="F639" s="258"/>
      <c r="G639" s="258"/>
      <c r="H639" s="271"/>
      <c r="I639" s="258"/>
      <c r="J639" s="272"/>
      <c r="K639" s="260"/>
      <c r="L639" s="261"/>
      <c r="M639" s="262" t="str">
        <f t="shared" si="1"/>
        <v/>
      </c>
      <c r="N639" s="263" t="str">
        <f t="shared" si="2"/>
        <v/>
      </c>
      <c r="O639" s="264" t="str">
        <f t="shared" si="3"/>
        <v/>
      </c>
      <c r="P639" s="265" t="str">
        <f>IFERROR(__xludf.DUMMYFUNCTION("IF(ISBLANK(A639),"""",IFERROR(IF(H639=""Sell"",VLOOKUP(9^99,FILTER({ROW(P$2:P638),P$2:P638},D$2:D638=D639),2),(VLOOKUP(9^99,FILTER({ROW(P$2:P638),P$2:P638},D$2:D638=D639),2)*VLOOKUP(9^99,FILTER({ROW(O$2:O638),O$2:O638},D$2:D638=D639),2)-N639)/O639),J639))"),"")</f>
        <v/>
      </c>
      <c r="Q639" s="264" t="str">
        <f>IFERROR(__xludf.DUMMYFUNCTION("IFERROR(IF(F639=""Crypto"",B639,(IF(ISBLANK(D639),"""",IF(D639=""Cash"",B639,IF(GOOGLEFINANCE(D639,""CURRENCY"")=""GBX"",""GBP"",GOOGLEFINANCE(D639,""CURRENCY"")))))),B639)"),"")</f>
        <v/>
      </c>
      <c r="R639" s="263" t="str">
        <f>IFERROR(__xludf.DUMMYFUNCTION("IF(ISBLANK(A639),"""",IFERROR(IF(OR(Q639=""GPB"",Q639=""ZAR""),IF(Q639=Dashboard!$L$1,K639,(K639*GOOGLEFINANCE(""CURRENCY:""&amp;Q639&amp;""""&amp;Dashboard!$L$1&amp;""""))/100),IF(Q639=Dashboard!$L$1,K639,K639*GOOGLEFINANCE(""CURRENCY:""&amp;Q639&amp;""""&amp;Dashboard!$L$1&amp;"""")))"&amp;",K639))"),"")</f>
        <v/>
      </c>
      <c r="S639" s="266" t="str">
        <f>IFERROR(__xludf.DUMMYFUNCTION("IF(ISBLANK(A639),"""",IFERROR(IF(OR(Q639=""GPB"",Q639=""ZAR""),IF(Q639=Dashboard!$L$1,M639,(M639*GOOGLEFINANCE(""CURRENCY:""&amp;Q639&amp;""""&amp;Dashboard!$L$1&amp;""""))/100),IF(Q639=Dashboard!$L$1,M639,M639*GOOGLEFINANCE(""CURRENCY:""&amp;Q639&amp;""""&amp;Dashboard!$L$1&amp;"""")))"&amp;",M639))"),"")</f>
        <v/>
      </c>
      <c r="T639" s="264" t="str">
        <f t="shared" si="4"/>
        <v/>
      </c>
      <c r="U639" s="264" t="str">
        <f t="shared" si="5"/>
        <v/>
      </c>
      <c r="V639" s="264" t="str">
        <f t="shared" si="6"/>
        <v/>
      </c>
      <c r="W639" s="267" t="str">
        <f t="shared" si="8"/>
        <v/>
      </c>
      <c r="X639" s="264" t="str">
        <f t="shared" si="7"/>
        <v/>
      </c>
    </row>
    <row r="640" ht="15.75" customHeight="1">
      <c r="A640" s="258"/>
      <c r="B640" s="258"/>
      <c r="C640" s="269"/>
      <c r="D640" s="258"/>
      <c r="E640" s="258"/>
      <c r="F640" s="258"/>
      <c r="G640" s="258"/>
      <c r="H640" s="271"/>
      <c r="I640" s="258"/>
      <c r="J640" s="272"/>
      <c r="K640" s="260"/>
      <c r="L640" s="261"/>
      <c r="M640" s="262" t="str">
        <f t="shared" si="1"/>
        <v/>
      </c>
      <c r="N640" s="263" t="str">
        <f t="shared" si="2"/>
        <v/>
      </c>
      <c r="O640" s="264" t="str">
        <f t="shared" si="3"/>
        <v/>
      </c>
      <c r="P640" s="265" t="str">
        <f>IFERROR(__xludf.DUMMYFUNCTION("IF(ISBLANK(A640),"""",IFERROR(IF(H640=""Sell"",VLOOKUP(9^99,FILTER({ROW(P$2:P639),P$2:P639},D$2:D639=D640),2),(VLOOKUP(9^99,FILTER({ROW(P$2:P639),P$2:P639},D$2:D639=D640),2)*VLOOKUP(9^99,FILTER({ROW(O$2:O639),O$2:O639},D$2:D639=D640),2)-N640)/O640),J640))"),"")</f>
        <v/>
      </c>
      <c r="Q640" s="264" t="str">
        <f>IFERROR(__xludf.DUMMYFUNCTION("IFERROR(IF(F640=""Crypto"",B640,(IF(ISBLANK(D640),"""",IF(D640=""Cash"",B640,IF(GOOGLEFINANCE(D640,""CURRENCY"")=""GBX"",""GBP"",GOOGLEFINANCE(D640,""CURRENCY"")))))),B640)"),"")</f>
        <v/>
      </c>
      <c r="R640" s="263" t="str">
        <f>IFERROR(__xludf.DUMMYFUNCTION("IF(ISBLANK(A640),"""",IFERROR(IF(OR(Q640=""GPB"",Q640=""ZAR""),IF(Q640=Dashboard!$L$1,K640,(K640*GOOGLEFINANCE(""CURRENCY:""&amp;Q640&amp;""""&amp;Dashboard!$L$1&amp;""""))/100),IF(Q640=Dashboard!$L$1,K640,K640*GOOGLEFINANCE(""CURRENCY:""&amp;Q640&amp;""""&amp;Dashboard!$L$1&amp;"""")))"&amp;",K640))"),"")</f>
        <v/>
      </c>
      <c r="S640" s="266" t="str">
        <f>IFERROR(__xludf.DUMMYFUNCTION("IF(ISBLANK(A640),"""",IFERROR(IF(OR(Q640=""GPB"",Q640=""ZAR""),IF(Q640=Dashboard!$L$1,M640,(M640*GOOGLEFINANCE(""CURRENCY:""&amp;Q640&amp;""""&amp;Dashboard!$L$1&amp;""""))/100),IF(Q640=Dashboard!$L$1,M640,M640*GOOGLEFINANCE(""CURRENCY:""&amp;Q640&amp;""""&amp;Dashboard!$L$1&amp;"""")))"&amp;",M640))"),"")</f>
        <v/>
      </c>
      <c r="T640" s="264" t="str">
        <f t="shared" si="4"/>
        <v/>
      </c>
      <c r="U640" s="264" t="str">
        <f t="shared" si="5"/>
        <v/>
      </c>
      <c r="V640" s="264" t="str">
        <f t="shared" si="6"/>
        <v/>
      </c>
      <c r="W640" s="267" t="str">
        <f t="shared" si="8"/>
        <v/>
      </c>
      <c r="X640" s="264" t="str">
        <f t="shared" si="7"/>
        <v/>
      </c>
    </row>
    <row r="641" ht="15.75" customHeight="1">
      <c r="A641" s="258"/>
      <c r="B641" s="258"/>
      <c r="C641" s="269"/>
      <c r="D641" s="258"/>
      <c r="E641" s="258"/>
      <c r="F641" s="258"/>
      <c r="G641" s="258"/>
      <c r="H641" s="271"/>
      <c r="I641" s="258"/>
      <c r="J641" s="272"/>
      <c r="K641" s="260"/>
      <c r="L641" s="261"/>
      <c r="M641" s="262" t="str">
        <f t="shared" si="1"/>
        <v/>
      </c>
      <c r="N641" s="263" t="str">
        <f t="shared" si="2"/>
        <v/>
      </c>
      <c r="O641" s="264" t="str">
        <f t="shared" si="3"/>
        <v/>
      </c>
      <c r="P641" s="265" t="str">
        <f>IFERROR(__xludf.DUMMYFUNCTION("IF(ISBLANK(A641),"""",IFERROR(IF(H641=""Sell"",VLOOKUP(9^99,FILTER({ROW(P$2:P640),P$2:P640},D$2:D640=D641),2),(VLOOKUP(9^99,FILTER({ROW(P$2:P640),P$2:P640},D$2:D640=D641),2)*VLOOKUP(9^99,FILTER({ROW(O$2:O640),O$2:O640},D$2:D640=D641),2)-N641)/O641),J641))"),"")</f>
        <v/>
      </c>
      <c r="Q641" s="264" t="str">
        <f>IFERROR(__xludf.DUMMYFUNCTION("IFERROR(IF(F641=""Crypto"",B641,(IF(ISBLANK(D641),"""",IF(D641=""Cash"",B641,IF(GOOGLEFINANCE(D641,""CURRENCY"")=""GBX"",""GBP"",GOOGLEFINANCE(D641,""CURRENCY"")))))),B641)"),"")</f>
        <v/>
      </c>
      <c r="R641" s="263" t="str">
        <f>IFERROR(__xludf.DUMMYFUNCTION("IF(ISBLANK(A641),"""",IFERROR(IF(OR(Q641=""GPB"",Q641=""ZAR""),IF(Q641=Dashboard!$L$1,K641,(K641*GOOGLEFINANCE(""CURRENCY:""&amp;Q641&amp;""""&amp;Dashboard!$L$1&amp;""""))/100),IF(Q641=Dashboard!$L$1,K641,K641*GOOGLEFINANCE(""CURRENCY:""&amp;Q641&amp;""""&amp;Dashboard!$L$1&amp;"""")))"&amp;",K641))"),"")</f>
        <v/>
      </c>
      <c r="S641" s="266" t="str">
        <f>IFERROR(__xludf.DUMMYFUNCTION("IF(ISBLANK(A641),"""",IFERROR(IF(OR(Q641=""GPB"",Q641=""ZAR""),IF(Q641=Dashboard!$L$1,M641,(M641*GOOGLEFINANCE(""CURRENCY:""&amp;Q641&amp;""""&amp;Dashboard!$L$1&amp;""""))/100),IF(Q641=Dashboard!$L$1,M641,M641*GOOGLEFINANCE(""CURRENCY:""&amp;Q641&amp;""""&amp;Dashboard!$L$1&amp;"""")))"&amp;",M641))"),"")</f>
        <v/>
      </c>
      <c r="T641" s="264" t="str">
        <f t="shared" si="4"/>
        <v/>
      </c>
      <c r="U641" s="264" t="str">
        <f t="shared" si="5"/>
        <v/>
      </c>
      <c r="V641" s="264" t="str">
        <f t="shared" si="6"/>
        <v/>
      </c>
      <c r="W641" s="267" t="str">
        <f t="shared" si="8"/>
        <v/>
      </c>
      <c r="X641" s="264" t="str">
        <f t="shared" si="7"/>
        <v/>
      </c>
    </row>
    <row r="642" ht="15.75" customHeight="1">
      <c r="A642" s="258"/>
      <c r="B642" s="258"/>
      <c r="C642" s="269"/>
      <c r="D642" s="258"/>
      <c r="E642" s="258"/>
      <c r="F642" s="258"/>
      <c r="G642" s="258"/>
      <c r="H642" s="271"/>
      <c r="I642" s="258"/>
      <c r="J642" s="272"/>
      <c r="K642" s="260"/>
      <c r="L642" s="261"/>
      <c r="M642" s="262" t="str">
        <f t="shared" si="1"/>
        <v/>
      </c>
      <c r="N642" s="263" t="str">
        <f t="shared" si="2"/>
        <v/>
      </c>
      <c r="O642" s="264" t="str">
        <f t="shared" si="3"/>
        <v/>
      </c>
      <c r="P642" s="265" t="str">
        <f>IFERROR(__xludf.DUMMYFUNCTION("IF(ISBLANK(A642),"""",IFERROR(IF(H642=""Sell"",VLOOKUP(9^99,FILTER({ROW(P$2:P641),P$2:P641},D$2:D641=D642),2),(VLOOKUP(9^99,FILTER({ROW(P$2:P641),P$2:P641},D$2:D641=D642),2)*VLOOKUP(9^99,FILTER({ROW(O$2:O641),O$2:O641},D$2:D641=D642),2)-N642)/O642),J642))"),"")</f>
        <v/>
      </c>
      <c r="Q642" s="264" t="str">
        <f>IFERROR(__xludf.DUMMYFUNCTION("IFERROR(IF(F642=""Crypto"",B642,(IF(ISBLANK(D642),"""",IF(D642=""Cash"",B642,IF(GOOGLEFINANCE(D642,""CURRENCY"")=""GBX"",""GBP"",GOOGLEFINANCE(D642,""CURRENCY"")))))),B642)"),"")</f>
        <v/>
      </c>
      <c r="R642" s="263" t="str">
        <f>IFERROR(__xludf.DUMMYFUNCTION("IF(ISBLANK(A642),"""",IFERROR(IF(OR(Q642=""GPB"",Q642=""ZAR""),IF(Q642=Dashboard!$L$1,K642,(K642*GOOGLEFINANCE(""CURRENCY:""&amp;Q642&amp;""""&amp;Dashboard!$L$1&amp;""""))/100),IF(Q642=Dashboard!$L$1,K642,K642*GOOGLEFINANCE(""CURRENCY:""&amp;Q642&amp;""""&amp;Dashboard!$L$1&amp;"""")))"&amp;",K642))"),"")</f>
        <v/>
      </c>
      <c r="S642" s="266" t="str">
        <f>IFERROR(__xludf.DUMMYFUNCTION("IF(ISBLANK(A642),"""",IFERROR(IF(OR(Q642=""GPB"",Q642=""ZAR""),IF(Q642=Dashboard!$L$1,M642,(M642*GOOGLEFINANCE(""CURRENCY:""&amp;Q642&amp;""""&amp;Dashboard!$L$1&amp;""""))/100),IF(Q642=Dashboard!$L$1,M642,M642*GOOGLEFINANCE(""CURRENCY:""&amp;Q642&amp;""""&amp;Dashboard!$L$1&amp;"""")))"&amp;",M642))"),"")</f>
        <v/>
      </c>
      <c r="T642" s="264" t="str">
        <f t="shared" si="4"/>
        <v/>
      </c>
      <c r="U642" s="264" t="str">
        <f t="shared" si="5"/>
        <v/>
      </c>
      <c r="V642" s="264" t="str">
        <f t="shared" si="6"/>
        <v/>
      </c>
      <c r="W642" s="267" t="str">
        <f t="shared" si="8"/>
        <v/>
      </c>
      <c r="X642" s="264" t="str">
        <f t="shared" si="7"/>
        <v/>
      </c>
    </row>
    <row r="643" ht="15.75" customHeight="1">
      <c r="A643" s="258"/>
      <c r="B643" s="258"/>
      <c r="C643" s="269"/>
      <c r="D643" s="258"/>
      <c r="E643" s="258"/>
      <c r="F643" s="258"/>
      <c r="G643" s="258"/>
      <c r="H643" s="271"/>
      <c r="I643" s="258"/>
      <c r="J643" s="272"/>
      <c r="K643" s="260"/>
      <c r="L643" s="261"/>
      <c r="M643" s="262" t="str">
        <f t="shared" si="1"/>
        <v/>
      </c>
      <c r="N643" s="263" t="str">
        <f t="shared" si="2"/>
        <v/>
      </c>
      <c r="O643" s="264" t="str">
        <f t="shared" si="3"/>
        <v/>
      </c>
      <c r="P643" s="265" t="str">
        <f>IFERROR(__xludf.DUMMYFUNCTION("IF(ISBLANK(A643),"""",IFERROR(IF(H643=""Sell"",VLOOKUP(9^99,FILTER({ROW(P$2:P642),P$2:P642},D$2:D642=D643),2),(VLOOKUP(9^99,FILTER({ROW(P$2:P642),P$2:P642},D$2:D642=D643),2)*VLOOKUP(9^99,FILTER({ROW(O$2:O642),O$2:O642},D$2:D642=D643),2)-N643)/O643),J643))"),"")</f>
        <v/>
      </c>
      <c r="Q643" s="264" t="str">
        <f>IFERROR(__xludf.DUMMYFUNCTION("IFERROR(IF(F643=""Crypto"",B643,(IF(ISBLANK(D643),"""",IF(D643=""Cash"",B643,IF(GOOGLEFINANCE(D643,""CURRENCY"")=""GBX"",""GBP"",GOOGLEFINANCE(D643,""CURRENCY"")))))),B643)"),"")</f>
        <v/>
      </c>
      <c r="R643" s="263" t="str">
        <f>IFERROR(__xludf.DUMMYFUNCTION("IF(ISBLANK(A643),"""",IFERROR(IF(OR(Q643=""GPB"",Q643=""ZAR""),IF(Q643=Dashboard!$L$1,K643,(K643*GOOGLEFINANCE(""CURRENCY:""&amp;Q643&amp;""""&amp;Dashboard!$L$1&amp;""""))/100),IF(Q643=Dashboard!$L$1,K643,K643*GOOGLEFINANCE(""CURRENCY:""&amp;Q643&amp;""""&amp;Dashboard!$L$1&amp;"""")))"&amp;",K643))"),"")</f>
        <v/>
      </c>
      <c r="S643" s="266" t="str">
        <f>IFERROR(__xludf.DUMMYFUNCTION("IF(ISBLANK(A643),"""",IFERROR(IF(OR(Q643=""GPB"",Q643=""ZAR""),IF(Q643=Dashboard!$L$1,M643,(M643*GOOGLEFINANCE(""CURRENCY:""&amp;Q643&amp;""""&amp;Dashboard!$L$1&amp;""""))/100),IF(Q643=Dashboard!$L$1,M643,M643*GOOGLEFINANCE(""CURRENCY:""&amp;Q643&amp;""""&amp;Dashboard!$L$1&amp;"""")))"&amp;",M643))"),"")</f>
        <v/>
      </c>
      <c r="T643" s="264" t="str">
        <f t="shared" si="4"/>
        <v/>
      </c>
      <c r="U643" s="264" t="str">
        <f t="shared" si="5"/>
        <v/>
      </c>
      <c r="V643" s="264" t="str">
        <f t="shared" si="6"/>
        <v/>
      </c>
      <c r="W643" s="267" t="str">
        <f t="shared" si="8"/>
        <v/>
      </c>
      <c r="X643" s="264" t="str">
        <f t="shared" si="7"/>
        <v/>
      </c>
    </row>
    <row r="644" ht="15.75" customHeight="1">
      <c r="A644" s="258"/>
      <c r="B644" s="258"/>
      <c r="C644" s="269"/>
      <c r="D644" s="258"/>
      <c r="E644" s="258"/>
      <c r="F644" s="258"/>
      <c r="G644" s="258"/>
      <c r="H644" s="271"/>
      <c r="I644" s="258"/>
      <c r="J644" s="272"/>
      <c r="K644" s="260"/>
      <c r="L644" s="261"/>
      <c r="M644" s="262" t="str">
        <f t="shared" si="1"/>
        <v/>
      </c>
      <c r="N644" s="263" t="str">
        <f t="shared" si="2"/>
        <v/>
      </c>
      <c r="O644" s="264" t="str">
        <f t="shared" si="3"/>
        <v/>
      </c>
      <c r="P644" s="265" t="str">
        <f>IFERROR(__xludf.DUMMYFUNCTION("IF(ISBLANK(A644),"""",IFERROR(IF(H644=""Sell"",VLOOKUP(9^99,FILTER({ROW(P$2:P643),P$2:P643},D$2:D643=D644),2),(VLOOKUP(9^99,FILTER({ROW(P$2:P643),P$2:P643},D$2:D643=D644),2)*VLOOKUP(9^99,FILTER({ROW(O$2:O643),O$2:O643},D$2:D643=D644),2)-N644)/O644),J644))"),"")</f>
        <v/>
      </c>
      <c r="Q644" s="264" t="str">
        <f>IFERROR(__xludf.DUMMYFUNCTION("IFERROR(IF(F644=""Crypto"",B644,(IF(ISBLANK(D644),"""",IF(D644=""Cash"",B644,IF(GOOGLEFINANCE(D644,""CURRENCY"")=""GBX"",""GBP"",GOOGLEFINANCE(D644,""CURRENCY"")))))),B644)"),"")</f>
        <v/>
      </c>
      <c r="R644" s="263" t="str">
        <f>IFERROR(__xludf.DUMMYFUNCTION("IF(ISBLANK(A644),"""",IFERROR(IF(OR(Q644=""GPB"",Q644=""ZAR""),IF(Q644=Dashboard!$L$1,K644,(K644*GOOGLEFINANCE(""CURRENCY:""&amp;Q644&amp;""""&amp;Dashboard!$L$1&amp;""""))/100),IF(Q644=Dashboard!$L$1,K644,K644*GOOGLEFINANCE(""CURRENCY:""&amp;Q644&amp;""""&amp;Dashboard!$L$1&amp;"""")))"&amp;",K644))"),"")</f>
        <v/>
      </c>
      <c r="S644" s="266" t="str">
        <f>IFERROR(__xludf.DUMMYFUNCTION("IF(ISBLANK(A644),"""",IFERROR(IF(OR(Q644=""GPB"",Q644=""ZAR""),IF(Q644=Dashboard!$L$1,M644,(M644*GOOGLEFINANCE(""CURRENCY:""&amp;Q644&amp;""""&amp;Dashboard!$L$1&amp;""""))/100),IF(Q644=Dashboard!$L$1,M644,M644*GOOGLEFINANCE(""CURRENCY:""&amp;Q644&amp;""""&amp;Dashboard!$L$1&amp;"""")))"&amp;",M644))"),"")</f>
        <v/>
      </c>
      <c r="T644" s="264" t="str">
        <f t="shared" si="4"/>
        <v/>
      </c>
      <c r="U644" s="264" t="str">
        <f t="shared" si="5"/>
        <v/>
      </c>
      <c r="V644" s="264" t="str">
        <f t="shared" si="6"/>
        <v/>
      </c>
      <c r="W644" s="267" t="str">
        <f t="shared" si="8"/>
        <v/>
      </c>
      <c r="X644" s="264" t="str">
        <f t="shared" si="7"/>
        <v/>
      </c>
    </row>
    <row r="645" ht="15.75" customHeight="1">
      <c r="A645" s="258"/>
      <c r="B645" s="258"/>
      <c r="C645" s="269"/>
      <c r="D645" s="258"/>
      <c r="E645" s="258"/>
      <c r="F645" s="258"/>
      <c r="G645" s="258"/>
      <c r="H645" s="271"/>
      <c r="I645" s="258"/>
      <c r="J645" s="272"/>
      <c r="K645" s="260"/>
      <c r="L645" s="261"/>
      <c r="M645" s="262" t="str">
        <f t="shared" si="1"/>
        <v/>
      </c>
      <c r="N645" s="263" t="str">
        <f t="shared" si="2"/>
        <v/>
      </c>
      <c r="O645" s="264" t="str">
        <f t="shared" si="3"/>
        <v/>
      </c>
      <c r="P645" s="265" t="str">
        <f>IFERROR(__xludf.DUMMYFUNCTION("IF(ISBLANK(A645),"""",IFERROR(IF(H645=""Sell"",VLOOKUP(9^99,FILTER({ROW(P$2:P644),P$2:P644},D$2:D644=D645),2),(VLOOKUP(9^99,FILTER({ROW(P$2:P644),P$2:P644},D$2:D644=D645),2)*VLOOKUP(9^99,FILTER({ROW(O$2:O644),O$2:O644},D$2:D644=D645),2)-N645)/O645),J645))"),"")</f>
        <v/>
      </c>
      <c r="Q645" s="264" t="str">
        <f>IFERROR(__xludf.DUMMYFUNCTION("IFERROR(IF(F645=""Crypto"",B645,(IF(ISBLANK(D645),"""",IF(D645=""Cash"",B645,IF(GOOGLEFINANCE(D645,""CURRENCY"")=""GBX"",""GBP"",GOOGLEFINANCE(D645,""CURRENCY"")))))),B645)"),"")</f>
        <v/>
      </c>
      <c r="R645" s="263" t="str">
        <f>IFERROR(__xludf.DUMMYFUNCTION("IF(ISBLANK(A645),"""",IFERROR(IF(OR(Q645=""GPB"",Q645=""ZAR""),IF(Q645=Dashboard!$L$1,K645,(K645*GOOGLEFINANCE(""CURRENCY:""&amp;Q645&amp;""""&amp;Dashboard!$L$1&amp;""""))/100),IF(Q645=Dashboard!$L$1,K645,K645*GOOGLEFINANCE(""CURRENCY:""&amp;Q645&amp;""""&amp;Dashboard!$L$1&amp;"""")))"&amp;",K645))"),"")</f>
        <v/>
      </c>
      <c r="S645" s="266" t="str">
        <f>IFERROR(__xludf.DUMMYFUNCTION("IF(ISBLANK(A645),"""",IFERROR(IF(OR(Q645=""GPB"",Q645=""ZAR""),IF(Q645=Dashboard!$L$1,M645,(M645*GOOGLEFINANCE(""CURRENCY:""&amp;Q645&amp;""""&amp;Dashboard!$L$1&amp;""""))/100),IF(Q645=Dashboard!$L$1,M645,M645*GOOGLEFINANCE(""CURRENCY:""&amp;Q645&amp;""""&amp;Dashboard!$L$1&amp;"""")))"&amp;",M645))"),"")</f>
        <v/>
      </c>
      <c r="T645" s="264" t="str">
        <f t="shared" si="4"/>
        <v/>
      </c>
      <c r="U645" s="264" t="str">
        <f t="shared" si="5"/>
        <v/>
      </c>
      <c r="V645" s="264" t="str">
        <f t="shared" si="6"/>
        <v/>
      </c>
      <c r="W645" s="267" t="str">
        <f t="shared" si="8"/>
        <v/>
      </c>
      <c r="X645" s="264" t="str">
        <f t="shared" si="7"/>
        <v/>
      </c>
    </row>
    <row r="646" ht="15.75" customHeight="1">
      <c r="A646" s="258"/>
      <c r="B646" s="258"/>
      <c r="C646" s="269"/>
      <c r="D646" s="258"/>
      <c r="E646" s="258"/>
      <c r="F646" s="258"/>
      <c r="G646" s="258"/>
      <c r="H646" s="271"/>
      <c r="I646" s="258"/>
      <c r="J646" s="272"/>
      <c r="K646" s="260"/>
      <c r="L646" s="261"/>
      <c r="M646" s="262" t="str">
        <f t="shared" si="1"/>
        <v/>
      </c>
      <c r="N646" s="263" t="str">
        <f t="shared" si="2"/>
        <v/>
      </c>
      <c r="O646" s="264" t="str">
        <f t="shared" si="3"/>
        <v/>
      </c>
      <c r="P646" s="265" t="str">
        <f>IFERROR(__xludf.DUMMYFUNCTION("IF(ISBLANK(A646),"""",IFERROR(IF(H646=""Sell"",VLOOKUP(9^99,FILTER({ROW(P$2:P645),P$2:P645},D$2:D645=D646),2),(VLOOKUP(9^99,FILTER({ROW(P$2:P645),P$2:P645},D$2:D645=D646),2)*VLOOKUP(9^99,FILTER({ROW(O$2:O645),O$2:O645},D$2:D645=D646),2)-N646)/O646),J646))"),"")</f>
        <v/>
      </c>
      <c r="Q646" s="264" t="str">
        <f>IFERROR(__xludf.DUMMYFUNCTION("IFERROR(IF(F646=""Crypto"",B646,(IF(ISBLANK(D646),"""",IF(D646=""Cash"",B646,IF(GOOGLEFINANCE(D646,""CURRENCY"")=""GBX"",""GBP"",GOOGLEFINANCE(D646,""CURRENCY"")))))),B646)"),"")</f>
        <v/>
      </c>
      <c r="R646" s="263" t="str">
        <f>IFERROR(__xludf.DUMMYFUNCTION("IF(ISBLANK(A646),"""",IFERROR(IF(OR(Q646=""GPB"",Q646=""ZAR""),IF(Q646=Dashboard!$L$1,K646,(K646*GOOGLEFINANCE(""CURRENCY:""&amp;Q646&amp;""""&amp;Dashboard!$L$1&amp;""""))/100),IF(Q646=Dashboard!$L$1,K646,K646*GOOGLEFINANCE(""CURRENCY:""&amp;Q646&amp;""""&amp;Dashboard!$L$1&amp;"""")))"&amp;",K646))"),"")</f>
        <v/>
      </c>
      <c r="S646" s="266" t="str">
        <f>IFERROR(__xludf.DUMMYFUNCTION("IF(ISBLANK(A646),"""",IFERROR(IF(OR(Q646=""GPB"",Q646=""ZAR""),IF(Q646=Dashboard!$L$1,M646,(M646*GOOGLEFINANCE(""CURRENCY:""&amp;Q646&amp;""""&amp;Dashboard!$L$1&amp;""""))/100),IF(Q646=Dashboard!$L$1,M646,M646*GOOGLEFINANCE(""CURRENCY:""&amp;Q646&amp;""""&amp;Dashboard!$L$1&amp;"""")))"&amp;",M646))"),"")</f>
        <v/>
      </c>
      <c r="T646" s="264" t="str">
        <f t="shared" si="4"/>
        <v/>
      </c>
      <c r="U646" s="264" t="str">
        <f t="shared" si="5"/>
        <v/>
      </c>
      <c r="V646" s="264" t="str">
        <f t="shared" si="6"/>
        <v/>
      </c>
      <c r="W646" s="267" t="str">
        <f t="shared" si="8"/>
        <v/>
      </c>
      <c r="X646" s="264" t="str">
        <f t="shared" si="7"/>
        <v/>
      </c>
    </row>
    <row r="647" ht="15.75" customHeight="1">
      <c r="A647" s="258"/>
      <c r="B647" s="258"/>
      <c r="C647" s="269"/>
      <c r="D647" s="258"/>
      <c r="E647" s="258"/>
      <c r="F647" s="258"/>
      <c r="G647" s="258"/>
      <c r="H647" s="271"/>
      <c r="I647" s="258"/>
      <c r="J647" s="272"/>
      <c r="K647" s="260"/>
      <c r="L647" s="261"/>
      <c r="M647" s="262" t="str">
        <f t="shared" si="1"/>
        <v/>
      </c>
      <c r="N647" s="263" t="str">
        <f t="shared" si="2"/>
        <v/>
      </c>
      <c r="O647" s="264" t="str">
        <f t="shared" si="3"/>
        <v/>
      </c>
      <c r="P647" s="265" t="str">
        <f>IFERROR(__xludf.DUMMYFUNCTION("IF(ISBLANK(A647),"""",IFERROR(IF(H647=""Sell"",VLOOKUP(9^99,FILTER({ROW(P$2:P646),P$2:P646},D$2:D646=D647),2),(VLOOKUP(9^99,FILTER({ROW(P$2:P646),P$2:P646},D$2:D646=D647),2)*VLOOKUP(9^99,FILTER({ROW(O$2:O646),O$2:O646},D$2:D646=D647),2)-N647)/O647),J647))"),"")</f>
        <v/>
      </c>
      <c r="Q647" s="264" t="str">
        <f>IFERROR(__xludf.DUMMYFUNCTION("IFERROR(IF(F647=""Crypto"",B647,(IF(ISBLANK(D647),"""",IF(D647=""Cash"",B647,IF(GOOGLEFINANCE(D647,""CURRENCY"")=""GBX"",""GBP"",GOOGLEFINANCE(D647,""CURRENCY"")))))),B647)"),"")</f>
        <v/>
      </c>
      <c r="R647" s="263" t="str">
        <f>IFERROR(__xludf.DUMMYFUNCTION("IF(ISBLANK(A647),"""",IFERROR(IF(OR(Q647=""GPB"",Q647=""ZAR""),IF(Q647=Dashboard!$L$1,K647,(K647*GOOGLEFINANCE(""CURRENCY:""&amp;Q647&amp;""""&amp;Dashboard!$L$1&amp;""""))/100),IF(Q647=Dashboard!$L$1,K647,K647*GOOGLEFINANCE(""CURRENCY:""&amp;Q647&amp;""""&amp;Dashboard!$L$1&amp;"""")))"&amp;",K647))"),"")</f>
        <v/>
      </c>
      <c r="S647" s="266" t="str">
        <f>IFERROR(__xludf.DUMMYFUNCTION("IF(ISBLANK(A647),"""",IFERROR(IF(OR(Q647=""GPB"",Q647=""ZAR""),IF(Q647=Dashboard!$L$1,M647,(M647*GOOGLEFINANCE(""CURRENCY:""&amp;Q647&amp;""""&amp;Dashboard!$L$1&amp;""""))/100),IF(Q647=Dashboard!$L$1,M647,M647*GOOGLEFINANCE(""CURRENCY:""&amp;Q647&amp;""""&amp;Dashboard!$L$1&amp;"""")))"&amp;",M647))"),"")</f>
        <v/>
      </c>
      <c r="T647" s="264" t="str">
        <f t="shared" si="4"/>
        <v/>
      </c>
      <c r="U647" s="264" t="str">
        <f t="shared" si="5"/>
        <v/>
      </c>
      <c r="V647" s="264" t="str">
        <f t="shared" si="6"/>
        <v/>
      </c>
      <c r="W647" s="267" t="str">
        <f t="shared" si="8"/>
        <v/>
      </c>
      <c r="X647" s="264" t="str">
        <f t="shared" si="7"/>
        <v/>
      </c>
    </row>
    <row r="648" ht="15.75" customHeight="1">
      <c r="A648" s="258"/>
      <c r="B648" s="258"/>
      <c r="C648" s="269"/>
      <c r="D648" s="258"/>
      <c r="E648" s="258"/>
      <c r="F648" s="258"/>
      <c r="G648" s="258"/>
      <c r="H648" s="271"/>
      <c r="I648" s="258"/>
      <c r="J648" s="272"/>
      <c r="K648" s="260"/>
      <c r="L648" s="261"/>
      <c r="M648" s="262" t="str">
        <f t="shared" si="1"/>
        <v/>
      </c>
      <c r="N648" s="263" t="str">
        <f t="shared" si="2"/>
        <v/>
      </c>
      <c r="O648" s="264" t="str">
        <f t="shared" si="3"/>
        <v/>
      </c>
      <c r="P648" s="265" t="str">
        <f>IFERROR(__xludf.DUMMYFUNCTION("IF(ISBLANK(A648),"""",IFERROR(IF(H648=""Sell"",VLOOKUP(9^99,FILTER({ROW(P$2:P647),P$2:P647},D$2:D647=D648),2),(VLOOKUP(9^99,FILTER({ROW(P$2:P647),P$2:P647},D$2:D647=D648),2)*VLOOKUP(9^99,FILTER({ROW(O$2:O647),O$2:O647},D$2:D647=D648),2)-N648)/O648),J648))"),"")</f>
        <v/>
      </c>
      <c r="Q648" s="264" t="str">
        <f>IFERROR(__xludf.DUMMYFUNCTION("IFERROR(IF(F648=""Crypto"",B648,(IF(ISBLANK(D648),"""",IF(D648=""Cash"",B648,IF(GOOGLEFINANCE(D648,""CURRENCY"")=""GBX"",""GBP"",GOOGLEFINANCE(D648,""CURRENCY"")))))),B648)"),"")</f>
        <v/>
      </c>
      <c r="R648" s="263" t="str">
        <f>IFERROR(__xludf.DUMMYFUNCTION("IF(ISBLANK(A648),"""",IFERROR(IF(OR(Q648=""GPB"",Q648=""ZAR""),IF(Q648=Dashboard!$L$1,K648,(K648*GOOGLEFINANCE(""CURRENCY:""&amp;Q648&amp;""""&amp;Dashboard!$L$1&amp;""""))/100),IF(Q648=Dashboard!$L$1,K648,K648*GOOGLEFINANCE(""CURRENCY:""&amp;Q648&amp;""""&amp;Dashboard!$L$1&amp;"""")))"&amp;",K648))"),"")</f>
        <v/>
      </c>
      <c r="S648" s="266" t="str">
        <f>IFERROR(__xludf.DUMMYFUNCTION("IF(ISBLANK(A648),"""",IFERROR(IF(OR(Q648=""GPB"",Q648=""ZAR""),IF(Q648=Dashboard!$L$1,M648,(M648*GOOGLEFINANCE(""CURRENCY:""&amp;Q648&amp;""""&amp;Dashboard!$L$1&amp;""""))/100),IF(Q648=Dashboard!$L$1,M648,M648*GOOGLEFINANCE(""CURRENCY:""&amp;Q648&amp;""""&amp;Dashboard!$L$1&amp;"""")))"&amp;",M648))"),"")</f>
        <v/>
      </c>
      <c r="T648" s="264" t="str">
        <f t="shared" si="4"/>
        <v/>
      </c>
      <c r="U648" s="264" t="str">
        <f t="shared" si="5"/>
        <v/>
      </c>
      <c r="V648" s="264" t="str">
        <f t="shared" si="6"/>
        <v/>
      </c>
      <c r="W648" s="267" t="str">
        <f t="shared" si="8"/>
        <v/>
      </c>
      <c r="X648" s="264" t="str">
        <f t="shared" si="7"/>
        <v/>
      </c>
    </row>
    <row r="649" ht="15.75" customHeight="1">
      <c r="A649" s="258"/>
      <c r="B649" s="258"/>
      <c r="C649" s="269"/>
      <c r="D649" s="258"/>
      <c r="E649" s="258"/>
      <c r="F649" s="258"/>
      <c r="G649" s="258"/>
      <c r="H649" s="271"/>
      <c r="I649" s="258"/>
      <c r="J649" s="272"/>
      <c r="K649" s="260"/>
      <c r="L649" s="261"/>
      <c r="M649" s="262" t="str">
        <f t="shared" si="1"/>
        <v/>
      </c>
      <c r="N649" s="263" t="str">
        <f t="shared" si="2"/>
        <v/>
      </c>
      <c r="O649" s="264" t="str">
        <f t="shared" si="3"/>
        <v/>
      </c>
      <c r="P649" s="265" t="str">
        <f>IFERROR(__xludf.DUMMYFUNCTION("IF(ISBLANK(A649),"""",IFERROR(IF(H649=""Sell"",VLOOKUP(9^99,FILTER({ROW(P$2:P648),P$2:P648},D$2:D648=D649),2),(VLOOKUP(9^99,FILTER({ROW(P$2:P648),P$2:P648},D$2:D648=D649),2)*VLOOKUP(9^99,FILTER({ROW(O$2:O648),O$2:O648},D$2:D648=D649),2)-N649)/O649),J649))"),"")</f>
        <v/>
      </c>
      <c r="Q649" s="264" t="str">
        <f>IFERROR(__xludf.DUMMYFUNCTION("IFERROR(IF(F649=""Crypto"",B649,(IF(ISBLANK(D649),"""",IF(D649=""Cash"",B649,IF(GOOGLEFINANCE(D649,""CURRENCY"")=""GBX"",""GBP"",GOOGLEFINANCE(D649,""CURRENCY"")))))),B649)"),"")</f>
        <v/>
      </c>
      <c r="R649" s="263" t="str">
        <f>IFERROR(__xludf.DUMMYFUNCTION("IF(ISBLANK(A649),"""",IFERROR(IF(OR(Q649=""GPB"",Q649=""ZAR""),IF(Q649=Dashboard!$L$1,K649,(K649*GOOGLEFINANCE(""CURRENCY:""&amp;Q649&amp;""""&amp;Dashboard!$L$1&amp;""""))/100),IF(Q649=Dashboard!$L$1,K649,K649*GOOGLEFINANCE(""CURRENCY:""&amp;Q649&amp;""""&amp;Dashboard!$L$1&amp;"""")))"&amp;",K649))"),"")</f>
        <v/>
      </c>
      <c r="S649" s="266" t="str">
        <f>IFERROR(__xludf.DUMMYFUNCTION("IF(ISBLANK(A649),"""",IFERROR(IF(OR(Q649=""GPB"",Q649=""ZAR""),IF(Q649=Dashboard!$L$1,M649,(M649*GOOGLEFINANCE(""CURRENCY:""&amp;Q649&amp;""""&amp;Dashboard!$L$1&amp;""""))/100),IF(Q649=Dashboard!$L$1,M649,M649*GOOGLEFINANCE(""CURRENCY:""&amp;Q649&amp;""""&amp;Dashboard!$L$1&amp;"""")))"&amp;",M649))"),"")</f>
        <v/>
      </c>
      <c r="T649" s="264" t="str">
        <f t="shared" si="4"/>
        <v/>
      </c>
      <c r="U649" s="264" t="str">
        <f t="shared" si="5"/>
        <v/>
      </c>
      <c r="V649" s="264" t="str">
        <f t="shared" si="6"/>
        <v/>
      </c>
      <c r="W649" s="267" t="str">
        <f t="shared" si="8"/>
        <v/>
      </c>
      <c r="X649" s="264" t="str">
        <f t="shared" si="7"/>
        <v/>
      </c>
    </row>
    <row r="650" ht="15.75" customHeight="1">
      <c r="A650" s="258"/>
      <c r="B650" s="258"/>
      <c r="C650" s="269"/>
      <c r="D650" s="258"/>
      <c r="E650" s="258"/>
      <c r="F650" s="258"/>
      <c r="G650" s="258"/>
      <c r="H650" s="271"/>
      <c r="I650" s="258"/>
      <c r="J650" s="272"/>
      <c r="K650" s="260"/>
      <c r="L650" s="261"/>
      <c r="M650" s="262" t="str">
        <f t="shared" si="1"/>
        <v/>
      </c>
      <c r="N650" s="263" t="str">
        <f t="shared" si="2"/>
        <v/>
      </c>
      <c r="O650" s="264" t="str">
        <f t="shared" si="3"/>
        <v/>
      </c>
      <c r="P650" s="265" t="str">
        <f>IFERROR(__xludf.DUMMYFUNCTION("IF(ISBLANK(A650),"""",IFERROR(IF(H650=""Sell"",VLOOKUP(9^99,FILTER({ROW(P$2:P649),P$2:P649},D$2:D649=D650),2),(VLOOKUP(9^99,FILTER({ROW(P$2:P649),P$2:P649},D$2:D649=D650),2)*VLOOKUP(9^99,FILTER({ROW(O$2:O649),O$2:O649},D$2:D649=D650),2)-N650)/O650),J650))"),"")</f>
        <v/>
      </c>
      <c r="Q650" s="264" t="str">
        <f>IFERROR(__xludf.DUMMYFUNCTION("IFERROR(IF(F650=""Crypto"",B650,(IF(ISBLANK(D650),"""",IF(D650=""Cash"",B650,IF(GOOGLEFINANCE(D650,""CURRENCY"")=""GBX"",""GBP"",GOOGLEFINANCE(D650,""CURRENCY"")))))),B650)"),"")</f>
        <v/>
      </c>
      <c r="R650" s="263" t="str">
        <f>IFERROR(__xludf.DUMMYFUNCTION("IF(ISBLANK(A650),"""",IFERROR(IF(OR(Q650=""GPB"",Q650=""ZAR""),IF(Q650=Dashboard!$L$1,K650,(K650*GOOGLEFINANCE(""CURRENCY:""&amp;Q650&amp;""""&amp;Dashboard!$L$1&amp;""""))/100),IF(Q650=Dashboard!$L$1,K650,K650*GOOGLEFINANCE(""CURRENCY:""&amp;Q650&amp;""""&amp;Dashboard!$L$1&amp;"""")))"&amp;",K650))"),"")</f>
        <v/>
      </c>
      <c r="S650" s="266" t="str">
        <f>IFERROR(__xludf.DUMMYFUNCTION("IF(ISBLANK(A650),"""",IFERROR(IF(OR(Q650=""GPB"",Q650=""ZAR""),IF(Q650=Dashboard!$L$1,M650,(M650*GOOGLEFINANCE(""CURRENCY:""&amp;Q650&amp;""""&amp;Dashboard!$L$1&amp;""""))/100),IF(Q650=Dashboard!$L$1,M650,M650*GOOGLEFINANCE(""CURRENCY:""&amp;Q650&amp;""""&amp;Dashboard!$L$1&amp;"""")))"&amp;",M650))"),"")</f>
        <v/>
      </c>
      <c r="T650" s="264" t="str">
        <f t="shared" si="4"/>
        <v/>
      </c>
      <c r="U650" s="264" t="str">
        <f t="shared" si="5"/>
        <v/>
      </c>
      <c r="V650" s="264" t="str">
        <f t="shared" si="6"/>
        <v/>
      </c>
      <c r="W650" s="267" t="str">
        <f t="shared" si="8"/>
        <v/>
      </c>
      <c r="X650" s="264" t="str">
        <f t="shared" si="7"/>
        <v/>
      </c>
    </row>
    <row r="651" ht="15.75" customHeight="1">
      <c r="A651" s="258"/>
      <c r="B651" s="258"/>
      <c r="C651" s="269"/>
      <c r="D651" s="258"/>
      <c r="E651" s="258"/>
      <c r="F651" s="258"/>
      <c r="G651" s="258"/>
      <c r="H651" s="271"/>
      <c r="I651" s="258"/>
      <c r="J651" s="272"/>
      <c r="K651" s="260"/>
      <c r="L651" s="261"/>
      <c r="M651" s="262" t="str">
        <f t="shared" si="1"/>
        <v/>
      </c>
      <c r="N651" s="263" t="str">
        <f t="shared" si="2"/>
        <v/>
      </c>
      <c r="O651" s="264" t="str">
        <f t="shared" si="3"/>
        <v/>
      </c>
      <c r="P651" s="265" t="str">
        <f>IFERROR(__xludf.DUMMYFUNCTION("IF(ISBLANK(A651),"""",IFERROR(IF(H651=""Sell"",VLOOKUP(9^99,FILTER({ROW(P$2:P650),P$2:P650},D$2:D650=D651),2),(VLOOKUP(9^99,FILTER({ROW(P$2:P650),P$2:P650},D$2:D650=D651),2)*VLOOKUP(9^99,FILTER({ROW(O$2:O650),O$2:O650},D$2:D650=D651),2)-N651)/O651),J651))"),"")</f>
        <v/>
      </c>
      <c r="Q651" s="264" t="str">
        <f>IFERROR(__xludf.DUMMYFUNCTION("IFERROR(IF(F651=""Crypto"",B651,(IF(ISBLANK(D651),"""",IF(D651=""Cash"",B651,IF(GOOGLEFINANCE(D651,""CURRENCY"")=""GBX"",""GBP"",GOOGLEFINANCE(D651,""CURRENCY"")))))),B651)"),"")</f>
        <v/>
      </c>
      <c r="R651" s="263" t="str">
        <f>IFERROR(__xludf.DUMMYFUNCTION("IF(ISBLANK(A651),"""",IFERROR(IF(OR(Q651=""GPB"",Q651=""ZAR""),IF(Q651=Dashboard!$L$1,K651,(K651*GOOGLEFINANCE(""CURRENCY:""&amp;Q651&amp;""""&amp;Dashboard!$L$1&amp;""""))/100),IF(Q651=Dashboard!$L$1,K651,K651*GOOGLEFINANCE(""CURRENCY:""&amp;Q651&amp;""""&amp;Dashboard!$L$1&amp;"""")))"&amp;",K651))"),"")</f>
        <v/>
      </c>
      <c r="S651" s="266" t="str">
        <f>IFERROR(__xludf.DUMMYFUNCTION("IF(ISBLANK(A651),"""",IFERROR(IF(OR(Q651=""GPB"",Q651=""ZAR""),IF(Q651=Dashboard!$L$1,M651,(M651*GOOGLEFINANCE(""CURRENCY:""&amp;Q651&amp;""""&amp;Dashboard!$L$1&amp;""""))/100),IF(Q651=Dashboard!$L$1,M651,M651*GOOGLEFINANCE(""CURRENCY:""&amp;Q651&amp;""""&amp;Dashboard!$L$1&amp;"""")))"&amp;",M651))"),"")</f>
        <v/>
      </c>
      <c r="T651" s="264" t="str">
        <f t="shared" si="4"/>
        <v/>
      </c>
      <c r="U651" s="264" t="str">
        <f t="shared" si="5"/>
        <v/>
      </c>
      <c r="V651" s="264" t="str">
        <f t="shared" si="6"/>
        <v/>
      </c>
      <c r="W651" s="267" t="str">
        <f t="shared" si="8"/>
        <v/>
      </c>
      <c r="X651" s="264" t="str">
        <f t="shared" si="7"/>
        <v/>
      </c>
    </row>
    <row r="652" ht="15.75" customHeight="1">
      <c r="A652" s="258"/>
      <c r="B652" s="258"/>
      <c r="C652" s="269"/>
      <c r="D652" s="258"/>
      <c r="E652" s="258"/>
      <c r="F652" s="258"/>
      <c r="G652" s="258"/>
      <c r="H652" s="271"/>
      <c r="I652" s="258"/>
      <c r="J652" s="272"/>
      <c r="K652" s="260"/>
      <c r="L652" s="261"/>
      <c r="M652" s="262" t="str">
        <f t="shared" si="1"/>
        <v/>
      </c>
      <c r="N652" s="263" t="str">
        <f t="shared" si="2"/>
        <v/>
      </c>
      <c r="O652" s="264" t="str">
        <f t="shared" si="3"/>
        <v/>
      </c>
      <c r="P652" s="265" t="str">
        <f>IFERROR(__xludf.DUMMYFUNCTION("IF(ISBLANK(A652),"""",IFERROR(IF(H652=""Sell"",VLOOKUP(9^99,FILTER({ROW(P$2:P651),P$2:P651},D$2:D651=D652),2),(VLOOKUP(9^99,FILTER({ROW(P$2:P651),P$2:P651},D$2:D651=D652),2)*VLOOKUP(9^99,FILTER({ROW(O$2:O651),O$2:O651},D$2:D651=D652),2)-N652)/O652),J652))"),"")</f>
        <v/>
      </c>
      <c r="Q652" s="264" t="str">
        <f>IFERROR(__xludf.DUMMYFUNCTION("IFERROR(IF(F652=""Crypto"",B652,(IF(ISBLANK(D652),"""",IF(D652=""Cash"",B652,IF(GOOGLEFINANCE(D652,""CURRENCY"")=""GBX"",""GBP"",GOOGLEFINANCE(D652,""CURRENCY"")))))),B652)"),"")</f>
        <v/>
      </c>
      <c r="R652" s="263" t="str">
        <f>IFERROR(__xludf.DUMMYFUNCTION("IF(ISBLANK(A652),"""",IFERROR(IF(OR(Q652=""GPB"",Q652=""ZAR""),IF(Q652=Dashboard!$L$1,K652,(K652*GOOGLEFINANCE(""CURRENCY:""&amp;Q652&amp;""""&amp;Dashboard!$L$1&amp;""""))/100),IF(Q652=Dashboard!$L$1,K652,K652*GOOGLEFINANCE(""CURRENCY:""&amp;Q652&amp;""""&amp;Dashboard!$L$1&amp;"""")))"&amp;",K652))"),"")</f>
        <v/>
      </c>
      <c r="S652" s="266" t="str">
        <f>IFERROR(__xludf.DUMMYFUNCTION("IF(ISBLANK(A652),"""",IFERROR(IF(OR(Q652=""GPB"",Q652=""ZAR""),IF(Q652=Dashboard!$L$1,M652,(M652*GOOGLEFINANCE(""CURRENCY:""&amp;Q652&amp;""""&amp;Dashboard!$L$1&amp;""""))/100),IF(Q652=Dashboard!$L$1,M652,M652*GOOGLEFINANCE(""CURRENCY:""&amp;Q652&amp;""""&amp;Dashboard!$L$1&amp;"""")))"&amp;",M652))"),"")</f>
        <v/>
      </c>
      <c r="T652" s="264" t="str">
        <f t="shared" si="4"/>
        <v/>
      </c>
      <c r="U652" s="264" t="str">
        <f t="shared" si="5"/>
        <v/>
      </c>
      <c r="V652" s="264" t="str">
        <f t="shared" si="6"/>
        <v/>
      </c>
      <c r="W652" s="267" t="str">
        <f t="shared" si="8"/>
        <v/>
      </c>
      <c r="X652" s="264" t="str">
        <f t="shared" si="7"/>
        <v/>
      </c>
    </row>
    <row r="653" ht="15.75" customHeight="1">
      <c r="A653" s="258"/>
      <c r="B653" s="258"/>
      <c r="C653" s="269"/>
      <c r="D653" s="258"/>
      <c r="E653" s="258"/>
      <c r="F653" s="258"/>
      <c r="G653" s="258"/>
      <c r="H653" s="271"/>
      <c r="I653" s="258"/>
      <c r="J653" s="272"/>
      <c r="K653" s="260"/>
      <c r="L653" s="261"/>
      <c r="M653" s="262" t="str">
        <f t="shared" si="1"/>
        <v/>
      </c>
      <c r="N653" s="263" t="str">
        <f t="shared" si="2"/>
        <v/>
      </c>
      <c r="O653" s="264" t="str">
        <f t="shared" si="3"/>
        <v/>
      </c>
      <c r="P653" s="265" t="str">
        <f>IFERROR(__xludf.DUMMYFUNCTION("IF(ISBLANK(A653),"""",IFERROR(IF(H653=""Sell"",VLOOKUP(9^99,FILTER({ROW(P$2:P652),P$2:P652},D$2:D652=D653),2),(VLOOKUP(9^99,FILTER({ROW(P$2:P652),P$2:P652},D$2:D652=D653),2)*VLOOKUP(9^99,FILTER({ROW(O$2:O652),O$2:O652},D$2:D652=D653),2)-N653)/O653),J653))"),"")</f>
        <v/>
      </c>
      <c r="Q653" s="264" t="str">
        <f>IFERROR(__xludf.DUMMYFUNCTION("IFERROR(IF(F653=""Crypto"",B653,(IF(ISBLANK(D653),"""",IF(D653=""Cash"",B653,IF(GOOGLEFINANCE(D653,""CURRENCY"")=""GBX"",""GBP"",GOOGLEFINANCE(D653,""CURRENCY"")))))),B653)"),"")</f>
        <v/>
      </c>
      <c r="R653" s="263" t="str">
        <f>IFERROR(__xludf.DUMMYFUNCTION("IF(ISBLANK(A653),"""",IFERROR(IF(OR(Q653=""GPB"",Q653=""ZAR""),IF(Q653=Dashboard!$L$1,K653,(K653*GOOGLEFINANCE(""CURRENCY:""&amp;Q653&amp;""""&amp;Dashboard!$L$1&amp;""""))/100),IF(Q653=Dashboard!$L$1,K653,K653*GOOGLEFINANCE(""CURRENCY:""&amp;Q653&amp;""""&amp;Dashboard!$L$1&amp;"""")))"&amp;",K653))"),"")</f>
        <v/>
      </c>
      <c r="S653" s="266" t="str">
        <f>IFERROR(__xludf.DUMMYFUNCTION("IF(ISBLANK(A653),"""",IFERROR(IF(OR(Q653=""GPB"",Q653=""ZAR""),IF(Q653=Dashboard!$L$1,M653,(M653*GOOGLEFINANCE(""CURRENCY:""&amp;Q653&amp;""""&amp;Dashboard!$L$1&amp;""""))/100),IF(Q653=Dashboard!$L$1,M653,M653*GOOGLEFINANCE(""CURRENCY:""&amp;Q653&amp;""""&amp;Dashboard!$L$1&amp;"""")))"&amp;",M653))"),"")</f>
        <v/>
      </c>
      <c r="T653" s="264" t="str">
        <f t="shared" si="4"/>
        <v/>
      </c>
      <c r="U653" s="264" t="str">
        <f t="shared" si="5"/>
        <v/>
      </c>
      <c r="V653" s="264" t="str">
        <f t="shared" si="6"/>
        <v/>
      </c>
      <c r="W653" s="267" t="str">
        <f t="shared" si="8"/>
        <v/>
      </c>
      <c r="X653" s="264" t="str">
        <f t="shared" si="7"/>
        <v/>
      </c>
    </row>
    <row r="654" ht="15.75" customHeight="1">
      <c r="A654" s="258"/>
      <c r="B654" s="258"/>
      <c r="C654" s="269"/>
      <c r="D654" s="258"/>
      <c r="E654" s="258"/>
      <c r="F654" s="258"/>
      <c r="G654" s="258"/>
      <c r="H654" s="271"/>
      <c r="I654" s="258"/>
      <c r="J654" s="272"/>
      <c r="K654" s="260"/>
      <c r="L654" s="261"/>
      <c r="M654" s="262" t="str">
        <f t="shared" si="1"/>
        <v/>
      </c>
      <c r="N654" s="263" t="str">
        <f t="shared" si="2"/>
        <v/>
      </c>
      <c r="O654" s="264" t="str">
        <f t="shared" si="3"/>
        <v/>
      </c>
      <c r="P654" s="265" t="str">
        <f>IFERROR(__xludf.DUMMYFUNCTION("IF(ISBLANK(A654),"""",IFERROR(IF(H654=""Sell"",VLOOKUP(9^99,FILTER({ROW(P$2:P653),P$2:P653},D$2:D653=D654),2),(VLOOKUP(9^99,FILTER({ROW(P$2:P653),P$2:P653},D$2:D653=D654),2)*VLOOKUP(9^99,FILTER({ROW(O$2:O653),O$2:O653},D$2:D653=D654),2)-N654)/O654),J654))"),"")</f>
        <v/>
      </c>
      <c r="Q654" s="264" t="str">
        <f>IFERROR(__xludf.DUMMYFUNCTION("IFERROR(IF(F654=""Crypto"",B654,(IF(ISBLANK(D654),"""",IF(D654=""Cash"",B654,IF(GOOGLEFINANCE(D654,""CURRENCY"")=""GBX"",""GBP"",GOOGLEFINANCE(D654,""CURRENCY"")))))),B654)"),"")</f>
        <v/>
      </c>
      <c r="R654" s="263" t="str">
        <f>IFERROR(__xludf.DUMMYFUNCTION("IF(ISBLANK(A654),"""",IFERROR(IF(OR(Q654=""GPB"",Q654=""ZAR""),IF(Q654=Dashboard!$L$1,K654,(K654*GOOGLEFINANCE(""CURRENCY:""&amp;Q654&amp;""""&amp;Dashboard!$L$1&amp;""""))/100),IF(Q654=Dashboard!$L$1,K654,K654*GOOGLEFINANCE(""CURRENCY:""&amp;Q654&amp;""""&amp;Dashboard!$L$1&amp;"""")))"&amp;",K654))"),"")</f>
        <v/>
      </c>
      <c r="S654" s="266" t="str">
        <f>IFERROR(__xludf.DUMMYFUNCTION("IF(ISBLANK(A654),"""",IFERROR(IF(OR(Q654=""GPB"",Q654=""ZAR""),IF(Q654=Dashboard!$L$1,M654,(M654*GOOGLEFINANCE(""CURRENCY:""&amp;Q654&amp;""""&amp;Dashboard!$L$1&amp;""""))/100),IF(Q654=Dashboard!$L$1,M654,M654*GOOGLEFINANCE(""CURRENCY:""&amp;Q654&amp;""""&amp;Dashboard!$L$1&amp;"""")))"&amp;",M654))"),"")</f>
        <v/>
      </c>
      <c r="T654" s="264" t="str">
        <f t="shared" si="4"/>
        <v/>
      </c>
      <c r="U654" s="264" t="str">
        <f t="shared" si="5"/>
        <v/>
      </c>
      <c r="V654" s="264" t="str">
        <f t="shared" si="6"/>
        <v/>
      </c>
      <c r="W654" s="267" t="str">
        <f t="shared" si="8"/>
        <v/>
      </c>
      <c r="X654" s="264" t="str">
        <f t="shared" si="7"/>
        <v/>
      </c>
    </row>
    <row r="655" ht="15.75" customHeight="1">
      <c r="A655" s="258"/>
      <c r="B655" s="258"/>
      <c r="C655" s="269"/>
      <c r="D655" s="258"/>
      <c r="E655" s="258"/>
      <c r="F655" s="258"/>
      <c r="G655" s="258"/>
      <c r="H655" s="271"/>
      <c r="I655" s="258"/>
      <c r="J655" s="272"/>
      <c r="K655" s="260"/>
      <c r="L655" s="261"/>
      <c r="M655" s="262" t="str">
        <f t="shared" si="1"/>
        <v/>
      </c>
      <c r="N655" s="263" t="str">
        <f t="shared" si="2"/>
        <v/>
      </c>
      <c r="O655" s="264" t="str">
        <f t="shared" si="3"/>
        <v/>
      </c>
      <c r="P655" s="265" t="str">
        <f>IFERROR(__xludf.DUMMYFUNCTION("IF(ISBLANK(A655),"""",IFERROR(IF(H655=""Sell"",VLOOKUP(9^99,FILTER({ROW(P$2:P654),P$2:P654},D$2:D654=D655),2),(VLOOKUP(9^99,FILTER({ROW(P$2:P654),P$2:P654},D$2:D654=D655),2)*VLOOKUP(9^99,FILTER({ROW(O$2:O654),O$2:O654},D$2:D654=D655),2)-N655)/O655),J655))"),"")</f>
        <v/>
      </c>
      <c r="Q655" s="264" t="str">
        <f>IFERROR(__xludf.DUMMYFUNCTION("IFERROR(IF(F655=""Crypto"",B655,(IF(ISBLANK(D655),"""",IF(D655=""Cash"",B655,IF(GOOGLEFINANCE(D655,""CURRENCY"")=""GBX"",""GBP"",GOOGLEFINANCE(D655,""CURRENCY"")))))),B655)"),"")</f>
        <v/>
      </c>
      <c r="R655" s="263" t="str">
        <f>IFERROR(__xludf.DUMMYFUNCTION("IF(ISBLANK(A655),"""",IFERROR(IF(OR(Q655=""GPB"",Q655=""ZAR""),IF(Q655=Dashboard!$L$1,K655,(K655*GOOGLEFINANCE(""CURRENCY:""&amp;Q655&amp;""""&amp;Dashboard!$L$1&amp;""""))/100),IF(Q655=Dashboard!$L$1,K655,K655*GOOGLEFINANCE(""CURRENCY:""&amp;Q655&amp;""""&amp;Dashboard!$L$1&amp;"""")))"&amp;",K655))"),"")</f>
        <v/>
      </c>
      <c r="S655" s="266" t="str">
        <f>IFERROR(__xludf.DUMMYFUNCTION("IF(ISBLANK(A655),"""",IFERROR(IF(OR(Q655=""GPB"",Q655=""ZAR""),IF(Q655=Dashboard!$L$1,M655,(M655*GOOGLEFINANCE(""CURRENCY:""&amp;Q655&amp;""""&amp;Dashboard!$L$1&amp;""""))/100),IF(Q655=Dashboard!$L$1,M655,M655*GOOGLEFINANCE(""CURRENCY:""&amp;Q655&amp;""""&amp;Dashboard!$L$1&amp;"""")))"&amp;",M655))"),"")</f>
        <v/>
      </c>
      <c r="T655" s="264" t="str">
        <f t="shared" si="4"/>
        <v/>
      </c>
      <c r="U655" s="264" t="str">
        <f t="shared" si="5"/>
        <v/>
      </c>
      <c r="V655" s="264" t="str">
        <f t="shared" si="6"/>
        <v/>
      </c>
      <c r="W655" s="267" t="str">
        <f t="shared" si="8"/>
        <v/>
      </c>
      <c r="X655" s="264" t="str">
        <f t="shared" si="7"/>
        <v/>
      </c>
    </row>
    <row r="656" ht="15.75" customHeight="1">
      <c r="A656" s="258"/>
      <c r="B656" s="258"/>
      <c r="C656" s="269"/>
      <c r="D656" s="258"/>
      <c r="E656" s="258"/>
      <c r="F656" s="258"/>
      <c r="G656" s="258"/>
      <c r="H656" s="271"/>
      <c r="I656" s="258"/>
      <c r="J656" s="272"/>
      <c r="K656" s="260"/>
      <c r="L656" s="261"/>
      <c r="M656" s="262" t="str">
        <f t="shared" si="1"/>
        <v/>
      </c>
      <c r="N656" s="263" t="str">
        <f t="shared" si="2"/>
        <v/>
      </c>
      <c r="O656" s="264" t="str">
        <f t="shared" si="3"/>
        <v/>
      </c>
      <c r="P656" s="265" t="str">
        <f>IFERROR(__xludf.DUMMYFUNCTION("IF(ISBLANK(A656),"""",IFERROR(IF(H656=""Sell"",VLOOKUP(9^99,FILTER({ROW(P$2:P655),P$2:P655},D$2:D655=D656),2),(VLOOKUP(9^99,FILTER({ROW(P$2:P655),P$2:P655},D$2:D655=D656),2)*VLOOKUP(9^99,FILTER({ROW(O$2:O655),O$2:O655},D$2:D655=D656),2)-N656)/O656),J656))"),"")</f>
        <v/>
      </c>
      <c r="Q656" s="264" t="str">
        <f>IFERROR(__xludf.DUMMYFUNCTION("IFERROR(IF(F656=""Crypto"",B656,(IF(ISBLANK(D656),"""",IF(D656=""Cash"",B656,IF(GOOGLEFINANCE(D656,""CURRENCY"")=""GBX"",""GBP"",GOOGLEFINANCE(D656,""CURRENCY"")))))),B656)"),"")</f>
        <v/>
      </c>
      <c r="R656" s="263" t="str">
        <f>IFERROR(__xludf.DUMMYFUNCTION("IF(ISBLANK(A656),"""",IFERROR(IF(OR(Q656=""GPB"",Q656=""ZAR""),IF(Q656=Dashboard!$L$1,K656,(K656*GOOGLEFINANCE(""CURRENCY:""&amp;Q656&amp;""""&amp;Dashboard!$L$1&amp;""""))/100),IF(Q656=Dashboard!$L$1,K656,K656*GOOGLEFINANCE(""CURRENCY:""&amp;Q656&amp;""""&amp;Dashboard!$L$1&amp;"""")))"&amp;",K656))"),"")</f>
        <v/>
      </c>
      <c r="S656" s="266" t="str">
        <f>IFERROR(__xludf.DUMMYFUNCTION("IF(ISBLANK(A656),"""",IFERROR(IF(OR(Q656=""GPB"",Q656=""ZAR""),IF(Q656=Dashboard!$L$1,M656,(M656*GOOGLEFINANCE(""CURRENCY:""&amp;Q656&amp;""""&amp;Dashboard!$L$1&amp;""""))/100),IF(Q656=Dashboard!$L$1,M656,M656*GOOGLEFINANCE(""CURRENCY:""&amp;Q656&amp;""""&amp;Dashboard!$L$1&amp;"""")))"&amp;",M656))"),"")</f>
        <v/>
      </c>
      <c r="T656" s="264" t="str">
        <f t="shared" si="4"/>
        <v/>
      </c>
      <c r="U656" s="264" t="str">
        <f t="shared" si="5"/>
        <v/>
      </c>
      <c r="V656" s="264" t="str">
        <f t="shared" si="6"/>
        <v/>
      </c>
      <c r="W656" s="267" t="str">
        <f t="shared" si="8"/>
        <v/>
      </c>
      <c r="X656" s="264" t="str">
        <f t="shared" si="7"/>
        <v/>
      </c>
    </row>
    <row r="657" ht="15.75" customHeight="1">
      <c r="A657" s="258"/>
      <c r="B657" s="258"/>
      <c r="C657" s="269"/>
      <c r="D657" s="258"/>
      <c r="E657" s="258"/>
      <c r="F657" s="258"/>
      <c r="G657" s="258"/>
      <c r="H657" s="271"/>
      <c r="I657" s="258"/>
      <c r="J657" s="272"/>
      <c r="K657" s="260"/>
      <c r="L657" s="261"/>
      <c r="M657" s="262" t="str">
        <f t="shared" si="1"/>
        <v/>
      </c>
      <c r="N657" s="263" t="str">
        <f t="shared" si="2"/>
        <v/>
      </c>
      <c r="O657" s="264" t="str">
        <f t="shared" si="3"/>
        <v/>
      </c>
      <c r="P657" s="265" t="str">
        <f>IFERROR(__xludf.DUMMYFUNCTION("IF(ISBLANK(A657),"""",IFERROR(IF(H657=""Sell"",VLOOKUP(9^99,FILTER({ROW(P$2:P656),P$2:P656},D$2:D656=D657),2),(VLOOKUP(9^99,FILTER({ROW(P$2:P656),P$2:P656},D$2:D656=D657),2)*VLOOKUP(9^99,FILTER({ROW(O$2:O656),O$2:O656},D$2:D656=D657),2)-N657)/O657),J657))"),"")</f>
        <v/>
      </c>
      <c r="Q657" s="264" t="str">
        <f>IFERROR(__xludf.DUMMYFUNCTION("IFERROR(IF(F657=""Crypto"",B657,(IF(ISBLANK(D657),"""",IF(D657=""Cash"",B657,IF(GOOGLEFINANCE(D657,""CURRENCY"")=""GBX"",""GBP"",GOOGLEFINANCE(D657,""CURRENCY"")))))),B657)"),"")</f>
        <v/>
      </c>
      <c r="R657" s="263" t="str">
        <f>IFERROR(__xludf.DUMMYFUNCTION("IF(ISBLANK(A657),"""",IFERROR(IF(OR(Q657=""GPB"",Q657=""ZAR""),IF(Q657=Dashboard!$L$1,K657,(K657*GOOGLEFINANCE(""CURRENCY:""&amp;Q657&amp;""""&amp;Dashboard!$L$1&amp;""""))/100),IF(Q657=Dashboard!$L$1,K657,K657*GOOGLEFINANCE(""CURRENCY:""&amp;Q657&amp;""""&amp;Dashboard!$L$1&amp;"""")))"&amp;",K657))"),"")</f>
        <v/>
      </c>
      <c r="S657" s="266" t="str">
        <f>IFERROR(__xludf.DUMMYFUNCTION("IF(ISBLANK(A657),"""",IFERROR(IF(OR(Q657=""GPB"",Q657=""ZAR""),IF(Q657=Dashboard!$L$1,M657,(M657*GOOGLEFINANCE(""CURRENCY:""&amp;Q657&amp;""""&amp;Dashboard!$L$1&amp;""""))/100),IF(Q657=Dashboard!$L$1,M657,M657*GOOGLEFINANCE(""CURRENCY:""&amp;Q657&amp;""""&amp;Dashboard!$L$1&amp;"""")))"&amp;",M657))"),"")</f>
        <v/>
      </c>
      <c r="T657" s="264" t="str">
        <f t="shared" si="4"/>
        <v/>
      </c>
      <c r="U657" s="264" t="str">
        <f t="shared" si="5"/>
        <v/>
      </c>
      <c r="V657" s="264" t="str">
        <f t="shared" si="6"/>
        <v/>
      </c>
      <c r="W657" s="267" t="str">
        <f t="shared" si="8"/>
        <v/>
      </c>
      <c r="X657" s="264" t="str">
        <f t="shared" si="7"/>
        <v/>
      </c>
    </row>
    <row r="658" ht="15.75" customHeight="1">
      <c r="A658" s="258"/>
      <c r="B658" s="258"/>
      <c r="C658" s="269"/>
      <c r="D658" s="258"/>
      <c r="E658" s="258"/>
      <c r="F658" s="258"/>
      <c r="G658" s="258"/>
      <c r="H658" s="271"/>
      <c r="I658" s="258"/>
      <c r="J658" s="272"/>
      <c r="K658" s="260"/>
      <c r="L658" s="261"/>
      <c r="M658" s="262" t="str">
        <f t="shared" si="1"/>
        <v/>
      </c>
      <c r="N658" s="263" t="str">
        <f t="shared" si="2"/>
        <v/>
      </c>
      <c r="O658" s="264" t="str">
        <f t="shared" si="3"/>
        <v/>
      </c>
      <c r="P658" s="265" t="str">
        <f>IFERROR(__xludf.DUMMYFUNCTION("IF(ISBLANK(A658),"""",IFERROR(IF(H658=""Sell"",VLOOKUP(9^99,FILTER({ROW(P$2:P657),P$2:P657},D$2:D657=D658),2),(VLOOKUP(9^99,FILTER({ROW(P$2:P657),P$2:P657},D$2:D657=D658),2)*VLOOKUP(9^99,FILTER({ROW(O$2:O657),O$2:O657},D$2:D657=D658),2)-N658)/O658),J658))"),"")</f>
        <v/>
      </c>
      <c r="Q658" s="264" t="str">
        <f>IFERROR(__xludf.DUMMYFUNCTION("IFERROR(IF(F658=""Crypto"",B658,(IF(ISBLANK(D658),"""",IF(D658=""Cash"",B658,IF(GOOGLEFINANCE(D658,""CURRENCY"")=""GBX"",""GBP"",GOOGLEFINANCE(D658,""CURRENCY"")))))),B658)"),"")</f>
        <v/>
      </c>
      <c r="R658" s="263" t="str">
        <f>IFERROR(__xludf.DUMMYFUNCTION("IF(ISBLANK(A658),"""",IFERROR(IF(OR(Q658=""GPB"",Q658=""ZAR""),IF(Q658=Dashboard!$L$1,K658,(K658*GOOGLEFINANCE(""CURRENCY:""&amp;Q658&amp;""""&amp;Dashboard!$L$1&amp;""""))/100),IF(Q658=Dashboard!$L$1,K658,K658*GOOGLEFINANCE(""CURRENCY:""&amp;Q658&amp;""""&amp;Dashboard!$L$1&amp;"""")))"&amp;",K658))"),"")</f>
        <v/>
      </c>
      <c r="S658" s="266" t="str">
        <f>IFERROR(__xludf.DUMMYFUNCTION("IF(ISBLANK(A658),"""",IFERROR(IF(OR(Q658=""GPB"",Q658=""ZAR""),IF(Q658=Dashboard!$L$1,M658,(M658*GOOGLEFINANCE(""CURRENCY:""&amp;Q658&amp;""""&amp;Dashboard!$L$1&amp;""""))/100),IF(Q658=Dashboard!$L$1,M658,M658*GOOGLEFINANCE(""CURRENCY:""&amp;Q658&amp;""""&amp;Dashboard!$L$1&amp;"""")))"&amp;",M658))"),"")</f>
        <v/>
      </c>
      <c r="T658" s="264" t="str">
        <f t="shared" si="4"/>
        <v/>
      </c>
      <c r="U658" s="264" t="str">
        <f t="shared" si="5"/>
        <v/>
      </c>
      <c r="V658" s="264" t="str">
        <f t="shared" si="6"/>
        <v/>
      </c>
      <c r="W658" s="267" t="str">
        <f t="shared" si="8"/>
        <v/>
      </c>
      <c r="X658" s="264" t="str">
        <f t="shared" si="7"/>
        <v/>
      </c>
    </row>
    <row r="659" ht="15.75" customHeight="1">
      <c r="A659" s="258"/>
      <c r="B659" s="258"/>
      <c r="C659" s="269"/>
      <c r="D659" s="258"/>
      <c r="E659" s="258"/>
      <c r="F659" s="258"/>
      <c r="G659" s="258"/>
      <c r="H659" s="271"/>
      <c r="I659" s="258"/>
      <c r="J659" s="272"/>
      <c r="K659" s="260"/>
      <c r="L659" s="261"/>
      <c r="M659" s="262" t="str">
        <f t="shared" si="1"/>
        <v/>
      </c>
      <c r="N659" s="263" t="str">
        <f t="shared" si="2"/>
        <v/>
      </c>
      <c r="O659" s="264" t="str">
        <f t="shared" si="3"/>
        <v/>
      </c>
      <c r="P659" s="265" t="str">
        <f>IFERROR(__xludf.DUMMYFUNCTION("IF(ISBLANK(A659),"""",IFERROR(IF(H659=""Sell"",VLOOKUP(9^99,FILTER({ROW(P$2:P658),P$2:P658},D$2:D658=D659),2),(VLOOKUP(9^99,FILTER({ROW(P$2:P658),P$2:P658},D$2:D658=D659),2)*VLOOKUP(9^99,FILTER({ROW(O$2:O658),O$2:O658},D$2:D658=D659),2)-N659)/O659),J659))"),"")</f>
        <v/>
      </c>
      <c r="Q659" s="264" t="str">
        <f>IFERROR(__xludf.DUMMYFUNCTION("IFERROR(IF(F659=""Crypto"",B659,(IF(ISBLANK(D659),"""",IF(D659=""Cash"",B659,IF(GOOGLEFINANCE(D659,""CURRENCY"")=""GBX"",""GBP"",GOOGLEFINANCE(D659,""CURRENCY"")))))),B659)"),"")</f>
        <v/>
      </c>
      <c r="R659" s="263" t="str">
        <f>IFERROR(__xludf.DUMMYFUNCTION("IF(ISBLANK(A659),"""",IFERROR(IF(OR(Q659=""GPB"",Q659=""ZAR""),IF(Q659=Dashboard!$L$1,K659,(K659*GOOGLEFINANCE(""CURRENCY:""&amp;Q659&amp;""""&amp;Dashboard!$L$1&amp;""""))/100),IF(Q659=Dashboard!$L$1,K659,K659*GOOGLEFINANCE(""CURRENCY:""&amp;Q659&amp;""""&amp;Dashboard!$L$1&amp;"""")))"&amp;",K659))"),"")</f>
        <v/>
      </c>
      <c r="S659" s="266" t="str">
        <f>IFERROR(__xludf.DUMMYFUNCTION("IF(ISBLANK(A659),"""",IFERROR(IF(OR(Q659=""GPB"",Q659=""ZAR""),IF(Q659=Dashboard!$L$1,M659,(M659*GOOGLEFINANCE(""CURRENCY:""&amp;Q659&amp;""""&amp;Dashboard!$L$1&amp;""""))/100),IF(Q659=Dashboard!$L$1,M659,M659*GOOGLEFINANCE(""CURRENCY:""&amp;Q659&amp;""""&amp;Dashboard!$L$1&amp;"""")))"&amp;",M659))"),"")</f>
        <v/>
      </c>
      <c r="T659" s="264" t="str">
        <f t="shared" si="4"/>
        <v/>
      </c>
      <c r="U659" s="264" t="str">
        <f t="shared" si="5"/>
        <v/>
      </c>
      <c r="V659" s="264" t="str">
        <f t="shared" si="6"/>
        <v/>
      </c>
      <c r="W659" s="267" t="str">
        <f t="shared" si="8"/>
        <v/>
      </c>
      <c r="X659" s="264" t="str">
        <f t="shared" si="7"/>
        <v/>
      </c>
    </row>
    <row r="660" ht="15.75" customHeight="1">
      <c r="A660" s="258"/>
      <c r="B660" s="258"/>
      <c r="C660" s="269"/>
      <c r="D660" s="258"/>
      <c r="E660" s="258"/>
      <c r="F660" s="258"/>
      <c r="G660" s="258"/>
      <c r="H660" s="271"/>
      <c r="I660" s="258"/>
      <c r="J660" s="272"/>
      <c r="K660" s="260"/>
      <c r="L660" s="261"/>
      <c r="M660" s="262" t="str">
        <f t="shared" si="1"/>
        <v/>
      </c>
      <c r="N660" s="263" t="str">
        <f t="shared" si="2"/>
        <v/>
      </c>
      <c r="O660" s="264" t="str">
        <f t="shared" si="3"/>
        <v/>
      </c>
      <c r="P660" s="265" t="str">
        <f>IFERROR(__xludf.DUMMYFUNCTION("IF(ISBLANK(A660),"""",IFERROR(IF(H660=""Sell"",VLOOKUP(9^99,FILTER({ROW(P$2:P659),P$2:P659},D$2:D659=D660),2),(VLOOKUP(9^99,FILTER({ROW(P$2:P659),P$2:P659},D$2:D659=D660),2)*VLOOKUP(9^99,FILTER({ROW(O$2:O659),O$2:O659},D$2:D659=D660),2)-N660)/O660),J660))"),"")</f>
        <v/>
      </c>
      <c r="Q660" s="264" t="str">
        <f>IFERROR(__xludf.DUMMYFUNCTION("IFERROR(IF(F660=""Crypto"",B660,(IF(ISBLANK(D660),"""",IF(D660=""Cash"",B660,IF(GOOGLEFINANCE(D660,""CURRENCY"")=""GBX"",""GBP"",GOOGLEFINANCE(D660,""CURRENCY"")))))),B660)"),"")</f>
        <v/>
      </c>
      <c r="R660" s="263" t="str">
        <f>IFERROR(__xludf.DUMMYFUNCTION("IF(ISBLANK(A660),"""",IFERROR(IF(OR(Q660=""GPB"",Q660=""ZAR""),IF(Q660=Dashboard!$L$1,K660,(K660*GOOGLEFINANCE(""CURRENCY:""&amp;Q660&amp;""""&amp;Dashboard!$L$1&amp;""""))/100),IF(Q660=Dashboard!$L$1,K660,K660*GOOGLEFINANCE(""CURRENCY:""&amp;Q660&amp;""""&amp;Dashboard!$L$1&amp;"""")))"&amp;",K660))"),"")</f>
        <v/>
      </c>
      <c r="S660" s="266" t="str">
        <f>IFERROR(__xludf.DUMMYFUNCTION("IF(ISBLANK(A660),"""",IFERROR(IF(OR(Q660=""GPB"",Q660=""ZAR""),IF(Q660=Dashboard!$L$1,M660,(M660*GOOGLEFINANCE(""CURRENCY:""&amp;Q660&amp;""""&amp;Dashboard!$L$1&amp;""""))/100),IF(Q660=Dashboard!$L$1,M660,M660*GOOGLEFINANCE(""CURRENCY:""&amp;Q660&amp;""""&amp;Dashboard!$L$1&amp;"""")))"&amp;",M660))"),"")</f>
        <v/>
      </c>
      <c r="T660" s="264" t="str">
        <f t="shared" si="4"/>
        <v/>
      </c>
      <c r="U660" s="264" t="str">
        <f t="shared" si="5"/>
        <v/>
      </c>
      <c r="V660" s="264" t="str">
        <f t="shared" si="6"/>
        <v/>
      </c>
      <c r="W660" s="267" t="str">
        <f t="shared" si="8"/>
        <v/>
      </c>
      <c r="X660" s="264" t="str">
        <f t="shared" si="7"/>
        <v/>
      </c>
    </row>
    <row r="661" ht="15.75" customHeight="1">
      <c r="A661" s="258"/>
      <c r="B661" s="258"/>
      <c r="C661" s="269"/>
      <c r="D661" s="258"/>
      <c r="E661" s="258"/>
      <c r="F661" s="258"/>
      <c r="G661" s="258"/>
      <c r="H661" s="271"/>
      <c r="I661" s="258"/>
      <c r="J661" s="272"/>
      <c r="K661" s="260"/>
      <c r="L661" s="261"/>
      <c r="M661" s="262" t="str">
        <f t="shared" si="1"/>
        <v/>
      </c>
      <c r="N661" s="263" t="str">
        <f t="shared" si="2"/>
        <v/>
      </c>
      <c r="O661" s="264" t="str">
        <f t="shared" si="3"/>
        <v/>
      </c>
      <c r="P661" s="265" t="str">
        <f>IFERROR(__xludf.DUMMYFUNCTION("IF(ISBLANK(A661),"""",IFERROR(IF(H661=""Sell"",VLOOKUP(9^99,FILTER({ROW(P$2:P660),P$2:P660},D$2:D660=D661),2),(VLOOKUP(9^99,FILTER({ROW(P$2:P660),P$2:P660},D$2:D660=D661),2)*VLOOKUP(9^99,FILTER({ROW(O$2:O660),O$2:O660},D$2:D660=D661),2)-N661)/O661),J661))"),"")</f>
        <v/>
      </c>
      <c r="Q661" s="264" t="str">
        <f>IFERROR(__xludf.DUMMYFUNCTION("IFERROR(IF(F661=""Crypto"",B661,(IF(ISBLANK(D661),"""",IF(D661=""Cash"",B661,IF(GOOGLEFINANCE(D661,""CURRENCY"")=""GBX"",""GBP"",GOOGLEFINANCE(D661,""CURRENCY"")))))),B661)"),"")</f>
        <v/>
      </c>
      <c r="R661" s="263" t="str">
        <f>IFERROR(__xludf.DUMMYFUNCTION("IF(ISBLANK(A661),"""",IFERROR(IF(OR(Q661=""GPB"",Q661=""ZAR""),IF(Q661=Dashboard!$L$1,K661,(K661*GOOGLEFINANCE(""CURRENCY:""&amp;Q661&amp;""""&amp;Dashboard!$L$1&amp;""""))/100),IF(Q661=Dashboard!$L$1,K661,K661*GOOGLEFINANCE(""CURRENCY:""&amp;Q661&amp;""""&amp;Dashboard!$L$1&amp;"""")))"&amp;",K661))"),"")</f>
        <v/>
      </c>
      <c r="S661" s="266" t="str">
        <f>IFERROR(__xludf.DUMMYFUNCTION("IF(ISBLANK(A661),"""",IFERROR(IF(OR(Q661=""GPB"",Q661=""ZAR""),IF(Q661=Dashboard!$L$1,M661,(M661*GOOGLEFINANCE(""CURRENCY:""&amp;Q661&amp;""""&amp;Dashboard!$L$1&amp;""""))/100),IF(Q661=Dashboard!$L$1,M661,M661*GOOGLEFINANCE(""CURRENCY:""&amp;Q661&amp;""""&amp;Dashboard!$L$1&amp;"""")))"&amp;",M661))"),"")</f>
        <v/>
      </c>
      <c r="T661" s="264" t="str">
        <f t="shared" si="4"/>
        <v/>
      </c>
      <c r="U661" s="264" t="str">
        <f t="shared" si="5"/>
        <v/>
      </c>
      <c r="V661" s="264" t="str">
        <f t="shared" si="6"/>
        <v/>
      </c>
      <c r="W661" s="267" t="str">
        <f t="shared" si="8"/>
        <v/>
      </c>
      <c r="X661" s="264" t="str">
        <f t="shared" si="7"/>
        <v/>
      </c>
    </row>
    <row r="662" ht="15.75" customHeight="1">
      <c r="A662" s="258"/>
      <c r="B662" s="258"/>
      <c r="C662" s="269"/>
      <c r="D662" s="258"/>
      <c r="E662" s="258"/>
      <c r="F662" s="258"/>
      <c r="G662" s="258"/>
      <c r="H662" s="271"/>
      <c r="I662" s="258"/>
      <c r="J662" s="272"/>
      <c r="K662" s="260"/>
      <c r="L662" s="261"/>
      <c r="M662" s="262" t="str">
        <f t="shared" si="1"/>
        <v/>
      </c>
      <c r="N662" s="263" t="str">
        <f t="shared" si="2"/>
        <v/>
      </c>
      <c r="O662" s="264" t="str">
        <f t="shared" si="3"/>
        <v/>
      </c>
      <c r="P662" s="265" t="str">
        <f>IFERROR(__xludf.DUMMYFUNCTION("IF(ISBLANK(A662),"""",IFERROR(IF(H662=""Sell"",VLOOKUP(9^99,FILTER({ROW(P$2:P661),P$2:P661},D$2:D661=D662),2),(VLOOKUP(9^99,FILTER({ROW(P$2:P661),P$2:P661},D$2:D661=D662),2)*VLOOKUP(9^99,FILTER({ROW(O$2:O661),O$2:O661},D$2:D661=D662),2)-N662)/O662),J662))"),"")</f>
        <v/>
      </c>
      <c r="Q662" s="264" t="str">
        <f>IFERROR(__xludf.DUMMYFUNCTION("IFERROR(IF(F662=""Crypto"",B662,(IF(ISBLANK(D662),"""",IF(D662=""Cash"",B662,IF(GOOGLEFINANCE(D662,""CURRENCY"")=""GBX"",""GBP"",GOOGLEFINANCE(D662,""CURRENCY"")))))),B662)"),"")</f>
        <v/>
      </c>
      <c r="R662" s="263" t="str">
        <f>IFERROR(__xludf.DUMMYFUNCTION("IF(ISBLANK(A662),"""",IFERROR(IF(OR(Q662=""GPB"",Q662=""ZAR""),IF(Q662=Dashboard!$L$1,K662,(K662*GOOGLEFINANCE(""CURRENCY:""&amp;Q662&amp;""""&amp;Dashboard!$L$1&amp;""""))/100),IF(Q662=Dashboard!$L$1,K662,K662*GOOGLEFINANCE(""CURRENCY:""&amp;Q662&amp;""""&amp;Dashboard!$L$1&amp;"""")))"&amp;",K662))"),"")</f>
        <v/>
      </c>
      <c r="S662" s="266" t="str">
        <f>IFERROR(__xludf.DUMMYFUNCTION("IF(ISBLANK(A662),"""",IFERROR(IF(OR(Q662=""GPB"",Q662=""ZAR""),IF(Q662=Dashboard!$L$1,M662,(M662*GOOGLEFINANCE(""CURRENCY:""&amp;Q662&amp;""""&amp;Dashboard!$L$1&amp;""""))/100),IF(Q662=Dashboard!$L$1,M662,M662*GOOGLEFINANCE(""CURRENCY:""&amp;Q662&amp;""""&amp;Dashboard!$L$1&amp;"""")))"&amp;",M662))"),"")</f>
        <v/>
      </c>
      <c r="T662" s="264" t="str">
        <f t="shared" si="4"/>
        <v/>
      </c>
      <c r="U662" s="264" t="str">
        <f t="shared" si="5"/>
        <v/>
      </c>
      <c r="V662" s="264" t="str">
        <f t="shared" si="6"/>
        <v/>
      </c>
      <c r="W662" s="267" t="str">
        <f t="shared" si="8"/>
        <v/>
      </c>
      <c r="X662" s="264" t="str">
        <f t="shared" si="7"/>
        <v/>
      </c>
    </row>
    <row r="663" ht="15.75" customHeight="1">
      <c r="A663" s="258"/>
      <c r="B663" s="258"/>
      <c r="C663" s="269"/>
      <c r="D663" s="258"/>
      <c r="E663" s="258"/>
      <c r="F663" s="258"/>
      <c r="G663" s="258"/>
      <c r="H663" s="271"/>
      <c r="I663" s="258"/>
      <c r="J663" s="272"/>
      <c r="K663" s="260"/>
      <c r="L663" s="261"/>
      <c r="M663" s="262" t="str">
        <f t="shared" si="1"/>
        <v/>
      </c>
      <c r="N663" s="263" t="str">
        <f t="shared" si="2"/>
        <v/>
      </c>
      <c r="O663" s="264" t="str">
        <f t="shared" si="3"/>
        <v/>
      </c>
      <c r="P663" s="265" t="str">
        <f>IFERROR(__xludf.DUMMYFUNCTION("IF(ISBLANK(A663),"""",IFERROR(IF(H663=""Sell"",VLOOKUP(9^99,FILTER({ROW(P$2:P662),P$2:P662},D$2:D662=D663),2),(VLOOKUP(9^99,FILTER({ROW(P$2:P662),P$2:P662},D$2:D662=D663),2)*VLOOKUP(9^99,FILTER({ROW(O$2:O662),O$2:O662},D$2:D662=D663),2)-N663)/O663),J663))"),"")</f>
        <v/>
      </c>
      <c r="Q663" s="264" t="str">
        <f>IFERROR(__xludf.DUMMYFUNCTION("IFERROR(IF(F663=""Crypto"",B663,(IF(ISBLANK(D663),"""",IF(D663=""Cash"",B663,IF(GOOGLEFINANCE(D663,""CURRENCY"")=""GBX"",""GBP"",GOOGLEFINANCE(D663,""CURRENCY"")))))),B663)"),"")</f>
        <v/>
      </c>
      <c r="R663" s="263" t="str">
        <f>IFERROR(__xludf.DUMMYFUNCTION("IF(ISBLANK(A663),"""",IFERROR(IF(OR(Q663=""GPB"",Q663=""ZAR""),IF(Q663=Dashboard!$L$1,K663,(K663*GOOGLEFINANCE(""CURRENCY:""&amp;Q663&amp;""""&amp;Dashboard!$L$1&amp;""""))/100),IF(Q663=Dashboard!$L$1,K663,K663*GOOGLEFINANCE(""CURRENCY:""&amp;Q663&amp;""""&amp;Dashboard!$L$1&amp;"""")))"&amp;",K663))"),"")</f>
        <v/>
      </c>
      <c r="S663" s="266" t="str">
        <f>IFERROR(__xludf.DUMMYFUNCTION("IF(ISBLANK(A663),"""",IFERROR(IF(OR(Q663=""GPB"",Q663=""ZAR""),IF(Q663=Dashboard!$L$1,M663,(M663*GOOGLEFINANCE(""CURRENCY:""&amp;Q663&amp;""""&amp;Dashboard!$L$1&amp;""""))/100),IF(Q663=Dashboard!$L$1,M663,M663*GOOGLEFINANCE(""CURRENCY:""&amp;Q663&amp;""""&amp;Dashboard!$L$1&amp;"""")))"&amp;",M663))"),"")</f>
        <v/>
      </c>
      <c r="T663" s="264" t="str">
        <f t="shared" si="4"/>
        <v/>
      </c>
      <c r="U663" s="264" t="str">
        <f t="shared" si="5"/>
        <v/>
      </c>
      <c r="V663" s="264" t="str">
        <f t="shared" si="6"/>
        <v/>
      </c>
      <c r="W663" s="267" t="str">
        <f t="shared" si="8"/>
        <v/>
      </c>
      <c r="X663" s="264" t="str">
        <f t="shared" si="7"/>
        <v/>
      </c>
    </row>
    <row r="664" ht="15.75" customHeight="1">
      <c r="A664" s="258"/>
      <c r="B664" s="258"/>
      <c r="C664" s="269"/>
      <c r="D664" s="258"/>
      <c r="E664" s="258"/>
      <c r="F664" s="258"/>
      <c r="G664" s="258"/>
      <c r="H664" s="271"/>
      <c r="I664" s="258"/>
      <c r="J664" s="272"/>
      <c r="K664" s="260"/>
      <c r="L664" s="261"/>
      <c r="M664" s="262" t="str">
        <f t="shared" si="1"/>
        <v/>
      </c>
      <c r="N664" s="263" t="str">
        <f t="shared" si="2"/>
        <v/>
      </c>
      <c r="O664" s="264" t="str">
        <f t="shared" si="3"/>
        <v/>
      </c>
      <c r="P664" s="265" t="str">
        <f>IFERROR(__xludf.DUMMYFUNCTION("IF(ISBLANK(A664),"""",IFERROR(IF(H664=""Sell"",VLOOKUP(9^99,FILTER({ROW(P$2:P663),P$2:P663},D$2:D663=D664),2),(VLOOKUP(9^99,FILTER({ROW(P$2:P663),P$2:P663},D$2:D663=D664),2)*VLOOKUP(9^99,FILTER({ROW(O$2:O663),O$2:O663},D$2:D663=D664),2)-N664)/O664),J664))"),"")</f>
        <v/>
      </c>
      <c r="Q664" s="264" t="str">
        <f>IFERROR(__xludf.DUMMYFUNCTION("IFERROR(IF(F664=""Crypto"",B664,(IF(ISBLANK(D664),"""",IF(D664=""Cash"",B664,IF(GOOGLEFINANCE(D664,""CURRENCY"")=""GBX"",""GBP"",GOOGLEFINANCE(D664,""CURRENCY"")))))),B664)"),"")</f>
        <v/>
      </c>
      <c r="R664" s="263" t="str">
        <f>IFERROR(__xludf.DUMMYFUNCTION("IF(ISBLANK(A664),"""",IFERROR(IF(OR(Q664=""GPB"",Q664=""ZAR""),IF(Q664=Dashboard!$L$1,K664,(K664*GOOGLEFINANCE(""CURRENCY:""&amp;Q664&amp;""""&amp;Dashboard!$L$1&amp;""""))/100),IF(Q664=Dashboard!$L$1,K664,K664*GOOGLEFINANCE(""CURRENCY:""&amp;Q664&amp;""""&amp;Dashboard!$L$1&amp;"""")))"&amp;",K664))"),"")</f>
        <v/>
      </c>
      <c r="S664" s="266" t="str">
        <f>IFERROR(__xludf.DUMMYFUNCTION("IF(ISBLANK(A664),"""",IFERROR(IF(OR(Q664=""GPB"",Q664=""ZAR""),IF(Q664=Dashboard!$L$1,M664,(M664*GOOGLEFINANCE(""CURRENCY:""&amp;Q664&amp;""""&amp;Dashboard!$L$1&amp;""""))/100),IF(Q664=Dashboard!$L$1,M664,M664*GOOGLEFINANCE(""CURRENCY:""&amp;Q664&amp;""""&amp;Dashboard!$L$1&amp;"""")))"&amp;",M664))"),"")</f>
        <v/>
      </c>
      <c r="T664" s="264" t="str">
        <f t="shared" si="4"/>
        <v/>
      </c>
      <c r="U664" s="264" t="str">
        <f t="shared" si="5"/>
        <v/>
      </c>
      <c r="V664" s="264" t="str">
        <f t="shared" si="6"/>
        <v/>
      </c>
      <c r="W664" s="267" t="str">
        <f t="shared" si="8"/>
        <v/>
      </c>
      <c r="X664" s="264" t="str">
        <f t="shared" si="7"/>
        <v/>
      </c>
    </row>
    <row r="665" ht="15.75" customHeight="1">
      <c r="A665" s="258"/>
      <c r="B665" s="258"/>
      <c r="C665" s="269"/>
      <c r="D665" s="258"/>
      <c r="E665" s="258"/>
      <c r="F665" s="258"/>
      <c r="G665" s="258"/>
      <c r="H665" s="271"/>
      <c r="I665" s="258"/>
      <c r="J665" s="272"/>
      <c r="K665" s="260"/>
      <c r="L665" s="261"/>
      <c r="M665" s="262" t="str">
        <f t="shared" si="1"/>
        <v/>
      </c>
      <c r="N665" s="263" t="str">
        <f t="shared" si="2"/>
        <v/>
      </c>
      <c r="O665" s="264" t="str">
        <f t="shared" si="3"/>
        <v/>
      </c>
      <c r="P665" s="265" t="str">
        <f>IFERROR(__xludf.DUMMYFUNCTION("IF(ISBLANK(A665),"""",IFERROR(IF(H665=""Sell"",VLOOKUP(9^99,FILTER({ROW(P$2:P664),P$2:P664},D$2:D664=D665),2),(VLOOKUP(9^99,FILTER({ROW(P$2:P664),P$2:P664},D$2:D664=D665),2)*VLOOKUP(9^99,FILTER({ROW(O$2:O664),O$2:O664},D$2:D664=D665),2)-N665)/O665),J665))"),"")</f>
        <v/>
      </c>
      <c r="Q665" s="264" t="str">
        <f>IFERROR(__xludf.DUMMYFUNCTION("IFERROR(IF(F665=""Crypto"",B665,(IF(ISBLANK(D665),"""",IF(D665=""Cash"",B665,IF(GOOGLEFINANCE(D665,""CURRENCY"")=""GBX"",""GBP"",GOOGLEFINANCE(D665,""CURRENCY"")))))),B665)"),"")</f>
        <v/>
      </c>
      <c r="R665" s="263" t="str">
        <f>IFERROR(__xludf.DUMMYFUNCTION("IF(ISBLANK(A665),"""",IFERROR(IF(OR(Q665=""GPB"",Q665=""ZAR""),IF(Q665=Dashboard!$L$1,K665,(K665*GOOGLEFINANCE(""CURRENCY:""&amp;Q665&amp;""""&amp;Dashboard!$L$1&amp;""""))/100),IF(Q665=Dashboard!$L$1,K665,K665*GOOGLEFINANCE(""CURRENCY:""&amp;Q665&amp;""""&amp;Dashboard!$L$1&amp;"""")))"&amp;",K665))"),"")</f>
        <v/>
      </c>
      <c r="S665" s="266" t="str">
        <f>IFERROR(__xludf.DUMMYFUNCTION("IF(ISBLANK(A665),"""",IFERROR(IF(OR(Q665=""GPB"",Q665=""ZAR""),IF(Q665=Dashboard!$L$1,M665,(M665*GOOGLEFINANCE(""CURRENCY:""&amp;Q665&amp;""""&amp;Dashboard!$L$1&amp;""""))/100),IF(Q665=Dashboard!$L$1,M665,M665*GOOGLEFINANCE(""CURRENCY:""&amp;Q665&amp;""""&amp;Dashboard!$L$1&amp;"""")))"&amp;",M665))"),"")</f>
        <v/>
      </c>
      <c r="T665" s="264" t="str">
        <f t="shared" si="4"/>
        <v/>
      </c>
      <c r="U665" s="264" t="str">
        <f t="shared" si="5"/>
        <v/>
      </c>
      <c r="V665" s="264" t="str">
        <f t="shared" si="6"/>
        <v/>
      </c>
      <c r="W665" s="267" t="str">
        <f t="shared" si="8"/>
        <v/>
      </c>
      <c r="X665" s="264" t="str">
        <f t="shared" si="7"/>
        <v/>
      </c>
    </row>
    <row r="666" ht="15.75" customHeight="1">
      <c r="A666" s="258"/>
      <c r="B666" s="258"/>
      <c r="C666" s="269"/>
      <c r="D666" s="258"/>
      <c r="E666" s="258"/>
      <c r="F666" s="258"/>
      <c r="G666" s="258"/>
      <c r="H666" s="271"/>
      <c r="I666" s="258"/>
      <c r="J666" s="272"/>
      <c r="K666" s="260"/>
      <c r="L666" s="261"/>
      <c r="M666" s="262" t="str">
        <f t="shared" si="1"/>
        <v/>
      </c>
      <c r="N666" s="263" t="str">
        <f t="shared" si="2"/>
        <v/>
      </c>
      <c r="O666" s="264" t="str">
        <f t="shared" si="3"/>
        <v/>
      </c>
      <c r="P666" s="265" t="str">
        <f>IFERROR(__xludf.DUMMYFUNCTION("IF(ISBLANK(A666),"""",IFERROR(IF(H666=""Sell"",VLOOKUP(9^99,FILTER({ROW(P$2:P665),P$2:P665},D$2:D665=D666),2),(VLOOKUP(9^99,FILTER({ROW(P$2:P665),P$2:P665},D$2:D665=D666),2)*VLOOKUP(9^99,FILTER({ROW(O$2:O665),O$2:O665},D$2:D665=D666),2)-N666)/O666),J666))"),"")</f>
        <v/>
      </c>
      <c r="Q666" s="264" t="str">
        <f>IFERROR(__xludf.DUMMYFUNCTION("IFERROR(IF(F666=""Crypto"",B666,(IF(ISBLANK(D666),"""",IF(D666=""Cash"",B666,IF(GOOGLEFINANCE(D666,""CURRENCY"")=""GBX"",""GBP"",GOOGLEFINANCE(D666,""CURRENCY"")))))),B666)"),"")</f>
        <v/>
      </c>
      <c r="R666" s="263" t="str">
        <f>IFERROR(__xludf.DUMMYFUNCTION("IF(ISBLANK(A666),"""",IFERROR(IF(OR(Q666=""GPB"",Q666=""ZAR""),IF(Q666=Dashboard!$L$1,K666,(K666*GOOGLEFINANCE(""CURRENCY:""&amp;Q666&amp;""""&amp;Dashboard!$L$1&amp;""""))/100),IF(Q666=Dashboard!$L$1,K666,K666*GOOGLEFINANCE(""CURRENCY:""&amp;Q666&amp;""""&amp;Dashboard!$L$1&amp;"""")))"&amp;",K666))"),"")</f>
        <v/>
      </c>
      <c r="S666" s="266" t="str">
        <f>IFERROR(__xludf.DUMMYFUNCTION("IF(ISBLANK(A666),"""",IFERROR(IF(OR(Q666=""GPB"",Q666=""ZAR""),IF(Q666=Dashboard!$L$1,M666,(M666*GOOGLEFINANCE(""CURRENCY:""&amp;Q666&amp;""""&amp;Dashboard!$L$1&amp;""""))/100),IF(Q666=Dashboard!$L$1,M666,M666*GOOGLEFINANCE(""CURRENCY:""&amp;Q666&amp;""""&amp;Dashboard!$L$1&amp;"""")))"&amp;",M666))"),"")</f>
        <v/>
      </c>
      <c r="T666" s="264" t="str">
        <f t="shared" si="4"/>
        <v/>
      </c>
      <c r="U666" s="264" t="str">
        <f t="shared" si="5"/>
        <v/>
      </c>
      <c r="V666" s="264" t="str">
        <f t="shared" si="6"/>
        <v/>
      </c>
      <c r="W666" s="267" t="str">
        <f t="shared" si="8"/>
        <v/>
      </c>
      <c r="X666" s="264" t="str">
        <f t="shared" si="7"/>
        <v/>
      </c>
    </row>
    <row r="667" ht="15.75" customHeight="1">
      <c r="A667" s="258"/>
      <c r="B667" s="258"/>
      <c r="C667" s="269"/>
      <c r="D667" s="258"/>
      <c r="E667" s="258"/>
      <c r="F667" s="258"/>
      <c r="G667" s="258"/>
      <c r="H667" s="271"/>
      <c r="I667" s="258"/>
      <c r="J667" s="272"/>
      <c r="K667" s="260"/>
      <c r="L667" s="261"/>
      <c r="M667" s="262" t="str">
        <f t="shared" si="1"/>
        <v/>
      </c>
      <c r="N667" s="263" t="str">
        <f t="shared" si="2"/>
        <v/>
      </c>
      <c r="O667" s="264" t="str">
        <f t="shared" si="3"/>
        <v/>
      </c>
      <c r="P667" s="265" t="str">
        <f>IFERROR(__xludf.DUMMYFUNCTION("IF(ISBLANK(A667),"""",IFERROR(IF(H667=""Sell"",VLOOKUP(9^99,FILTER({ROW(P$2:P666),P$2:P666},D$2:D666=D667),2),(VLOOKUP(9^99,FILTER({ROW(P$2:P666),P$2:P666},D$2:D666=D667),2)*VLOOKUP(9^99,FILTER({ROW(O$2:O666),O$2:O666},D$2:D666=D667),2)-N667)/O667),J667))"),"")</f>
        <v/>
      </c>
      <c r="Q667" s="264" t="str">
        <f>IFERROR(__xludf.DUMMYFUNCTION("IFERROR(IF(F667=""Crypto"",B667,(IF(ISBLANK(D667),"""",IF(D667=""Cash"",B667,IF(GOOGLEFINANCE(D667,""CURRENCY"")=""GBX"",""GBP"",GOOGLEFINANCE(D667,""CURRENCY"")))))),B667)"),"")</f>
        <v/>
      </c>
      <c r="R667" s="263" t="str">
        <f>IFERROR(__xludf.DUMMYFUNCTION("IF(ISBLANK(A667),"""",IFERROR(IF(OR(Q667=""GPB"",Q667=""ZAR""),IF(Q667=Dashboard!$L$1,K667,(K667*GOOGLEFINANCE(""CURRENCY:""&amp;Q667&amp;""""&amp;Dashboard!$L$1&amp;""""))/100),IF(Q667=Dashboard!$L$1,K667,K667*GOOGLEFINANCE(""CURRENCY:""&amp;Q667&amp;""""&amp;Dashboard!$L$1&amp;"""")))"&amp;",K667))"),"")</f>
        <v/>
      </c>
      <c r="S667" s="266" t="str">
        <f>IFERROR(__xludf.DUMMYFUNCTION("IF(ISBLANK(A667),"""",IFERROR(IF(OR(Q667=""GPB"",Q667=""ZAR""),IF(Q667=Dashboard!$L$1,M667,(M667*GOOGLEFINANCE(""CURRENCY:""&amp;Q667&amp;""""&amp;Dashboard!$L$1&amp;""""))/100),IF(Q667=Dashboard!$L$1,M667,M667*GOOGLEFINANCE(""CURRENCY:""&amp;Q667&amp;""""&amp;Dashboard!$L$1&amp;"""")))"&amp;",M667))"),"")</f>
        <v/>
      </c>
      <c r="T667" s="264" t="str">
        <f t="shared" si="4"/>
        <v/>
      </c>
      <c r="U667" s="264" t="str">
        <f t="shared" si="5"/>
        <v/>
      </c>
      <c r="V667" s="264" t="str">
        <f t="shared" si="6"/>
        <v/>
      </c>
      <c r="W667" s="267" t="str">
        <f t="shared" si="8"/>
        <v/>
      </c>
      <c r="X667" s="264" t="str">
        <f t="shared" si="7"/>
        <v/>
      </c>
    </row>
    <row r="668" ht="15.75" customHeight="1">
      <c r="A668" s="258"/>
      <c r="B668" s="258"/>
      <c r="C668" s="269"/>
      <c r="D668" s="258"/>
      <c r="E668" s="258"/>
      <c r="F668" s="258"/>
      <c r="G668" s="258"/>
      <c r="H668" s="271"/>
      <c r="I668" s="258"/>
      <c r="J668" s="272"/>
      <c r="K668" s="260"/>
      <c r="L668" s="261"/>
      <c r="M668" s="262" t="str">
        <f t="shared" si="1"/>
        <v/>
      </c>
      <c r="N668" s="263" t="str">
        <f t="shared" si="2"/>
        <v/>
      </c>
      <c r="O668" s="264" t="str">
        <f t="shared" si="3"/>
        <v/>
      </c>
      <c r="P668" s="265" t="str">
        <f>IFERROR(__xludf.DUMMYFUNCTION("IF(ISBLANK(A668),"""",IFERROR(IF(H668=""Sell"",VLOOKUP(9^99,FILTER({ROW(P$2:P667),P$2:P667},D$2:D667=D668),2),(VLOOKUP(9^99,FILTER({ROW(P$2:P667),P$2:P667},D$2:D667=D668),2)*VLOOKUP(9^99,FILTER({ROW(O$2:O667),O$2:O667},D$2:D667=D668),2)-N668)/O668),J668))"),"")</f>
        <v/>
      </c>
      <c r="Q668" s="264" t="str">
        <f>IFERROR(__xludf.DUMMYFUNCTION("IFERROR(IF(F668=""Crypto"",B668,(IF(ISBLANK(D668),"""",IF(D668=""Cash"",B668,IF(GOOGLEFINANCE(D668,""CURRENCY"")=""GBX"",""GBP"",GOOGLEFINANCE(D668,""CURRENCY"")))))),B668)"),"")</f>
        <v/>
      </c>
      <c r="R668" s="263" t="str">
        <f>IFERROR(__xludf.DUMMYFUNCTION("IF(ISBLANK(A668),"""",IFERROR(IF(OR(Q668=""GPB"",Q668=""ZAR""),IF(Q668=Dashboard!$L$1,K668,(K668*GOOGLEFINANCE(""CURRENCY:""&amp;Q668&amp;""""&amp;Dashboard!$L$1&amp;""""))/100),IF(Q668=Dashboard!$L$1,K668,K668*GOOGLEFINANCE(""CURRENCY:""&amp;Q668&amp;""""&amp;Dashboard!$L$1&amp;"""")))"&amp;",K668))"),"")</f>
        <v/>
      </c>
      <c r="S668" s="266" t="str">
        <f>IFERROR(__xludf.DUMMYFUNCTION("IF(ISBLANK(A668),"""",IFERROR(IF(OR(Q668=""GPB"",Q668=""ZAR""),IF(Q668=Dashboard!$L$1,M668,(M668*GOOGLEFINANCE(""CURRENCY:""&amp;Q668&amp;""""&amp;Dashboard!$L$1&amp;""""))/100),IF(Q668=Dashboard!$L$1,M668,M668*GOOGLEFINANCE(""CURRENCY:""&amp;Q668&amp;""""&amp;Dashboard!$L$1&amp;"""")))"&amp;",M668))"),"")</f>
        <v/>
      </c>
      <c r="T668" s="264" t="str">
        <f t="shared" si="4"/>
        <v/>
      </c>
      <c r="U668" s="264" t="str">
        <f t="shared" si="5"/>
        <v/>
      </c>
      <c r="V668" s="264" t="str">
        <f t="shared" si="6"/>
        <v/>
      </c>
      <c r="W668" s="267" t="str">
        <f t="shared" si="8"/>
        <v/>
      </c>
      <c r="X668" s="264" t="str">
        <f t="shared" si="7"/>
        <v/>
      </c>
    </row>
    <row r="669" ht="15.75" customHeight="1">
      <c r="A669" s="258"/>
      <c r="B669" s="258"/>
      <c r="C669" s="269"/>
      <c r="D669" s="258"/>
      <c r="E669" s="258"/>
      <c r="F669" s="258"/>
      <c r="G669" s="258"/>
      <c r="H669" s="271"/>
      <c r="I669" s="258"/>
      <c r="J669" s="272"/>
      <c r="K669" s="260"/>
      <c r="L669" s="261"/>
      <c r="M669" s="262" t="str">
        <f t="shared" si="1"/>
        <v/>
      </c>
      <c r="N669" s="263" t="str">
        <f t="shared" si="2"/>
        <v/>
      </c>
      <c r="O669" s="264" t="str">
        <f t="shared" si="3"/>
        <v/>
      </c>
      <c r="P669" s="265" t="str">
        <f>IFERROR(__xludf.DUMMYFUNCTION("IF(ISBLANK(A669),"""",IFERROR(IF(H669=""Sell"",VLOOKUP(9^99,FILTER({ROW(P$2:P668),P$2:P668},D$2:D668=D669),2),(VLOOKUP(9^99,FILTER({ROW(P$2:P668),P$2:P668},D$2:D668=D669),2)*VLOOKUP(9^99,FILTER({ROW(O$2:O668),O$2:O668},D$2:D668=D669),2)-N669)/O669),J669))"),"")</f>
        <v/>
      </c>
      <c r="Q669" s="264" t="str">
        <f>IFERROR(__xludf.DUMMYFUNCTION("IFERROR(IF(F669=""Crypto"",B669,(IF(ISBLANK(D669),"""",IF(D669=""Cash"",B669,IF(GOOGLEFINANCE(D669,""CURRENCY"")=""GBX"",""GBP"",GOOGLEFINANCE(D669,""CURRENCY"")))))),B669)"),"")</f>
        <v/>
      </c>
      <c r="R669" s="263" t="str">
        <f>IFERROR(__xludf.DUMMYFUNCTION("IF(ISBLANK(A669),"""",IFERROR(IF(OR(Q669=""GPB"",Q669=""ZAR""),IF(Q669=Dashboard!$L$1,K669,(K669*GOOGLEFINANCE(""CURRENCY:""&amp;Q669&amp;""""&amp;Dashboard!$L$1&amp;""""))/100),IF(Q669=Dashboard!$L$1,K669,K669*GOOGLEFINANCE(""CURRENCY:""&amp;Q669&amp;""""&amp;Dashboard!$L$1&amp;"""")))"&amp;",K669))"),"")</f>
        <v/>
      </c>
      <c r="S669" s="266" t="str">
        <f>IFERROR(__xludf.DUMMYFUNCTION("IF(ISBLANK(A669),"""",IFERROR(IF(OR(Q669=""GPB"",Q669=""ZAR""),IF(Q669=Dashboard!$L$1,M669,(M669*GOOGLEFINANCE(""CURRENCY:""&amp;Q669&amp;""""&amp;Dashboard!$L$1&amp;""""))/100),IF(Q669=Dashboard!$L$1,M669,M669*GOOGLEFINANCE(""CURRENCY:""&amp;Q669&amp;""""&amp;Dashboard!$L$1&amp;"""")))"&amp;",M669))"),"")</f>
        <v/>
      </c>
      <c r="T669" s="264" t="str">
        <f t="shared" si="4"/>
        <v/>
      </c>
      <c r="U669" s="264" t="str">
        <f t="shared" si="5"/>
        <v/>
      </c>
      <c r="V669" s="264" t="str">
        <f t="shared" si="6"/>
        <v/>
      </c>
      <c r="W669" s="267" t="str">
        <f t="shared" si="8"/>
        <v/>
      </c>
      <c r="X669" s="264" t="str">
        <f t="shared" si="7"/>
        <v/>
      </c>
    </row>
    <row r="670" ht="15.75" customHeight="1">
      <c r="A670" s="258"/>
      <c r="B670" s="258"/>
      <c r="C670" s="269"/>
      <c r="D670" s="258"/>
      <c r="E670" s="258"/>
      <c r="F670" s="258"/>
      <c r="G670" s="258"/>
      <c r="H670" s="271"/>
      <c r="I670" s="258"/>
      <c r="J670" s="272"/>
      <c r="K670" s="260"/>
      <c r="L670" s="261"/>
      <c r="M670" s="262" t="str">
        <f t="shared" si="1"/>
        <v/>
      </c>
      <c r="N670" s="263" t="str">
        <f t="shared" si="2"/>
        <v/>
      </c>
      <c r="O670" s="264" t="str">
        <f t="shared" si="3"/>
        <v/>
      </c>
      <c r="P670" s="265" t="str">
        <f>IFERROR(__xludf.DUMMYFUNCTION("IF(ISBLANK(A670),"""",IFERROR(IF(H670=""Sell"",VLOOKUP(9^99,FILTER({ROW(P$2:P669),P$2:P669},D$2:D669=D670),2),(VLOOKUP(9^99,FILTER({ROW(P$2:P669),P$2:P669},D$2:D669=D670),2)*VLOOKUP(9^99,FILTER({ROW(O$2:O669),O$2:O669},D$2:D669=D670),2)-N670)/O670),J670))"),"")</f>
        <v/>
      </c>
      <c r="Q670" s="264" t="str">
        <f>IFERROR(__xludf.DUMMYFUNCTION("IFERROR(IF(F670=""Crypto"",B670,(IF(ISBLANK(D670),"""",IF(D670=""Cash"",B670,IF(GOOGLEFINANCE(D670,""CURRENCY"")=""GBX"",""GBP"",GOOGLEFINANCE(D670,""CURRENCY"")))))),B670)"),"")</f>
        <v/>
      </c>
      <c r="R670" s="263" t="str">
        <f>IFERROR(__xludf.DUMMYFUNCTION("IF(ISBLANK(A670),"""",IFERROR(IF(OR(Q670=""GPB"",Q670=""ZAR""),IF(Q670=Dashboard!$L$1,K670,(K670*GOOGLEFINANCE(""CURRENCY:""&amp;Q670&amp;""""&amp;Dashboard!$L$1&amp;""""))/100),IF(Q670=Dashboard!$L$1,K670,K670*GOOGLEFINANCE(""CURRENCY:""&amp;Q670&amp;""""&amp;Dashboard!$L$1&amp;"""")))"&amp;",K670))"),"")</f>
        <v/>
      </c>
      <c r="S670" s="266" t="str">
        <f>IFERROR(__xludf.DUMMYFUNCTION("IF(ISBLANK(A670),"""",IFERROR(IF(OR(Q670=""GPB"",Q670=""ZAR""),IF(Q670=Dashboard!$L$1,M670,(M670*GOOGLEFINANCE(""CURRENCY:""&amp;Q670&amp;""""&amp;Dashboard!$L$1&amp;""""))/100),IF(Q670=Dashboard!$L$1,M670,M670*GOOGLEFINANCE(""CURRENCY:""&amp;Q670&amp;""""&amp;Dashboard!$L$1&amp;"""")))"&amp;",M670))"),"")</f>
        <v/>
      </c>
      <c r="T670" s="264" t="str">
        <f t="shared" si="4"/>
        <v/>
      </c>
      <c r="U670" s="264" t="str">
        <f t="shared" si="5"/>
        <v/>
      </c>
      <c r="V670" s="264" t="str">
        <f t="shared" si="6"/>
        <v/>
      </c>
      <c r="W670" s="267" t="str">
        <f t="shared" si="8"/>
        <v/>
      </c>
      <c r="X670" s="264" t="str">
        <f t="shared" si="7"/>
        <v/>
      </c>
    </row>
    <row r="671" ht="15.75" customHeight="1">
      <c r="A671" s="258"/>
      <c r="B671" s="258"/>
      <c r="C671" s="269"/>
      <c r="D671" s="258"/>
      <c r="E671" s="258"/>
      <c r="F671" s="258"/>
      <c r="G671" s="258"/>
      <c r="H671" s="271"/>
      <c r="I671" s="258"/>
      <c r="J671" s="272"/>
      <c r="K671" s="260"/>
      <c r="L671" s="261"/>
      <c r="M671" s="262" t="str">
        <f t="shared" si="1"/>
        <v/>
      </c>
      <c r="N671" s="263" t="str">
        <f t="shared" si="2"/>
        <v/>
      </c>
      <c r="O671" s="264" t="str">
        <f t="shared" si="3"/>
        <v/>
      </c>
      <c r="P671" s="265" t="str">
        <f>IFERROR(__xludf.DUMMYFUNCTION("IF(ISBLANK(A671),"""",IFERROR(IF(H671=""Sell"",VLOOKUP(9^99,FILTER({ROW(P$2:P670),P$2:P670},D$2:D670=D671),2),(VLOOKUP(9^99,FILTER({ROW(P$2:P670),P$2:P670},D$2:D670=D671),2)*VLOOKUP(9^99,FILTER({ROW(O$2:O670),O$2:O670},D$2:D670=D671),2)-N671)/O671),J671))"),"")</f>
        <v/>
      </c>
      <c r="Q671" s="264" t="str">
        <f>IFERROR(__xludf.DUMMYFUNCTION("IFERROR(IF(F671=""Crypto"",B671,(IF(ISBLANK(D671),"""",IF(D671=""Cash"",B671,IF(GOOGLEFINANCE(D671,""CURRENCY"")=""GBX"",""GBP"",GOOGLEFINANCE(D671,""CURRENCY"")))))),B671)"),"")</f>
        <v/>
      </c>
      <c r="R671" s="263" t="str">
        <f>IFERROR(__xludf.DUMMYFUNCTION("IF(ISBLANK(A671),"""",IFERROR(IF(OR(Q671=""GPB"",Q671=""ZAR""),IF(Q671=Dashboard!$L$1,K671,(K671*GOOGLEFINANCE(""CURRENCY:""&amp;Q671&amp;""""&amp;Dashboard!$L$1&amp;""""))/100),IF(Q671=Dashboard!$L$1,K671,K671*GOOGLEFINANCE(""CURRENCY:""&amp;Q671&amp;""""&amp;Dashboard!$L$1&amp;"""")))"&amp;",K671))"),"")</f>
        <v/>
      </c>
      <c r="S671" s="266" t="str">
        <f>IFERROR(__xludf.DUMMYFUNCTION("IF(ISBLANK(A671),"""",IFERROR(IF(OR(Q671=""GPB"",Q671=""ZAR""),IF(Q671=Dashboard!$L$1,M671,(M671*GOOGLEFINANCE(""CURRENCY:""&amp;Q671&amp;""""&amp;Dashboard!$L$1&amp;""""))/100),IF(Q671=Dashboard!$L$1,M671,M671*GOOGLEFINANCE(""CURRENCY:""&amp;Q671&amp;""""&amp;Dashboard!$L$1&amp;"""")))"&amp;",M671))"),"")</f>
        <v/>
      </c>
      <c r="T671" s="264" t="str">
        <f t="shared" si="4"/>
        <v/>
      </c>
      <c r="U671" s="264" t="str">
        <f t="shared" si="5"/>
        <v/>
      </c>
      <c r="V671" s="264" t="str">
        <f t="shared" si="6"/>
        <v/>
      </c>
      <c r="W671" s="267" t="str">
        <f t="shared" si="8"/>
        <v/>
      </c>
      <c r="X671" s="264" t="str">
        <f t="shared" si="7"/>
        <v/>
      </c>
    </row>
    <row r="672" ht="15.75" customHeight="1">
      <c r="A672" s="258"/>
      <c r="B672" s="258"/>
      <c r="C672" s="269"/>
      <c r="D672" s="258"/>
      <c r="E672" s="258"/>
      <c r="F672" s="258"/>
      <c r="G672" s="258"/>
      <c r="H672" s="271"/>
      <c r="I672" s="258"/>
      <c r="J672" s="272"/>
      <c r="K672" s="260"/>
      <c r="L672" s="261"/>
      <c r="M672" s="262" t="str">
        <f t="shared" si="1"/>
        <v/>
      </c>
      <c r="N672" s="263" t="str">
        <f t="shared" si="2"/>
        <v/>
      </c>
      <c r="O672" s="264" t="str">
        <f t="shared" si="3"/>
        <v/>
      </c>
      <c r="P672" s="265" t="str">
        <f>IFERROR(__xludf.DUMMYFUNCTION("IF(ISBLANK(A672),"""",IFERROR(IF(H672=""Sell"",VLOOKUP(9^99,FILTER({ROW(P$2:P671),P$2:P671},D$2:D671=D672),2),(VLOOKUP(9^99,FILTER({ROW(P$2:P671),P$2:P671},D$2:D671=D672),2)*VLOOKUP(9^99,FILTER({ROW(O$2:O671),O$2:O671},D$2:D671=D672),2)-N672)/O672),J672))"),"")</f>
        <v/>
      </c>
      <c r="Q672" s="264" t="str">
        <f>IFERROR(__xludf.DUMMYFUNCTION("IFERROR(IF(F672=""Crypto"",B672,(IF(ISBLANK(D672),"""",IF(D672=""Cash"",B672,IF(GOOGLEFINANCE(D672,""CURRENCY"")=""GBX"",""GBP"",GOOGLEFINANCE(D672,""CURRENCY"")))))),B672)"),"")</f>
        <v/>
      </c>
      <c r="R672" s="263" t="str">
        <f>IFERROR(__xludf.DUMMYFUNCTION("IF(ISBLANK(A672),"""",IFERROR(IF(OR(Q672=""GPB"",Q672=""ZAR""),IF(Q672=Dashboard!$L$1,K672,(K672*GOOGLEFINANCE(""CURRENCY:""&amp;Q672&amp;""""&amp;Dashboard!$L$1&amp;""""))/100),IF(Q672=Dashboard!$L$1,K672,K672*GOOGLEFINANCE(""CURRENCY:""&amp;Q672&amp;""""&amp;Dashboard!$L$1&amp;"""")))"&amp;",K672))"),"")</f>
        <v/>
      </c>
      <c r="S672" s="266" t="str">
        <f>IFERROR(__xludf.DUMMYFUNCTION("IF(ISBLANK(A672),"""",IFERROR(IF(OR(Q672=""GPB"",Q672=""ZAR""),IF(Q672=Dashboard!$L$1,M672,(M672*GOOGLEFINANCE(""CURRENCY:""&amp;Q672&amp;""""&amp;Dashboard!$L$1&amp;""""))/100),IF(Q672=Dashboard!$L$1,M672,M672*GOOGLEFINANCE(""CURRENCY:""&amp;Q672&amp;""""&amp;Dashboard!$L$1&amp;"""")))"&amp;",M672))"),"")</f>
        <v/>
      </c>
      <c r="T672" s="264" t="str">
        <f t="shared" si="4"/>
        <v/>
      </c>
      <c r="U672" s="264" t="str">
        <f t="shared" si="5"/>
        <v/>
      </c>
      <c r="V672" s="264" t="str">
        <f t="shared" si="6"/>
        <v/>
      </c>
      <c r="W672" s="267" t="str">
        <f t="shared" si="8"/>
        <v/>
      </c>
      <c r="X672" s="264" t="str">
        <f t="shared" si="7"/>
        <v/>
      </c>
    </row>
    <row r="673" ht="15.75" customHeight="1">
      <c r="A673" s="258"/>
      <c r="B673" s="258"/>
      <c r="C673" s="269"/>
      <c r="D673" s="258"/>
      <c r="E673" s="258"/>
      <c r="F673" s="258"/>
      <c r="G673" s="258"/>
      <c r="H673" s="271"/>
      <c r="I673" s="258"/>
      <c r="J673" s="272"/>
      <c r="K673" s="260"/>
      <c r="L673" s="261"/>
      <c r="M673" s="262" t="str">
        <f t="shared" si="1"/>
        <v/>
      </c>
      <c r="N673" s="263" t="str">
        <f t="shared" si="2"/>
        <v/>
      </c>
      <c r="O673" s="264" t="str">
        <f t="shared" si="3"/>
        <v/>
      </c>
      <c r="P673" s="265" t="str">
        <f>IFERROR(__xludf.DUMMYFUNCTION("IF(ISBLANK(A673),"""",IFERROR(IF(H673=""Sell"",VLOOKUP(9^99,FILTER({ROW(P$2:P672),P$2:P672},D$2:D672=D673),2),(VLOOKUP(9^99,FILTER({ROW(P$2:P672),P$2:P672},D$2:D672=D673),2)*VLOOKUP(9^99,FILTER({ROW(O$2:O672),O$2:O672},D$2:D672=D673),2)-N673)/O673),J673))"),"")</f>
        <v/>
      </c>
      <c r="Q673" s="264" t="str">
        <f>IFERROR(__xludf.DUMMYFUNCTION("IFERROR(IF(F673=""Crypto"",B673,(IF(ISBLANK(D673),"""",IF(D673=""Cash"",B673,IF(GOOGLEFINANCE(D673,""CURRENCY"")=""GBX"",""GBP"",GOOGLEFINANCE(D673,""CURRENCY"")))))),B673)"),"")</f>
        <v/>
      </c>
      <c r="R673" s="263" t="str">
        <f>IFERROR(__xludf.DUMMYFUNCTION("IF(ISBLANK(A673),"""",IFERROR(IF(OR(Q673=""GPB"",Q673=""ZAR""),IF(Q673=Dashboard!$L$1,K673,(K673*GOOGLEFINANCE(""CURRENCY:""&amp;Q673&amp;""""&amp;Dashboard!$L$1&amp;""""))/100),IF(Q673=Dashboard!$L$1,K673,K673*GOOGLEFINANCE(""CURRENCY:""&amp;Q673&amp;""""&amp;Dashboard!$L$1&amp;"""")))"&amp;",K673))"),"")</f>
        <v/>
      </c>
      <c r="S673" s="266" t="str">
        <f>IFERROR(__xludf.DUMMYFUNCTION("IF(ISBLANK(A673),"""",IFERROR(IF(OR(Q673=""GPB"",Q673=""ZAR""),IF(Q673=Dashboard!$L$1,M673,(M673*GOOGLEFINANCE(""CURRENCY:""&amp;Q673&amp;""""&amp;Dashboard!$L$1&amp;""""))/100),IF(Q673=Dashboard!$L$1,M673,M673*GOOGLEFINANCE(""CURRENCY:""&amp;Q673&amp;""""&amp;Dashboard!$L$1&amp;"""")))"&amp;",M673))"),"")</f>
        <v/>
      </c>
      <c r="T673" s="264" t="str">
        <f t="shared" si="4"/>
        <v/>
      </c>
      <c r="U673" s="264" t="str">
        <f t="shared" si="5"/>
        <v/>
      </c>
      <c r="V673" s="264" t="str">
        <f t="shared" si="6"/>
        <v/>
      </c>
      <c r="W673" s="267" t="str">
        <f t="shared" si="8"/>
        <v/>
      </c>
      <c r="X673" s="264" t="str">
        <f t="shared" si="7"/>
        <v/>
      </c>
    </row>
    <row r="674" ht="15.75" customHeight="1">
      <c r="A674" s="258"/>
      <c r="B674" s="258"/>
      <c r="C674" s="269"/>
      <c r="D674" s="258"/>
      <c r="E674" s="258"/>
      <c r="F674" s="258"/>
      <c r="G674" s="258"/>
      <c r="H674" s="271"/>
      <c r="I674" s="258"/>
      <c r="J674" s="272"/>
      <c r="K674" s="260"/>
      <c r="L674" s="261"/>
      <c r="M674" s="262" t="str">
        <f t="shared" si="1"/>
        <v/>
      </c>
      <c r="N674" s="263" t="str">
        <f t="shared" si="2"/>
        <v/>
      </c>
      <c r="O674" s="264" t="str">
        <f t="shared" si="3"/>
        <v/>
      </c>
      <c r="P674" s="265" t="str">
        <f>IFERROR(__xludf.DUMMYFUNCTION("IF(ISBLANK(A674),"""",IFERROR(IF(H674=""Sell"",VLOOKUP(9^99,FILTER({ROW(P$2:P673),P$2:P673},D$2:D673=D674),2),(VLOOKUP(9^99,FILTER({ROW(P$2:P673),P$2:P673},D$2:D673=D674),2)*VLOOKUP(9^99,FILTER({ROW(O$2:O673),O$2:O673},D$2:D673=D674),2)-N674)/O674),J674))"),"")</f>
        <v/>
      </c>
      <c r="Q674" s="264" t="str">
        <f>IFERROR(__xludf.DUMMYFUNCTION("IFERROR(IF(F674=""Crypto"",B674,(IF(ISBLANK(D674),"""",IF(D674=""Cash"",B674,IF(GOOGLEFINANCE(D674,""CURRENCY"")=""GBX"",""GBP"",GOOGLEFINANCE(D674,""CURRENCY"")))))),B674)"),"")</f>
        <v/>
      </c>
      <c r="R674" s="263" t="str">
        <f>IFERROR(__xludf.DUMMYFUNCTION("IF(ISBLANK(A674),"""",IFERROR(IF(OR(Q674=""GPB"",Q674=""ZAR""),IF(Q674=Dashboard!$L$1,K674,(K674*GOOGLEFINANCE(""CURRENCY:""&amp;Q674&amp;""""&amp;Dashboard!$L$1&amp;""""))/100),IF(Q674=Dashboard!$L$1,K674,K674*GOOGLEFINANCE(""CURRENCY:""&amp;Q674&amp;""""&amp;Dashboard!$L$1&amp;"""")))"&amp;",K674))"),"")</f>
        <v/>
      </c>
      <c r="S674" s="266" t="str">
        <f>IFERROR(__xludf.DUMMYFUNCTION("IF(ISBLANK(A674),"""",IFERROR(IF(OR(Q674=""GPB"",Q674=""ZAR""),IF(Q674=Dashboard!$L$1,M674,(M674*GOOGLEFINANCE(""CURRENCY:""&amp;Q674&amp;""""&amp;Dashboard!$L$1&amp;""""))/100),IF(Q674=Dashboard!$L$1,M674,M674*GOOGLEFINANCE(""CURRENCY:""&amp;Q674&amp;""""&amp;Dashboard!$L$1&amp;"""")))"&amp;",M674))"),"")</f>
        <v/>
      </c>
      <c r="T674" s="264" t="str">
        <f t="shared" si="4"/>
        <v/>
      </c>
      <c r="U674" s="264" t="str">
        <f t="shared" si="5"/>
        <v/>
      </c>
      <c r="V674" s="264" t="str">
        <f t="shared" si="6"/>
        <v/>
      </c>
      <c r="W674" s="267" t="str">
        <f t="shared" si="8"/>
        <v/>
      </c>
      <c r="X674" s="264" t="str">
        <f t="shared" si="7"/>
        <v/>
      </c>
    </row>
    <row r="675" ht="15.75" customHeight="1">
      <c r="A675" s="258"/>
      <c r="B675" s="258"/>
      <c r="C675" s="269"/>
      <c r="D675" s="258"/>
      <c r="E675" s="258"/>
      <c r="F675" s="258"/>
      <c r="G675" s="258"/>
      <c r="H675" s="271"/>
      <c r="I675" s="258"/>
      <c r="J675" s="272"/>
      <c r="K675" s="260"/>
      <c r="L675" s="261"/>
      <c r="M675" s="262" t="str">
        <f t="shared" si="1"/>
        <v/>
      </c>
      <c r="N675" s="263" t="str">
        <f t="shared" si="2"/>
        <v/>
      </c>
      <c r="O675" s="264" t="str">
        <f t="shared" si="3"/>
        <v/>
      </c>
      <c r="P675" s="265" t="str">
        <f>IFERROR(__xludf.DUMMYFUNCTION("IF(ISBLANK(A675),"""",IFERROR(IF(H675=""Sell"",VLOOKUP(9^99,FILTER({ROW(P$2:P674),P$2:P674},D$2:D674=D675),2),(VLOOKUP(9^99,FILTER({ROW(P$2:P674),P$2:P674},D$2:D674=D675),2)*VLOOKUP(9^99,FILTER({ROW(O$2:O674),O$2:O674},D$2:D674=D675),2)-N675)/O675),J675))"),"")</f>
        <v/>
      </c>
      <c r="Q675" s="264" t="str">
        <f>IFERROR(__xludf.DUMMYFUNCTION("IFERROR(IF(F675=""Crypto"",B675,(IF(ISBLANK(D675),"""",IF(D675=""Cash"",B675,IF(GOOGLEFINANCE(D675,""CURRENCY"")=""GBX"",""GBP"",GOOGLEFINANCE(D675,""CURRENCY"")))))),B675)"),"")</f>
        <v/>
      </c>
      <c r="R675" s="263" t="str">
        <f>IFERROR(__xludf.DUMMYFUNCTION("IF(ISBLANK(A675),"""",IFERROR(IF(OR(Q675=""GPB"",Q675=""ZAR""),IF(Q675=Dashboard!$L$1,K675,(K675*GOOGLEFINANCE(""CURRENCY:""&amp;Q675&amp;""""&amp;Dashboard!$L$1&amp;""""))/100),IF(Q675=Dashboard!$L$1,K675,K675*GOOGLEFINANCE(""CURRENCY:""&amp;Q675&amp;""""&amp;Dashboard!$L$1&amp;"""")))"&amp;",K675))"),"")</f>
        <v/>
      </c>
      <c r="S675" s="266" t="str">
        <f>IFERROR(__xludf.DUMMYFUNCTION("IF(ISBLANK(A675),"""",IFERROR(IF(OR(Q675=""GPB"",Q675=""ZAR""),IF(Q675=Dashboard!$L$1,M675,(M675*GOOGLEFINANCE(""CURRENCY:""&amp;Q675&amp;""""&amp;Dashboard!$L$1&amp;""""))/100),IF(Q675=Dashboard!$L$1,M675,M675*GOOGLEFINANCE(""CURRENCY:""&amp;Q675&amp;""""&amp;Dashboard!$L$1&amp;"""")))"&amp;",M675))"),"")</f>
        <v/>
      </c>
      <c r="T675" s="264" t="str">
        <f t="shared" si="4"/>
        <v/>
      </c>
      <c r="U675" s="264" t="str">
        <f t="shared" si="5"/>
        <v/>
      </c>
      <c r="V675" s="264" t="str">
        <f t="shared" si="6"/>
        <v/>
      </c>
      <c r="W675" s="267" t="str">
        <f t="shared" si="8"/>
        <v/>
      </c>
      <c r="X675" s="264" t="str">
        <f t="shared" si="7"/>
        <v/>
      </c>
    </row>
    <row r="676" ht="15.75" customHeight="1">
      <c r="A676" s="258"/>
      <c r="B676" s="258"/>
      <c r="C676" s="269"/>
      <c r="D676" s="258"/>
      <c r="E676" s="258"/>
      <c r="F676" s="258"/>
      <c r="G676" s="258"/>
      <c r="H676" s="271"/>
      <c r="I676" s="258"/>
      <c r="J676" s="272"/>
      <c r="K676" s="260"/>
      <c r="L676" s="261"/>
      <c r="M676" s="262" t="str">
        <f t="shared" si="1"/>
        <v/>
      </c>
      <c r="N676" s="263" t="str">
        <f t="shared" si="2"/>
        <v/>
      </c>
      <c r="O676" s="264" t="str">
        <f t="shared" si="3"/>
        <v/>
      </c>
      <c r="P676" s="265" t="str">
        <f>IFERROR(__xludf.DUMMYFUNCTION("IF(ISBLANK(A676),"""",IFERROR(IF(H676=""Sell"",VLOOKUP(9^99,FILTER({ROW(P$2:P675),P$2:P675},D$2:D675=D676),2),(VLOOKUP(9^99,FILTER({ROW(P$2:P675),P$2:P675},D$2:D675=D676),2)*VLOOKUP(9^99,FILTER({ROW(O$2:O675),O$2:O675},D$2:D675=D676),2)-N676)/O676),J676))"),"")</f>
        <v/>
      </c>
      <c r="Q676" s="264" t="str">
        <f>IFERROR(__xludf.DUMMYFUNCTION("IFERROR(IF(F676=""Crypto"",B676,(IF(ISBLANK(D676),"""",IF(D676=""Cash"",B676,IF(GOOGLEFINANCE(D676,""CURRENCY"")=""GBX"",""GBP"",GOOGLEFINANCE(D676,""CURRENCY"")))))),B676)"),"")</f>
        <v/>
      </c>
      <c r="R676" s="263" t="str">
        <f>IFERROR(__xludf.DUMMYFUNCTION("IF(ISBLANK(A676),"""",IFERROR(IF(OR(Q676=""GPB"",Q676=""ZAR""),IF(Q676=Dashboard!$L$1,K676,(K676*GOOGLEFINANCE(""CURRENCY:""&amp;Q676&amp;""""&amp;Dashboard!$L$1&amp;""""))/100),IF(Q676=Dashboard!$L$1,K676,K676*GOOGLEFINANCE(""CURRENCY:""&amp;Q676&amp;""""&amp;Dashboard!$L$1&amp;"""")))"&amp;",K676))"),"")</f>
        <v/>
      </c>
      <c r="S676" s="266" t="str">
        <f>IFERROR(__xludf.DUMMYFUNCTION("IF(ISBLANK(A676),"""",IFERROR(IF(OR(Q676=""GPB"",Q676=""ZAR""),IF(Q676=Dashboard!$L$1,M676,(M676*GOOGLEFINANCE(""CURRENCY:""&amp;Q676&amp;""""&amp;Dashboard!$L$1&amp;""""))/100),IF(Q676=Dashboard!$L$1,M676,M676*GOOGLEFINANCE(""CURRENCY:""&amp;Q676&amp;""""&amp;Dashboard!$L$1&amp;"""")))"&amp;",M676))"),"")</f>
        <v/>
      </c>
      <c r="T676" s="264" t="str">
        <f t="shared" si="4"/>
        <v/>
      </c>
      <c r="U676" s="264" t="str">
        <f t="shared" si="5"/>
        <v/>
      </c>
      <c r="V676" s="264" t="str">
        <f t="shared" si="6"/>
        <v/>
      </c>
      <c r="W676" s="267" t="str">
        <f t="shared" si="8"/>
        <v/>
      </c>
      <c r="X676" s="264" t="str">
        <f t="shared" si="7"/>
        <v/>
      </c>
    </row>
    <row r="677" ht="15.75" customHeight="1">
      <c r="A677" s="258"/>
      <c r="B677" s="258"/>
      <c r="C677" s="269"/>
      <c r="D677" s="258"/>
      <c r="E677" s="258"/>
      <c r="F677" s="258"/>
      <c r="G677" s="258"/>
      <c r="H677" s="271"/>
      <c r="I677" s="258"/>
      <c r="J677" s="272"/>
      <c r="K677" s="260"/>
      <c r="L677" s="261"/>
      <c r="M677" s="262" t="str">
        <f t="shared" si="1"/>
        <v/>
      </c>
      <c r="N677" s="263" t="str">
        <f t="shared" si="2"/>
        <v/>
      </c>
      <c r="O677" s="264" t="str">
        <f t="shared" si="3"/>
        <v/>
      </c>
      <c r="P677" s="265" t="str">
        <f>IFERROR(__xludf.DUMMYFUNCTION("IF(ISBLANK(A677),"""",IFERROR(IF(H677=""Sell"",VLOOKUP(9^99,FILTER({ROW(P$2:P676),P$2:P676},D$2:D676=D677),2),(VLOOKUP(9^99,FILTER({ROW(P$2:P676),P$2:P676},D$2:D676=D677),2)*VLOOKUP(9^99,FILTER({ROW(O$2:O676),O$2:O676},D$2:D676=D677),2)-N677)/O677),J677))"),"")</f>
        <v/>
      </c>
      <c r="Q677" s="264" t="str">
        <f>IFERROR(__xludf.DUMMYFUNCTION("IFERROR(IF(F677=""Crypto"",B677,(IF(ISBLANK(D677),"""",IF(D677=""Cash"",B677,IF(GOOGLEFINANCE(D677,""CURRENCY"")=""GBX"",""GBP"",GOOGLEFINANCE(D677,""CURRENCY"")))))),B677)"),"")</f>
        <v/>
      </c>
      <c r="R677" s="263" t="str">
        <f>IFERROR(__xludf.DUMMYFUNCTION("IF(ISBLANK(A677),"""",IFERROR(IF(OR(Q677=""GPB"",Q677=""ZAR""),IF(Q677=Dashboard!$L$1,K677,(K677*GOOGLEFINANCE(""CURRENCY:""&amp;Q677&amp;""""&amp;Dashboard!$L$1&amp;""""))/100),IF(Q677=Dashboard!$L$1,K677,K677*GOOGLEFINANCE(""CURRENCY:""&amp;Q677&amp;""""&amp;Dashboard!$L$1&amp;"""")))"&amp;",K677))"),"")</f>
        <v/>
      </c>
      <c r="S677" s="266" t="str">
        <f>IFERROR(__xludf.DUMMYFUNCTION("IF(ISBLANK(A677),"""",IFERROR(IF(OR(Q677=""GPB"",Q677=""ZAR""),IF(Q677=Dashboard!$L$1,M677,(M677*GOOGLEFINANCE(""CURRENCY:""&amp;Q677&amp;""""&amp;Dashboard!$L$1&amp;""""))/100),IF(Q677=Dashboard!$L$1,M677,M677*GOOGLEFINANCE(""CURRENCY:""&amp;Q677&amp;""""&amp;Dashboard!$L$1&amp;"""")))"&amp;",M677))"),"")</f>
        <v/>
      </c>
      <c r="T677" s="264" t="str">
        <f t="shared" si="4"/>
        <v/>
      </c>
      <c r="U677" s="264" t="str">
        <f t="shared" si="5"/>
        <v/>
      </c>
      <c r="V677" s="264" t="str">
        <f t="shared" si="6"/>
        <v/>
      </c>
      <c r="W677" s="267" t="str">
        <f t="shared" si="8"/>
        <v/>
      </c>
      <c r="X677" s="264" t="str">
        <f t="shared" si="7"/>
        <v/>
      </c>
    </row>
    <row r="678" ht="15.75" customHeight="1">
      <c r="A678" s="258"/>
      <c r="B678" s="258"/>
      <c r="C678" s="269"/>
      <c r="D678" s="258"/>
      <c r="E678" s="258"/>
      <c r="F678" s="258"/>
      <c r="G678" s="258"/>
      <c r="H678" s="271"/>
      <c r="I678" s="258"/>
      <c r="J678" s="272"/>
      <c r="K678" s="260"/>
      <c r="L678" s="261"/>
      <c r="M678" s="262" t="str">
        <f t="shared" si="1"/>
        <v/>
      </c>
      <c r="N678" s="263" t="str">
        <f t="shared" si="2"/>
        <v/>
      </c>
      <c r="O678" s="264" t="str">
        <f t="shared" si="3"/>
        <v/>
      </c>
      <c r="P678" s="265" t="str">
        <f>IFERROR(__xludf.DUMMYFUNCTION("IF(ISBLANK(A678),"""",IFERROR(IF(H678=""Sell"",VLOOKUP(9^99,FILTER({ROW(P$2:P677),P$2:P677},D$2:D677=D678),2),(VLOOKUP(9^99,FILTER({ROW(P$2:P677),P$2:P677},D$2:D677=D678),2)*VLOOKUP(9^99,FILTER({ROW(O$2:O677),O$2:O677},D$2:D677=D678),2)-N678)/O678),J678))"),"")</f>
        <v/>
      </c>
      <c r="Q678" s="264" t="str">
        <f>IFERROR(__xludf.DUMMYFUNCTION("IFERROR(IF(F678=""Crypto"",B678,(IF(ISBLANK(D678),"""",IF(D678=""Cash"",B678,IF(GOOGLEFINANCE(D678,""CURRENCY"")=""GBX"",""GBP"",GOOGLEFINANCE(D678,""CURRENCY"")))))),B678)"),"")</f>
        <v/>
      </c>
      <c r="R678" s="263" t="str">
        <f>IFERROR(__xludf.DUMMYFUNCTION("IF(ISBLANK(A678),"""",IFERROR(IF(OR(Q678=""GPB"",Q678=""ZAR""),IF(Q678=Dashboard!$L$1,K678,(K678*GOOGLEFINANCE(""CURRENCY:""&amp;Q678&amp;""""&amp;Dashboard!$L$1&amp;""""))/100),IF(Q678=Dashboard!$L$1,K678,K678*GOOGLEFINANCE(""CURRENCY:""&amp;Q678&amp;""""&amp;Dashboard!$L$1&amp;"""")))"&amp;",K678))"),"")</f>
        <v/>
      </c>
      <c r="S678" s="266" t="str">
        <f>IFERROR(__xludf.DUMMYFUNCTION("IF(ISBLANK(A678),"""",IFERROR(IF(OR(Q678=""GPB"",Q678=""ZAR""),IF(Q678=Dashboard!$L$1,M678,(M678*GOOGLEFINANCE(""CURRENCY:""&amp;Q678&amp;""""&amp;Dashboard!$L$1&amp;""""))/100),IF(Q678=Dashboard!$L$1,M678,M678*GOOGLEFINANCE(""CURRENCY:""&amp;Q678&amp;""""&amp;Dashboard!$L$1&amp;"""")))"&amp;",M678))"),"")</f>
        <v/>
      </c>
      <c r="T678" s="264" t="str">
        <f t="shared" si="4"/>
        <v/>
      </c>
      <c r="U678" s="264" t="str">
        <f t="shared" si="5"/>
        <v/>
      </c>
      <c r="V678" s="264" t="str">
        <f t="shared" si="6"/>
        <v/>
      </c>
      <c r="W678" s="267" t="str">
        <f t="shared" si="8"/>
        <v/>
      </c>
      <c r="X678" s="264" t="str">
        <f t="shared" si="7"/>
        <v/>
      </c>
    </row>
    <row r="679" ht="15.75" customHeight="1">
      <c r="A679" s="258"/>
      <c r="B679" s="258"/>
      <c r="C679" s="269"/>
      <c r="D679" s="258"/>
      <c r="E679" s="258"/>
      <c r="F679" s="258"/>
      <c r="G679" s="258"/>
      <c r="H679" s="271"/>
      <c r="I679" s="258"/>
      <c r="J679" s="272"/>
      <c r="K679" s="260"/>
      <c r="L679" s="261"/>
      <c r="M679" s="262" t="str">
        <f t="shared" si="1"/>
        <v/>
      </c>
      <c r="N679" s="263" t="str">
        <f t="shared" si="2"/>
        <v/>
      </c>
      <c r="O679" s="264" t="str">
        <f t="shared" si="3"/>
        <v/>
      </c>
      <c r="P679" s="265" t="str">
        <f>IFERROR(__xludf.DUMMYFUNCTION("IF(ISBLANK(A679),"""",IFERROR(IF(H679=""Sell"",VLOOKUP(9^99,FILTER({ROW(P$2:P678),P$2:P678},D$2:D678=D679),2),(VLOOKUP(9^99,FILTER({ROW(P$2:P678),P$2:P678},D$2:D678=D679),2)*VLOOKUP(9^99,FILTER({ROW(O$2:O678),O$2:O678},D$2:D678=D679),2)-N679)/O679),J679))"),"")</f>
        <v/>
      </c>
      <c r="Q679" s="264" t="str">
        <f>IFERROR(__xludf.DUMMYFUNCTION("IFERROR(IF(F679=""Crypto"",B679,(IF(ISBLANK(D679),"""",IF(D679=""Cash"",B679,IF(GOOGLEFINANCE(D679,""CURRENCY"")=""GBX"",""GBP"",GOOGLEFINANCE(D679,""CURRENCY"")))))),B679)"),"")</f>
        <v/>
      </c>
      <c r="R679" s="263" t="str">
        <f>IFERROR(__xludf.DUMMYFUNCTION("IF(ISBLANK(A679),"""",IFERROR(IF(OR(Q679=""GPB"",Q679=""ZAR""),IF(Q679=Dashboard!$L$1,K679,(K679*GOOGLEFINANCE(""CURRENCY:""&amp;Q679&amp;""""&amp;Dashboard!$L$1&amp;""""))/100),IF(Q679=Dashboard!$L$1,K679,K679*GOOGLEFINANCE(""CURRENCY:""&amp;Q679&amp;""""&amp;Dashboard!$L$1&amp;"""")))"&amp;",K679))"),"")</f>
        <v/>
      </c>
      <c r="S679" s="266" t="str">
        <f>IFERROR(__xludf.DUMMYFUNCTION("IF(ISBLANK(A679),"""",IFERROR(IF(OR(Q679=""GPB"",Q679=""ZAR""),IF(Q679=Dashboard!$L$1,M679,(M679*GOOGLEFINANCE(""CURRENCY:""&amp;Q679&amp;""""&amp;Dashboard!$L$1&amp;""""))/100),IF(Q679=Dashboard!$L$1,M679,M679*GOOGLEFINANCE(""CURRENCY:""&amp;Q679&amp;""""&amp;Dashboard!$L$1&amp;"""")))"&amp;",M679))"),"")</f>
        <v/>
      </c>
      <c r="T679" s="264" t="str">
        <f t="shared" si="4"/>
        <v/>
      </c>
      <c r="U679" s="264" t="str">
        <f t="shared" si="5"/>
        <v/>
      </c>
      <c r="V679" s="264" t="str">
        <f t="shared" si="6"/>
        <v/>
      </c>
      <c r="W679" s="267" t="str">
        <f t="shared" si="8"/>
        <v/>
      </c>
      <c r="X679" s="264" t="str">
        <f t="shared" si="7"/>
        <v/>
      </c>
    </row>
    <row r="680" ht="15.75" customHeight="1">
      <c r="A680" s="258"/>
      <c r="B680" s="258"/>
      <c r="C680" s="269"/>
      <c r="D680" s="258"/>
      <c r="E680" s="258"/>
      <c r="F680" s="258"/>
      <c r="G680" s="258"/>
      <c r="H680" s="271"/>
      <c r="I680" s="258"/>
      <c r="J680" s="272"/>
      <c r="K680" s="260"/>
      <c r="L680" s="261"/>
      <c r="M680" s="262" t="str">
        <f t="shared" si="1"/>
        <v/>
      </c>
      <c r="N680" s="263" t="str">
        <f t="shared" si="2"/>
        <v/>
      </c>
      <c r="O680" s="264" t="str">
        <f t="shared" si="3"/>
        <v/>
      </c>
      <c r="P680" s="265" t="str">
        <f>IFERROR(__xludf.DUMMYFUNCTION("IF(ISBLANK(A680),"""",IFERROR(IF(H680=""Sell"",VLOOKUP(9^99,FILTER({ROW(P$2:P679),P$2:P679},D$2:D679=D680),2),(VLOOKUP(9^99,FILTER({ROW(P$2:P679),P$2:P679},D$2:D679=D680),2)*VLOOKUP(9^99,FILTER({ROW(O$2:O679),O$2:O679},D$2:D679=D680),2)-N680)/O680),J680))"),"")</f>
        <v/>
      </c>
      <c r="Q680" s="264" t="str">
        <f>IFERROR(__xludf.DUMMYFUNCTION("IFERROR(IF(F680=""Crypto"",B680,(IF(ISBLANK(D680),"""",IF(D680=""Cash"",B680,IF(GOOGLEFINANCE(D680,""CURRENCY"")=""GBX"",""GBP"",GOOGLEFINANCE(D680,""CURRENCY"")))))),B680)"),"")</f>
        <v/>
      </c>
      <c r="R680" s="263" t="str">
        <f>IFERROR(__xludf.DUMMYFUNCTION("IF(ISBLANK(A680),"""",IFERROR(IF(OR(Q680=""GPB"",Q680=""ZAR""),IF(Q680=Dashboard!$L$1,K680,(K680*GOOGLEFINANCE(""CURRENCY:""&amp;Q680&amp;""""&amp;Dashboard!$L$1&amp;""""))/100),IF(Q680=Dashboard!$L$1,K680,K680*GOOGLEFINANCE(""CURRENCY:""&amp;Q680&amp;""""&amp;Dashboard!$L$1&amp;"""")))"&amp;",K680))"),"")</f>
        <v/>
      </c>
      <c r="S680" s="266" t="str">
        <f>IFERROR(__xludf.DUMMYFUNCTION("IF(ISBLANK(A680),"""",IFERROR(IF(OR(Q680=""GPB"",Q680=""ZAR""),IF(Q680=Dashboard!$L$1,M680,(M680*GOOGLEFINANCE(""CURRENCY:""&amp;Q680&amp;""""&amp;Dashboard!$L$1&amp;""""))/100),IF(Q680=Dashboard!$L$1,M680,M680*GOOGLEFINANCE(""CURRENCY:""&amp;Q680&amp;""""&amp;Dashboard!$L$1&amp;"""")))"&amp;",M680))"),"")</f>
        <v/>
      </c>
      <c r="T680" s="264" t="str">
        <f t="shared" si="4"/>
        <v/>
      </c>
      <c r="U680" s="264" t="str">
        <f t="shared" si="5"/>
        <v/>
      </c>
      <c r="V680" s="264" t="str">
        <f t="shared" si="6"/>
        <v/>
      </c>
      <c r="W680" s="267" t="str">
        <f t="shared" si="8"/>
        <v/>
      </c>
      <c r="X680" s="264" t="str">
        <f t="shared" si="7"/>
        <v/>
      </c>
    </row>
    <row r="681" ht="15.75" customHeight="1">
      <c r="A681" s="258"/>
      <c r="B681" s="258"/>
      <c r="C681" s="269"/>
      <c r="D681" s="258"/>
      <c r="E681" s="258"/>
      <c r="F681" s="258"/>
      <c r="G681" s="258"/>
      <c r="H681" s="271"/>
      <c r="I681" s="258"/>
      <c r="J681" s="272"/>
      <c r="K681" s="260"/>
      <c r="L681" s="261"/>
      <c r="M681" s="262" t="str">
        <f t="shared" si="1"/>
        <v/>
      </c>
      <c r="N681" s="263" t="str">
        <f t="shared" si="2"/>
        <v/>
      </c>
      <c r="O681" s="264" t="str">
        <f t="shared" si="3"/>
        <v/>
      </c>
      <c r="P681" s="265" t="str">
        <f>IFERROR(__xludf.DUMMYFUNCTION("IF(ISBLANK(A681),"""",IFERROR(IF(H681=""Sell"",VLOOKUP(9^99,FILTER({ROW(P$2:P680),P$2:P680},D$2:D680=D681),2),(VLOOKUP(9^99,FILTER({ROW(P$2:P680),P$2:P680},D$2:D680=D681),2)*VLOOKUP(9^99,FILTER({ROW(O$2:O680),O$2:O680},D$2:D680=D681),2)-N681)/O681),J681))"),"")</f>
        <v/>
      </c>
      <c r="Q681" s="264" t="str">
        <f>IFERROR(__xludf.DUMMYFUNCTION("IFERROR(IF(F681=""Crypto"",B681,(IF(ISBLANK(D681),"""",IF(D681=""Cash"",B681,IF(GOOGLEFINANCE(D681,""CURRENCY"")=""GBX"",""GBP"",GOOGLEFINANCE(D681,""CURRENCY"")))))),B681)"),"")</f>
        <v/>
      </c>
      <c r="R681" s="263" t="str">
        <f>IFERROR(__xludf.DUMMYFUNCTION("IF(ISBLANK(A681),"""",IFERROR(IF(OR(Q681=""GPB"",Q681=""ZAR""),IF(Q681=Dashboard!$L$1,K681,(K681*GOOGLEFINANCE(""CURRENCY:""&amp;Q681&amp;""""&amp;Dashboard!$L$1&amp;""""))/100),IF(Q681=Dashboard!$L$1,K681,K681*GOOGLEFINANCE(""CURRENCY:""&amp;Q681&amp;""""&amp;Dashboard!$L$1&amp;"""")))"&amp;",K681))"),"")</f>
        <v/>
      </c>
      <c r="S681" s="266" t="str">
        <f>IFERROR(__xludf.DUMMYFUNCTION("IF(ISBLANK(A681),"""",IFERROR(IF(OR(Q681=""GPB"",Q681=""ZAR""),IF(Q681=Dashboard!$L$1,M681,(M681*GOOGLEFINANCE(""CURRENCY:""&amp;Q681&amp;""""&amp;Dashboard!$L$1&amp;""""))/100),IF(Q681=Dashboard!$L$1,M681,M681*GOOGLEFINANCE(""CURRENCY:""&amp;Q681&amp;""""&amp;Dashboard!$L$1&amp;"""")))"&amp;",M681))"),"")</f>
        <v/>
      </c>
      <c r="T681" s="264" t="str">
        <f t="shared" si="4"/>
        <v/>
      </c>
      <c r="U681" s="264" t="str">
        <f t="shared" si="5"/>
        <v/>
      </c>
      <c r="V681" s="264" t="str">
        <f t="shared" si="6"/>
        <v/>
      </c>
      <c r="W681" s="267" t="str">
        <f t="shared" si="8"/>
        <v/>
      </c>
      <c r="X681" s="264" t="str">
        <f t="shared" si="7"/>
        <v/>
      </c>
    </row>
    <row r="682" ht="15.75" customHeight="1">
      <c r="A682" s="258"/>
      <c r="B682" s="258"/>
      <c r="C682" s="269"/>
      <c r="D682" s="258"/>
      <c r="E682" s="258"/>
      <c r="F682" s="258"/>
      <c r="G682" s="258"/>
      <c r="H682" s="271"/>
      <c r="I682" s="258"/>
      <c r="J682" s="272"/>
      <c r="K682" s="260"/>
      <c r="L682" s="261"/>
      <c r="M682" s="262" t="str">
        <f t="shared" si="1"/>
        <v/>
      </c>
      <c r="N682" s="263" t="str">
        <f t="shared" si="2"/>
        <v/>
      </c>
      <c r="O682" s="264" t="str">
        <f t="shared" si="3"/>
        <v/>
      </c>
      <c r="P682" s="265" t="str">
        <f>IFERROR(__xludf.DUMMYFUNCTION("IF(ISBLANK(A682),"""",IFERROR(IF(H682=""Sell"",VLOOKUP(9^99,FILTER({ROW(P$2:P681),P$2:P681},D$2:D681=D682),2),(VLOOKUP(9^99,FILTER({ROW(P$2:P681),P$2:P681},D$2:D681=D682),2)*VLOOKUP(9^99,FILTER({ROW(O$2:O681),O$2:O681},D$2:D681=D682),2)-N682)/O682),J682))"),"")</f>
        <v/>
      </c>
      <c r="Q682" s="264" t="str">
        <f>IFERROR(__xludf.DUMMYFUNCTION("IFERROR(IF(F682=""Crypto"",B682,(IF(ISBLANK(D682),"""",IF(D682=""Cash"",B682,IF(GOOGLEFINANCE(D682,""CURRENCY"")=""GBX"",""GBP"",GOOGLEFINANCE(D682,""CURRENCY"")))))),B682)"),"")</f>
        <v/>
      </c>
      <c r="R682" s="263" t="str">
        <f>IFERROR(__xludf.DUMMYFUNCTION("IF(ISBLANK(A682),"""",IFERROR(IF(OR(Q682=""GPB"",Q682=""ZAR""),IF(Q682=Dashboard!$L$1,K682,(K682*GOOGLEFINANCE(""CURRENCY:""&amp;Q682&amp;""""&amp;Dashboard!$L$1&amp;""""))/100),IF(Q682=Dashboard!$L$1,K682,K682*GOOGLEFINANCE(""CURRENCY:""&amp;Q682&amp;""""&amp;Dashboard!$L$1&amp;"""")))"&amp;",K682))"),"")</f>
        <v/>
      </c>
      <c r="S682" s="266" t="str">
        <f>IFERROR(__xludf.DUMMYFUNCTION("IF(ISBLANK(A682),"""",IFERROR(IF(OR(Q682=""GPB"",Q682=""ZAR""),IF(Q682=Dashboard!$L$1,M682,(M682*GOOGLEFINANCE(""CURRENCY:""&amp;Q682&amp;""""&amp;Dashboard!$L$1&amp;""""))/100),IF(Q682=Dashboard!$L$1,M682,M682*GOOGLEFINANCE(""CURRENCY:""&amp;Q682&amp;""""&amp;Dashboard!$L$1&amp;"""")))"&amp;",M682))"),"")</f>
        <v/>
      </c>
      <c r="T682" s="264" t="str">
        <f t="shared" si="4"/>
        <v/>
      </c>
      <c r="U682" s="264" t="str">
        <f t="shared" si="5"/>
        <v/>
      </c>
      <c r="V682" s="264" t="str">
        <f t="shared" si="6"/>
        <v/>
      </c>
      <c r="W682" s="267" t="str">
        <f t="shared" si="8"/>
        <v/>
      </c>
      <c r="X682" s="264" t="str">
        <f t="shared" si="7"/>
        <v/>
      </c>
    </row>
    <row r="683" ht="15.75" customHeight="1">
      <c r="A683" s="258"/>
      <c r="B683" s="258"/>
      <c r="C683" s="269"/>
      <c r="D683" s="258"/>
      <c r="E683" s="258"/>
      <c r="F683" s="258"/>
      <c r="G683" s="258"/>
      <c r="H683" s="271"/>
      <c r="I683" s="258"/>
      <c r="J683" s="272"/>
      <c r="K683" s="260"/>
      <c r="L683" s="261"/>
      <c r="M683" s="262" t="str">
        <f t="shared" si="1"/>
        <v/>
      </c>
      <c r="N683" s="263" t="str">
        <f t="shared" si="2"/>
        <v/>
      </c>
      <c r="O683" s="264" t="str">
        <f t="shared" si="3"/>
        <v/>
      </c>
      <c r="P683" s="265" t="str">
        <f>IFERROR(__xludf.DUMMYFUNCTION("IF(ISBLANK(A683),"""",IFERROR(IF(H683=""Sell"",VLOOKUP(9^99,FILTER({ROW(P$2:P682),P$2:P682},D$2:D682=D683),2),(VLOOKUP(9^99,FILTER({ROW(P$2:P682),P$2:P682},D$2:D682=D683),2)*VLOOKUP(9^99,FILTER({ROW(O$2:O682),O$2:O682},D$2:D682=D683),2)-N683)/O683),J683))"),"")</f>
        <v/>
      </c>
      <c r="Q683" s="264" t="str">
        <f>IFERROR(__xludf.DUMMYFUNCTION("IFERROR(IF(F683=""Crypto"",B683,(IF(ISBLANK(D683),"""",IF(D683=""Cash"",B683,IF(GOOGLEFINANCE(D683,""CURRENCY"")=""GBX"",""GBP"",GOOGLEFINANCE(D683,""CURRENCY"")))))),B683)"),"")</f>
        <v/>
      </c>
      <c r="R683" s="263" t="str">
        <f>IFERROR(__xludf.DUMMYFUNCTION("IF(ISBLANK(A683),"""",IFERROR(IF(OR(Q683=""GPB"",Q683=""ZAR""),IF(Q683=Dashboard!$L$1,K683,(K683*GOOGLEFINANCE(""CURRENCY:""&amp;Q683&amp;""""&amp;Dashboard!$L$1&amp;""""))/100),IF(Q683=Dashboard!$L$1,K683,K683*GOOGLEFINANCE(""CURRENCY:""&amp;Q683&amp;""""&amp;Dashboard!$L$1&amp;"""")))"&amp;",K683))"),"")</f>
        <v/>
      </c>
      <c r="S683" s="266" t="str">
        <f>IFERROR(__xludf.DUMMYFUNCTION("IF(ISBLANK(A683),"""",IFERROR(IF(OR(Q683=""GPB"",Q683=""ZAR""),IF(Q683=Dashboard!$L$1,M683,(M683*GOOGLEFINANCE(""CURRENCY:""&amp;Q683&amp;""""&amp;Dashboard!$L$1&amp;""""))/100),IF(Q683=Dashboard!$L$1,M683,M683*GOOGLEFINANCE(""CURRENCY:""&amp;Q683&amp;""""&amp;Dashboard!$L$1&amp;"""")))"&amp;",M683))"),"")</f>
        <v/>
      </c>
      <c r="T683" s="264" t="str">
        <f t="shared" si="4"/>
        <v/>
      </c>
      <c r="U683" s="264" t="str">
        <f t="shared" si="5"/>
        <v/>
      </c>
      <c r="V683" s="264" t="str">
        <f t="shared" si="6"/>
        <v/>
      </c>
      <c r="W683" s="267" t="str">
        <f t="shared" si="8"/>
        <v/>
      </c>
      <c r="X683" s="264" t="str">
        <f t="shared" si="7"/>
        <v/>
      </c>
    </row>
    <row r="684" ht="15.75" customHeight="1">
      <c r="A684" s="258"/>
      <c r="B684" s="258"/>
      <c r="C684" s="269"/>
      <c r="D684" s="258"/>
      <c r="E684" s="258"/>
      <c r="F684" s="258"/>
      <c r="G684" s="258"/>
      <c r="H684" s="271"/>
      <c r="I684" s="258"/>
      <c r="J684" s="272"/>
      <c r="K684" s="260"/>
      <c r="L684" s="261"/>
      <c r="M684" s="262" t="str">
        <f t="shared" si="1"/>
        <v/>
      </c>
      <c r="N684" s="263" t="str">
        <f t="shared" si="2"/>
        <v/>
      </c>
      <c r="O684" s="264" t="str">
        <f t="shared" si="3"/>
        <v/>
      </c>
      <c r="P684" s="265" t="str">
        <f>IFERROR(__xludf.DUMMYFUNCTION("IF(ISBLANK(A684),"""",IFERROR(IF(H684=""Sell"",VLOOKUP(9^99,FILTER({ROW(P$2:P683),P$2:P683},D$2:D683=D684),2),(VLOOKUP(9^99,FILTER({ROW(P$2:P683),P$2:P683},D$2:D683=D684),2)*VLOOKUP(9^99,FILTER({ROW(O$2:O683),O$2:O683},D$2:D683=D684),2)-N684)/O684),J684))"),"")</f>
        <v/>
      </c>
      <c r="Q684" s="264" t="str">
        <f>IFERROR(__xludf.DUMMYFUNCTION("IFERROR(IF(F684=""Crypto"",B684,(IF(ISBLANK(D684),"""",IF(D684=""Cash"",B684,IF(GOOGLEFINANCE(D684,""CURRENCY"")=""GBX"",""GBP"",GOOGLEFINANCE(D684,""CURRENCY"")))))),B684)"),"")</f>
        <v/>
      </c>
      <c r="R684" s="263" t="str">
        <f>IFERROR(__xludf.DUMMYFUNCTION("IF(ISBLANK(A684),"""",IFERROR(IF(OR(Q684=""GPB"",Q684=""ZAR""),IF(Q684=Dashboard!$L$1,K684,(K684*GOOGLEFINANCE(""CURRENCY:""&amp;Q684&amp;""""&amp;Dashboard!$L$1&amp;""""))/100),IF(Q684=Dashboard!$L$1,K684,K684*GOOGLEFINANCE(""CURRENCY:""&amp;Q684&amp;""""&amp;Dashboard!$L$1&amp;"""")))"&amp;",K684))"),"")</f>
        <v/>
      </c>
      <c r="S684" s="266" t="str">
        <f>IFERROR(__xludf.DUMMYFUNCTION("IF(ISBLANK(A684),"""",IFERROR(IF(OR(Q684=""GPB"",Q684=""ZAR""),IF(Q684=Dashboard!$L$1,M684,(M684*GOOGLEFINANCE(""CURRENCY:""&amp;Q684&amp;""""&amp;Dashboard!$L$1&amp;""""))/100),IF(Q684=Dashboard!$L$1,M684,M684*GOOGLEFINANCE(""CURRENCY:""&amp;Q684&amp;""""&amp;Dashboard!$L$1&amp;"""")))"&amp;",M684))"),"")</f>
        <v/>
      </c>
      <c r="T684" s="264" t="str">
        <f t="shared" si="4"/>
        <v/>
      </c>
      <c r="U684" s="264" t="str">
        <f t="shared" si="5"/>
        <v/>
      </c>
      <c r="V684" s="264" t="str">
        <f t="shared" si="6"/>
        <v/>
      </c>
      <c r="W684" s="267" t="str">
        <f t="shared" si="8"/>
        <v/>
      </c>
      <c r="X684" s="264" t="str">
        <f t="shared" si="7"/>
        <v/>
      </c>
    </row>
    <row r="685" ht="15.75" customHeight="1">
      <c r="A685" s="258"/>
      <c r="B685" s="258"/>
      <c r="C685" s="269"/>
      <c r="D685" s="258"/>
      <c r="E685" s="258"/>
      <c r="F685" s="258"/>
      <c r="G685" s="258"/>
      <c r="H685" s="271"/>
      <c r="I685" s="258"/>
      <c r="J685" s="272"/>
      <c r="K685" s="260"/>
      <c r="L685" s="261"/>
      <c r="M685" s="262" t="str">
        <f t="shared" si="1"/>
        <v/>
      </c>
      <c r="N685" s="263" t="str">
        <f t="shared" si="2"/>
        <v/>
      </c>
      <c r="O685" s="264" t="str">
        <f t="shared" si="3"/>
        <v/>
      </c>
      <c r="P685" s="265" t="str">
        <f>IFERROR(__xludf.DUMMYFUNCTION("IF(ISBLANK(A685),"""",IFERROR(IF(H685=""Sell"",VLOOKUP(9^99,FILTER({ROW(P$2:P684),P$2:P684},D$2:D684=D685),2),(VLOOKUP(9^99,FILTER({ROW(P$2:P684),P$2:P684},D$2:D684=D685),2)*VLOOKUP(9^99,FILTER({ROW(O$2:O684),O$2:O684},D$2:D684=D685),2)-N685)/O685),J685))"),"")</f>
        <v/>
      </c>
      <c r="Q685" s="264" t="str">
        <f>IFERROR(__xludf.DUMMYFUNCTION("IFERROR(IF(F685=""Crypto"",B685,(IF(ISBLANK(D685),"""",IF(D685=""Cash"",B685,IF(GOOGLEFINANCE(D685,""CURRENCY"")=""GBX"",""GBP"",GOOGLEFINANCE(D685,""CURRENCY"")))))),B685)"),"")</f>
        <v/>
      </c>
      <c r="R685" s="263" t="str">
        <f>IFERROR(__xludf.DUMMYFUNCTION("IF(ISBLANK(A685),"""",IFERROR(IF(OR(Q685=""GPB"",Q685=""ZAR""),IF(Q685=Dashboard!$L$1,K685,(K685*GOOGLEFINANCE(""CURRENCY:""&amp;Q685&amp;""""&amp;Dashboard!$L$1&amp;""""))/100),IF(Q685=Dashboard!$L$1,K685,K685*GOOGLEFINANCE(""CURRENCY:""&amp;Q685&amp;""""&amp;Dashboard!$L$1&amp;"""")))"&amp;",K685))"),"")</f>
        <v/>
      </c>
      <c r="S685" s="266" t="str">
        <f>IFERROR(__xludf.DUMMYFUNCTION("IF(ISBLANK(A685),"""",IFERROR(IF(OR(Q685=""GPB"",Q685=""ZAR""),IF(Q685=Dashboard!$L$1,M685,(M685*GOOGLEFINANCE(""CURRENCY:""&amp;Q685&amp;""""&amp;Dashboard!$L$1&amp;""""))/100),IF(Q685=Dashboard!$L$1,M685,M685*GOOGLEFINANCE(""CURRENCY:""&amp;Q685&amp;""""&amp;Dashboard!$L$1&amp;"""")))"&amp;",M685))"),"")</f>
        <v/>
      </c>
      <c r="T685" s="264" t="str">
        <f t="shared" si="4"/>
        <v/>
      </c>
      <c r="U685" s="264" t="str">
        <f t="shared" si="5"/>
        <v/>
      </c>
      <c r="V685" s="264" t="str">
        <f t="shared" si="6"/>
        <v/>
      </c>
      <c r="W685" s="267" t="str">
        <f t="shared" si="8"/>
        <v/>
      </c>
      <c r="X685" s="264" t="str">
        <f t="shared" si="7"/>
        <v/>
      </c>
    </row>
    <row r="686" ht="15.75" customHeight="1">
      <c r="A686" s="258"/>
      <c r="B686" s="258"/>
      <c r="C686" s="269"/>
      <c r="D686" s="258"/>
      <c r="E686" s="258"/>
      <c r="F686" s="258"/>
      <c r="G686" s="258"/>
      <c r="H686" s="271"/>
      <c r="I686" s="258"/>
      <c r="J686" s="272"/>
      <c r="K686" s="260"/>
      <c r="L686" s="261"/>
      <c r="M686" s="262" t="str">
        <f t="shared" si="1"/>
        <v/>
      </c>
      <c r="N686" s="263" t="str">
        <f t="shared" si="2"/>
        <v/>
      </c>
      <c r="O686" s="264" t="str">
        <f t="shared" si="3"/>
        <v/>
      </c>
      <c r="P686" s="265" t="str">
        <f>IFERROR(__xludf.DUMMYFUNCTION("IF(ISBLANK(A686),"""",IFERROR(IF(H686=""Sell"",VLOOKUP(9^99,FILTER({ROW(P$2:P685),P$2:P685},D$2:D685=D686),2),(VLOOKUP(9^99,FILTER({ROW(P$2:P685),P$2:P685},D$2:D685=D686),2)*VLOOKUP(9^99,FILTER({ROW(O$2:O685),O$2:O685},D$2:D685=D686),2)-N686)/O686),J686))"),"")</f>
        <v/>
      </c>
      <c r="Q686" s="264" t="str">
        <f>IFERROR(__xludf.DUMMYFUNCTION("IFERROR(IF(F686=""Crypto"",B686,(IF(ISBLANK(D686),"""",IF(D686=""Cash"",B686,IF(GOOGLEFINANCE(D686,""CURRENCY"")=""GBX"",""GBP"",GOOGLEFINANCE(D686,""CURRENCY"")))))),B686)"),"")</f>
        <v/>
      </c>
      <c r="R686" s="263" t="str">
        <f>IFERROR(__xludf.DUMMYFUNCTION("IF(ISBLANK(A686),"""",IFERROR(IF(OR(Q686=""GPB"",Q686=""ZAR""),IF(Q686=Dashboard!$L$1,K686,(K686*GOOGLEFINANCE(""CURRENCY:""&amp;Q686&amp;""""&amp;Dashboard!$L$1&amp;""""))/100),IF(Q686=Dashboard!$L$1,K686,K686*GOOGLEFINANCE(""CURRENCY:""&amp;Q686&amp;""""&amp;Dashboard!$L$1&amp;"""")))"&amp;",K686))"),"")</f>
        <v/>
      </c>
      <c r="S686" s="266" t="str">
        <f>IFERROR(__xludf.DUMMYFUNCTION("IF(ISBLANK(A686),"""",IFERROR(IF(OR(Q686=""GPB"",Q686=""ZAR""),IF(Q686=Dashboard!$L$1,M686,(M686*GOOGLEFINANCE(""CURRENCY:""&amp;Q686&amp;""""&amp;Dashboard!$L$1&amp;""""))/100),IF(Q686=Dashboard!$L$1,M686,M686*GOOGLEFINANCE(""CURRENCY:""&amp;Q686&amp;""""&amp;Dashboard!$L$1&amp;"""")))"&amp;",M686))"),"")</f>
        <v/>
      </c>
      <c r="T686" s="264" t="str">
        <f t="shared" si="4"/>
        <v/>
      </c>
      <c r="U686" s="264" t="str">
        <f t="shared" si="5"/>
        <v/>
      </c>
      <c r="V686" s="264" t="str">
        <f t="shared" si="6"/>
        <v/>
      </c>
      <c r="W686" s="267" t="str">
        <f t="shared" si="8"/>
        <v/>
      </c>
      <c r="X686" s="264" t="str">
        <f t="shared" si="7"/>
        <v/>
      </c>
    </row>
    <row r="687" ht="15.75" customHeight="1">
      <c r="A687" s="258"/>
      <c r="B687" s="258"/>
      <c r="C687" s="269"/>
      <c r="D687" s="258"/>
      <c r="E687" s="258"/>
      <c r="F687" s="258"/>
      <c r="G687" s="258"/>
      <c r="H687" s="271"/>
      <c r="I687" s="258"/>
      <c r="J687" s="272"/>
      <c r="K687" s="260"/>
      <c r="L687" s="261"/>
      <c r="M687" s="262" t="str">
        <f t="shared" si="1"/>
        <v/>
      </c>
      <c r="N687" s="263" t="str">
        <f t="shared" si="2"/>
        <v/>
      </c>
      <c r="O687" s="264" t="str">
        <f t="shared" si="3"/>
        <v/>
      </c>
      <c r="P687" s="265" t="str">
        <f>IFERROR(__xludf.DUMMYFUNCTION("IF(ISBLANK(A687),"""",IFERROR(IF(H687=""Sell"",VLOOKUP(9^99,FILTER({ROW(P$2:P686),P$2:P686},D$2:D686=D687),2),(VLOOKUP(9^99,FILTER({ROW(P$2:P686),P$2:P686},D$2:D686=D687),2)*VLOOKUP(9^99,FILTER({ROW(O$2:O686),O$2:O686},D$2:D686=D687),2)-N687)/O687),J687))"),"")</f>
        <v/>
      </c>
      <c r="Q687" s="264" t="str">
        <f>IFERROR(__xludf.DUMMYFUNCTION("IFERROR(IF(F687=""Crypto"",B687,(IF(ISBLANK(D687),"""",IF(D687=""Cash"",B687,IF(GOOGLEFINANCE(D687,""CURRENCY"")=""GBX"",""GBP"",GOOGLEFINANCE(D687,""CURRENCY"")))))),B687)"),"")</f>
        <v/>
      </c>
      <c r="R687" s="263" t="str">
        <f>IFERROR(__xludf.DUMMYFUNCTION("IF(ISBLANK(A687),"""",IFERROR(IF(OR(Q687=""GPB"",Q687=""ZAR""),IF(Q687=Dashboard!$L$1,K687,(K687*GOOGLEFINANCE(""CURRENCY:""&amp;Q687&amp;""""&amp;Dashboard!$L$1&amp;""""))/100),IF(Q687=Dashboard!$L$1,K687,K687*GOOGLEFINANCE(""CURRENCY:""&amp;Q687&amp;""""&amp;Dashboard!$L$1&amp;"""")))"&amp;",K687))"),"")</f>
        <v/>
      </c>
      <c r="S687" s="266" t="str">
        <f>IFERROR(__xludf.DUMMYFUNCTION("IF(ISBLANK(A687),"""",IFERROR(IF(OR(Q687=""GPB"",Q687=""ZAR""),IF(Q687=Dashboard!$L$1,M687,(M687*GOOGLEFINANCE(""CURRENCY:""&amp;Q687&amp;""""&amp;Dashboard!$L$1&amp;""""))/100),IF(Q687=Dashboard!$L$1,M687,M687*GOOGLEFINANCE(""CURRENCY:""&amp;Q687&amp;""""&amp;Dashboard!$L$1&amp;"""")))"&amp;",M687))"),"")</f>
        <v/>
      </c>
      <c r="T687" s="264" t="str">
        <f t="shared" si="4"/>
        <v/>
      </c>
      <c r="U687" s="264" t="str">
        <f t="shared" si="5"/>
        <v/>
      </c>
      <c r="V687" s="264" t="str">
        <f t="shared" si="6"/>
        <v/>
      </c>
      <c r="W687" s="267" t="str">
        <f t="shared" si="8"/>
        <v/>
      </c>
      <c r="X687" s="264" t="str">
        <f t="shared" si="7"/>
        <v/>
      </c>
    </row>
    <row r="688" ht="15.75" customHeight="1">
      <c r="A688" s="258"/>
      <c r="B688" s="258"/>
      <c r="C688" s="269"/>
      <c r="D688" s="258"/>
      <c r="E688" s="258"/>
      <c r="F688" s="258"/>
      <c r="G688" s="258"/>
      <c r="H688" s="271"/>
      <c r="I688" s="258"/>
      <c r="J688" s="272"/>
      <c r="K688" s="260"/>
      <c r="L688" s="261"/>
      <c r="M688" s="262" t="str">
        <f t="shared" si="1"/>
        <v/>
      </c>
      <c r="N688" s="263" t="str">
        <f t="shared" si="2"/>
        <v/>
      </c>
      <c r="O688" s="264" t="str">
        <f t="shared" si="3"/>
        <v/>
      </c>
      <c r="P688" s="265" t="str">
        <f>IFERROR(__xludf.DUMMYFUNCTION("IF(ISBLANK(A688),"""",IFERROR(IF(H688=""Sell"",VLOOKUP(9^99,FILTER({ROW(P$2:P687),P$2:P687},D$2:D687=D688),2),(VLOOKUP(9^99,FILTER({ROW(P$2:P687),P$2:P687},D$2:D687=D688),2)*VLOOKUP(9^99,FILTER({ROW(O$2:O687),O$2:O687},D$2:D687=D688),2)-N688)/O688),J688))"),"")</f>
        <v/>
      </c>
      <c r="Q688" s="264" t="str">
        <f>IFERROR(__xludf.DUMMYFUNCTION("IFERROR(IF(F688=""Crypto"",B688,(IF(ISBLANK(D688),"""",IF(D688=""Cash"",B688,IF(GOOGLEFINANCE(D688,""CURRENCY"")=""GBX"",""GBP"",GOOGLEFINANCE(D688,""CURRENCY"")))))),B688)"),"")</f>
        <v/>
      </c>
      <c r="R688" s="263" t="str">
        <f>IFERROR(__xludf.DUMMYFUNCTION("IF(ISBLANK(A688),"""",IFERROR(IF(OR(Q688=""GPB"",Q688=""ZAR""),IF(Q688=Dashboard!$L$1,K688,(K688*GOOGLEFINANCE(""CURRENCY:""&amp;Q688&amp;""""&amp;Dashboard!$L$1&amp;""""))/100),IF(Q688=Dashboard!$L$1,K688,K688*GOOGLEFINANCE(""CURRENCY:""&amp;Q688&amp;""""&amp;Dashboard!$L$1&amp;"""")))"&amp;",K688))"),"")</f>
        <v/>
      </c>
      <c r="S688" s="266" t="str">
        <f>IFERROR(__xludf.DUMMYFUNCTION("IF(ISBLANK(A688),"""",IFERROR(IF(OR(Q688=""GPB"",Q688=""ZAR""),IF(Q688=Dashboard!$L$1,M688,(M688*GOOGLEFINANCE(""CURRENCY:""&amp;Q688&amp;""""&amp;Dashboard!$L$1&amp;""""))/100),IF(Q688=Dashboard!$L$1,M688,M688*GOOGLEFINANCE(""CURRENCY:""&amp;Q688&amp;""""&amp;Dashboard!$L$1&amp;"""")))"&amp;",M688))"),"")</f>
        <v/>
      </c>
      <c r="T688" s="264" t="str">
        <f t="shared" si="4"/>
        <v/>
      </c>
      <c r="U688" s="264" t="str">
        <f t="shared" si="5"/>
        <v/>
      </c>
      <c r="V688" s="264" t="str">
        <f t="shared" si="6"/>
        <v/>
      </c>
      <c r="W688" s="267" t="str">
        <f t="shared" si="8"/>
        <v/>
      </c>
      <c r="X688" s="264" t="str">
        <f t="shared" si="7"/>
        <v/>
      </c>
    </row>
    <row r="689" ht="15.75" customHeight="1">
      <c r="A689" s="258"/>
      <c r="B689" s="258"/>
      <c r="C689" s="269"/>
      <c r="D689" s="258"/>
      <c r="E689" s="258"/>
      <c r="F689" s="258"/>
      <c r="G689" s="258"/>
      <c r="H689" s="271"/>
      <c r="I689" s="258"/>
      <c r="J689" s="272"/>
      <c r="K689" s="260"/>
      <c r="L689" s="261"/>
      <c r="M689" s="262" t="str">
        <f t="shared" si="1"/>
        <v/>
      </c>
      <c r="N689" s="263" t="str">
        <f t="shared" si="2"/>
        <v/>
      </c>
      <c r="O689" s="264" t="str">
        <f t="shared" si="3"/>
        <v/>
      </c>
      <c r="P689" s="265" t="str">
        <f>IFERROR(__xludf.DUMMYFUNCTION("IF(ISBLANK(A689),"""",IFERROR(IF(H689=""Sell"",VLOOKUP(9^99,FILTER({ROW(P$2:P688),P$2:P688},D$2:D688=D689),2),(VLOOKUP(9^99,FILTER({ROW(P$2:P688),P$2:P688},D$2:D688=D689),2)*VLOOKUP(9^99,FILTER({ROW(O$2:O688),O$2:O688},D$2:D688=D689),2)-N689)/O689),J689))"),"")</f>
        <v/>
      </c>
      <c r="Q689" s="264" t="str">
        <f>IFERROR(__xludf.DUMMYFUNCTION("IFERROR(IF(F689=""Crypto"",B689,(IF(ISBLANK(D689),"""",IF(D689=""Cash"",B689,IF(GOOGLEFINANCE(D689,""CURRENCY"")=""GBX"",""GBP"",GOOGLEFINANCE(D689,""CURRENCY"")))))),B689)"),"")</f>
        <v/>
      </c>
      <c r="R689" s="263" t="str">
        <f>IFERROR(__xludf.DUMMYFUNCTION("IF(ISBLANK(A689),"""",IFERROR(IF(OR(Q689=""GPB"",Q689=""ZAR""),IF(Q689=Dashboard!$L$1,K689,(K689*GOOGLEFINANCE(""CURRENCY:""&amp;Q689&amp;""""&amp;Dashboard!$L$1&amp;""""))/100),IF(Q689=Dashboard!$L$1,K689,K689*GOOGLEFINANCE(""CURRENCY:""&amp;Q689&amp;""""&amp;Dashboard!$L$1&amp;"""")))"&amp;",K689))"),"")</f>
        <v/>
      </c>
      <c r="S689" s="266" t="str">
        <f>IFERROR(__xludf.DUMMYFUNCTION("IF(ISBLANK(A689),"""",IFERROR(IF(OR(Q689=""GPB"",Q689=""ZAR""),IF(Q689=Dashboard!$L$1,M689,(M689*GOOGLEFINANCE(""CURRENCY:""&amp;Q689&amp;""""&amp;Dashboard!$L$1&amp;""""))/100),IF(Q689=Dashboard!$L$1,M689,M689*GOOGLEFINANCE(""CURRENCY:""&amp;Q689&amp;""""&amp;Dashboard!$L$1&amp;"""")))"&amp;",M689))"),"")</f>
        <v/>
      </c>
      <c r="T689" s="264" t="str">
        <f t="shared" si="4"/>
        <v/>
      </c>
      <c r="U689" s="264" t="str">
        <f t="shared" si="5"/>
        <v/>
      </c>
      <c r="V689" s="264" t="str">
        <f t="shared" si="6"/>
        <v/>
      </c>
      <c r="W689" s="267" t="str">
        <f t="shared" si="8"/>
        <v/>
      </c>
      <c r="X689" s="264" t="str">
        <f t="shared" si="7"/>
        <v/>
      </c>
    </row>
    <row r="690" ht="15.75" customHeight="1">
      <c r="A690" s="258"/>
      <c r="B690" s="258"/>
      <c r="C690" s="269"/>
      <c r="D690" s="258"/>
      <c r="E690" s="258"/>
      <c r="F690" s="258"/>
      <c r="G690" s="258"/>
      <c r="H690" s="271"/>
      <c r="I690" s="258"/>
      <c r="J690" s="272"/>
      <c r="K690" s="260"/>
      <c r="L690" s="261"/>
      <c r="M690" s="262" t="str">
        <f t="shared" si="1"/>
        <v/>
      </c>
      <c r="N690" s="263" t="str">
        <f t="shared" si="2"/>
        <v/>
      </c>
      <c r="O690" s="264" t="str">
        <f t="shared" si="3"/>
        <v/>
      </c>
      <c r="P690" s="265" t="str">
        <f>IFERROR(__xludf.DUMMYFUNCTION("IF(ISBLANK(A690),"""",IFERROR(IF(H690=""Sell"",VLOOKUP(9^99,FILTER({ROW(P$2:P689),P$2:P689},D$2:D689=D690),2),(VLOOKUP(9^99,FILTER({ROW(P$2:P689),P$2:P689},D$2:D689=D690),2)*VLOOKUP(9^99,FILTER({ROW(O$2:O689),O$2:O689},D$2:D689=D690),2)-N690)/O690),J690))"),"")</f>
        <v/>
      </c>
      <c r="Q690" s="264" t="str">
        <f>IFERROR(__xludf.DUMMYFUNCTION("IFERROR(IF(F690=""Crypto"",B690,(IF(ISBLANK(D690),"""",IF(D690=""Cash"",B690,IF(GOOGLEFINANCE(D690,""CURRENCY"")=""GBX"",""GBP"",GOOGLEFINANCE(D690,""CURRENCY"")))))),B690)"),"")</f>
        <v/>
      </c>
      <c r="R690" s="263" t="str">
        <f>IFERROR(__xludf.DUMMYFUNCTION("IF(ISBLANK(A690),"""",IFERROR(IF(OR(Q690=""GPB"",Q690=""ZAR""),IF(Q690=Dashboard!$L$1,K690,(K690*GOOGLEFINANCE(""CURRENCY:""&amp;Q690&amp;""""&amp;Dashboard!$L$1&amp;""""))/100),IF(Q690=Dashboard!$L$1,K690,K690*GOOGLEFINANCE(""CURRENCY:""&amp;Q690&amp;""""&amp;Dashboard!$L$1&amp;"""")))"&amp;",K690))"),"")</f>
        <v/>
      </c>
      <c r="S690" s="266" t="str">
        <f>IFERROR(__xludf.DUMMYFUNCTION("IF(ISBLANK(A690),"""",IFERROR(IF(OR(Q690=""GPB"",Q690=""ZAR""),IF(Q690=Dashboard!$L$1,M690,(M690*GOOGLEFINANCE(""CURRENCY:""&amp;Q690&amp;""""&amp;Dashboard!$L$1&amp;""""))/100),IF(Q690=Dashboard!$L$1,M690,M690*GOOGLEFINANCE(""CURRENCY:""&amp;Q690&amp;""""&amp;Dashboard!$L$1&amp;"""")))"&amp;",M690))"),"")</f>
        <v/>
      </c>
      <c r="T690" s="264" t="str">
        <f t="shared" si="4"/>
        <v/>
      </c>
      <c r="U690" s="264" t="str">
        <f t="shared" si="5"/>
        <v/>
      </c>
      <c r="V690" s="264" t="str">
        <f t="shared" si="6"/>
        <v/>
      </c>
      <c r="W690" s="267" t="str">
        <f t="shared" si="8"/>
        <v/>
      </c>
      <c r="X690" s="264" t="str">
        <f t="shared" si="7"/>
        <v/>
      </c>
    </row>
    <row r="691" ht="15.75" customHeight="1">
      <c r="A691" s="258"/>
      <c r="B691" s="258"/>
      <c r="C691" s="269"/>
      <c r="D691" s="258"/>
      <c r="E691" s="258"/>
      <c r="F691" s="258"/>
      <c r="G691" s="258"/>
      <c r="H691" s="271"/>
      <c r="I691" s="258"/>
      <c r="J691" s="272"/>
      <c r="K691" s="260"/>
      <c r="L691" s="261"/>
      <c r="M691" s="262" t="str">
        <f t="shared" si="1"/>
        <v/>
      </c>
      <c r="N691" s="263" t="str">
        <f t="shared" si="2"/>
        <v/>
      </c>
      <c r="O691" s="264" t="str">
        <f t="shared" si="3"/>
        <v/>
      </c>
      <c r="P691" s="265" t="str">
        <f>IFERROR(__xludf.DUMMYFUNCTION("IF(ISBLANK(A691),"""",IFERROR(IF(H691=""Sell"",VLOOKUP(9^99,FILTER({ROW(P$2:P690),P$2:P690},D$2:D690=D691),2),(VLOOKUP(9^99,FILTER({ROW(P$2:P690),P$2:P690},D$2:D690=D691),2)*VLOOKUP(9^99,FILTER({ROW(O$2:O690),O$2:O690},D$2:D690=D691),2)-N691)/O691),J691))"),"")</f>
        <v/>
      </c>
      <c r="Q691" s="264" t="str">
        <f>IFERROR(__xludf.DUMMYFUNCTION("IFERROR(IF(F691=""Crypto"",B691,(IF(ISBLANK(D691),"""",IF(D691=""Cash"",B691,IF(GOOGLEFINANCE(D691,""CURRENCY"")=""GBX"",""GBP"",GOOGLEFINANCE(D691,""CURRENCY"")))))),B691)"),"")</f>
        <v/>
      </c>
      <c r="R691" s="263" t="str">
        <f>IFERROR(__xludf.DUMMYFUNCTION("IF(ISBLANK(A691),"""",IFERROR(IF(OR(Q691=""GPB"",Q691=""ZAR""),IF(Q691=Dashboard!$L$1,K691,(K691*GOOGLEFINANCE(""CURRENCY:""&amp;Q691&amp;""""&amp;Dashboard!$L$1&amp;""""))/100),IF(Q691=Dashboard!$L$1,K691,K691*GOOGLEFINANCE(""CURRENCY:""&amp;Q691&amp;""""&amp;Dashboard!$L$1&amp;"""")))"&amp;",K691))"),"")</f>
        <v/>
      </c>
      <c r="S691" s="266" t="str">
        <f>IFERROR(__xludf.DUMMYFUNCTION("IF(ISBLANK(A691),"""",IFERROR(IF(OR(Q691=""GPB"",Q691=""ZAR""),IF(Q691=Dashboard!$L$1,M691,(M691*GOOGLEFINANCE(""CURRENCY:""&amp;Q691&amp;""""&amp;Dashboard!$L$1&amp;""""))/100),IF(Q691=Dashboard!$L$1,M691,M691*GOOGLEFINANCE(""CURRENCY:""&amp;Q691&amp;""""&amp;Dashboard!$L$1&amp;"""")))"&amp;",M691))"),"")</f>
        <v/>
      </c>
      <c r="T691" s="264" t="str">
        <f t="shared" si="4"/>
        <v/>
      </c>
      <c r="U691" s="264" t="str">
        <f t="shared" si="5"/>
        <v/>
      </c>
      <c r="V691" s="264" t="str">
        <f t="shared" si="6"/>
        <v/>
      </c>
      <c r="W691" s="267" t="str">
        <f t="shared" si="8"/>
        <v/>
      </c>
      <c r="X691" s="264" t="str">
        <f t="shared" si="7"/>
        <v/>
      </c>
    </row>
    <row r="692" ht="15.75" customHeight="1">
      <c r="A692" s="258"/>
      <c r="B692" s="258"/>
      <c r="C692" s="269"/>
      <c r="D692" s="258"/>
      <c r="E692" s="258"/>
      <c r="F692" s="258"/>
      <c r="G692" s="258"/>
      <c r="H692" s="271"/>
      <c r="I692" s="258"/>
      <c r="J692" s="272"/>
      <c r="K692" s="260"/>
      <c r="L692" s="261"/>
      <c r="M692" s="262" t="str">
        <f t="shared" si="1"/>
        <v/>
      </c>
      <c r="N692" s="263" t="str">
        <f t="shared" si="2"/>
        <v/>
      </c>
      <c r="O692" s="264" t="str">
        <f t="shared" si="3"/>
        <v/>
      </c>
      <c r="P692" s="265" t="str">
        <f>IFERROR(__xludf.DUMMYFUNCTION("IF(ISBLANK(A692),"""",IFERROR(IF(H692=""Sell"",VLOOKUP(9^99,FILTER({ROW(P$2:P691),P$2:P691},D$2:D691=D692),2),(VLOOKUP(9^99,FILTER({ROW(P$2:P691),P$2:P691},D$2:D691=D692),2)*VLOOKUP(9^99,FILTER({ROW(O$2:O691),O$2:O691},D$2:D691=D692),2)-N692)/O692),J692))"),"")</f>
        <v/>
      </c>
      <c r="Q692" s="264" t="str">
        <f>IFERROR(__xludf.DUMMYFUNCTION("IFERROR(IF(F692=""Crypto"",B692,(IF(ISBLANK(D692),"""",IF(D692=""Cash"",B692,IF(GOOGLEFINANCE(D692,""CURRENCY"")=""GBX"",""GBP"",GOOGLEFINANCE(D692,""CURRENCY"")))))),B692)"),"")</f>
        <v/>
      </c>
      <c r="R692" s="263" t="str">
        <f>IFERROR(__xludf.DUMMYFUNCTION("IF(ISBLANK(A692),"""",IFERROR(IF(OR(Q692=""GPB"",Q692=""ZAR""),IF(Q692=Dashboard!$L$1,K692,(K692*GOOGLEFINANCE(""CURRENCY:""&amp;Q692&amp;""""&amp;Dashboard!$L$1&amp;""""))/100),IF(Q692=Dashboard!$L$1,K692,K692*GOOGLEFINANCE(""CURRENCY:""&amp;Q692&amp;""""&amp;Dashboard!$L$1&amp;"""")))"&amp;",K692))"),"")</f>
        <v/>
      </c>
      <c r="S692" s="266" t="str">
        <f>IFERROR(__xludf.DUMMYFUNCTION("IF(ISBLANK(A692),"""",IFERROR(IF(OR(Q692=""GPB"",Q692=""ZAR""),IF(Q692=Dashboard!$L$1,M692,(M692*GOOGLEFINANCE(""CURRENCY:""&amp;Q692&amp;""""&amp;Dashboard!$L$1&amp;""""))/100),IF(Q692=Dashboard!$L$1,M692,M692*GOOGLEFINANCE(""CURRENCY:""&amp;Q692&amp;""""&amp;Dashboard!$L$1&amp;"""")))"&amp;",M692))"),"")</f>
        <v/>
      </c>
      <c r="T692" s="264" t="str">
        <f t="shared" si="4"/>
        <v/>
      </c>
      <c r="U692" s="264" t="str">
        <f t="shared" si="5"/>
        <v/>
      </c>
      <c r="V692" s="264" t="str">
        <f t="shared" si="6"/>
        <v/>
      </c>
      <c r="W692" s="267" t="str">
        <f t="shared" si="8"/>
        <v/>
      </c>
      <c r="X692" s="264" t="str">
        <f t="shared" si="7"/>
        <v/>
      </c>
    </row>
    <row r="693" ht="15.75" customHeight="1">
      <c r="A693" s="258"/>
      <c r="B693" s="258"/>
      <c r="C693" s="269"/>
      <c r="D693" s="258"/>
      <c r="E693" s="258"/>
      <c r="F693" s="258"/>
      <c r="G693" s="258"/>
      <c r="H693" s="271"/>
      <c r="I693" s="258"/>
      <c r="J693" s="272"/>
      <c r="K693" s="260"/>
      <c r="L693" s="261"/>
      <c r="M693" s="262" t="str">
        <f t="shared" si="1"/>
        <v/>
      </c>
      <c r="N693" s="263" t="str">
        <f t="shared" si="2"/>
        <v/>
      </c>
      <c r="O693" s="264" t="str">
        <f t="shared" si="3"/>
        <v/>
      </c>
      <c r="P693" s="265" t="str">
        <f>IFERROR(__xludf.DUMMYFUNCTION("IF(ISBLANK(A693),"""",IFERROR(IF(H693=""Sell"",VLOOKUP(9^99,FILTER({ROW(P$2:P692),P$2:P692},D$2:D692=D693),2),(VLOOKUP(9^99,FILTER({ROW(P$2:P692),P$2:P692},D$2:D692=D693),2)*VLOOKUP(9^99,FILTER({ROW(O$2:O692),O$2:O692},D$2:D692=D693),2)-N693)/O693),J693))"),"")</f>
        <v/>
      </c>
      <c r="Q693" s="264" t="str">
        <f>IFERROR(__xludf.DUMMYFUNCTION("IFERROR(IF(F693=""Crypto"",B693,(IF(ISBLANK(D693),"""",IF(D693=""Cash"",B693,IF(GOOGLEFINANCE(D693,""CURRENCY"")=""GBX"",""GBP"",GOOGLEFINANCE(D693,""CURRENCY"")))))),B693)"),"")</f>
        <v/>
      </c>
      <c r="R693" s="263" t="str">
        <f>IFERROR(__xludf.DUMMYFUNCTION("IF(ISBLANK(A693),"""",IFERROR(IF(OR(Q693=""GPB"",Q693=""ZAR""),IF(Q693=Dashboard!$L$1,K693,(K693*GOOGLEFINANCE(""CURRENCY:""&amp;Q693&amp;""""&amp;Dashboard!$L$1&amp;""""))/100),IF(Q693=Dashboard!$L$1,K693,K693*GOOGLEFINANCE(""CURRENCY:""&amp;Q693&amp;""""&amp;Dashboard!$L$1&amp;"""")))"&amp;",K693))"),"")</f>
        <v/>
      </c>
      <c r="S693" s="266" t="str">
        <f>IFERROR(__xludf.DUMMYFUNCTION("IF(ISBLANK(A693),"""",IFERROR(IF(OR(Q693=""GPB"",Q693=""ZAR""),IF(Q693=Dashboard!$L$1,M693,(M693*GOOGLEFINANCE(""CURRENCY:""&amp;Q693&amp;""""&amp;Dashboard!$L$1&amp;""""))/100),IF(Q693=Dashboard!$L$1,M693,M693*GOOGLEFINANCE(""CURRENCY:""&amp;Q693&amp;""""&amp;Dashboard!$L$1&amp;"""")))"&amp;",M693))"),"")</f>
        <v/>
      </c>
      <c r="T693" s="264" t="str">
        <f t="shared" si="4"/>
        <v/>
      </c>
      <c r="U693" s="264" t="str">
        <f t="shared" si="5"/>
        <v/>
      </c>
      <c r="V693" s="264" t="str">
        <f t="shared" si="6"/>
        <v/>
      </c>
      <c r="W693" s="267" t="str">
        <f t="shared" si="8"/>
        <v/>
      </c>
      <c r="X693" s="264" t="str">
        <f t="shared" si="7"/>
        <v/>
      </c>
    </row>
    <row r="694" ht="15.75" customHeight="1">
      <c r="A694" s="258"/>
      <c r="B694" s="258"/>
      <c r="C694" s="269"/>
      <c r="D694" s="258"/>
      <c r="E694" s="258"/>
      <c r="F694" s="258"/>
      <c r="G694" s="258"/>
      <c r="H694" s="271"/>
      <c r="I694" s="258"/>
      <c r="J694" s="272"/>
      <c r="K694" s="260"/>
      <c r="L694" s="261"/>
      <c r="M694" s="262" t="str">
        <f t="shared" si="1"/>
        <v/>
      </c>
      <c r="N694" s="263" t="str">
        <f t="shared" si="2"/>
        <v/>
      </c>
      <c r="O694" s="264" t="str">
        <f t="shared" si="3"/>
        <v/>
      </c>
      <c r="P694" s="265" t="str">
        <f>IFERROR(__xludf.DUMMYFUNCTION("IF(ISBLANK(A694),"""",IFERROR(IF(H694=""Sell"",VLOOKUP(9^99,FILTER({ROW(P$2:P693),P$2:P693},D$2:D693=D694),2),(VLOOKUP(9^99,FILTER({ROW(P$2:P693),P$2:P693},D$2:D693=D694),2)*VLOOKUP(9^99,FILTER({ROW(O$2:O693),O$2:O693},D$2:D693=D694),2)-N694)/O694),J694))"),"")</f>
        <v/>
      </c>
      <c r="Q694" s="264" t="str">
        <f>IFERROR(__xludf.DUMMYFUNCTION("IFERROR(IF(F694=""Crypto"",B694,(IF(ISBLANK(D694),"""",IF(D694=""Cash"",B694,IF(GOOGLEFINANCE(D694,""CURRENCY"")=""GBX"",""GBP"",GOOGLEFINANCE(D694,""CURRENCY"")))))),B694)"),"")</f>
        <v/>
      </c>
      <c r="R694" s="263" t="str">
        <f>IFERROR(__xludf.DUMMYFUNCTION("IF(ISBLANK(A694),"""",IFERROR(IF(OR(Q694=""GPB"",Q694=""ZAR""),IF(Q694=Dashboard!$L$1,K694,(K694*GOOGLEFINANCE(""CURRENCY:""&amp;Q694&amp;""""&amp;Dashboard!$L$1&amp;""""))/100),IF(Q694=Dashboard!$L$1,K694,K694*GOOGLEFINANCE(""CURRENCY:""&amp;Q694&amp;""""&amp;Dashboard!$L$1&amp;"""")))"&amp;",K694))"),"")</f>
        <v/>
      </c>
      <c r="S694" s="266" t="str">
        <f>IFERROR(__xludf.DUMMYFUNCTION("IF(ISBLANK(A694),"""",IFERROR(IF(OR(Q694=""GPB"",Q694=""ZAR""),IF(Q694=Dashboard!$L$1,M694,(M694*GOOGLEFINANCE(""CURRENCY:""&amp;Q694&amp;""""&amp;Dashboard!$L$1&amp;""""))/100),IF(Q694=Dashboard!$L$1,M694,M694*GOOGLEFINANCE(""CURRENCY:""&amp;Q694&amp;""""&amp;Dashboard!$L$1&amp;"""")))"&amp;",M694))"),"")</f>
        <v/>
      </c>
      <c r="T694" s="264" t="str">
        <f t="shared" si="4"/>
        <v/>
      </c>
      <c r="U694" s="264" t="str">
        <f t="shared" si="5"/>
        <v/>
      </c>
      <c r="V694" s="264" t="str">
        <f t="shared" si="6"/>
        <v/>
      </c>
      <c r="W694" s="267" t="str">
        <f t="shared" si="8"/>
        <v/>
      </c>
      <c r="X694" s="264" t="str">
        <f t="shared" si="7"/>
        <v/>
      </c>
    </row>
    <row r="695" ht="15.75" customHeight="1">
      <c r="A695" s="258"/>
      <c r="B695" s="258"/>
      <c r="C695" s="269"/>
      <c r="D695" s="258"/>
      <c r="E695" s="258"/>
      <c r="F695" s="258"/>
      <c r="G695" s="258"/>
      <c r="H695" s="271"/>
      <c r="I695" s="258"/>
      <c r="J695" s="272"/>
      <c r="K695" s="260"/>
      <c r="L695" s="261"/>
      <c r="M695" s="262" t="str">
        <f t="shared" si="1"/>
        <v/>
      </c>
      <c r="N695" s="263" t="str">
        <f t="shared" si="2"/>
        <v/>
      </c>
      <c r="O695" s="264" t="str">
        <f t="shared" si="3"/>
        <v/>
      </c>
      <c r="P695" s="265" t="str">
        <f>IFERROR(__xludf.DUMMYFUNCTION("IF(ISBLANK(A695),"""",IFERROR(IF(H695=""Sell"",VLOOKUP(9^99,FILTER({ROW(P$2:P694),P$2:P694},D$2:D694=D695),2),(VLOOKUP(9^99,FILTER({ROW(P$2:P694),P$2:P694},D$2:D694=D695),2)*VLOOKUP(9^99,FILTER({ROW(O$2:O694),O$2:O694},D$2:D694=D695),2)-N695)/O695),J695))"),"")</f>
        <v/>
      </c>
      <c r="Q695" s="264" t="str">
        <f>IFERROR(__xludf.DUMMYFUNCTION("IFERROR(IF(F695=""Crypto"",B695,(IF(ISBLANK(D695),"""",IF(D695=""Cash"",B695,IF(GOOGLEFINANCE(D695,""CURRENCY"")=""GBX"",""GBP"",GOOGLEFINANCE(D695,""CURRENCY"")))))),B695)"),"")</f>
        <v/>
      </c>
      <c r="R695" s="263" t="str">
        <f>IFERROR(__xludf.DUMMYFUNCTION("IF(ISBLANK(A695),"""",IFERROR(IF(OR(Q695=""GPB"",Q695=""ZAR""),IF(Q695=Dashboard!$L$1,K695,(K695*GOOGLEFINANCE(""CURRENCY:""&amp;Q695&amp;""""&amp;Dashboard!$L$1&amp;""""))/100),IF(Q695=Dashboard!$L$1,K695,K695*GOOGLEFINANCE(""CURRENCY:""&amp;Q695&amp;""""&amp;Dashboard!$L$1&amp;"""")))"&amp;",K695))"),"")</f>
        <v/>
      </c>
      <c r="S695" s="266" t="str">
        <f>IFERROR(__xludf.DUMMYFUNCTION("IF(ISBLANK(A695),"""",IFERROR(IF(OR(Q695=""GPB"",Q695=""ZAR""),IF(Q695=Dashboard!$L$1,M695,(M695*GOOGLEFINANCE(""CURRENCY:""&amp;Q695&amp;""""&amp;Dashboard!$L$1&amp;""""))/100),IF(Q695=Dashboard!$L$1,M695,M695*GOOGLEFINANCE(""CURRENCY:""&amp;Q695&amp;""""&amp;Dashboard!$L$1&amp;"""")))"&amp;",M695))"),"")</f>
        <v/>
      </c>
      <c r="T695" s="264" t="str">
        <f t="shared" si="4"/>
        <v/>
      </c>
      <c r="U695" s="264" t="str">
        <f t="shared" si="5"/>
        <v/>
      </c>
      <c r="V695" s="264" t="str">
        <f t="shared" si="6"/>
        <v/>
      </c>
      <c r="W695" s="267" t="str">
        <f t="shared" si="8"/>
        <v/>
      </c>
      <c r="X695" s="264" t="str">
        <f t="shared" si="7"/>
        <v/>
      </c>
    </row>
    <row r="696" ht="15.75" customHeight="1">
      <c r="A696" s="258"/>
      <c r="B696" s="258"/>
      <c r="C696" s="269"/>
      <c r="D696" s="258"/>
      <c r="E696" s="258"/>
      <c r="F696" s="258"/>
      <c r="G696" s="258"/>
      <c r="H696" s="271"/>
      <c r="I696" s="258"/>
      <c r="J696" s="272"/>
      <c r="K696" s="260"/>
      <c r="L696" s="261"/>
      <c r="M696" s="262" t="str">
        <f t="shared" si="1"/>
        <v/>
      </c>
      <c r="N696" s="263" t="str">
        <f t="shared" si="2"/>
        <v/>
      </c>
      <c r="O696" s="264" t="str">
        <f t="shared" si="3"/>
        <v/>
      </c>
      <c r="P696" s="265" t="str">
        <f>IFERROR(__xludf.DUMMYFUNCTION("IF(ISBLANK(A696),"""",IFERROR(IF(H696=""Sell"",VLOOKUP(9^99,FILTER({ROW(P$2:P695),P$2:P695},D$2:D695=D696),2),(VLOOKUP(9^99,FILTER({ROW(P$2:P695),P$2:P695},D$2:D695=D696),2)*VLOOKUP(9^99,FILTER({ROW(O$2:O695),O$2:O695},D$2:D695=D696),2)-N696)/O696),J696))"),"")</f>
        <v/>
      </c>
      <c r="Q696" s="264" t="str">
        <f>IFERROR(__xludf.DUMMYFUNCTION("IFERROR(IF(F696=""Crypto"",B696,(IF(ISBLANK(D696),"""",IF(D696=""Cash"",B696,IF(GOOGLEFINANCE(D696,""CURRENCY"")=""GBX"",""GBP"",GOOGLEFINANCE(D696,""CURRENCY"")))))),B696)"),"")</f>
        <v/>
      </c>
      <c r="R696" s="263" t="str">
        <f>IFERROR(__xludf.DUMMYFUNCTION("IF(ISBLANK(A696),"""",IFERROR(IF(OR(Q696=""GPB"",Q696=""ZAR""),IF(Q696=Dashboard!$L$1,K696,(K696*GOOGLEFINANCE(""CURRENCY:""&amp;Q696&amp;""""&amp;Dashboard!$L$1&amp;""""))/100),IF(Q696=Dashboard!$L$1,K696,K696*GOOGLEFINANCE(""CURRENCY:""&amp;Q696&amp;""""&amp;Dashboard!$L$1&amp;"""")))"&amp;",K696))"),"")</f>
        <v/>
      </c>
      <c r="S696" s="266" t="str">
        <f>IFERROR(__xludf.DUMMYFUNCTION("IF(ISBLANK(A696),"""",IFERROR(IF(OR(Q696=""GPB"",Q696=""ZAR""),IF(Q696=Dashboard!$L$1,M696,(M696*GOOGLEFINANCE(""CURRENCY:""&amp;Q696&amp;""""&amp;Dashboard!$L$1&amp;""""))/100),IF(Q696=Dashboard!$L$1,M696,M696*GOOGLEFINANCE(""CURRENCY:""&amp;Q696&amp;""""&amp;Dashboard!$L$1&amp;"""")))"&amp;",M696))"),"")</f>
        <v/>
      </c>
      <c r="T696" s="264" t="str">
        <f t="shared" si="4"/>
        <v/>
      </c>
      <c r="U696" s="264" t="str">
        <f t="shared" si="5"/>
        <v/>
      </c>
      <c r="V696" s="264" t="str">
        <f t="shared" si="6"/>
        <v/>
      </c>
      <c r="W696" s="267" t="str">
        <f t="shared" si="8"/>
        <v/>
      </c>
      <c r="X696" s="264" t="str">
        <f t="shared" si="7"/>
        <v/>
      </c>
    </row>
    <row r="697" ht="15.75" customHeight="1">
      <c r="A697" s="258"/>
      <c r="B697" s="258"/>
      <c r="C697" s="269"/>
      <c r="D697" s="258"/>
      <c r="E697" s="258"/>
      <c r="F697" s="258"/>
      <c r="G697" s="258"/>
      <c r="H697" s="271"/>
      <c r="I697" s="258"/>
      <c r="J697" s="272"/>
      <c r="K697" s="260"/>
      <c r="L697" s="261"/>
      <c r="M697" s="262" t="str">
        <f t="shared" si="1"/>
        <v/>
      </c>
      <c r="N697" s="263" t="str">
        <f t="shared" si="2"/>
        <v/>
      </c>
      <c r="O697" s="264" t="str">
        <f t="shared" si="3"/>
        <v/>
      </c>
      <c r="P697" s="265" t="str">
        <f>IFERROR(__xludf.DUMMYFUNCTION("IF(ISBLANK(A697),"""",IFERROR(IF(H697=""Sell"",VLOOKUP(9^99,FILTER({ROW(P$2:P696),P$2:P696},D$2:D696=D697),2),(VLOOKUP(9^99,FILTER({ROW(P$2:P696),P$2:P696},D$2:D696=D697),2)*VLOOKUP(9^99,FILTER({ROW(O$2:O696),O$2:O696},D$2:D696=D697),2)-N697)/O697),J697))"),"")</f>
        <v/>
      </c>
      <c r="Q697" s="264" t="str">
        <f>IFERROR(__xludf.DUMMYFUNCTION("IFERROR(IF(F697=""Crypto"",B697,(IF(ISBLANK(D697),"""",IF(D697=""Cash"",B697,IF(GOOGLEFINANCE(D697,""CURRENCY"")=""GBX"",""GBP"",GOOGLEFINANCE(D697,""CURRENCY"")))))),B697)"),"")</f>
        <v/>
      </c>
      <c r="R697" s="263" t="str">
        <f>IFERROR(__xludf.DUMMYFUNCTION("IF(ISBLANK(A697),"""",IFERROR(IF(OR(Q697=""GPB"",Q697=""ZAR""),IF(Q697=Dashboard!$L$1,K697,(K697*GOOGLEFINANCE(""CURRENCY:""&amp;Q697&amp;""""&amp;Dashboard!$L$1&amp;""""))/100),IF(Q697=Dashboard!$L$1,K697,K697*GOOGLEFINANCE(""CURRENCY:""&amp;Q697&amp;""""&amp;Dashboard!$L$1&amp;"""")))"&amp;",K697))"),"")</f>
        <v/>
      </c>
      <c r="S697" s="266" t="str">
        <f>IFERROR(__xludf.DUMMYFUNCTION("IF(ISBLANK(A697),"""",IFERROR(IF(OR(Q697=""GPB"",Q697=""ZAR""),IF(Q697=Dashboard!$L$1,M697,(M697*GOOGLEFINANCE(""CURRENCY:""&amp;Q697&amp;""""&amp;Dashboard!$L$1&amp;""""))/100),IF(Q697=Dashboard!$L$1,M697,M697*GOOGLEFINANCE(""CURRENCY:""&amp;Q697&amp;""""&amp;Dashboard!$L$1&amp;"""")))"&amp;",M697))"),"")</f>
        <v/>
      </c>
      <c r="T697" s="264" t="str">
        <f t="shared" si="4"/>
        <v/>
      </c>
      <c r="U697" s="264" t="str">
        <f t="shared" si="5"/>
        <v/>
      </c>
      <c r="V697" s="264" t="str">
        <f t="shared" si="6"/>
        <v/>
      </c>
      <c r="W697" s="267" t="str">
        <f t="shared" si="8"/>
        <v/>
      </c>
      <c r="X697" s="264" t="str">
        <f t="shared" si="7"/>
        <v/>
      </c>
    </row>
    <row r="698" ht="15.75" customHeight="1">
      <c r="A698" s="258"/>
      <c r="B698" s="258"/>
      <c r="C698" s="269"/>
      <c r="D698" s="258"/>
      <c r="E698" s="258"/>
      <c r="F698" s="258"/>
      <c r="G698" s="258"/>
      <c r="H698" s="271"/>
      <c r="I698" s="258"/>
      <c r="J698" s="272"/>
      <c r="K698" s="260"/>
      <c r="L698" s="261"/>
      <c r="M698" s="262" t="str">
        <f t="shared" si="1"/>
        <v/>
      </c>
      <c r="N698" s="263" t="str">
        <f t="shared" si="2"/>
        <v/>
      </c>
      <c r="O698" s="264" t="str">
        <f t="shared" si="3"/>
        <v/>
      </c>
      <c r="P698" s="265" t="str">
        <f>IFERROR(__xludf.DUMMYFUNCTION("IF(ISBLANK(A698),"""",IFERROR(IF(H698=""Sell"",VLOOKUP(9^99,FILTER({ROW(P$2:P697),P$2:P697},D$2:D697=D698),2),(VLOOKUP(9^99,FILTER({ROW(P$2:P697),P$2:P697},D$2:D697=D698),2)*VLOOKUP(9^99,FILTER({ROW(O$2:O697),O$2:O697},D$2:D697=D698),2)-N698)/O698),J698))"),"")</f>
        <v/>
      </c>
      <c r="Q698" s="264" t="str">
        <f>IFERROR(__xludf.DUMMYFUNCTION("IFERROR(IF(F698=""Crypto"",B698,(IF(ISBLANK(D698),"""",IF(D698=""Cash"",B698,IF(GOOGLEFINANCE(D698,""CURRENCY"")=""GBX"",""GBP"",GOOGLEFINANCE(D698,""CURRENCY"")))))),B698)"),"")</f>
        <v/>
      </c>
      <c r="R698" s="263" t="str">
        <f>IFERROR(__xludf.DUMMYFUNCTION("IF(ISBLANK(A698),"""",IFERROR(IF(OR(Q698=""GPB"",Q698=""ZAR""),IF(Q698=Dashboard!$L$1,K698,(K698*GOOGLEFINANCE(""CURRENCY:""&amp;Q698&amp;""""&amp;Dashboard!$L$1&amp;""""))/100),IF(Q698=Dashboard!$L$1,K698,K698*GOOGLEFINANCE(""CURRENCY:""&amp;Q698&amp;""""&amp;Dashboard!$L$1&amp;"""")))"&amp;",K698))"),"")</f>
        <v/>
      </c>
      <c r="S698" s="266" t="str">
        <f>IFERROR(__xludf.DUMMYFUNCTION("IF(ISBLANK(A698),"""",IFERROR(IF(OR(Q698=""GPB"",Q698=""ZAR""),IF(Q698=Dashboard!$L$1,M698,(M698*GOOGLEFINANCE(""CURRENCY:""&amp;Q698&amp;""""&amp;Dashboard!$L$1&amp;""""))/100),IF(Q698=Dashboard!$L$1,M698,M698*GOOGLEFINANCE(""CURRENCY:""&amp;Q698&amp;""""&amp;Dashboard!$L$1&amp;"""")))"&amp;",M698))"),"")</f>
        <v/>
      </c>
      <c r="T698" s="264" t="str">
        <f t="shared" si="4"/>
        <v/>
      </c>
      <c r="U698" s="264" t="str">
        <f t="shared" si="5"/>
        <v/>
      </c>
      <c r="V698" s="264" t="str">
        <f t="shared" si="6"/>
        <v/>
      </c>
      <c r="W698" s="267" t="str">
        <f t="shared" si="8"/>
        <v/>
      </c>
      <c r="X698" s="264" t="str">
        <f t="shared" si="7"/>
        <v/>
      </c>
    </row>
    <row r="699" ht="15.75" customHeight="1">
      <c r="A699" s="258"/>
      <c r="B699" s="258"/>
      <c r="C699" s="269"/>
      <c r="D699" s="258"/>
      <c r="E699" s="258"/>
      <c r="F699" s="258"/>
      <c r="G699" s="258"/>
      <c r="H699" s="271"/>
      <c r="I699" s="258"/>
      <c r="J699" s="272"/>
      <c r="K699" s="260"/>
      <c r="L699" s="261"/>
      <c r="M699" s="262" t="str">
        <f t="shared" si="1"/>
        <v/>
      </c>
      <c r="N699" s="263" t="str">
        <f t="shared" si="2"/>
        <v/>
      </c>
      <c r="O699" s="264" t="str">
        <f t="shared" si="3"/>
        <v/>
      </c>
      <c r="P699" s="265" t="str">
        <f>IFERROR(__xludf.DUMMYFUNCTION("IF(ISBLANK(A699),"""",IFERROR(IF(H699=""Sell"",VLOOKUP(9^99,FILTER({ROW(P$2:P698),P$2:P698},D$2:D698=D699),2),(VLOOKUP(9^99,FILTER({ROW(P$2:P698),P$2:P698},D$2:D698=D699),2)*VLOOKUP(9^99,FILTER({ROW(O$2:O698),O$2:O698},D$2:D698=D699),2)-N699)/O699),J699))"),"")</f>
        <v/>
      </c>
      <c r="Q699" s="264" t="str">
        <f>IFERROR(__xludf.DUMMYFUNCTION("IFERROR(IF(F699=""Crypto"",B699,(IF(ISBLANK(D699),"""",IF(D699=""Cash"",B699,IF(GOOGLEFINANCE(D699,""CURRENCY"")=""GBX"",""GBP"",GOOGLEFINANCE(D699,""CURRENCY"")))))),B699)"),"")</f>
        <v/>
      </c>
      <c r="R699" s="263" t="str">
        <f>IFERROR(__xludf.DUMMYFUNCTION("IF(ISBLANK(A699),"""",IFERROR(IF(OR(Q699=""GPB"",Q699=""ZAR""),IF(Q699=Dashboard!$L$1,K699,(K699*GOOGLEFINANCE(""CURRENCY:""&amp;Q699&amp;""""&amp;Dashboard!$L$1&amp;""""))/100),IF(Q699=Dashboard!$L$1,K699,K699*GOOGLEFINANCE(""CURRENCY:""&amp;Q699&amp;""""&amp;Dashboard!$L$1&amp;"""")))"&amp;",K699))"),"")</f>
        <v/>
      </c>
      <c r="S699" s="266" t="str">
        <f>IFERROR(__xludf.DUMMYFUNCTION("IF(ISBLANK(A699),"""",IFERROR(IF(OR(Q699=""GPB"",Q699=""ZAR""),IF(Q699=Dashboard!$L$1,M699,(M699*GOOGLEFINANCE(""CURRENCY:""&amp;Q699&amp;""""&amp;Dashboard!$L$1&amp;""""))/100),IF(Q699=Dashboard!$L$1,M699,M699*GOOGLEFINANCE(""CURRENCY:""&amp;Q699&amp;""""&amp;Dashboard!$L$1&amp;"""")))"&amp;",M699))"),"")</f>
        <v/>
      </c>
      <c r="T699" s="264" t="str">
        <f t="shared" si="4"/>
        <v/>
      </c>
      <c r="U699" s="264" t="str">
        <f t="shared" si="5"/>
        <v/>
      </c>
      <c r="V699" s="264" t="str">
        <f t="shared" si="6"/>
        <v/>
      </c>
      <c r="W699" s="267" t="str">
        <f t="shared" si="8"/>
        <v/>
      </c>
      <c r="X699" s="264" t="str">
        <f t="shared" si="7"/>
        <v/>
      </c>
    </row>
    <row r="700" ht="15.75" customHeight="1">
      <c r="A700" s="258"/>
      <c r="B700" s="258"/>
      <c r="C700" s="269"/>
      <c r="D700" s="258"/>
      <c r="E700" s="258"/>
      <c r="F700" s="258"/>
      <c r="G700" s="258"/>
      <c r="H700" s="271"/>
      <c r="I700" s="258"/>
      <c r="J700" s="272"/>
      <c r="K700" s="260"/>
      <c r="L700" s="261"/>
      <c r="M700" s="262" t="str">
        <f t="shared" si="1"/>
        <v/>
      </c>
      <c r="N700" s="263" t="str">
        <f t="shared" si="2"/>
        <v/>
      </c>
      <c r="O700" s="264" t="str">
        <f t="shared" si="3"/>
        <v/>
      </c>
      <c r="P700" s="265" t="str">
        <f>IFERROR(__xludf.DUMMYFUNCTION("IF(ISBLANK(A700),"""",IFERROR(IF(H700=""Sell"",VLOOKUP(9^99,FILTER({ROW(P$2:P699),P$2:P699},D$2:D699=D700),2),(VLOOKUP(9^99,FILTER({ROW(P$2:P699),P$2:P699},D$2:D699=D700),2)*VLOOKUP(9^99,FILTER({ROW(O$2:O699),O$2:O699},D$2:D699=D700),2)-N700)/O700),J700))"),"")</f>
        <v/>
      </c>
      <c r="Q700" s="264" t="str">
        <f>IFERROR(__xludf.DUMMYFUNCTION("IFERROR(IF(F700=""Crypto"",B700,(IF(ISBLANK(D700),"""",IF(D700=""Cash"",B700,IF(GOOGLEFINANCE(D700,""CURRENCY"")=""GBX"",""GBP"",GOOGLEFINANCE(D700,""CURRENCY"")))))),B700)"),"")</f>
        <v/>
      </c>
      <c r="R700" s="263" t="str">
        <f>IFERROR(__xludf.DUMMYFUNCTION("IF(ISBLANK(A700),"""",IFERROR(IF(OR(Q700=""GPB"",Q700=""ZAR""),IF(Q700=Dashboard!$L$1,K700,(K700*GOOGLEFINANCE(""CURRENCY:""&amp;Q700&amp;""""&amp;Dashboard!$L$1&amp;""""))/100),IF(Q700=Dashboard!$L$1,K700,K700*GOOGLEFINANCE(""CURRENCY:""&amp;Q700&amp;""""&amp;Dashboard!$L$1&amp;"""")))"&amp;",K700))"),"")</f>
        <v/>
      </c>
      <c r="S700" s="266" t="str">
        <f>IFERROR(__xludf.DUMMYFUNCTION("IF(ISBLANK(A700),"""",IFERROR(IF(OR(Q700=""GPB"",Q700=""ZAR""),IF(Q700=Dashboard!$L$1,M700,(M700*GOOGLEFINANCE(""CURRENCY:""&amp;Q700&amp;""""&amp;Dashboard!$L$1&amp;""""))/100),IF(Q700=Dashboard!$L$1,M700,M700*GOOGLEFINANCE(""CURRENCY:""&amp;Q700&amp;""""&amp;Dashboard!$L$1&amp;"""")))"&amp;",M700))"),"")</f>
        <v/>
      </c>
      <c r="T700" s="264" t="str">
        <f t="shared" si="4"/>
        <v/>
      </c>
      <c r="U700" s="264" t="str">
        <f t="shared" si="5"/>
        <v/>
      </c>
      <c r="V700" s="264" t="str">
        <f t="shared" si="6"/>
        <v/>
      </c>
      <c r="W700" s="267" t="str">
        <f t="shared" si="8"/>
        <v/>
      </c>
      <c r="X700" s="264" t="str">
        <f t="shared" si="7"/>
        <v/>
      </c>
    </row>
    <row r="701" ht="15.75" customHeight="1">
      <c r="A701" s="258"/>
      <c r="B701" s="258"/>
      <c r="C701" s="269"/>
      <c r="D701" s="258"/>
      <c r="E701" s="258"/>
      <c r="F701" s="258"/>
      <c r="G701" s="258"/>
      <c r="H701" s="271"/>
      <c r="I701" s="258"/>
      <c r="J701" s="272"/>
      <c r="K701" s="260"/>
      <c r="L701" s="261"/>
      <c r="M701" s="262" t="str">
        <f t="shared" si="1"/>
        <v/>
      </c>
      <c r="N701" s="263" t="str">
        <f t="shared" si="2"/>
        <v/>
      </c>
      <c r="O701" s="264" t="str">
        <f t="shared" si="3"/>
        <v/>
      </c>
      <c r="P701" s="265" t="str">
        <f>IFERROR(__xludf.DUMMYFUNCTION("IF(ISBLANK(A701),"""",IFERROR(IF(H701=""Sell"",VLOOKUP(9^99,FILTER({ROW(P$2:P700),P$2:P700},D$2:D700=D701),2),(VLOOKUP(9^99,FILTER({ROW(P$2:P700),P$2:P700},D$2:D700=D701),2)*VLOOKUP(9^99,FILTER({ROW(O$2:O700),O$2:O700},D$2:D700=D701),2)-N701)/O701),J701))"),"")</f>
        <v/>
      </c>
      <c r="Q701" s="264" t="str">
        <f>IFERROR(__xludf.DUMMYFUNCTION("IFERROR(IF(F701=""Crypto"",B701,(IF(ISBLANK(D701),"""",IF(D701=""Cash"",B701,IF(GOOGLEFINANCE(D701,""CURRENCY"")=""GBX"",""GBP"",GOOGLEFINANCE(D701,""CURRENCY"")))))),B701)"),"")</f>
        <v/>
      </c>
      <c r="R701" s="263" t="str">
        <f>IFERROR(__xludf.DUMMYFUNCTION("IF(ISBLANK(A701),"""",IFERROR(IF(OR(Q701=""GPB"",Q701=""ZAR""),IF(Q701=Dashboard!$L$1,K701,(K701*GOOGLEFINANCE(""CURRENCY:""&amp;Q701&amp;""""&amp;Dashboard!$L$1&amp;""""))/100),IF(Q701=Dashboard!$L$1,K701,K701*GOOGLEFINANCE(""CURRENCY:""&amp;Q701&amp;""""&amp;Dashboard!$L$1&amp;"""")))"&amp;",K701))"),"")</f>
        <v/>
      </c>
      <c r="S701" s="266" t="str">
        <f>IFERROR(__xludf.DUMMYFUNCTION("IF(ISBLANK(A701),"""",IFERROR(IF(OR(Q701=""GPB"",Q701=""ZAR""),IF(Q701=Dashboard!$L$1,M701,(M701*GOOGLEFINANCE(""CURRENCY:""&amp;Q701&amp;""""&amp;Dashboard!$L$1&amp;""""))/100),IF(Q701=Dashboard!$L$1,M701,M701*GOOGLEFINANCE(""CURRENCY:""&amp;Q701&amp;""""&amp;Dashboard!$L$1&amp;"""")))"&amp;",M701))"),"")</f>
        <v/>
      </c>
      <c r="T701" s="264" t="str">
        <f t="shared" si="4"/>
        <v/>
      </c>
      <c r="U701" s="264" t="str">
        <f t="shared" si="5"/>
        <v/>
      </c>
      <c r="V701" s="264" t="str">
        <f t="shared" si="6"/>
        <v/>
      </c>
      <c r="W701" s="267" t="str">
        <f t="shared" si="8"/>
        <v/>
      </c>
      <c r="X701" s="264" t="str">
        <f t="shared" si="7"/>
        <v/>
      </c>
    </row>
    <row r="702" ht="15.75" customHeight="1">
      <c r="A702" s="258"/>
      <c r="B702" s="258"/>
      <c r="C702" s="269"/>
      <c r="D702" s="258"/>
      <c r="E702" s="258"/>
      <c r="F702" s="258"/>
      <c r="G702" s="258"/>
      <c r="H702" s="271"/>
      <c r="I702" s="258"/>
      <c r="J702" s="272"/>
      <c r="K702" s="260"/>
      <c r="L702" s="261"/>
      <c r="M702" s="262" t="str">
        <f t="shared" si="1"/>
        <v/>
      </c>
      <c r="N702" s="263" t="str">
        <f t="shared" si="2"/>
        <v/>
      </c>
      <c r="O702" s="264" t="str">
        <f t="shared" si="3"/>
        <v/>
      </c>
      <c r="P702" s="265" t="str">
        <f>IFERROR(__xludf.DUMMYFUNCTION("IF(ISBLANK(A702),"""",IFERROR(IF(H702=""Sell"",VLOOKUP(9^99,FILTER({ROW(P$2:P701),P$2:P701},D$2:D701=D702),2),(VLOOKUP(9^99,FILTER({ROW(P$2:P701),P$2:P701},D$2:D701=D702),2)*VLOOKUP(9^99,FILTER({ROW(O$2:O701),O$2:O701},D$2:D701=D702),2)-N702)/O702),J702))"),"")</f>
        <v/>
      </c>
      <c r="Q702" s="264" t="str">
        <f>IFERROR(__xludf.DUMMYFUNCTION("IFERROR(IF(F702=""Crypto"",B702,(IF(ISBLANK(D702),"""",IF(D702=""Cash"",B702,IF(GOOGLEFINANCE(D702,""CURRENCY"")=""GBX"",""GBP"",GOOGLEFINANCE(D702,""CURRENCY"")))))),B702)"),"")</f>
        <v/>
      </c>
      <c r="R702" s="263" t="str">
        <f>IFERROR(__xludf.DUMMYFUNCTION("IF(ISBLANK(A702),"""",IFERROR(IF(OR(Q702=""GPB"",Q702=""ZAR""),IF(Q702=Dashboard!$L$1,K702,(K702*GOOGLEFINANCE(""CURRENCY:""&amp;Q702&amp;""""&amp;Dashboard!$L$1&amp;""""))/100),IF(Q702=Dashboard!$L$1,K702,K702*GOOGLEFINANCE(""CURRENCY:""&amp;Q702&amp;""""&amp;Dashboard!$L$1&amp;"""")))"&amp;",K702))"),"")</f>
        <v/>
      </c>
      <c r="S702" s="266" t="str">
        <f>IFERROR(__xludf.DUMMYFUNCTION("IF(ISBLANK(A702),"""",IFERROR(IF(OR(Q702=""GPB"",Q702=""ZAR""),IF(Q702=Dashboard!$L$1,M702,(M702*GOOGLEFINANCE(""CURRENCY:""&amp;Q702&amp;""""&amp;Dashboard!$L$1&amp;""""))/100),IF(Q702=Dashboard!$L$1,M702,M702*GOOGLEFINANCE(""CURRENCY:""&amp;Q702&amp;""""&amp;Dashboard!$L$1&amp;"""")))"&amp;",M702))"),"")</f>
        <v/>
      </c>
      <c r="T702" s="264" t="str">
        <f t="shared" si="4"/>
        <v/>
      </c>
      <c r="U702" s="264" t="str">
        <f t="shared" si="5"/>
        <v/>
      </c>
      <c r="V702" s="264" t="str">
        <f t="shared" si="6"/>
        <v/>
      </c>
      <c r="W702" s="267" t="str">
        <f t="shared" si="8"/>
        <v/>
      </c>
      <c r="X702" s="264" t="str">
        <f t="shared" si="7"/>
        <v/>
      </c>
    </row>
    <row r="703" ht="15.75" customHeight="1">
      <c r="A703" s="258"/>
      <c r="B703" s="258"/>
      <c r="C703" s="269"/>
      <c r="D703" s="258"/>
      <c r="E703" s="258"/>
      <c r="F703" s="258"/>
      <c r="G703" s="258"/>
      <c r="H703" s="271"/>
      <c r="I703" s="258"/>
      <c r="J703" s="272"/>
      <c r="K703" s="260"/>
      <c r="L703" s="261"/>
      <c r="M703" s="262" t="str">
        <f t="shared" si="1"/>
        <v/>
      </c>
      <c r="N703" s="263" t="str">
        <f t="shared" si="2"/>
        <v/>
      </c>
      <c r="O703" s="264" t="str">
        <f t="shared" si="3"/>
        <v/>
      </c>
      <c r="P703" s="265" t="str">
        <f>IFERROR(__xludf.DUMMYFUNCTION("IF(ISBLANK(A703),"""",IFERROR(IF(H703=""Sell"",VLOOKUP(9^99,FILTER({ROW(P$2:P702),P$2:P702},D$2:D702=D703),2),(VLOOKUP(9^99,FILTER({ROW(P$2:P702),P$2:P702},D$2:D702=D703),2)*VLOOKUP(9^99,FILTER({ROW(O$2:O702),O$2:O702},D$2:D702=D703),2)-N703)/O703),J703))"),"")</f>
        <v/>
      </c>
      <c r="Q703" s="264" t="str">
        <f>IFERROR(__xludf.DUMMYFUNCTION("IFERROR(IF(F703=""Crypto"",B703,(IF(ISBLANK(D703),"""",IF(D703=""Cash"",B703,IF(GOOGLEFINANCE(D703,""CURRENCY"")=""GBX"",""GBP"",GOOGLEFINANCE(D703,""CURRENCY"")))))),B703)"),"")</f>
        <v/>
      </c>
      <c r="R703" s="263" t="str">
        <f>IFERROR(__xludf.DUMMYFUNCTION("IF(ISBLANK(A703),"""",IFERROR(IF(OR(Q703=""GPB"",Q703=""ZAR""),IF(Q703=Dashboard!$L$1,K703,(K703*GOOGLEFINANCE(""CURRENCY:""&amp;Q703&amp;""""&amp;Dashboard!$L$1&amp;""""))/100),IF(Q703=Dashboard!$L$1,K703,K703*GOOGLEFINANCE(""CURRENCY:""&amp;Q703&amp;""""&amp;Dashboard!$L$1&amp;"""")))"&amp;",K703))"),"")</f>
        <v/>
      </c>
      <c r="S703" s="266" t="str">
        <f>IFERROR(__xludf.DUMMYFUNCTION("IF(ISBLANK(A703),"""",IFERROR(IF(OR(Q703=""GPB"",Q703=""ZAR""),IF(Q703=Dashboard!$L$1,M703,(M703*GOOGLEFINANCE(""CURRENCY:""&amp;Q703&amp;""""&amp;Dashboard!$L$1&amp;""""))/100),IF(Q703=Dashboard!$L$1,M703,M703*GOOGLEFINANCE(""CURRENCY:""&amp;Q703&amp;""""&amp;Dashboard!$L$1&amp;"""")))"&amp;",M703))"),"")</f>
        <v/>
      </c>
      <c r="T703" s="264" t="str">
        <f t="shared" si="4"/>
        <v/>
      </c>
      <c r="U703" s="264" t="str">
        <f t="shared" si="5"/>
        <v/>
      </c>
      <c r="V703" s="264" t="str">
        <f t="shared" si="6"/>
        <v/>
      </c>
      <c r="W703" s="267" t="str">
        <f t="shared" si="8"/>
        <v/>
      </c>
      <c r="X703" s="264" t="str">
        <f t="shared" si="7"/>
        <v/>
      </c>
    </row>
    <row r="704" ht="15.75" customHeight="1">
      <c r="A704" s="258"/>
      <c r="B704" s="258"/>
      <c r="C704" s="269"/>
      <c r="D704" s="258"/>
      <c r="E704" s="258"/>
      <c r="F704" s="258"/>
      <c r="G704" s="258"/>
      <c r="H704" s="271"/>
      <c r="I704" s="258"/>
      <c r="J704" s="272"/>
      <c r="K704" s="260"/>
      <c r="L704" s="261"/>
      <c r="M704" s="262" t="str">
        <f t="shared" si="1"/>
        <v/>
      </c>
      <c r="N704" s="263" t="str">
        <f t="shared" si="2"/>
        <v/>
      </c>
      <c r="O704" s="264" t="str">
        <f t="shared" si="3"/>
        <v/>
      </c>
      <c r="P704" s="265" t="str">
        <f>IFERROR(__xludf.DUMMYFUNCTION("IF(ISBLANK(A704),"""",IFERROR(IF(H704=""Sell"",VLOOKUP(9^99,FILTER({ROW(P$2:P703),P$2:P703},D$2:D703=D704),2),(VLOOKUP(9^99,FILTER({ROW(P$2:P703),P$2:P703},D$2:D703=D704),2)*VLOOKUP(9^99,FILTER({ROW(O$2:O703),O$2:O703},D$2:D703=D704),2)-N704)/O704),J704))"),"")</f>
        <v/>
      </c>
      <c r="Q704" s="264" t="str">
        <f>IFERROR(__xludf.DUMMYFUNCTION("IFERROR(IF(F704=""Crypto"",B704,(IF(ISBLANK(D704),"""",IF(D704=""Cash"",B704,IF(GOOGLEFINANCE(D704,""CURRENCY"")=""GBX"",""GBP"",GOOGLEFINANCE(D704,""CURRENCY"")))))),B704)"),"")</f>
        <v/>
      </c>
      <c r="R704" s="263" t="str">
        <f>IFERROR(__xludf.DUMMYFUNCTION("IF(ISBLANK(A704),"""",IFERROR(IF(OR(Q704=""GPB"",Q704=""ZAR""),IF(Q704=Dashboard!$L$1,K704,(K704*GOOGLEFINANCE(""CURRENCY:""&amp;Q704&amp;""""&amp;Dashboard!$L$1&amp;""""))/100),IF(Q704=Dashboard!$L$1,K704,K704*GOOGLEFINANCE(""CURRENCY:""&amp;Q704&amp;""""&amp;Dashboard!$L$1&amp;"""")))"&amp;",K704))"),"")</f>
        <v/>
      </c>
      <c r="S704" s="266" t="str">
        <f>IFERROR(__xludf.DUMMYFUNCTION("IF(ISBLANK(A704),"""",IFERROR(IF(OR(Q704=""GPB"",Q704=""ZAR""),IF(Q704=Dashboard!$L$1,M704,(M704*GOOGLEFINANCE(""CURRENCY:""&amp;Q704&amp;""""&amp;Dashboard!$L$1&amp;""""))/100),IF(Q704=Dashboard!$L$1,M704,M704*GOOGLEFINANCE(""CURRENCY:""&amp;Q704&amp;""""&amp;Dashboard!$L$1&amp;"""")))"&amp;",M704))"),"")</f>
        <v/>
      </c>
      <c r="T704" s="264" t="str">
        <f t="shared" si="4"/>
        <v/>
      </c>
      <c r="U704" s="264" t="str">
        <f t="shared" si="5"/>
        <v/>
      </c>
      <c r="V704" s="264" t="str">
        <f t="shared" si="6"/>
        <v/>
      </c>
      <c r="W704" s="267" t="str">
        <f t="shared" si="8"/>
        <v/>
      </c>
      <c r="X704" s="264" t="str">
        <f t="shared" si="7"/>
        <v/>
      </c>
    </row>
    <row r="705" ht="15.75" customHeight="1">
      <c r="A705" s="258"/>
      <c r="B705" s="258"/>
      <c r="C705" s="269"/>
      <c r="D705" s="258"/>
      <c r="E705" s="258"/>
      <c r="F705" s="258"/>
      <c r="G705" s="258"/>
      <c r="H705" s="271"/>
      <c r="I705" s="258"/>
      <c r="J705" s="272"/>
      <c r="K705" s="260"/>
      <c r="L705" s="261"/>
      <c r="M705" s="262" t="str">
        <f t="shared" si="1"/>
        <v/>
      </c>
      <c r="N705" s="263" t="str">
        <f t="shared" si="2"/>
        <v/>
      </c>
      <c r="O705" s="264" t="str">
        <f t="shared" si="3"/>
        <v/>
      </c>
      <c r="P705" s="265" t="str">
        <f>IFERROR(__xludf.DUMMYFUNCTION("IF(ISBLANK(A705),"""",IFERROR(IF(H705=""Sell"",VLOOKUP(9^99,FILTER({ROW(P$2:P704),P$2:P704},D$2:D704=D705),2),(VLOOKUP(9^99,FILTER({ROW(P$2:P704),P$2:P704},D$2:D704=D705),2)*VLOOKUP(9^99,FILTER({ROW(O$2:O704),O$2:O704},D$2:D704=D705),2)-N705)/O705),J705))"),"")</f>
        <v/>
      </c>
      <c r="Q705" s="264" t="str">
        <f>IFERROR(__xludf.DUMMYFUNCTION("IFERROR(IF(F705=""Crypto"",B705,(IF(ISBLANK(D705),"""",IF(D705=""Cash"",B705,IF(GOOGLEFINANCE(D705,""CURRENCY"")=""GBX"",""GBP"",GOOGLEFINANCE(D705,""CURRENCY"")))))),B705)"),"")</f>
        <v/>
      </c>
      <c r="R705" s="263" t="str">
        <f>IFERROR(__xludf.DUMMYFUNCTION("IF(ISBLANK(A705),"""",IFERROR(IF(OR(Q705=""GPB"",Q705=""ZAR""),IF(Q705=Dashboard!$L$1,K705,(K705*GOOGLEFINANCE(""CURRENCY:""&amp;Q705&amp;""""&amp;Dashboard!$L$1&amp;""""))/100),IF(Q705=Dashboard!$L$1,K705,K705*GOOGLEFINANCE(""CURRENCY:""&amp;Q705&amp;""""&amp;Dashboard!$L$1&amp;"""")))"&amp;",K705))"),"")</f>
        <v/>
      </c>
      <c r="S705" s="266" t="str">
        <f>IFERROR(__xludf.DUMMYFUNCTION("IF(ISBLANK(A705),"""",IFERROR(IF(OR(Q705=""GPB"",Q705=""ZAR""),IF(Q705=Dashboard!$L$1,M705,(M705*GOOGLEFINANCE(""CURRENCY:""&amp;Q705&amp;""""&amp;Dashboard!$L$1&amp;""""))/100),IF(Q705=Dashboard!$L$1,M705,M705*GOOGLEFINANCE(""CURRENCY:""&amp;Q705&amp;""""&amp;Dashboard!$L$1&amp;"""")))"&amp;",M705))"),"")</f>
        <v/>
      </c>
      <c r="T705" s="264" t="str">
        <f t="shared" si="4"/>
        <v/>
      </c>
      <c r="U705" s="264" t="str">
        <f t="shared" si="5"/>
        <v/>
      </c>
      <c r="V705" s="264" t="str">
        <f t="shared" si="6"/>
        <v/>
      </c>
      <c r="W705" s="267" t="str">
        <f t="shared" si="8"/>
        <v/>
      </c>
      <c r="X705" s="264" t="str">
        <f t="shared" si="7"/>
        <v/>
      </c>
    </row>
    <row r="706" ht="15.75" customHeight="1">
      <c r="A706" s="258"/>
      <c r="B706" s="258"/>
      <c r="C706" s="269"/>
      <c r="D706" s="258"/>
      <c r="E706" s="258"/>
      <c r="F706" s="258"/>
      <c r="G706" s="258"/>
      <c r="H706" s="271"/>
      <c r="I706" s="258"/>
      <c r="J706" s="272"/>
      <c r="K706" s="260"/>
      <c r="L706" s="261"/>
      <c r="M706" s="262" t="str">
        <f t="shared" si="1"/>
        <v/>
      </c>
      <c r="N706" s="263" t="str">
        <f t="shared" si="2"/>
        <v/>
      </c>
      <c r="O706" s="264" t="str">
        <f t="shared" si="3"/>
        <v/>
      </c>
      <c r="P706" s="265" t="str">
        <f>IFERROR(__xludf.DUMMYFUNCTION("IF(ISBLANK(A706),"""",IFERROR(IF(H706=""Sell"",VLOOKUP(9^99,FILTER({ROW(P$2:P705),P$2:P705},D$2:D705=D706),2),(VLOOKUP(9^99,FILTER({ROW(P$2:P705),P$2:P705},D$2:D705=D706),2)*VLOOKUP(9^99,FILTER({ROW(O$2:O705),O$2:O705},D$2:D705=D706),2)-N706)/O706),J706))"),"")</f>
        <v/>
      </c>
      <c r="Q706" s="264" t="str">
        <f>IFERROR(__xludf.DUMMYFUNCTION("IFERROR(IF(F706=""Crypto"",B706,(IF(ISBLANK(D706),"""",IF(D706=""Cash"",B706,IF(GOOGLEFINANCE(D706,""CURRENCY"")=""GBX"",""GBP"",GOOGLEFINANCE(D706,""CURRENCY"")))))),B706)"),"")</f>
        <v/>
      </c>
      <c r="R706" s="263" t="str">
        <f>IFERROR(__xludf.DUMMYFUNCTION("IF(ISBLANK(A706),"""",IFERROR(IF(OR(Q706=""GPB"",Q706=""ZAR""),IF(Q706=Dashboard!$L$1,K706,(K706*GOOGLEFINANCE(""CURRENCY:""&amp;Q706&amp;""""&amp;Dashboard!$L$1&amp;""""))/100),IF(Q706=Dashboard!$L$1,K706,K706*GOOGLEFINANCE(""CURRENCY:""&amp;Q706&amp;""""&amp;Dashboard!$L$1&amp;"""")))"&amp;",K706))"),"")</f>
        <v/>
      </c>
      <c r="S706" s="266" t="str">
        <f>IFERROR(__xludf.DUMMYFUNCTION("IF(ISBLANK(A706),"""",IFERROR(IF(OR(Q706=""GPB"",Q706=""ZAR""),IF(Q706=Dashboard!$L$1,M706,(M706*GOOGLEFINANCE(""CURRENCY:""&amp;Q706&amp;""""&amp;Dashboard!$L$1&amp;""""))/100),IF(Q706=Dashboard!$L$1,M706,M706*GOOGLEFINANCE(""CURRENCY:""&amp;Q706&amp;""""&amp;Dashboard!$L$1&amp;"""")))"&amp;",M706))"),"")</f>
        <v/>
      </c>
      <c r="T706" s="264" t="str">
        <f t="shared" si="4"/>
        <v/>
      </c>
      <c r="U706" s="264" t="str">
        <f t="shared" si="5"/>
        <v/>
      </c>
      <c r="V706" s="264" t="str">
        <f t="shared" si="6"/>
        <v/>
      </c>
      <c r="W706" s="267" t="str">
        <f t="shared" si="8"/>
        <v/>
      </c>
      <c r="X706" s="264" t="str">
        <f t="shared" si="7"/>
        <v/>
      </c>
    </row>
    <row r="707" ht="15.75" customHeight="1">
      <c r="A707" s="258"/>
      <c r="B707" s="258"/>
      <c r="C707" s="269"/>
      <c r="D707" s="258"/>
      <c r="E707" s="258"/>
      <c r="F707" s="258"/>
      <c r="G707" s="258"/>
      <c r="H707" s="271"/>
      <c r="I707" s="258"/>
      <c r="J707" s="272"/>
      <c r="K707" s="260"/>
      <c r="L707" s="261"/>
      <c r="M707" s="262" t="str">
        <f t="shared" si="1"/>
        <v/>
      </c>
      <c r="N707" s="263" t="str">
        <f t="shared" si="2"/>
        <v/>
      </c>
      <c r="O707" s="264" t="str">
        <f t="shared" si="3"/>
        <v/>
      </c>
      <c r="P707" s="265" t="str">
        <f>IFERROR(__xludf.DUMMYFUNCTION("IF(ISBLANK(A707),"""",IFERROR(IF(H707=""Sell"",VLOOKUP(9^99,FILTER({ROW(P$2:P706),P$2:P706},D$2:D706=D707),2),(VLOOKUP(9^99,FILTER({ROW(P$2:P706),P$2:P706},D$2:D706=D707),2)*VLOOKUP(9^99,FILTER({ROW(O$2:O706),O$2:O706},D$2:D706=D707),2)-N707)/O707),J707))"),"")</f>
        <v/>
      </c>
      <c r="Q707" s="264" t="str">
        <f>IFERROR(__xludf.DUMMYFUNCTION("IFERROR(IF(F707=""Crypto"",B707,(IF(ISBLANK(D707),"""",IF(D707=""Cash"",B707,IF(GOOGLEFINANCE(D707,""CURRENCY"")=""GBX"",""GBP"",GOOGLEFINANCE(D707,""CURRENCY"")))))),B707)"),"")</f>
        <v/>
      </c>
      <c r="R707" s="263" t="str">
        <f>IFERROR(__xludf.DUMMYFUNCTION("IF(ISBLANK(A707),"""",IFERROR(IF(OR(Q707=""GPB"",Q707=""ZAR""),IF(Q707=Dashboard!$L$1,K707,(K707*GOOGLEFINANCE(""CURRENCY:""&amp;Q707&amp;""""&amp;Dashboard!$L$1&amp;""""))/100),IF(Q707=Dashboard!$L$1,K707,K707*GOOGLEFINANCE(""CURRENCY:""&amp;Q707&amp;""""&amp;Dashboard!$L$1&amp;"""")))"&amp;",K707))"),"")</f>
        <v/>
      </c>
      <c r="S707" s="266" t="str">
        <f>IFERROR(__xludf.DUMMYFUNCTION("IF(ISBLANK(A707),"""",IFERROR(IF(OR(Q707=""GPB"",Q707=""ZAR""),IF(Q707=Dashboard!$L$1,M707,(M707*GOOGLEFINANCE(""CURRENCY:""&amp;Q707&amp;""""&amp;Dashboard!$L$1&amp;""""))/100),IF(Q707=Dashboard!$L$1,M707,M707*GOOGLEFINANCE(""CURRENCY:""&amp;Q707&amp;""""&amp;Dashboard!$L$1&amp;"""")))"&amp;",M707))"),"")</f>
        <v/>
      </c>
      <c r="T707" s="264" t="str">
        <f t="shared" si="4"/>
        <v/>
      </c>
      <c r="U707" s="264" t="str">
        <f t="shared" si="5"/>
        <v/>
      </c>
      <c r="V707" s="264" t="str">
        <f t="shared" si="6"/>
        <v/>
      </c>
      <c r="W707" s="267" t="str">
        <f t="shared" si="8"/>
        <v/>
      </c>
      <c r="X707" s="264" t="str">
        <f t="shared" si="7"/>
        <v/>
      </c>
    </row>
    <row r="708" ht="15.75" customHeight="1">
      <c r="A708" s="258"/>
      <c r="B708" s="258"/>
      <c r="C708" s="269"/>
      <c r="D708" s="258"/>
      <c r="E708" s="258"/>
      <c r="F708" s="258"/>
      <c r="G708" s="258"/>
      <c r="H708" s="271"/>
      <c r="I708" s="258"/>
      <c r="J708" s="272"/>
      <c r="K708" s="260"/>
      <c r="L708" s="261"/>
      <c r="M708" s="262" t="str">
        <f t="shared" si="1"/>
        <v/>
      </c>
      <c r="N708" s="263" t="str">
        <f t="shared" si="2"/>
        <v/>
      </c>
      <c r="O708" s="264" t="str">
        <f t="shared" si="3"/>
        <v/>
      </c>
      <c r="P708" s="265" t="str">
        <f>IFERROR(__xludf.DUMMYFUNCTION("IF(ISBLANK(A708),"""",IFERROR(IF(H708=""Sell"",VLOOKUP(9^99,FILTER({ROW(P$2:P707),P$2:P707},D$2:D707=D708),2),(VLOOKUP(9^99,FILTER({ROW(P$2:P707),P$2:P707},D$2:D707=D708),2)*VLOOKUP(9^99,FILTER({ROW(O$2:O707),O$2:O707},D$2:D707=D708),2)-N708)/O708),J708))"),"")</f>
        <v/>
      </c>
      <c r="Q708" s="264" t="str">
        <f>IFERROR(__xludf.DUMMYFUNCTION("IFERROR(IF(F708=""Crypto"",B708,(IF(ISBLANK(D708),"""",IF(D708=""Cash"",B708,IF(GOOGLEFINANCE(D708,""CURRENCY"")=""GBX"",""GBP"",GOOGLEFINANCE(D708,""CURRENCY"")))))),B708)"),"")</f>
        <v/>
      </c>
      <c r="R708" s="263" t="str">
        <f>IFERROR(__xludf.DUMMYFUNCTION("IF(ISBLANK(A708),"""",IFERROR(IF(OR(Q708=""GPB"",Q708=""ZAR""),IF(Q708=Dashboard!$L$1,K708,(K708*GOOGLEFINANCE(""CURRENCY:""&amp;Q708&amp;""""&amp;Dashboard!$L$1&amp;""""))/100),IF(Q708=Dashboard!$L$1,K708,K708*GOOGLEFINANCE(""CURRENCY:""&amp;Q708&amp;""""&amp;Dashboard!$L$1&amp;"""")))"&amp;",K708))"),"")</f>
        <v/>
      </c>
      <c r="S708" s="266" t="str">
        <f>IFERROR(__xludf.DUMMYFUNCTION("IF(ISBLANK(A708),"""",IFERROR(IF(OR(Q708=""GPB"",Q708=""ZAR""),IF(Q708=Dashboard!$L$1,M708,(M708*GOOGLEFINANCE(""CURRENCY:""&amp;Q708&amp;""""&amp;Dashboard!$L$1&amp;""""))/100),IF(Q708=Dashboard!$L$1,M708,M708*GOOGLEFINANCE(""CURRENCY:""&amp;Q708&amp;""""&amp;Dashboard!$L$1&amp;"""")))"&amp;",M708))"),"")</f>
        <v/>
      </c>
      <c r="T708" s="264" t="str">
        <f t="shared" si="4"/>
        <v/>
      </c>
      <c r="U708" s="264" t="str">
        <f t="shared" si="5"/>
        <v/>
      </c>
      <c r="V708" s="264" t="str">
        <f t="shared" si="6"/>
        <v/>
      </c>
      <c r="W708" s="267" t="str">
        <f t="shared" si="8"/>
        <v/>
      </c>
      <c r="X708" s="264" t="str">
        <f t="shared" si="7"/>
        <v/>
      </c>
    </row>
    <row r="709" ht="15.75" customHeight="1">
      <c r="A709" s="258"/>
      <c r="B709" s="258"/>
      <c r="C709" s="269"/>
      <c r="D709" s="258"/>
      <c r="E709" s="258"/>
      <c r="F709" s="258"/>
      <c r="G709" s="258"/>
      <c r="H709" s="271"/>
      <c r="I709" s="258"/>
      <c r="J709" s="272"/>
      <c r="K709" s="260"/>
      <c r="L709" s="261"/>
      <c r="M709" s="262" t="str">
        <f t="shared" si="1"/>
        <v/>
      </c>
      <c r="N709" s="263" t="str">
        <f t="shared" si="2"/>
        <v/>
      </c>
      <c r="O709" s="264" t="str">
        <f t="shared" si="3"/>
        <v/>
      </c>
      <c r="P709" s="265" t="str">
        <f>IFERROR(__xludf.DUMMYFUNCTION("IF(ISBLANK(A709),"""",IFERROR(IF(H709=""Sell"",VLOOKUP(9^99,FILTER({ROW(P$2:P708),P$2:P708},D$2:D708=D709),2),(VLOOKUP(9^99,FILTER({ROW(P$2:P708),P$2:P708},D$2:D708=D709),2)*VLOOKUP(9^99,FILTER({ROW(O$2:O708),O$2:O708},D$2:D708=D709),2)-N709)/O709),J709))"),"")</f>
        <v/>
      </c>
      <c r="Q709" s="264" t="str">
        <f>IFERROR(__xludf.DUMMYFUNCTION("IFERROR(IF(F709=""Crypto"",B709,(IF(ISBLANK(D709),"""",IF(D709=""Cash"",B709,IF(GOOGLEFINANCE(D709,""CURRENCY"")=""GBX"",""GBP"",GOOGLEFINANCE(D709,""CURRENCY"")))))),B709)"),"")</f>
        <v/>
      </c>
      <c r="R709" s="263" t="str">
        <f>IFERROR(__xludf.DUMMYFUNCTION("IF(ISBLANK(A709),"""",IFERROR(IF(OR(Q709=""GPB"",Q709=""ZAR""),IF(Q709=Dashboard!$L$1,K709,(K709*GOOGLEFINANCE(""CURRENCY:""&amp;Q709&amp;""""&amp;Dashboard!$L$1&amp;""""))/100),IF(Q709=Dashboard!$L$1,K709,K709*GOOGLEFINANCE(""CURRENCY:""&amp;Q709&amp;""""&amp;Dashboard!$L$1&amp;"""")))"&amp;",K709))"),"")</f>
        <v/>
      </c>
      <c r="S709" s="266" t="str">
        <f>IFERROR(__xludf.DUMMYFUNCTION("IF(ISBLANK(A709),"""",IFERROR(IF(OR(Q709=""GPB"",Q709=""ZAR""),IF(Q709=Dashboard!$L$1,M709,(M709*GOOGLEFINANCE(""CURRENCY:""&amp;Q709&amp;""""&amp;Dashboard!$L$1&amp;""""))/100),IF(Q709=Dashboard!$L$1,M709,M709*GOOGLEFINANCE(""CURRENCY:""&amp;Q709&amp;""""&amp;Dashboard!$L$1&amp;"""")))"&amp;",M709))"),"")</f>
        <v/>
      </c>
      <c r="T709" s="264" t="str">
        <f t="shared" si="4"/>
        <v/>
      </c>
      <c r="U709" s="264" t="str">
        <f t="shared" si="5"/>
        <v/>
      </c>
      <c r="V709" s="264" t="str">
        <f t="shared" si="6"/>
        <v/>
      </c>
      <c r="W709" s="267" t="str">
        <f t="shared" si="8"/>
        <v/>
      </c>
      <c r="X709" s="264" t="str">
        <f t="shared" si="7"/>
        <v/>
      </c>
    </row>
    <row r="710" ht="15.75" customHeight="1">
      <c r="A710" s="258"/>
      <c r="B710" s="258"/>
      <c r="C710" s="269"/>
      <c r="D710" s="258"/>
      <c r="E710" s="258"/>
      <c r="F710" s="258"/>
      <c r="G710" s="258"/>
      <c r="H710" s="271"/>
      <c r="I710" s="258"/>
      <c r="J710" s="272"/>
      <c r="K710" s="260"/>
      <c r="L710" s="261"/>
      <c r="M710" s="262" t="str">
        <f t="shared" si="1"/>
        <v/>
      </c>
      <c r="N710" s="263" t="str">
        <f t="shared" si="2"/>
        <v/>
      </c>
      <c r="O710" s="264" t="str">
        <f t="shared" si="3"/>
        <v/>
      </c>
      <c r="P710" s="265" t="str">
        <f>IFERROR(__xludf.DUMMYFUNCTION("IF(ISBLANK(A710),"""",IFERROR(IF(H710=""Sell"",VLOOKUP(9^99,FILTER({ROW(P$2:P709),P$2:P709},D$2:D709=D710),2),(VLOOKUP(9^99,FILTER({ROW(P$2:P709),P$2:P709},D$2:D709=D710),2)*VLOOKUP(9^99,FILTER({ROW(O$2:O709),O$2:O709},D$2:D709=D710),2)-N710)/O710),J710))"),"")</f>
        <v/>
      </c>
      <c r="Q710" s="264" t="str">
        <f>IFERROR(__xludf.DUMMYFUNCTION("IFERROR(IF(F710=""Crypto"",B710,(IF(ISBLANK(D710),"""",IF(D710=""Cash"",B710,IF(GOOGLEFINANCE(D710,""CURRENCY"")=""GBX"",""GBP"",GOOGLEFINANCE(D710,""CURRENCY"")))))),B710)"),"")</f>
        <v/>
      </c>
      <c r="R710" s="263" t="str">
        <f>IFERROR(__xludf.DUMMYFUNCTION("IF(ISBLANK(A710),"""",IFERROR(IF(OR(Q710=""GPB"",Q710=""ZAR""),IF(Q710=Dashboard!$L$1,K710,(K710*GOOGLEFINANCE(""CURRENCY:""&amp;Q710&amp;""""&amp;Dashboard!$L$1&amp;""""))/100),IF(Q710=Dashboard!$L$1,K710,K710*GOOGLEFINANCE(""CURRENCY:""&amp;Q710&amp;""""&amp;Dashboard!$L$1&amp;"""")))"&amp;",K710))"),"")</f>
        <v/>
      </c>
      <c r="S710" s="266" t="str">
        <f>IFERROR(__xludf.DUMMYFUNCTION("IF(ISBLANK(A710),"""",IFERROR(IF(OR(Q710=""GPB"",Q710=""ZAR""),IF(Q710=Dashboard!$L$1,M710,(M710*GOOGLEFINANCE(""CURRENCY:""&amp;Q710&amp;""""&amp;Dashboard!$L$1&amp;""""))/100),IF(Q710=Dashboard!$L$1,M710,M710*GOOGLEFINANCE(""CURRENCY:""&amp;Q710&amp;""""&amp;Dashboard!$L$1&amp;"""")))"&amp;",M710))"),"")</f>
        <v/>
      </c>
      <c r="T710" s="264" t="str">
        <f t="shared" si="4"/>
        <v/>
      </c>
      <c r="U710" s="264" t="str">
        <f t="shared" si="5"/>
        <v/>
      </c>
      <c r="V710" s="264" t="str">
        <f t="shared" si="6"/>
        <v/>
      </c>
      <c r="W710" s="267" t="str">
        <f t="shared" si="8"/>
        <v/>
      </c>
      <c r="X710" s="264" t="str">
        <f t="shared" si="7"/>
        <v/>
      </c>
    </row>
    <row r="711" ht="15.75" customHeight="1">
      <c r="A711" s="258"/>
      <c r="B711" s="258"/>
      <c r="C711" s="269"/>
      <c r="D711" s="258"/>
      <c r="E711" s="258"/>
      <c r="F711" s="258"/>
      <c r="G711" s="258"/>
      <c r="H711" s="271"/>
      <c r="I711" s="258"/>
      <c r="J711" s="272"/>
      <c r="K711" s="260"/>
      <c r="L711" s="261"/>
      <c r="M711" s="262" t="str">
        <f t="shared" si="1"/>
        <v/>
      </c>
      <c r="N711" s="263" t="str">
        <f t="shared" si="2"/>
        <v/>
      </c>
      <c r="O711" s="264" t="str">
        <f t="shared" si="3"/>
        <v/>
      </c>
      <c r="P711" s="265" t="str">
        <f>IFERROR(__xludf.DUMMYFUNCTION("IF(ISBLANK(A711),"""",IFERROR(IF(H711=""Sell"",VLOOKUP(9^99,FILTER({ROW(P$2:P710),P$2:P710},D$2:D710=D711),2),(VLOOKUP(9^99,FILTER({ROW(P$2:P710),P$2:P710},D$2:D710=D711),2)*VLOOKUP(9^99,FILTER({ROW(O$2:O710),O$2:O710},D$2:D710=D711),2)-N711)/O711),J711))"),"")</f>
        <v/>
      </c>
      <c r="Q711" s="264" t="str">
        <f>IFERROR(__xludf.DUMMYFUNCTION("IFERROR(IF(F711=""Crypto"",B711,(IF(ISBLANK(D711),"""",IF(D711=""Cash"",B711,IF(GOOGLEFINANCE(D711,""CURRENCY"")=""GBX"",""GBP"",GOOGLEFINANCE(D711,""CURRENCY"")))))),B711)"),"")</f>
        <v/>
      </c>
      <c r="R711" s="263" t="str">
        <f>IFERROR(__xludf.DUMMYFUNCTION("IF(ISBLANK(A711),"""",IFERROR(IF(OR(Q711=""GPB"",Q711=""ZAR""),IF(Q711=Dashboard!$L$1,K711,(K711*GOOGLEFINANCE(""CURRENCY:""&amp;Q711&amp;""""&amp;Dashboard!$L$1&amp;""""))/100),IF(Q711=Dashboard!$L$1,K711,K711*GOOGLEFINANCE(""CURRENCY:""&amp;Q711&amp;""""&amp;Dashboard!$L$1&amp;"""")))"&amp;",K711))"),"")</f>
        <v/>
      </c>
      <c r="S711" s="266" t="str">
        <f>IFERROR(__xludf.DUMMYFUNCTION("IF(ISBLANK(A711),"""",IFERROR(IF(OR(Q711=""GPB"",Q711=""ZAR""),IF(Q711=Dashboard!$L$1,M711,(M711*GOOGLEFINANCE(""CURRENCY:""&amp;Q711&amp;""""&amp;Dashboard!$L$1&amp;""""))/100),IF(Q711=Dashboard!$L$1,M711,M711*GOOGLEFINANCE(""CURRENCY:""&amp;Q711&amp;""""&amp;Dashboard!$L$1&amp;"""")))"&amp;",M711))"),"")</f>
        <v/>
      </c>
      <c r="T711" s="264" t="str">
        <f t="shared" si="4"/>
        <v/>
      </c>
      <c r="U711" s="264" t="str">
        <f t="shared" si="5"/>
        <v/>
      </c>
      <c r="V711" s="264" t="str">
        <f t="shared" si="6"/>
        <v/>
      </c>
      <c r="W711" s="267" t="str">
        <f t="shared" si="8"/>
        <v/>
      </c>
      <c r="X711" s="264" t="str">
        <f t="shared" si="7"/>
        <v/>
      </c>
    </row>
    <row r="712" ht="15.75" customHeight="1">
      <c r="A712" s="258"/>
      <c r="B712" s="258"/>
      <c r="C712" s="269"/>
      <c r="D712" s="258"/>
      <c r="E712" s="258"/>
      <c r="F712" s="258"/>
      <c r="G712" s="258"/>
      <c r="H712" s="271"/>
      <c r="I712" s="258"/>
      <c r="J712" s="272"/>
      <c r="K712" s="260"/>
      <c r="L712" s="261"/>
      <c r="M712" s="262" t="str">
        <f t="shared" si="1"/>
        <v/>
      </c>
      <c r="N712" s="263" t="str">
        <f t="shared" si="2"/>
        <v/>
      </c>
      <c r="O712" s="264" t="str">
        <f t="shared" si="3"/>
        <v/>
      </c>
      <c r="P712" s="265" t="str">
        <f>IFERROR(__xludf.DUMMYFUNCTION("IF(ISBLANK(A712),"""",IFERROR(IF(H712=""Sell"",VLOOKUP(9^99,FILTER({ROW(P$2:P711),P$2:P711},D$2:D711=D712),2),(VLOOKUP(9^99,FILTER({ROW(P$2:P711),P$2:P711},D$2:D711=D712),2)*VLOOKUP(9^99,FILTER({ROW(O$2:O711),O$2:O711},D$2:D711=D712),2)-N712)/O712),J712))"),"")</f>
        <v/>
      </c>
      <c r="Q712" s="264" t="str">
        <f>IFERROR(__xludf.DUMMYFUNCTION("IFERROR(IF(F712=""Crypto"",B712,(IF(ISBLANK(D712),"""",IF(D712=""Cash"",B712,IF(GOOGLEFINANCE(D712,""CURRENCY"")=""GBX"",""GBP"",GOOGLEFINANCE(D712,""CURRENCY"")))))),B712)"),"")</f>
        <v/>
      </c>
      <c r="R712" s="263" t="str">
        <f>IFERROR(__xludf.DUMMYFUNCTION("IF(ISBLANK(A712),"""",IFERROR(IF(OR(Q712=""GPB"",Q712=""ZAR""),IF(Q712=Dashboard!$L$1,K712,(K712*GOOGLEFINANCE(""CURRENCY:""&amp;Q712&amp;""""&amp;Dashboard!$L$1&amp;""""))/100),IF(Q712=Dashboard!$L$1,K712,K712*GOOGLEFINANCE(""CURRENCY:""&amp;Q712&amp;""""&amp;Dashboard!$L$1&amp;"""")))"&amp;",K712))"),"")</f>
        <v/>
      </c>
      <c r="S712" s="266" t="str">
        <f>IFERROR(__xludf.DUMMYFUNCTION("IF(ISBLANK(A712),"""",IFERROR(IF(OR(Q712=""GPB"",Q712=""ZAR""),IF(Q712=Dashboard!$L$1,M712,(M712*GOOGLEFINANCE(""CURRENCY:""&amp;Q712&amp;""""&amp;Dashboard!$L$1&amp;""""))/100),IF(Q712=Dashboard!$L$1,M712,M712*GOOGLEFINANCE(""CURRENCY:""&amp;Q712&amp;""""&amp;Dashboard!$L$1&amp;"""")))"&amp;",M712))"),"")</f>
        <v/>
      </c>
      <c r="T712" s="264" t="str">
        <f t="shared" si="4"/>
        <v/>
      </c>
      <c r="U712" s="264" t="str">
        <f t="shared" si="5"/>
        <v/>
      </c>
      <c r="V712" s="264" t="str">
        <f t="shared" si="6"/>
        <v/>
      </c>
      <c r="W712" s="267" t="str">
        <f t="shared" si="8"/>
        <v/>
      </c>
      <c r="X712" s="264" t="str">
        <f t="shared" si="7"/>
        <v/>
      </c>
    </row>
    <row r="713" ht="15.75" customHeight="1">
      <c r="A713" s="258"/>
      <c r="B713" s="258"/>
      <c r="C713" s="269"/>
      <c r="D713" s="258"/>
      <c r="E713" s="258"/>
      <c r="F713" s="258"/>
      <c r="G713" s="258"/>
      <c r="H713" s="271"/>
      <c r="I713" s="258"/>
      <c r="J713" s="272"/>
      <c r="K713" s="260"/>
      <c r="L713" s="261"/>
      <c r="M713" s="262" t="str">
        <f t="shared" si="1"/>
        <v/>
      </c>
      <c r="N713" s="263" t="str">
        <f t="shared" si="2"/>
        <v/>
      </c>
      <c r="O713" s="264" t="str">
        <f t="shared" si="3"/>
        <v/>
      </c>
      <c r="P713" s="265" t="str">
        <f>IFERROR(__xludf.DUMMYFUNCTION("IF(ISBLANK(A713),"""",IFERROR(IF(H713=""Sell"",VLOOKUP(9^99,FILTER({ROW(P$2:P712),P$2:P712},D$2:D712=D713),2),(VLOOKUP(9^99,FILTER({ROW(P$2:P712),P$2:P712},D$2:D712=D713),2)*VLOOKUP(9^99,FILTER({ROW(O$2:O712),O$2:O712},D$2:D712=D713),2)-N713)/O713),J713))"),"")</f>
        <v/>
      </c>
      <c r="Q713" s="264" t="str">
        <f>IFERROR(__xludf.DUMMYFUNCTION("IFERROR(IF(F713=""Crypto"",B713,(IF(ISBLANK(D713),"""",IF(D713=""Cash"",B713,IF(GOOGLEFINANCE(D713,""CURRENCY"")=""GBX"",""GBP"",GOOGLEFINANCE(D713,""CURRENCY"")))))),B713)"),"")</f>
        <v/>
      </c>
      <c r="R713" s="263" t="str">
        <f>IFERROR(__xludf.DUMMYFUNCTION("IF(ISBLANK(A713),"""",IFERROR(IF(OR(Q713=""GPB"",Q713=""ZAR""),IF(Q713=Dashboard!$L$1,K713,(K713*GOOGLEFINANCE(""CURRENCY:""&amp;Q713&amp;""""&amp;Dashboard!$L$1&amp;""""))/100),IF(Q713=Dashboard!$L$1,K713,K713*GOOGLEFINANCE(""CURRENCY:""&amp;Q713&amp;""""&amp;Dashboard!$L$1&amp;"""")))"&amp;",K713))"),"")</f>
        <v/>
      </c>
      <c r="S713" s="266" t="str">
        <f>IFERROR(__xludf.DUMMYFUNCTION("IF(ISBLANK(A713),"""",IFERROR(IF(OR(Q713=""GPB"",Q713=""ZAR""),IF(Q713=Dashboard!$L$1,M713,(M713*GOOGLEFINANCE(""CURRENCY:""&amp;Q713&amp;""""&amp;Dashboard!$L$1&amp;""""))/100),IF(Q713=Dashboard!$L$1,M713,M713*GOOGLEFINANCE(""CURRENCY:""&amp;Q713&amp;""""&amp;Dashboard!$L$1&amp;"""")))"&amp;",M713))"),"")</f>
        <v/>
      </c>
      <c r="T713" s="264" t="str">
        <f t="shared" si="4"/>
        <v/>
      </c>
      <c r="U713" s="264" t="str">
        <f t="shared" si="5"/>
        <v/>
      </c>
      <c r="V713" s="264" t="str">
        <f t="shared" si="6"/>
        <v/>
      </c>
      <c r="W713" s="267" t="str">
        <f t="shared" si="8"/>
        <v/>
      </c>
      <c r="X713" s="264" t="str">
        <f t="shared" si="7"/>
        <v/>
      </c>
    </row>
    <row r="714" ht="15.75" customHeight="1">
      <c r="A714" s="258"/>
      <c r="B714" s="258"/>
      <c r="C714" s="269"/>
      <c r="D714" s="258"/>
      <c r="E714" s="258"/>
      <c r="F714" s="258"/>
      <c r="G714" s="258"/>
      <c r="H714" s="271"/>
      <c r="I714" s="258"/>
      <c r="J714" s="272"/>
      <c r="K714" s="260"/>
      <c r="L714" s="261"/>
      <c r="M714" s="262" t="str">
        <f t="shared" si="1"/>
        <v/>
      </c>
      <c r="N714" s="263" t="str">
        <f t="shared" si="2"/>
        <v/>
      </c>
      <c r="O714" s="264" t="str">
        <f t="shared" si="3"/>
        <v/>
      </c>
      <c r="P714" s="265" t="str">
        <f>IFERROR(__xludf.DUMMYFUNCTION("IF(ISBLANK(A714),"""",IFERROR(IF(H714=""Sell"",VLOOKUP(9^99,FILTER({ROW(P$2:P713),P$2:P713},D$2:D713=D714),2),(VLOOKUP(9^99,FILTER({ROW(P$2:P713),P$2:P713},D$2:D713=D714),2)*VLOOKUP(9^99,FILTER({ROW(O$2:O713),O$2:O713},D$2:D713=D714),2)-N714)/O714),J714))"),"")</f>
        <v/>
      </c>
      <c r="Q714" s="264" t="str">
        <f>IFERROR(__xludf.DUMMYFUNCTION("IFERROR(IF(F714=""Crypto"",B714,(IF(ISBLANK(D714),"""",IF(D714=""Cash"",B714,IF(GOOGLEFINANCE(D714,""CURRENCY"")=""GBX"",""GBP"",GOOGLEFINANCE(D714,""CURRENCY"")))))),B714)"),"")</f>
        <v/>
      </c>
      <c r="R714" s="263" t="str">
        <f>IFERROR(__xludf.DUMMYFUNCTION("IF(ISBLANK(A714),"""",IFERROR(IF(OR(Q714=""GPB"",Q714=""ZAR""),IF(Q714=Dashboard!$L$1,K714,(K714*GOOGLEFINANCE(""CURRENCY:""&amp;Q714&amp;""""&amp;Dashboard!$L$1&amp;""""))/100),IF(Q714=Dashboard!$L$1,K714,K714*GOOGLEFINANCE(""CURRENCY:""&amp;Q714&amp;""""&amp;Dashboard!$L$1&amp;"""")))"&amp;",K714))"),"")</f>
        <v/>
      </c>
      <c r="S714" s="266" t="str">
        <f>IFERROR(__xludf.DUMMYFUNCTION("IF(ISBLANK(A714),"""",IFERROR(IF(OR(Q714=""GPB"",Q714=""ZAR""),IF(Q714=Dashboard!$L$1,M714,(M714*GOOGLEFINANCE(""CURRENCY:""&amp;Q714&amp;""""&amp;Dashboard!$L$1&amp;""""))/100),IF(Q714=Dashboard!$L$1,M714,M714*GOOGLEFINANCE(""CURRENCY:""&amp;Q714&amp;""""&amp;Dashboard!$L$1&amp;"""")))"&amp;",M714))"),"")</f>
        <v/>
      </c>
      <c r="T714" s="264" t="str">
        <f t="shared" si="4"/>
        <v/>
      </c>
      <c r="U714" s="264" t="str">
        <f t="shared" si="5"/>
        <v/>
      </c>
      <c r="V714" s="264" t="str">
        <f t="shared" si="6"/>
        <v/>
      </c>
      <c r="W714" s="267" t="str">
        <f t="shared" si="8"/>
        <v/>
      </c>
      <c r="X714" s="264" t="str">
        <f t="shared" si="7"/>
        <v/>
      </c>
    </row>
    <row r="715" ht="15.75" customHeight="1">
      <c r="A715" s="258"/>
      <c r="B715" s="258"/>
      <c r="C715" s="269"/>
      <c r="D715" s="258"/>
      <c r="E715" s="258"/>
      <c r="F715" s="258"/>
      <c r="G715" s="258"/>
      <c r="H715" s="271"/>
      <c r="I715" s="258"/>
      <c r="J715" s="272"/>
      <c r="K715" s="260"/>
      <c r="L715" s="261"/>
      <c r="M715" s="262" t="str">
        <f t="shared" si="1"/>
        <v/>
      </c>
      <c r="N715" s="263" t="str">
        <f t="shared" si="2"/>
        <v/>
      </c>
      <c r="O715" s="264" t="str">
        <f t="shared" si="3"/>
        <v/>
      </c>
      <c r="P715" s="265" t="str">
        <f>IFERROR(__xludf.DUMMYFUNCTION("IF(ISBLANK(A715),"""",IFERROR(IF(H715=""Sell"",VLOOKUP(9^99,FILTER({ROW(P$2:P714),P$2:P714},D$2:D714=D715),2),(VLOOKUP(9^99,FILTER({ROW(P$2:P714),P$2:P714},D$2:D714=D715),2)*VLOOKUP(9^99,FILTER({ROW(O$2:O714),O$2:O714},D$2:D714=D715),2)-N715)/O715),J715))"),"")</f>
        <v/>
      </c>
      <c r="Q715" s="264" t="str">
        <f>IFERROR(__xludf.DUMMYFUNCTION("IFERROR(IF(F715=""Crypto"",B715,(IF(ISBLANK(D715),"""",IF(D715=""Cash"",B715,IF(GOOGLEFINANCE(D715,""CURRENCY"")=""GBX"",""GBP"",GOOGLEFINANCE(D715,""CURRENCY"")))))),B715)"),"")</f>
        <v/>
      </c>
      <c r="R715" s="263" t="str">
        <f>IFERROR(__xludf.DUMMYFUNCTION("IF(ISBLANK(A715),"""",IFERROR(IF(OR(Q715=""GPB"",Q715=""ZAR""),IF(Q715=Dashboard!$L$1,K715,(K715*GOOGLEFINANCE(""CURRENCY:""&amp;Q715&amp;""""&amp;Dashboard!$L$1&amp;""""))/100),IF(Q715=Dashboard!$L$1,K715,K715*GOOGLEFINANCE(""CURRENCY:""&amp;Q715&amp;""""&amp;Dashboard!$L$1&amp;"""")))"&amp;",K715))"),"")</f>
        <v/>
      </c>
      <c r="S715" s="266" t="str">
        <f>IFERROR(__xludf.DUMMYFUNCTION("IF(ISBLANK(A715),"""",IFERROR(IF(OR(Q715=""GPB"",Q715=""ZAR""),IF(Q715=Dashboard!$L$1,M715,(M715*GOOGLEFINANCE(""CURRENCY:""&amp;Q715&amp;""""&amp;Dashboard!$L$1&amp;""""))/100),IF(Q715=Dashboard!$L$1,M715,M715*GOOGLEFINANCE(""CURRENCY:""&amp;Q715&amp;""""&amp;Dashboard!$L$1&amp;"""")))"&amp;",M715))"),"")</f>
        <v/>
      </c>
      <c r="T715" s="264" t="str">
        <f t="shared" si="4"/>
        <v/>
      </c>
      <c r="U715" s="264" t="str">
        <f t="shared" si="5"/>
        <v/>
      </c>
      <c r="V715" s="264" t="str">
        <f t="shared" si="6"/>
        <v/>
      </c>
      <c r="W715" s="267" t="str">
        <f t="shared" si="8"/>
        <v/>
      </c>
      <c r="X715" s="264" t="str">
        <f t="shared" si="7"/>
        <v/>
      </c>
    </row>
    <row r="716" ht="15.75" customHeight="1">
      <c r="A716" s="258"/>
      <c r="B716" s="258"/>
      <c r="C716" s="269"/>
      <c r="D716" s="258"/>
      <c r="E716" s="258"/>
      <c r="F716" s="258"/>
      <c r="G716" s="258"/>
      <c r="H716" s="271"/>
      <c r="I716" s="258"/>
      <c r="J716" s="272"/>
      <c r="K716" s="260"/>
      <c r="L716" s="261"/>
      <c r="M716" s="262" t="str">
        <f t="shared" si="1"/>
        <v/>
      </c>
      <c r="N716" s="263" t="str">
        <f t="shared" si="2"/>
        <v/>
      </c>
      <c r="O716" s="264" t="str">
        <f t="shared" si="3"/>
        <v/>
      </c>
      <c r="P716" s="265" t="str">
        <f>IFERROR(__xludf.DUMMYFUNCTION("IF(ISBLANK(A716),"""",IFERROR(IF(H716=""Sell"",VLOOKUP(9^99,FILTER({ROW(P$2:P715),P$2:P715},D$2:D715=D716),2),(VLOOKUP(9^99,FILTER({ROW(P$2:P715),P$2:P715},D$2:D715=D716),2)*VLOOKUP(9^99,FILTER({ROW(O$2:O715),O$2:O715},D$2:D715=D716),2)-N716)/O716),J716))"),"")</f>
        <v/>
      </c>
      <c r="Q716" s="264" t="str">
        <f>IFERROR(__xludf.DUMMYFUNCTION("IFERROR(IF(F716=""Crypto"",B716,(IF(ISBLANK(D716),"""",IF(D716=""Cash"",B716,IF(GOOGLEFINANCE(D716,""CURRENCY"")=""GBX"",""GBP"",GOOGLEFINANCE(D716,""CURRENCY"")))))),B716)"),"")</f>
        <v/>
      </c>
      <c r="R716" s="263" t="str">
        <f>IFERROR(__xludf.DUMMYFUNCTION("IF(ISBLANK(A716),"""",IFERROR(IF(OR(Q716=""GPB"",Q716=""ZAR""),IF(Q716=Dashboard!$L$1,K716,(K716*GOOGLEFINANCE(""CURRENCY:""&amp;Q716&amp;""""&amp;Dashboard!$L$1&amp;""""))/100),IF(Q716=Dashboard!$L$1,K716,K716*GOOGLEFINANCE(""CURRENCY:""&amp;Q716&amp;""""&amp;Dashboard!$L$1&amp;"""")))"&amp;",K716))"),"")</f>
        <v/>
      </c>
      <c r="S716" s="266" t="str">
        <f>IFERROR(__xludf.DUMMYFUNCTION("IF(ISBLANK(A716),"""",IFERROR(IF(OR(Q716=""GPB"",Q716=""ZAR""),IF(Q716=Dashboard!$L$1,M716,(M716*GOOGLEFINANCE(""CURRENCY:""&amp;Q716&amp;""""&amp;Dashboard!$L$1&amp;""""))/100),IF(Q716=Dashboard!$L$1,M716,M716*GOOGLEFINANCE(""CURRENCY:""&amp;Q716&amp;""""&amp;Dashboard!$L$1&amp;"""")))"&amp;",M716))"),"")</f>
        <v/>
      </c>
      <c r="T716" s="264" t="str">
        <f t="shared" si="4"/>
        <v/>
      </c>
      <c r="U716" s="264" t="str">
        <f t="shared" si="5"/>
        <v/>
      </c>
      <c r="V716" s="264" t="str">
        <f t="shared" si="6"/>
        <v/>
      </c>
      <c r="W716" s="267" t="str">
        <f t="shared" si="8"/>
        <v/>
      </c>
      <c r="X716" s="264" t="str">
        <f t="shared" si="7"/>
        <v/>
      </c>
    </row>
    <row r="717" ht="15.75" customHeight="1">
      <c r="A717" s="258"/>
      <c r="B717" s="258"/>
      <c r="C717" s="269"/>
      <c r="D717" s="258"/>
      <c r="E717" s="258"/>
      <c r="F717" s="258"/>
      <c r="G717" s="258"/>
      <c r="H717" s="271"/>
      <c r="I717" s="258"/>
      <c r="J717" s="272"/>
      <c r="K717" s="260"/>
      <c r="L717" s="261"/>
      <c r="M717" s="262" t="str">
        <f t="shared" si="1"/>
        <v/>
      </c>
      <c r="N717" s="263" t="str">
        <f t="shared" si="2"/>
        <v/>
      </c>
      <c r="O717" s="264" t="str">
        <f t="shared" si="3"/>
        <v/>
      </c>
      <c r="P717" s="265" t="str">
        <f>IFERROR(__xludf.DUMMYFUNCTION("IF(ISBLANK(A717),"""",IFERROR(IF(H717=""Sell"",VLOOKUP(9^99,FILTER({ROW(P$2:P716),P$2:P716},D$2:D716=D717),2),(VLOOKUP(9^99,FILTER({ROW(P$2:P716),P$2:P716},D$2:D716=D717),2)*VLOOKUP(9^99,FILTER({ROW(O$2:O716),O$2:O716},D$2:D716=D717),2)-N717)/O717),J717))"),"")</f>
        <v/>
      </c>
      <c r="Q717" s="264" t="str">
        <f>IFERROR(__xludf.DUMMYFUNCTION("IFERROR(IF(F717=""Crypto"",B717,(IF(ISBLANK(D717),"""",IF(D717=""Cash"",B717,IF(GOOGLEFINANCE(D717,""CURRENCY"")=""GBX"",""GBP"",GOOGLEFINANCE(D717,""CURRENCY"")))))),B717)"),"")</f>
        <v/>
      </c>
      <c r="R717" s="263" t="str">
        <f>IFERROR(__xludf.DUMMYFUNCTION("IF(ISBLANK(A717),"""",IFERROR(IF(OR(Q717=""GPB"",Q717=""ZAR""),IF(Q717=Dashboard!$L$1,K717,(K717*GOOGLEFINANCE(""CURRENCY:""&amp;Q717&amp;""""&amp;Dashboard!$L$1&amp;""""))/100),IF(Q717=Dashboard!$L$1,K717,K717*GOOGLEFINANCE(""CURRENCY:""&amp;Q717&amp;""""&amp;Dashboard!$L$1&amp;"""")))"&amp;",K717))"),"")</f>
        <v/>
      </c>
      <c r="S717" s="266" t="str">
        <f>IFERROR(__xludf.DUMMYFUNCTION("IF(ISBLANK(A717),"""",IFERROR(IF(OR(Q717=""GPB"",Q717=""ZAR""),IF(Q717=Dashboard!$L$1,M717,(M717*GOOGLEFINANCE(""CURRENCY:""&amp;Q717&amp;""""&amp;Dashboard!$L$1&amp;""""))/100),IF(Q717=Dashboard!$L$1,M717,M717*GOOGLEFINANCE(""CURRENCY:""&amp;Q717&amp;""""&amp;Dashboard!$L$1&amp;"""")))"&amp;",M717))"),"")</f>
        <v/>
      </c>
      <c r="T717" s="264" t="str">
        <f t="shared" si="4"/>
        <v/>
      </c>
      <c r="U717" s="264" t="str">
        <f t="shared" si="5"/>
        <v/>
      </c>
      <c r="V717" s="264" t="str">
        <f t="shared" si="6"/>
        <v/>
      </c>
      <c r="W717" s="267" t="str">
        <f t="shared" si="8"/>
        <v/>
      </c>
      <c r="X717" s="264" t="str">
        <f t="shared" si="7"/>
        <v/>
      </c>
    </row>
    <row r="718" ht="15.75" customHeight="1">
      <c r="A718" s="258"/>
      <c r="B718" s="258"/>
      <c r="C718" s="269"/>
      <c r="D718" s="258"/>
      <c r="E718" s="258"/>
      <c r="F718" s="258"/>
      <c r="G718" s="258"/>
      <c r="H718" s="271"/>
      <c r="I718" s="258"/>
      <c r="J718" s="272"/>
      <c r="K718" s="260"/>
      <c r="L718" s="261"/>
      <c r="M718" s="262" t="str">
        <f t="shared" si="1"/>
        <v/>
      </c>
      <c r="N718" s="263" t="str">
        <f t="shared" si="2"/>
        <v/>
      </c>
      <c r="O718" s="264" t="str">
        <f t="shared" si="3"/>
        <v/>
      </c>
      <c r="P718" s="265" t="str">
        <f>IFERROR(__xludf.DUMMYFUNCTION("IF(ISBLANK(A718),"""",IFERROR(IF(H718=""Sell"",VLOOKUP(9^99,FILTER({ROW(P$2:P717),P$2:P717},D$2:D717=D718),2),(VLOOKUP(9^99,FILTER({ROW(P$2:P717),P$2:P717},D$2:D717=D718),2)*VLOOKUP(9^99,FILTER({ROW(O$2:O717),O$2:O717},D$2:D717=D718),2)-N718)/O718),J718))"),"")</f>
        <v/>
      </c>
      <c r="Q718" s="264" t="str">
        <f>IFERROR(__xludf.DUMMYFUNCTION("IFERROR(IF(F718=""Crypto"",B718,(IF(ISBLANK(D718),"""",IF(D718=""Cash"",B718,IF(GOOGLEFINANCE(D718,""CURRENCY"")=""GBX"",""GBP"",GOOGLEFINANCE(D718,""CURRENCY"")))))),B718)"),"")</f>
        <v/>
      </c>
      <c r="R718" s="263" t="str">
        <f>IFERROR(__xludf.DUMMYFUNCTION("IF(ISBLANK(A718),"""",IFERROR(IF(OR(Q718=""GPB"",Q718=""ZAR""),IF(Q718=Dashboard!$L$1,K718,(K718*GOOGLEFINANCE(""CURRENCY:""&amp;Q718&amp;""""&amp;Dashboard!$L$1&amp;""""))/100),IF(Q718=Dashboard!$L$1,K718,K718*GOOGLEFINANCE(""CURRENCY:""&amp;Q718&amp;""""&amp;Dashboard!$L$1&amp;"""")))"&amp;",K718))"),"")</f>
        <v/>
      </c>
      <c r="S718" s="266" t="str">
        <f>IFERROR(__xludf.DUMMYFUNCTION("IF(ISBLANK(A718),"""",IFERROR(IF(OR(Q718=""GPB"",Q718=""ZAR""),IF(Q718=Dashboard!$L$1,M718,(M718*GOOGLEFINANCE(""CURRENCY:""&amp;Q718&amp;""""&amp;Dashboard!$L$1&amp;""""))/100),IF(Q718=Dashboard!$L$1,M718,M718*GOOGLEFINANCE(""CURRENCY:""&amp;Q718&amp;""""&amp;Dashboard!$L$1&amp;"""")))"&amp;",M718))"),"")</f>
        <v/>
      </c>
      <c r="T718" s="264" t="str">
        <f t="shared" si="4"/>
        <v/>
      </c>
      <c r="U718" s="264" t="str">
        <f t="shared" si="5"/>
        <v/>
      </c>
      <c r="V718" s="264" t="str">
        <f t="shared" si="6"/>
        <v/>
      </c>
      <c r="W718" s="267" t="str">
        <f t="shared" si="8"/>
        <v/>
      </c>
      <c r="X718" s="264" t="str">
        <f t="shared" si="7"/>
        <v/>
      </c>
    </row>
    <row r="719" ht="15.75" customHeight="1">
      <c r="A719" s="258"/>
      <c r="B719" s="258"/>
      <c r="C719" s="269"/>
      <c r="D719" s="258"/>
      <c r="E719" s="258"/>
      <c r="F719" s="258"/>
      <c r="G719" s="258"/>
      <c r="H719" s="271"/>
      <c r="I719" s="258"/>
      <c r="J719" s="272"/>
      <c r="K719" s="260"/>
      <c r="L719" s="261"/>
      <c r="M719" s="262" t="str">
        <f t="shared" si="1"/>
        <v/>
      </c>
      <c r="N719" s="263" t="str">
        <f t="shared" si="2"/>
        <v/>
      </c>
      <c r="O719" s="264" t="str">
        <f t="shared" si="3"/>
        <v/>
      </c>
      <c r="P719" s="265" t="str">
        <f>IFERROR(__xludf.DUMMYFUNCTION("IF(ISBLANK(A719),"""",IFERROR(IF(H719=""Sell"",VLOOKUP(9^99,FILTER({ROW(P$2:P718),P$2:P718},D$2:D718=D719),2),(VLOOKUP(9^99,FILTER({ROW(P$2:P718),P$2:P718},D$2:D718=D719),2)*VLOOKUP(9^99,FILTER({ROW(O$2:O718),O$2:O718},D$2:D718=D719),2)-N719)/O719),J719))"),"")</f>
        <v/>
      </c>
      <c r="Q719" s="264" t="str">
        <f>IFERROR(__xludf.DUMMYFUNCTION("IFERROR(IF(F719=""Crypto"",B719,(IF(ISBLANK(D719),"""",IF(D719=""Cash"",B719,IF(GOOGLEFINANCE(D719,""CURRENCY"")=""GBX"",""GBP"",GOOGLEFINANCE(D719,""CURRENCY"")))))),B719)"),"")</f>
        <v/>
      </c>
      <c r="R719" s="263" t="str">
        <f>IFERROR(__xludf.DUMMYFUNCTION("IF(ISBLANK(A719),"""",IFERROR(IF(OR(Q719=""GPB"",Q719=""ZAR""),IF(Q719=Dashboard!$L$1,K719,(K719*GOOGLEFINANCE(""CURRENCY:""&amp;Q719&amp;""""&amp;Dashboard!$L$1&amp;""""))/100),IF(Q719=Dashboard!$L$1,K719,K719*GOOGLEFINANCE(""CURRENCY:""&amp;Q719&amp;""""&amp;Dashboard!$L$1&amp;"""")))"&amp;",K719))"),"")</f>
        <v/>
      </c>
      <c r="S719" s="266" t="str">
        <f>IFERROR(__xludf.DUMMYFUNCTION("IF(ISBLANK(A719),"""",IFERROR(IF(OR(Q719=""GPB"",Q719=""ZAR""),IF(Q719=Dashboard!$L$1,M719,(M719*GOOGLEFINANCE(""CURRENCY:""&amp;Q719&amp;""""&amp;Dashboard!$L$1&amp;""""))/100),IF(Q719=Dashboard!$L$1,M719,M719*GOOGLEFINANCE(""CURRENCY:""&amp;Q719&amp;""""&amp;Dashboard!$L$1&amp;"""")))"&amp;",M719))"),"")</f>
        <v/>
      </c>
      <c r="T719" s="264" t="str">
        <f t="shared" si="4"/>
        <v/>
      </c>
      <c r="U719" s="264" t="str">
        <f t="shared" si="5"/>
        <v/>
      </c>
      <c r="V719" s="264" t="str">
        <f t="shared" si="6"/>
        <v/>
      </c>
      <c r="W719" s="267" t="str">
        <f t="shared" si="8"/>
        <v/>
      </c>
      <c r="X719" s="264" t="str">
        <f t="shared" si="7"/>
        <v/>
      </c>
    </row>
    <row r="720" ht="15.75" customHeight="1">
      <c r="A720" s="258"/>
      <c r="B720" s="258"/>
      <c r="C720" s="269"/>
      <c r="D720" s="258"/>
      <c r="E720" s="258"/>
      <c r="F720" s="258"/>
      <c r="G720" s="258"/>
      <c r="H720" s="271"/>
      <c r="I720" s="258"/>
      <c r="J720" s="272"/>
      <c r="K720" s="260"/>
      <c r="L720" s="261"/>
      <c r="M720" s="262" t="str">
        <f t="shared" si="1"/>
        <v/>
      </c>
      <c r="N720" s="263" t="str">
        <f t="shared" si="2"/>
        <v/>
      </c>
      <c r="O720" s="264" t="str">
        <f t="shared" si="3"/>
        <v/>
      </c>
      <c r="P720" s="265" t="str">
        <f>IFERROR(__xludf.DUMMYFUNCTION("IF(ISBLANK(A720),"""",IFERROR(IF(H720=""Sell"",VLOOKUP(9^99,FILTER({ROW(P$2:P719),P$2:P719},D$2:D719=D720),2),(VLOOKUP(9^99,FILTER({ROW(P$2:P719),P$2:P719},D$2:D719=D720),2)*VLOOKUP(9^99,FILTER({ROW(O$2:O719),O$2:O719},D$2:D719=D720),2)-N720)/O720),J720))"),"")</f>
        <v/>
      </c>
      <c r="Q720" s="264" t="str">
        <f>IFERROR(__xludf.DUMMYFUNCTION("IFERROR(IF(F720=""Crypto"",B720,(IF(ISBLANK(D720),"""",IF(D720=""Cash"",B720,IF(GOOGLEFINANCE(D720,""CURRENCY"")=""GBX"",""GBP"",GOOGLEFINANCE(D720,""CURRENCY"")))))),B720)"),"")</f>
        <v/>
      </c>
      <c r="R720" s="263" t="str">
        <f>IFERROR(__xludf.DUMMYFUNCTION("IF(ISBLANK(A720),"""",IFERROR(IF(OR(Q720=""GPB"",Q720=""ZAR""),IF(Q720=Dashboard!$L$1,K720,(K720*GOOGLEFINANCE(""CURRENCY:""&amp;Q720&amp;""""&amp;Dashboard!$L$1&amp;""""))/100),IF(Q720=Dashboard!$L$1,K720,K720*GOOGLEFINANCE(""CURRENCY:""&amp;Q720&amp;""""&amp;Dashboard!$L$1&amp;"""")))"&amp;",K720))"),"")</f>
        <v/>
      </c>
      <c r="S720" s="266" t="str">
        <f>IFERROR(__xludf.DUMMYFUNCTION("IF(ISBLANK(A720),"""",IFERROR(IF(OR(Q720=""GPB"",Q720=""ZAR""),IF(Q720=Dashboard!$L$1,M720,(M720*GOOGLEFINANCE(""CURRENCY:""&amp;Q720&amp;""""&amp;Dashboard!$L$1&amp;""""))/100),IF(Q720=Dashboard!$L$1,M720,M720*GOOGLEFINANCE(""CURRENCY:""&amp;Q720&amp;""""&amp;Dashboard!$L$1&amp;"""")))"&amp;",M720))"),"")</f>
        <v/>
      </c>
      <c r="T720" s="264" t="str">
        <f t="shared" si="4"/>
        <v/>
      </c>
      <c r="U720" s="264" t="str">
        <f t="shared" si="5"/>
        <v/>
      </c>
      <c r="V720" s="264" t="str">
        <f t="shared" si="6"/>
        <v/>
      </c>
      <c r="W720" s="267" t="str">
        <f t="shared" si="8"/>
        <v/>
      </c>
      <c r="X720" s="264" t="str">
        <f t="shared" si="7"/>
        <v/>
      </c>
    </row>
    <row r="721" ht="15.75" customHeight="1">
      <c r="A721" s="258"/>
      <c r="B721" s="258"/>
      <c r="C721" s="269"/>
      <c r="D721" s="258"/>
      <c r="E721" s="258"/>
      <c r="F721" s="258"/>
      <c r="G721" s="258"/>
      <c r="H721" s="271"/>
      <c r="I721" s="258"/>
      <c r="J721" s="272"/>
      <c r="K721" s="260"/>
      <c r="L721" s="261"/>
      <c r="M721" s="262" t="str">
        <f t="shared" si="1"/>
        <v/>
      </c>
      <c r="N721" s="263" t="str">
        <f t="shared" si="2"/>
        <v/>
      </c>
      <c r="O721" s="264" t="str">
        <f t="shared" si="3"/>
        <v/>
      </c>
      <c r="P721" s="265" t="str">
        <f>IFERROR(__xludf.DUMMYFUNCTION("IF(ISBLANK(A721),"""",IFERROR(IF(H721=""Sell"",VLOOKUP(9^99,FILTER({ROW(P$2:P720),P$2:P720},D$2:D720=D721),2),(VLOOKUP(9^99,FILTER({ROW(P$2:P720),P$2:P720},D$2:D720=D721),2)*VLOOKUP(9^99,FILTER({ROW(O$2:O720),O$2:O720},D$2:D720=D721),2)-N721)/O721),J721))"),"")</f>
        <v/>
      </c>
      <c r="Q721" s="264" t="str">
        <f>IFERROR(__xludf.DUMMYFUNCTION("IFERROR(IF(F721=""Crypto"",B721,(IF(ISBLANK(D721),"""",IF(D721=""Cash"",B721,IF(GOOGLEFINANCE(D721,""CURRENCY"")=""GBX"",""GBP"",GOOGLEFINANCE(D721,""CURRENCY"")))))),B721)"),"")</f>
        <v/>
      </c>
      <c r="R721" s="263" t="str">
        <f>IFERROR(__xludf.DUMMYFUNCTION("IF(ISBLANK(A721),"""",IFERROR(IF(OR(Q721=""GPB"",Q721=""ZAR""),IF(Q721=Dashboard!$L$1,K721,(K721*GOOGLEFINANCE(""CURRENCY:""&amp;Q721&amp;""""&amp;Dashboard!$L$1&amp;""""))/100),IF(Q721=Dashboard!$L$1,K721,K721*GOOGLEFINANCE(""CURRENCY:""&amp;Q721&amp;""""&amp;Dashboard!$L$1&amp;"""")))"&amp;",K721))"),"")</f>
        <v/>
      </c>
      <c r="S721" s="266" t="str">
        <f>IFERROR(__xludf.DUMMYFUNCTION("IF(ISBLANK(A721),"""",IFERROR(IF(OR(Q721=""GPB"",Q721=""ZAR""),IF(Q721=Dashboard!$L$1,M721,(M721*GOOGLEFINANCE(""CURRENCY:""&amp;Q721&amp;""""&amp;Dashboard!$L$1&amp;""""))/100),IF(Q721=Dashboard!$L$1,M721,M721*GOOGLEFINANCE(""CURRENCY:""&amp;Q721&amp;""""&amp;Dashboard!$L$1&amp;"""")))"&amp;",M721))"),"")</f>
        <v/>
      </c>
      <c r="T721" s="264" t="str">
        <f t="shared" si="4"/>
        <v/>
      </c>
      <c r="U721" s="264" t="str">
        <f t="shared" si="5"/>
        <v/>
      </c>
      <c r="V721" s="264" t="str">
        <f t="shared" si="6"/>
        <v/>
      </c>
      <c r="W721" s="267" t="str">
        <f t="shared" si="8"/>
        <v/>
      </c>
      <c r="X721" s="264" t="str">
        <f t="shared" si="7"/>
        <v/>
      </c>
    </row>
    <row r="722" ht="15.75" customHeight="1">
      <c r="A722" s="258"/>
      <c r="B722" s="258"/>
      <c r="C722" s="269"/>
      <c r="D722" s="258"/>
      <c r="E722" s="258"/>
      <c r="F722" s="258"/>
      <c r="G722" s="258"/>
      <c r="H722" s="271"/>
      <c r="I722" s="258"/>
      <c r="J722" s="272"/>
      <c r="K722" s="260"/>
      <c r="L722" s="261"/>
      <c r="M722" s="262" t="str">
        <f t="shared" si="1"/>
        <v/>
      </c>
      <c r="N722" s="263" t="str">
        <f t="shared" si="2"/>
        <v/>
      </c>
      <c r="O722" s="264" t="str">
        <f t="shared" si="3"/>
        <v/>
      </c>
      <c r="P722" s="265" t="str">
        <f>IFERROR(__xludf.DUMMYFUNCTION("IF(ISBLANK(A722),"""",IFERROR(IF(H722=""Sell"",VLOOKUP(9^99,FILTER({ROW(P$2:P721),P$2:P721},D$2:D721=D722),2),(VLOOKUP(9^99,FILTER({ROW(P$2:P721),P$2:P721},D$2:D721=D722),2)*VLOOKUP(9^99,FILTER({ROW(O$2:O721),O$2:O721},D$2:D721=D722),2)-N722)/O722),J722))"),"")</f>
        <v/>
      </c>
      <c r="Q722" s="264" t="str">
        <f>IFERROR(__xludf.DUMMYFUNCTION("IFERROR(IF(F722=""Crypto"",B722,(IF(ISBLANK(D722),"""",IF(D722=""Cash"",B722,IF(GOOGLEFINANCE(D722,""CURRENCY"")=""GBX"",""GBP"",GOOGLEFINANCE(D722,""CURRENCY"")))))),B722)"),"")</f>
        <v/>
      </c>
      <c r="R722" s="263" t="str">
        <f>IFERROR(__xludf.DUMMYFUNCTION("IF(ISBLANK(A722),"""",IFERROR(IF(OR(Q722=""GPB"",Q722=""ZAR""),IF(Q722=Dashboard!$L$1,K722,(K722*GOOGLEFINANCE(""CURRENCY:""&amp;Q722&amp;""""&amp;Dashboard!$L$1&amp;""""))/100),IF(Q722=Dashboard!$L$1,K722,K722*GOOGLEFINANCE(""CURRENCY:""&amp;Q722&amp;""""&amp;Dashboard!$L$1&amp;"""")))"&amp;",K722))"),"")</f>
        <v/>
      </c>
      <c r="S722" s="266" t="str">
        <f>IFERROR(__xludf.DUMMYFUNCTION("IF(ISBLANK(A722),"""",IFERROR(IF(OR(Q722=""GPB"",Q722=""ZAR""),IF(Q722=Dashboard!$L$1,M722,(M722*GOOGLEFINANCE(""CURRENCY:""&amp;Q722&amp;""""&amp;Dashboard!$L$1&amp;""""))/100),IF(Q722=Dashboard!$L$1,M722,M722*GOOGLEFINANCE(""CURRENCY:""&amp;Q722&amp;""""&amp;Dashboard!$L$1&amp;"""")))"&amp;",M722))"),"")</f>
        <v/>
      </c>
      <c r="T722" s="264" t="str">
        <f t="shared" si="4"/>
        <v/>
      </c>
      <c r="U722" s="264" t="str">
        <f t="shared" si="5"/>
        <v/>
      </c>
      <c r="V722" s="264" t="str">
        <f t="shared" si="6"/>
        <v/>
      </c>
      <c r="W722" s="267" t="str">
        <f t="shared" si="8"/>
        <v/>
      </c>
      <c r="X722" s="264" t="str">
        <f t="shared" si="7"/>
        <v/>
      </c>
    </row>
    <row r="723" ht="15.75" customHeight="1">
      <c r="A723" s="258"/>
      <c r="B723" s="258"/>
      <c r="C723" s="269"/>
      <c r="D723" s="258"/>
      <c r="E723" s="258"/>
      <c r="F723" s="258"/>
      <c r="G723" s="258"/>
      <c r="H723" s="271"/>
      <c r="I723" s="258"/>
      <c r="J723" s="272"/>
      <c r="K723" s="260"/>
      <c r="L723" s="261"/>
      <c r="M723" s="262" t="str">
        <f t="shared" si="1"/>
        <v/>
      </c>
      <c r="N723" s="263" t="str">
        <f t="shared" si="2"/>
        <v/>
      </c>
      <c r="O723" s="264" t="str">
        <f t="shared" si="3"/>
        <v/>
      </c>
      <c r="P723" s="265" t="str">
        <f>IFERROR(__xludf.DUMMYFUNCTION("IF(ISBLANK(A723),"""",IFERROR(IF(H723=""Sell"",VLOOKUP(9^99,FILTER({ROW(P$2:P722),P$2:P722},D$2:D722=D723),2),(VLOOKUP(9^99,FILTER({ROW(P$2:P722),P$2:P722},D$2:D722=D723),2)*VLOOKUP(9^99,FILTER({ROW(O$2:O722),O$2:O722},D$2:D722=D723),2)-N723)/O723),J723))"),"")</f>
        <v/>
      </c>
      <c r="Q723" s="264" t="str">
        <f>IFERROR(__xludf.DUMMYFUNCTION("IFERROR(IF(F723=""Crypto"",B723,(IF(ISBLANK(D723),"""",IF(D723=""Cash"",B723,IF(GOOGLEFINANCE(D723,""CURRENCY"")=""GBX"",""GBP"",GOOGLEFINANCE(D723,""CURRENCY"")))))),B723)"),"")</f>
        <v/>
      </c>
      <c r="R723" s="263" t="str">
        <f>IFERROR(__xludf.DUMMYFUNCTION("IF(ISBLANK(A723),"""",IFERROR(IF(OR(Q723=""GPB"",Q723=""ZAR""),IF(Q723=Dashboard!$L$1,K723,(K723*GOOGLEFINANCE(""CURRENCY:""&amp;Q723&amp;""""&amp;Dashboard!$L$1&amp;""""))/100),IF(Q723=Dashboard!$L$1,K723,K723*GOOGLEFINANCE(""CURRENCY:""&amp;Q723&amp;""""&amp;Dashboard!$L$1&amp;"""")))"&amp;",K723))"),"")</f>
        <v/>
      </c>
      <c r="S723" s="266" t="str">
        <f>IFERROR(__xludf.DUMMYFUNCTION("IF(ISBLANK(A723),"""",IFERROR(IF(OR(Q723=""GPB"",Q723=""ZAR""),IF(Q723=Dashboard!$L$1,M723,(M723*GOOGLEFINANCE(""CURRENCY:""&amp;Q723&amp;""""&amp;Dashboard!$L$1&amp;""""))/100),IF(Q723=Dashboard!$L$1,M723,M723*GOOGLEFINANCE(""CURRENCY:""&amp;Q723&amp;""""&amp;Dashboard!$L$1&amp;"""")))"&amp;",M723))"),"")</f>
        <v/>
      </c>
      <c r="T723" s="264" t="str">
        <f t="shared" si="4"/>
        <v/>
      </c>
      <c r="U723" s="264" t="str">
        <f t="shared" si="5"/>
        <v/>
      </c>
      <c r="V723" s="264" t="str">
        <f t="shared" si="6"/>
        <v/>
      </c>
      <c r="W723" s="267" t="str">
        <f t="shared" si="8"/>
        <v/>
      </c>
      <c r="X723" s="264" t="str">
        <f t="shared" si="7"/>
        <v/>
      </c>
    </row>
    <row r="724" ht="15.75" customHeight="1">
      <c r="A724" s="258"/>
      <c r="B724" s="258"/>
      <c r="C724" s="269"/>
      <c r="D724" s="258"/>
      <c r="E724" s="258"/>
      <c r="F724" s="258"/>
      <c r="G724" s="258"/>
      <c r="H724" s="271"/>
      <c r="I724" s="258"/>
      <c r="J724" s="272"/>
      <c r="K724" s="260"/>
      <c r="L724" s="261"/>
      <c r="M724" s="262" t="str">
        <f t="shared" si="1"/>
        <v/>
      </c>
      <c r="N724" s="263" t="str">
        <f t="shared" si="2"/>
        <v/>
      </c>
      <c r="O724" s="264" t="str">
        <f t="shared" si="3"/>
        <v/>
      </c>
      <c r="P724" s="265" t="str">
        <f>IFERROR(__xludf.DUMMYFUNCTION("IF(ISBLANK(A724),"""",IFERROR(IF(H724=""Sell"",VLOOKUP(9^99,FILTER({ROW(P$2:P723),P$2:P723},D$2:D723=D724),2),(VLOOKUP(9^99,FILTER({ROW(P$2:P723),P$2:P723},D$2:D723=D724),2)*VLOOKUP(9^99,FILTER({ROW(O$2:O723),O$2:O723},D$2:D723=D724),2)-N724)/O724),J724))"),"")</f>
        <v/>
      </c>
      <c r="Q724" s="264" t="str">
        <f>IFERROR(__xludf.DUMMYFUNCTION("IFERROR(IF(F724=""Crypto"",B724,(IF(ISBLANK(D724),"""",IF(D724=""Cash"",B724,IF(GOOGLEFINANCE(D724,""CURRENCY"")=""GBX"",""GBP"",GOOGLEFINANCE(D724,""CURRENCY"")))))),B724)"),"")</f>
        <v/>
      </c>
      <c r="R724" s="263" t="str">
        <f>IFERROR(__xludf.DUMMYFUNCTION("IF(ISBLANK(A724),"""",IFERROR(IF(OR(Q724=""GPB"",Q724=""ZAR""),IF(Q724=Dashboard!$L$1,K724,(K724*GOOGLEFINANCE(""CURRENCY:""&amp;Q724&amp;""""&amp;Dashboard!$L$1&amp;""""))/100),IF(Q724=Dashboard!$L$1,K724,K724*GOOGLEFINANCE(""CURRENCY:""&amp;Q724&amp;""""&amp;Dashboard!$L$1&amp;"""")))"&amp;",K724))"),"")</f>
        <v/>
      </c>
      <c r="S724" s="266" t="str">
        <f>IFERROR(__xludf.DUMMYFUNCTION("IF(ISBLANK(A724),"""",IFERROR(IF(OR(Q724=""GPB"",Q724=""ZAR""),IF(Q724=Dashboard!$L$1,M724,(M724*GOOGLEFINANCE(""CURRENCY:""&amp;Q724&amp;""""&amp;Dashboard!$L$1&amp;""""))/100),IF(Q724=Dashboard!$L$1,M724,M724*GOOGLEFINANCE(""CURRENCY:""&amp;Q724&amp;""""&amp;Dashboard!$L$1&amp;"""")))"&amp;",M724))"),"")</f>
        <v/>
      </c>
      <c r="T724" s="264" t="str">
        <f t="shared" si="4"/>
        <v/>
      </c>
      <c r="U724" s="264" t="str">
        <f t="shared" si="5"/>
        <v/>
      </c>
      <c r="V724" s="264" t="str">
        <f t="shared" si="6"/>
        <v/>
      </c>
      <c r="W724" s="267" t="str">
        <f t="shared" si="8"/>
        <v/>
      </c>
      <c r="X724" s="264" t="str">
        <f t="shared" si="7"/>
        <v/>
      </c>
    </row>
    <row r="725" ht="15.75" customHeight="1">
      <c r="A725" s="258"/>
      <c r="B725" s="258"/>
      <c r="C725" s="269"/>
      <c r="D725" s="258"/>
      <c r="E725" s="258"/>
      <c r="F725" s="258"/>
      <c r="G725" s="258"/>
      <c r="H725" s="271"/>
      <c r="I725" s="258"/>
      <c r="J725" s="272"/>
      <c r="K725" s="260"/>
      <c r="L725" s="261"/>
      <c r="M725" s="262" t="str">
        <f t="shared" si="1"/>
        <v/>
      </c>
      <c r="N725" s="263" t="str">
        <f t="shared" si="2"/>
        <v/>
      </c>
      <c r="O725" s="264" t="str">
        <f t="shared" si="3"/>
        <v/>
      </c>
      <c r="P725" s="265" t="str">
        <f>IFERROR(__xludf.DUMMYFUNCTION("IF(ISBLANK(A725),"""",IFERROR(IF(H725=""Sell"",VLOOKUP(9^99,FILTER({ROW(P$2:P724),P$2:P724},D$2:D724=D725),2),(VLOOKUP(9^99,FILTER({ROW(P$2:P724),P$2:P724},D$2:D724=D725),2)*VLOOKUP(9^99,FILTER({ROW(O$2:O724),O$2:O724},D$2:D724=D725),2)-N725)/O725),J725))"),"")</f>
        <v/>
      </c>
      <c r="Q725" s="264" t="str">
        <f>IFERROR(__xludf.DUMMYFUNCTION("IFERROR(IF(F725=""Crypto"",B725,(IF(ISBLANK(D725),"""",IF(D725=""Cash"",B725,IF(GOOGLEFINANCE(D725,""CURRENCY"")=""GBX"",""GBP"",GOOGLEFINANCE(D725,""CURRENCY"")))))),B725)"),"")</f>
        <v/>
      </c>
      <c r="R725" s="263" t="str">
        <f>IFERROR(__xludf.DUMMYFUNCTION("IF(ISBLANK(A725),"""",IFERROR(IF(OR(Q725=""GPB"",Q725=""ZAR""),IF(Q725=Dashboard!$L$1,K725,(K725*GOOGLEFINANCE(""CURRENCY:""&amp;Q725&amp;""""&amp;Dashboard!$L$1&amp;""""))/100),IF(Q725=Dashboard!$L$1,K725,K725*GOOGLEFINANCE(""CURRENCY:""&amp;Q725&amp;""""&amp;Dashboard!$L$1&amp;"""")))"&amp;",K725))"),"")</f>
        <v/>
      </c>
      <c r="S725" s="266" t="str">
        <f>IFERROR(__xludf.DUMMYFUNCTION("IF(ISBLANK(A725),"""",IFERROR(IF(OR(Q725=""GPB"",Q725=""ZAR""),IF(Q725=Dashboard!$L$1,M725,(M725*GOOGLEFINANCE(""CURRENCY:""&amp;Q725&amp;""""&amp;Dashboard!$L$1&amp;""""))/100),IF(Q725=Dashboard!$L$1,M725,M725*GOOGLEFINANCE(""CURRENCY:""&amp;Q725&amp;""""&amp;Dashboard!$L$1&amp;"""")))"&amp;",M725))"),"")</f>
        <v/>
      </c>
      <c r="T725" s="264" t="str">
        <f t="shared" si="4"/>
        <v/>
      </c>
      <c r="U725" s="264" t="str">
        <f t="shared" si="5"/>
        <v/>
      </c>
      <c r="V725" s="264" t="str">
        <f t="shared" si="6"/>
        <v/>
      </c>
      <c r="W725" s="267" t="str">
        <f t="shared" si="8"/>
        <v/>
      </c>
      <c r="X725" s="264" t="str">
        <f t="shared" si="7"/>
        <v/>
      </c>
    </row>
    <row r="726" ht="15.75" customHeight="1">
      <c r="A726" s="258"/>
      <c r="B726" s="258"/>
      <c r="C726" s="269"/>
      <c r="D726" s="258"/>
      <c r="E726" s="258"/>
      <c r="F726" s="258"/>
      <c r="G726" s="258"/>
      <c r="H726" s="271"/>
      <c r="I726" s="258"/>
      <c r="J726" s="272"/>
      <c r="K726" s="260"/>
      <c r="L726" s="261"/>
      <c r="M726" s="262" t="str">
        <f t="shared" si="1"/>
        <v/>
      </c>
      <c r="N726" s="263" t="str">
        <f t="shared" si="2"/>
        <v/>
      </c>
      <c r="O726" s="264" t="str">
        <f t="shared" si="3"/>
        <v/>
      </c>
      <c r="P726" s="265" t="str">
        <f>IFERROR(__xludf.DUMMYFUNCTION("IF(ISBLANK(A726),"""",IFERROR(IF(H726=""Sell"",VLOOKUP(9^99,FILTER({ROW(P$2:P725),P$2:P725},D$2:D725=D726),2),(VLOOKUP(9^99,FILTER({ROW(P$2:P725),P$2:P725},D$2:D725=D726),2)*VLOOKUP(9^99,FILTER({ROW(O$2:O725),O$2:O725},D$2:D725=D726),2)-N726)/O726),J726))"),"")</f>
        <v/>
      </c>
      <c r="Q726" s="264" t="str">
        <f>IFERROR(__xludf.DUMMYFUNCTION("IFERROR(IF(F726=""Crypto"",B726,(IF(ISBLANK(D726),"""",IF(D726=""Cash"",B726,IF(GOOGLEFINANCE(D726,""CURRENCY"")=""GBX"",""GBP"",GOOGLEFINANCE(D726,""CURRENCY"")))))),B726)"),"")</f>
        <v/>
      </c>
      <c r="R726" s="263" t="str">
        <f>IFERROR(__xludf.DUMMYFUNCTION("IF(ISBLANK(A726),"""",IFERROR(IF(OR(Q726=""GPB"",Q726=""ZAR""),IF(Q726=Dashboard!$L$1,K726,(K726*GOOGLEFINANCE(""CURRENCY:""&amp;Q726&amp;""""&amp;Dashboard!$L$1&amp;""""))/100),IF(Q726=Dashboard!$L$1,K726,K726*GOOGLEFINANCE(""CURRENCY:""&amp;Q726&amp;""""&amp;Dashboard!$L$1&amp;"""")))"&amp;",K726))"),"")</f>
        <v/>
      </c>
      <c r="S726" s="266" t="str">
        <f>IFERROR(__xludf.DUMMYFUNCTION("IF(ISBLANK(A726),"""",IFERROR(IF(OR(Q726=""GPB"",Q726=""ZAR""),IF(Q726=Dashboard!$L$1,M726,(M726*GOOGLEFINANCE(""CURRENCY:""&amp;Q726&amp;""""&amp;Dashboard!$L$1&amp;""""))/100),IF(Q726=Dashboard!$L$1,M726,M726*GOOGLEFINANCE(""CURRENCY:""&amp;Q726&amp;""""&amp;Dashboard!$L$1&amp;"""")))"&amp;",M726))"),"")</f>
        <v/>
      </c>
      <c r="T726" s="264" t="str">
        <f t="shared" si="4"/>
        <v/>
      </c>
      <c r="U726" s="264" t="str">
        <f t="shared" si="5"/>
        <v/>
      </c>
      <c r="V726" s="264" t="str">
        <f t="shared" si="6"/>
        <v/>
      </c>
      <c r="W726" s="267" t="str">
        <f t="shared" si="8"/>
        <v/>
      </c>
      <c r="X726" s="264" t="str">
        <f t="shared" si="7"/>
        <v/>
      </c>
    </row>
    <row r="727" ht="15.75" customHeight="1">
      <c r="A727" s="258"/>
      <c r="B727" s="258"/>
      <c r="C727" s="269"/>
      <c r="D727" s="258"/>
      <c r="E727" s="258"/>
      <c r="F727" s="258"/>
      <c r="G727" s="258"/>
      <c r="H727" s="271"/>
      <c r="I727" s="258"/>
      <c r="J727" s="272"/>
      <c r="K727" s="260"/>
      <c r="L727" s="261"/>
      <c r="M727" s="262" t="str">
        <f t="shared" si="1"/>
        <v/>
      </c>
      <c r="N727" s="263" t="str">
        <f t="shared" si="2"/>
        <v/>
      </c>
      <c r="O727" s="264" t="str">
        <f t="shared" si="3"/>
        <v/>
      </c>
      <c r="P727" s="265" t="str">
        <f>IFERROR(__xludf.DUMMYFUNCTION("IF(ISBLANK(A727),"""",IFERROR(IF(H727=""Sell"",VLOOKUP(9^99,FILTER({ROW(P$2:P726),P$2:P726},D$2:D726=D727),2),(VLOOKUP(9^99,FILTER({ROW(P$2:P726),P$2:P726},D$2:D726=D727),2)*VLOOKUP(9^99,FILTER({ROW(O$2:O726),O$2:O726},D$2:D726=D727),2)-N727)/O727),J727))"),"")</f>
        <v/>
      </c>
      <c r="Q727" s="264" t="str">
        <f>IFERROR(__xludf.DUMMYFUNCTION("IFERROR(IF(F727=""Crypto"",B727,(IF(ISBLANK(D727),"""",IF(D727=""Cash"",B727,IF(GOOGLEFINANCE(D727,""CURRENCY"")=""GBX"",""GBP"",GOOGLEFINANCE(D727,""CURRENCY"")))))),B727)"),"")</f>
        <v/>
      </c>
      <c r="R727" s="263" t="str">
        <f>IFERROR(__xludf.DUMMYFUNCTION("IF(ISBLANK(A727),"""",IFERROR(IF(OR(Q727=""GPB"",Q727=""ZAR""),IF(Q727=Dashboard!$L$1,K727,(K727*GOOGLEFINANCE(""CURRENCY:""&amp;Q727&amp;""""&amp;Dashboard!$L$1&amp;""""))/100),IF(Q727=Dashboard!$L$1,K727,K727*GOOGLEFINANCE(""CURRENCY:""&amp;Q727&amp;""""&amp;Dashboard!$L$1&amp;"""")))"&amp;",K727))"),"")</f>
        <v/>
      </c>
      <c r="S727" s="266" t="str">
        <f>IFERROR(__xludf.DUMMYFUNCTION("IF(ISBLANK(A727),"""",IFERROR(IF(OR(Q727=""GPB"",Q727=""ZAR""),IF(Q727=Dashboard!$L$1,M727,(M727*GOOGLEFINANCE(""CURRENCY:""&amp;Q727&amp;""""&amp;Dashboard!$L$1&amp;""""))/100),IF(Q727=Dashboard!$L$1,M727,M727*GOOGLEFINANCE(""CURRENCY:""&amp;Q727&amp;""""&amp;Dashboard!$L$1&amp;"""")))"&amp;",M727))"),"")</f>
        <v/>
      </c>
      <c r="T727" s="264" t="str">
        <f t="shared" si="4"/>
        <v/>
      </c>
      <c r="U727" s="264" t="str">
        <f t="shared" si="5"/>
        <v/>
      </c>
      <c r="V727" s="264" t="str">
        <f t="shared" si="6"/>
        <v/>
      </c>
      <c r="W727" s="267" t="str">
        <f t="shared" si="8"/>
        <v/>
      </c>
      <c r="X727" s="264" t="str">
        <f t="shared" si="7"/>
        <v/>
      </c>
    </row>
    <row r="728" ht="15.75" customHeight="1">
      <c r="A728" s="258"/>
      <c r="B728" s="258"/>
      <c r="C728" s="269"/>
      <c r="D728" s="258"/>
      <c r="E728" s="258"/>
      <c r="F728" s="258"/>
      <c r="G728" s="258"/>
      <c r="H728" s="271"/>
      <c r="I728" s="258"/>
      <c r="J728" s="272"/>
      <c r="K728" s="260"/>
      <c r="L728" s="261"/>
      <c r="M728" s="262" t="str">
        <f t="shared" si="1"/>
        <v/>
      </c>
      <c r="N728" s="263" t="str">
        <f t="shared" si="2"/>
        <v/>
      </c>
      <c r="O728" s="264" t="str">
        <f t="shared" si="3"/>
        <v/>
      </c>
      <c r="P728" s="265" t="str">
        <f>IFERROR(__xludf.DUMMYFUNCTION("IF(ISBLANK(A728),"""",IFERROR(IF(H728=""Sell"",VLOOKUP(9^99,FILTER({ROW(P$2:P727),P$2:P727},D$2:D727=D728),2),(VLOOKUP(9^99,FILTER({ROW(P$2:P727),P$2:P727},D$2:D727=D728),2)*VLOOKUP(9^99,FILTER({ROW(O$2:O727),O$2:O727},D$2:D727=D728),2)-N728)/O728),J728))"),"")</f>
        <v/>
      </c>
      <c r="Q728" s="264" t="str">
        <f>IFERROR(__xludf.DUMMYFUNCTION("IFERROR(IF(F728=""Crypto"",B728,(IF(ISBLANK(D728),"""",IF(D728=""Cash"",B728,IF(GOOGLEFINANCE(D728,""CURRENCY"")=""GBX"",""GBP"",GOOGLEFINANCE(D728,""CURRENCY"")))))),B728)"),"")</f>
        <v/>
      </c>
      <c r="R728" s="263" t="str">
        <f>IFERROR(__xludf.DUMMYFUNCTION("IF(ISBLANK(A728),"""",IFERROR(IF(OR(Q728=""GPB"",Q728=""ZAR""),IF(Q728=Dashboard!$L$1,K728,(K728*GOOGLEFINANCE(""CURRENCY:""&amp;Q728&amp;""""&amp;Dashboard!$L$1&amp;""""))/100),IF(Q728=Dashboard!$L$1,K728,K728*GOOGLEFINANCE(""CURRENCY:""&amp;Q728&amp;""""&amp;Dashboard!$L$1&amp;"""")))"&amp;",K728))"),"")</f>
        <v/>
      </c>
      <c r="S728" s="266" t="str">
        <f>IFERROR(__xludf.DUMMYFUNCTION("IF(ISBLANK(A728),"""",IFERROR(IF(OR(Q728=""GPB"",Q728=""ZAR""),IF(Q728=Dashboard!$L$1,M728,(M728*GOOGLEFINANCE(""CURRENCY:""&amp;Q728&amp;""""&amp;Dashboard!$L$1&amp;""""))/100),IF(Q728=Dashboard!$L$1,M728,M728*GOOGLEFINANCE(""CURRENCY:""&amp;Q728&amp;""""&amp;Dashboard!$L$1&amp;"""")))"&amp;",M728))"),"")</f>
        <v/>
      </c>
      <c r="T728" s="264" t="str">
        <f t="shared" si="4"/>
        <v/>
      </c>
      <c r="U728" s="264" t="str">
        <f t="shared" si="5"/>
        <v/>
      </c>
      <c r="V728" s="264" t="str">
        <f t="shared" si="6"/>
        <v/>
      </c>
      <c r="W728" s="267" t="str">
        <f t="shared" si="8"/>
        <v/>
      </c>
      <c r="X728" s="264" t="str">
        <f t="shared" si="7"/>
        <v/>
      </c>
    </row>
    <row r="729" ht="15.75" customHeight="1">
      <c r="A729" s="258"/>
      <c r="B729" s="258"/>
      <c r="C729" s="269"/>
      <c r="D729" s="258"/>
      <c r="E729" s="258"/>
      <c r="F729" s="258"/>
      <c r="G729" s="258"/>
      <c r="H729" s="271"/>
      <c r="I729" s="258"/>
      <c r="J729" s="272"/>
      <c r="K729" s="260"/>
      <c r="L729" s="261"/>
      <c r="M729" s="262" t="str">
        <f t="shared" si="1"/>
        <v/>
      </c>
      <c r="N729" s="263" t="str">
        <f t="shared" si="2"/>
        <v/>
      </c>
      <c r="O729" s="264" t="str">
        <f t="shared" si="3"/>
        <v/>
      </c>
      <c r="P729" s="265" t="str">
        <f>IFERROR(__xludf.DUMMYFUNCTION("IF(ISBLANK(A729),"""",IFERROR(IF(H729=""Sell"",VLOOKUP(9^99,FILTER({ROW(P$2:P728),P$2:P728},D$2:D728=D729),2),(VLOOKUP(9^99,FILTER({ROW(P$2:P728),P$2:P728},D$2:D728=D729),2)*VLOOKUP(9^99,FILTER({ROW(O$2:O728),O$2:O728},D$2:D728=D729),2)-N729)/O729),J729))"),"")</f>
        <v/>
      </c>
      <c r="Q729" s="264" t="str">
        <f>IFERROR(__xludf.DUMMYFUNCTION("IFERROR(IF(F729=""Crypto"",B729,(IF(ISBLANK(D729),"""",IF(D729=""Cash"",B729,IF(GOOGLEFINANCE(D729,""CURRENCY"")=""GBX"",""GBP"",GOOGLEFINANCE(D729,""CURRENCY"")))))),B729)"),"")</f>
        <v/>
      </c>
      <c r="R729" s="263" t="str">
        <f>IFERROR(__xludf.DUMMYFUNCTION("IF(ISBLANK(A729),"""",IFERROR(IF(OR(Q729=""GPB"",Q729=""ZAR""),IF(Q729=Dashboard!$L$1,K729,(K729*GOOGLEFINANCE(""CURRENCY:""&amp;Q729&amp;""""&amp;Dashboard!$L$1&amp;""""))/100),IF(Q729=Dashboard!$L$1,K729,K729*GOOGLEFINANCE(""CURRENCY:""&amp;Q729&amp;""""&amp;Dashboard!$L$1&amp;"""")))"&amp;",K729))"),"")</f>
        <v/>
      </c>
      <c r="S729" s="266" t="str">
        <f>IFERROR(__xludf.DUMMYFUNCTION("IF(ISBLANK(A729),"""",IFERROR(IF(OR(Q729=""GPB"",Q729=""ZAR""),IF(Q729=Dashboard!$L$1,M729,(M729*GOOGLEFINANCE(""CURRENCY:""&amp;Q729&amp;""""&amp;Dashboard!$L$1&amp;""""))/100),IF(Q729=Dashboard!$L$1,M729,M729*GOOGLEFINANCE(""CURRENCY:""&amp;Q729&amp;""""&amp;Dashboard!$L$1&amp;"""")))"&amp;",M729))"),"")</f>
        <v/>
      </c>
      <c r="T729" s="264" t="str">
        <f t="shared" si="4"/>
        <v/>
      </c>
      <c r="U729" s="264" t="str">
        <f t="shared" si="5"/>
        <v/>
      </c>
      <c r="V729" s="264" t="str">
        <f t="shared" si="6"/>
        <v/>
      </c>
      <c r="W729" s="267" t="str">
        <f t="shared" si="8"/>
        <v/>
      </c>
      <c r="X729" s="264" t="str">
        <f t="shared" si="7"/>
        <v/>
      </c>
    </row>
    <row r="730" ht="15.75" customHeight="1">
      <c r="A730" s="258"/>
      <c r="B730" s="258"/>
      <c r="C730" s="269"/>
      <c r="D730" s="258"/>
      <c r="E730" s="258"/>
      <c r="F730" s="258"/>
      <c r="G730" s="258"/>
      <c r="H730" s="271"/>
      <c r="I730" s="258"/>
      <c r="J730" s="272"/>
      <c r="K730" s="260"/>
      <c r="L730" s="261"/>
      <c r="M730" s="262" t="str">
        <f t="shared" si="1"/>
        <v/>
      </c>
      <c r="N730" s="263" t="str">
        <f t="shared" si="2"/>
        <v/>
      </c>
      <c r="O730" s="264" t="str">
        <f t="shared" si="3"/>
        <v/>
      </c>
      <c r="P730" s="265" t="str">
        <f>IFERROR(__xludf.DUMMYFUNCTION("IF(ISBLANK(A730),"""",IFERROR(IF(H730=""Sell"",VLOOKUP(9^99,FILTER({ROW(P$2:P729),P$2:P729},D$2:D729=D730),2),(VLOOKUP(9^99,FILTER({ROW(P$2:P729),P$2:P729},D$2:D729=D730),2)*VLOOKUP(9^99,FILTER({ROW(O$2:O729),O$2:O729},D$2:D729=D730),2)-N730)/O730),J730))"),"")</f>
        <v/>
      </c>
      <c r="Q730" s="264" t="str">
        <f>IFERROR(__xludf.DUMMYFUNCTION("IFERROR(IF(F730=""Crypto"",B730,(IF(ISBLANK(D730),"""",IF(D730=""Cash"",B730,IF(GOOGLEFINANCE(D730,""CURRENCY"")=""GBX"",""GBP"",GOOGLEFINANCE(D730,""CURRENCY"")))))),B730)"),"")</f>
        <v/>
      </c>
      <c r="R730" s="263" t="str">
        <f>IFERROR(__xludf.DUMMYFUNCTION("IF(ISBLANK(A730),"""",IFERROR(IF(OR(Q730=""GPB"",Q730=""ZAR""),IF(Q730=Dashboard!$L$1,K730,(K730*GOOGLEFINANCE(""CURRENCY:""&amp;Q730&amp;""""&amp;Dashboard!$L$1&amp;""""))/100),IF(Q730=Dashboard!$L$1,K730,K730*GOOGLEFINANCE(""CURRENCY:""&amp;Q730&amp;""""&amp;Dashboard!$L$1&amp;"""")))"&amp;",K730))"),"")</f>
        <v/>
      </c>
      <c r="S730" s="266" t="str">
        <f>IFERROR(__xludf.DUMMYFUNCTION("IF(ISBLANK(A730),"""",IFERROR(IF(OR(Q730=""GPB"",Q730=""ZAR""),IF(Q730=Dashboard!$L$1,M730,(M730*GOOGLEFINANCE(""CURRENCY:""&amp;Q730&amp;""""&amp;Dashboard!$L$1&amp;""""))/100),IF(Q730=Dashboard!$L$1,M730,M730*GOOGLEFINANCE(""CURRENCY:""&amp;Q730&amp;""""&amp;Dashboard!$L$1&amp;"""")))"&amp;",M730))"),"")</f>
        <v/>
      </c>
      <c r="T730" s="264" t="str">
        <f t="shared" si="4"/>
        <v/>
      </c>
      <c r="U730" s="264" t="str">
        <f t="shared" si="5"/>
        <v/>
      </c>
      <c r="V730" s="264" t="str">
        <f t="shared" si="6"/>
        <v/>
      </c>
      <c r="W730" s="267" t="str">
        <f t="shared" si="8"/>
        <v/>
      </c>
      <c r="X730" s="264" t="str">
        <f t="shared" si="7"/>
        <v/>
      </c>
    </row>
    <row r="731" ht="15.75" customHeight="1">
      <c r="A731" s="258"/>
      <c r="B731" s="258"/>
      <c r="C731" s="269"/>
      <c r="D731" s="258"/>
      <c r="E731" s="258"/>
      <c r="F731" s="258"/>
      <c r="G731" s="258"/>
      <c r="H731" s="271"/>
      <c r="I731" s="258"/>
      <c r="J731" s="272"/>
      <c r="K731" s="260"/>
      <c r="L731" s="261"/>
      <c r="M731" s="262" t="str">
        <f t="shared" si="1"/>
        <v/>
      </c>
      <c r="N731" s="263" t="str">
        <f t="shared" si="2"/>
        <v/>
      </c>
      <c r="O731" s="264" t="str">
        <f t="shared" si="3"/>
        <v/>
      </c>
      <c r="P731" s="265" t="str">
        <f>IFERROR(__xludf.DUMMYFUNCTION("IF(ISBLANK(A731),"""",IFERROR(IF(H731=""Sell"",VLOOKUP(9^99,FILTER({ROW(P$2:P730),P$2:P730},D$2:D730=D731),2),(VLOOKUP(9^99,FILTER({ROW(P$2:P730),P$2:P730},D$2:D730=D731),2)*VLOOKUP(9^99,FILTER({ROW(O$2:O730),O$2:O730},D$2:D730=D731),2)-N731)/O731),J731))"),"")</f>
        <v/>
      </c>
      <c r="Q731" s="264" t="str">
        <f>IFERROR(__xludf.DUMMYFUNCTION("IFERROR(IF(F731=""Crypto"",B731,(IF(ISBLANK(D731),"""",IF(D731=""Cash"",B731,IF(GOOGLEFINANCE(D731,""CURRENCY"")=""GBX"",""GBP"",GOOGLEFINANCE(D731,""CURRENCY"")))))),B731)"),"")</f>
        <v/>
      </c>
      <c r="R731" s="263" t="str">
        <f>IFERROR(__xludf.DUMMYFUNCTION("IF(ISBLANK(A731),"""",IFERROR(IF(OR(Q731=""GPB"",Q731=""ZAR""),IF(Q731=Dashboard!$L$1,K731,(K731*GOOGLEFINANCE(""CURRENCY:""&amp;Q731&amp;""""&amp;Dashboard!$L$1&amp;""""))/100),IF(Q731=Dashboard!$L$1,K731,K731*GOOGLEFINANCE(""CURRENCY:""&amp;Q731&amp;""""&amp;Dashboard!$L$1&amp;"""")))"&amp;",K731))"),"")</f>
        <v/>
      </c>
      <c r="S731" s="266" t="str">
        <f>IFERROR(__xludf.DUMMYFUNCTION("IF(ISBLANK(A731),"""",IFERROR(IF(OR(Q731=""GPB"",Q731=""ZAR""),IF(Q731=Dashboard!$L$1,M731,(M731*GOOGLEFINANCE(""CURRENCY:""&amp;Q731&amp;""""&amp;Dashboard!$L$1&amp;""""))/100),IF(Q731=Dashboard!$L$1,M731,M731*GOOGLEFINANCE(""CURRENCY:""&amp;Q731&amp;""""&amp;Dashboard!$L$1&amp;"""")))"&amp;",M731))"),"")</f>
        <v/>
      </c>
      <c r="T731" s="264" t="str">
        <f t="shared" si="4"/>
        <v/>
      </c>
      <c r="U731" s="264" t="str">
        <f t="shared" si="5"/>
        <v/>
      </c>
      <c r="V731" s="264" t="str">
        <f t="shared" si="6"/>
        <v/>
      </c>
      <c r="W731" s="267" t="str">
        <f t="shared" si="8"/>
        <v/>
      </c>
      <c r="X731" s="264" t="str">
        <f t="shared" si="7"/>
        <v/>
      </c>
    </row>
    <row r="732" ht="15.75" customHeight="1">
      <c r="A732" s="258"/>
      <c r="B732" s="258"/>
      <c r="C732" s="269"/>
      <c r="D732" s="258"/>
      <c r="E732" s="258"/>
      <c r="F732" s="258"/>
      <c r="G732" s="258"/>
      <c r="H732" s="271"/>
      <c r="I732" s="258"/>
      <c r="J732" s="272"/>
      <c r="K732" s="260"/>
      <c r="L732" s="261"/>
      <c r="M732" s="262" t="str">
        <f t="shared" si="1"/>
        <v/>
      </c>
      <c r="N732" s="263" t="str">
        <f t="shared" si="2"/>
        <v/>
      </c>
      <c r="O732" s="264" t="str">
        <f t="shared" si="3"/>
        <v/>
      </c>
      <c r="P732" s="265" t="str">
        <f>IFERROR(__xludf.DUMMYFUNCTION("IF(ISBLANK(A732),"""",IFERROR(IF(H732=""Sell"",VLOOKUP(9^99,FILTER({ROW(P$2:P731),P$2:P731},D$2:D731=D732),2),(VLOOKUP(9^99,FILTER({ROW(P$2:P731),P$2:P731},D$2:D731=D732),2)*VLOOKUP(9^99,FILTER({ROW(O$2:O731),O$2:O731},D$2:D731=D732),2)-N732)/O732),J732))"),"")</f>
        <v/>
      </c>
      <c r="Q732" s="264" t="str">
        <f>IFERROR(__xludf.DUMMYFUNCTION("IFERROR(IF(F732=""Crypto"",B732,(IF(ISBLANK(D732),"""",IF(D732=""Cash"",B732,IF(GOOGLEFINANCE(D732,""CURRENCY"")=""GBX"",""GBP"",GOOGLEFINANCE(D732,""CURRENCY"")))))),B732)"),"")</f>
        <v/>
      </c>
      <c r="R732" s="263" t="str">
        <f>IFERROR(__xludf.DUMMYFUNCTION("IF(ISBLANK(A732),"""",IFERROR(IF(OR(Q732=""GPB"",Q732=""ZAR""),IF(Q732=Dashboard!$L$1,K732,(K732*GOOGLEFINANCE(""CURRENCY:""&amp;Q732&amp;""""&amp;Dashboard!$L$1&amp;""""))/100),IF(Q732=Dashboard!$L$1,K732,K732*GOOGLEFINANCE(""CURRENCY:""&amp;Q732&amp;""""&amp;Dashboard!$L$1&amp;"""")))"&amp;",K732))"),"")</f>
        <v/>
      </c>
      <c r="S732" s="266" t="str">
        <f>IFERROR(__xludf.DUMMYFUNCTION("IF(ISBLANK(A732),"""",IFERROR(IF(OR(Q732=""GPB"",Q732=""ZAR""),IF(Q732=Dashboard!$L$1,M732,(M732*GOOGLEFINANCE(""CURRENCY:""&amp;Q732&amp;""""&amp;Dashboard!$L$1&amp;""""))/100),IF(Q732=Dashboard!$L$1,M732,M732*GOOGLEFINANCE(""CURRENCY:""&amp;Q732&amp;""""&amp;Dashboard!$L$1&amp;"""")))"&amp;",M732))"),"")</f>
        <v/>
      </c>
      <c r="T732" s="264" t="str">
        <f t="shared" si="4"/>
        <v/>
      </c>
      <c r="U732" s="264" t="str">
        <f t="shared" si="5"/>
        <v/>
      </c>
      <c r="V732" s="264" t="str">
        <f t="shared" si="6"/>
        <v/>
      </c>
      <c r="W732" s="267" t="str">
        <f t="shared" si="8"/>
        <v/>
      </c>
      <c r="X732" s="264" t="str">
        <f t="shared" si="7"/>
        <v/>
      </c>
    </row>
    <row r="733" ht="15.75" customHeight="1">
      <c r="A733" s="258"/>
      <c r="B733" s="258"/>
      <c r="C733" s="269"/>
      <c r="D733" s="258"/>
      <c r="E733" s="258"/>
      <c r="F733" s="258"/>
      <c r="G733" s="258"/>
      <c r="H733" s="271"/>
      <c r="I733" s="258"/>
      <c r="J733" s="272"/>
      <c r="K733" s="260"/>
      <c r="L733" s="261"/>
      <c r="M733" s="262" t="str">
        <f t="shared" si="1"/>
        <v/>
      </c>
      <c r="N733" s="263" t="str">
        <f t="shared" si="2"/>
        <v/>
      </c>
      <c r="O733" s="264" t="str">
        <f t="shared" si="3"/>
        <v/>
      </c>
      <c r="P733" s="265" t="str">
        <f>IFERROR(__xludf.DUMMYFUNCTION("IF(ISBLANK(A733),"""",IFERROR(IF(H733=""Sell"",VLOOKUP(9^99,FILTER({ROW(P$2:P732),P$2:P732},D$2:D732=D733),2),(VLOOKUP(9^99,FILTER({ROW(P$2:P732),P$2:P732},D$2:D732=D733),2)*VLOOKUP(9^99,FILTER({ROW(O$2:O732),O$2:O732},D$2:D732=D733),2)-N733)/O733),J733))"),"")</f>
        <v/>
      </c>
      <c r="Q733" s="264" t="str">
        <f>IFERROR(__xludf.DUMMYFUNCTION("IFERROR(IF(F733=""Crypto"",B733,(IF(ISBLANK(D733),"""",IF(D733=""Cash"",B733,IF(GOOGLEFINANCE(D733,""CURRENCY"")=""GBX"",""GBP"",GOOGLEFINANCE(D733,""CURRENCY"")))))),B733)"),"")</f>
        <v/>
      </c>
      <c r="R733" s="263" t="str">
        <f>IFERROR(__xludf.DUMMYFUNCTION("IF(ISBLANK(A733),"""",IFERROR(IF(OR(Q733=""GPB"",Q733=""ZAR""),IF(Q733=Dashboard!$L$1,K733,(K733*GOOGLEFINANCE(""CURRENCY:""&amp;Q733&amp;""""&amp;Dashboard!$L$1&amp;""""))/100),IF(Q733=Dashboard!$L$1,K733,K733*GOOGLEFINANCE(""CURRENCY:""&amp;Q733&amp;""""&amp;Dashboard!$L$1&amp;"""")))"&amp;",K733))"),"")</f>
        <v/>
      </c>
      <c r="S733" s="266" t="str">
        <f>IFERROR(__xludf.DUMMYFUNCTION("IF(ISBLANK(A733),"""",IFERROR(IF(OR(Q733=""GPB"",Q733=""ZAR""),IF(Q733=Dashboard!$L$1,M733,(M733*GOOGLEFINANCE(""CURRENCY:""&amp;Q733&amp;""""&amp;Dashboard!$L$1&amp;""""))/100),IF(Q733=Dashboard!$L$1,M733,M733*GOOGLEFINANCE(""CURRENCY:""&amp;Q733&amp;""""&amp;Dashboard!$L$1&amp;"""")))"&amp;",M733))"),"")</f>
        <v/>
      </c>
      <c r="T733" s="264" t="str">
        <f t="shared" si="4"/>
        <v/>
      </c>
      <c r="U733" s="264" t="str">
        <f t="shared" si="5"/>
        <v/>
      </c>
      <c r="V733" s="264" t="str">
        <f t="shared" si="6"/>
        <v/>
      </c>
      <c r="W733" s="267" t="str">
        <f t="shared" si="8"/>
        <v/>
      </c>
      <c r="X733" s="264" t="str">
        <f t="shared" si="7"/>
        <v/>
      </c>
    </row>
    <row r="734" ht="15.75" customHeight="1">
      <c r="A734" s="258"/>
      <c r="B734" s="258"/>
      <c r="C734" s="269"/>
      <c r="D734" s="258"/>
      <c r="E734" s="258"/>
      <c r="F734" s="258"/>
      <c r="G734" s="258"/>
      <c r="H734" s="271"/>
      <c r="I734" s="258"/>
      <c r="J734" s="272"/>
      <c r="K734" s="260"/>
      <c r="L734" s="261"/>
      <c r="M734" s="262" t="str">
        <f t="shared" si="1"/>
        <v/>
      </c>
      <c r="N734" s="263" t="str">
        <f t="shared" si="2"/>
        <v/>
      </c>
      <c r="O734" s="264" t="str">
        <f t="shared" si="3"/>
        <v/>
      </c>
      <c r="P734" s="265" t="str">
        <f>IFERROR(__xludf.DUMMYFUNCTION("IF(ISBLANK(A734),"""",IFERROR(IF(H734=""Sell"",VLOOKUP(9^99,FILTER({ROW(P$2:P733),P$2:P733},D$2:D733=D734),2),(VLOOKUP(9^99,FILTER({ROW(P$2:P733),P$2:P733},D$2:D733=D734),2)*VLOOKUP(9^99,FILTER({ROW(O$2:O733),O$2:O733},D$2:D733=D734),2)-N734)/O734),J734))"),"")</f>
        <v/>
      </c>
      <c r="Q734" s="264" t="str">
        <f>IFERROR(__xludf.DUMMYFUNCTION("IFERROR(IF(F734=""Crypto"",B734,(IF(ISBLANK(D734),"""",IF(D734=""Cash"",B734,IF(GOOGLEFINANCE(D734,""CURRENCY"")=""GBX"",""GBP"",GOOGLEFINANCE(D734,""CURRENCY"")))))),B734)"),"")</f>
        <v/>
      </c>
      <c r="R734" s="263" t="str">
        <f>IFERROR(__xludf.DUMMYFUNCTION("IF(ISBLANK(A734),"""",IFERROR(IF(OR(Q734=""GPB"",Q734=""ZAR""),IF(Q734=Dashboard!$L$1,K734,(K734*GOOGLEFINANCE(""CURRENCY:""&amp;Q734&amp;""""&amp;Dashboard!$L$1&amp;""""))/100),IF(Q734=Dashboard!$L$1,K734,K734*GOOGLEFINANCE(""CURRENCY:""&amp;Q734&amp;""""&amp;Dashboard!$L$1&amp;"""")))"&amp;",K734))"),"")</f>
        <v/>
      </c>
      <c r="S734" s="266" t="str">
        <f>IFERROR(__xludf.DUMMYFUNCTION("IF(ISBLANK(A734),"""",IFERROR(IF(OR(Q734=""GPB"",Q734=""ZAR""),IF(Q734=Dashboard!$L$1,M734,(M734*GOOGLEFINANCE(""CURRENCY:""&amp;Q734&amp;""""&amp;Dashboard!$L$1&amp;""""))/100),IF(Q734=Dashboard!$L$1,M734,M734*GOOGLEFINANCE(""CURRENCY:""&amp;Q734&amp;""""&amp;Dashboard!$L$1&amp;"""")))"&amp;",M734))"),"")</f>
        <v/>
      </c>
      <c r="T734" s="264" t="str">
        <f t="shared" si="4"/>
        <v/>
      </c>
      <c r="U734" s="264" t="str">
        <f t="shared" si="5"/>
        <v/>
      </c>
      <c r="V734" s="264" t="str">
        <f t="shared" si="6"/>
        <v/>
      </c>
      <c r="W734" s="267" t="str">
        <f t="shared" si="8"/>
        <v/>
      </c>
      <c r="X734" s="264" t="str">
        <f t="shared" si="7"/>
        <v/>
      </c>
    </row>
    <row r="735" ht="15.75" customHeight="1">
      <c r="A735" s="258"/>
      <c r="B735" s="258"/>
      <c r="C735" s="269"/>
      <c r="D735" s="258"/>
      <c r="E735" s="258"/>
      <c r="F735" s="258"/>
      <c r="G735" s="258"/>
      <c r="H735" s="271"/>
      <c r="I735" s="258"/>
      <c r="J735" s="272"/>
      <c r="K735" s="260"/>
      <c r="L735" s="261"/>
      <c r="M735" s="262" t="str">
        <f t="shared" si="1"/>
        <v/>
      </c>
      <c r="N735" s="263" t="str">
        <f t="shared" si="2"/>
        <v/>
      </c>
      <c r="O735" s="264" t="str">
        <f t="shared" si="3"/>
        <v/>
      </c>
      <c r="P735" s="265" t="str">
        <f>IFERROR(__xludf.DUMMYFUNCTION("IF(ISBLANK(A735),"""",IFERROR(IF(H735=""Sell"",VLOOKUP(9^99,FILTER({ROW(P$2:P734),P$2:P734},D$2:D734=D735),2),(VLOOKUP(9^99,FILTER({ROW(P$2:P734),P$2:P734},D$2:D734=D735),2)*VLOOKUP(9^99,FILTER({ROW(O$2:O734),O$2:O734},D$2:D734=D735),2)-N735)/O735),J735))"),"")</f>
        <v/>
      </c>
      <c r="Q735" s="264" t="str">
        <f>IFERROR(__xludf.DUMMYFUNCTION("IFERROR(IF(F735=""Crypto"",B735,(IF(ISBLANK(D735),"""",IF(D735=""Cash"",B735,IF(GOOGLEFINANCE(D735,""CURRENCY"")=""GBX"",""GBP"",GOOGLEFINANCE(D735,""CURRENCY"")))))),B735)"),"")</f>
        <v/>
      </c>
      <c r="R735" s="263" t="str">
        <f>IFERROR(__xludf.DUMMYFUNCTION("IF(ISBLANK(A735),"""",IFERROR(IF(OR(Q735=""GPB"",Q735=""ZAR""),IF(Q735=Dashboard!$L$1,K735,(K735*GOOGLEFINANCE(""CURRENCY:""&amp;Q735&amp;""""&amp;Dashboard!$L$1&amp;""""))/100),IF(Q735=Dashboard!$L$1,K735,K735*GOOGLEFINANCE(""CURRENCY:""&amp;Q735&amp;""""&amp;Dashboard!$L$1&amp;"""")))"&amp;",K735))"),"")</f>
        <v/>
      </c>
      <c r="S735" s="266" t="str">
        <f>IFERROR(__xludf.DUMMYFUNCTION("IF(ISBLANK(A735),"""",IFERROR(IF(OR(Q735=""GPB"",Q735=""ZAR""),IF(Q735=Dashboard!$L$1,M735,(M735*GOOGLEFINANCE(""CURRENCY:""&amp;Q735&amp;""""&amp;Dashboard!$L$1&amp;""""))/100),IF(Q735=Dashboard!$L$1,M735,M735*GOOGLEFINANCE(""CURRENCY:""&amp;Q735&amp;""""&amp;Dashboard!$L$1&amp;"""")))"&amp;",M735))"),"")</f>
        <v/>
      </c>
      <c r="T735" s="264" t="str">
        <f t="shared" si="4"/>
        <v/>
      </c>
      <c r="U735" s="264" t="str">
        <f t="shared" si="5"/>
        <v/>
      </c>
      <c r="V735" s="264" t="str">
        <f t="shared" si="6"/>
        <v/>
      </c>
      <c r="W735" s="267" t="str">
        <f t="shared" si="8"/>
        <v/>
      </c>
      <c r="X735" s="264" t="str">
        <f t="shared" si="7"/>
        <v/>
      </c>
    </row>
    <row r="736" ht="15.75" customHeight="1">
      <c r="A736" s="258"/>
      <c r="B736" s="258"/>
      <c r="C736" s="269"/>
      <c r="D736" s="258"/>
      <c r="E736" s="258"/>
      <c r="F736" s="258"/>
      <c r="G736" s="258"/>
      <c r="H736" s="271"/>
      <c r="I736" s="258"/>
      <c r="J736" s="272"/>
      <c r="K736" s="260"/>
      <c r="L736" s="261"/>
      <c r="M736" s="262" t="str">
        <f t="shared" si="1"/>
        <v/>
      </c>
      <c r="N736" s="263" t="str">
        <f t="shared" si="2"/>
        <v/>
      </c>
      <c r="O736" s="264" t="str">
        <f t="shared" si="3"/>
        <v/>
      </c>
      <c r="P736" s="265" t="str">
        <f>IFERROR(__xludf.DUMMYFUNCTION("IF(ISBLANK(A736),"""",IFERROR(IF(H736=""Sell"",VLOOKUP(9^99,FILTER({ROW(P$2:P735),P$2:P735},D$2:D735=D736),2),(VLOOKUP(9^99,FILTER({ROW(P$2:P735),P$2:P735},D$2:D735=D736),2)*VLOOKUP(9^99,FILTER({ROW(O$2:O735),O$2:O735},D$2:D735=D736),2)-N736)/O736),J736))"),"")</f>
        <v/>
      </c>
      <c r="Q736" s="264" t="str">
        <f>IFERROR(__xludf.DUMMYFUNCTION("IFERROR(IF(F736=""Crypto"",B736,(IF(ISBLANK(D736),"""",IF(D736=""Cash"",B736,IF(GOOGLEFINANCE(D736,""CURRENCY"")=""GBX"",""GBP"",GOOGLEFINANCE(D736,""CURRENCY"")))))),B736)"),"")</f>
        <v/>
      </c>
      <c r="R736" s="263" t="str">
        <f>IFERROR(__xludf.DUMMYFUNCTION("IF(ISBLANK(A736),"""",IFERROR(IF(OR(Q736=""GPB"",Q736=""ZAR""),IF(Q736=Dashboard!$L$1,K736,(K736*GOOGLEFINANCE(""CURRENCY:""&amp;Q736&amp;""""&amp;Dashboard!$L$1&amp;""""))/100),IF(Q736=Dashboard!$L$1,K736,K736*GOOGLEFINANCE(""CURRENCY:""&amp;Q736&amp;""""&amp;Dashboard!$L$1&amp;"""")))"&amp;",K736))"),"")</f>
        <v/>
      </c>
      <c r="S736" s="266" t="str">
        <f>IFERROR(__xludf.DUMMYFUNCTION("IF(ISBLANK(A736),"""",IFERROR(IF(OR(Q736=""GPB"",Q736=""ZAR""),IF(Q736=Dashboard!$L$1,M736,(M736*GOOGLEFINANCE(""CURRENCY:""&amp;Q736&amp;""""&amp;Dashboard!$L$1&amp;""""))/100),IF(Q736=Dashboard!$L$1,M736,M736*GOOGLEFINANCE(""CURRENCY:""&amp;Q736&amp;""""&amp;Dashboard!$L$1&amp;"""")))"&amp;",M736))"),"")</f>
        <v/>
      </c>
      <c r="T736" s="264" t="str">
        <f t="shared" si="4"/>
        <v/>
      </c>
      <c r="U736" s="264" t="str">
        <f t="shared" si="5"/>
        <v/>
      </c>
      <c r="V736" s="264" t="str">
        <f t="shared" si="6"/>
        <v/>
      </c>
      <c r="W736" s="267" t="str">
        <f t="shared" si="8"/>
        <v/>
      </c>
      <c r="X736" s="264" t="str">
        <f t="shared" si="7"/>
        <v/>
      </c>
    </row>
    <row r="737" ht="15.75" customHeight="1">
      <c r="A737" s="258"/>
      <c r="B737" s="258"/>
      <c r="C737" s="269"/>
      <c r="D737" s="258"/>
      <c r="E737" s="258"/>
      <c r="F737" s="258"/>
      <c r="G737" s="258"/>
      <c r="H737" s="271"/>
      <c r="I737" s="258"/>
      <c r="J737" s="272"/>
      <c r="K737" s="260"/>
      <c r="L737" s="261"/>
      <c r="M737" s="262" t="str">
        <f t="shared" si="1"/>
        <v/>
      </c>
      <c r="N737" s="263" t="str">
        <f t="shared" si="2"/>
        <v/>
      </c>
      <c r="O737" s="264" t="str">
        <f t="shared" si="3"/>
        <v/>
      </c>
      <c r="P737" s="265" t="str">
        <f>IFERROR(__xludf.DUMMYFUNCTION("IF(ISBLANK(A737),"""",IFERROR(IF(H737=""Sell"",VLOOKUP(9^99,FILTER({ROW(P$2:P736),P$2:P736},D$2:D736=D737),2),(VLOOKUP(9^99,FILTER({ROW(P$2:P736),P$2:P736},D$2:D736=D737),2)*VLOOKUP(9^99,FILTER({ROW(O$2:O736),O$2:O736},D$2:D736=D737),2)-N737)/O737),J737))"),"")</f>
        <v/>
      </c>
      <c r="Q737" s="264" t="str">
        <f>IFERROR(__xludf.DUMMYFUNCTION("IFERROR(IF(F737=""Crypto"",B737,(IF(ISBLANK(D737),"""",IF(D737=""Cash"",B737,IF(GOOGLEFINANCE(D737,""CURRENCY"")=""GBX"",""GBP"",GOOGLEFINANCE(D737,""CURRENCY"")))))),B737)"),"")</f>
        <v/>
      </c>
      <c r="R737" s="263" t="str">
        <f>IFERROR(__xludf.DUMMYFUNCTION("IF(ISBLANK(A737),"""",IFERROR(IF(OR(Q737=""GPB"",Q737=""ZAR""),IF(Q737=Dashboard!$L$1,K737,(K737*GOOGLEFINANCE(""CURRENCY:""&amp;Q737&amp;""""&amp;Dashboard!$L$1&amp;""""))/100),IF(Q737=Dashboard!$L$1,K737,K737*GOOGLEFINANCE(""CURRENCY:""&amp;Q737&amp;""""&amp;Dashboard!$L$1&amp;"""")))"&amp;",K737))"),"")</f>
        <v/>
      </c>
      <c r="S737" s="266" t="str">
        <f>IFERROR(__xludf.DUMMYFUNCTION("IF(ISBLANK(A737),"""",IFERROR(IF(OR(Q737=""GPB"",Q737=""ZAR""),IF(Q737=Dashboard!$L$1,M737,(M737*GOOGLEFINANCE(""CURRENCY:""&amp;Q737&amp;""""&amp;Dashboard!$L$1&amp;""""))/100),IF(Q737=Dashboard!$L$1,M737,M737*GOOGLEFINANCE(""CURRENCY:""&amp;Q737&amp;""""&amp;Dashboard!$L$1&amp;"""")))"&amp;",M737))"),"")</f>
        <v/>
      </c>
      <c r="T737" s="264" t="str">
        <f t="shared" si="4"/>
        <v/>
      </c>
      <c r="U737" s="264" t="str">
        <f t="shared" si="5"/>
        <v/>
      </c>
      <c r="V737" s="264" t="str">
        <f t="shared" si="6"/>
        <v/>
      </c>
      <c r="W737" s="267" t="str">
        <f t="shared" si="8"/>
        <v/>
      </c>
      <c r="X737" s="264" t="str">
        <f t="shared" si="7"/>
        <v/>
      </c>
    </row>
    <row r="738" ht="15.75" customHeight="1">
      <c r="A738" s="258"/>
      <c r="B738" s="258"/>
      <c r="C738" s="269"/>
      <c r="D738" s="258"/>
      <c r="E738" s="258"/>
      <c r="F738" s="258"/>
      <c r="G738" s="258"/>
      <c r="H738" s="271"/>
      <c r="I738" s="258"/>
      <c r="J738" s="272"/>
      <c r="K738" s="260"/>
      <c r="L738" s="261"/>
      <c r="M738" s="262" t="str">
        <f t="shared" si="1"/>
        <v/>
      </c>
      <c r="N738" s="263" t="str">
        <f t="shared" si="2"/>
        <v/>
      </c>
      <c r="O738" s="264" t="str">
        <f t="shared" si="3"/>
        <v/>
      </c>
      <c r="P738" s="265" t="str">
        <f>IFERROR(__xludf.DUMMYFUNCTION("IF(ISBLANK(A738),"""",IFERROR(IF(H738=""Sell"",VLOOKUP(9^99,FILTER({ROW(P$2:P737),P$2:P737},D$2:D737=D738),2),(VLOOKUP(9^99,FILTER({ROW(P$2:P737),P$2:P737},D$2:D737=D738),2)*VLOOKUP(9^99,FILTER({ROW(O$2:O737),O$2:O737},D$2:D737=D738),2)-N738)/O738),J738))"),"")</f>
        <v/>
      </c>
      <c r="Q738" s="264" t="str">
        <f>IFERROR(__xludf.DUMMYFUNCTION("IFERROR(IF(F738=""Crypto"",B738,(IF(ISBLANK(D738),"""",IF(D738=""Cash"",B738,IF(GOOGLEFINANCE(D738,""CURRENCY"")=""GBX"",""GBP"",GOOGLEFINANCE(D738,""CURRENCY"")))))),B738)"),"")</f>
        <v/>
      </c>
      <c r="R738" s="263" t="str">
        <f>IFERROR(__xludf.DUMMYFUNCTION("IF(ISBLANK(A738),"""",IFERROR(IF(OR(Q738=""GPB"",Q738=""ZAR""),IF(Q738=Dashboard!$L$1,K738,(K738*GOOGLEFINANCE(""CURRENCY:""&amp;Q738&amp;""""&amp;Dashboard!$L$1&amp;""""))/100),IF(Q738=Dashboard!$L$1,K738,K738*GOOGLEFINANCE(""CURRENCY:""&amp;Q738&amp;""""&amp;Dashboard!$L$1&amp;"""")))"&amp;",K738))"),"")</f>
        <v/>
      </c>
      <c r="S738" s="266" t="str">
        <f>IFERROR(__xludf.DUMMYFUNCTION("IF(ISBLANK(A738),"""",IFERROR(IF(OR(Q738=""GPB"",Q738=""ZAR""),IF(Q738=Dashboard!$L$1,M738,(M738*GOOGLEFINANCE(""CURRENCY:""&amp;Q738&amp;""""&amp;Dashboard!$L$1&amp;""""))/100),IF(Q738=Dashboard!$L$1,M738,M738*GOOGLEFINANCE(""CURRENCY:""&amp;Q738&amp;""""&amp;Dashboard!$L$1&amp;"""")))"&amp;",M738))"),"")</f>
        <v/>
      </c>
      <c r="T738" s="264" t="str">
        <f t="shared" si="4"/>
        <v/>
      </c>
      <c r="U738" s="264" t="str">
        <f t="shared" si="5"/>
        <v/>
      </c>
      <c r="V738" s="264" t="str">
        <f t="shared" si="6"/>
        <v/>
      </c>
      <c r="W738" s="267" t="str">
        <f t="shared" si="8"/>
        <v/>
      </c>
      <c r="X738" s="264" t="str">
        <f t="shared" si="7"/>
        <v/>
      </c>
    </row>
    <row r="739" ht="15.75" customHeight="1">
      <c r="A739" s="258"/>
      <c r="B739" s="258"/>
      <c r="C739" s="269"/>
      <c r="D739" s="258"/>
      <c r="E739" s="258"/>
      <c r="F739" s="258"/>
      <c r="G739" s="258"/>
      <c r="H739" s="271"/>
      <c r="I739" s="258"/>
      <c r="J739" s="272"/>
      <c r="K739" s="260"/>
      <c r="L739" s="261"/>
      <c r="M739" s="262" t="str">
        <f t="shared" si="1"/>
        <v/>
      </c>
      <c r="N739" s="263" t="str">
        <f t="shared" si="2"/>
        <v/>
      </c>
      <c r="O739" s="264" t="str">
        <f t="shared" si="3"/>
        <v/>
      </c>
      <c r="P739" s="265" t="str">
        <f>IFERROR(__xludf.DUMMYFUNCTION("IF(ISBLANK(A739),"""",IFERROR(IF(H739=""Sell"",VLOOKUP(9^99,FILTER({ROW(P$2:P738),P$2:P738},D$2:D738=D739),2),(VLOOKUP(9^99,FILTER({ROW(P$2:P738),P$2:P738},D$2:D738=D739),2)*VLOOKUP(9^99,FILTER({ROW(O$2:O738),O$2:O738},D$2:D738=D739),2)-N739)/O739),J739))"),"")</f>
        <v/>
      </c>
      <c r="Q739" s="264" t="str">
        <f>IFERROR(__xludf.DUMMYFUNCTION("IFERROR(IF(F739=""Crypto"",B739,(IF(ISBLANK(D739),"""",IF(D739=""Cash"",B739,IF(GOOGLEFINANCE(D739,""CURRENCY"")=""GBX"",""GBP"",GOOGLEFINANCE(D739,""CURRENCY"")))))),B739)"),"")</f>
        <v/>
      </c>
      <c r="R739" s="263" t="str">
        <f>IFERROR(__xludf.DUMMYFUNCTION("IF(ISBLANK(A739),"""",IFERROR(IF(OR(Q739=""GPB"",Q739=""ZAR""),IF(Q739=Dashboard!$L$1,K739,(K739*GOOGLEFINANCE(""CURRENCY:""&amp;Q739&amp;""""&amp;Dashboard!$L$1&amp;""""))/100),IF(Q739=Dashboard!$L$1,K739,K739*GOOGLEFINANCE(""CURRENCY:""&amp;Q739&amp;""""&amp;Dashboard!$L$1&amp;"""")))"&amp;",K739))"),"")</f>
        <v/>
      </c>
      <c r="S739" s="266" t="str">
        <f>IFERROR(__xludf.DUMMYFUNCTION("IF(ISBLANK(A739),"""",IFERROR(IF(OR(Q739=""GPB"",Q739=""ZAR""),IF(Q739=Dashboard!$L$1,M739,(M739*GOOGLEFINANCE(""CURRENCY:""&amp;Q739&amp;""""&amp;Dashboard!$L$1&amp;""""))/100),IF(Q739=Dashboard!$L$1,M739,M739*GOOGLEFINANCE(""CURRENCY:""&amp;Q739&amp;""""&amp;Dashboard!$L$1&amp;"""")))"&amp;",M739))"),"")</f>
        <v/>
      </c>
      <c r="T739" s="264" t="str">
        <f t="shared" si="4"/>
        <v/>
      </c>
      <c r="U739" s="264" t="str">
        <f t="shared" si="5"/>
        <v/>
      </c>
      <c r="V739" s="264" t="str">
        <f t="shared" si="6"/>
        <v/>
      </c>
      <c r="W739" s="267" t="str">
        <f t="shared" si="8"/>
        <v/>
      </c>
      <c r="X739" s="264" t="str">
        <f t="shared" si="7"/>
        <v/>
      </c>
    </row>
    <row r="740" ht="15.75" customHeight="1">
      <c r="A740" s="258"/>
      <c r="B740" s="258"/>
      <c r="C740" s="269"/>
      <c r="D740" s="258"/>
      <c r="E740" s="258"/>
      <c r="F740" s="258"/>
      <c r="G740" s="258"/>
      <c r="H740" s="271"/>
      <c r="I740" s="258"/>
      <c r="J740" s="272"/>
      <c r="K740" s="260"/>
      <c r="L740" s="261"/>
      <c r="M740" s="262" t="str">
        <f t="shared" si="1"/>
        <v/>
      </c>
      <c r="N740" s="263" t="str">
        <f t="shared" si="2"/>
        <v/>
      </c>
      <c r="O740" s="264" t="str">
        <f t="shared" si="3"/>
        <v/>
      </c>
      <c r="P740" s="265" t="str">
        <f>IFERROR(__xludf.DUMMYFUNCTION("IF(ISBLANK(A740),"""",IFERROR(IF(H740=""Sell"",VLOOKUP(9^99,FILTER({ROW(P$2:P739),P$2:P739},D$2:D739=D740),2),(VLOOKUP(9^99,FILTER({ROW(P$2:P739),P$2:P739},D$2:D739=D740),2)*VLOOKUP(9^99,FILTER({ROW(O$2:O739),O$2:O739},D$2:D739=D740),2)-N740)/O740),J740))"),"")</f>
        <v/>
      </c>
      <c r="Q740" s="264" t="str">
        <f>IFERROR(__xludf.DUMMYFUNCTION("IFERROR(IF(F740=""Crypto"",B740,(IF(ISBLANK(D740),"""",IF(D740=""Cash"",B740,IF(GOOGLEFINANCE(D740,""CURRENCY"")=""GBX"",""GBP"",GOOGLEFINANCE(D740,""CURRENCY"")))))),B740)"),"")</f>
        <v/>
      </c>
      <c r="R740" s="263" t="str">
        <f>IFERROR(__xludf.DUMMYFUNCTION("IF(ISBLANK(A740),"""",IFERROR(IF(OR(Q740=""GPB"",Q740=""ZAR""),IF(Q740=Dashboard!$L$1,K740,(K740*GOOGLEFINANCE(""CURRENCY:""&amp;Q740&amp;""""&amp;Dashboard!$L$1&amp;""""))/100),IF(Q740=Dashboard!$L$1,K740,K740*GOOGLEFINANCE(""CURRENCY:""&amp;Q740&amp;""""&amp;Dashboard!$L$1&amp;"""")))"&amp;",K740))"),"")</f>
        <v/>
      </c>
      <c r="S740" s="266" t="str">
        <f>IFERROR(__xludf.DUMMYFUNCTION("IF(ISBLANK(A740),"""",IFERROR(IF(OR(Q740=""GPB"",Q740=""ZAR""),IF(Q740=Dashboard!$L$1,M740,(M740*GOOGLEFINANCE(""CURRENCY:""&amp;Q740&amp;""""&amp;Dashboard!$L$1&amp;""""))/100),IF(Q740=Dashboard!$L$1,M740,M740*GOOGLEFINANCE(""CURRENCY:""&amp;Q740&amp;""""&amp;Dashboard!$L$1&amp;"""")))"&amp;",M740))"),"")</f>
        <v/>
      </c>
      <c r="T740" s="264" t="str">
        <f t="shared" si="4"/>
        <v/>
      </c>
      <c r="U740" s="264" t="str">
        <f t="shared" si="5"/>
        <v/>
      </c>
      <c r="V740" s="264" t="str">
        <f t="shared" si="6"/>
        <v/>
      </c>
      <c r="W740" s="267" t="str">
        <f t="shared" si="8"/>
        <v/>
      </c>
      <c r="X740" s="264" t="str">
        <f t="shared" si="7"/>
        <v/>
      </c>
    </row>
    <row r="741" ht="15.75" customHeight="1">
      <c r="A741" s="258"/>
      <c r="B741" s="258"/>
      <c r="C741" s="269"/>
      <c r="D741" s="258"/>
      <c r="E741" s="258"/>
      <c r="F741" s="258"/>
      <c r="G741" s="258"/>
      <c r="H741" s="271"/>
      <c r="I741" s="258"/>
      <c r="J741" s="272"/>
      <c r="K741" s="260"/>
      <c r="L741" s="261"/>
      <c r="M741" s="262" t="str">
        <f t="shared" si="1"/>
        <v/>
      </c>
      <c r="N741" s="263" t="str">
        <f t="shared" si="2"/>
        <v/>
      </c>
      <c r="O741" s="264" t="str">
        <f t="shared" si="3"/>
        <v/>
      </c>
      <c r="P741" s="265" t="str">
        <f>IFERROR(__xludf.DUMMYFUNCTION("IF(ISBLANK(A741),"""",IFERROR(IF(H741=""Sell"",VLOOKUP(9^99,FILTER({ROW(P$2:P740),P$2:P740},D$2:D740=D741),2),(VLOOKUP(9^99,FILTER({ROW(P$2:P740),P$2:P740},D$2:D740=D741),2)*VLOOKUP(9^99,FILTER({ROW(O$2:O740),O$2:O740},D$2:D740=D741),2)-N741)/O741),J741))"),"")</f>
        <v/>
      </c>
      <c r="Q741" s="264" t="str">
        <f>IFERROR(__xludf.DUMMYFUNCTION("IFERROR(IF(F741=""Crypto"",B741,(IF(ISBLANK(D741),"""",IF(D741=""Cash"",B741,IF(GOOGLEFINANCE(D741,""CURRENCY"")=""GBX"",""GBP"",GOOGLEFINANCE(D741,""CURRENCY"")))))),B741)"),"")</f>
        <v/>
      </c>
      <c r="R741" s="263" t="str">
        <f>IFERROR(__xludf.DUMMYFUNCTION("IF(ISBLANK(A741),"""",IFERROR(IF(OR(Q741=""GPB"",Q741=""ZAR""),IF(Q741=Dashboard!$L$1,K741,(K741*GOOGLEFINANCE(""CURRENCY:""&amp;Q741&amp;""""&amp;Dashboard!$L$1&amp;""""))/100),IF(Q741=Dashboard!$L$1,K741,K741*GOOGLEFINANCE(""CURRENCY:""&amp;Q741&amp;""""&amp;Dashboard!$L$1&amp;"""")))"&amp;",K741))"),"")</f>
        <v/>
      </c>
      <c r="S741" s="266" t="str">
        <f>IFERROR(__xludf.DUMMYFUNCTION("IF(ISBLANK(A741),"""",IFERROR(IF(OR(Q741=""GPB"",Q741=""ZAR""),IF(Q741=Dashboard!$L$1,M741,(M741*GOOGLEFINANCE(""CURRENCY:""&amp;Q741&amp;""""&amp;Dashboard!$L$1&amp;""""))/100),IF(Q741=Dashboard!$L$1,M741,M741*GOOGLEFINANCE(""CURRENCY:""&amp;Q741&amp;""""&amp;Dashboard!$L$1&amp;"""")))"&amp;",M741))"),"")</f>
        <v/>
      </c>
      <c r="T741" s="264" t="str">
        <f t="shared" si="4"/>
        <v/>
      </c>
      <c r="U741" s="264" t="str">
        <f t="shared" si="5"/>
        <v/>
      </c>
      <c r="V741" s="264" t="str">
        <f t="shared" si="6"/>
        <v/>
      </c>
      <c r="W741" s="267" t="str">
        <f t="shared" si="8"/>
        <v/>
      </c>
      <c r="X741" s="264" t="str">
        <f t="shared" si="7"/>
        <v/>
      </c>
    </row>
    <row r="742" ht="15.75" customHeight="1">
      <c r="A742" s="258"/>
      <c r="B742" s="258"/>
      <c r="C742" s="269"/>
      <c r="D742" s="258"/>
      <c r="E742" s="258"/>
      <c r="F742" s="258"/>
      <c r="G742" s="258"/>
      <c r="H742" s="271"/>
      <c r="I742" s="258"/>
      <c r="J742" s="272"/>
      <c r="K742" s="260"/>
      <c r="L742" s="261"/>
      <c r="M742" s="262" t="str">
        <f t="shared" si="1"/>
        <v/>
      </c>
      <c r="N742" s="263" t="str">
        <f t="shared" si="2"/>
        <v/>
      </c>
      <c r="O742" s="264" t="str">
        <f t="shared" si="3"/>
        <v/>
      </c>
      <c r="P742" s="265" t="str">
        <f>IFERROR(__xludf.DUMMYFUNCTION("IF(ISBLANK(A742),"""",IFERROR(IF(H742=""Sell"",VLOOKUP(9^99,FILTER({ROW(P$2:P741),P$2:P741},D$2:D741=D742),2),(VLOOKUP(9^99,FILTER({ROW(P$2:P741),P$2:P741},D$2:D741=D742),2)*VLOOKUP(9^99,FILTER({ROW(O$2:O741),O$2:O741},D$2:D741=D742),2)-N742)/O742),J742))"),"")</f>
        <v/>
      </c>
      <c r="Q742" s="264" t="str">
        <f>IFERROR(__xludf.DUMMYFUNCTION("IFERROR(IF(F742=""Crypto"",B742,(IF(ISBLANK(D742),"""",IF(D742=""Cash"",B742,IF(GOOGLEFINANCE(D742,""CURRENCY"")=""GBX"",""GBP"",GOOGLEFINANCE(D742,""CURRENCY"")))))),B742)"),"")</f>
        <v/>
      </c>
      <c r="R742" s="263" t="str">
        <f>IFERROR(__xludf.DUMMYFUNCTION("IF(ISBLANK(A742),"""",IFERROR(IF(OR(Q742=""GPB"",Q742=""ZAR""),IF(Q742=Dashboard!$L$1,K742,(K742*GOOGLEFINANCE(""CURRENCY:""&amp;Q742&amp;""""&amp;Dashboard!$L$1&amp;""""))/100),IF(Q742=Dashboard!$L$1,K742,K742*GOOGLEFINANCE(""CURRENCY:""&amp;Q742&amp;""""&amp;Dashboard!$L$1&amp;"""")))"&amp;",K742))"),"")</f>
        <v/>
      </c>
      <c r="S742" s="266" t="str">
        <f>IFERROR(__xludf.DUMMYFUNCTION("IF(ISBLANK(A742),"""",IFERROR(IF(OR(Q742=""GPB"",Q742=""ZAR""),IF(Q742=Dashboard!$L$1,M742,(M742*GOOGLEFINANCE(""CURRENCY:""&amp;Q742&amp;""""&amp;Dashboard!$L$1&amp;""""))/100),IF(Q742=Dashboard!$L$1,M742,M742*GOOGLEFINANCE(""CURRENCY:""&amp;Q742&amp;""""&amp;Dashboard!$L$1&amp;"""")))"&amp;",M742))"),"")</f>
        <v/>
      </c>
      <c r="T742" s="264" t="str">
        <f t="shared" si="4"/>
        <v/>
      </c>
      <c r="U742" s="264" t="str">
        <f t="shared" si="5"/>
        <v/>
      </c>
      <c r="V742" s="264" t="str">
        <f t="shared" si="6"/>
        <v/>
      </c>
      <c r="W742" s="267" t="str">
        <f t="shared" si="8"/>
        <v/>
      </c>
      <c r="X742" s="264" t="str">
        <f t="shared" si="7"/>
        <v/>
      </c>
    </row>
    <row r="743" ht="15.75" customHeight="1">
      <c r="A743" s="258"/>
      <c r="B743" s="258"/>
      <c r="C743" s="269"/>
      <c r="D743" s="258"/>
      <c r="E743" s="258"/>
      <c r="F743" s="258"/>
      <c r="G743" s="258"/>
      <c r="H743" s="271"/>
      <c r="I743" s="258"/>
      <c r="J743" s="272"/>
      <c r="K743" s="260"/>
      <c r="L743" s="261"/>
      <c r="M743" s="262" t="str">
        <f t="shared" si="1"/>
        <v/>
      </c>
      <c r="N743" s="263" t="str">
        <f t="shared" si="2"/>
        <v/>
      </c>
      <c r="O743" s="264" t="str">
        <f t="shared" si="3"/>
        <v/>
      </c>
      <c r="P743" s="265" t="str">
        <f>IFERROR(__xludf.DUMMYFUNCTION("IF(ISBLANK(A743),"""",IFERROR(IF(H743=""Sell"",VLOOKUP(9^99,FILTER({ROW(P$2:P742),P$2:P742},D$2:D742=D743),2),(VLOOKUP(9^99,FILTER({ROW(P$2:P742),P$2:P742},D$2:D742=D743),2)*VLOOKUP(9^99,FILTER({ROW(O$2:O742),O$2:O742},D$2:D742=D743),2)-N743)/O743),J743))"),"")</f>
        <v/>
      </c>
      <c r="Q743" s="264" t="str">
        <f>IFERROR(__xludf.DUMMYFUNCTION("IFERROR(IF(F743=""Crypto"",B743,(IF(ISBLANK(D743),"""",IF(D743=""Cash"",B743,IF(GOOGLEFINANCE(D743,""CURRENCY"")=""GBX"",""GBP"",GOOGLEFINANCE(D743,""CURRENCY"")))))),B743)"),"")</f>
        <v/>
      </c>
      <c r="R743" s="263" t="str">
        <f>IFERROR(__xludf.DUMMYFUNCTION("IF(ISBLANK(A743),"""",IFERROR(IF(OR(Q743=""GPB"",Q743=""ZAR""),IF(Q743=Dashboard!$L$1,K743,(K743*GOOGLEFINANCE(""CURRENCY:""&amp;Q743&amp;""""&amp;Dashboard!$L$1&amp;""""))/100),IF(Q743=Dashboard!$L$1,K743,K743*GOOGLEFINANCE(""CURRENCY:""&amp;Q743&amp;""""&amp;Dashboard!$L$1&amp;"""")))"&amp;",K743))"),"")</f>
        <v/>
      </c>
      <c r="S743" s="266" t="str">
        <f>IFERROR(__xludf.DUMMYFUNCTION("IF(ISBLANK(A743),"""",IFERROR(IF(OR(Q743=""GPB"",Q743=""ZAR""),IF(Q743=Dashboard!$L$1,M743,(M743*GOOGLEFINANCE(""CURRENCY:""&amp;Q743&amp;""""&amp;Dashboard!$L$1&amp;""""))/100),IF(Q743=Dashboard!$L$1,M743,M743*GOOGLEFINANCE(""CURRENCY:""&amp;Q743&amp;""""&amp;Dashboard!$L$1&amp;"""")))"&amp;",M743))"),"")</f>
        <v/>
      </c>
      <c r="T743" s="264" t="str">
        <f t="shared" si="4"/>
        <v/>
      </c>
      <c r="U743" s="264" t="str">
        <f t="shared" si="5"/>
        <v/>
      </c>
      <c r="V743" s="264" t="str">
        <f t="shared" si="6"/>
        <v/>
      </c>
      <c r="W743" s="267" t="str">
        <f t="shared" si="8"/>
        <v/>
      </c>
      <c r="X743" s="264" t="str">
        <f t="shared" si="7"/>
        <v/>
      </c>
    </row>
    <row r="744" ht="15.75" customHeight="1">
      <c r="A744" s="258"/>
      <c r="B744" s="258"/>
      <c r="C744" s="269"/>
      <c r="D744" s="258"/>
      <c r="E744" s="258"/>
      <c r="F744" s="258"/>
      <c r="G744" s="258"/>
      <c r="H744" s="271"/>
      <c r="I744" s="258"/>
      <c r="J744" s="272"/>
      <c r="K744" s="260"/>
      <c r="L744" s="261"/>
      <c r="M744" s="262" t="str">
        <f t="shared" si="1"/>
        <v/>
      </c>
      <c r="N744" s="263" t="str">
        <f t="shared" si="2"/>
        <v/>
      </c>
      <c r="O744" s="264" t="str">
        <f t="shared" si="3"/>
        <v/>
      </c>
      <c r="P744" s="265" t="str">
        <f>IFERROR(__xludf.DUMMYFUNCTION("IF(ISBLANK(A744),"""",IFERROR(IF(H744=""Sell"",VLOOKUP(9^99,FILTER({ROW(P$2:P743),P$2:P743},D$2:D743=D744),2),(VLOOKUP(9^99,FILTER({ROW(P$2:P743),P$2:P743},D$2:D743=D744),2)*VLOOKUP(9^99,FILTER({ROW(O$2:O743),O$2:O743},D$2:D743=D744),2)-N744)/O744),J744))"),"")</f>
        <v/>
      </c>
      <c r="Q744" s="264" t="str">
        <f>IFERROR(__xludf.DUMMYFUNCTION("IFERROR(IF(F744=""Crypto"",B744,(IF(ISBLANK(D744),"""",IF(D744=""Cash"",B744,IF(GOOGLEFINANCE(D744,""CURRENCY"")=""GBX"",""GBP"",GOOGLEFINANCE(D744,""CURRENCY"")))))),B744)"),"")</f>
        <v/>
      </c>
      <c r="R744" s="263" t="str">
        <f>IFERROR(__xludf.DUMMYFUNCTION("IF(ISBLANK(A744),"""",IFERROR(IF(OR(Q744=""GPB"",Q744=""ZAR""),IF(Q744=Dashboard!$L$1,K744,(K744*GOOGLEFINANCE(""CURRENCY:""&amp;Q744&amp;""""&amp;Dashboard!$L$1&amp;""""))/100),IF(Q744=Dashboard!$L$1,K744,K744*GOOGLEFINANCE(""CURRENCY:""&amp;Q744&amp;""""&amp;Dashboard!$L$1&amp;"""")))"&amp;",K744))"),"")</f>
        <v/>
      </c>
      <c r="S744" s="266" t="str">
        <f>IFERROR(__xludf.DUMMYFUNCTION("IF(ISBLANK(A744),"""",IFERROR(IF(OR(Q744=""GPB"",Q744=""ZAR""),IF(Q744=Dashboard!$L$1,M744,(M744*GOOGLEFINANCE(""CURRENCY:""&amp;Q744&amp;""""&amp;Dashboard!$L$1&amp;""""))/100),IF(Q744=Dashboard!$L$1,M744,M744*GOOGLEFINANCE(""CURRENCY:""&amp;Q744&amp;""""&amp;Dashboard!$L$1&amp;"""")))"&amp;",M744))"),"")</f>
        <v/>
      </c>
      <c r="T744" s="264" t="str">
        <f t="shared" si="4"/>
        <v/>
      </c>
      <c r="U744" s="264" t="str">
        <f t="shared" si="5"/>
        <v/>
      </c>
      <c r="V744" s="264" t="str">
        <f t="shared" si="6"/>
        <v/>
      </c>
      <c r="W744" s="267" t="str">
        <f t="shared" si="8"/>
        <v/>
      </c>
      <c r="X744" s="264" t="str">
        <f t="shared" si="7"/>
        <v/>
      </c>
    </row>
    <row r="745" ht="15.75" customHeight="1">
      <c r="A745" s="258"/>
      <c r="B745" s="258"/>
      <c r="C745" s="269"/>
      <c r="D745" s="258"/>
      <c r="E745" s="258"/>
      <c r="F745" s="258"/>
      <c r="G745" s="258"/>
      <c r="H745" s="271"/>
      <c r="I745" s="258"/>
      <c r="J745" s="272"/>
      <c r="K745" s="260"/>
      <c r="L745" s="261"/>
      <c r="M745" s="262" t="str">
        <f t="shared" si="1"/>
        <v/>
      </c>
      <c r="N745" s="263" t="str">
        <f t="shared" si="2"/>
        <v/>
      </c>
      <c r="O745" s="264" t="str">
        <f t="shared" si="3"/>
        <v/>
      </c>
      <c r="P745" s="265" t="str">
        <f>IFERROR(__xludf.DUMMYFUNCTION("IF(ISBLANK(A745),"""",IFERROR(IF(H745=""Sell"",VLOOKUP(9^99,FILTER({ROW(P$2:P744),P$2:P744},D$2:D744=D745),2),(VLOOKUP(9^99,FILTER({ROW(P$2:P744),P$2:P744},D$2:D744=D745),2)*VLOOKUP(9^99,FILTER({ROW(O$2:O744),O$2:O744},D$2:D744=D745),2)-N745)/O745),J745))"),"")</f>
        <v/>
      </c>
      <c r="Q745" s="264" t="str">
        <f>IFERROR(__xludf.DUMMYFUNCTION("IFERROR(IF(F745=""Crypto"",B745,(IF(ISBLANK(D745),"""",IF(D745=""Cash"",B745,IF(GOOGLEFINANCE(D745,""CURRENCY"")=""GBX"",""GBP"",GOOGLEFINANCE(D745,""CURRENCY"")))))),B745)"),"")</f>
        <v/>
      </c>
      <c r="R745" s="263" t="str">
        <f>IFERROR(__xludf.DUMMYFUNCTION("IF(ISBLANK(A745),"""",IFERROR(IF(OR(Q745=""GPB"",Q745=""ZAR""),IF(Q745=Dashboard!$L$1,K745,(K745*GOOGLEFINANCE(""CURRENCY:""&amp;Q745&amp;""""&amp;Dashboard!$L$1&amp;""""))/100),IF(Q745=Dashboard!$L$1,K745,K745*GOOGLEFINANCE(""CURRENCY:""&amp;Q745&amp;""""&amp;Dashboard!$L$1&amp;"""")))"&amp;",K745))"),"")</f>
        <v/>
      </c>
      <c r="S745" s="266" t="str">
        <f>IFERROR(__xludf.DUMMYFUNCTION("IF(ISBLANK(A745),"""",IFERROR(IF(OR(Q745=""GPB"",Q745=""ZAR""),IF(Q745=Dashboard!$L$1,M745,(M745*GOOGLEFINANCE(""CURRENCY:""&amp;Q745&amp;""""&amp;Dashboard!$L$1&amp;""""))/100),IF(Q745=Dashboard!$L$1,M745,M745*GOOGLEFINANCE(""CURRENCY:""&amp;Q745&amp;""""&amp;Dashboard!$L$1&amp;"""")))"&amp;",M745))"),"")</f>
        <v/>
      </c>
      <c r="T745" s="264" t="str">
        <f t="shared" si="4"/>
        <v/>
      </c>
      <c r="U745" s="264" t="str">
        <f t="shared" si="5"/>
        <v/>
      </c>
      <c r="V745" s="264" t="str">
        <f t="shared" si="6"/>
        <v/>
      </c>
      <c r="W745" s="267" t="str">
        <f t="shared" si="8"/>
        <v/>
      </c>
      <c r="X745" s="264" t="str">
        <f t="shared" si="7"/>
        <v/>
      </c>
    </row>
    <row r="746" ht="15.75" customHeight="1">
      <c r="A746" s="258"/>
      <c r="B746" s="258"/>
      <c r="C746" s="269"/>
      <c r="D746" s="258"/>
      <c r="E746" s="258"/>
      <c r="F746" s="258"/>
      <c r="G746" s="258"/>
      <c r="H746" s="271"/>
      <c r="I746" s="258"/>
      <c r="J746" s="272"/>
      <c r="K746" s="260"/>
      <c r="L746" s="261"/>
      <c r="M746" s="262" t="str">
        <f t="shared" si="1"/>
        <v/>
      </c>
      <c r="N746" s="263" t="str">
        <f t="shared" si="2"/>
        <v/>
      </c>
      <c r="O746" s="264" t="str">
        <f t="shared" si="3"/>
        <v/>
      </c>
      <c r="P746" s="265" t="str">
        <f>IFERROR(__xludf.DUMMYFUNCTION("IF(ISBLANK(A746),"""",IFERROR(IF(H746=""Sell"",VLOOKUP(9^99,FILTER({ROW(P$2:P745),P$2:P745},D$2:D745=D746),2),(VLOOKUP(9^99,FILTER({ROW(P$2:P745),P$2:P745},D$2:D745=D746),2)*VLOOKUP(9^99,FILTER({ROW(O$2:O745),O$2:O745},D$2:D745=D746),2)-N746)/O746),J746))"),"")</f>
        <v/>
      </c>
      <c r="Q746" s="264" t="str">
        <f>IFERROR(__xludf.DUMMYFUNCTION("IFERROR(IF(F746=""Crypto"",B746,(IF(ISBLANK(D746),"""",IF(D746=""Cash"",B746,IF(GOOGLEFINANCE(D746,""CURRENCY"")=""GBX"",""GBP"",GOOGLEFINANCE(D746,""CURRENCY"")))))),B746)"),"")</f>
        <v/>
      </c>
      <c r="R746" s="263" t="str">
        <f>IFERROR(__xludf.DUMMYFUNCTION("IF(ISBLANK(A746),"""",IFERROR(IF(OR(Q746=""GPB"",Q746=""ZAR""),IF(Q746=Dashboard!$L$1,K746,(K746*GOOGLEFINANCE(""CURRENCY:""&amp;Q746&amp;""""&amp;Dashboard!$L$1&amp;""""))/100),IF(Q746=Dashboard!$L$1,K746,K746*GOOGLEFINANCE(""CURRENCY:""&amp;Q746&amp;""""&amp;Dashboard!$L$1&amp;"""")))"&amp;",K746))"),"")</f>
        <v/>
      </c>
      <c r="S746" s="266" t="str">
        <f>IFERROR(__xludf.DUMMYFUNCTION("IF(ISBLANK(A746),"""",IFERROR(IF(OR(Q746=""GPB"",Q746=""ZAR""),IF(Q746=Dashboard!$L$1,M746,(M746*GOOGLEFINANCE(""CURRENCY:""&amp;Q746&amp;""""&amp;Dashboard!$L$1&amp;""""))/100),IF(Q746=Dashboard!$L$1,M746,M746*GOOGLEFINANCE(""CURRENCY:""&amp;Q746&amp;""""&amp;Dashboard!$L$1&amp;"""")))"&amp;",M746))"),"")</f>
        <v/>
      </c>
      <c r="T746" s="264" t="str">
        <f t="shared" si="4"/>
        <v/>
      </c>
      <c r="U746" s="264" t="str">
        <f t="shared" si="5"/>
        <v/>
      </c>
      <c r="V746" s="264" t="str">
        <f t="shared" si="6"/>
        <v/>
      </c>
      <c r="W746" s="267" t="str">
        <f t="shared" si="8"/>
        <v/>
      </c>
      <c r="X746" s="264" t="str">
        <f t="shared" si="7"/>
        <v/>
      </c>
    </row>
    <row r="747" ht="15.75" customHeight="1">
      <c r="A747" s="258"/>
      <c r="B747" s="258"/>
      <c r="C747" s="269"/>
      <c r="D747" s="258"/>
      <c r="E747" s="258"/>
      <c r="F747" s="258"/>
      <c r="G747" s="258"/>
      <c r="H747" s="271"/>
      <c r="I747" s="258"/>
      <c r="J747" s="272"/>
      <c r="K747" s="260"/>
      <c r="L747" s="261"/>
      <c r="M747" s="262" t="str">
        <f t="shared" si="1"/>
        <v/>
      </c>
      <c r="N747" s="263" t="str">
        <f t="shared" si="2"/>
        <v/>
      </c>
      <c r="O747" s="264" t="str">
        <f t="shared" si="3"/>
        <v/>
      </c>
      <c r="P747" s="265" t="str">
        <f>IFERROR(__xludf.DUMMYFUNCTION("IF(ISBLANK(A747),"""",IFERROR(IF(H747=""Sell"",VLOOKUP(9^99,FILTER({ROW(P$2:P746),P$2:P746},D$2:D746=D747),2),(VLOOKUP(9^99,FILTER({ROW(P$2:P746),P$2:P746},D$2:D746=D747),2)*VLOOKUP(9^99,FILTER({ROW(O$2:O746),O$2:O746},D$2:D746=D747),2)-N747)/O747),J747))"),"")</f>
        <v/>
      </c>
      <c r="Q747" s="264" t="str">
        <f>IFERROR(__xludf.DUMMYFUNCTION("IFERROR(IF(F747=""Crypto"",B747,(IF(ISBLANK(D747),"""",IF(D747=""Cash"",B747,IF(GOOGLEFINANCE(D747,""CURRENCY"")=""GBX"",""GBP"",GOOGLEFINANCE(D747,""CURRENCY"")))))),B747)"),"")</f>
        <v/>
      </c>
      <c r="R747" s="263" t="str">
        <f>IFERROR(__xludf.DUMMYFUNCTION("IF(ISBLANK(A747),"""",IFERROR(IF(OR(Q747=""GPB"",Q747=""ZAR""),IF(Q747=Dashboard!$L$1,K747,(K747*GOOGLEFINANCE(""CURRENCY:""&amp;Q747&amp;""""&amp;Dashboard!$L$1&amp;""""))/100),IF(Q747=Dashboard!$L$1,K747,K747*GOOGLEFINANCE(""CURRENCY:""&amp;Q747&amp;""""&amp;Dashboard!$L$1&amp;"""")))"&amp;",K747))"),"")</f>
        <v/>
      </c>
      <c r="S747" s="266" t="str">
        <f>IFERROR(__xludf.DUMMYFUNCTION("IF(ISBLANK(A747),"""",IFERROR(IF(OR(Q747=""GPB"",Q747=""ZAR""),IF(Q747=Dashboard!$L$1,M747,(M747*GOOGLEFINANCE(""CURRENCY:""&amp;Q747&amp;""""&amp;Dashboard!$L$1&amp;""""))/100),IF(Q747=Dashboard!$L$1,M747,M747*GOOGLEFINANCE(""CURRENCY:""&amp;Q747&amp;""""&amp;Dashboard!$L$1&amp;"""")))"&amp;",M747))"),"")</f>
        <v/>
      </c>
      <c r="T747" s="264" t="str">
        <f t="shared" si="4"/>
        <v/>
      </c>
      <c r="U747" s="264" t="str">
        <f t="shared" si="5"/>
        <v/>
      </c>
      <c r="V747" s="264" t="str">
        <f t="shared" si="6"/>
        <v/>
      </c>
      <c r="W747" s="267" t="str">
        <f t="shared" si="8"/>
        <v/>
      </c>
      <c r="X747" s="264" t="str">
        <f t="shared" si="7"/>
        <v/>
      </c>
    </row>
    <row r="748" ht="15.75" customHeight="1">
      <c r="A748" s="258"/>
      <c r="B748" s="258"/>
      <c r="C748" s="269"/>
      <c r="D748" s="258"/>
      <c r="E748" s="258"/>
      <c r="F748" s="258"/>
      <c r="G748" s="258"/>
      <c r="H748" s="271"/>
      <c r="I748" s="258"/>
      <c r="J748" s="272"/>
      <c r="K748" s="260"/>
      <c r="L748" s="261"/>
      <c r="M748" s="262" t="str">
        <f t="shared" si="1"/>
        <v/>
      </c>
      <c r="N748" s="263" t="str">
        <f t="shared" si="2"/>
        <v/>
      </c>
      <c r="O748" s="264" t="str">
        <f t="shared" si="3"/>
        <v/>
      </c>
      <c r="P748" s="265" t="str">
        <f>IFERROR(__xludf.DUMMYFUNCTION("IF(ISBLANK(A748),"""",IFERROR(IF(H748=""Sell"",VLOOKUP(9^99,FILTER({ROW(P$2:P747),P$2:P747},D$2:D747=D748),2),(VLOOKUP(9^99,FILTER({ROW(P$2:P747),P$2:P747},D$2:D747=D748),2)*VLOOKUP(9^99,FILTER({ROW(O$2:O747),O$2:O747},D$2:D747=D748),2)-N748)/O748),J748))"),"")</f>
        <v/>
      </c>
      <c r="Q748" s="264" t="str">
        <f>IFERROR(__xludf.DUMMYFUNCTION("IFERROR(IF(F748=""Crypto"",B748,(IF(ISBLANK(D748),"""",IF(D748=""Cash"",B748,IF(GOOGLEFINANCE(D748,""CURRENCY"")=""GBX"",""GBP"",GOOGLEFINANCE(D748,""CURRENCY"")))))),B748)"),"")</f>
        <v/>
      </c>
      <c r="R748" s="263" t="str">
        <f>IFERROR(__xludf.DUMMYFUNCTION("IF(ISBLANK(A748),"""",IFERROR(IF(OR(Q748=""GPB"",Q748=""ZAR""),IF(Q748=Dashboard!$L$1,K748,(K748*GOOGLEFINANCE(""CURRENCY:""&amp;Q748&amp;""""&amp;Dashboard!$L$1&amp;""""))/100),IF(Q748=Dashboard!$L$1,K748,K748*GOOGLEFINANCE(""CURRENCY:""&amp;Q748&amp;""""&amp;Dashboard!$L$1&amp;"""")))"&amp;",K748))"),"")</f>
        <v/>
      </c>
      <c r="S748" s="266" t="str">
        <f>IFERROR(__xludf.DUMMYFUNCTION("IF(ISBLANK(A748),"""",IFERROR(IF(OR(Q748=""GPB"",Q748=""ZAR""),IF(Q748=Dashboard!$L$1,M748,(M748*GOOGLEFINANCE(""CURRENCY:""&amp;Q748&amp;""""&amp;Dashboard!$L$1&amp;""""))/100),IF(Q748=Dashboard!$L$1,M748,M748*GOOGLEFINANCE(""CURRENCY:""&amp;Q748&amp;""""&amp;Dashboard!$L$1&amp;"""")))"&amp;",M748))"),"")</f>
        <v/>
      </c>
      <c r="T748" s="264" t="str">
        <f t="shared" si="4"/>
        <v/>
      </c>
      <c r="U748" s="264" t="str">
        <f t="shared" si="5"/>
        <v/>
      </c>
      <c r="V748" s="264" t="str">
        <f t="shared" si="6"/>
        <v/>
      </c>
      <c r="W748" s="267" t="str">
        <f t="shared" si="8"/>
        <v/>
      </c>
      <c r="X748" s="264" t="str">
        <f t="shared" si="7"/>
        <v/>
      </c>
    </row>
    <row r="749" ht="15.75" customHeight="1">
      <c r="A749" s="258"/>
      <c r="B749" s="258"/>
      <c r="C749" s="269"/>
      <c r="D749" s="258"/>
      <c r="E749" s="258"/>
      <c r="F749" s="258"/>
      <c r="G749" s="258"/>
      <c r="H749" s="271"/>
      <c r="I749" s="258"/>
      <c r="J749" s="272"/>
      <c r="K749" s="260"/>
      <c r="L749" s="261"/>
      <c r="M749" s="262" t="str">
        <f t="shared" si="1"/>
        <v/>
      </c>
      <c r="N749" s="263" t="str">
        <f t="shared" si="2"/>
        <v/>
      </c>
      <c r="O749" s="264" t="str">
        <f t="shared" si="3"/>
        <v/>
      </c>
      <c r="P749" s="265" t="str">
        <f>IFERROR(__xludf.DUMMYFUNCTION("IF(ISBLANK(A749),"""",IFERROR(IF(H749=""Sell"",VLOOKUP(9^99,FILTER({ROW(P$2:P748),P$2:P748},D$2:D748=D749),2),(VLOOKUP(9^99,FILTER({ROW(P$2:P748),P$2:P748},D$2:D748=D749),2)*VLOOKUP(9^99,FILTER({ROW(O$2:O748),O$2:O748},D$2:D748=D749),2)-N749)/O749),J749))"),"")</f>
        <v/>
      </c>
      <c r="Q749" s="264" t="str">
        <f>IFERROR(__xludf.DUMMYFUNCTION("IFERROR(IF(F749=""Crypto"",B749,(IF(ISBLANK(D749),"""",IF(D749=""Cash"",B749,IF(GOOGLEFINANCE(D749,""CURRENCY"")=""GBX"",""GBP"",GOOGLEFINANCE(D749,""CURRENCY"")))))),B749)"),"")</f>
        <v/>
      </c>
      <c r="R749" s="263" t="str">
        <f>IFERROR(__xludf.DUMMYFUNCTION("IF(ISBLANK(A749),"""",IFERROR(IF(OR(Q749=""GPB"",Q749=""ZAR""),IF(Q749=Dashboard!$L$1,K749,(K749*GOOGLEFINANCE(""CURRENCY:""&amp;Q749&amp;""""&amp;Dashboard!$L$1&amp;""""))/100),IF(Q749=Dashboard!$L$1,K749,K749*GOOGLEFINANCE(""CURRENCY:""&amp;Q749&amp;""""&amp;Dashboard!$L$1&amp;"""")))"&amp;",K749))"),"")</f>
        <v/>
      </c>
      <c r="S749" s="266" t="str">
        <f>IFERROR(__xludf.DUMMYFUNCTION("IF(ISBLANK(A749),"""",IFERROR(IF(OR(Q749=""GPB"",Q749=""ZAR""),IF(Q749=Dashboard!$L$1,M749,(M749*GOOGLEFINANCE(""CURRENCY:""&amp;Q749&amp;""""&amp;Dashboard!$L$1&amp;""""))/100),IF(Q749=Dashboard!$L$1,M749,M749*GOOGLEFINANCE(""CURRENCY:""&amp;Q749&amp;""""&amp;Dashboard!$L$1&amp;"""")))"&amp;",M749))"),"")</f>
        <v/>
      </c>
      <c r="T749" s="264" t="str">
        <f t="shared" si="4"/>
        <v/>
      </c>
      <c r="U749" s="264" t="str">
        <f t="shared" si="5"/>
        <v/>
      </c>
      <c r="V749" s="264" t="str">
        <f t="shared" si="6"/>
        <v/>
      </c>
      <c r="W749" s="267" t="str">
        <f t="shared" si="8"/>
        <v/>
      </c>
      <c r="X749" s="264" t="str">
        <f t="shared" si="7"/>
        <v/>
      </c>
    </row>
    <row r="750" ht="15.75" customHeight="1">
      <c r="A750" s="258"/>
      <c r="B750" s="258"/>
      <c r="C750" s="269"/>
      <c r="D750" s="258"/>
      <c r="E750" s="258"/>
      <c r="F750" s="258"/>
      <c r="G750" s="258"/>
      <c r="H750" s="271"/>
      <c r="I750" s="258"/>
      <c r="J750" s="272"/>
      <c r="K750" s="260"/>
      <c r="L750" s="261"/>
      <c r="M750" s="262" t="str">
        <f t="shared" si="1"/>
        <v/>
      </c>
      <c r="N750" s="263" t="str">
        <f t="shared" si="2"/>
        <v/>
      </c>
      <c r="O750" s="264" t="str">
        <f t="shared" si="3"/>
        <v/>
      </c>
      <c r="P750" s="265" t="str">
        <f>IFERROR(__xludf.DUMMYFUNCTION("IF(ISBLANK(A750),"""",IFERROR(IF(H750=""Sell"",VLOOKUP(9^99,FILTER({ROW(P$2:P749),P$2:P749},D$2:D749=D750),2),(VLOOKUP(9^99,FILTER({ROW(P$2:P749),P$2:P749},D$2:D749=D750),2)*VLOOKUP(9^99,FILTER({ROW(O$2:O749),O$2:O749},D$2:D749=D750),2)-N750)/O750),J750))"),"")</f>
        <v/>
      </c>
      <c r="Q750" s="264" t="str">
        <f>IFERROR(__xludf.DUMMYFUNCTION("IFERROR(IF(F750=""Crypto"",B750,(IF(ISBLANK(D750),"""",IF(D750=""Cash"",B750,IF(GOOGLEFINANCE(D750,""CURRENCY"")=""GBX"",""GBP"",GOOGLEFINANCE(D750,""CURRENCY"")))))),B750)"),"")</f>
        <v/>
      </c>
      <c r="R750" s="263" t="str">
        <f>IFERROR(__xludf.DUMMYFUNCTION("IF(ISBLANK(A750),"""",IFERROR(IF(OR(Q750=""GPB"",Q750=""ZAR""),IF(Q750=Dashboard!$L$1,K750,(K750*GOOGLEFINANCE(""CURRENCY:""&amp;Q750&amp;""""&amp;Dashboard!$L$1&amp;""""))/100),IF(Q750=Dashboard!$L$1,K750,K750*GOOGLEFINANCE(""CURRENCY:""&amp;Q750&amp;""""&amp;Dashboard!$L$1&amp;"""")))"&amp;",K750))"),"")</f>
        <v/>
      </c>
      <c r="S750" s="266" t="str">
        <f>IFERROR(__xludf.DUMMYFUNCTION("IF(ISBLANK(A750),"""",IFERROR(IF(OR(Q750=""GPB"",Q750=""ZAR""),IF(Q750=Dashboard!$L$1,M750,(M750*GOOGLEFINANCE(""CURRENCY:""&amp;Q750&amp;""""&amp;Dashboard!$L$1&amp;""""))/100),IF(Q750=Dashboard!$L$1,M750,M750*GOOGLEFINANCE(""CURRENCY:""&amp;Q750&amp;""""&amp;Dashboard!$L$1&amp;"""")))"&amp;",M750))"),"")</f>
        <v/>
      </c>
      <c r="T750" s="264" t="str">
        <f t="shared" si="4"/>
        <v/>
      </c>
      <c r="U750" s="264" t="str">
        <f t="shared" si="5"/>
        <v/>
      </c>
      <c r="V750" s="264" t="str">
        <f t="shared" si="6"/>
        <v/>
      </c>
      <c r="W750" s="267" t="str">
        <f t="shared" si="8"/>
        <v/>
      </c>
      <c r="X750" s="264" t="str">
        <f t="shared" si="7"/>
        <v/>
      </c>
    </row>
    <row r="751" ht="15.75" customHeight="1">
      <c r="A751" s="258"/>
      <c r="B751" s="258"/>
      <c r="C751" s="269"/>
      <c r="D751" s="258"/>
      <c r="E751" s="258"/>
      <c r="F751" s="258"/>
      <c r="G751" s="258"/>
      <c r="H751" s="271"/>
      <c r="I751" s="258"/>
      <c r="J751" s="272"/>
      <c r="K751" s="260"/>
      <c r="L751" s="261"/>
      <c r="M751" s="262" t="str">
        <f t="shared" si="1"/>
        <v/>
      </c>
      <c r="N751" s="263" t="str">
        <f t="shared" si="2"/>
        <v/>
      </c>
      <c r="O751" s="264" t="str">
        <f t="shared" si="3"/>
        <v/>
      </c>
      <c r="P751" s="265" t="str">
        <f>IFERROR(__xludf.DUMMYFUNCTION("IF(ISBLANK(A751),"""",IFERROR(IF(H751=""Sell"",VLOOKUP(9^99,FILTER({ROW(P$2:P750),P$2:P750},D$2:D750=D751),2),(VLOOKUP(9^99,FILTER({ROW(P$2:P750),P$2:P750},D$2:D750=D751),2)*VLOOKUP(9^99,FILTER({ROW(O$2:O750),O$2:O750},D$2:D750=D751),2)-N751)/O751),J751))"),"")</f>
        <v/>
      </c>
      <c r="Q751" s="264" t="str">
        <f>IFERROR(__xludf.DUMMYFUNCTION("IFERROR(IF(F751=""Crypto"",B751,(IF(ISBLANK(D751),"""",IF(D751=""Cash"",B751,IF(GOOGLEFINANCE(D751,""CURRENCY"")=""GBX"",""GBP"",GOOGLEFINANCE(D751,""CURRENCY"")))))),B751)"),"")</f>
        <v/>
      </c>
      <c r="R751" s="263" t="str">
        <f>IFERROR(__xludf.DUMMYFUNCTION("IF(ISBLANK(A751),"""",IFERROR(IF(OR(Q751=""GPB"",Q751=""ZAR""),IF(Q751=Dashboard!$L$1,K751,(K751*GOOGLEFINANCE(""CURRENCY:""&amp;Q751&amp;""""&amp;Dashboard!$L$1&amp;""""))/100),IF(Q751=Dashboard!$L$1,K751,K751*GOOGLEFINANCE(""CURRENCY:""&amp;Q751&amp;""""&amp;Dashboard!$L$1&amp;"""")))"&amp;",K751))"),"")</f>
        <v/>
      </c>
      <c r="S751" s="266" t="str">
        <f>IFERROR(__xludf.DUMMYFUNCTION("IF(ISBLANK(A751),"""",IFERROR(IF(OR(Q751=""GPB"",Q751=""ZAR""),IF(Q751=Dashboard!$L$1,M751,(M751*GOOGLEFINANCE(""CURRENCY:""&amp;Q751&amp;""""&amp;Dashboard!$L$1&amp;""""))/100),IF(Q751=Dashboard!$L$1,M751,M751*GOOGLEFINANCE(""CURRENCY:""&amp;Q751&amp;""""&amp;Dashboard!$L$1&amp;"""")))"&amp;",M751))"),"")</f>
        <v/>
      </c>
      <c r="T751" s="264" t="str">
        <f t="shared" si="4"/>
        <v/>
      </c>
      <c r="U751" s="264" t="str">
        <f t="shared" si="5"/>
        <v/>
      </c>
      <c r="V751" s="264" t="str">
        <f t="shared" si="6"/>
        <v/>
      </c>
      <c r="W751" s="267" t="str">
        <f t="shared" si="8"/>
        <v/>
      </c>
      <c r="X751" s="264" t="str">
        <f t="shared" si="7"/>
        <v/>
      </c>
    </row>
    <row r="752" ht="15.75" customHeight="1">
      <c r="A752" s="258"/>
      <c r="B752" s="258"/>
      <c r="C752" s="269"/>
      <c r="D752" s="258"/>
      <c r="E752" s="258"/>
      <c r="F752" s="258"/>
      <c r="G752" s="258"/>
      <c r="H752" s="271"/>
      <c r="I752" s="258"/>
      <c r="J752" s="272"/>
      <c r="K752" s="260"/>
      <c r="L752" s="261"/>
      <c r="M752" s="262" t="str">
        <f t="shared" si="1"/>
        <v/>
      </c>
      <c r="N752" s="263" t="str">
        <f t="shared" si="2"/>
        <v/>
      </c>
      <c r="O752" s="264" t="str">
        <f t="shared" si="3"/>
        <v/>
      </c>
      <c r="P752" s="265" t="str">
        <f>IFERROR(__xludf.DUMMYFUNCTION("IF(ISBLANK(A752),"""",IFERROR(IF(H752=""Sell"",VLOOKUP(9^99,FILTER({ROW(P$2:P751),P$2:P751},D$2:D751=D752),2),(VLOOKUP(9^99,FILTER({ROW(P$2:P751),P$2:P751},D$2:D751=D752),2)*VLOOKUP(9^99,FILTER({ROW(O$2:O751),O$2:O751},D$2:D751=D752),2)-N752)/O752),J752))"),"")</f>
        <v/>
      </c>
      <c r="Q752" s="264" t="str">
        <f>IFERROR(__xludf.DUMMYFUNCTION("IFERROR(IF(F752=""Crypto"",B752,(IF(ISBLANK(D752),"""",IF(D752=""Cash"",B752,IF(GOOGLEFINANCE(D752,""CURRENCY"")=""GBX"",""GBP"",GOOGLEFINANCE(D752,""CURRENCY"")))))),B752)"),"")</f>
        <v/>
      </c>
      <c r="R752" s="263" t="str">
        <f>IFERROR(__xludf.DUMMYFUNCTION("IF(ISBLANK(A752),"""",IFERROR(IF(OR(Q752=""GPB"",Q752=""ZAR""),IF(Q752=Dashboard!$L$1,K752,(K752*GOOGLEFINANCE(""CURRENCY:""&amp;Q752&amp;""""&amp;Dashboard!$L$1&amp;""""))/100),IF(Q752=Dashboard!$L$1,K752,K752*GOOGLEFINANCE(""CURRENCY:""&amp;Q752&amp;""""&amp;Dashboard!$L$1&amp;"""")))"&amp;",K752))"),"")</f>
        <v/>
      </c>
      <c r="S752" s="266" t="str">
        <f>IFERROR(__xludf.DUMMYFUNCTION("IF(ISBLANK(A752),"""",IFERROR(IF(OR(Q752=""GPB"",Q752=""ZAR""),IF(Q752=Dashboard!$L$1,M752,(M752*GOOGLEFINANCE(""CURRENCY:""&amp;Q752&amp;""""&amp;Dashboard!$L$1&amp;""""))/100),IF(Q752=Dashboard!$L$1,M752,M752*GOOGLEFINANCE(""CURRENCY:""&amp;Q752&amp;""""&amp;Dashboard!$L$1&amp;"""")))"&amp;",M752))"),"")</f>
        <v/>
      </c>
      <c r="T752" s="264" t="str">
        <f t="shared" si="4"/>
        <v/>
      </c>
      <c r="U752" s="264" t="str">
        <f t="shared" si="5"/>
        <v/>
      </c>
      <c r="V752" s="264" t="str">
        <f t="shared" si="6"/>
        <v/>
      </c>
      <c r="W752" s="267" t="str">
        <f t="shared" si="8"/>
        <v/>
      </c>
      <c r="X752" s="264" t="str">
        <f t="shared" si="7"/>
        <v/>
      </c>
    </row>
    <row r="753" ht="15.75" customHeight="1">
      <c r="A753" s="258"/>
      <c r="B753" s="258"/>
      <c r="C753" s="269"/>
      <c r="D753" s="258"/>
      <c r="E753" s="258"/>
      <c r="F753" s="258"/>
      <c r="G753" s="258"/>
      <c r="H753" s="271"/>
      <c r="I753" s="258"/>
      <c r="J753" s="272"/>
      <c r="K753" s="260"/>
      <c r="L753" s="261"/>
      <c r="M753" s="262" t="str">
        <f t="shared" si="1"/>
        <v/>
      </c>
      <c r="N753" s="263" t="str">
        <f t="shared" si="2"/>
        <v/>
      </c>
      <c r="O753" s="264" t="str">
        <f t="shared" si="3"/>
        <v/>
      </c>
      <c r="P753" s="265" t="str">
        <f>IFERROR(__xludf.DUMMYFUNCTION("IF(ISBLANK(A753),"""",IFERROR(IF(H753=""Sell"",VLOOKUP(9^99,FILTER({ROW(P$2:P752),P$2:P752},D$2:D752=D753),2),(VLOOKUP(9^99,FILTER({ROW(P$2:P752),P$2:P752},D$2:D752=D753),2)*VLOOKUP(9^99,FILTER({ROW(O$2:O752),O$2:O752},D$2:D752=D753),2)-N753)/O753),J753))"),"")</f>
        <v/>
      </c>
      <c r="Q753" s="264" t="str">
        <f>IFERROR(__xludf.DUMMYFUNCTION("IFERROR(IF(F753=""Crypto"",B753,(IF(ISBLANK(D753),"""",IF(D753=""Cash"",B753,IF(GOOGLEFINANCE(D753,""CURRENCY"")=""GBX"",""GBP"",GOOGLEFINANCE(D753,""CURRENCY"")))))),B753)"),"")</f>
        <v/>
      </c>
      <c r="R753" s="263" t="str">
        <f>IFERROR(__xludf.DUMMYFUNCTION("IF(ISBLANK(A753),"""",IFERROR(IF(OR(Q753=""GPB"",Q753=""ZAR""),IF(Q753=Dashboard!$L$1,K753,(K753*GOOGLEFINANCE(""CURRENCY:""&amp;Q753&amp;""""&amp;Dashboard!$L$1&amp;""""))/100),IF(Q753=Dashboard!$L$1,K753,K753*GOOGLEFINANCE(""CURRENCY:""&amp;Q753&amp;""""&amp;Dashboard!$L$1&amp;"""")))"&amp;",K753))"),"")</f>
        <v/>
      </c>
      <c r="S753" s="266" t="str">
        <f>IFERROR(__xludf.DUMMYFUNCTION("IF(ISBLANK(A753),"""",IFERROR(IF(OR(Q753=""GPB"",Q753=""ZAR""),IF(Q753=Dashboard!$L$1,M753,(M753*GOOGLEFINANCE(""CURRENCY:""&amp;Q753&amp;""""&amp;Dashboard!$L$1&amp;""""))/100),IF(Q753=Dashboard!$L$1,M753,M753*GOOGLEFINANCE(""CURRENCY:""&amp;Q753&amp;""""&amp;Dashboard!$L$1&amp;"""")))"&amp;",M753))"),"")</f>
        <v/>
      </c>
      <c r="T753" s="264" t="str">
        <f t="shared" si="4"/>
        <v/>
      </c>
      <c r="U753" s="264" t="str">
        <f t="shared" si="5"/>
        <v/>
      </c>
      <c r="V753" s="264" t="str">
        <f t="shared" si="6"/>
        <v/>
      </c>
      <c r="W753" s="267" t="str">
        <f t="shared" si="8"/>
        <v/>
      </c>
      <c r="X753" s="264" t="str">
        <f t="shared" si="7"/>
        <v/>
      </c>
    </row>
    <row r="754" ht="15.75" customHeight="1">
      <c r="A754" s="258"/>
      <c r="B754" s="258"/>
      <c r="C754" s="269"/>
      <c r="D754" s="258"/>
      <c r="E754" s="258"/>
      <c r="F754" s="258"/>
      <c r="G754" s="258"/>
      <c r="H754" s="271"/>
      <c r="I754" s="258"/>
      <c r="J754" s="272"/>
      <c r="K754" s="260"/>
      <c r="L754" s="261"/>
      <c r="M754" s="262" t="str">
        <f t="shared" si="1"/>
        <v/>
      </c>
      <c r="N754" s="263" t="str">
        <f t="shared" si="2"/>
        <v/>
      </c>
      <c r="O754" s="264" t="str">
        <f t="shared" si="3"/>
        <v/>
      </c>
      <c r="P754" s="265" t="str">
        <f>IFERROR(__xludf.DUMMYFUNCTION("IF(ISBLANK(A754),"""",IFERROR(IF(H754=""Sell"",VLOOKUP(9^99,FILTER({ROW(P$2:P753),P$2:P753},D$2:D753=D754),2),(VLOOKUP(9^99,FILTER({ROW(P$2:P753),P$2:P753},D$2:D753=D754),2)*VLOOKUP(9^99,FILTER({ROW(O$2:O753),O$2:O753},D$2:D753=D754),2)-N754)/O754),J754))"),"")</f>
        <v/>
      </c>
      <c r="Q754" s="264" t="str">
        <f>IFERROR(__xludf.DUMMYFUNCTION("IFERROR(IF(F754=""Crypto"",B754,(IF(ISBLANK(D754),"""",IF(D754=""Cash"",B754,IF(GOOGLEFINANCE(D754,""CURRENCY"")=""GBX"",""GBP"",GOOGLEFINANCE(D754,""CURRENCY"")))))),B754)"),"")</f>
        <v/>
      </c>
      <c r="R754" s="263" t="str">
        <f>IFERROR(__xludf.DUMMYFUNCTION("IF(ISBLANK(A754),"""",IFERROR(IF(OR(Q754=""GPB"",Q754=""ZAR""),IF(Q754=Dashboard!$L$1,K754,(K754*GOOGLEFINANCE(""CURRENCY:""&amp;Q754&amp;""""&amp;Dashboard!$L$1&amp;""""))/100),IF(Q754=Dashboard!$L$1,K754,K754*GOOGLEFINANCE(""CURRENCY:""&amp;Q754&amp;""""&amp;Dashboard!$L$1&amp;"""")))"&amp;",K754))"),"")</f>
        <v/>
      </c>
      <c r="S754" s="266" t="str">
        <f>IFERROR(__xludf.DUMMYFUNCTION("IF(ISBLANK(A754),"""",IFERROR(IF(OR(Q754=""GPB"",Q754=""ZAR""),IF(Q754=Dashboard!$L$1,M754,(M754*GOOGLEFINANCE(""CURRENCY:""&amp;Q754&amp;""""&amp;Dashboard!$L$1&amp;""""))/100),IF(Q754=Dashboard!$L$1,M754,M754*GOOGLEFINANCE(""CURRENCY:""&amp;Q754&amp;""""&amp;Dashboard!$L$1&amp;"""")))"&amp;",M754))"),"")</f>
        <v/>
      </c>
      <c r="T754" s="264" t="str">
        <f t="shared" si="4"/>
        <v/>
      </c>
      <c r="U754" s="264" t="str">
        <f t="shared" si="5"/>
        <v/>
      </c>
      <c r="V754" s="264" t="str">
        <f t="shared" si="6"/>
        <v/>
      </c>
      <c r="W754" s="267" t="str">
        <f t="shared" si="8"/>
        <v/>
      </c>
      <c r="X754" s="264" t="str">
        <f t="shared" si="7"/>
        <v/>
      </c>
    </row>
    <row r="755" ht="15.75" customHeight="1">
      <c r="A755" s="258"/>
      <c r="B755" s="258"/>
      <c r="C755" s="269"/>
      <c r="D755" s="258"/>
      <c r="E755" s="258"/>
      <c r="F755" s="258"/>
      <c r="G755" s="258"/>
      <c r="H755" s="271"/>
      <c r="I755" s="258"/>
      <c r="J755" s="272"/>
      <c r="K755" s="260"/>
      <c r="L755" s="261"/>
      <c r="M755" s="262" t="str">
        <f t="shared" si="1"/>
        <v/>
      </c>
      <c r="N755" s="263" t="str">
        <f t="shared" si="2"/>
        <v/>
      </c>
      <c r="O755" s="264" t="str">
        <f t="shared" si="3"/>
        <v/>
      </c>
      <c r="P755" s="265" t="str">
        <f>IFERROR(__xludf.DUMMYFUNCTION("IF(ISBLANK(A755),"""",IFERROR(IF(H755=""Sell"",VLOOKUP(9^99,FILTER({ROW(P$2:P754),P$2:P754},D$2:D754=D755),2),(VLOOKUP(9^99,FILTER({ROW(P$2:P754),P$2:P754},D$2:D754=D755),2)*VLOOKUP(9^99,FILTER({ROW(O$2:O754),O$2:O754},D$2:D754=D755),2)-N755)/O755),J755))"),"")</f>
        <v/>
      </c>
      <c r="Q755" s="264" t="str">
        <f>IFERROR(__xludf.DUMMYFUNCTION("IFERROR(IF(F755=""Crypto"",B755,(IF(ISBLANK(D755),"""",IF(D755=""Cash"",B755,IF(GOOGLEFINANCE(D755,""CURRENCY"")=""GBX"",""GBP"",GOOGLEFINANCE(D755,""CURRENCY"")))))),B755)"),"")</f>
        <v/>
      </c>
      <c r="R755" s="263" t="str">
        <f>IFERROR(__xludf.DUMMYFUNCTION("IF(ISBLANK(A755),"""",IFERROR(IF(OR(Q755=""GPB"",Q755=""ZAR""),IF(Q755=Dashboard!$L$1,K755,(K755*GOOGLEFINANCE(""CURRENCY:""&amp;Q755&amp;""""&amp;Dashboard!$L$1&amp;""""))/100),IF(Q755=Dashboard!$L$1,K755,K755*GOOGLEFINANCE(""CURRENCY:""&amp;Q755&amp;""""&amp;Dashboard!$L$1&amp;"""")))"&amp;",K755))"),"")</f>
        <v/>
      </c>
      <c r="S755" s="266" t="str">
        <f>IFERROR(__xludf.DUMMYFUNCTION("IF(ISBLANK(A755),"""",IFERROR(IF(OR(Q755=""GPB"",Q755=""ZAR""),IF(Q755=Dashboard!$L$1,M755,(M755*GOOGLEFINANCE(""CURRENCY:""&amp;Q755&amp;""""&amp;Dashboard!$L$1&amp;""""))/100),IF(Q755=Dashboard!$L$1,M755,M755*GOOGLEFINANCE(""CURRENCY:""&amp;Q755&amp;""""&amp;Dashboard!$L$1&amp;"""")))"&amp;",M755))"),"")</f>
        <v/>
      </c>
      <c r="T755" s="264" t="str">
        <f t="shared" si="4"/>
        <v/>
      </c>
      <c r="U755" s="264" t="str">
        <f t="shared" si="5"/>
        <v/>
      </c>
      <c r="V755" s="264" t="str">
        <f t="shared" si="6"/>
        <v/>
      </c>
      <c r="W755" s="267" t="str">
        <f t="shared" si="8"/>
        <v/>
      </c>
      <c r="X755" s="264" t="str">
        <f t="shared" si="7"/>
        <v/>
      </c>
    </row>
    <row r="756" ht="15.75" customHeight="1">
      <c r="A756" s="258"/>
      <c r="B756" s="258"/>
      <c r="C756" s="269"/>
      <c r="D756" s="258"/>
      <c r="E756" s="258"/>
      <c r="F756" s="258"/>
      <c r="G756" s="258"/>
      <c r="H756" s="271"/>
      <c r="I756" s="258"/>
      <c r="J756" s="272"/>
      <c r="K756" s="260"/>
      <c r="L756" s="261"/>
      <c r="M756" s="262" t="str">
        <f t="shared" si="1"/>
        <v/>
      </c>
      <c r="N756" s="263" t="str">
        <f t="shared" si="2"/>
        <v/>
      </c>
      <c r="O756" s="264" t="str">
        <f t="shared" si="3"/>
        <v/>
      </c>
      <c r="P756" s="265" t="str">
        <f>IFERROR(__xludf.DUMMYFUNCTION("IF(ISBLANK(A756),"""",IFERROR(IF(H756=""Sell"",VLOOKUP(9^99,FILTER({ROW(P$2:P755),P$2:P755},D$2:D755=D756),2),(VLOOKUP(9^99,FILTER({ROW(P$2:P755),P$2:P755},D$2:D755=D756),2)*VLOOKUP(9^99,FILTER({ROW(O$2:O755),O$2:O755},D$2:D755=D756),2)-N756)/O756),J756))"),"")</f>
        <v/>
      </c>
      <c r="Q756" s="264" t="str">
        <f>IFERROR(__xludf.DUMMYFUNCTION("IFERROR(IF(F756=""Crypto"",B756,(IF(ISBLANK(D756),"""",IF(D756=""Cash"",B756,IF(GOOGLEFINANCE(D756,""CURRENCY"")=""GBX"",""GBP"",GOOGLEFINANCE(D756,""CURRENCY"")))))),B756)"),"")</f>
        <v/>
      </c>
      <c r="R756" s="263" t="str">
        <f>IFERROR(__xludf.DUMMYFUNCTION("IF(ISBLANK(A756),"""",IFERROR(IF(OR(Q756=""GPB"",Q756=""ZAR""),IF(Q756=Dashboard!$L$1,K756,(K756*GOOGLEFINANCE(""CURRENCY:""&amp;Q756&amp;""""&amp;Dashboard!$L$1&amp;""""))/100),IF(Q756=Dashboard!$L$1,K756,K756*GOOGLEFINANCE(""CURRENCY:""&amp;Q756&amp;""""&amp;Dashboard!$L$1&amp;"""")))"&amp;",K756))"),"")</f>
        <v/>
      </c>
      <c r="S756" s="266" t="str">
        <f>IFERROR(__xludf.DUMMYFUNCTION("IF(ISBLANK(A756),"""",IFERROR(IF(OR(Q756=""GPB"",Q756=""ZAR""),IF(Q756=Dashboard!$L$1,M756,(M756*GOOGLEFINANCE(""CURRENCY:""&amp;Q756&amp;""""&amp;Dashboard!$L$1&amp;""""))/100),IF(Q756=Dashboard!$L$1,M756,M756*GOOGLEFINANCE(""CURRENCY:""&amp;Q756&amp;""""&amp;Dashboard!$L$1&amp;"""")))"&amp;",M756))"),"")</f>
        <v/>
      </c>
      <c r="T756" s="264" t="str">
        <f t="shared" si="4"/>
        <v/>
      </c>
      <c r="U756" s="264" t="str">
        <f t="shared" si="5"/>
        <v/>
      </c>
      <c r="V756" s="264" t="str">
        <f t="shared" si="6"/>
        <v/>
      </c>
      <c r="W756" s="267" t="str">
        <f t="shared" si="8"/>
        <v/>
      </c>
      <c r="X756" s="264" t="str">
        <f t="shared" si="7"/>
        <v/>
      </c>
    </row>
    <row r="757" ht="15.75" customHeight="1">
      <c r="A757" s="258"/>
      <c r="B757" s="258"/>
      <c r="C757" s="269"/>
      <c r="D757" s="258"/>
      <c r="E757" s="258"/>
      <c r="F757" s="258"/>
      <c r="G757" s="258"/>
      <c r="H757" s="271"/>
      <c r="I757" s="258"/>
      <c r="J757" s="272"/>
      <c r="K757" s="260"/>
      <c r="L757" s="261"/>
      <c r="M757" s="262" t="str">
        <f t="shared" si="1"/>
        <v/>
      </c>
      <c r="N757" s="263" t="str">
        <f t="shared" si="2"/>
        <v/>
      </c>
      <c r="O757" s="264" t="str">
        <f t="shared" si="3"/>
        <v/>
      </c>
      <c r="P757" s="265" t="str">
        <f>IFERROR(__xludf.DUMMYFUNCTION("IF(ISBLANK(A757),"""",IFERROR(IF(H757=""Sell"",VLOOKUP(9^99,FILTER({ROW(P$2:P756),P$2:P756},D$2:D756=D757),2),(VLOOKUP(9^99,FILTER({ROW(P$2:P756),P$2:P756},D$2:D756=D757),2)*VLOOKUP(9^99,FILTER({ROW(O$2:O756),O$2:O756},D$2:D756=D757),2)-N757)/O757),J757))"),"")</f>
        <v/>
      </c>
      <c r="Q757" s="264" t="str">
        <f>IFERROR(__xludf.DUMMYFUNCTION("IFERROR(IF(F757=""Crypto"",B757,(IF(ISBLANK(D757),"""",IF(D757=""Cash"",B757,IF(GOOGLEFINANCE(D757,""CURRENCY"")=""GBX"",""GBP"",GOOGLEFINANCE(D757,""CURRENCY"")))))),B757)"),"")</f>
        <v/>
      </c>
      <c r="R757" s="263" t="str">
        <f>IFERROR(__xludf.DUMMYFUNCTION("IF(ISBLANK(A757),"""",IFERROR(IF(OR(Q757=""GPB"",Q757=""ZAR""),IF(Q757=Dashboard!$L$1,K757,(K757*GOOGLEFINANCE(""CURRENCY:""&amp;Q757&amp;""""&amp;Dashboard!$L$1&amp;""""))/100),IF(Q757=Dashboard!$L$1,K757,K757*GOOGLEFINANCE(""CURRENCY:""&amp;Q757&amp;""""&amp;Dashboard!$L$1&amp;"""")))"&amp;",K757))"),"")</f>
        <v/>
      </c>
      <c r="S757" s="266" t="str">
        <f>IFERROR(__xludf.DUMMYFUNCTION("IF(ISBLANK(A757),"""",IFERROR(IF(OR(Q757=""GPB"",Q757=""ZAR""),IF(Q757=Dashboard!$L$1,M757,(M757*GOOGLEFINANCE(""CURRENCY:""&amp;Q757&amp;""""&amp;Dashboard!$L$1&amp;""""))/100),IF(Q757=Dashboard!$L$1,M757,M757*GOOGLEFINANCE(""CURRENCY:""&amp;Q757&amp;""""&amp;Dashboard!$L$1&amp;"""")))"&amp;",M757))"),"")</f>
        <v/>
      </c>
      <c r="T757" s="264" t="str">
        <f t="shared" si="4"/>
        <v/>
      </c>
      <c r="U757" s="264" t="str">
        <f t="shared" si="5"/>
        <v/>
      </c>
      <c r="V757" s="264" t="str">
        <f t="shared" si="6"/>
        <v/>
      </c>
      <c r="W757" s="267" t="str">
        <f t="shared" si="8"/>
        <v/>
      </c>
      <c r="X757" s="264" t="str">
        <f t="shared" si="7"/>
        <v/>
      </c>
    </row>
    <row r="758" ht="15.75" customHeight="1">
      <c r="A758" s="258"/>
      <c r="B758" s="258"/>
      <c r="C758" s="269"/>
      <c r="D758" s="258"/>
      <c r="E758" s="258"/>
      <c r="F758" s="258"/>
      <c r="G758" s="258"/>
      <c r="H758" s="271"/>
      <c r="I758" s="258"/>
      <c r="J758" s="272"/>
      <c r="K758" s="260"/>
      <c r="L758" s="261"/>
      <c r="M758" s="262" t="str">
        <f t="shared" si="1"/>
        <v/>
      </c>
      <c r="N758" s="263" t="str">
        <f t="shared" si="2"/>
        <v/>
      </c>
      <c r="O758" s="264" t="str">
        <f t="shared" si="3"/>
        <v/>
      </c>
      <c r="P758" s="265" t="str">
        <f>IFERROR(__xludf.DUMMYFUNCTION("IF(ISBLANK(A758),"""",IFERROR(IF(H758=""Sell"",VLOOKUP(9^99,FILTER({ROW(P$2:P757),P$2:P757},D$2:D757=D758),2),(VLOOKUP(9^99,FILTER({ROW(P$2:P757),P$2:P757},D$2:D757=D758),2)*VLOOKUP(9^99,FILTER({ROW(O$2:O757),O$2:O757},D$2:D757=D758),2)-N758)/O758),J758))"),"")</f>
        <v/>
      </c>
      <c r="Q758" s="264" t="str">
        <f>IFERROR(__xludf.DUMMYFUNCTION("IFERROR(IF(F758=""Crypto"",B758,(IF(ISBLANK(D758),"""",IF(D758=""Cash"",B758,IF(GOOGLEFINANCE(D758,""CURRENCY"")=""GBX"",""GBP"",GOOGLEFINANCE(D758,""CURRENCY"")))))),B758)"),"")</f>
        <v/>
      </c>
      <c r="R758" s="263" t="str">
        <f>IFERROR(__xludf.DUMMYFUNCTION("IF(ISBLANK(A758),"""",IFERROR(IF(OR(Q758=""GPB"",Q758=""ZAR""),IF(Q758=Dashboard!$L$1,K758,(K758*GOOGLEFINANCE(""CURRENCY:""&amp;Q758&amp;""""&amp;Dashboard!$L$1&amp;""""))/100),IF(Q758=Dashboard!$L$1,K758,K758*GOOGLEFINANCE(""CURRENCY:""&amp;Q758&amp;""""&amp;Dashboard!$L$1&amp;"""")))"&amp;",K758))"),"")</f>
        <v/>
      </c>
      <c r="S758" s="266" t="str">
        <f>IFERROR(__xludf.DUMMYFUNCTION("IF(ISBLANK(A758),"""",IFERROR(IF(OR(Q758=""GPB"",Q758=""ZAR""),IF(Q758=Dashboard!$L$1,M758,(M758*GOOGLEFINANCE(""CURRENCY:""&amp;Q758&amp;""""&amp;Dashboard!$L$1&amp;""""))/100),IF(Q758=Dashboard!$L$1,M758,M758*GOOGLEFINANCE(""CURRENCY:""&amp;Q758&amp;""""&amp;Dashboard!$L$1&amp;"""")))"&amp;",M758))"),"")</f>
        <v/>
      </c>
      <c r="T758" s="264" t="str">
        <f t="shared" si="4"/>
        <v/>
      </c>
      <c r="U758" s="264" t="str">
        <f t="shared" si="5"/>
        <v/>
      </c>
      <c r="V758" s="264" t="str">
        <f t="shared" si="6"/>
        <v/>
      </c>
      <c r="W758" s="267" t="str">
        <f t="shared" si="8"/>
        <v/>
      </c>
      <c r="X758" s="264" t="str">
        <f t="shared" si="7"/>
        <v/>
      </c>
    </row>
    <row r="759" ht="15.75" customHeight="1">
      <c r="A759" s="258"/>
      <c r="B759" s="258"/>
      <c r="C759" s="269"/>
      <c r="D759" s="258"/>
      <c r="E759" s="258"/>
      <c r="F759" s="258"/>
      <c r="G759" s="258"/>
      <c r="H759" s="271"/>
      <c r="I759" s="258"/>
      <c r="J759" s="272"/>
      <c r="K759" s="260"/>
      <c r="L759" s="261"/>
      <c r="M759" s="262" t="str">
        <f t="shared" si="1"/>
        <v/>
      </c>
      <c r="N759" s="263" t="str">
        <f t="shared" si="2"/>
        <v/>
      </c>
      <c r="O759" s="264" t="str">
        <f t="shared" si="3"/>
        <v/>
      </c>
      <c r="P759" s="265" t="str">
        <f>IFERROR(__xludf.DUMMYFUNCTION("IF(ISBLANK(A759),"""",IFERROR(IF(H759=""Sell"",VLOOKUP(9^99,FILTER({ROW(P$2:P758),P$2:P758},D$2:D758=D759),2),(VLOOKUP(9^99,FILTER({ROW(P$2:P758),P$2:P758},D$2:D758=D759),2)*VLOOKUP(9^99,FILTER({ROW(O$2:O758),O$2:O758},D$2:D758=D759),2)-N759)/O759),J759))"),"")</f>
        <v/>
      </c>
      <c r="Q759" s="264" t="str">
        <f>IFERROR(__xludf.DUMMYFUNCTION("IFERROR(IF(F759=""Crypto"",B759,(IF(ISBLANK(D759),"""",IF(D759=""Cash"",B759,IF(GOOGLEFINANCE(D759,""CURRENCY"")=""GBX"",""GBP"",GOOGLEFINANCE(D759,""CURRENCY"")))))),B759)"),"")</f>
        <v/>
      </c>
      <c r="R759" s="263" t="str">
        <f>IFERROR(__xludf.DUMMYFUNCTION("IF(ISBLANK(A759),"""",IFERROR(IF(OR(Q759=""GPB"",Q759=""ZAR""),IF(Q759=Dashboard!$L$1,K759,(K759*GOOGLEFINANCE(""CURRENCY:""&amp;Q759&amp;""""&amp;Dashboard!$L$1&amp;""""))/100),IF(Q759=Dashboard!$L$1,K759,K759*GOOGLEFINANCE(""CURRENCY:""&amp;Q759&amp;""""&amp;Dashboard!$L$1&amp;"""")))"&amp;",K759))"),"")</f>
        <v/>
      </c>
      <c r="S759" s="266" t="str">
        <f>IFERROR(__xludf.DUMMYFUNCTION("IF(ISBLANK(A759),"""",IFERROR(IF(OR(Q759=""GPB"",Q759=""ZAR""),IF(Q759=Dashboard!$L$1,M759,(M759*GOOGLEFINANCE(""CURRENCY:""&amp;Q759&amp;""""&amp;Dashboard!$L$1&amp;""""))/100),IF(Q759=Dashboard!$L$1,M759,M759*GOOGLEFINANCE(""CURRENCY:""&amp;Q759&amp;""""&amp;Dashboard!$L$1&amp;"""")))"&amp;",M759))"),"")</f>
        <v/>
      </c>
      <c r="T759" s="264" t="str">
        <f t="shared" si="4"/>
        <v/>
      </c>
      <c r="U759" s="264" t="str">
        <f t="shared" si="5"/>
        <v/>
      </c>
      <c r="V759" s="264" t="str">
        <f t="shared" si="6"/>
        <v/>
      </c>
      <c r="W759" s="267" t="str">
        <f t="shared" si="8"/>
        <v/>
      </c>
      <c r="X759" s="264" t="str">
        <f t="shared" si="7"/>
        <v/>
      </c>
    </row>
    <row r="760" ht="15.75" customHeight="1">
      <c r="A760" s="258"/>
      <c r="B760" s="258"/>
      <c r="C760" s="269"/>
      <c r="D760" s="258"/>
      <c r="E760" s="258"/>
      <c r="F760" s="258"/>
      <c r="G760" s="258"/>
      <c r="H760" s="271"/>
      <c r="I760" s="258"/>
      <c r="J760" s="272"/>
      <c r="K760" s="260"/>
      <c r="L760" s="261"/>
      <c r="M760" s="262" t="str">
        <f t="shared" si="1"/>
        <v/>
      </c>
      <c r="N760" s="263" t="str">
        <f t="shared" si="2"/>
        <v/>
      </c>
      <c r="O760" s="264" t="str">
        <f t="shared" si="3"/>
        <v/>
      </c>
      <c r="P760" s="265" t="str">
        <f>IFERROR(__xludf.DUMMYFUNCTION("IF(ISBLANK(A760),"""",IFERROR(IF(H760=""Sell"",VLOOKUP(9^99,FILTER({ROW(P$2:P759),P$2:P759},D$2:D759=D760),2),(VLOOKUP(9^99,FILTER({ROW(P$2:P759),P$2:P759},D$2:D759=D760),2)*VLOOKUP(9^99,FILTER({ROW(O$2:O759),O$2:O759},D$2:D759=D760),2)-N760)/O760),J760))"),"")</f>
        <v/>
      </c>
      <c r="Q760" s="264" t="str">
        <f>IFERROR(__xludf.DUMMYFUNCTION("IFERROR(IF(F760=""Crypto"",B760,(IF(ISBLANK(D760),"""",IF(D760=""Cash"",B760,IF(GOOGLEFINANCE(D760,""CURRENCY"")=""GBX"",""GBP"",GOOGLEFINANCE(D760,""CURRENCY"")))))),B760)"),"")</f>
        <v/>
      </c>
      <c r="R760" s="263" t="str">
        <f>IFERROR(__xludf.DUMMYFUNCTION("IF(ISBLANK(A760),"""",IFERROR(IF(OR(Q760=""GPB"",Q760=""ZAR""),IF(Q760=Dashboard!$L$1,K760,(K760*GOOGLEFINANCE(""CURRENCY:""&amp;Q760&amp;""""&amp;Dashboard!$L$1&amp;""""))/100),IF(Q760=Dashboard!$L$1,K760,K760*GOOGLEFINANCE(""CURRENCY:""&amp;Q760&amp;""""&amp;Dashboard!$L$1&amp;"""")))"&amp;",K760))"),"")</f>
        <v/>
      </c>
      <c r="S760" s="266" t="str">
        <f>IFERROR(__xludf.DUMMYFUNCTION("IF(ISBLANK(A760),"""",IFERROR(IF(OR(Q760=""GPB"",Q760=""ZAR""),IF(Q760=Dashboard!$L$1,M760,(M760*GOOGLEFINANCE(""CURRENCY:""&amp;Q760&amp;""""&amp;Dashboard!$L$1&amp;""""))/100),IF(Q760=Dashboard!$L$1,M760,M760*GOOGLEFINANCE(""CURRENCY:""&amp;Q760&amp;""""&amp;Dashboard!$L$1&amp;"""")))"&amp;",M760))"),"")</f>
        <v/>
      </c>
      <c r="T760" s="264" t="str">
        <f t="shared" si="4"/>
        <v/>
      </c>
      <c r="U760" s="264" t="str">
        <f t="shared" si="5"/>
        <v/>
      </c>
      <c r="V760" s="264" t="str">
        <f t="shared" si="6"/>
        <v/>
      </c>
      <c r="W760" s="267" t="str">
        <f t="shared" si="8"/>
        <v/>
      </c>
      <c r="X760" s="264" t="str">
        <f t="shared" si="7"/>
        <v/>
      </c>
    </row>
    <row r="761" ht="15.75" customHeight="1">
      <c r="A761" s="258"/>
      <c r="B761" s="258"/>
      <c r="C761" s="269"/>
      <c r="D761" s="258"/>
      <c r="E761" s="258"/>
      <c r="F761" s="258"/>
      <c r="G761" s="258"/>
      <c r="H761" s="271"/>
      <c r="I761" s="258"/>
      <c r="J761" s="272"/>
      <c r="K761" s="260"/>
      <c r="L761" s="261"/>
      <c r="M761" s="262" t="str">
        <f t="shared" si="1"/>
        <v/>
      </c>
      <c r="N761" s="263" t="str">
        <f t="shared" si="2"/>
        <v/>
      </c>
      <c r="O761" s="264" t="str">
        <f t="shared" si="3"/>
        <v/>
      </c>
      <c r="P761" s="265" t="str">
        <f>IFERROR(__xludf.DUMMYFUNCTION("IF(ISBLANK(A761),"""",IFERROR(IF(H761=""Sell"",VLOOKUP(9^99,FILTER({ROW(P$2:P760),P$2:P760},D$2:D760=D761),2),(VLOOKUP(9^99,FILTER({ROW(P$2:P760),P$2:P760},D$2:D760=D761),2)*VLOOKUP(9^99,FILTER({ROW(O$2:O760),O$2:O760},D$2:D760=D761),2)-N761)/O761),J761))"),"")</f>
        <v/>
      </c>
      <c r="Q761" s="264" t="str">
        <f>IFERROR(__xludf.DUMMYFUNCTION("IFERROR(IF(F761=""Crypto"",B761,(IF(ISBLANK(D761),"""",IF(D761=""Cash"",B761,IF(GOOGLEFINANCE(D761,""CURRENCY"")=""GBX"",""GBP"",GOOGLEFINANCE(D761,""CURRENCY"")))))),B761)"),"")</f>
        <v/>
      </c>
      <c r="R761" s="263" t="str">
        <f>IFERROR(__xludf.DUMMYFUNCTION("IF(ISBLANK(A761),"""",IFERROR(IF(OR(Q761=""GPB"",Q761=""ZAR""),IF(Q761=Dashboard!$L$1,K761,(K761*GOOGLEFINANCE(""CURRENCY:""&amp;Q761&amp;""""&amp;Dashboard!$L$1&amp;""""))/100),IF(Q761=Dashboard!$L$1,K761,K761*GOOGLEFINANCE(""CURRENCY:""&amp;Q761&amp;""""&amp;Dashboard!$L$1&amp;"""")))"&amp;",K761))"),"")</f>
        <v/>
      </c>
      <c r="S761" s="266" t="str">
        <f>IFERROR(__xludf.DUMMYFUNCTION("IF(ISBLANK(A761),"""",IFERROR(IF(OR(Q761=""GPB"",Q761=""ZAR""),IF(Q761=Dashboard!$L$1,M761,(M761*GOOGLEFINANCE(""CURRENCY:""&amp;Q761&amp;""""&amp;Dashboard!$L$1&amp;""""))/100),IF(Q761=Dashboard!$L$1,M761,M761*GOOGLEFINANCE(""CURRENCY:""&amp;Q761&amp;""""&amp;Dashboard!$L$1&amp;"""")))"&amp;",M761))"),"")</f>
        <v/>
      </c>
      <c r="T761" s="264" t="str">
        <f t="shared" si="4"/>
        <v/>
      </c>
      <c r="U761" s="264" t="str">
        <f t="shared" si="5"/>
        <v/>
      </c>
      <c r="V761" s="264" t="str">
        <f t="shared" si="6"/>
        <v/>
      </c>
      <c r="W761" s="267" t="str">
        <f t="shared" si="8"/>
        <v/>
      </c>
      <c r="X761" s="264" t="str">
        <f t="shared" si="7"/>
        <v/>
      </c>
    </row>
    <row r="762" ht="15.75" customHeight="1">
      <c r="A762" s="258"/>
      <c r="B762" s="258"/>
      <c r="C762" s="269"/>
      <c r="D762" s="258"/>
      <c r="E762" s="258"/>
      <c r="F762" s="258"/>
      <c r="G762" s="258"/>
      <c r="H762" s="271"/>
      <c r="I762" s="258"/>
      <c r="J762" s="272"/>
      <c r="K762" s="260"/>
      <c r="L762" s="261"/>
      <c r="M762" s="262" t="str">
        <f t="shared" si="1"/>
        <v/>
      </c>
      <c r="N762" s="263" t="str">
        <f t="shared" si="2"/>
        <v/>
      </c>
      <c r="O762" s="264" t="str">
        <f t="shared" si="3"/>
        <v/>
      </c>
      <c r="P762" s="265" t="str">
        <f>IFERROR(__xludf.DUMMYFUNCTION("IF(ISBLANK(A762),"""",IFERROR(IF(H762=""Sell"",VLOOKUP(9^99,FILTER({ROW(P$2:P761),P$2:P761},D$2:D761=D762),2),(VLOOKUP(9^99,FILTER({ROW(P$2:P761),P$2:P761},D$2:D761=D762),2)*VLOOKUP(9^99,FILTER({ROW(O$2:O761),O$2:O761},D$2:D761=D762),2)-N762)/O762),J762))"),"")</f>
        <v/>
      </c>
      <c r="Q762" s="264" t="str">
        <f>IFERROR(__xludf.DUMMYFUNCTION("IFERROR(IF(F762=""Crypto"",B762,(IF(ISBLANK(D762),"""",IF(D762=""Cash"",B762,IF(GOOGLEFINANCE(D762,""CURRENCY"")=""GBX"",""GBP"",GOOGLEFINANCE(D762,""CURRENCY"")))))),B762)"),"")</f>
        <v/>
      </c>
      <c r="R762" s="263" t="str">
        <f>IFERROR(__xludf.DUMMYFUNCTION("IF(ISBLANK(A762),"""",IFERROR(IF(OR(Q762=""GPB"",Q762=""ZAR""),IF(Q762=Dashboard!$L$1,K762,(K762*GOOGLEFINANCE(""CURRENCY:""&amp;Q762&amp;""""&amp;Dashboard!$L$1&amp;""""))/100),IF(Q762=Dashboard!$L$1,K762,K762*GOOGLEFINANCE(""CURRENCY:""&amp;Q762&amp;""""&amp;Dashboard!$L$1&amp;"""")))"&amp;",K762))"),"")</f>
        <v/>
      </c>
      <c r="S762" s="266" t="str">
        <f>IFERROR(__xludf.DUMMYFUNCTION("IF(ISBLANK(A762),"""",IFERROR(IF(OR(Q762=""GPB"",Q762=""ZAR""),IF(Q762=Dashboard!$L$1,M762,(M762*GOOGLEFINANCE(""CURRENCY:""&amp;Q762&amp;""""&amp;Dashboard!$L$1&amp;""""))/100),IF(Q762=Dashboard!$L$1,M762,M762*GOOGLEFINANCE(""CURRENCY:""&amp;Q762&amp;""""&amp;Dashboard!$L$1&amp;"""")))"&amp;",M762))"),"")</f>
        <v/>
      </c>
      <c r="T762" s="264" t="str">
        <f t="shared" si="4"/>
        <v/>
      </c>
      <c r="U762" s="264" t="str">
        <f t="shared" si="5"/>
        <v/>
      </c>
      <c r="V762" s="264" t="str">
        <f t="shared" si="6"/>
        <v/>
      </c>
      <c r="W762" s="267" t="str">
        <f t="shared" si="8"/>
        <v/>
      </c>
      <c r="X762" s="264" t="str">
        <f t="shared" si="7"/>
        <v/>
      </c>
    </row>
    <row r="763" ht="15.75" customHeight="1">
      <c r="A763" s="258"/>
      <c r="B763" s="258"/>
      <c r="C763" s="269"/>
      <c r="D763" s="258"/>
      <c r="E763" s="258"/>
      <c r="F763" s="258"/>
      <c r="G763" s="258"/>
      <c r="H763" s="271"/>
      <c r="I763" s="258"/>
      <c r="J763" s="272"/>
      <c r="K763" s="260"/>
      <c r="L763" s="261"/>
      <c r="M763" s="262" t="str">
        <f t="shared" si="1"/>
        <v/>
      </c>
      <c r="N763" s="263" t="str">
        <f t="shared" si="2"/>
        <v/>
      </c>
      <c r="O763" s="264" t="str">
        <f t="shared" si="3"/>
        <v/>
      </c>
      <c r="P763" s="265" t="str">
        <f>IFERROR(__xludf.DUMMYFUNCTION("IF(ISBLANK(A763),"""",IFERROR(IF(H763=""Sell"",VLOOKUP(9^99,FILTER({ROW(P$2:P762),P$2:P762},D$2:D762=D763),2),(VLOOKUP(9^99,FILTER({ROW(P$2:P762),P$2:P762},D$2:D762=D763),2)*VLOOKUP(9^99,FILTER({ROW(O$2:O762),O$2:O762},D$2:D762=D763),2)-N763)/O763),J763))"),"")</f>
        <v/>
      </c>
      <c r="Q763" s="264" t="str">
        <f>IFERROR(__xludf.DUMMYFUNCTION("IFERROR(IF(F763=""Crypto"",B763,(IF(ISBLANK(D763),"""",IF(D763=""Cash"",B763,IF(GOOGLEFINANCE(D763,""CURRENCY"")=""GBX"",""GBP"",GOOGLEFINANCE(D763,""CURRENCY"")))))),B763)"),"")</f>
        <v/>
      </c>
      <c r="R763" s="263" t="str">
        <f>IFERROR(__xludf.DUMMYFUNCTION("IF(ISBLANK(A763),"""",IFERROR(IF(OR(Q763=""GPB"",Q763=""ZAR""),IF(Q763=Dashboard!$L$1,K763,(K763*GOOGLEFINANCE(""CURRENCY:""&amp;Q763&amp;""""&amp;Dashboard!$L$1&amp;""""))/100),IF(Q763=Dashboard!$L$1,K763,K763*GOOGLEFINANCE(""CURRENCY:""&amp;Q763&amp;""""&amp;Dashboard!$L$1&amp;"""")))"&amp;",K763))"),"")</f>
        <v/>
      </c>
      <c r="S763" s="266" t="str">
        <f>IFERROR(__xludf.DUMMYFUNCTION("IF(ISBLANK(A763),"""",IFERROR(IF(OR(Q763=""GPB"",Q763=""ZAR""),IF(Q763=Dashboard!$L$1,M763,(M763*GOOGLEFINANCE(""CURRENCY:""&amp;Q763&amp;""""&amp;Dashboard!$L$1&amp;""""))/100),IF(Q763=Dashboard!$L$1,M763,M763*GOOGLEFINANCE(""CURRENCY:""&amp;Q763&amp;""""&amp;Dashboard!$L$1&amp;"""")))"&amp;",M763))"),"")</f>
        <v/>
      </c>
      <c r="T763" s="264" t="str">
        <f t="shared" si="4"/>
        <v/>
      </c>
      <c r="U763" s="264" t="str">
        <f t="shared" si="5"/>
        <v/>
      </c>
      <c r="V763" s="264" t="str">
        <f t="shared" si="6"/>
        <v/>
      </c>
      <c r="W763" s="267" t="str">
        <f t="shared" si="8"/>
        <v/>
      </c>
      <c r="X763" s="264" t="str">
        <f t="shared" si="7"/>
        <v/>
      </c>
    </row>
    <row r="764" ht="15.75" customHeight="1">
      <c r="A764" s="258"/>
      <c r="B764" s="258"/>
      <c r="C764" s="269"/>
      <c r="D764" s="258"/>
      <c r="E764" s="258"/>
      <c r="F764" s="258"/>
      <c r="G764" s="258"/>
      <c r="H764" s="271"/>
      <c r="I764" s="258"/>
      <c r="J764" s="272"/>
      <c r="K764" s="260"/>
      <c r="L764" s="261"/>
      <c r="M764" s="262" t="str">
        <f t="shared" si="1"/>
        <v/>
      </c>
      <c r="N764" s="263" t="str">
        <f t="shared" si="2"/>
        <v/>
      </c>
      <c r="O764" s="264" t="str">
        <f t="shared" si="3"/>
        <v/>
      </c>
      <c r="P764" s="265" t="str">
        <f>IFERROR(__xludf.DUMMYFUNCTION("IF(ISBLANK(A764),"""",IFERROR(IF(H764=""Sell"",VLOOKUP(9^99,FILTER({ROW(P$2:P763),P$2:P763},D$2:D763=D764),2),(VLOOKUP(9^99,FILTER({ROW(P$2:P763),P$2:P763},D$2:D763=D764),2)*VLOOKUP(9^99,FILTER({ROW(O$2:O763),O$2:O763},D$2:D763=D764),2)-N764)/O764),J764))"),"")</f>
        <v/>
      </c>
      <c r="Q764" s="264" t="str">
        <f>IFERROR(__xludf.DUMMYFUNCTION("IFERROR(IF(F764=""Crypto"",B764,(IF(ISBLANK(D764),"""",IF(D764=""Cash"",B764,IF(GOOGLEFINANCE(D764,""CURRENCY"")=""GBX"",""GBP"",GOOGLEFINANCE(D764,""CURRENCY"")))))),B764)"),"")</f>
        <v/>
      </c>
      <c r="R764" s="263" t="str">
        <f>IFERROR(__xludf.DUMMYFUNCTION("IF(ISBLANK(A764),"""",IFERROR(IF(OR(Q764=""GPB"",Q764=""ZAR""),IF(Q764=Dashboard!$L$1,K764,(K764*GOOGLEFINANCE(""CURRENCY:""&amp;Q764&amp;""""&amp;Dashboard!$L$1&amp;""""))/100),IF(Q764=Dashboard!$L$1,K764,K764*GOOGLEFINANCE(""CURRENCY:""&amp;Q764&amp;""""&amp;Dashboard!$L$1&amp;"""")))"&amp;",K764))"),"")</f>
        <v/>
      </c>
      <c r="S764" s="266" t="str">
        <f>IFERROR(__xludf.DUMMYFUNCTION("IF(ISBLANK(A764),"""",IFERROR(IF(OR(Q764=""GPB"",Q764=""ZAR""),IF(Q764=Dashboard!$L$1,M764,(M764*GOOGLEFINANCE(""CURRENCY:""&amp;Q764&amp;""""&amp;Dashboard!$L$1&amp;""""))/100),IF(Q764=Dashboard!$L$1,M764,M764*GOOGLEFINANCE(""CURRENCY:""&amp;Q764&amp;""""&amp;Dashboard!$L$1&amp;"""")))"&amp;",M764))"),"")</f>
        <v/>
      </c>
      <c r="T764" s="264" t="str">
        <f t="shared" si="4"/>
        <v/>
      </c>
      <c r="U764" s="264" t="str">
        <f t="shared" si="5"/>
        <v/>
      </c>
      <c r="V764" s="264" t="str">
        <f t="shared" si="6"/>
        <v/>
      </c>
      <c r="W764" s="267" t="str">
        <f t="shared" si="8"/>
        <v/>
      </c>
      <c r="X764" s="264" t="str">
        <f t="shared" si="7"/>
        <v/>
      </c>
    </row>
    <row r="765" ht="15.75" customHeight="1">
      <c r="A765" s="258"/>
      <c r="B765" s="258"/>
      <c r="C765" s="269"/>
      <c r="D765" s="258"/>
      <c r="E765" s="258"/>
      <c r="F765" s="258"/>
      <c r="G765" s="258"/>
      <c r="H765" s="271"/>
      <c r="I765" s="258"/>
      <c r="J765" s="272"/>
      <c r="K765" s="260"/>
      <c r="L765" s="261"/>
      <c r="M765" s="262" t="str">
        <f t="shared" si="1"/>
        <v/>
      </c>
      <c r="N765" s="263" t="str">
        <f t="shared" si="2"/>
        <v/>
      </c>
      <c r="O765" s="264" t="str">
        <f t="shared" si="3"/>
        <v/>
      </c>
      <c r="P765" s="265" t="str">
        <f>IFERROR(__xludf.DUMMYFUNCTION("IF(ISBLANK(A765),"""",IFERROR(IF(H765=""Sell"",VLOOKUP(9^99,FILTER({ROW(P$2:P764),P$2:P764},D$2:D764=D765),2),(VLOOKUP(9^99,FILTER({ROW(P$2:P764),P$2:P764},D$2:D764=D765),2)*VLOOKUP(9^99,FILTER({ROW(O$2:O764),O$2:O764},D$2:D764=D765),2)-N765)/O765),J765))"),"")</f>
        <v/>
      </c>
      <c r="Q765" s="264" t="str">
        <f>IFERROR(__xludf.DUMMYFUNCTION("IFERROR(IF(F765=""Crypto"",B765,(IF(ISBLANK(D765),"""",IF(D765=""Cash"",B765,IF(GOOGLEFINANCE(D765,""CURRENCY"")=""GBX"",""GBP"",GOOGLEFINANCE(D765,""CURRENCY"")))))),B765)"),"")</f>
        <v/>
      </c>
      <c r="R765" s="263" t="str">
        <f>IFERROR(__xludf.DUMMYFUNCTION("IF(ISBLANK(A765),"""",IFERROR(IF(OR(Q765=""GPB"",Q765=""ZAR""),IF(Q765=Dashboard!$L$1,K765,(K765*GOOGLEFINANCE(""CURRENCY:""&amp;Q765&amp;""""&amp;Dashboard!$L$1&amp;""""))/100),IF(Q765=Dashboard!$L$1,K765,K765*GOOGLEFINANCE(""CURRENCY:""&amp;Q765&amp;""""&amp;Dashboard!$L$1&amp;"""")))"&amp;",K765))"),"")</f>
        <v/>
      </c>
      <c r="S765" s="266" t="str">
        <f>IFERROR(__xludf.DUMMYFUNCTION("IF(ISBLANK(A765),"""",IFERROR(IF(OR(Q765=""GPB"",Q765=""ZAR""),IF(Q765=Dashboard!$L$1,M765,(M765*GOOGLEFINANCE(""CURRENCY:""&amp;Q765&amp;""""&amp;Dashboard!$L$1&amp;""""))/100),IF(Q765=Dashboard!$L$1,M765,M765*GOOGLEFINANCE(""CURRENCY:""&amp;Q765&amp;""""&amp;Dashboard!$L$1&amp;"""")))"&amp;",M765))"),"")</f>
        <v/>
      </c>
      <c r="T765" s="264" t="str">
        <f t="shared" si="4"/>
        <v/>
      </c>
      <c r="U765" s="264" t="str">
        <f t="shared" si="5"/>
        <v/>
      </c>
      <c r="V765" s="264" t="str">
        <f t="shared" si="6"/>
        <v/>
      </c>
      <c r="W765" s="267" t="str">
        <f t="shared" si="8"/>
        <v/>
      </c>
      <c r="X765" s="264" t="str">
        <f t="shared" si="7"/>
        <v/>
      </c>
    </row>
    <row r="766" ht="15.75" customHeight="1">
      <c r="A766" s="258"/>
      <c r="B766" s="258"/>
      <c r="C766" s="269"/>
      <c r="D766" s="258"/>
      <c r="E766" s="258"/>
      <c r="F766" s="258"/>
      <c r="G766" s="258"/>
      <c r="H766" s="271"/>
      <c r="I766" s="258"/>
      <c r="J766" s="272"/>
      <c r="K766" s="260"/>
      <c r="L766" s="261"/>
      <c r="M766" s="262" t="str">
        <f t="shared" si="1"/>
        <v/>
      </c>
      <c r="N766" s="263" t="str">
        <f t="shared" si="2"/>
        <v/>
      </c>
      <c r="O766" s="264" t="str">
        <f t="shared" si="3"/>
        <v/>
      </c>
      <c r="P766" s="265" t="str">
        <f>IFERROR(__xludf.DUMMYFUNCTION("IF(ISBLANK(A766),"""",IFERROR(IF(H766=""Sell"",VLOOKUP(9^99,FILTER({ROW(P$2:P765),P$2:P765},D$2:D765=D766),2),(VLOOKUP(9^99,FILTER({ROW(P$2:P765),P$2:P765},D$2:D765=D766),2)*VLOOKUP(9^99,FILTER({ROW(O$2:O765),O$2:O765},D$2:D765=D766),2)-N766)/O766),J766))"),"")</f>
        <v/>
      </c>
      <c r="Q766" s="264" t="str">
        <f>IFERROR(__xludf.DUMMYFUNCTION("IFERROR(IF(F766=""Crypto"",B766,(IF(ISBLANK(D766),"""",IF(D766=""Cash"",B766,IF(GOOGLEFINANCE(D766,""CURRENCY"")=""GBX"",""GBP"",GOOGLEFINANCE(D766,""CURRENCY"")))))),B766)"),"")</f>
        <v/>
      </c>
      <c r="R766" s="263" t="str">
        <f>IFERROR(__xludf.DUMMYFUNCTION("IF(ISBLANK(A766),"""",IFERROR(IF(OR(Q766=""GPB"",Q766=""ZAR""),IF(Q766=Dashboard!$L$1,K766,(K766*GOOGLEFINANCE(""CURRENCY:""&amp;Q766&amp;""""&amp;Dashboard!$L$1&amp;""""))/100),IF(Q766=Dashboard!$L$1,K766,K766*GOOGLEFINANCE(""CURRENCY:""&amp;Q766&amp;""""&amp;Dashboard!$L$1&amp;"""")))"&amp;",K766))"),"")</f>
        <v/>
      </c>
      <c r="S766" s="266" t="str">
        <f>IFERROR(__xludf.DUMMYFUNCTION("IF(ISBLANK(A766),"""",IFERROR(IF(OR(Q766=""GPB"",Q766=""ZAR""),IF(Q766=Dashboard!$L$1,M766,(M766*GOOGLEFINANCE(""CURRENCY:""&amp;Q766&amp;""""&amp;Dashboard!$L$1&amp;""""))/100),IF(Q766=Dashboard!$L$1,M766,M766*GOOGLEFINANCE(""CURRENCY:""&amp;Q766&amp;""""&amp;Dashboard!$L$1&amp;"""")))"&amp;",M766))"),"")</f>
        <v/>
      </c>
      <c r="T766" s="264" t="str">
        <f t="shared" si="4"/>
        <v/>
      </c>
      <c r="U766" s="264" t="str">
        <f t="shared" si="5"/>
        <v/>
      </c>
      <c r="V766" s="264" t="str">
        <f t="shared" si="6"/>
        <v/>
      </c>
      <c r="W766" s="267" t="str">
        <f t="shared" si="8"/>
        <v/>
      </c>
      <c r="X766" s="264" t="str">
        <f t="shared" si="7"/>
        <v/>
      </c>
    </row>
    <row r="767" ht="15.75" customHeight="1">
      <c r="A767" s="258"/>
      <c r="B767" s="258"/>
      <c r="C767" s="269"/>
      <c r="D767" s="258"/>
      <c r="E767" s="258"/>
      <c r="F767" s="258"/>
      <c r="G767" s="258"/>
      <c r="H767" s="271"/>
      <c r="I767" s="258"/>
      <c r="J767" s="272"/>
      <c r="K767" s="260"/>
      <c r="L767" s="261"/>
      <c r="M767" s="262" t="str">
        <f t="shared" si="1"/>
        <v/>
      </c>
      <c r="N767" s="263" t="str">
        <f t="shared" si="2"/>
        <v/>
      </c>
      <c r="O767" s="264" t="str">
        <f t="shared" si="3"/>
        <v/>
      </c>
      <c r="P767" s="265" t="str">
        <f>IFERROR(__xludf.DUMMYFUNCTION("IF(ISBLANK(A767),"""",IFERROR(IF(H767=""Sell"",VLOOKUP(9^99,FILTER({ROW(P$2:P766),P$2:P766},D$2:D766=D767),2),(VLOOKUP(9^99,FILTER({ROW(P$2:P766),P$2:P766},D$2:D766=D767),2)*VLOOKUP(9^99,FILTER({ROW(O$2:O766),O$2:O766},D$2:D766=D767),2)-N767)/O767),J767))"),"")</f>
        <v/>
      </c>
      <c r="Q767" s="264" t="str">
        <f>IFERROR(__xludf.DUMMYFUNCTION("IFERROR(IF(F767=""Crypto"",B767,(IF(ISBLANK(D767),"""",IF(D767=""Cash"",B767,IF(GOOGLEFINANCE(D767,""CURRENCY"")=""GBX"",""GBP"",GOOGLEFINANCE(D767,""CURRENCY"")))))),B767)"),"")</f>
        <v/>
      </c>
      <c r="R767" s="263" t="str">
        <f>IFERROR(__xludf.DUMMYFUNCTION("IF(ISBLANK(A767),"""",IFERROR(IF(OR(Q767=""GPB"",Q767=""ZAR""),IF(Q767=Dashboard!$L$1,K767,(K767*GOOGLEFINANCE(""CURRENCY:""&amp;Q767&amp;""""&amp;Dashboard!$L$1&amp;""""))/100),IF(Q767=Dashboard!$L$1,K767,K767*GOOGLEFINANCE(""CURRENCY:""&amp;Q767&amp;""""&amp;Dashboard!$L$1&amp;"""")))"&amp;",K767))"),"")</f>
        <v/>
      </c>
      <c r="S767" s="266" t="str">
        <f>IFERROR(__xludf.DUMMYFUNCTION("IF(ISBLANK(A767),"""",IFERROR(IF(OR(Q767=""GPB"",Q767=""ZAR""),IF(Q767=Dashboard!$L$1,M767,(M767*GOOGLEFINANCE(""CURRENCY:""&amp;Q767&amp;""""&amp;Dashboard!$L$1&amp;""""))/100),IF(Q767=Dashboard!$L$1,M767,M767*GOOGLEFINANCE(""CURRENCY:""&amp;Q767&amp;""""&amp;Dashboard!$L$1&amp;"""")))"&amp;",M767))"),"")</f>
        <v/>
      </c>
      <c r="T767" s="264" t="str">
        <f t="shared" si="4"/>
        <v/>
      </c>
      <c r="U767" s="264" t="str">
        <f t="shared" si="5"/>
        <v/>
      </c>
      <c r="V767" s="264" t="str">
        <f t="shared" si="6"/>
        <v/>
      </c>
      <c r="W767" s="267" t="str">
        <f t="shared" si="8"/>
        <v/>
      </c>
      <c r="X767" s="264" t="str">
        <f t="shared" si="7"/>
        <v/>
      </c>
    </row>
    <row r="768" ht="15.75" customHeight="1">
      <c r="A768" s="258"/>
      <c r="B768" s="258"/>
      <c r="C768" s="269"/>
      <c r="D768" s="258"/>
      <c r="E768" s="258"/>
      <c r="F768" s="258"/>
      <c r="G768" s="258"/>
      <c r="H768" s="271"/>
      <c r="I768" s="258"/>
      <c r="J768" s="272"/>
      <c r="K768" s="260"/>
      <c r="L768" s="261"/>
      <c r="M768" s="262" t="str">
        <f t="shared" si="1"/>
        <v/>
      </c>
      <c r="N768" s="263" t="str">
        <f t="shared" si="2"/>
        <v/>
      </c>
      <c r="O768" s="264" t="str">
        <f t="shared" si="3"/>
        <v/>
      </c>
      <c r="P768" s="265" t="str">
        <f>IFERROR(__xludf.DUMMYFUNCTION("IF(ISBLANK(A768),"""",IFERROR(IF(H768=""Sell"",VLOOKUP(9^99,FILTER({ROW(P$2:P767),P$2:P767},D$2:D767=D768),2),(VLOOKUP(9^99,FILTER({ROW(P$2:P767),P$2:P767},D$2:D767=D768),2)*VLOOKUP(9^99,FILTER({ROW(O$2:O767),O$2:O767},D$2:D767=D768),2)-N768)/O768),J768))"),"")</f>
        <v/>
      </c>
      <c r="Q768" s="264" t="str">
        <f>IFERROR(__xludf.DUMMYFUNCTION("IFERROR(IF(F768=""Crypto"",B768,(IF(ISBLANK(D768),"""",IF(D768=""Cash"",B768,IF(GOOGLEFINANCE(D768,""CURRENCY"")=""GBX"",""GBP"",GOOGLEFINANCE(D768,""CURRENCY"")))))),B768)"),"")</f>
        <v/>
      </c>
      <c r="R768" s="263" t="str">
        <f>IFERROR(__xludf.DUMMYFUNCTION("IF(ISBLANK(A768),"""",IFERROR(IF(OR(Q768=""GPB"",Q768=""ZAR""),IF(Q768=Dashboard!$L$1,K768,(K768*GOOGLEFINANCE(""CURRENCY:""&amp;Q768&amp;""""&amp;Dashboard!$L$1&amp;""""))/100),IF(Q768=Dashboard!$L$1,K768,K768*GOOGLEFINANCE(""CURRENCY:""&amp;Q768&amp;""""&amp;Dashboard!$L$1&amp;"""")))"&amp;",K768))"),"")</f>
        <v/>
      </c>
      <c r="S768" s="266" t="str">
        <f>IFERROR(__xludf.DUMMYFUNCTION("IF(ISBLANK(A768),"""",IFERROR(IF(OR(Q768=""GPB"",Q768=""ZAR""),IF(Q768=Dashboard!$L$1,M768,(M768*GOOGLEFINANCE(""CURRENCY:""&amp;Q768&amp;""""&amp;Dashboard!$L$1&amp;""""))/100),IF(Q768=Dashboard!$L$1,M768,M768*GOOGLEFINANCE(""CURRENCY:""&amp;Q768&amp;""""&amp;Dashboard!$L$1&amp;"""")))"&amp;",M768))"),"")</f>
        <v/>
      </c>
      <c r="T768" s="264" t="str">
        <f t="shared" si="4"/>
        <v/>
      </c>
      <c r="U768" s="264" t="str">
        <f t="shared" si="5"/>
        <v/>
      </c>
      <c r="V768" s="264" t="str">
        <f t="shared" si="6"/>
        <v/>
      </c>
      <c r="W768" s="267" t="str">
        <f t="shared" si="8"/>
        <v/>
      </c>
      <c r="X768" s="264" t="str">
        <f t="shared" si="7"/>
        <v/>
      </c>
    </row>
    <row r="769" ht="15.75" customHeight="1">
      <c r="A769" s="258"/>
      <c r="B769" s="258"/>
      <c r="C769" s="269"/>
      <c r="D769" s="258"/>
      <c r="E769" s="258"/>
      <c r="F769" s="258"/>
      <c r="G769" s="258"/>
      <c r="H769" s="271"/>
      <c r="I769" s="258"/>
      <c r="J769" s="272"/>
      <c r="K769" s="260"/>
      <c r="L769" s="261"/>
      <c r="M769" s="262" t="str">
        <f t="shared" si="1"/>
        <v/>
      </c>
      <c r="N769" s="263" t="str">
        <f t="shared" si="2"/>
        <v/>
      </c>
      <c r="O769" s="264" t="str">
        <f t="shared" si="3"/>
        <v/>
      </c>
      <c r="P769" s="265" t="str">
        <f>IFERROR(__xludf.DUMMYFUNCTION("IF(ISBLANK(A769),"""",IFERROR(IF(H769=""Sell"",VLOOKUP(9^99,FILTER({ROW(P$2:P768),P$2:P768},D$2:D768=D769),2),(VLOOKUP(9^99,FILTER({ROW(P$2:P768),P$2:P768},D$2:D768=D769),2)*VLOOKUP(9^99,FILTER({ROW(O$2:O768),O$2:O768},D$2:D768=D769),2)-N769)/O769),J769))"),"")</f>
        <v/>
      </c>
      <c r="Q769" s="264" t="str">
        <f>IFERROR(__xludf.DUMMYFUNCTION("IFERROR(IF(F769=""Crypto"",B769,(IF(ISBLANK(D769),"""",IF(D769=""Cash"",B769,IF(GOOGLEFINANCE(D769,""CURRENCY"")=""GBX"",""GBP"",GOOGLEFINANCE(D769,""CURRENCY"")))))),B769)"),"")</f>
        <v/>
      </c>
      <c r="R769" s="263" t="str">
        <f>IFERROR(__xludf.DUMMYFUNCTION("IF(ISBLANK(A769),"""",IFERROR(IF(OR(Q769=""GPB"",Q769=""ZAR""),IF(Q769=Dashboard!$L$1,K769,(K769*GOOGLEFINANCE(""CURRENCY:""&amp;Q769&amp;""""&amp;Dashboard!$L$1&amp;""""))/100),IF(Q769=Dashboard!$L$1,K769,K769*GOOGLEFINANCE(""CURRENCY:""&amp;Q769&amp;""""&amp;Dashboard!$L$1&amp;"""")))"&amp;",K769))"),"")</f>
        <v/>
      </c>
      <c r="S769" s="266" t="str">
        <f>IFERROR(__xludf.DUMMYFUNCTION("IF(ISBLANK(A769),"""",IFERROR(IF(OR(Q769=""GPB"",Q769=""ZAR""),IF(Q769=Dashboard!$L$1,M769,(M769*GOOGLEFINANCE(""CURRENCY:""&amp;Q769&amp;""""&amp;Dashboard!$L$1&amp;""""))/100),IF(Q769=Dashboard!$L$1,M769,M769*GOOGLEFINANCE(""CURRENCY:""&amp;Q769&amp;""""&amp;Dashboard!$L$1&amp;"""")))"&amp;",M769))"),"")</f>
        <v/>
      </c>
      <c r="T769" s="264" t="str">
        <f t="shared" si="4"/>
        <v/>
      </c>
      <c r="U769" s="264" t="str">
        <f t="shared" si="5"/>
        <v/>
      </c>
      <c r="V769" s="264" t="str">
        <f t="shared" si="6"/>
        <v/>
      </c>
      <c r="W769" s="267" t="str">
        <f t="shared" si="8"/>
        <v/>
      </c>
      <c r="X769" s="264" t="str">
        <f t="shared" si="7"/>
        <v/>
      </c>
    </row>
    <row r="770" ht="15.75" customHeight="1">
      <c r="A770" s="258"/>
      <c r="B770" s="258"/>
      <c r="C770" s="269"/>
      <c r="D770" s="258"/>
      <c r="E770" s="258"/>
      <c r="F770" s="258"/>
      <c r="G770" s="258"/>
      <c r="H770" s="271"/>
      <c r="I770" s="258"/>
      <c r="J770" s="272"/>
      <c r="K770" s="260"/>
      <c r="L770" s="261"/>
      <c r="M770" s="262" t="str">
        <f t="shared" si="1"/>
        <v/>
      </c>
      <c r="N770" s="263" t="str">
        <f t="shared" si="2"/>
        <v/>
      </c>
      <c r="O770" s="264" t="str">
        <f t="shared" si="3"/>
        <v/>
      </c>
      <c r="P770" s="265" t="str">
        <f>IFERROR(__xludf.DUMMYFUNCTION("IF(ISBLANK(A770),"""",IFERROR(IF(H770=""Sell"",VLOOKUP(9^99,FILTER({ROW(P$2:P769),P$2:P769},D$2:D769=D770),2),(VLOOKUP(9^99,FILTER({ROW(P$2:P769),P$2:P769},D$2:D769=D770),2)*VLOOKUP(9^99,FILTER({ROW(O$2:O769),O$2:O769},D$2:D769=D770),2)-N770)/O770),J770))"),"")</f>
        <v/>
      </c>
      <c r="Q770" s="264" t="str">
        <f>IFERROR(__xludf.DUMMYFUNCTION("IFERROR(IF(F770=""Crypto"",B770,(IF(ISBLANK(D770),"""",IF(D770=""Cash"",B770,IF(GOOGLEFINANCE(D770,""CURRENCY"")=""GBX"",""GBP"",GOOGLEFINANCE(D770,""CURRENCY"")))))),B770)"),"")</f>
        <v/>
      </c>
      <c r="R770" s="263" t="str">
        <f>IFERROR(__xludf.DUMMYFUNCTION("IF(ISBLANK(A770),"""",IFERROR(IF(OR(Q770=""GPB"",Q770=""ZAR""),IF(Q770=Dashboard!$L$1,K770,(K770*GOOGLEFINANCE(""CURRENCY:""&amp;Q770&amp;""""&amp;Dashboard!$L$1&amp;""""))/100),IF(Q770=Dashboard!$L$1,K770,K770*GOOGLEFINANCE(""CURRENCY:""&amp;Q770&amp;""""&amp;Dashboard!$L$1&amp;"""")))"&amp;",K770))"),"")</f>
        <v/>
      </c>
      <c r="S770" s="266" t="str">
        <f>IFERROR(__xludf.DUMMYFUNCTION("IF(ISBLANK(A770),"""",IFERROR(IF(OR(Q770=""GPB"",Q770=""ZAR""),IF(Q770=Dashboard!$L$1,M770,(M770*GOOGLEFINANCE(""CURRENCY:""&amp;Q770&amp;""""&amp;Dashboard!$L$1&amp;""""))/100),IF(Q770=Dashboard!$L$1,M770,M770*GOOGLEFINANCE(""CURRENCY:""&amp;Q770&amp;""""&amp;Dashboard!$L$1&amp;"""")))"&amp;",M770))"),"")</f>
        <v/>
      </c>
      <c r="T770" s="264" t="str">
        <f t="shared" si="4"/>
        <v/>
      </c>
      <c r="U770" s="264" t="str">
        <f t="shared" si="5"/>
        <v/>
      </c>
      <c r="V770" s="264" t="str">
        <f t="shared" si="6"/>
        <v/>
      </c>
      <c r="W770" s="267" t="str">
        <f t="shared" si="8"/>
        <v/>
      </c>
      <c r="X770" s="264" t="str">
        <f t="shared" si="7"/>
        <v/>
      </c>
    </row>
    <row r="771" ht="15.75" customHeight="1">
      <c r="A771" s="258"/>
      <c r="B771" s="258"/>
      <c r="C771" s="269"/>
      <c r="D771" s="258"/>
      <c r="E771" s="258"/>
      <c r="F771" s="258"/>
      <c r="G771" s="258"/>
      <c r="H771" s="271"/>
      <c r="I771" s="258"/>
      <c r="J771" s="272"/>
      <c r="K771" s="260"/>
      <c r="L771" s="261"/>
      <c r="M771" s="262" t="str">
        <f t="shared" si="1"/>
        <v/>
      </c>
      <c r="N771" s="263" t="str">
        <f t="shared" si="2"/>
        <v/>
      </c>
      <c r="O771" s="264" t="str">
        <f t="shared" si="3"/>
        <v/>
      </c>
      <c r="P771" s="265" t="str">
        <f>IFERROR(__xludf.DUMMYFUNCTION("IF(ISBLANK(A771),"""",IFERROR(IF(H771=""Sell"",VLOOKUP(9^99,FILTER({ROW(P$2:P770),P$2:P770},D$2:D770=D771),2),(VLOOKUP(9^99,FILTER({ROW(P$2:P770),P$2:P770},D$2:D770=D771),2)*VLOOKUP(9^99,FILTER({ROW(O$2:O770),O$2:O770},D$2:D770=D771),2)-N771)/O771),J771))"),"")</f>
        <v/>
      </c>
      <c r="Q771" s="264" t="str">
        <f>IFERROR(__xludf.DUMMYFUNCTION("IFERROR(IF(F771=""Crypto"",B771,(IF(ISBLANK(D771),"""",IF(D771=""Cash"",B771,IF(GOOGLEFINANCE(D771,""CURRENCY"")=""GBX"",""GBP"",GOOGLEFINANCE(D771,""CURRENCY"")))))),B771)"),"")</f>
        <v/>
      </c>
      <c r="R771" s="263" t="str">
        <f>IFERROR(__xludf.DUMMYFUNCTION("IF(ISBLANK(A771),"""",IFERROR(IF(OR(Q771=""GPB"",Q771=""ZAR""),IF(Q771=Dashboard!$L$1,K771,(K771*GOOGLEFINANCE(""CURRENCY:""&amp;Q771&amp;""""&amp;Dashboard!$L$1&amp;""""))/100),IF(Q771=Dashboard!$L$1,K771,K771*GOOGLEFINANCE(""CURRENCY:""&amp;Q771&amp;""""&amp;Dashboard!$L$1&amp;"""")))"&amp;",K771))"),"")</f>
        <v/>
      </c>
      <c r="S771" s="266" t="str">
        <f>IFERROR(__xludf.DUMMYFUNCTION("IF(ISBLANK(A771),"""",IFERROR(IF(OR(Q771=""GPB"",Q771=""ZAR""),IF(Q771=Dashboard!$L$1,M771,(M771*GOOGLEFINANCE(""CURRENCY:""&amp;Q771&amp;""""&amp;Dashboard!$L$1&amp;""""))/100),IF(Q771=Dashboard!$L$1,M771,M771*GOOGLEFINANCE(""CURRENCY:""&amp;Q771&amp;""""&amp;Dashboard!$L$1&amp;"""")))"&amp;",M771))"),"")</f>
        <v/>
      </c>
      <c r="T771" s="264" t="str">
        <f t="shared" si="4"/>
        <v/>
      </c>
      <c r="U771" s="264" t="str">
        <f t="shared" si="5"/>
        <v/>
      </c>
      <c r="V771" s="264" t="str">
        <f t="shared" si="6"/>
        <v/>
      </c>
      <c r="W771" s="267" t="str">
        <f t="shared" si="8"/>
        <v/>
      </c>
      <c r="X771" s="264" t="str">
        <f t="shared" si="7"/>
        <v/>
      </c>
    </row>
    <row r="772" ht="15.75" customHeight="1">
      <c r="A772" s="258"/>
      <c r="B772" s="258"/>
      <c r="C772" s="269"/>
      <c r="D772" s="258"/>
      <c r="E772" s="258"/>
      <c r="F772" s="258"/>
      <c r="G772" s="258"/>
      <c r="H772" s="271"/>
      <c r="I772" s="258"/>
      <c r="J772" s="272"/>
      <c r="K772" s="260"/>
      <c r="L772" s="261"/>
      <c r="M772" s="262" t="str">
        <f t="shared" si="1"/>
        <v/>
      </c>
      <c r="N772" s="263" t="str">
        <f t="shared" si="2"/>
        <v/>
      </c>
      <c r="O772" s="264" t="str">
        <f t="shared" si="3"/>
        <v/>
      </c>
      <c r="P772" s="265" t="str">
        <f>IFERROR(__xludf.DUMMYFUNCTION("IF(ISBLANK(A772),"""",IFERROR(IF(H772=""Sell"",VLOOKUP(9^99,FILTER({ROW(P$2:P771),P$2:P771},D$2:D771=D772),2),(VLOOKUP(9^99,FILTER({ROW(P$2:P771),P$2:P771},D$2:D771=D772),2)*VLOOKUP(9^99,FILTER({ROW(O$2:O771),O$2:O771},D$2:D771=D772),2)-N772)/O772),J772))"),"")</f>
        <v/>
      </c>
      <c r="Q772" s="264" t="str">
        <f>IFERROR(__xludf.DUMMYFUNCTION("IFERROR(IF(F772=""Crypto"",B772,(IF(ISBLANK(D772),"""",IF(D772=""Cash"",B772,IF(GOOGLEFINANCE(D772,""CURRENCY"")=""GBX"",""GBP"",GOOGLEFINANCE(D772,""CURRENCY"")))))),B772)"),"")</f>
        <v/>
      </c>
      <c r="R772" s="263" t="str">
        <f>IFERROR(__xludf.DUMMYFUNCTION("IF(ISBLANK(A772),"""",IFERROR(IF(OR(Q772=""GPB"",Q772=""ZAR""),IF(Q772=Dashboard!$L$1,K772,(K772*GOOGLEFINANCE(""CURRENCY:""&amp;Q772&amp;""""&amp;Dashboard!$L$1&amp;""""))/100),IF(Q772=Dashboard!$L$1,K772,K772*GOOGLEFINANCE(""CURRENCY:""&amp;Q772&amp;""""&amp;Dashboard!$L$1&amp;"""")))"&amp;",K772))"),"")</f>
        <v/>
      </c>
      <c r="S772" s="266" t="str">
        <f>IFERROR(__xludf.DUMMYFUNCTION("IF(ISBLANK(A772),"""",IFERROR(IF(OR(Q772=""GPB"",Q772=""ZAR""),IF(Q772=Dashboard!$L$1,M772,(M772*GOOGLEFINANCE(""CURRENCY:""&amp;Q772&amp;""""&amp;Dashboard!$L$1&amp;""""))/100),IF(Q772=Dashboard!$L$1,M772,M772*GOOGLEFINANCE(""CURRENCY:""&amp;Q772&amp;""""&amp;Dashboard!$L$1&amp;"""")))"&amp;",M772))"),"")</f>
        <v/>
      </c>
      <c r="T772" s="264" t="str">
        <f t="shared" si="4"/>
        <v/>
      </c>
      <c r="U772" s="264" t="str">
        <f t="shared" si="5"/>
        <v/>
      </c>
      <c r="V772" s="264" t="str">
        <f t="shared" si="6"/>
        <v/>
      </c>
      <c r="W772" s="267" t="str">
        <f t="shared" si="8"/>
        <v/>
      </c>
      <c r="X772" s="264" t="str">
        <f t="shared" si="7"/>
        <v/>
      </c>
    </row>
    <row r="773" ht="15.75" customHeight="1">
      <c r="A773" s="258"/>
      <c r="B773" s="258"/>
      <c r="C773" s="269"/>
      <c r="D773" s="258"/>
      <c r="E773" s="258"/>
      <c r="F773" s="258"/>
      <c r="G773" s="258"/>
      <c r="H773" s="271"/>
      <c r="I773" s="258"/>
      <c r="J773" s="272"/>
      <c r="K773" s="260"/>
      <c r="L773" s="261"/>
      <c r="M773" s="262" t="str">
        <f t="shared" si="1"/>
        <v/>
      </c>
      <c r="N773" s="263" t="str">
        <f t="shared" si="2"/>
        <v/>
      </c>
      <c r="O773" s="264" t="str">
        <f t="shared" si="3"/>
        <v/>
      </c>
      <c r="P773" s="265" t="str">
        <f>IFERROR(__xludf.DUMMYFUNCTION("IF(ISBLANK(A773),"""",IFERROR(IF(H773=""Sell"",VLOOKUP(9^99,FILTER({ROW(P$2:P772),P$2:P772},D$2:D772=D773),2),(VLOOKUP(9^99,FILTER({ROW(P$2:P772),P$2:P772},D$2:D772=D773),2)*VLOOKUP(9^99,FILTER({ROW(O$2:O772),O$2:O772},D$2:D772=D773),2)-N773)/O773),J773))"),"")</f>
        <v/>
      </c>
      <c r="Q773" s="264" t="str">
        <f>IFERROR(__xludf.DUMMYFUNCTION("IFERROR(IF(F773=""Crypto"",B773,(IF(ISBLANK(D773),"""",IF(D773=""Cash"",B773,IF(GOOGLEFINANCE(D773,""CURRENCY"")=""GBX"",""GBP"",GOOGLEFINANCE(D773,""CURRENCY"")))))),B773)"),"")</f>
        <v/>
      </c>
      <c r="R773" s="263" t="str">
        <f>IFERROR(__xludf.DUMMYFUNCTION("IF(ISBLANK(A773),"""",IFERROR(IF(OR(Q773=""GPB"",Q773=""ZAR""),IF(Q773=Dashboard!$L$1,K773,(K773*GOOGLEFINANCE(""CURRENCY:""&amp;Q773&amp;""""&amp;Dashboard!$L$1&amp;""""))/100),IF(Q773=Dashboard!$L$1,K773,K773*GOOGLEFINANCE(""CURRENCY:""&amp;Q773&amp;""""&amp;Dashboard!$L$1&amp;"""")))"&amp;",K773))"),"")</f>
        <v/>
      </c>
      <c r="S773" s="266" t="str">
        <f>IFERROR(__xludf.DUMMYFUNCTION("IF(ISBLANK(A773),"""",IFERROR(IF(OR(Q773=""GPB"",Q773=""ZAR""),IF(Q773=Dashboard!$L$1,M773,(M773*GOOGLEFINANCE(""CURRENCY:""&amp;Q773&amp;""""&amp;Dashboard!$L$1&amp;""""))/100),IF(Q773=Dashboard!$L$1,M773,M773*GOOGLEFINANCE(""CURRENCY:""&amp;Q773&amp;""""&amp;Dashboard!$L$1&amp;"""")))"&amp;",M773))"),"")</f>
        <v/>
      </c>
      <c r="T773" s="264" t="str">
        <f t="shared" si="4"/>
        <v/>
      </c>
      <c r="U773" s="264" t="str">
        <f t="shared" si="5"/>
        <v/>
      </c>
      <c r="V773" s="264" t="str">
        <f t="shared" si="6"/>
        <v/>
      </c>
      <c r="W773" s="267" t="str">
        <f t="shared" si="8"/>
        <v/>
      </c>
      <c r="X773" s="264" t="str">
        <f t="shared" si="7"/>
        <v/>
      </c>
    </row>
    <row r="774" ht="15.75" customHeight="1">
      <c r="A774" s="258"/>
      <c r="B774" s="258"/>
      <c r="C774" s="269"/>
      <c r="D774" s="258"/>
      <c r="E774" s="258"/>
      <c r="F774" s="258"/>
      <c r="G774" s="258"/>
      <c r="H774" s="271"/>
      <c r="I774" s="258"/>
      <c r="J774" s="272"/>
      <c r="K774" s="260"/>
      <c r="L774" s="261"/>
      <c r="M774" s="262" t="str">
        <f t="shared" si="1"/>
        <v/>
      </c>
      <c r="N774" s="263" t="str">
        <f t="shared" si="2"/>
        <v/>
      </c>
      <c r="O774" s="264" t="str">
        <f t="shared" si="3"/>
        <v/>
      </c>
      <c r="P774" s="265" t="str">
        <f>IFERROR(__xludf.DUMMYFUNCTION("IF(ISBLANK(A774),"""",IFERROR(IF(H774=""Sell"",VLOOKUP(9^99,FILTER({ROW(P$2:P773),P$2:P773},D$2:D773=D774),2),(VLOOKUP(9^99,FILTER({ROW(P$2:P773),P$2:P773},D$2:D773=D774),2)*VLOOKUP(9^99,FILTER({ROW(O$2:O773),O$2:O773},D$2:D773=D774),2)-N774)/O774),J774))"),"")</f>
        <v/>
      </c>
      <c r="Q774" s="264" t="str">
        <f>IFERROR(__xludf.DUMMYFUNCTION("IFERROR(IF(F774=""Crypto"",B774,(IF(ISBLANK(D774),"""",IF(D774=""Cash"",B774,IF(GOOGLEFINANCE(D774,""CURRENCY"")=""GBX"",""GBP"",GOOGLEFINANCE(D774,""CURRENCY"")))))),B774)"),"")</f>
        <v/>
      </c>
      <c r="R774" s="263" t="str">
        <f>IFERROR(__xludf.DUMMYFUNCTION("IF(ISBLANK(A774),"""",IFERROR(IF(OR(Q774=""GPB"",Q774=""ZAR""),IF(Q774=Dashboard!$L$1,K774,(K774*GOOGLEFINANCE(""CURRENCY:""&amp;Q774&amp;""""&amp;Dashboard!$L$1&amp;""""))/100),IF(Q774=Dashboard!$L$1,K774,K774*GOOGLEFINANCE(""CURRENCY:""&amp;Q774&amp;""""&amp;Dashboard!$L$1&amp;"""")))"&amp;",K774))"),"")</f>
        <v/>
      </c>
      <c r="S774" s="266" t="str">
        <f>IFERROR(__xludf.DUMMYFUNCTION("IF(ISBLANK(A774),"""",IFERROR(IF(OR(Q774=""GPB"",Q774=""ZAR""),IF(Q774=Dashboard!$L$1,M774,(M774*GOOGLEFINANCE(""CURRENCY:""&amp;Q774&amp;""""&amp;Dashboard!$L$1&amp;""""))/100),IF(Q774=Dashboard!$L$1,M774,M774*GOOGLEFINANCE(""CURRENCY:""&amp;Q774&amp;""""&amp;Dashboard!$L$1&amp;"""")))"&amp;",M774))"),"")</f>
        <v/>
      </c>
      <c r="T774" s="264" t="str">
        <f t="shared" si="4"/>
        <v/>
      </c>
      <c r="U774" s="264" t="str">
        <f t="shared" si="5"/>
        <v/>
      </c>
      <c r="V774" s="264" t="str">
        <f t="shared" si="6"/>
        <v/>
      </c>
      <c r="W774" s="267" t="str">
        <f t="shared" si="8"/>
        <v/>
      </c>
      <c r="X774" s="264" t="str">
        <f t="shared" si="7"/>
        <v/>
      </c>
    </row>
    <row r="775" ht="15.75" customHeight="1">
      <c r="A775" s="258"/>
      <c r="B775" s="258"/>
      <c r="C775" s="269"/>
      <c r="D775" s="258"/>
      <c r="E775" s="258"/>
      <c r="F775" s="258"/>
      <c r="G775" s="258"/>
      <c r="H775" s="271"/>
      <c r="I775" s="258"/>
      <c r="J775" s="272"/>
      <c r="K775" s="260"/>
      <c r="L775" s="261"/>
      <c r="M775" s="262" t="str">
        <f t="shared" si="1"/>
        <v/>
      </c>
      <c r="N775" s="263" t="str">
        <f t="shared" si="2"/>
        <v/>
      </c>
      <c r="O775" s="264" t="str">
        <f t="shared" si="3"/>
        <v/>
      </c>
      <c r="P775" s="265" t="str">
        <f>IFERROR(__xludf.DUMMYFUNCTION("IF(ISBLANK(A775),"""",IFERROR(IF(H775=""Sell"",VLOOKUP(9^99,FILTER({ROW(P$2:P774),P$2:P774},D$2:D774=D775),2),(VLOOKUP(9^99,FILTER({ROW(P$2:P774),P$2:P774},D$2:D774=D775),2)*VLOOKUP(9^99,FILTER({ROW(O$2:O774),O$2:O774},D$2:D774=D775),2)-N775)/O775),J775))"),"")</f>
        <v/>
      </c>
      <c r="Q775" s="264" t="str">
        <f>IFERROR(__xludf.DUMMYFUNCTION("IFERROR(IF(F775=""Crypto"",B775,(IF(ISBLANK(D775),"""",IF(D775=""Cash"",B775,IF(GOOGLEFINANCE(D775,""CURRENCY"")=""GBX"",""GBP"",GOOGLEFINANCE(D775,""CURRENCY"")))))),B775)"),"")</f>
        <v/>
      </c>
      <c r="R775" s="263" t="str">
        <f>IFERROR(__xludf.DUMMYFUNCTION("IF(ISBLANK(A775),"""",IFERROR(IF(OR(Q775=""GPB"",Q775=""ZAR""),IF(Q775=Dashboard!$L$1,K775,(K775*GOOGLEFINANCE(""CURRENCY:""&amp;Q775&amp;""""&amp;Dashboard!$L$1&amp;""""))/100),IF(Q775=Dashboard!$L$1,K775,K775*GOOGLEFINANCE(""CURRENCY:""&amp;Q775&amp;""""&amp;Dashboard!$L$1&amp;"""")))"&amp;",K775))"),"")</f>
        <v/>
      </c>
      <c r="S775" s="266" t="str">
        <f>IFERROR(__xludf.DUMMYFUNCTION("IF(ISBLANK(A775),"""",IFERROR(IF(OR(Q775=""GPB"",Q775=""ZAR""),IF(Q775=Dashboard!$L$1,M775,(M775*GOOGLEFINANCE(""CURRENCY:""&amp;Q775&amp;""""&amp;Dashboard!$L$1&amp;""""))/100),IF(Q775=Dashboard!$L$1,M775,M775*GOOGLEFINANCE(""CURRENCY:""&amp;Q775&amp;""""&amp;Dashboard!$L$1&amp;"""")))"&amp;",M775))"),"")</f>
        <v/>
      </c>
      <c r="T775" s="264" t="str">
        <f t="shared" si="4"/>
        <v/>
      </c>
      <c r="U775" s="264" t="str">
        <f t="shared" si="5"/>
        <v/>
      </c>
      <c r="V775" s="264" t="str">
        <f t="shared" si="6"/>
        <v/>
      </c>
      <c r="W775" s="267" t="str">
        <f t="shared" si="8"/>
        <v/>
      </c>
      <c r="X775" s="264" t="str">
        <f t="shared" si="7"/>
        <v/>
      </c>
    </row>
    <row r="776" ht="15.75" customHeight="1">
      <c r="A776" s="258"/>
      <c r="B776" s="258"/>
      <c r="C776" s="269"/>
      <c r="D776" s="258"/>
      <c r="E776" s="258"/>
      <c r="F776" s="258"/>
      <c r="G776" s="258"/>
      <c r="H776" s="271"/>
      <c r="I776" s="258"/>
      <c r="J776" s="272"/>
      <c r="K776" s="260"/>
      <c r="L776" s="261"/>
      <c r="M776" s="262" t="str">
        <f t="shared" si="1"/>
        <v/>
      </c>
      <c r="N776" s="263" t="str">
        <f t="shared" si="2"/>
        <v/>
      </c>
      <c r="O776" s="264" t="str">
        <f t="shared" si="3"/>
        <v/>
      </c>
      <c r="P776" s="265" t="str">
        <f>IFERROR(__xludf.DUMMYFUNCTION("IF(ISBLANK(A776),"""",IFERROR(IF(H776=""Sell"",VLOOKUP(9^99,FILTER({ROW(P$2:P775),P$2:P775},D$2:D775=D776),2),(VLOOKUP(9^99,FILTER({ROW(P$2:P775),P$2:P775},D$2:D775=D776),2)*VLOOKUP(9^99,FILTER({ROW(O$2:O775),O$2:O775},D$2:D775=D776),2)-N776)/O776),J776))"),"")</f>
        <v/>
      </c>
      <c r="Q776" s="264" t="str">
        <f>IFERROR(__xludf.DUMMYFUNCTION("IFERROR(IF(F776=""Crypto"",B776,(IF(ISBLANK(D776),"""",IF(D776=""Cash"",B776,IF(GOOGLEFINANCE(D776,""CURRENCY"")=""GBX"",""GBP"",GOOGLEFINANCE(D776,""CURRENCY"")))))),B776)"),"")</f>
        <v/>
      </c>
      <c r="R776" s="263" t="str">
        <f>IFERROR(__xludf.DUMMYFUNCTION("IF(ISBLANK(A776),"""",IFERROR(IF(OR(Q776=""GPB"",Q776=""ZAR""),IF(Q776=Dashboard!$L$1,K776,(K776*GOOGLEFINANCE(""CURRENCY:""&amp;Q776&amp;""""&amp;Dashboard!$L$1&amp;""""))/100),IF(Q776=Dashboard!$L$1,K776,K776*GOOGLEFINANCE(""CURRENCY:""&amp;Q776&amp;""""&amp;Dashboard!$L$1&amp;"""")))"&amp;",K776))"),"")</f>
        <v/>
      </c>
      <c r="S776" s="266" t="str">
        <f>IFERROR(__xludf.DUMMYFUNCTION("IF(ISBLANK(A776),"""",IFERROR(IF(OR(Q776=""GPB"",Q776=""ZAR""),IF(Q776=Dashboard!$L$1,M776,(M776*GOOGLEFINANCE(""CURRENCY:""&amp;Q776&amp;""""&amp;Dashboard!$L$1&amp;""""))/100),IF(Q776=Dashboard!$L$1,M776,M776*GOOGLEFINANCE(""CURRENCY:""&amp;Q776&amp;""""&amp;Dashboard!$L$1&amp;"""")))"&amp;",M776))"),"")</f>
        <v/>
      </c>
      <c r="T776" s="264" t="str">
        <f t="shared" si="4"/>
        <v/>
      </c>
      <c r="U776" s="264" t="str">
        <f t="shared" si="5"/>
        <v/>
      </c>
      <c r="V776" s="264" t="str">
        <f t="shared" si="6"/>
        <v/>
      </c>
      <c r="W776" s="267" t="str">
        <f t="shared" si="8"/>
        <v/>
      </c>
      <c r="X776" s="264" t="str">
        <f t="shared" si="7"/>
        <v/>
      </c>
    </row>
    <row r="777" ht="15.75" customHeight="1">
      <c r="A777" s="258"/>
      <c r="B777" s="258"/>
      <c r="C777" s="269"/>
      <c r="D777" s="258"/>
      <c r="E777" s="258"/>
      <c r="F777" s="258"/>
      <c r="G777" s="258"/>
      <c r="H777" s="271"/>
      <c r="I777" s="258"/>
      <c r="J777" s="272"/>
      <c r="K777" s="260"/>
      <c r="L777" s="261"/>
      <c r="M777" s="262" t="str">
        <f t="shared" si="1"/>
        <v/>
      </c>
      <c r="N777" s="263" t="str">
        <f t="shared" si="2"/>
        <v/>
      </c>
      <c r="O777" s="264" t="str">
        <f t="shared" si="3"/>
        <v/>
      </c>
      <c r="P777" s="265" t="str">
        <f>IFERROR(__xludf.DUMMYFUNCTION("IF(ISBLANK(A777),"""",IFERROR(IF(H777=""Sell"",VLOOKUP(9^99,FILTER({ROW(P$2:P776),P$2:P776},D$2:D776=D777),2),(VLOOKUP(9^99,FILTER({ROW(P$2:P776),P$2:P776},D$2:D776=D777),2)*VLOOKUP(9^99,FILTER({ROW(O$2:O776),O$2:O776},D$2:D776=D777),2)-N777)/O777),J777))"),"")</f>
        <v/>
      </c>
      <c r="Q777" s="264" t="str">
        <f>IFERROR(__xludf.DUMMYFUNCTION("IFERROR(IF(F777=""Crypto"",B777,(IF(ISBLANK(D777),"""",IF(D777=""Cash"",B777,IF(GOOGLEFINANCE(D777,""CURRENCY"")=""GBX"",""GBP"",GOOGLEFINANCE(D777,""CURRENCY"")))))),B777)"),"")</f>
        <v/>
      </c>
      <c r="R777" s="263" t="str">
        <f>IFERROR(__xludf.DUMMYFUNCTION("IF(ISBLANK(A777),"""",IFERROR(IF(OR(Q777=""GPB"",Q777=""ZAR""),IF(Q777=Dashboard!$L$1,K777,(K777*GOOGLEFINANCE(""CURRENCY:""&amp;Q777&amp;""""&amp;Dashboard!$L$1&amp;""""))/100),IF(Q777=Dashboard!$L$1,K777,K777*GOOGLEFINANCE(""CURRENCY:""&amp;Q777&amp;""""&amp;Dashboard!$L$1&amp;"""")))"&amp;",K777))"),"")</f>
        <v/>
      </c>
      <c r="S777" s="266" t="str">
        <f>IFERROR(__xludf.DUMMYFUNCTION("IF(ISBLANK(A777),"""",IFERROR(IF(OR(Q777=""GPB"",Q777=""ZAR""),IF(Q777=Dashboard!$L$1,M777,(M777*GOOGLEFINANCE(""CURRENCY:""&amp;Q777&amp;""""&amp;Dashboard!$L$1&amp;""""))/100),IF(Q777=Dashboard!$L$1,M777,M777*GOOGLEFINANCE(""CURRENCY:""&amp;Q777&amp;""""&amp;Dashboard!$L$1&amp;"""")))"&amp;",M777))"),"")</f>
        <v/>
      </c>
      <c r="T777" s="264" t="str">
        <f t="shared" si="4"/>
        <v/>
      </c>
      <c r="U777" s="264" t="str">
        <f t="shared" si="5"/>
        <v/>
      </c>
      <c r="V777" s="264" t="str">
        <f t="shared" si="6"/>
        <v/>
      </c>
      <c r="W777" s="267" t="str">
        <f t="shared" si="8"/>
        <v/>
      </c>
      <c r="X777" s="264" t="str">
        <f t="shared" si="7"/>
        <v/>
      </c>
    </row>
    <row r="778" ht="15.75" customHeight="1">
      <c r="A778" s="258"/>
      <c r="B778" s="258"/>
      <c r="C778" s="269"/>
      <c r="D778" s="258"/>
      <c r="E778" s="258"/>
      <c r="F778" s="258"/>
      <c r="G778" s="258"/>
      <c r="H778" s="271"/>
      <c r="I778" s="258"/>
      <c r="J778" s="272"/>
      <c r="K778" s="260"/>
      <c r="L778" s="261"/>
      <c r="M778" s="262" t="str">
        <f t="shared" si="1"/>
        <v/>
      </c>
      <c r="N778" s="263" t="str">
        <f t="shared" si="2"/>
        <v/>
      </c>
      <c r="O778" s="264" t="str">
        <f t="shared" si="3"/>
        <v/>
      </c>
      <c r="P778" s="265" t="str">
        <f>IFERROR(__xludf.DUMMYFUNCTION("IF(ISBLANK(A778),"""",IFERROR(IF(H778=""Sell"",VLOOKUP(9^99,FILTER({ROW(P$2:P777),P$2:P777},D$2:D777=D778),2),(VLOOKUP(9^99,FILTER({ROW(P$2:P777),P$2:P777},D$2:D777=D778),2)*VLOOKUP(9^99,FILTER({ROW(O$2:O777),O$2:O777},D$2:D777=D778),2)-N778)/O778),J778))"),"")</f>
        <v/>
      </c>
      <c r="Q778" s="264" t="str">
        <f>IFERROR(__xludf.DUMMYFUNCTION("IFERROR(IF(F778=""Crypto"",B778,(IF(ISBLANK(D778),"""",IF(D778=""Cash"",B778,IF(GOOGLEFINANCE(D778,""CURRENCY"")=""GBX"",""GBP"",GOOGLEFINANCE(D778,""CURRENCY"")))))),B778)"),"")</f>
        <v/>
      </c>
      <c r="R778" s="263" t="str">
        <f>IFERROR(__xludf.DUMMYFUNCTION("IF(ISBLANK(A778),"""",IFERROR(IF(OR(Q778=""GPB"",Q778=""ZAR""),IF(Q778=Dashboard!$L$1,K778,(K778*GOOGLEFINANCE(""CURRENCY:""&amp;Q778&amp;""""&amp;Dashboard!$L$1&amp;""""))/100),IF(Q778=Dashboard!$L$1,K778,K778*GOOGLEFINANCE(""CURRENCY:""&amp;Q778&amp;""""&amp;Dashboard!$L$1&amp;"""")))"&amp;",K778))"),"")</f>
        <v/>
      </c>
      <c r="S778" s="266" t="str">
        <f>IFERROR(__xludf.DUMMYFUNCTION("IF(ISBLANK(A778),"""",IFERROR(IF(OR(Q778=""GPB"",Q778=""ZAR""),IF(Q778=Dashboard!$L$1,M778,(M778*GOOGLEFINANCE(""CURRENCY:""&amp;Q778&amp;""""&amp;Dashboard!$L$1&amp;""""))/100),IF(Q778=Dashboard!$L$1,M778,M778*GOOGLEFINANCE(""CURRENCY:""&amp;Q778&amp;""""&amp;Dashboard!$L$1&amp;"""")))"&amp;",M778))"),"")</f>
        <v/>
      </c>
      <c r="T778" s="264" t="str">
        <f t="shared" si="4"/>
        <v/>
      </c>
      <c r="U778" s="264" t="str">
        <f t="shared" si="5"/>
        <v/>
      </c>
      <c r="V778" s="264" t="str">
        <f t="shared" si="6"/>
        <v/>
      </c>
      <c r="W778" s="267" t="str">
        <f t="shared" si="8"/>
        <v/>
      </c>
      <c r="X778" s="264" t="str">
        <f t="shared" si="7"/>
        <v/>
      </c>
    </row>
    <row r="779" ht="15.75" customHeight="1">
      <c r="A779" s="258"/>
      <c r="B779" s="258"/>
      <c r="C779" s="269"/>
      <c r="D779" s="258"/>
      <c r="E779" s="258"/>
      <c r="F779" s="258"/>
      <c r="G779" s="258"/>
      <c r="H779" s="271"/>
      <c r="I779" s="258"/>
      <c r="J779" s="272"/>
      <c r="K779" s="260"/>
      <c r="L779" s="261"/>
      <c r="M779" s="262" t="str">
        <f t="shared" si="1"/>
        <v/>
      </c>
      <c r="N779" s="263" t="str">
        <f t="shared" si="2"/>
        <v/>
      </c>
      <c r="O779" s="264" t="str">
        <f t="shared" si="3"/>
        <v/>
      </c>
      <c r="P779" s="265" t="str">
        <f>IFERROR(__xludf.DUMMYFUNCTION("IF(ISBLANK(A779),"""",IFERROR(IF(H779=""Sell"",VLOOKUP(9^99,FILTER({ROW(P$2:P778),P$2:P778},D$2:D778=D779),2),(VLOOKUP(9^99,FILTER({ROW(P$2:P778),P$2:P778},D$2:D778=D779),2)*VLOOKUP(9^99,FILTER({ROW(O$2:O778),O$2:O778},D$2:D778=D779),2)-N779)/O779),J779))"),"")</f>
        <v/>
      </c>
      <c r="Q779" s="264" t="str">
        <f>IFERROR(__xludf.DUMMYFUNCTION("IFERROR(IF(F779=""Crypto"",B779,(IF(ISBLANK(D779),"""",IF(D779=""Cash"",B779,IF(GOOGLEFINANCE(D779,""CURRENCY"")=""GBX"",""GBP"",GOOGLEFINANCE(D779,""CURRENCY"")))))),B779)"),"")</f>
        <v/>
      </c>
      <c r="R779" s="263" t="str">
        <f>IFERROR(__xludf.DUMMYFUNCTION("IF(ISBLANK(A779),"""",IFERROR(IF(OR(Q779=""GPB"",Q779=""ZAR""),IF(Q779=Dashboard!$L$1,K779,(K779*GOOGLEFINANCE(""CURRENCY:""&amp;Q779&amp;""""&amp;Dashboard!$L$1&amp;""""))/100),IF(Q779=Dashboard!$L$1,K779,K779*GOOGLEFINANCE(""CURRENCY:""&amp;Q779&amp;""""&amp;Dashboard!$L$1&amp;"""")))"&amp;",K779))"),"")</f>
        <v/>
      </c>
      <c r="S779" s="266" t="str">
        <f>IFERROR(__xludf.DUMMYFUNCTION("IF(ISBLANK(A779),"""",IFERROR(IF(OR(Q779=""GPB"",Q779=""ZAR""),IF(Q779=Dashboard!$L$1,M779,(M779*GOOGLEFINANCE(""CURRENCY:""&amp;Q779&amp;""""&amp;Dashboard!$L$1&amp;""""))/100),IF(Q779=Dashboard!$L$1,M779,M779*GOOGLEFINANCE(""CURRENCY:""&amp;Q779&amp;""""&amp;Dashboard!$L$1&amp;"""")))"&amp;",M779))"),"")</f>
        <v/>
      </c>
      <c r="T779" s="264" t="str">
        <f t="shared" si="4"/>
        <v/>
      </c>
      <c r="U779" s="264" t="str">
        <f t="shared" si="5"/>
        <v/>
      </c>
      <c r="V779" s="264" t="str">
        <f t="shared" si="6"/>
        <v/>
      </c>
      <c r="W779" s="267" t="str">
        <f t="shared" si="8"/>
        <v/>
      </c>
      <c r="X779" s="264" t="str">
        <f t="shared" si="7"/>
        <v/>
      </c>
    </row>
    <row r="780" ht="15.75" customHeight="1">
      <c r="A780" s="258"/>
      <c r="B780" s="258"/>
      <c r="C780" s="269"/>
      <c r="D780" s="258"/>
      <c r="E780" s="258"/>
      <c r="F780" s="258"/>
      <c r="G780" s="258"/>
      <c r="H780" s="271"/>
      <c r="I780" s="258"/>
      <c r="J780" s="272"/>
      <c r="K780" s="260"/>
      <c r="L780" s="261"/>
      <c r="M780" s="262" t="str">
        <f t="shared" si="1"/>
        <v/>
      </c>
      <c r="N780" s="263" t="str">
        <f t="shared" si="2"/>
        <v/>
      </c>
      <c r="O780" s="264" t="str">
        <f t="shared" si="3"/>
        <v/>
      </c>
      <c r="P780" s="265" t="str">
        <f>IFERROR(__xludf.DUMMYFUNCTION("IF(ISBLANK(A780),"""",IFERROR(IF(H780=""Sell"",VLOOKUP(9^99,FILTER({ROW(P$2:P779),P$2:P779},D$2:D779=D780),2),(VLOOKUP(9^99,FILTER({ROW(P$2:P779),P$2:P779},D$2:D779=D780),2)*VLOOKUP(9^99,FILTER({ROW(O$2:O779),O$2:O779},D$2:D779=D780),2)-N780)/O780),J780))"),"")</f>
        <v/>
      </c>
      <c r="Q780" s="264" t="str">
        <f>IFERROR(__xludf.DUMMYFUNCTION("IFERROR(IF(F780=""Crypto"",B780,(IF(ISBLANK(D780),"""",IF(D780=""Cash"",B780,IF(GOOGLEFINANCE(D780,""CURRENCY"")=""GBX"",""GBP"",GOOGLEFINANCE(D780,""CURRENCY"")))))),B780)"),"")</f>
        <v/>
      </c>
      <c r="R780" s="263" t="str">
        <f>IFERROR(__xludf.DUMMYFUNCTION("IF(ISBLANK(A780),"""",IFERROR(IF(OR(Q780=""GPB"",Q780=""ZAR""),IF(Q780=Dashboard!$L$1,K780,(K780*GOOGLEFINANCE(""CURRENCY:""&amp;Q780&amp;""""&amp;Dashboard!$L$1&amp;""""))/100),IF(Q780=Dashboard!$L$1,K780,K780*GOOGLEFINANCE(""CURRENCY:""&amp;Q780&amp;""""&amp;Dashboard!$L$1&amp;"""")))"&amp;",K780))"),"")</f>
        <v/>
      </c>
      <c r="S780" s="266" t="str">
        <f>IFERROR(__xludf.DUMMYFUNCTION("IF(ISBLANK(A780),"""",IFERROR(IF(OR(Q780=""GPB"",Q780=""ZAR""),IF(Q780=Dashboard!$L$1,M780,(M780*GOOGLEFINANCE(""CURRENCY:""&amp;Q780&amp;""""&amp;Dashboard!$L$1&amp;""""))/100),IF(Q780=Dashboard!$L$1,M780,M780*GOOGLEFINANCE(""CURRENCY:""&amp;Q780&amp;""""&amp;Dashboard!$L$1&amp;"""")))"&amp;",M780))"),"")</f>
        <v/>
      </c>
      <c r="T780" s="264" t="str">
        <f t="shared" si="4"/>
        <v/>
      </c>
      <c r="U780" s="264" t="str">
        <f t="shared" si="5"/>
        <v/>
      </c>
      <c r="V780" s="264" t="str">
        <f t="shared" si="6"/>
        <v/>
      </c>
      <c r="W780" s="267" t="str">
        <f t="shared" si="8"/>
        <v/>
      </c>
      <c r="X780" s="264" t="str">
        <f t="shared" si="7"/>
        <v/>
      </c>
    </row>
    <row r="781" ht="15.75" customHeight="1">
      <c r="A781" s="258"/>
      <c r="B781" s="258"/>
      <c r="C781" s="269"/>
      <c r="D781" s="258"/>
      <c r="E781" s="258"/>
      <c r="F781" s="258"/>
      <c r="G781" s="258"/>
      <c r="H781" s="271"/>
      <c r="I781" s="258"/>
      <c r="J781" s="272"/>
      <c r="K781" s="260"/>
      <c r="L781" s="261"/>
      <c r="M781" s="262" t="str">
        <f t="shared" si="1"/>
        <v/>
      </c>
      <c r="N781" s="263" t="str">
        <f t="shared" si="2"/>
        <v/>
      </c>
      <c r="O781" s="264" t="str">
        <f t="shared" si="3"/>
        <v/>
      </c>
      <c r="P781" s="265" t="str">
        <f>IFERROR(__xludf.DUMMYFUNCTION("IF(ISBLANK(A781),"""",IFERROR(IF(H781=""Sell"",VLOOKUP(9^99,FILTER({ROW(P$2:P780),P$2:P780},D$2:D780=D781),2),(VLOOKUP(9^99,FILTER({ROW(P$2:P780),P$2:P780},D$2:D780=D781),2)*VLOOKUP(9^99,FILTER({ROW(O$2:O780),O$2:O780},D$2:D780=D781),2)-N781)/O781),J781))"),"")</f>
        <v/>
      </c>
      <c r="Q781" s="264" t="str">
        <f>IFERROR(__xludf.DUMMYFUNCTION("IFERROR(IF(F781=""Crypto"",B781,(IF(ISBLANK(D781),"""",IF(D781=""Cash"",B781,IF(GOOGLEFINANCE(D781,""CURRENCY"")=""GBX"",""GBP"",GOOGLEFINANCE(D781,""CURRENCY"")))))),B781)"),"")</f>
        <v/>
      </c>
      <c r="R781" s="263" t="str">
        <f>IFERROR(__xludf.DUMMYFUNCTION("IF(ISBLANK(A781),"""",IFERROR(IF(OR(Q781=""GPB"",Q781=""ZAR""),IF(Q781=Dashboard!$L$1,K781,(K781*GOOGLEFINANCE(""CURRENCY:""&amp;Q781&amp;""""&amp;Dashboard!$L$1&amp;""""))/100),IF(Q781=Dashboard!$L$1,K781,K781*GOOGLEFINANCE(""CURRENCY:""&amp;Q781&amp;""""&amp;Dashboard!$L$1&amp;"""")))"&amp;",K781))"),"")</f>
        <v/>
      </c>
      <c r="S781" s="266" t="str">
        <f>IFERROR(__xludf.DUMMYFUNCTION("IF(ISBLANK(A781),"""",IFERROR(IF(OR(Q781=""GPB"",Q781=""ZAR""),IF(Q781=Dashboard!$L$1,M781,(M781*GOOGLEFINANCE(""CURRENCY:""&amp;Q781&amp;""""&amp;Dashboard!$L$1&amp;""""))/100),IF(Q781=Dashboard!$L$1,M781,M781*GOOGLEFINANCE(""CURRENCY:""&amp;Q781&amp;""""&amp;Dashboard!$L$1&amp;"""")))"&amp;",M781))"),"")</f>
        <v/>
      </c>
      <c r="T781" s="264" t="str">
        <f t="shared" si="4"/>
        <v/>
      </c>
      <c r="U781" s="264" t="str">
        <f t="shared" si="5"/>
        <v/>
      </c>
      <c r="V781" s="264" t="str">
        <f t="shared" si="6"/>
        <v/>
      </c>
      <c r="W781" s="267" t="str">
        <f t="shared" si="8"/>
        <v/>
      </c>
      <c r="X781" s="264" t="str">
        <f t="shared" si="7"/>
        <v/>
      </c>
    </row>
    <row r="782" ht="15.75" customHeight="1">
      <c r="A782" s="258"/>
      <c r="B782" s="258"/>
      <c r="C782" s="269"/>
      <c r="D782" s="258"/>
      <c r="E782" s="258"/>
      <c r="F782" s="258"/>
      <c r="G782" s="258"/>
      <c r="H782" s="271"/>
      <c r="I782" s="258"/>
      <c r="J782" s="272"/>
      <c r="K782" s="260"/>
      <c r="L782" s="261"/>
      <c r="M782" s="262" t="str">
        <f t="shared" si="1"/>
        <v/>
      </c>
      <c r="N782" s="263" t="str">
        <f t="shared" si="2"/>
        <v/>
      </c>
      <c r="O782" s="264" t="str">
        <f t="shared" si="3"/>
        <v/>
      </c>
      <c r="P782" s="265" t="str">
        <f>IFERROR(__xludf.DUMMYFUNCTION("IF(ISBLANK(A782),"""",IFERROR(IF(H782=""Sell"",VLOOKUP(9^99,FILTER({ROW(P$2:P781),P$2:P781},D$2:D781=D782),2),(VLOOKUP(9^99,FILTER({ROW(P$2:P781),P$2:P781},D$2:D781=D782),2)*VLOOKUP(9^99,FILTER({ROW(O$2:O781),O$2:O781},D$2:D781=D782),2)-N782)/O782),J782))"),"")</f>
        <v/>
      </c>
      <c r="Q782" s="264" t="str">
        <f>IFERROR(__xludf.DUMMYFUNCTION("IFERROR(IF(F782=""Crypto"",B782,(IF(ISBLANK(D782),"""",IF(D782=""Cash"",B782,IF(GOOGLEFINANCE(D782,""CURRENCY"")=""GBX"",""GBP"",GOOGLEFINANCE(D782,""CURRENCY"")))))),B782)"),"")</f>
        <v/>
      </c>
      <c r="R782" s="263" t="str">
        <f>IFERROR(__xludf.DUMMYFUNCTION("IF(ISBLANK(A782),"""",IFERROR(IF(OR(Q782=""GPB"",Q782=""ZAR""),IF(Q782=Dashboard!$L$1,K782,(K782*GOOGLEFINANCE(""CURRENCY:""&amp;Q782&amp;""""&amp;Dashboard!$L$1&amp;""""))/100),IF(Q782=Dashboard!$L$1,K782,K782*GOOGLEFINANCE(""CURRENCY:""&amp;Q782&amp;""""&amp;Dashboard!$L$1&amp;"""")))"&amp;",K782))"),"")</f>
        <v/>
      </c>
      <c r="S782" s="266" t="str">
        <f>IFERROR(__xludf.DUMMYFUNCTION("IF(ISBLANK(A782),"""",IFERROR(IF(OR(Q782=""GPB"",Q782=""ZAR""),IF(Q782=Dashboard!$L$1,M782,(M782*GOOGLEFINANCE(""CURRENCY:""&amp;Q782&amp;""""&amp;Dashboard!$L$1&amp;""""))/100),IF(Q782=Dashboard!$L$1,M782,M782*GOOGLEFINANCE(""CURRENCY:""&amp;Q782&amp;""""&amp;Dashboard!$L$1&amp;"""")))"&amp;",M782))"),"")</f>
        <v/>
      </c>
      <c r="T782" s="264" t="str">
        <f t="shared" si="4"/>
        <v/>
      </c>
      <c r="U782" s="264" t="str">
        <f t="shared" si="5"/>
        <v/>
      </c>
      <c r="V782" s="264" t="str">
        <f t="shared" si="6"/>
        <v/>
      </c>
      <c r="W782" s="267" t="str">
        <f t="shared" si="8"/>
        <v/>
      </c>
      <c r="X782" s="264" t="str">
        <f t="shared" si="7"/>
        <v/>
      </c>
    </row>
    <row r="783" ht="15.75" customHeight="1">
      <c r="A783" s="258"/>
      <c r="B783" s="258"/>
      <c r="C783" s="269"/>
      <c r="D783" s="258"/>
      <c r="E783" s="258"/>
      <c r="F783" s="258"/>
      <c r="G783" s="258"/>
      <c r="H783" s="271"/>
      <c r="I783" s="258"/>
      <c r="J783" s="272"/>
      <c r="K783" s="260"/>
      <c r="L783" s="261"/>
      <c r="M783" s="262" t="str">
        <f t="shared" si="1"/>
        <v/>
      </c>
      <c r="N783" s="263" t="str">
        <f t="shared" si="2"/>
        <v/>
      </c>
      <c r="O783" s="264" t="str">
        <f t="shared" si="3"/>
        <v/>
      </c>
      <c r="P783" s="265" t="str">
        <f>IFERROR(__xludf.DUMMYFUNCTION("IF(ISBLANK(A783),"""",IFERROR(IF(H783=""Sell"",VLOOKUP(9^99,FILTER({ROW(P$2:P782),P$2:P782},D$2:D782=D783),2),(VLOOKUP(9^99,FILTER({ROW(P$2:P782),P$2:P782},D$2:D782=D783),2)*VLOOKUP(9^99,FILTER({ROW(O$2:O782),O$2:O782},D$2:D782=D783),2)-N783)/O783),J783))"),"")</f>
        <v/>
      </c>
      <c r="Q783" s="264" t="str">
        <f>IFERROR(__xludf.DUMMYFUNCTION("IFERROR(IF(F783=""Crypto"",B783,(IF(ISBLANK(D783),"""",IF(D783=""Cash"",B783,IF(GOOGLEFINANCE(D783,""CURRENCY"")=""GBX"",""GBP"",GOOGLEFINANCE(D783,""CURRENCY"")))))),B783)"),"")</f>
        <v/>
      </c>
      <c r="R783" s="263" t="str">
        <f>IFERROR(__xludf.DUMMYFUNCTION("IF(ISBLANK(A783),"""",IFERROR(IF(OR(Q783=""GPB"",Q783=""ZAR""),IF(Q783=Dashboard!$L$1,K783,(K783*GOOGLEFINANCE(""CURRENCY:""&amp;Q783&amp;""""&amp;Dashboard!$L$1&amp;""""))/100),IF(Q783=Dashboard!$L$1,K783,K783*GOOGLEFINANCE(""CURRENCY:""&amp;Q783&amp;""""&amp;Dashboard!$L$1&amp;"""")))"&amp;",K783))"),"")</f>
        <v/>
      </c>
      <c r="S783" s="266" t="str">
        <f>IFERROR(__xludf.DUMMYFUNCTION("IF(ISBLANK(A783),"""",IFERROR(IF(OR(Q783=""GPB"",Q783=""ZAR""),IF(Q783=Dashboard!$L$1,M783,(M783*GOOGLEFINANCE(""CURRENCY:""&amp;Q783&amp;""""&amp;Dashboard!$L$1&amp;""""))/100),IF(Q783=Dashboard!$L$1,M783,M783*GOOGLEFINANCE(""CURRENCY:""&amp;Q783&amp;""""&amp;Dashboard!$L$1&amp;"""")))"&amp;",M783))"),"")</f>
        <v/>
      </c>
      <c r="T783" s="264" t="str">
        <f t="shared" si="4"/>
        <v/>
      </c>
      <c r="U783" s="264" t="str">
        <f t="shared" si="5"/>
        <v/>
      </c>
      <c r="V783" s="264" t="str">
        <f t="shared" si="6"/>
        <v/>
      </c>
      <c r="W783" s="267" t="str">
        <f t="shared" si="8"/>
        <v/>
      </c>
      <c r="X783" s="264" t="str">
        <f t="shared" si="7"/>
        <v/>
      </c>
    </row>
    <row r="784" ht="15.75" customHeight="1">
      <c r="A784" s="258"/>
      <c r="B784" s="258"/>
      <c r="C784" s="269"/>
      <c r="D784" s="258"/>
      <c r="E784" s="258"/>
      <c r="F784" s="258"/>
      <c r="G784" s="258"/>
      <c r="H784" s="271"/>
      <c r="I784" s="258"/>
      <c r="J784" s="272"/>
      <c r="K784" s="260"/>
      <c r="L784" s="261"/>
      <c r="M784" s="262" t="str">
        <f t="shared" si="1"/>
        <v/>
      </c>
      <c r="N784" s="263" t="str">
        <f t="shared" si="2"/>
        <v/>
      </c>
      <c r="O784" s="264" t="str">
        <f t="shared" si="3"/>
        <v/>
      </c>
      <c r="P784" s="265" t="str">
        <f>IFERROR(__xludf.DUMMYFUNCTION("IF(ISBLANK(A784),"""",IFERROR(IF(H784=""Sell"",VLOOKUP(9^99,FILTER({ROW(P$2:P783),P$2:P783},D$2:D783=D784),2),(VLOOKUP(9^99,FILTER({ROW(P$2:P783),P$2:P783},D$2:D783=D784),2)*VLOOKUP(9^99,FILTER({ROW(O$2:O783),O$2:O783},D$2:D783=D784),2)-N784)/O784),J784))"),"")</f>
        <v/>
      </c>
      <c r="Q784" s="264" t="str">
        <f>IFERROR(__xludf.DUMMYFUNCTION("IFERROR(IF(F784=""Crypto"",B784,(IF(ISBLANK(D784),"""",IF(D784=""Cash"",B784,IF(GOOGLEFINANCE(D784,""CURRENCY"")=""GBX"",""GBP"",GOOGLEFINANCE(D784,""CURRENCY"")))))),B784)"),"")</f>
        <v/>
      </c>
      <c r="R784" s="263" t="str">
        <f>IFERROR(__xludf.DUMMYFUNCTION("IF(ISBLANK(A784),"""",IFERROR(IF(OR(Q784=""GPB"",Q784=""ZAR""),IF(Q784=Dashboard!$L$1,K784,(K784*GOOGLEFINANCE(""CURRENCY:""&amp;Q784&amp;""""&amp;Dashboard!$L$1&amp;""""))/100),IF(Q784=Dashboard!$L$1,K784,K784*GOOGLEFINANCE(""CURRENCY:""&amp;Q784&amp;""""&amp;Dashboard!$L$1&amp;"""")))"&amp;",K784))"),"")</f>
        <v/>
      </c>
      <c r="S784" s="266" t="str">
        <f>IFERROR(__xludf.DUMMYFUNCTION("IF(ISBLANK(A784),"""",IFERROR(IF(OR(Q784=""GPB"",Q784=""ZAR""),IF(Q784=Dashboard!$L$1,M784,(M784*GOOGLEFINANCE(""CURRENCY:""&amp;Q784&amp;""""&amp;Dashboard!$L$1&amp;""""))/100),IF(Q784=Dashboard!$L$1,M784,M784*GOOGLEFINANCE(""CURRENCY:""&amp;Q784&amp;""""&amp;Dashboard!$L$1&amp;"""")))"&amp;",M784))"),"")</f>
        <v/>
      </c>
      <c r="T784" s="264" t="str">
        <f t="shared" si="4"/>
        <v/>
      </c>
      <c r="U784" s="264" t="str">
        <f t="shared" si="5"/>
        <v/>
      </c>
      <c r="V784" s="264" t="str">
        <f t="shared" si="6"/>
        <v/>
      </c>
      <c r="W784" s="267" t="str">
        <f t="shared" si="8"/>
        <v/>
      </c>
      <c r="X784" s="264" t="str">
        <f t="shared" si="7"/>
        <v/>
      </c>
    </row>
    <row r="785" ht="15.75" customHeight="1">
      <c r="A785" s="258"/>
      <c r="B785" s="258"/>
      <c r="C785" s="269"/>
      <c r="D785" s="258"/>
      <c r="E785" s="258"/>
      <c r="F785" s="258"/>
      <c r="G785" s="258"/>
      <c r="H785" s="271"/>
      <c r="I785" s="258"/>
      <c r="J785" s="272"/>
      <c r="K785" s="260"/>
      <c r="L785" s="261"/>
      <c r="M785" s="262" t="str">
        <f t="shared" si="1"/>
        <v/>
      </c>
      <c r="N785" s="263" t="str">
        <f t="shared" si="2"/>
        <v/>
      </c>
      <c r="O785" s="264" t="str">
        <f t="shared" si="3"/>
        <v/>
      </c>
      <c r="P785" s="265" t="str">
        <f>IFERROR(__xludf.DUMMYFUNCTION("IF(ISBLANK(A785),"""",IFERROR(IF(H785=""Sell"",VLOOKUP(9^99,FILTER({ROW(P$2:P784),P$2:P784},D$2:D784=D785),2),(VLOOKUP(9^99,FILTER({ROW(P$2:P784),P$2:P784},D$2:D784=D785),2)*VLOOKUP(9^99,FILTER({ROW(O$2:O784),O$2:O784},D$2:D784=D785),2)-N785)/O785),J785))"),"")</f>
        <v/>
      </c>
      <c r="Q785" s="264" t="str">
        <f>IFERROR(__xludf.DUMMYFUNCTION("IFERROR(IF(F785=""Crypto"",B785,(IF(ISBLANK(D785),"""",IF(D785=""Cash"",B785,IF(GOOGLEFINANCE(D785,""CURRENCY"")=""GBX"",""GBP"",GOOGLEFINANCE(D785,""CURRENCY"")))))),B785)"),"")</f>
        <v/>
      </c>
      <c r="R785" s="263" t="str">
        <f>IFERROR(__xludf.DUMMYFUNCTION("IF(ISBLANK(A785),"""",IFERROR(IF(OR(Q785=""GPB"",Q785=""ZAR""),IF(Q785=Dashboard!$L$1,K785,(K785*GOOGLEFINANCE(""CURRENCY:""&amp;Q785&amp;""""&amp;Dashboard!$L$1&amp;""""))/100),IF(Q785=Dashboard!$L$1,K785,K785*GOOGLEFINANCE(""CURRENCY:""&amp;Q785&amp;""""&amp;Dashboard!$L$1&amp;"""")))"&amp;",K785))"),"")</f>
        <v/>
      </c>
      <c r="S785" s="266" t="str">
        <f>IFERROR(__xludf.DUMMYFUNCTION("IF(ISBLANK(A785),"""",IFERROR(IF(OR(Q785=""GPB"",Q785=""ZAR""),IF(Q785=Dashboard!$L$1,M785,(M785*GOOGLEFINANCE(""CURRENCY:""&amp;Q785&amp;""""&amp;Dashboard!$L$1&amp;""""))/100),IF(Q785=Dashboard!$L$1,M785,M785*GOOGLEFINANCE(""CURRENCY:""&amp;Q785&amp;""""&amp;Dashboard!$L$1&amp;"""")))"&amp;",M785))"),"")</f>
        <v/>
      </c>
      <c r="T785" s="264" t="str">
        <f t="shared" si="4"/>
        <v/>
      </c>
      <c r="U785" s="264" t="str">
        <f t="shared" si="5"/>
        <v/>
      </c>
      <c r="V785" s="264" t="str">
        <f t="shared" si="6"/>
        <v/>
      </c>
      <c r="W785" s="267" t="str">
        <f t="shared" si="8"/>
        <v/>
      </c>
      <c r="X785" s="264" t="str">
        <f t="shared" si="7"/>
        <v/>
      </c>
    </row>
    <row r="786" ht="15.75" customHeight="1">
      <c r="A786" s="258"/>
      <c r="B786" s="258"/>
      <c r="C786" s="269"/>
      <c r="D786" s="258"/>
      <c r="E786" s="258"/>
      <c r="F786" s="258"/>
      <c r="G786" s="258"/>
      <c r="H786" s="271"/>
      <c r="I786" s="258"/>
      <c r="J786" s="272"/>
      <c r="K786" s="260"/>
      <c r="L786" s="261"/>
      <c r="M786" s="262" t="str">
        <f t="shared" si="1"/>
        <v/>
      </c>
      <c r="N786" s="263" t="str">
        <f t="shared" si="2"/>
        <v/>
      </c>
      <c r="O786" s="264" t="str">
        <f t="shared" si="3"/>
        <v/>
      </c>
      <c r="P786" s="265" t="str">
        <f>IFERROR(__xludf.DUMMYFUNCTION("IF(ISBLANK(A786),"""",IFERROR(IF(H786=""Sell"",VLOOKUP(9^99,FILTER({ROW(P$2:P785),P$2:P785},D$2:D785=D786),2),(VLOOKUP(9^99,FILTER({ROW(P$2:P785),P$2:P785},D$2:D785=D786),2)*VLOOKUP(9^99,FILTER({ROW(O$2:O785),O$2:O785},D$2:D785=D786),2)-N786)/O786),J786))"),"")</f>
        <v/>
      </c>
      <c r="Q786" s="264" t="str">
        <f>IFERROR(__xludf.DUMMYFUNCTION("IFERROR(IF(F786=""Crypto"",B786,(IF(ISBLANK(D786),"""",IF(D786=""Cash"",B786,IF(GOOGLEFINANCE(D786,""CURRENCY"")=""GBX"",""GBP"",GOOGLEFINANCE(D786,""CURRENCY"")))))),B786)"),"")</f>
        <v/>
      </c>
      <c r="R786" s="263" t="str">
        <f>IFERROR(__xludf.DUMMYFUNCTION("IF(ISBLANK(A786),"""",IFERROR(IF(OR(Q786=""GPB"",Q786=""ZAR""),IF(Q786=Dashboard!$L$1,K786,(K786*GOOGLEFINANCE(""CURRENCY:""&amp;Q786&amp;""""&amp;Dashboard!$L$1&amp;""""))/100),IF(Q786=Dashboard!$L$1,K786,K786*GOOGLEFINANCE(""CURRENCY:""&amp;Q786&amp;""""&amp;Dashboard!$L$1&amp;"""")))"&amp;",K786))"),"")</f>
        <v/>
      </c>
      <c r="S786" s="266" t="str">
        <f>IFERROR(__xludf.DUMMYFUNCTION("IF(ISBLANK(A786),"""",IFERROR(IF(OR(Q786=""GPB"",Q786=""ZAR""),IF(Q786=Dashboard!$L$1,M786,(M786*GOOGLEFINANCE(""CURRENCY:""&amp;Q786&amp;""""&amp;Dashboard!$L$1&amp;""""))/100),IF(Q786=Dashboard!$L$1,M786,M786*GOOGLEFINANCE(""CURRENCY:""&amp;Q786&amp;""""&amp;Dashboard!$L$1&amp;"""")))"&amp;",M786))"),"")</f>
        <v/>
      </c>
      <c r="T786" s="264" t="str">
        <f t="shared" si="4"/>
        <v/>
      </c>
      <c r="U786" s="264" t="str">
        <f t="shared" si="5"/>
        <v/>
      </c>
      <c r="V786" s="264" t="str">
        <f t="shared" si="6"/>
        <v/>
      </c>
      <c r="W786" s="267" t="str">
        <f t="shared" si="8"/>
        <v/>
      </c>
      <c r="X786" s="264" t="str">
        <f t="shared" si="7"/>
        <v/>
      </c>
    </row>
    <row r="787" ht="15.75" customHeight="1">
      <c r="A787" s="258"/>
      <c r="B787" s="258"/>
      <c r="C787" s="269"/>
      <c r="D787" s="258"/>
      <c r="E787" s="258"/>
      <c r="F787" s="258"/>
      <c r="G787" s="258"/>
      <c r="H787" s="271"/>
      <c r="I787" s="258"/>
      <c r="J787" s="272"/>
      <c r="K787" s="260"/>
      <c r="L787" s="261"/>
      <c r="M787" s="262" t="str">
        <f t="shared" si="1"/>
        <v/>
      </c>
      <c r="N787" s="263" t="str">
        <f t="shared" si="2"/>
        <v/>
      </c>
      <c r="O787" s="264" t="str">
        <f t="shared" si="3"/>
        <v/>
      </c>
      <c r="P787" s="265" t="str">
        <f>IFERROR(__xludf.DUMMYFUNCTION("IF(ISBLANK(A787),"""",IFERROR(IF(H787=""Sell"",VLOOKUP(9^99,FILTER({ROW(P$2:P786),P$2:P786},D$2:D786=D787),2),(VLOOKUP(9^99,FILTER({ROW(P$2:P786),P$2:P786},D$2:D786=D787),2)*VLOOKUP(9^99,FILTER({ROW(O$2:O786),O$2:O786},D$2:D786=D787),2)-N787)/O787),J787))"),"")</f>
        <v/>
      </c>
      <c r="Q787" s="264" t="str">
        <f>IFERROR(__xludf.DUMMYFUNCTION("IFERROR(IF(F787=""Crypto"",B787,(IF(ISBLANK(D787),"""",IF(D787=""Cash"",B787,IF(GOOGLEFINANCE(D787,""CURRENCY"")=""GBX"",""GBP"",GOOGLEFINANCE(D787,""CURRENCY"")))))),B787)"),"")</f>
        <v/>
      </c>
      <c r="R787" s="263" t="str">
        <f>IFERROR(__xludf.DUMMYFUNCTION("IF(ISBLANK(A787),"""",IFERROR(IF(OR(Q787=""GPB"",Q787=""ZAR""),IF(Q787=Dashboard!$L$1,K787,(K787*GOOGLEFINANCE(""CURRENCY:""&amp;Q787&amp;""""&amp;Dashboard!$L$1&amp;""""))/100),IF(Q787=Dashboard!$L$1,K787,K787*GOOGLEFINANCE(""CURRENCY:""&amp;Q787&amp;""""&amp;Dashboard!$L$1&amp;"""")))"&amp;",K787))"),"")</f>
        <v/>
      </c>
      <c r="S787" s="266" t="str">
        <f>IFERROR(__xludf.DUMMYFUNCTION("IF(ISBLANK(A787),"""",IFERROR(IF(OR(Q787=""GPB"",Q787=""ZAR""),IF(Q787=Dashboard!$L$1,M787,(M787*GOOGLEFINANCE(""CURRENCY:""&amp;Q787&amp;""""&amp;Dashboard!$L$1&amp;""""))/100),IF(Q787=Dashboard!$L$1,M787,M787*GOOGLEFINANCE(""CURRENCY:""&amp;Q787&amp;""""&amp;Dashboard!$L$1&amp;"""")))"&amp;",M787))"),"")</f>
        <v/>
      </c>
      <c r="T787" s="264" t="str">
        <f t="shared" si="4"/>
        <v/>
      </c>
      <c r="U787" s="264" t="str">
        <f t="shared" si="5"/>
        <v/>
      </c>
      <c r="V787" s="264" t="str">
        <f t="shared" si="6"/>
        <v/>
      </c>
      <c r="W787" s="267" t="str">
        <f t="shared" si="8"/>
        <v/>
      </c>
      <c r="X787" s="264" t="str">
        <f t="shared" si="7"/>
        <v/>
      </c>
    </row>
    <row r="788" ht="15.75" customHeight="1">
      <c r="A788" s="258"/>
      <c r="B788" s="258"/>
      <c r="C788" s="269"/>
      <c r="D788" s="258"/>
      <c r="E788" s="258"/>
      <c r="F788" s="258"/>
      <c r="G788" s="258"/>
      <c r="H788" s="271"/>
      <c r="I788" s="258"/>
      <c r="J788" s="272"/>
      <c r="K788" s="260"/>
      <c r="L788" s="261"/>
      <c r="M788" s="262" t="str">
        <f t="shared" si="1"/>
        <v/>
      </c>
      <c r="N788" s="263" t="str">
        <f t="shared" si="2"/>
        <v/>
      </c>
      <c r="O788" s="264" t="str">
        <f t="shared" si="3"/>
        <v/>
      </c>
      <c r="P788" s="265" t="str">
        <f>IFERROR(__xludf.DUMMYFUNCTION("IF(ISBLANK(A788),"""",IFERROR(IF(H788=""Sell"",VLOOKUP(9^99,FILTER({ROW(P$2:P787),P$2:P787},D$2:D787=D788),2),(VLOOKUP(9^99,FILTER({ROW(P$2:P787),P$2:P787},D$2:D787=D788),2)*VLOOKUP(9^99,FILTER({ROW(O$2:O787),O$2:O787},D$2:D787=D788),2)-N788)/O788),J788))"),"")</f>
        <v/>
      </c>
      <c r="Q788" s="264" t="str">
        <f>IFERROR(__xludf.DUMMYFUNCTION("IFERROR(IF(F788=""Crypto"",B788,(IF(ISBLANK(D788),"""",IF(D788=""Cash"",B788,IF(GOOGLEFINANCE(D788,""CURRENCY"")=""GBX"",""GBP"",GOOGLEFINANCE(D788,""CURRENCY"")))))),B788)"),"")</f>
        <v/>
      </c>
      <c r="R788" s="263" t="str">
        <f>IFERROR(__xludf.DUMMYFUNCTION("IF(ISBLANK(A788),"""",IFERROR(IF(OR(Q788=""GPB"",Q788=""ZAR""),IF(Q788=Dashboard!$L$1,K788,(K788*GOOGLEFINANCE(""CURRENCY:""&amp;Q788&amp;""""&amp;Dashboard!$L$1&amp;""""))/100),IF(Q788=Dashboard!$L$1,K788,K788*GOOGLEFINANCE(""CURRENCY:""&amp;Q788&amp;""""&amp;Dashboard!$L$1&amp;"""")))"&amp;",K788))"),"")</f>
        <v/>
      </c>
      <c r="S788" s="266" t="str">
        <f>IFERROR(__xludf.DUMMYFUNCTION("IF(ISBLANK(A788),"""",IFERROR(IF(OR(Q788=""GPB"",Q788=""ZAR""),IF(Q788=Dashboard!$L$1,M788,(M788*GOOGLEFINANCE(""CURRENCY:""&amp;Q788&amp;""""&amp;Dashboard!$L$1&amp;""""))/100),IF(Q788=Dashboard!$L$1,M788,M788*GOOGLEFINANCE(""CURRENCY:""&amp;Q788&amp;""""&amp;Dashboard!$L$1&amp;"""")))"&amp;",M788))"),"")</f>
        <v/>
      </c>
      <c r="T788" s="264" t="str">
        <f t="shared" si="4"/>
        <v/>
      </c>
      <c r="U788" s="264" t="str">
        <f t="shared" si="5"/>
        <v/>
      </c>
      <c r="V788" s="264" t="str">
        <f t="shared" si="6"/>
        <v/>
      </c>
      <c r="W788" s="267" t="str">
        <f t="shared" si="8"/>
        <v/>
      </c>
      <c r="X788" s="264" t="str">
        <f t="shared" si="7"/>
        <v/>
      </c>
    </row>
    <row r="789" ht="15.75" customHeight="1">
      <c r="A789" s="258"/>
      <c r="B789" s="258"/>
      <c r="C789" s="269"/>
      <c r="D789" s="258"/>
      <c r="E789" s="258"/>
      <c r="F789" s="258"/>
      <c r="G789" s="258"/>
      <c r="H789" s="271"/>
      <c r="I789" s="258"/>
      <c r="J789" s="272"/>
      <c r="K789" s="260"/>
      <c r="L789" s="261"/>
      <c r="M789" s="262" t="str">
        <f t="shared" si="1"/>
        <v/>
      </c>
      <c r="N789" s="263" t="str">
        <f t="shared" si="2"/>
        <v/>
      </c>
      <c r="O789" s="264" t="str">
        <f t="shared" si="3"/>
        <v/>
      </c>
      <c r="P789" s="265" t="str">
        <f>IFERROR(__xludf.DUMMYFUNCTION("IF(ISBLANK(A789),"""",IFERROR(IF(H789=""Sell"",VLOOKUP(9^99,FILTER({ROW(P$2:P788),P$2:P788},D$2:D788=D789),2),(VLOOKUP(9^99,FILTER({ROW(P$2:P788),P$2:P788},D$2:D788=D789),2)*VLOOKUP(9^99,FILTER({ROW(O$2:O788),O$2:O788},D$2:D788=D789),2)-N789)/O789),J789))"),"")</f>
        <v/>
      </c>
      <c r="Q789" s="264" t="str">
        <f>IFERROR(__xludf.DUMMYFUNCTION("IFERROR(IF(F789=""Crypto"",B789,(IF(ISBLANK(D789),"""",IF(D789=""Cash"",B789,IF(GOOGLEFINANCE(D789,""CURRENCY"")=""GBX"",""GBP"",GOOGLEFINANCE(D789,""CURRENCY"")))))),B789)"),"")</f>
        <v/>
      </c>
      <c r="R789" s="263" t="str">
        <f>IFERROR(__xludf.DUMMYFUNCTION("IF(ISBLANK(A789),"""",IFERROR(IF(OR(Q789=""GPB"",Q789=""ZAR""),IF(Q789=Dashboard!$L$1,K789,(K789*GOOGLEFINANCE(""CURRENCY:""&amp;Q789&amp;""""&amp;Dashboard!$L$1&amp;""""))/100),IF(Q789=Dashboard!$L$1,K789,K789*GOOGLEFINANCE(""CURRENCY:""&amp;Q789&amp;""""&amp;Dashboard!$L$1&amp;"""")))"&amp;",K789))"),"")</f>
        <v/>
      </c>
      <c r="S789" s="266" t="str">
        <f>IFERROR(__xludf.DUMMYFUNCTION("IF(ISBLANK(A789),"""",IFERROR(IF(OR(Q789=""GPB"",Q789=""ZAR""),IF(Q789=Dashboard!$L$1,M789,(M789*GOOGLEFINANCE(""CURRENCY:""&amp;Q789&amp;""""&amp;Dashboard!$L$1&amp;""""))/100),IF(Q789=Dashboard!$L$1,M789,M789*GOOGLEFINANCE(""CURRENCY:""&amp;Q789&amp;""""&amp;Dashboard!$L$1&amp;"""")))"&amp;",M789))"),"")</f>
        <v/>
      </c>
      <c r="T789" s="264" t="str">
        <f t="shared" si="4"/>
        <v/>
      </c>
      <c r="U789" s="264" t="str">
        <f t="shared" si="5"/>
        <v/>
      </c>
      <c r="V789" s="264" t="str">
        <f t="shared" si="6"/>
        <v/>
      </c>
      <c r="W789" s="267" t="str">
        <f t="shared" si="8"/>
        <v/>
      </c>
      <c r="X789" s="264" t="str">
        <f t="shared" si="7"/>
        <v/>
      </c>
    </row>
    <row r="790" ht="15.75" customHeight="1">
      <c r="A790" s="258"/>
      <c r="B790" s="258"/>
      <c r="C790" s="269"/>
      <c r="D790" s="258"/>
      <c r="E790" s="258"/>
      <c r="F790" s="258"/>
      <c r="G790" s="258"/>
      <c r="H790" s="271"/>
      <c r="I790" s="258"/>
      <c r="J790" s="272"/>
      <c r="K790" s="260"/>
      <c r="L790" s="261"/>
      <c r="M790" s="262" t="str">
        <f t="shared" si="1"/>
        <v/>
      </c>
      <c r="N790" s="263" t="str">
        <f t="shared" si="2"/>
        <v/>
      </c>
      <c r="O790" s="264" t="str">
        <f t="shared" si="3"/>
        <v/>
      </c>
      <c r="P790" s="265" t="str">
        <f>IFERROR(__xludf.DUMMYFUNCTION("IF(ISBLANK(A790),"""",IFERROR(IF(H790=""Sell"",VLOOKUP(9^99,FILTER({ROW(P$2:P789),P$2:P789},D$2:D789=D790),2),(VLOOKUP(9^99,FILTER({ROW(P$2:P789),P$2:P789},D$2:D789=D790),2)*VLOOKUP(9^99,FILTER({ROW(O$2:O789),O$2:O789},D$2:D789=D790),2)-N790)/O790),J790))"),"")</f>
        <v/>
      </c>
      <c r="Q790" s="264" t="str">
        <f>IFERROR(__xludf.DUMMYFUNCTION("IFERROR(IF(F790=""Crypto"",B790,(IF(ISBLANK(D790),"""",IF(D790=""Cash"",B790,IF(GOOGLEFINANCE(D790,""CURRENCY"")=""GBX"",""GBP"",GOOGLEFINANCE(D790,""CURRENCY"")))))),B790)"),"")</f>
        <v/>
      </c>
      <c r="R790" s="263" t="str">
        <f>IFERROR(__xludf.DUMMYFUNCTION("IF(ISBLANK(A790),"""",IFERROR(IF(OR(Q790=""GPB"",Q790=""ZAR""),IF(Q790=Dashboard!$L$1,K790,(K790*GOOGLEFINANCE(""CURRENCY:""&amp;Q790&amp;""""&amp;Dashboard!$L$1&amp;""""))/100),IF(Q790=Dashboard!$L$1,K790,K790*GOOGLEFINANCE(""CURRENCY:""&amp;Q790&amp;""""&amp;Dashboard!$L$1&amp;"""")))"&amp;",K790))"),"")</f>
        <v/>
      </c>
      <c r="S790" s="266" t="str">
        <f>IFERROR(__xludf.DUMMYFUNCTION("IF(ISBLANK(A790),"""",IFERROR(IF(OR(Q790=""GPB"",Q790=""ZAR""),IF(Q790=Dashboard!$L$1,M790,(M790*GOOGLEFINANCE(""CURRENCY:""&amp;Q790&amp;""""&amp;Dashboard!$L$1&amp;""""))/100),IF(Q790=Dashboard!$L$1,M790,M790*GOOGLEFINANCE(""CURRENCY:""&amp;Q790&amp;""""&amp;Dashboard!$L$1&amp;"""")))"&amp;",M790))"),"")</f>
        <v/>
      </c>
      <c r="T790" s="264" t="str">
        <f t="shared" si="4"/>
        <v/>
      </c>
      <c r="U790" s="264" t="str">
        <f t="shared" si="5"/>
        <v/>
      </c>
      <c r="V790" s="264" t="str">
        <f t="shared" si="6"/>
        <v/>
      </c>
      <c r="W790" s="267" t="str">
        <f t="shared" si="8"/>
        <v/>
      </c>
      <c r="X790" s="264" t="str">
        <f t="shared" si="7"/>
        <v/>
      </c>
    </row>
    <row r="791" ht="15.75" customHeight="1">
      <c r="A791" s="258"/>
      <c r="B791" s="258"/>
      <c r="C791" s="269"/>
      <c r="D791" s="258"/>
      <c r="E791" s="258"/>
      <c r="F791" s="258"/>
      <c r="G791" s="258"/>
      <c r="H791" s="271"/>
      <c r="I791" s="258"/>
      <c r="J791" s="272"/>
      <c r="K791" s="260"/>
      <c r="L791" s="261"/>
      <c r="M791" s="262" t="str">
        <f t="shared" si="1"/>
        <v/>
      </c>
      <c r="N791" s="263" t="str">
        <f t="shared" si="2"/>
        <v/>
      </c>
      <c r="O791" s="264" t="str">
        <f t="shared" si="3"/>
        <v/>
      </c>
      <c r="P791" s="265" t="str">
        <f>IFERROR(__xludf.DUMMYFUNCTION("IF(ISBLANK(A791),"""",IFERROR(IF(H791=""Sell"",VLOOKUP(9^99,FILTER({ROW(P$2:P790),P$2:P790},D$2:D790=D791),2),(VLOOKUP(9^99,FILTER({ROW(P$2:P790),P$2:P790},D$2:D790=D791),2)*VLOOKUP(9^99,FILTER({ROW(O$2:O790),O$2:O790},D$2:D790=D791),2)-N791)/O791),J791))"),"")</f>
        <v/>
      </c>
      <c r="Q791" s="264" t="str">
        <f>IFERROR(__xludf.DUMMYFUNCTION("IFERROR(IF(F791=""Crypto"",B791,(IF(ISBLANK(D791),"""",IF(D791=""Cash"",B791,IF(GOOGLEFINANCE(D791,""CURRENCY"")=""GBX"",""GBP"",GOOGLEFINANCE(D791,""CURRENCY"")))))),B791)"),"")</f>
        <v/>
      </c>
      <c r="R791" s="263" t="str">
        <f>IFERROR(__xludf.DUMMYFUNCTION("IF(ISBLANK(A791),"""",IFERROR(IF(OR(Q791=""GPB"",Q791=""ZAR""),IF(Q791=Dashboard!$L$1,K791,(K791*GOOGLEFINANCE(""CURRENCY:""&amp;Q791&amp;""""&amp;Dashboard!$L$1&amp;""""))/100),IF(Q791=Dashboard!$L$1,K791,K791*GOOGLEFINANCE(""CURRENCY:""&amp;Q791&amp;""""&amp;Dashboard!$L$1&amp;"""")))"&amp;",K791))"),"")</f>
        <v/>
      </c>
      <c r="S791" s="266" t="str">
        <f>IFERROR(__xludf.DUMMYFUNCTION("IF(ISBLANK(A791),"""",IFERROR(IF(OR(Q791=""GPB"",Q791=""ZAR""),IF(Q791=Dashboard!$L$1,M791,(M791*GOOGLEFINANCE(""CURRENCY:""&amp;Q791&amp;""""&amp;Dashboard!$L$1&amp;""""))/100),IF(Q791=Dashboard!$L$1,M791,M791*GOOGLEFINANCE(""CURRENCY:""&amp;Q791&amp;""""&amp;Dashboard!$L$1&amp;"""")))"&amp;",M791))"),"")</f>
        <v/>
      </c>
      <c r="T791" s="264" t="str">
        <f t="shared" si="4"/>
        <v/>
      </c>
      <c r="U791" s="264" t="str">
        <f t="shared" si="5"/>
        <v/>
      </c>
      <c r="V791" s="264" t="str">
        <f t="shared" si="6"/>
        <v/>
      </c>
      <c r="W791" s="267" t="str">
        <f t="shared" si="8"/>
        <v/>
      </c>
      <c r="X791" s="264" t="str">
        <f t="shared" si="7"/>
        <v/>
      </c>
    </row>
    <row r="792" ht="15.75" customHeight="1">
      <c r="A792" s="258"/>
      <c r="B792" s="258"/>
      <c r="C792" s="269"/>
      <c r="D792" s="258"/>
      <c r="E792" s="258"/>
      <c r="F792" s="258"/>
      <c r="G792" s="258"/>
      <c r="H792" s="271"/>
      <c r="I792" s="258"/>
      <c r="J792" s="272"/>
      <c r="K792" s="260"/>
      <c r="L792" s="261"/>
      <c r="M792" s="262" t="str">
        <f t="shared" si="1"/>
        <v/>
      </c>
      <c r="N792" s="263" t="str">
        <f t="shared" si="2"/>
        <v/>
      </c>
      <c r="O792" s="264" t="str">
        <f t="shared" si="3"/>
        <v/>
      </c>
      <c r="P792" s="265" t="str">
        <f>IFERROR(__xludf.DUMMYFUNCTION("IF(ISBLANK(A792),"""",IFERROR(IF(H792=""Sell"",VLOOKUP(9^99,FILTER({ROW(P$2:P791),P$2:P791},D$2:D791=D792),2),(VLOOKUP(9^99,FILTER({ROW(P$2:P791),P$2:P791},D$2:D791=D792),2)*VLOOKUP(9^99,FILTER({ROW(O$2:O791),O$2:O791},D$2:D791=D792),2)-N792)/O792),J792))"),"")</f>
        <v/>
      </c>
      <c r="Q792" s="264" t="str">
        <f>IFERROR(__xludf.DUMMYFUNCTION("IFERROR(IF(F792=""Crypto"",B792,(IF(ISBLANK(D792),"""",IF(D792=""Cash"",B792,IF(GOOGLEFINANCE(D792,""CURRENCY"")=""GBX"",""GBP"",GOOGLEFINANCE(D792,""CURRENCY"")))))),B792)"),"")</f>
        <v/>
      </c>
      <c r="R792" s="263" t="str">
        <f>IFERROR(__xludf.DUMMYFUNCTION("IF(ISBLANK(A792),"""",IFERROR(IF(OR(Q792=""GPB"",Q792=""ZAR""),IF(Q792=Dashboard!$L$1,K792,(K792*GOOGLEFINANCE(""CURRENCY:""&amp;Q792&amp;""""&amp;Dashboard!$L$1&amp;""""))/100),IF(Q792=Dashboard!$L$1,K792,K792*GOOGLEFINANCE(""CURRENCY:""&amp;Q792&amp;""""&amp;Dashboard!$L$1&amp;"""")))"&amp;",K792))"),"")</f>
        <v/>
      </c>
      <c r="S792" s="266" t="str">
        <f>IFERROR(__xludf.DUMMYFUNCTION("IF(ISBLANK(A792),"""",IFERROR(IF(OR(Q792=""GPB"",Q792=""ZAR""),IF(Q792=Dashboard!$L$1,M792,(M792*GOOGLEFINANCE(""CURRENCY:""&amp;Q792&amp;""""&amp;Dashboard!$L$1&amp;""""))/100),IF(Q792=Dashboard!$L$1,M792,M792*GOOGLEFINANCE(""CURRENCY:""&amp;Q792&amp;""""&amp;Dashboard!$L$1&amp;"""")))"&amp;",M792))"),"")</f>
        <v/>
      </c>
      <c r="T792" s="264" t="str">
        <f t="shared" si="4"/>
        <v/>
      </c>
      <c r="U792" s="264" t="str">
        <f t="shared" si="5"/>
        <v/>
      </c>
      <c r="V792" s="264" t="str">
        <f t="shared" si="6"/>
        <v/>
      </c>
      <c r="W792" s="267" t="str">
        <f t="shared" si="8"/>
        <v/>
      </c>
      <c r="X792" s="264" t="str">
        <f t="shared" si="7"/>
        <v/>
      </c>
    </row>
    <row r="793" ht="15.75" customHeight="1">
      <c r="A793" s="258"/>
      <c r="B793" s="258"/>
      <c r="C793" s="269"/>
      <c r="D793" s="258"/>
      <c r="E793" s="258"/>
      <c r="F793" s="258"/>
      <c r="G793" s="258"/>
      <c r="H793" s="271"/>
      <c r="I793" s="258"/>
      <c r="J793" s="272"/>
      <c r="K793" s="260"/>
      <c r="L793" s="261"/>
      <c r="M793" s="262" t="str">
        <f t="shared" si="1"/>
        <v/>
      </c>
      <c r="N793" s="263" t="str">
        <f t="shared" si="2"/>
        <v/>
      </c>
      <c r="O793" s="264" t="str">
        <f t="shared" si="3"/>
        <v/>
      </c>
      <c r="P793" s="265" t="str">
        <f>IFERROR(__xludf.DUMMYFUNCTION("IF(ISBLANK(A793),"""",IFERROR(IF(H793=""Sell"",VLOOKUP(9^99,FILTER({ROW(P$2:P792),P$2:P792},D$2:D792=D793),2),(VLOOKUP(9^99,FILTER({ROW(P$2:P792),P$2:P792},D$2:D792=D793),2)*VLOOKUP(9^99,FILTER({ROW(O$2:O792),O$2:O792},D$2:D792=D793),2)-N793)/O793),J793))"),"")</f>
        <v/>
      </c>
      <c r="Q793" s="264" t="str">
        <f>IFERROR(__xludf.DUMMYFUNCTION("IFERROR(IF(F793=""Crypto"",B793,(IF(ISBLANK(D793),"""",IF(D793=""Cash"",B793,IF(GOOGLEFINANCE(D793,""CURRENCY"")=""GBX"",""GBP"",GOOGLEFINANCE(D793,""CURRENCY"")))))),B793)"),"")</f>
        <v/>
      </c>
      <c r="R793" s="263" t="str">
        <f>IFERROR(__xludf.DUMMYFUNCTION("IF(ISBLANK(A793),"""",IFERROR(IF(OR(Q793=""GPB"",Q793=""ZAR""),IF(Q793=Dashboard!$L$1,K793,(K793*GOOGLEFINANCE(""CURRENCY:""&amp;Q793&amp;""""&amp;Dashboard!$L$1&amp;""""))/100),IF(Q793=Dashboard!$L$1,K793,K793*GOOGLEFINANCE(""CURRENCY:""&amp;Q793&amp;""""&amp;Dashboard!$L$1&amp;"""")))"&amp;",K793))"),"")</f>
        <v/>
      </c>
      <c r="S793" s="266" t="str">
        <f>IFERROR(__xludf.DUMMYFUNCTION("IF(ISBLANK(A793),"""",IFERROR(IF(OR(Q793=""GPB"",Q793=""ZAR""),IF(Q793=Dashboard!$L$1,M793,(M793*GOOGLEFINANCE(""CURRENCY:""&amp;Q793&amp;""""&amp;Dashboard!$L$1&amp;""""))/100),IF(Q793=Dashboard!$L$1,M793,M793*GOOGLEFINANCE(""CURRENCY:""&amp;Q793&amp;""""&amp;Dashboard!$L$1&amp;"""")))"&amp;",M793))"),"")</f>
        <v/>
      </c>
      <c r="T793" s="264" t="str">
        <f t="shared" si="4"/>
        <v/>
      </c>
      <c r="U793" s="264" t="str">
        <f t="shared" si="5"/>
        <v/>
      </c>
      <c r="V793" s="264" t="str">
        <f t="shared" si="6"/>
        <v/>
      </c>
      <c r="W793" s="267" t="str">
        <f t="shared" si="8"/>
        <v/>
      </c>
      <c r="X793" s="264" t="str">
        <f t="shared" si="7"/>
        <v/>
      </c>
    </row>
    <row r="794" ht="15.75" customHeight="1">
      <c r="A794" s="258"/>
      <c r="B794" s="258"/>
      <c r="C794" s="269"/>
      <c r="D794" s="258"/>
      <c r="E794" s="258"/>
      <c r="F794" s="258"/>
      <c r="G794" s="258"/>
      <c r="H794" s="271"/>
      <c r="I794" s="258"/>
      <c r="J794" s="272"/>
      <c r="K794" s="260"/>
      <c r="L794" s="261"/>
      <c r="M794" s="262" t="str">
        <f t="shared" si="1"/>
        <v/>
      </c>
      <c r="N794" s="263" t="str">
        <f t="shared" si="2"/>
        <v/>
      </c>
      <c r="O794" s="264" t="str">
        <f t="shared" si="3"/>
        <v/>
      </c>
      <c r="P794" s="265" t="str">
        <f>IFERROR(__xludf.DUMMYFUNCTION("IF(ISBLANK(A794),"""",IFERROR(IF(H794=""Sell"",VLOOKUP(9^99,FILTER({ROW(P$2:P793),P$2:P793},D$2:D793=D794),2),(VLOOKUP(9^99,FILTER({ROW(P$2:P793),P$2:P793},D$2:D793=D794),2)*VLOOKUP(9^99,FILTER({ROW(O$2:O793),O$2:O793},D$2:D793=D794),2)-N794)/O794),J794))"),"")</f>
        <v/>
      </c>
      <c r="Q794" s="264" t="str">
        <f>IFERROR(__xludf.DUMMYFUNCTION("IFERROR(IF(F794=""Crypto"",B794,(IF(ISBLANK(D794),"""",IF(D794=""Cash"",B794,IF(GOOGLEFINANCE(D794,""CURRENCY"")=""GBX"",""GBP"",GOOGLEFINANCE(D794,""CURRENCY"")))))),B794)"),"")</f>
        <v/>
      </c>
      <c r="R794" s="263" t="str">
        <f>IFERROR(__xludf.DUMMYFUNCTION("IF(ISBLANK(A794),"""",IFERROR(IF(OR(Q794=""GPB"",Q794=""ZAR""),IF(Q794=Dashboard!$L$1,K794,(K794*GOOGLEFINANCE(""CURRENCY:""&amp;Q794&amp;""""&amp;Dashboard!$L$1&amp;""""))/100),IF(Q794=Dashboard!$L$1,K794,K794*GOOGLEFINANCE(""CURRENCY:""&amp;Q794&amp;""""&amp;Dashboard!$L$1&amp;"""")))"&amp;",K794))"),"")</f>
        <v/>
      </c>
      <c r="S794" s="266" t="str">
        <f>IFERROR(__xludf.DUMMYFUNCTION("IF(ISBLANK(A794),"""",IFERROR(IF(OR(Q794=""GPB"",Q794=""ZAR""),IF(Q794=Dashboard!$L$1,M794,(M794*GOOGLEFINANCE(""CURRENCY:""&amp;Q794&amp;""""&amp;Dashboard!$L$1&amp;""""))/100),IF(Q794=Dashboard!$L$1,M794,M794*GOOGLEFINANCE(""CURRENCY:""&amp;Q794&amp;""""&amp;Dashboard!$L$1&amp;"""")))"&amp;",M794))"),"")</f>
        <v/>
      </c>
      <c r="T794" s="264" t="str">
        <f t="shared" si="4"/>
        <v/>
      </c>
      <c r="U794" s="264" t="str">
        <f t="shared" si="5"/>
        <v/>
      </c>
      <c r="V794" s="264" t="str">
        <f t="shared" si="6"/>
        <v/>
      </c>
      <c r="W794" s="267" t="str">
        <f t="shared" si="8"/>
        <v/>
      </c>
      <c r="X794" s="264" t="str">
        <f t="shared" si="7"/>
        <v/>
      </c>
    </row>
    <row r="795" ht="15.75" customHeight="1">
      <c r="A795" s="258"/>
      <c r="B795" s="258"/>
      <c r="C795" s="269"/>
      <c r="D795" s="258"/>
      <c r="E795" s="258"/>
      <c r="F795" s="258"/>
      <c r="G795" s="258"/>
      <c r="H795" s="271"/>
      <c r="I795" s="258"/>
      <c r="J795" s="272"/>
      <c r="K795" s="260"/>
      <c r="L795" s="261"/>
      <c r="M795" s="262" t="str">
        <f t="shared" si="1"/>
        <v/>
      </c>
      <c r="N795" s="263" t="str">
        <f t="shared" si="2"/>
        <v/>
      </c>
      <c r="O795" s="264" t="str">
        <f t="shared" si="3"/>
        <v/>
      </c>
      <c r="P795" s="265" t="str">
        <f>IFERROR(__xludf.DUMMYFUNCTION("IF(ISBLANK(A795),"""",IFERROR(IF(H795=""Sell"",VLOOKUP(9^99,FILTER({ROW(P$2:P794),P$2:P794},D$2:D794=D795),2),(VLOOKUP(9^99,FILTER({ROW(P$2:P794),P$2:P794},D$2:D794=D795),2)*VLOOKUP(9^99,FILTER({ROW(O$2:O794),O$2:O794},D$2:D794=D795),2)-N795)/O795),J795))"),"")</f>
        <v/>
      </c>
      <c r="Q795" s="264" t="str">
        <f>IFERROR(__xludf.DUMMYFUNCTION("IFERROR(IF(F795=""Crypto"",B795,(IF(ISBLANK(D795),"""",IF(D795=""Cash"",B795,IF(GOOGLEFINANCE(D795,""CURRENCY"")=""GBX"",""GBP"",GOOGLEFINANCE(D795,""CURRENCY"")))))),B795)"),"")</f>
        <v/>
      </c>
      <c r="R795" s="263" t="str">
        <f>IFERROR(__xludf.DUMMYFUNCTION("IF(ISBLANK(A795),"""",IFERROR(IF(OR(Q795=""GPB"",Q795=""ZAR""),IF(Q795=Dashboard!$L$1,K795,(K795*GOOGLEFINANCE(""CURRENCY:""&amp;Q795&amp;""""&amp;Dashboard!$L$1&amp;""""))/100),IF(Q795=Dashboard!$L$1,K795,K795*GOOGLEFINANCE(""CURRENCY:""&amp;Q795&amp;""""&amp;Dashboard!$L$1&amp;"""")))"&amp;",K795))"),"")</f>
        <v/>
      </c>
      <c r="S795" s="266" t="str">
        <f>IFERROR(__xludf.DUMMYFUNCTION("IF(ISBLANK(A795),"""",IFERROR(IF(OR(Q795=""GPB"",Q795=""ZAR""),IF(Q795=Dashboard!$L$1,M795,(M795*GOOGLEFINANCE(""CURRENCY:""&amp;Q795&amp;""""&amp;Dashboard!$L$1&amp;""""))/100),IF(Q795=Dashboard!$L$1,M795,M795*GOOGLEFINANCE(""CURRENCY:""&amp;Q795&amp;""""&amp;Dashboard!$L$1&amp;"""")))"&amp;",M795))"),"")</f>
        <v/>
      </c>
      <c r="T795" s="264" t="str">
        <f t="shared" si="4"/>
        <v/>
      </c>
      <c r="U795" s="264" t="str">
        <f t="shared" si="5"/>
        <v/>
      </c>
      <c r="V795" s="264" t="str">
        <f t="shared" si="6"/>
        <v/>
      </c>
      <c r="W795" s="267" t="str">
        <f t="shared" si="8"/>
        <v/>
      </c>
      <c r="X795" s="264" t="str">
        <f t="shared" si="7"/>
        <v/>
      </c>
    </row>
    <row r="796" ht="15.75" customHeight="1">
      <c r="A796" s="258"/>
      <c r="B796" s="258"/>
      <c r="C796" s="269"/>
      <c r="D796" s="258"/>
      <c r="E796" s="258"/>
      <c r="F796" s="258"/>
      <c r="G796" s="258"/>
      <c r="H796" s="271"/>
      <c r="I796" s="258"/>
      <c r="J796" s="272"/>
      <c r="K796" s="260"/>
      <c r="L796" s="261"/>
      <c r="M796" s="262" t="str">
        <f t="shared" si="1"/>
        <v/>
      </c>
      <c r="N796" s="263" t="str">
        <f t="shared" si="2"/>
        <v/>
      </c>
      <c r="O796" s="264" t="str">
        <f t="shared" si="3"/>
        <v/>
      </c>
      <c r="P796" s="265" t="str">
        <f>IFERROR(__xludf.DUMMYFUNCTION("IF(ISBLANK(A796),"""",IFERROR(IF(H796=""Sell"",VLOOKUP(9^99,FILTER({ROW(P$2:P795),P$2:P795},D$2:D795=D796),2),(VLOOKUP(9^99,FILTER({ROW(P$2:P795),P$2:P795},D$2:D795=D796),2)*VLOOKUP(9^99,FILTER({ROW(O$2:O795),O$2:O795},D$2:D795=D796),2)-N796)/O796),J796))"),"")</f>
        <v/>
      </c>
      <c r="Q796" s="264" t="str">
        <f>IFERROR(__xludf.DUMMYFUNCTION("IFERROR(IF(F796=""Crypto"",B796,(IF(ISBLANK(D796),"""",IF(D796=""Cash"",B796,IF(GOOGLEFINANCE(D796,""CURRENCY"")=""GBX"",""GBP"",GOOGLEFINANCE(D796,""CURRENCY"")))))),B796)"),"")</f>
        <v/>
      </c>
      <c r="R796" s="263" t="str">
        <f>IFERROR(__xludf.DUMMYFUNCTION("IF(ISBLANK(A796),"""",IFERROR(IF(OR(Q796=""GPB"",Q796=""ZAR""),IF(Q796=Dashboard!$L$1,K796,(K796*GOOGLEFINANCE(""CURRENCY:""&amp;Q796&amp;""""&amp;Dashboard!$L$1&amp;""""))/100),IF(Q796=Dashboard!$L$1,K796,K796*GOOGLEFINANCE(""CURRENCY:""&amp;Q796&amp;""""&amp;Dashboard!$L$1&amp;"""")))"&amp;",K796))"),"")</f>
        <v/>
      </c>
      <c r="S796" s="266" t="str">
        <f>IFERROR(__xludf.DUMMYFUNCTION("IF(ISBLANK(A796),"""",IFERROR(IF(OR(Q796=""GPB"",Q796=""ZAR""),IF(Q796=Dashboard!$L$1,M796,(M796*GOOGLEFINANCE(""CURRENCY:""&amp;Q796&amp;""""&amp;Dashboard!$L$1&amp;""""))/100),IF(Q796=Dashboard!$L$1,M796,M796*GOOGLEFINANCE(""CURRENCY:""&amp;Q796&amp;""""&amp;Dashboard!$L$1&amp;"""")))"&amp;",M796))"),"")</f>
        <v/>
      </c>
      <c r="T796" s="264" t="str">
        <f t="shared" si="4"/>
        <v/>
      </c>
      <c r="U796" s="264" t="str">
        <f t="shared" si="5"/>
        <v/>
      </c>
      <c r="V796" s="264" t="str">
        <f t="shared" si="6"/>
        <v/>
      </c>
      <c r="W796" s="267" t="str">
        <f t="shared" si="8"/>
        <v/>
      </c>
      <c r="X796" s="264" t="str">
        <f t="shared" si="7"/>
        <v/>
      </c>
    </row>
    <row r="797" ht="15.75" customHeight="1">
      <c r="A797" s="258"/>
      <c r="B797" s="258"/>
      <c r="C797" s="269"/>
      <c r="D797" s="258"/>
      <c r="E797" s="258"/>
      <c r="F797" s="258"/>
      <c r="G797" s="258"/>
      <c r="H797" s="271"/>
      <c r="I797" s="258"/>
      <c r="J797" s="272"/>
      <c r="K797" s="260"/>
      <c r="L797" s="261"/>
      <c r="M797" s="262" t="str">
        <f t="shared" si="1"/>
        <v/>
      </c>
      <c r="N797" s="263" t="str">
        <f t="shared" si="2"/>
        <v/>
      </c>
      <c r="O797" s="264" t="str">
        <f t="shared" si="3"/>
        <v/>
      </c>
      <c r="P797" s="265" t="str">
        <f>IFERROR(__xludf.DUMMYFUNCTION("IF(ISBLANK(A797),"""",IFERROR(IF(H797=""Sell"",VLOOKUP(9^99,FILTER({ROW(P$2:P796),P$2:P796},D$2:D796=D797),2),(VLOOKUP(9^99,FILTER({ROW(P$2:P796),P$2:P796},D$2:D796=D797),2)*VLOOKUP(9^99,FILTER({ROW(O$2:O796),O$2:O796},D$2:D796=D797),2)-N797)/O797),J797))"),"")</f>
        <v/>
      </c>
      <c r="Q797" s="264" t="str">
        <f>IFERROR(__xludf.DUMMYFUNCTION("IFERROR(IF(F797=""Crypto"",B797,(IF(ISBLANK(D797),"""",IF(D797=""Cash"",B797,IF(GOOGLEFINANCE(D797,""CURRENCY"")=""GBX"",""GBP"",GOOGLEFINANCE(D797,""CURRENCY"")))))),B797)"),"")</f>
        <v/>
      </c>
      <c r="R797" s="263" t="str">
        <f>IFERROR(__xludf.DUMMYFUNCTION("IF(ISBLANK(A797),"""",IFERROR(IF(OR(Q797=""GPB"",Q797=""ZAR""),IF(Q797=Dashboard!$L$1,K797,(K797*GOOGLEFINANCE(""CURRENCY:""&amp;Q797&amp;""""&amp;Dashboard!$L$1&amp;""""))/100),IF(Q797=Dashboard!$L$1,K797,K797*GOOGLEFINANCE(""CURRENCY:""&amp;Q797&amp;""""&amp;Dashboard!$L$1&amp;"""")))"&amp;",K797))"),"")</f>
        <v/>
      </c>
      <c r="S797" s="266" t="str">
        <f>IFERROR(__xludf.DUMMYFUNCTION("IF(ISBLANK(A797),"""",IFERROR(IF(OR(Q797=""GPB"",Q797=""ZAR""),IF(Q797=Dashboard!$L$1,M797,(M797*GOOGLEFINANCE(""CURRENCY:""&amp;Q797&amp;""""&amp;Dashboard!$L$1&amp;""""))/100),IF(Q797=Dashboard!$L$1,M797,M797*GOOGLEFINANCE(""CURRENCY:""&amp;Q797&amp;""""&amp;Dashboard!$L$1&amp;"""")))"&amp;",M797))"),"")</f>
        <v/>
      </c>
      <c r="T797" s="264" t="str">
        <f t="shared" si="4"/>
        <v/>
      </c>
      <c r="U797" s="264" t="str">
        <f t="shared" si="5"/>
        <v/>
      </c>
      <c r="V797" s="264" t="str">
        <f t="shared" si="6"/>
        <v/>
      </c>
      <c r="W797" s="267" t="str">
        <f t="shared" si="8"/>
        <v/>
      </c>
      <c r="X797" s="264" t="str">
        <f t="shared" si="7"/>
        <v/>
      </c>
    </row>
    <row r="798" ht="15.75" customHeight="1">
      <c r="A798" s="258"/>
      <c r="B798" s="258"/>
      <c r="C798" s="269"/>
      <c r="D798" s="258"/>
      <c r="E798" s="258"/>
      <c r="F798" s="258"/>
      <c r="G798" s="258"/>
      <c r="H798" s="271"/>
      <c r="I798" s="258"/>
      <c r="J798" s="272"/>
      <c r="K798" s="260"/>
      <c r="L798" s="261"/>
      <c r="M798" s="262" t="str">
        <f t="shared" si="1"/>
        <v/>
      </c>
      <c r="N798" s="263" t="str">
        <f t="shared" si="2"/>
        <v/>
      </c>
      <c r="O798" s="264" t="str">
        <f t="shared" si="3"/>
        <v/>
      </c>
      <c r="P798" s="265" t="str">
        <f>IFERROR(__xludf.DUMMYFUNCTION("IF(ISBLANK(A798),"""",IFERROR(IF(H798=""Sell"",VLOOKUP(9^99,FILTER({ROW(P$2:P797),P$2:P797},D$2:D797=D798),2),(VLOOKUP(9^99,FILTER({ROW(P$2:P797),P$2:P797},D$2:D797=D798),2)*VLOOKUP(9^99,FILTER({ROW(O$2:O797),O$2:O797},D$2:D797=D798),2)-N798)/O798),J798))"),"")</f>
        <v/>
      </c>
      <c r="Q798" s="264" t="str">
        <f>IFERROR(__xludf.DUMMYFUNCTION("IFERROR(IF(F798=""Crypto"",B798,(IF(ISBLANK(D798),"""",IF(D798=""Cash"",B798,IF(GOOGLEFINANCE(D798,""CURRENCY"")=""GBX"",""GBP"",GOOGLEFINANCE(D798,""CURRENCY"")))))),B798)"),"")</f>
        <v/>
      </c>
      <c r="R798" s="263" t="str">
        <f>IFERROR(__xludf.DUMMYFUNCTION("IF(ISBLANK(A798),"""",IFERROR(IF(OR(Q798=""GPB"",Q798=""ZAR""),IF(Q798=Dashboard!$L$1,K798,(K798*GOOGLEFINANCE(""CURRENCY:""&amp;Q798&amp;""""&amp;Dashboard!$L$1&amp;""""))/100),IF(Q798=Dashboard!$L$1,K798,K798*GOOGLEFINANCE(""CURRENCY:""&amp;Q798&amp;""""&amp;Dashboard!$L$1&amp;"""")))"&amp;",K798))"),"")</f>
        <v/>
      </c>
      <c r="S798" s="266" t="str">
        <f>IFERROR(__xludf.DUMMYFUNCTION("IF(ISBLANK(A798),"""",IFERROR(IF(OR(Q798=""GPB"",Q798=""ZAR""),IF(Q798=Dashboard!$L$1,M798,(M798*GOOGLEFINANCE(""CURRENCY:""&amp;Q798&amp;""""&amp;Dashboard!$L$1&amp;""""))/100),IF(Q798=Dashboard!$L$1,M798,M798*GOOGLEFINANCE(""CURRENCY:""&amp;Q798&amp;""""&amp;Dashboard!$L$1&amp;"""")))"&amp;",M798))"),"")</f>
        <v/>
      </c>
      <c r="T798" s="264" t="str">
        <f t="shared" si="4"/>
        <v/>
      </c>
      <c r="U798" s="264" t="str">
        <f t="shared" si="5"/>
        <v/>
      </c>
      <c r="V798" s="264" t="str">
        <f t="shared" si="6"/>
        <v/>
      </c>
      <c r="W798" s="267" t="str">
        <f t="shared" si="8"/>
        <v/>
      </c>
      <c r="X798" s="264" t="str">
        <f t="shared" si="7"/>
        <v/>
      </c>
    </row>
    <row r="799" ht="15.75" customHeight="1">
      <c r="A799" s="258"/>
      <c r="B799" s="258"/>
      <c r="C799" s="269"/>
      <c r="D799" s="258"/>
      <c r="E799" s="258"/>
      <c r="F799" s="258"/>
      <c r="G799" s="258"/>
      <c r="H799" s="271"/>
      <c r="I799" s="258"/>
      <c r="J799" s="272"/>
      <c r="K799" s="260"/>
      <c r="L799" s="261"/>
      <c r="M799" s="262" t="str">
        <f t="shared" si="1"/>
        <v/>
      </c>
      <c r="N799" s="263" t="str">
        <f t="shared" si="2"/>
        <v/>
      </c>
      <c r="O799" s="264" t="str">
        <f t="shared" si="3"/>
        <v/>
      </c>
      <c r="P799" s="265" t="str">
        <f>IFERROR(__xludf.DUMMYFUNCTION("IF(ISBLANK(A799),"""",IFERROR(IF(H799=""Sell"",VLOOKUP(9^99,FILTER({ROW(P$2:P798),P$2:P798},D$2:D798=D799),2),(VLOOKUP(9^99,FILTER({ROW(P$2:P798),P$2:P798},D$2:D798=D799),2)*VLOOKUP(9^99,FILTER({ROW(O$2:O798),O$2:O798},D$2:D798=D799),2)-N799)/O799),J799))"),"")</f>
        <v/>
      </c>
      <c r="Q799" s="264" t="str">
        <f>IFERROR(__xludf.DUMMYFUNCTION("IFERROR(IF(F799=""Crypto"",B799,(IF(ISBLANK(D799),"""",IF(D799=""Cash"",B799,IF(GOOGLEFINANCE(D799,""CURRENCY"")=""GBX"",""GBP"",GOOGLEFINANCE(D799,""CURRENCY"")))))),B799)"),"")</f>
        <v/>
      </c>
      <c r="R799" s="263" t="str">
        <f>IFERROR(__xludf.DUMMYFUNCTION("IF(ISBLANK(A799),"""",IFERROR(IF(OR(Q799=""GPB"",Q799=""ZAR""),IF(Q799=Dashboard!$L$1,K799,(K799*GOOGLEFINANCE(""CURRENCY:""&amp;Q799&amp;""""&amp;Dashboard!$L$1&amp;""""))/100),IF(Q799=Dashboard!$L$1,K799,K799*GOOGLEFINANCE(""CURRENCY:""&amp;Q799&amp;""""&amp;Dashboard!$L$1&amp;"""")))"&amp;",K799))"),"")</f>
        <v/>
      </c>
      <c r="S799" s="266" t="str">
        <f>IFERROR(__xludf.DUMMYFUNCTION("IF(ISBLANK(A799),"""",IFERROR(IF(OR(Q799=""GPB"",Q799=""ZAR""),IF(Q799=Dashboard!$L$1,M799,(M799*GOOGLEFINANCE(""CURRENCY:""&amp;Q799&amp;""""&amp;Dashboard!$L$1&amp;""""))/100),IF(Q799=Dashboard!$L$1,M799,M799*GOOGLEFINANCE(""CURRENCY:""&amp;Q799&amp;""""&amp;Dashboard!$L$1&amp;"""")))"&amp;",M799))"),"")</f>
        <v/>
      </c>
      <c r="T799" s="264" t="str">
        <f t="shared" si="4"/>
        <v/>
      </c>
      <c r="U799" s="264" t="str">
        <f t="shared" si="5"/>
        <v/>
      </c>
      <c r="V799" s="264" t="str">
        <f t="shared" si="6"/>
        <v/>
      </c>
      <c r="W799" s="267" t="str">
        <f t="shared" si="8"/>
        <v/>
      </c>
      <c r="X799" s="264" t="str">
        <f t="shared" si="7"/>
        <v/>
      </c>
    </row>
    <row r="800" ht="15.75" customHeight="1">
      <c r="A800" s="258"/>
      <c r="B800" s="258"/>
      <c r="C800" s="269"/>
      <c r="D800" s="258"/>
      <c r="E800" s="258"/>
      <c r="F800" s="258"/>
      <c r="G800" s="258"/>
      <c r="H800" s="271"/>
      <c r="I800" s="258"/>
      <c r="J800" s="272"/>
      <c r="K800" s="260"/>
      <c r="L800" s="261"/>
      <c r="M800" s="262" t="str">
        <f t="shared" si="1"/>
        <v/>
      </c>
      <c r="N800" s="263" t="str">
        <f t="shared" si="2"/>
        <v/>
      </c>
      <c r="O800" s="264" t="str">
        <f t="shared" si="3"/>
        <v/>
      </c>
      <c r="P800" s="265" t="str">
        <f>IFERROR(__xludf.DUMMYFUNCTION("IF(ISBLANK(A800),"""",IFERROR(IF(H800=""Sell"",VLOOKUP(9^99,FILTER({ROW(P$2:P799),P$2:P799},D$2:D799=D800),2),(VLOOKUP(9^99,FILTER({ROW(P$2:P799),P$2:P799},D$2:D799=D800),2)*VLOOKUP(9^99,FILTER({ROW(O$2:O799),O$2:O799},D$2:D799=D800),2)-N800)/O800),J800))"),"")</f>
        <v/>
      </c>
      <c r="Q800" s="264" t="str">
        <f>IFERROR(__xludf.DUMMYFUNCTION("IFERROR(IF(F800=""Crypto"",B800,(IF(ISBLANK(D800),"""",IF(D800=""Cash"",B800,IF(GOOGLEFINANCE(D800,""CURRENCY"")=""GBX"",""GBP"",GOOGLEFINANCE(D800,""CURRENCY"")))))),B800)"),"")</f>
        <v/>
      </c>
      <c r="R800" s="263" t="str">
        <f>IFERROR(__xludf.DUMMYFUNCTION("IF(ISBLANK(A800),"""",IFERROR(IF(OR(Q800=""GPB"",Q800=""ZAR""),IF(Q800=Dashboard!$L$1,K800,(K800*GOOGLEFINANCE(""CURRENCY:""&amp;Q800&amp;""""&amp;Dashboard!$L$1&amp;""""))/100),IF(Q800=Dashboard!$L$1,K800,K800*GOOGLEFINANCE(""CURRENCY:""&amp;Q800&amp;""""&amp;Dashboard!$L$1&amp;"""")))"&amp;",K800))"),"")</f>
        <v/>
      </c>
      <c r="S800" s="266" t="str">
        <f>IFERROR(__xludf.DUMMYFUNCTION("IF(ISBLANK(A800),"""",IFERROR(IF(OR(Q800=""GPB"",Q800=""ZAR""),IF(Q800=Dashboard!$L$1,M800,(M800*GOOGLEFINANCE(""CURRENCY:""&amp;Q800&amp;""""&amp;Dashboard!$L$1&amp;""""))/100),IF(Q800=Dashboard!$L$1,M800,M800*GOOGLEFINANCE(""CURRENCY:""&amp;Q800&amp;""""&amp;Dashboard!$L$1&amp;"""")))"&amp;",M800))"),"")</f>
        <v/>
      </c>
      <c r="T800" s="264" t="str">
        <f t="shared" si="4"/>
        <v/>
      </c>
      <c r="U800" s="264" t="str">
        <f t="shared" si="5"/>
        <v/>
      </c>
      <c r="V800" s="264" t="str">
        <f t="shared" si="6"/>
        <v/>
      </c>
      <c r="W800" s="267" t="str">
        <f t="shared" si="8"/>
        <v/>
      </c>
      <c r="X800" s="264" t="str">
        <f t="shared" si="7"/>
        <v/>
      </c>
    </row>
    <row r="801" ht="15.75" customHeight="1">
      <c r="A801" s="258"/>
      <c r="B801" s="258"/>
      <c r="C801" s="269"/>
      <c r="D801" s="258"/>
      <c r="E801" s="258"/>
      <c r="F801" s="258"/>
      <c r="G801" s="258"/>
      <c r="H801" s="271"/>
      <c r="I801" s="258"/>
      <c r="J801" s="272"/>
      <c r="K801" s="260"/>
      <c r="L801" s="261"/>
      <c r="M801" s="262" t="str">
        <f t="shared" si="1"/>
        <v/>
      </c>
      <c r="N801" s="263" t="str">
        <f t="shared" si="2"/>
        <v/>
      </c>
      <c r="O801" s="264" t="str">
        <f t="shared" si="3"/>
        <v/>
      </c>
      <c r="P801" s="265" t="str">
        <f>IFERROR(__xludf.DUMMYFUNCTION("IF(ISBLANK(A801),"""",IFERROR(IF(H801=""Sell"",VLOOKUP(9^99,FILTER({ROW(P$2:P800),P$2:P800},D$2:D800=D801),2),(VLOOKUP(9^99,FILTER({ROW(P$2:P800),P$2:P800},D$2:D800=D801),2)*VLOOKUP(9^99,FILTER({ROW(O$2:O800),O$2:O800},D$2:D800=D801),2)-N801)/O801),J801))"),"")</f>
        <v/>
      </c>
      <c r="Q801" s="264" t="str">
        <f>IFERROR(__xludf.DUMMYFUNCTION("IFERROR(IF(F801=""Crypto"",B801,(IF(ISBLANK(D801),"""",IF(D801=""Cash"",B801,IF(GOOGLEFINANCE(D801,""CURRENCY"")=""GBX"",""GBP"",GOOGLEFINANCE(D801,""CURRENCY"")))))),B801)"),"")</f>
        <v/>
      </c>
      <c r="R801" s="263" t="str">
        <f>IFERROR(__xludf.DUMMYFUNCTION("IF(ISBLANK(A801),"""",IFERROR(IF(OR(Q801=""GPB"",Q801=""ZAR""),IF(Q801=Dashboard!$L$1,K801,(K801*GOOGLEFINANCE(""CURRENCY:""&amp;Q801&amp;""""&amp;Dashboard!$L$1&amp;""""))/100),IF(Q801=Dashboard!$L$1,K801,K801*GOOGLEFINANCE(""CURRENCY:""&amp;Q801&amp;""""&amp;Dashboard!$L$1&amp;"""")))"&amp;",K801))"),"")</f>
        <v/>
      </c>
      <c r="S801" s="266" t="str">
        <f>IFERROR(__xludf.DUMMYFUNCTION("IF(ISBLANK(A801),"""",IFERROR(IF(OR(Q801=""GPB"",Q801=""ZAR""),IF(Q801=Dashboard!$L$1,M801,(M801*GOOGLEFINANCE(""CURRENCY:""&amp;Q801&amp;""""&amp;Dashboard!$L$1&amp;""""))/100),IF(Q801=Dashboard!$L$1,M801,M801*GOOGLEFINANCE(""CURRENCY:""&amp;Q801&amp;""""&amp;Dashboard!$L$1&amp;"""")))"&amp;",M801))"),"")</f>
        <v/>
      </c>
      <c r="T801" s="264" t="str">
        <f t="shared" si="4"/>
        <v/>
      </c>
      <c r="U801" s="264" t="str">
        <f t="shared" si="5"/>
        <v/>
      </c>
      <c r="V801" s="264" t="str">
        <f t="shared" si="6"/>
        <v/>
      </c>
      <c r="W801" s="267" t="str">
        <f t="shared" si="8"/>
        <v/>
      </c>
      <c r="X801" s="264" t="str">
        <f t="shared" si="7"/>
        <v/>
      </c>
    </row>
    <row r="802" ht="15.75" customHeight="1">
      <c r="A802" s="258"/>
      <c r="B802" s="258"/>
      <c r="C802" s="269"/>
      <c r="D802" s="258"/>
      <c r="E802" s="258"/>
      <c r="F802" s="258"/>
      <c r="G802" s="258"/>
      <c r="H802" s="271"/>
      <c r="I802" s="258"/>
      <c r="J802" s="272"/>
      <c r="K802" s="260"/>
      <c r="L802" s="261"/>
      <c r="M802" s="262" t="str">
        <f t="shared" si="1"/>
        <v/>
      </c>
      <c r="N802" s="263" t="str">
        <f t="shared" si="2"/>
        <v/>
      </c>
      <c r="O802" s="264" t="str">
        <f t="shared" si="3"/>
        <v/>
      </c>
      <c r="P802" s="265" t="str">
        <f>IFERROR(__xludf.DUMMYFUNCTION("IF(ISBLANK(A802),"""",IFERROR(IF(H802=""Sell"",VLOOKUP(9^99,FILTER({ROW(P$2:P801),P$2:P801},D$2:D801=D802),2),(VLOOKUP(9^99,FILTER({ROW(P$2:P801),P$2:P801},D$2:D801=D802),2)*VLOOKUP(9^99,FILTER({ROW(O$2:O801),O$2:O801},D$2:D801=D802),2)-N802)/O802),J802))"),"")</f>
        <v/>
      </c>
      <c r="Q802" s="264" t="str">
        <f>IFERROR(__xludf.DUMMYFUNCTION("IFERROR(IF(F802=""Crypto"",B802,(IF(ISBLANK(D802),"""",IF(D802=""Cash"",B802,IF(GOOGLEFINANCE(D802,""CURRENCY"")=""GBX"",""GBP"",GOOGLEFINANCE(D802,""CURRENCY"")))))),B802)"),"")</f>
        <v/>
      </c>
      <c r="R802" s="263" t="str">
        <f>IFERROR(__xludf.DUMMYFUNCTION("IF(ISBLANK(A802),"""",IFERROR(IF(OR(Q802=""GPB"",Q802=""ZAR""),IF(Q802=Dashboard!$L$1,K802,(K802*GOOGLEFINANCE(""CURRENCY:""&amp;Q802&amp;""""&amp;Dashboard!$L$1&amp;""""))/100),IF(Q802=Dashboard!$L$1,K802,K802*GOOGLEFINANCE(""CURRENCY:""&amp;Q802&amp;""""&amp;Dashboard!$L$1&amp;"""")))"&amp;",K802))"),"")</f>
        <v/>
      </c>
      <c r="S802" s="266" t="str">
        <f>IFERROR(__xludf.DUMMYFUNCTION("IF(ISBLANK(A802),"""",IFERROR(IF(OR(Q802=""GPB"",Q802=""ZAR""),IF(Q802=Dashboard!$L$1,M802,(M802*GOOGLEFINANCE(""CURRENCY:""&amp;Q802&amp;""""&amp;Dashboard!$L$1&amp;""""))/100),IF(Q802=Dashboard!$L$1,M802,M802*GOOGLEFINANCE(""CURRENCY:""&amp;Q802&amp;""""&amp;Dashboard!$L$1&amp;"""")))"&amp;",M802))"),"")</f>
        <v/>
      </c>
      <c r="T802" s="264" t="str">
        <f t="shared" si="4"/>
        <v/>
      </c>
      <c r="U802" s="264" t="str">
        <f t="shared" si="5"/>
        <v/>
      </c>
      <c r="V802" s="264" t="str">
        <f t="shared" si="6"/>
        <v/>
      </c>
      <c r="W802" s="267" t="str">
        <f t="shared" si="8"/>
        <v/>
      </c>
      <c r="X802" s="264" t="str">
        <f t="shared" si="7"/>
        <v/>
      </c>
    </row>
    <row r="803" ht="15.75" customHeight="1">
      <c r="A803" s="258"/>
      <c r="B803" s="258"/>
      <c r="C803" s="269"/>
      <c r="D803" s="258"/>
      <c r="E803" s="258"/>
      <c r="F803" s="258"/>
      <c r="G803" s="258"/>
      <c r="H803" s="271"/>
      <c r="I803" s="258"/>
      <c r="J803" s="272"/>
      <c r="K803" s="260"/>
      <c r="L803" s="261"/>
      <c r="M803" s="262" t="str">
        <f t="shared" si="1"/>
        <v/>
      </c>
      <c r="N803" s="263" t="str">
        <f t="shared" si="2"/>
        <v/>
      </c>
      <c r="O803" s="264" t="str">
        <f t="shared" si="3"/>
        <v/>
      </c>
      <c r="P803" s="265" t="str">
        <f>IFERROR(__xludf.DUMMYFUNCTION("IF(ISBLANK(A803),"""",IFERROR(IF(H803=""Sell"",VLOOKUP(9^99,FILTER({ROW(P$2:P802),P$2:P802},D$2:D802=D803),2),(VLOOKUP(9^99,FILTER({ROW(P$2:P802),P$2:P802},D$2:D802=D803),2)*VLOOKUP(9^99,FILTER({ROW(O$2:O802),O$2:O802},D$2:D802=D803),2)-N803)/O803),J803))"),"")</f>
        <v/>
      </c>
      <c r="Q803" s="264" t="str">
        <f>IFERROR(__xludf.DUMMYFUNCTION("IFERROR(IF(F803=""Crypto"",B803,(IF(ISBLANK(D803),"""",IF(D803=""Cash"",B803,IF(GOOGLEFINANCE(D803,""CURRENCY"")=""GBX"",""GBP"",GOOGLEFINANCE(D803,""CURRENCY"")))))),B803)"),"")</f>
        <v/>
      </c>
      <c r="R803" s="263" t="str">
        <f>IFERROR(__xludf.DUMMYFUNCTION("IF(ISBLANK(A803),"""",IFERROR(IF(OR(Q803=""GPB"",Q803=""ZAR""),IF(Q803=Dashboard!$L$1,K803,(K803*GOOGLEFINANCE(""CURRENCY:""&amp;Q803&amp;""""&amp;Dashboard!$L$1&amp;""""))/100),IF(Q803=Dashboard!$L$1,K803,K803*GOOGLEFINANCE(""CURRENCY:""&amp;Q803&amp;""""&amp;Dashboard!$L$1&amp;"""")))"&amp;",K803))"),"")</f>
        <v/>
      </c>
      <c r="S803" s="266" t="str">
        <f>IFERROR(__xludf.DUMMYFUNCTION("IF(ISBLANK(A803),"""",IFERROR(IF(OR(Q803=""GPB"",Q803=""ZAR""),IF(Q803=Dashboard!$L$1,M803,(M803*GOOGLEFINANCE(""CURRENCY:""&amp;Q803&amp;""""&amp;Dashboard!$L$1&amp;""""))/100),IF(Q803=Dashboard!$L$1,M803,M803*GOOGLEFINANCE(""CURRENCY:""&amp;Q803&amp;""""&amp;Dashboard!$L$1&amp;"""")))"&amp;",M803))"),"")</f>
        <v/>
      </c>
      <c r="T803" s="264" t="str">
        <f t="shared" si="4"/>
        <v/>
      </c>
      <c r="U803" s="264" t="str">
        <f t="shared" si="5"/>
        <v/>
      </c>
      <c r="V803" s="264" t="str">
        <f t="shared" si="6"/>
        <v/>
      </c>
      <c r="W803" s="267" t="str">
        <f t="shared" si="8"/>
        <v/>
      </c>
      <c r="X803" s="264" t="str">
        <f t="shared" si="7"/>
        <v/>
      </c>
    </row>
    <row r="804" ht="15.75" customHeight="1">
      <c r="A804" s="258"/>
      <c r="B804" s="258"/>
      <c r="C804" s="269"/>
      <c r="D804" s="258"/>
      <c r="E804" s="258"/>
      <c r="F804" s="258"/>
      <c r="G804" s="258"/>
      <c r="H804" s="271"/>
      <c r="I804" s="258"/>
      <c r="J804" s="272"/>
      <c r="K804" s="260"/>
      <c r="L804" s="261"/>
      <c r="M804" s="262" t="str">
        <f t="shared" si="1"/>
        <v/>
      </c>
      <c r="N804" s="263" t="str">
        <f t="shared" si="2"/>
        <v/>
      </c>
      <c r="O804" s="264" t="str">
        <f t="shared" si="3"/>
        <v/>
      </c>
      <c r="P804" s="265" t="str">
        <f>IFERROR(__xludf.DUMMYFUNCTION("IF(ISBLANK(A804),"""",IFERROR(IF(H804=""Sell"",VLOOKUP(9^99,FILTER({ROW(P$2:P803),P$2:P803},D$2:D803=D804),2),(VLOOKUP(9^99,FILTER({ROW(P$2:P803),P$2:P803},D$2:D803=D804),2)*VLOOKUP(9^99,FILTER({ROW(O$2:O803),O$2:O803},D$2:D803=D804),2)-N804)/O804),J804))"),"")</f>
        <v/>
      </c>
      <c r="Q804" s="264" t="str">
        <f>IFERROR(__xludf.DUMMYFUNCTION("IFERROR(IF(F804=""Crypto"",B804,(IF(ISBLANK(D804),"""",IF(D804=""Cash"",B804,IF(GOOGLEFINANCE(D804,""CURRENCY"")=""GBX"",""GBP"",GOOGLEFINANCE(D804,""CURRENCY"")))))),B804)"),"")</f>
        <v/>
      </c>
      <c r="R804" s="263" t="str">
        <f>IFERROR(__xludf.DUMMYFUNCTION("IF(ISBLANK(A804),"""",IFERROR(IF(OR(Q804=""GPB"",Q804=""ZAR""),IF(Q804=Dashboard!$L$1,K804,(K804*GOOGLEFINANCE(""CURRENCY:""&amp;Q804&amp;""""&amp;Dashboard!$L$1&amp;""""))/100),IF(Q804=Dashboard!$L$1,K804,K804*GOOGLEFINANCE(""CURRENCY:""&amp;Q804&amp;""""&amp;Dashboard!$L$1&amp;"""")))"&amp;",K804))"),"")</f>
        <v/>
      </c>
      <c r="S804" s="266" t="str">
        <f>IFERROR(__xludf.DUMMYFUNCTION("IF(ISBLANK(A804),"""",IFERROR(IF(OR(Q804=""GPB"",Q804=""ZAR""),IF(Q804=Dashboard!$L$1,M804,(M804*GOOGLEFINANCE(""CURRENCY:""&amp;Q804&amp;""""&amp;Dashboard!$L$1&amp;""""))/100),IF(Q804=Dashboard!$L$1,M804,M804*GOOGLEFINANCE(""CURRENCY:""&amp;Q804&amp;""""&amp;Dashboard!$L$1&amp;"""")))"&amp;",M804))"),"")</f>
        <v/>
      </c>
      <c r="T804" s="264" t="str">
        <f t="shared" si="4"/>
        <v/>
      </c>
      <c r="U804" s="264" t="str">
        <f t="shared" si="5"/>
        <v/>
      </c>
      <c r="V804" s="264" t="str">
        <f t="shared" si="6"/>
        <v/>
      </c>
      <c r="W804" s="267" t="str">
        <f t="shared" si="8"/>
        <v/>
      </c>
      <c r="X804" s="264" t="str">
        <f t="shared" si="7"/>
        <v/>
      </c>
    </row>
    <row r="805" ht="15.75" customHeight="1">
      <c r="A805" s="258"/>
      <c r="B805" s="258"/>
      <c r="C805" s="269"/>
      <c r="D805" s="258"/>
      <c r="E805" s="258"/>
      <c r="F805" s="258"/>
      <c r="G805" s="258"/>
      <c r="H805" s="271"/>
      <c r="I805" s="258"/>
      <c r="J805" s="272"/>
      <c r="K805" s="260"/>
      <c r="L805" s="261"/>
      <c r="M805" s="262" t="str">
        <f t="shared" si="1"/>
        <v/>
      </c>
      <c r="N805" s="263" t="str">
        <f t="shared" si="2"/>
        <v/>
      </c>
      <c r="O805" s="264" t="str">
        <f t="shared" si="3"/>
        <v/>
      </c>
      <c r="P805" s="265" t="str">
        <f>IFERROR(__xludf.DUMMYFUNCTION("IF(ISBLANK(A805),"""",IFERROR(IF(H805=""Sell"",VLOOKUP(9^99,FILTER({ROW(P$2:P804),P$2:P804},D$2:D804=D805),2),(VLOOKUP(9^99,FILTER({ROW(P$2:P804),P$2:P804},D$2:D804=D805),2)*VLOOKUP(9^99,FILTER({ROW(O$2:O804),O$2:O804},D$2:D804=D805),2)-N805)/O805),J805))"),"")</f>
        <v/>
      </c>
      <c r="Q805" s="264" t="str">
        <f>IFERROR(__xludf.DUMMYFUNCTION("IFERROR(IF(F805=""Crypto"",B805,(IF(ISBLANK(D805),"""",IF(D805=""Cash"",B805,IF(GOOGLEFINANCE(D805,""CURRENCY"")=""GBX"",""GBP"",GOOGLEFINANCE(D805,""CURRENCY"")))))),B805)"),"")</f>
        <v/>
      </c>
      <c r="R805" s="263" t="str">
        <f>IFERROR(__xludf.DUMMYFUNCTION("IF(ISBLANK(A805),"""",IFERROR(IF(OR(Q805=""GPB"",Q805=""ZAR""),IF(Q805=Dashboard!$L$1,K805,(K805*GOOGLEFINANCE(""CURRENCY:""&amp;Q805&amp;""""&amp;Dashboard!$L$1&amp;""""))/100),IF(Q805=Dashboard!$L$1,K805,K805*GOOGLEFINANCE(""CURRENCY:""&amp;Q805&amp;""""&amp;Dashboard!$L$1&amp;"""")))"&amp;",K805))"),"")</f>
        <v/>
      </c>
      <c r="S805" s="266" t="str">
        <f>IFERROR(__xludf.DUMMYFUNCTION("IF(ISBLANK(A805),"""",IFERROR(IF(OR(Q805=""GPB"",Q805=""ZAR""),IF(Q805=Dashboard!$L$1,M805,(M805*GOOGLEFINANCE(""CURRENCY:""&amp;Q805&amp;""""&amp;Dashboard!$L$1&amp;""""))/100),IF(Q805=Dashboard!$L$1,M805,M805*GOOGLEFINANCE(""CURRENCY:""&amp;Q805&amp;""""&amp;Dashboard!$L$1&amp;"""")))"&amp;",M805))"),"")</f>
        <v/>
      </c>
      <c r="T805" s="264" t="str">
        <f t="shared" si="4"/>
        <v/>
      </c>
      <c r="U805" s="264" t="str">
        <f t="shared" si="5"/>
        <v/>
      </c>
      <c r="V805" s="264" t="str">
        <f t="shared" si="6"/>
        <v/>
      </c>
      <c r="W805" s="267" t="str">
        <f t="shared" si="8"/>
        <v/>
      </c>
      <c r="X805" s="264" t="str">
        <f t="shared" si="7"/>
        <v/>
      </c>
    </row>
    <row r="806" ht="15.75" customHeight="1">
      <c r="A806" s="258"/>
      <c r="B806" s="258"/>
      <c r="C806" s="269"/>
      <c r="D806" s="258"/>
      <c r="E806" s="258"/>
      <c r="F806" s="258"/>
      <c r="G806" s="258"/>
      <c r="H806" s="271"/>
      <c r="I806" s="258"/>
      <c r="J806" s="272"/>
      <c r="K806" s="260"/>
      <c r="L806" s="261"/>
      <c r="M806" s="262" t="str">
        <f t="shared" si="1"/>
        <v/>
      </c>
      <c r="N806" s="263" t="str">
        <f t="shared" si="2"/>
        <v/>
      </c>
      <c r="O806" s="264" t="str">
        <f t="shared" si="3"/>
        <v/>
      </c>
      <c r="P806" s="265" t="str">
        <f>IFERROR(__xludf.DUMMYFUNCTION("IF(ISBLANK(A806),"""",IFERROR(IF(H806=""Sell"",VLOOKUP(9^99,FILTER({ROW(P$2:P805),P$2:P805},D$2:D805=D806),2),(VLOOKUP(9^99,FILTER({ROW(P$2:P805),P$2:P805},D$2:D805=D806),2)*VLOOKUP(9^99,FILTER({ROW(O$2:O805),O$2:O805},D$2:D805=D806),2)-N806)/O806),J806))"),"")</f>
        <v/>
      </c>
      <c r="Q806" s="264" t="str">
        <f>IFERROR(__xludf.DUMMYFUNCTION("IFERROR(IF(F806=""Crypto"",B806,(IF(ISBLANK(D806),"""",IF(D806=""Cash"",B806,IF(GOOGLEFINANCE(D806,""CURRENCY"")=""GBX"",""GBP"",GOOGLEFINANCE(D806,""CURRENCY"")))))),B806)"),"")</f>
        <v/>
      </c>
      <c r="R806" s="263" t="str">
        <f>IFERROR(__xludf.DUMMYFUNCTION("IF(ISBLANK(A806),"""",IFERROR(IF(OR(Q806=""GPB"",Q806=""ZAR""),IF(Q806=Dashboard!$L$1,K806,(K806*GOOGLEFINANCE(""CURRENCY:""&amp;Q806&amp;""""&amp;Dashboard!$L$1&amp;""""))/100),IF(Q806=Dashboard!$L$1,K806,K806*GOOGLEFINANCE(""CURRENCY:""&amp;Q806&amp;""""&amp;Dashboard!$L$1&amp;"""")))"&amp;",K806))"),"")</f>
        <v/>
      </c>
      <c r="S806" s="266" t="str">
        <f>IFERROR(__xludf.DUMMYFUNCTION("IF(ISBLANK(A806),"""",IFERROR(IF(OR(Q806=""GPB"",Q806=""ZAR""),IF(Q806=Dashboard!$L$1,M806,(M806*GOOGLEFINANCE(""CURRENCY:""&amp;Q806&amp;""""&amp;Dashboard!$L$1&amp;""""))/100),IF(Q806=Dashboard!$L$1,M806,M806*GOOGLEFINANCE(""CURRENCY:""&amp;Q806&amp;""""&amp;Dashboard!$L$1&amp;"""")))"&amp;",M806))"),"")</f>
        <v/>
      </c>
      <c r="T806" s="264" t="str">
        <f t="shared" si="4"/>
        <v/>
      </c>
      <c r="U806" s="264" t="str">
        <f t="shared" si="5"/>
        <v/>
      </c>
      <c r="V806" s="264" t="str">
        <f t="shared" si="6"/>
        <v/>
      </c>
      <c r="W806" s="267" t="str">
        <f t="shared" si="8"/>
        <v/>
      </c>
      <c r="X806" s="264" t="str">
        <f t="shared" si="7"/>
        <v/>
      </c>
    </row>
    <row r="807" ht="15.75" customHeight="1">
      <c r="A807" s="258"/>
      <c r="B807" s="258"/>
      <c r="C807" s="269"/>
      <c r="D807" s="258"/>
      <c r="E807" s="258"/>
      <c r="F807" s="258"/>
      <c r="G807" s="258"/>
      <c r="H807" s="271"/>
      <c r="I807" s="258"/>
      <c r="J807" s="272"/>
      <c r="K807" s="260"/>
      <c r="L807" s="261"/>
      <c r="M807" s="262" t="str">
        <f t="shared" si="1"/>
        <v/>
      </c>
      <c r="N807" s="263" t="str">
        <f t="shared" si="2"/>
        <v/>
      </c>
      <c r="O807" s="264" t="str">
        <f t="shared" si="3"/>
        <v/>
      </c>
      <c r="P807" s="265" t="str">
        <f>IFERROR(__xludf.DUMMYFUNCTION("IF(ISBLANK(A807),"""",IFERROR(IF(H807=""Sell"",VLOOKUP(9^99,FILTER({ROW(P$2:P806),P$2:P806},D$2:D806=D807),2),(VLOOKUP(9^99,FILTER({ROW(P$2:P806),P$2:P806},D$2:D806=D807),2)*VLOOKUP(9^99,FILTER({ROW(O$2:O806),O$2:O806},D$2:D806=D807),2)-N807)/O807),J807))"),"")</f>
        <v/>
      </c>
      <c r="Q807" s="264" t="str">
        <f>IFERROR(__xludf.DUMMYFUNCTION("IFERROR(IF(F807=""Crypto"",B807,(IF(ISBLANK(D807),"""",IF(D807=""Cash"",B807,IF(GOOGLEFINANCE(D807,""CURRENCY"")=""GBX"",""GBP"",GOOGLEFINANCE(D807,""CURRENCY"")))))),B807)"),"")</f>
        <v/>
      </c>
      <c r="R807" s="263" t="str">
        <f>IFERROR(__xludf.DUMMYFUNCTION("IF(ISBLANK(A807),"""",IFERROR(IF(OR(Q807=""GPB"",Q807=""ZAR""),IF(Q807=Dashboard!$L$1,K807,(K807*GOOGLEFINANCE(""CURRENCY:""&amp;Q807&amp;""""&amp;Dashboard!$L$1&amp;""""))/100),IF(Q807=Dashboard!$L$1,K807,K807*GOOGLEFINANCE(""CURRENCY:""&amp;Q807&amp;""""&amp;Dashboard!$L$1&amp;"""")))"&amp;",K807))"),"")</f>
        <v/>
      </c>
      <c r="S807" s="266" t="str">
        <f>IFERROR(__xludf.DUMMYFUNCTION("IF(ISBLANK(A807),"""",IFERROR(IF(OR(Q807=""GPB"",Q807=""ZAR""),IF(Q807=Dashboard!$L$1,M807,(M807*GOOGLEFINANCE(""CURRENCY:""&amp;Q807&amp;""""&amp;Dashboard!$L$1&amp;""""))/100),IF(Q807=Dashboard!$L$1,M807,M807*GOOGLEFINANCE(""CURRENCY:""&amp;Q807&amp;""""&amp;Dashboard!$L$1&amp;"""")))"&amp;",M807))"),"")</f>
        <v/>
      </c>
      <c r="T807" s="264" t="str">
        <f t="shared" si="4"/>
        <v/>
      </c>
      <c r="U807" s="264" t="str">
        <f t="shared" si="5"/>
        <v/>
      </c>
      <c r="V807" s="264" t="str">
        <f t="shared" si="6"/>
        <v/>
      </c>
      <c r="W807" s="267" t="str">
        <f t="shared" si="8"/>
        <v/>
      </c>
      <c r="X807" s="264" t="str">
        <f t="shared" si="7"/>
        <v/>
      </c>
    </row>
    <row r="808" ht="15.75" customHeight="1">
      <c r="A808" s="258"/>
      <c r="B808" s="258"/>
      <c r="C808" s="269"/>
      <c r="D808" s="258"/>
      <c r="E808" s="258"/>
      <c r="F808" s="258"/>
      <c r="G808" s="258"/>
      <c r="H808" s="271"/>
      <c r="I808" s="258"/>
      <c r="J808" s="272"/>
      <c r="K808" s="260"/>
      <c r="L808" s="261"/>
      <c r="M808" s="262" t="str">
        <f t="shared" si="1"/>
        <v/>
      </c>
      <c r="N808" s="263" t="str">
        <f t="shared" si="2"/>
        <v/>
      </c>
      <c r="O808" s="264" t="str">
        <f t="shared" si="3"/>
        <v/>
      </c>
      <c r="P808" s="265" t="str">
        <f>IFERROR(__xludf.DUMMYFUNCTION("IF(ISBLANK(A808),"""",IFERROR(IF(H808=""Sell"",VLOOKUP(9^99,FILTER({ROW(P$2:P807),P$2:P807},D$2:D807=D808),2),(VLOOKUP(9^99,FILTER({ROW(P$2:P807),P$2:P807},D$2:D807=D808),2)*VLOOKUP(9^99,FILTER({ROW(O$2:O807),O$2:O807},D$2:D807=D808),2)-N808)/O808),J808))"),"")</f>
        <v/>
      </c>
      <c r="Q808" s="264" t="str">
        <f>IFERROR(__xludf.DUMMYFUNCTION("IFERROR(IF(F808=""Crypto"",B808,(IF(ISBLANK(D808),"""",IF(D808=""Cash"",B808,IF(GOOGLEFINANCE(D808,""CURRENCY"")=""GBX"",""GBP"",GOOGLEFINANCE(D808,""CURRENCY"")))))),B808)"),"")</f>
        <v/>
      </c>
      <c r="R808" s="263" t="str">
        <f>IFERROR(__xludf.DUMMYFUNCTION("IF(ISBLANK(A808),"""",IFERROR(IF(OR(Q808=""GPB"",Q808=""ZAR""),IF(Q808=Dashboard!$L$1,K808,(K808*GOOGLEFINANCE(""CURRENCY:""&amp;Q808&amp;""""&amp;Dashboard!$L$1&amp;""""))/100),IF(Q808=Dashboard!$L$1,K808,K808*GOOGLEFINANCE(""CURRENCY:""&amp;Q808&amp;""""&amp;Dashboard!$L$1&amp;"""")))"&amp;",K808))"),"")</f>
        <v/>
      </c>
      <c r="S808" s="266" t="str">
        <f>IFERROR(__xludf.DUMMYFUNCTION("IF(ISBLANK(A808),"""",IFERROR(IF(OR(Q808=""GPB"",Q808=""ZAR""),IF(Q808=Dashboard!$L$1,M808,(M808*GOOGLEFINANCE(""CURRENCY:""&amp;Q808&amp;""""&amp;Dashboard!$L$1&amp;""""))/100),IF(Q808=Dashboard!$L$1,M808,M808*GOOGLEFINANCE(""CURRENCY:""&amp;Q808&amp;""""&amp;Dashboard!$L$1&amp;"""")))"&amp;",M808))"),"")</f>
        <v/>
      </c>
      <c r="T808" s="264" t="str">
        <f t="shared" si="4"/>
        <v/>
      </c>
      <c r="U808" s="264" t="str">
        <f t="shared" si="5"/>
        <v/>
      </c>
      <c r="V808" s="264" t="str">
        <f t="shared" si="6"/>
        <v/>
      </c>
      <c r="W808" s="267" t="str">
        <f t="shared" si="8"/>
        <v/>
      </c>
      <c r="X808" s="264" t="str">
        <f t="shared" si="7"/>
        <v/>
      </c>
    </row>
    <row r="809" ht="15.75" customHeight="1">
      <c r="A809" s="258"/>
      <c r="B809" s="258"/>
      <c r="C809" s="269"/>
      <c r="D809" s="258"/>
      <c r="E809" s="258"/>
      <c r="F809" s="258"/>
      <c r="G809" s="258"/>
      <c r="H809" s="271"/>
      <c r="I809" s="258"/>
      <c r="J809" s="272"/>
      <c r="K809" s="260"/>
      <c r="L809" s="261"/>
      <c r="M809" s="262" t="str">
        <f t="shared" si="1"/>
        <v/>
      </c>
      <c r="N809" s="263" t="str">
        <f t="shared" si="2"/>
        <v/>
      </c>
      <c r="O809" s="264" t="str">
        <f t="shared" si="3"/>
        <v/>
      </c>
      <c r="P809" s="265" t="str">
        <f>IFERROR(__xludf.DUMMYFUNCTION("IF(ISBLANK(A809),"""",IFERROR(IF(H809=""Sell"",VLOOKUP(9^99,FILTER({ROW(P$2:P808),P$2:P808},D$2:D808=D809),2),(VLOOKUP(9^99,FILTER({ROW(P$2:P808),P$2:P808},D$2:D808=D809),2)*VLOOKUP(9^99,FILTER({ROW(O$2:O808),O$2:O808},D$2:D808=D809),2)-N809)/O809),J809))"),"")</f>
        <v/>
      </c>
      <c r="Q809" s="264" t="str">
        <f>IFERROR(__xludf.DUMMYFUNCTION("IFERROR(IF(F809=""Crypto"",B809,(IF(ISBLANK(D809),"""",IF(D809=""Cash"",B809,IF(GOOGLEFINANCE(D809,""CURRENCY"")=""GBX"",""GBP"",GOOGLEFINANCE(D809,""CURRENCY"")))))),B809)"),"")</f>
        <v/>
      </c>
      <c r="R809" s="263" t="str">
        <f>IFERROR(__xludf.DUMMYFUNCTION("IF(ISBLANK(A809),"""",IFERROR(IF(OR(Q809=""GPB"",Q809=""ZAR""),IF(Q809=Dashboard!$L$1,K809,(K809*GOOGLEFINANCE(""CURRENCY:""&amp;Q809&amp;""""&amp;Dashboard!$L$1&amp;""""))/100),IF(Q809=Dashboard!$L$1,K809,K809*GOOGLEFINANCE(""CURRENCY:""&amp;Q809&amp;""""&amp;Dashboard!$L$1&amp;"""")))"&amp;",K809))"),"")</f>
        <v/>
      </c>
      <c r="S809" s="266" t="str">
        <f>IFERROR(__xludf.DUMMYFUNCTION("IF(ISBLANK(A809),"""",IFERROR(IF(OR(Q809=""GPB"",Q809=""ZAR""),IF(Q809=Dashboard!$L$1,M809,(M809*GOOGLEFINANCE(""CURRENCY:""&amp;Q809&amp;""""&amp;Dashboard!$L$1&amp;""""))/100),IF(Q809=Dashboard!$L$1,M809,M809*GOOGLEFINANCE(""CURRENCY:""&amp;Q809&amp;""""&amp;Dashboard!$L$1&amp;"""")))"&amp;",M809))"),"")</f>
        <v/>
      </c>
      <c r="T809" s="264" t="str">
        <f t="shared" si="4"/>
        <v/>
      </c>
      <c r="U809" s="264" t="str">
        <f t="shared" si="5"/>
        <v/>
      </c>
      <c r="V809" s="264" t="str">
        <f t="shared" si="6"/>
        <v/>
      </c>
      <c r="W809" s="267" t="str">
        <f t="shared" si="8"/>
        <v/>
      </c>
      <c r="X809" s="264" t="str">
        <f t="shared" si="7"/>
        <v/>
      </c>
    </row>
    <row r="810" ht="15.75" customHeight="1">
      <c r="A810" s="258"/>
      <c r="B810" s="258"/>
      <c r="C810" s="269"/>
      <c r="D810" s="258"/>
      <c r="E810" s="258"/>
      <c r="F810" s="258"/>
      <c r="G810" s="258"/>
      <c r="H810" s="271"/>
      <c r="I810" s="258"/>
      <c r="J810" s="272"/>
      <c r="K810" s="260"/>
      <c r="L810" s="261"/>
      <c r="M810" s="262" t="str">
        <f t="shared" si="1"/>
        <v/>
      </c>
      <c r="N810" s="263" t="str">
        <f t="shared" si="2"/>
        <v/>
      </c>
      <c r="O810" s="264" t="str">
        <f t="shared" si="3"/>
        <v/>
      </c>
      <c r="P810" s="265" t="str">
        <f>IFERROR(__xludf.DUMMYFUNCTION("IF(ISBLANK(A810),"""",IFERROR(IF(H810=""Sell"",VLOOKUP(9^99,FILTER({ROW(P$2:P809),P$2:P809},D$2:D809=D810),2),(VLOOKUP(9^99,FILTER({ROW(P$2:P809),P$2:P809},D$2:D809=D810),2)*VLOOKUP(9^99,FILTER({ROW(O$2:O809),O$2:O809},D$2:D809=D810),2)-N810)/O810),J810))"),"")</f>
        <v/>
      </c>
      <c r="Q810" s="264" t="str">
        <f>IFERROR(__xludf.DUMMYFUNCTION("IFERROR(IF(F810=""Crypto"",B810,(IF(ISBLANK(D810),"""",IF(D810=""Cash"",B810,IF(GOOGLEFINANCE(D810,""CURRENCY"")=""GBX"",""GBP"",GOOGLEFINANCE(D810,""CURRENCY"")))))),B810)"),"")</f>
        <v/>
      </c>
      <c r="R810" s="263" t="str">
        <f>IFERROR(__xludf.DUMMYFUNCTION("IF(ISBLANK(A810),"""",IFERROR(IF(OR(Q810=""GPB"",Q810=""ZAR""),IF(Q810=Dashboard!$L$1,K810,(K810*GOOGLEFINANCE(""CURRENCY:""&amp;Q810&amp;""""&amp;Dashboard!$L$1&amp;""""))/100),IF(Q810=Dashboard!$L$1,K810,K810*GOOGLEFINANCE(""CURRENCY:""&amp;Q810&amp;""""&amp;Dashboard!$L$1&amp;"""")))"&amp;",K810))"),"")</f>
        <v/>
      </c>
      <c r="S810" s="266" t="str">
        <f>IFERROR(__xludf.DUMMYFUNCTION("IF(ISBLANK(A810),"""",IFERROR(IF(OR(Q810=""GPB"",Q810=""ZAR""),IF(Q810=Dashboard!$L$1,M810,(M810*GOOGLEFINANCE(""CURRENCY:""&amp;Q810&amp;""""&amp;Dashboard!$L$1&amp;""""))/100),IF(Q810=Dashboard!$L$1,M810,M810*GOOGLEFINANCE(""CURRENCY:""&amp;Q810&amp;""""&amp;Dashboard!$L$1&amp;"""")))"&amp;",M810))"),"")</f>
        <v/>
      </c>
      <c r="T810" s="264" t="str">
        <f t="shared" si="4"/>
        <v/>
      </c>
      <c r="U810" s="264" t="str">
        <f t="shared" si="5"/>
        <v/>
      </c>
      <c r="V810" s="264" t="str">
        <f t="shared" si="6"/>
        <v/>
      </c>
      <c r="W810" s="267" t="str">
        <f t="shared" si="8"/>
        <v/>
      </c>
      <c r="X810" s="264" t="str">
        <f t="shared" si="7"/>
        <v/>
      </c>
    </row>
    <row r="811" ht="15.75" customHeight="1">
      <c r="A811" s="258"/>
      <c r="B811" s="258"/>
      <c r="C811" s="269"/>
      <c r="D811" s="258"/>
      <c r="E811" s="258"/>
      <c r="F811" s="258"/>
      <c r="G811" s="258"/>
      <c r="H811" s="271"/>
      <c r="I811" s="258"/>
      <c r="J811" s="272"/>
      <c r="K811" s="260"/>
      <c r="L811" s="261"/>
      <c r="M811" s="262" t="str">
        <f t="shared" si="1"/>
        <v/>
      </c>
      <c r="N811" s="263" t="str">
        <f t="shared" si="2"/>
        <v/>
      </c>
      <c r="O811" s="264" t="str">
        <f t="shared" si="3"/>
        <v/>
      </c>
      <c r="P811" s="265" t="str">
        <f>IFERROR(__xludf.DUMMYFUNCTION("IF(ISBLANK(A811),"""",IFERROR(IF(H811=""Sell"",VLOOKUP(9^99,FILTER({ROW(P$2:P810),P$2:P810},D$2:D810=D811),2),(VLOOKUP(9^99,FILTER({ROW(P$2:P810),P$2:P810},D$2:D810=D811),2)*VLOOKUP(9^99,FILTER({ROW(O$2:O810),O$2:O810},D$2:D810=D811),2)-N811)/O811),J811))"),"")</f>
        <v/>
      </c>
      <c r="Q811" s="264" t="str">
        <f>IFERROR(__xludf.DUMMYFUNCTION("IFERROR(IF(F811=""Crypto"",B811,(IF(ISBLANK(D811),"""",IF(D811=""Cash"",B811,IF(GOOGLEFINANCE(D811,""CURRENCY"")=""GBX"",""GBP"",GOOGLEFINANCE(D811,""CURRENCY"")))))),B811)"),"")</f>
        <v/>
      </c>
      <c r="R811" s="263" t="str">
        <f>IFERROR(__xludf.DUMMYFUNCTION("IF(ISBLANK(A811),"""",IFERROR(IF(OR(Q811=""GPB"",Q811=""ZAR""),IF(Q811=Dashboard!$L$1,K811,(K811*GOOGLEFINANCE(""CURRENCY:""&amp;Q811&amp;""""&amp;Dashboard!$L$1&amp;""""))/100),IF(Q811=Dashboard!$L$1,K811,K811*GOOGLEFINANCE(""CURRENCY:""&amp;Q811&amp;""""&amp;Dashboard!$L$1&amp;"""")))"&amp;",K811))"),"")</f>
        <v/>
      </c>
      <c r="S811" s="266" t="str">
        <f>IFERROR(__xludf.DUMMYFUNCTION("IF(ISBLANK(A811),"""",IFERROR(IF(OR(Q811=""GPB"",Q811=""ZAR""),IF(Q811=Dashboard!$L$1,M811,(M811*GOOGLEFINANCE(""CURRENCY:""&amp;Q811&amp;""""&amp;Dashboard!$L$1&amp;""""))/100),IF(Q811=Dashboard!$L$1,M811,M811*GOOGLEFINANCE(""CURRENCY:""&amp;Q811&amp;""""&amp;Dashboard!$L$1&amp;"""")))"&amp;",M811))"),"")</f>
        <v/>
      </c>
      <c r="T811" s="264" t="str">
        <f t="shared" si="4"/>
        <v/>
      </c>
      <c r="U811" s="264" t="str">
        <f t="shared" si="5"/>
        <v/>
      </c>
      <c r="V811" s="264" t="str">
        <f t="shared" si="6"/>
        <v/>
      </c>
      <c r="W811" s="267" t="str">
        <f t="shared" si="8"/>
        <v/>
      </c>
      <c r="X811" s="264" t="str">
        <f t="shared" si="7"/>
        <v/>
      </c>
    </row>
    <row r="812" ht="15.75" customHeight="1">
      <c r="A812" s="258"/>
      <c r="B812" s="258"/>
      <c r="C812" s="269"/>
      <c r="D812" s="258"/>
      <c r="E812" s="258"/>
      <c r="F812" s="258"/>
      <c r="G812" s="258"/>
      <c r="H812" s="271"/>
      <c r="I812" s="258"/>
      <c r="J812" s="272"/>
      <c r="K812" s="260"/>
      <c r="L812" s="261"/>
      <c r="M812" s="262" t="str">
        <f t="shared" si="1"/>
        <v/>
      </c>
      <c r="N812" s="263" t="str">
        <f t="shared" si="2"/>
        <v/>
      </c>
      <c r="O812" s="264" t="str">
        <f t="shared" si="3"/>
        <v/>
      </c>
      <c r="P812" s="265" t="str">
        <f>IFERROR(__xludf.DUMMYFUNCTION("IF(ISBLANK(A812),"""",IFERROR(IF(H812=""Sell"",VLOOKUP(9^99,FILTER({ROW(P$2:P811),P$2:P811},D$2:D811=D812),2),(VLOOKUP(9^99,FILTER({ROW(P$2:P811),P$2:P811},D$2:D811=D812),2)*VLOOKUP(9^99,FILTER({ROW(O$2:O811),O$2:O811},D$2:D811=D812),2)-N812)/O812),J812))"),"")</f>
        <v/>
      </c>
      <c r="Q812" s="264" t="str">
        <f>IFERROR(__xludf.DUMMYFUNCTION("IFERROR(IF(F812=""Crypto"",B812,(IF(ISBLANK(D812),"""",IF(D812=""Cash"",B812,IF(GOOGLEFINANCE(D812,""CURRENCY"")=""GBX"",""GBP"",GOOGLEFINANCE(D812,""CURRENCY"")))))),B812)"),"")</f>
        <v/>
      </c>
      <c r="R812" s="263" t="str">
        <f>IFERROR(__xludf.DUMMYFUNCTION("IF(ISBLANK(A812),"""",IFERROR(IF(OR(Q812=""GPB"",Q812=""ZAR""),IF(Q812=Dashboard!$L$1,K812,(K812*GOOGLEFINANCE(""CURRENCY:""&amp;Q812&amp;""""&amp;Dashboard!$L$1&amp;""""))/100),IF(Q812=Dashboard!$L$1,K812,K812*GOOGLEFINANCE(""CURRENCY:""&amp;Q812&amp;""""&amp;Dashboard!$L$1&amp;"""")))"&amp;",K812))"),"")</f>
        <v/>
      </c>
      <c r="S812" s="266" t="str">
        <f>IFERROR(__xludf.DUMMYFUNCTION("IF(ISBLANK(A812),"""",IFERROR(IF(OR(Q812=""GPB"",Q812=""ZAR""),IF(Q812=Dashboard!$L$1,M812,(M812*GOOGLEFINANCE(""CURRENCY:""&amp;Q812&amp;""""&amp;Dashboard!$L$1&amp;""""))/100),IF(Q812=Dashboard!$L$1,M812,M812*GOOGLEFINANCE(""CURRENCY:""&amp;Q812&amp;""""&amp;Dashboard!$L$1&amp;"""")))"&amp;",M812))"),"")</f>
        <v/>
      </c>
      <c r="T812" s="264" t="str">
        <f t="shared" si="4"/>
        <v/>
      </c>
      <c r="U812" s="264" t="str">
        <f t="shared" si="5"/>
        <v/>
      </c>
      <c r="V812" s="264" t="str">
        <f t="shared" si="6"/>
        <v/>
      </c>
      <c r="W812" s="267" t="str">
        <f t="shared" si="8"/>
        <v/>
      </c>
      <c r="X812" s="264" t="str">
        <f t="shared" si="7"/>
        <v/>
      </c>
    </row>
    <row r="813" ht="15.75" customHeight="1">
      <c r="A813" s="258"/>
      <c r="B813" s="258"/>
      <c r="C813" s="269"/>
      <c r="D813" s="258"/>
      <c r="E813" s="258"/>
      <c r="F813" s="258"/>
      <c r="G813" s="258"/>
      <c r="H813" s="271"/>
      <c r="I813" s="258"/>
      <c r="J813" s="272"/>
      <c r="K813" s="260"/>
      <c r="L813" s="261"/>
      <c r="M813" s="262" t="str">
        <f t="shared" si="1"/>
        <v/>
      </c>
      <c r="N813" s="263" t="str">
        <f t="shared" si="2"/>
        <v/>
      </c>
      <c r="O813" s="264" t="str">
        <f t="shared" si="3"/>
        <v/>
      </c>
      <c r="P813" s="265" t="str">
        <f>IFERROR(__xludf.DUMMYFUNCTION("IF(ISBLANK(A813),"""",IFERROR(IF(H813=""Sell"",VLOOKUP(9^99,FILTER({ROW(P$2:P812),P$2:P812},D$2:D812=D813),2),(VLOOKUP(9^99,FILTER({ROW(P$2:P812),P$2:P812},D$2:D812=D813),2)*VLOOKUP(9^99,FILTER({ROW(O$2:O812),O$2:O812},D$2:D812=D813),2)-N813)/O813),J813))"),"")</f>
        <v/>
      </c>
      <c r="Q813" s="264" t="str">
        <f>IFERROR(__xludf.DUMMYFUNCTION("IFERROR(IF(F813=""Crypto"",B813,(IF(ISBLANK(D813),"""",IF(D813=""Cash"",B813,IF(GOOGLEFINANCE(D813,""CURRENCY"")=""GBX"",""GBP"",GOOGLEFINANCE(D813,""CURRENCY"")))))),B813)"),"")</f>
        <v/>
      </c>
      <c r="R813" s="263" t="str">
        <f>IFERROR(__xludf.DUMMYFUNCTION("IF(ISBLANK(A813),"""",IFERROR(IF(OR(Q813=""GPB"",Q813=""ZAR""),IF(Q813=Dashboard!$L$1,K813,(K813*GOOGLEFINANCE(""CURRENCY:""&amp;Q813&amp;""""&amp;Dashboard!$L$1&amp;""""))/100),IF(Q813=Dashboard!$L$1,K813,K813*GOOGLEFINANCE(""CURRENCY:""&amp;Q813&amp;""""&amp;Dashboard!$L$1&amp;"""")))"&amp;",K813))"),"")</f>
        <v/>
      </c>
      <c r="S813" s="266" t="str">
        <f>IFERROR(__xludf.DUMMYFUNCTION("IF(ISBLANK(A813),"""",IFERROR(IF(OR(Q813=""GPB"",Q813=""ZAR""),IF(Q813=Dashboard!$L$1,M813,(M813*GOOGLEFINANCE(""CURRENCY:""&amp;Q813&amp;""""&amp;Dashboard!$L$1&amp;""""))/100),IF(Q813=Dashboard!$L$1,M813,M813*GOOGLEFINANCE(""CURRENCY:""&amp;Q813&amp;""""&amp;Dashboard!$L$1&amp;"""")))"&amp;",M813))"),"")</f>
        <v/>
      </c>
      <c r="T813" s="264" t="str">
        <f t="shared" si="4"/>
        <v/>
      </c>
      <c r="U813" s="264" t="str">
        <f t="shared" si="5"/>
        <v/>
      </c>
      <c r="V813" s="264" t="str">
        <f t="shared" si="6"/>
        <v/>
      </c>
      <c r="W813" s="267" t="str">
        <f t="shared" si="8"/>
        <v/>
      </c>
      <c r="X813" s="264" t="str">
        <f t="shared" si="7"/>
        <v/>
      </c>
    </row>
    <row r="814" ht="15.75" customHeight="1">
      <c r="A814" s="258"/>
      <c r="B814" s="258"/>
      <c r="C814" s="269"/>
      <c r="D814" s="258"/>
      <c r="E814" s="258"/>
      <c r="F814" s="258"/>
      <c r="G814" s="258"/>
      <c r="H814" s="271"/>
      <c r="I814" s="258"/>
      <c r="J814" s="272"/>
      <c r="K814" s="260"/>
      <c r="L814" s="261"/>
      <c r="M814" s="262" t="str">
        <f t="shared" si="1"/>
        <v/>
      </c>
      <c r="N814" s="263" t="str">
        <f t="shared" si="2"/>
        <v/>
      </c>
      <c r="O814" s="264" t="str">
        <f t="shared" si="3"/>
        <v/>
      </c>
      <c r="P814" s="265" t="str">
        <f>IFERROR(__xludf.DUMMYFUNCTION("IF(ISBLANK(A814),"""",IFERROR(IF(H814=""Sell"",VLOOKUP(9^99,FILTER({ROW(P$2:P813),P$2:P813},D$2:D813=D814),2),(VLOOKUP(9^99,FILTER({ROW(P$2:P813),P$2:P813},D$2:D813=D814),2)*VLOOKUP(9^99,FILTER({ROW(O$2:O813),O$2:O813},D$2:D813=D814),2)-N814)/O814),J814))"),"")</f>
        <v/>
      </c>
      <c r="Q814" s="264" t="str">
        <f>IFERROR(__xludf.DUMMYFUNCTION("IFERROR(IF(F814=""Crypto"",B814,(IF(ISBLANK(D814),"""",IF(D814=""Cash"",B814,IF(GOOGLEFINANCE(D814,""CURRENCY"")=""GBX"",""GBP"",GOOGLEFINANCE(D814,""CURRENCY"")))))),B814)"),"")</f>
        <v/>
      </c>
      <c r="R814" s="263" t="str">
        <f>IFERROR(__xludf.DUMMYFUNCTION("IF(ISBLANK(A814),"""",IFERROR(IF(OR(Q814=""GPB"",Q814=""ZAR""),IF(Q814=Dashboard!$L$1,K814,(K814*GOOGLEFINANCE(""CURRENCY:""&amp;Q814&amp;""""&amp;Dashboard!$L$1&amp;""""))/100),IF(Q814=Dashboard!$L$1,K814,K814*GOOGLEFINANCE(""CURRENCY:""&amp;Q814&amp;""""&amp;Dashboard!$L$1&amp;"""")))"&amp;",K814))"),"")</f>
        <v/>
      </c>
      <c r="S814" s="266" t="str">
        <f>IFERROR(__xludf.DUMMYFUNCTION("IF(ISBLANK(A814),"""",IFERROR(IF(OR(Q814=""GPB"",Q814=""ZAR""),IF(Q814=Dashboard!$L$1,M814,(M814*GOOGLEFINANCE(""CURRENCY:""&amp;Q814&amp;""""&amp;Dashboard!$L$1&amp;""""))/100),IF(Q814=Dashboard!$L$1,M814,M814*GOOGLEFINANCE(""CURRENCY:""&amp;Q814&amp;""""&amp;Dashboard!$L$1&amp;"""")))"&amp;",M814))"),"")</f>
        <v/>
      </c>
      <c r="T814" s="264" t="str">
        <f t="shared" si="4"/>
        <v/>
      </c>
      <c r="U814" s="264" t="str">
        <f t="shared" si="5"/>
        <v/>
      </c>
      <c r="V814" s="264" t="str">
        <f t="shared" si="6"/>
        <v/>
      </c>
      <c r="W814" s="267" t="str">
        <f t="shared" si="8"/>
        <v/>
      </c>
      <c r="X814" s="264" t="str">
        <f t="shared" si="7"/>
        <v/>
      </c>
    </row>
    <row r="815" ht="15.75" customHeight="1">
      <c r="A815" s="258"/>
      <c r="B815" s="258"/>
      <c r="C815" s="269"/>
      <c r="D815" s="258"/>
      <c r="E815" s="258"/>
      <c r="F815" s="258"/>
      <c r="G815" s="258"/>
      <c r="H815" s="271"/>
      <c r="I815" s="258"/>
      <c r="J815" s="272"/>
      <c r="K815" s="260"/>
      <c r="L815" s="261"/>
      <c r="M815" s="262" t="str">
        <f t="shared" si="1"/>
        <v/>
      </c>
      <c r="N815" s="263" t="str">
        <f t="shared" si="2"/>
        <v/>
      </c>
      <c r="O815" s="264" t="str">
        <f t="shared" si="3"/>
        <v/>
      </c>
      <c r="P815" s="265" t="str">
        <f>IFERROR(__xludf.DUMMYFUNCTION("IF(ISBLANK(A815),"""",IFERROR(IF(H815=""Sell"",VLOOKUP(9^99,FILTER({ROW(P$2:P814),P$2:P814},D$2:D814=D815),2),(VLOOKUP(9^99,FILTER({ROW(P$2:P814),P$2:P814},D$2:D814=D815),2)*VLOOKUP(9^99,FILTER({ROW(O$2:O814),O$2:O814},D$2:D814=D815),2)-N815)/O815),J815))"),"")</f>
        <v/>
      </c>
      <c r="Q815" s="264" t="str">
        <f>IFERROR(__xludf.DUMMYFUNCTION("IFERROR(IF(F815=""Crypto"",B815,(IF(ISBLANK(D815),"""",IF(D815=""Cash"",B815,IF(GOOGLEFINANCE(D815,""CURRENCY"")=""GBX"",""GBP"",GOOGLEFINANCE(D815,""CURRENCY"")))))),B815)"),"")</f>
        <v/>
      </c>
      <c r="R815" s="263" t="str">
        <f>IFERROR(__xludf.DUMMYFUNCTION("IF(ISBLANK(A815),"""",IFERROR(IF(OR(Q815=""GPB"",Q815=""ZAR""),IF(Q815=Dashboard!$L$1,K815,(K815*GOOGLEFINANCE(""CURRENCY:""&amp;Q815&amp;""""&amp;Dashboard!$L$1&amp;""""))/100),IF(Q815=Dashboard!$L$1,K815,K815*GOOGLEFINANCE(""CURRENCY:""&amp;Q815&amp;""""&amp;Dashboard!$L$1&amp;"""")))"&amp;",K815))"),"")</f>
        <v/>
      </c>
      <c r="S815" s="266" t="str">
        <f>IFERROR(__xludf.DUMMYFUNCTION("IF(ISBLANK(A815),"""",IFERROR(IF(OR(Q815=""GPB"",Q815=""ZAR""),IF(Q815=Dashboard!$L$1,M815,(M815*GOOGLEFINANCE(""CURRENCY:""&amp;Q815&amp;""""&amp;Dashboard!$L$1&amp;""""))/100),IF(Q815=Dashboard!$L$1,M815,M815*GOOGLEFINANCE(""CURRENCY:""&amp;Q815&amp;""""&amp;Dashboard!$L$1&amp;"""")))"&amp;",M815))"),"")</f>
        <v/>
      </c>
      <c r="T815" s="264" t="str">
        <f t="shared" si="4"/>
        <v/>
      </c>
      <c r="U815" s="264" t="str">
        <f t="shared" si="5"/>
        <v/>
      </c>
      <c r="V815" s="264" t="str">
        <f t="shared" si="6"/>
        <v/>
      </c>
      <c r="W815" s="267" t="str">
        <f t="shared" si="8"/>
        <v/>
      </c>
      <c r="X815" s="264" t="str">
        <f t="shared" si="7"/>
        <v/>
      </c>
    </row>
    <row r="816" ht="15.75" customHeight="1">
      <c r="A816" s="258"/>
      <c r="B816" s="258"/>
      <c r="C816" s="269"/>
      <c r="D816" s="258"/>
      <c r="E816" s="258"/>
      <c r="F816" s="258"/>
      <c r="G816" s="258"/>
      <c r="H816" s="271"/>
      <c r="I816" s="258"/>
      <c r="J816" s="272"/>
      <c r="K816" s="260"/>
      <c r="L816" s="261"/>
      <c r="M816" s="262" t="str">
        <f t="shared" si="1"/>
        <v/>
      </c>
      <c r="N816" s="263" t="str">
        <f t="shared" si="2"/>
        <v/>
      </c>
      <c r="O816" s="264" t="str">
        <f t="shared" si="3"/>
        <v/>
      </c>
      <c r="P816" s="265" t="str">
        <f>IFERROR(__xludf.DUMMYFUNCTION("IF(ISBLANK(A816),"""",IFERROR(IF(H816=""Sell"",VLOOKUP(9^99,FILTER({ROW(P$2:P815),P$2:P815},D$2:D815=D816),2),(VLOOKUP(9^99,FILTER({ROW(P$2:P815),P$2:P815},D$2:D815=D816),2)*VLOOKUP(9^99,FILTER({ROW(O$2:O815),O$2:O815},D$2:D815=D816),2)-N816)/O816),J816))"),"")</f>
        <v/>
      </c>
      <c r="Q816" s="264" t="str">
        <f>IFERROR(__xludf.DUMMYFUNCTION("IFERROR(IF(F816=""Crypto"",B816,(IF(ISBLANK(D816),"""",IF(D816=""Cash"",B816,IF(GOOGLEFINANCE(D816,""CURRENCY"")=""GBX"",""GBP"",GOOGLEFINANCE(D816,""CURRENCY"")))))),B816)"),"")</f>
        <v/>
      </c>
      <c r="R816" s="263" t="str">
        <f>IFERROR(__xludf.DUMMYFUNCTION("IF(ISBLANK(A816),"""",IFERROR(IF(OR(Q816=""GPB"",Q816=""ZAR""),IF(Q816=Dashboard!$L$1,K816,(K816*GOOGLEFINANCE(""CURRENCY:""&amp;Q816&amp;""""&amp;Dashboard!$L$1&amp;""""))/100),IF(Q816=Dashboard!$L$1,K816,K816*GOOGLEFINANCE(""CURRENCY:""&amp;Q816&amp;""""&amp;Dashboard!$L$1&amp;"""")))"&amp;",K816))"),"")</f>
        <v/>
      </c>
      <c r="S816" s="266" t="str">
        <f>IFERROR(__xludf.DUMMYFUNCTION("IF(ISBLANK(A816),"""",IFERROR(IF(OR(Q816=""GPB"",Q816=""ZAR""),IF(Q816=Dashboard!$L$1,M816,(M816*GOOGLEFINANCE(""CURRENCY:""&amp;Q816&amp;""""&amp;Dashboard!$L$1&amp;""""))/100),IF(Q816=Dashboard!$L$1,M816,M816*GOOGLEFINANCE(""CURRENCY:""&amp;Q816&amp;""""&amp;Dashboard!$L$1&amp;"""")))"&amp;",M816))"),"")</f>
        <v/>
      </c>
      <c r="T816" s="264" t="str">
        <f t="shared" si="4"/>
        <v/>
      </c>
      <c r="U816" s="264" t="str">
        <f t="shared" si="5"/>
        <v/>
      </c>
      <c r="V816" s="264" t="str">
        <f t="shared" si="6"/>
        <v/>
      </c>
      <c r="W816" s="267" t="str">
        <f t="shared" si="8"/>
        <v/>
      </c>
      <c r="X816" s="264" t="str">
        <f t="shared" si="7"/>
        <v/>
      </c>
    </row>
    <row r="817" ht="15.75" customHeight="1">
      <c r="A817" s="258"/>
      <c r="B817" s="258"/>
      <c r="C817" s="269"/>
      <c r="D817" s="258"/>
      <c r="E817" s="258"/>
      <c r="F817" s="258"/>
      <c r="G817" s="258"/>
      <c r="H817" s="271"/>
      <c r="I817" s="258"/>
      <c r="J817" s="272"/>
      <c r="K817" s="260"/>
      <c r="L817" s="261"/>
      <c r="M817" s="262" t="str">
        <f t="shared" si="1"/>
        <v/>
      </c>
      <c r="N817" s="263" t="str">
        <f t="shared" si="2"/>
        <v/>
      </c>
      <c r="O817" s="264" t="str">
        <f t="shared" si="3"/>
        <v/>
      </c>
      <c r="P817" s="265" t="str">
        <f>IFERROR(__xludf.DUMMYFUNCTION("IF(ISBLANK(A817),"""",IFERROR(IF(H817=""Sell"",VLOOKUP(9^99,FILTER({ROW(P$2:P816),P$2:P816},D$2:D816=D817),2),(VLOOKUP(9^99,FILTER({ROW(P$2:P816),P$2:P816},D$2:D816=D817),2)*VLOOKUP(9^99,FILTER({ROW(O$2:O816),O$2:O816},D$2:D816=D817),2)-N817)/O817),J817))"),"")</f>
        <v/>
      </c>
      <c r="Q817" s="264" t="str">
        <f>IFERROR(__xludf.DUMMYFUNCTION("IFERROR(IF(F817=""Crypto"",B817,(IF(ISBLANK(D817),"""",IF(D817=""Cash"",B817,IF(GOOGLEFINANCE(D817,""CURRENCY"")=""GBX"",""GBP"",GOOGLEFINANCE(D817,""CURRENCY"")))))),B817)"),"")</f>
        <v/>
      </c>
      <c r="R817" s="263" t="str">
        <f>IFERROR(__xludf.DUMMYFUNCTION("IF(ISBLANK(A817),"""",IFERROR(IF(OR(Q817=""GPB"",Q817=""ZAR""),IF(Q817=Dashboard!$L$1,K817,(K817*GOOGLEFINANCE(""CURRENCY:""&amp;Q817&amp;""""&amp;Dashboard!$L$1&amp;""""))/100),IF(Q817=Dashboard!$L$1,K817,K817*GOOGLEFINANCE(""CURRENCY:""&amp;Q817&amp;""""&amp;Dashboard!$L$1&amp;"""")))"&amp;",K817))"),"")</f>
        <v/>
      </c>
      <c r="S817" s="266" t="str">
        <f>IFERROR(__xludf.DUMMYFUNCTION("IF(ISBLANK(A817),"""",IFERROR(IF(OR(Q817=""GPB"",Q817=""ZAR""),IF(Q817=Dashboard!$L$1,M817,(M817*GOOGLEFINANCE(""CURRENCY:""&amp;Q817&amp;""""&amp;Dashboard!$L$1&amp;""""))/100),IF(Q817=Dashboard!$L$1,M817,M817*GOOGLEFINANCE(""CURRENCY:""&amp;Q817&amp;""""&amp;Dashboard!$L$1&amp;"""")))"&amp;",M817))"),"")</f>
        <v/>
      </c>
      <c r="T817" s="264" t="str">
        <f t="shared" si="4"/>
        <v/>
      </c>
      <c r="U817" s="264" t="str">
        <f t="shared" si="5"/>
        <v/>
      </c>
      <c r="V817" s="264" t="str">
        <f t="shared" si="6"/>
        <v/>
      </c>
      <c r="W817" s="267" t="str">
        <f t="shared" si="8"/>
        <v/>
      </c>
      <c r="X817" s="264" t="str">
        <f t="shared" si="7"/>
        <v/>
      </c>
    </row>
    <row r="818" ht="15.75" customHeight="1">
      <c r="A818" s="258"/>
      <c r="B818" s="258"/>
      <c r="C818" s="269"/>
      <c r="D818" s="258"/>
      <c r="E818" s="258"/>
      <c r="F818" s="258"/>
      <c r="G818" s="258"/>
      <c r="H818" s="271"/>
      <c r="I818" s="258"/>
      <c r="J818" s="272"/>
      <c r="K818" s="260"/>
      <c r="L818" s="261"/>
      <c r="M818" s="262" t="str">
        <f t="shared" si="1"/>
        <v/>
      </c>
      <c r="N818" s="263" t="str">
        <f t="shared" si="2"/>
        <v/>
      </c>
      <c r="O818" s="264" t="str">
        <f t="shared" si="3"/>
        <v/>
      </c>
      <c r="P818" s="265" t="str">
        <f>IFERROR(__xludf.DUMMYFUNCTION("IF(ISBLANK(A818),"""",IFERROR(IF(H818=""Sell"",VLOOKUP(9^99,FILTER({ROW(P$2:P817),P$2:P817},D$2:D817=D818),2),(VLOOKUP(9^99,FILTER({ROW(P$2:P817),P$2:P817},D$2:D817=D818),2)*VLOOKUP(9^99,FILTER({ROW(O$2:O817),O$2:O817},D$2:D817=D818),2)-N818)/O818),J818))"),"")</f>
        <v/>
      </c>
      <c r="Q818" s="264" t="str">
        <f>IFERROR(__xludf.DUMMYFUNCTION("IFERROR(IF(F818=""Crypto"",B818,(IF(ISBLANK(D818),"""",IF(D818=""Cash"",B818,IF(GOOGLEFINANCE(D818,""CURRENCY"")=""GBX"",""GBP"",GOOGLEFINANCE(D818,""CURRENCY"")))))),B818)"),"")</f>
        <v/>
      </c>
      <c r="R818" s="263" t="str">
        <f>IFERROR(__xludf.DUMMYFUNCTION("IF(ISBLANK(A818),"""",IFERROR(IF(OR(Q818=""GPB"",Q818=""ZAR""),IF(Q818=Dashboard!$L$1,K818,(K818*GOOGLEFINANCE(""CURRENCY:""&amp;Q818&amp;""""&amp;Dashboard!$L$1&amp;""""))/100),IF(Q818=Dashboard!$L$1,K818,K818*GOOGLEFINANCE(""CURRENCY:""&amp;Q818&amp;""""&amp;Dashboard!$L$1&amp;"""")))"&amp;",K818))"),"")</f>
        <v/>
      </c>
      <c r="S818" s="266" t="str">
        <f>IFERROR(__xludf.DUMMYFUNCTION("IF(ISBLANK(A818),"""",IFERROR(IF(OR(Q818=""GPB"",Q818=""ZAR""),IF(Q818=Dashboard!$L$1,M818,(M818*GOOGLEFINANCE(""CURRENCY:""&amp;Q818&amp;""""&amp;Dashboard!$L$1&amp;""""))/100),IF(Q818=Dashboard!$L$1,M818,M818*GOOGLEFINANCE(""CURRENCY:""&amp;Q818&amp;""""&amp;Dashboard!$L$1&amp;"""")))"&amp;",M818))"),"")</f>
        <v/>
      </c>
      <c r="T818" s="264" t="str">
        <f t="shared" si="4"/>
        <v/>
      </c>
      <c r="U818" s="264" t="str">
        <f t="shared" si="5"/>
        <v/>
      </c>
      <c r="V818" s="264" t="str">
        <f t="shared" si="6"/>
        <v/>
      </c>
      <c r="W818" s="267" t="str">
        <f t="shared" si="8"/>
        <v/>
      </c>
      <c r="X818" s="264" t="str">
        <f t="shared" si="7"/>
        <v/>
      </c>
    </row>
    <row r="819" ht="15.75" customHeight="1">
      <c r="A819" s="258"/>
      <c r="B819" s="258"/>
      <c r="C819" s="269"/>
      <c r="D819" s="258"/>
      <c r="E819" s="258"/>
      <c r="F819" s="258"/>
      <c r="G819" s="258"/>
      <c r="H819" s="271"/>
      <c r="I819" s="258"/>
      <c r="J819" s="272"/>
      <c r="K819" s="260"/>
      <c r="L819" s="261"/>
      <c r="M819" s="262" t="str">
        <f t="shared" si="1"/>
        <v/>
      </c>
      <c r="N819" s="263" t="str">
        <f t="shared" si="2"/>
        <v/>
      </c>
      <c r="O819" s="264" t="str">
        <f t="shared" si="3"/>
        <v/>
      </c>
      <c r="P819" s="265" t="str">
        <f>IFERROR(__xludf.DUMMYFUNCTION("IF(ISBLANK(A819),"""",IFERROR(IF(H819=""Sell"",VLOOKUP(9^99,FILTER({ROW(P$2:P818),P$2:P818},D$2:D818=D819),2),(VLOOKUP(9^99,FILTER({ROW(P$2:P818),P$2:P818},D$2:D818=D819),2)*VLOOKUP(9^99,FILTER({ROW(O$2:O818),O$2:O818},D$2:D818=D819),2)-N819)/O819),J819))"),"")</f>
        <v/>
      </c>
      <c r="Q819" s="264" t="str">
        <f>IFERROR(__xludf.DUMMYFUNCTION("IFERROR(IF(F819=""Crypto"",B819,(IF(ISBLANK(D819),"""",IF(D819=""Cash"",B819,IF(GOOGLEFINANCE(D819,""CURRENCY"")=""GBX"",""GBP"",GOOGLEFINANCE(D819,""CURRENCY"")))))),B819)"),"")</f>
        <v/>
      </c>
      <c r="R819" s="263" t="str">
        <f>IFERROR(__xludf.DUMMYFUNCTION("IF(ISBLANK(A819),"""",IFERROR(IF(OR(Q819=""GPB"",Q819=""ZAR""),IF(Q819=Dashboard!$L$1,K819,(K819*GOOGLEFINANCE(""CURRENCY:""&amp;Q819&amp;""""&amp;Dashboard!$L$1&amp;""""))/100),IF(Q819=Dashboard!$L$1,K819,K819*GOOGLEFINANCE(""CURRENCY:""&amp;Q819&amp;""""&amp;Dashboard!$L$1&amp;"""")))"&amp;",K819))"),"")</f>
        <v/>
      </c>
      <c r="S819" s="266" t="str">
        <f>IFERROR(__xludf.DUMMYFUNCTION("IF(ISBLANK(A819),"""",IFERROR(IF(OR(Q819=""GPB"",Q819=""ZAR""),IF(Q819=Dashboard!$L$1,M819,(M819*GOOGLEFINANCE(""CURRENCY:""&amp;Q819&amp;""""&amp;Dashboard!$L$1&amp;""""))/100),IF(Q819=Dashboard!$L$1,M819,M819*GOOGLEFINANCE(""CURRENCY:""&amp;Q819&amp;""""&amp;Dashboard!$L$1&amp;"""")))"&amp;",M819))"),"")</f>
        <v/>
      </c>
      <c r="T819" s="264" t="str">
        <f t="shared" si="4"/>
        <v/>
      </c>
      <c r="U819" s="264" t="str">
        <f t="shared" si="5"/>
        <v/>
      </c>
      <c r="V819" s="264" t="str">
        <f t="shared" si="6"/>
        <v/>
      </c>
      <c r="W819" s="267" t="str">
        <f t="shared" si="8"/>
        <v/>
      </c>
      <c r="X819" s="264" t="str">
        <f t="shared" si="7"/>
        <v/>
      </c>
    </row>
    <row r="820" ht="15.75" customHeight="1">
      <c r="A820" s="258"/>
      <c r="B820" s="258"/>
      <c r="C820" s="269"/>
      <c r="D820" s="258"/>
      <c r="E820" s="258"/>
      <c r="F820" s="258"/>
      <c r="G820" s="258"/>
      <c r="H820" s="271"/>
      <c r="I820" s="258"/>
      <c r="J820" s="272"/>
      <c r="K820" s="260"/>
      <c r="L820" s="261"/>
      <c r="M820" s="262" t="str">
        <f t="shared" si="1"/>
        <v/>
      </c>
      <c r="N820" s="263" t="str">
        <f t="shared" si="2"/>
        <v/>
      </c>
      <c r="O820" s="264" t="str">
        <f t="shared" si="3"/>
        <v/>
      </c>
      <c r="P820" s="265" t="str">
        <f>IFERROR(__xludf.DUMMYFUNCTION("IF(ISBLANK(A820),"""",IFERROR(IF(H820=""Sell"",VLOOKUP(9^99,FILTER({ROW(P$2:P819),P$2:P819},D$2:D819=D820),2),(VLOOKUP(9^99,FILTER({ROW(P$2:P819),P$2:P819},D$2:D819=D820),2)*VLOOKUP(9^99,FILTER({ROW(O$2:O819),O$2:O819},D$2:D819=D820),2)-N820)/O820),J820))"),"")</f>
        <v/>
      </c>
      <c r="Q820" s="264" t="str">
        <f>IFERROR(__xludf.DUMMYFUNCTION("IFERROR(IF(F820=""Crypto"",B820,(IF(ISBLANK(D820),"""",IF(D820=""Cash"",B820,IF(GOOGLEFINANCE(D820,""CURRENCY"")=""GBX"",""GBP"",GOOGLEFINANCE(D820,""CURRENCY"")))))),B820)"),"")</f>
        <v/>
      </c>
      <c r="R820" s="263" t="str">
        <f>IFERROR(__xludf.DUMMYFUNCTION("IF(ISBLANK(A820),"""",IFERROR(IF(OR(Q820=""GPB"",Q820=""ZAR""),IF(Q820=Dashboard!$L$1,K820,(K820*GOOGLEFINANCE(""CURRENCY:""&amp;Q820&amp;""""&amp;Dashboard!$L$1&amp;""""))/100),IF(Q820=Dashboard!$L$1,K820,K820*GOOGLEFINANCE(""CURRENCY:""&amp;Q820&amp;""""&amp;Dashboard!$L$1&amp;"""")))"&amp;",K820))"),"")</f>
        <v/>
      </c>
      <c r="S820" s="266" t="str">
        <f>IFERROR(__xludf.DUMMYFUNCTION("IF(ISBLANK(A820),"""",IFERROR(IF(OR(Q820=""GPB"",Q820=""ZAR""),IF(Q820=Dashboard!$L$1,M820,(M820*GOOGLEFINANCE(""CURRENCY:""&amp;Q820&amp;""""&amp;Dashboard!$L$1&amp;""""))/100),IF(Q820=Dashboard!$L$1,M820,M820*GOOGLEFINANCE(""CURRENCY:""&amp;Q820&amp;""""&amp;Dashboard!$L$1&amp;"""")))"&amp;",M820))"),"")</f>
        <v/>
      </c>
      <c r="T820" s="264" t="str">
        <f t="shared" si="4"/>
        <v/>
      </c>
      <c r="U820" s="264" t="str">
        <f t="shared" si="5"/>
        <v/>
      </c>
      <c r="V820" s="264" t="str">
        <f t="shared" si="6"/>
        <v/>
      </c>
      <c r="W820" s="267" t="str">
        <f t="shared" si="8"/>
        <v/>
      </c>
      <c r="X820" s="264" t="str">
        <f t="shared" si="7"/>
        <v/>
      </c>
    </row>
    <row r="821" ht="15.75" customHeight="1">
      <c r="A821" s="258"/>
      <c r="B821" s="258"/>
      <c r="C821" s="269"/>
      <c r="D821" s="258"/>
      <c r="E821" s="258"/>
      <c r="F821" s="258"/>
      <c r="G821" s="258"/>
      <c r="H821" s="271"/>
      <c r="I821" s="258"/>
      <c r="J821" s="272"/>
      <c r="K821" s="260"/>
      <c r="L821" s="261"/>
      <c r="M821" s="262" t="str">
        <f t="shared" si="1"/>
        <v/>
      </c>
      <c r="N821" s="263" t="str">
        <f t="shared" si="2"/>
        <v/>
      </c>
      <c r="O821" s="264" t="str">
        <f t="shared" si="3"/>
        <v/>
      </c>
      <c r="P821" s="265" t="str">
        <f>IFERROR(__xludf.DUMMYFUNCTION("IF(ISBLANK(A821),"""",IFERROR(IF(H821=""Sell"",VLOOKUP(9^99,FILTER({ROW(P$2:P820),P$2:P820},D$2:D820=D821),2),(VLOOKUP(9^99,FILTER({ROW(P$2:P820),P$2:P820},D$2:D820=D821),2)*VLOOKUP(9^99,FILTER({ROW(O$2:O820),O$2:O820},D$2:D820=D821),2)-N821)/O821),J821))"),"")</f>
        <v/>
      </c>
      <c r="Q821" s="264" t="str">
        <f>IFERROR(__xludf.DUMMYFUNCTION("IFERROR(IF(F821=""Crypto"",B821,(IF(ISBLANK(D821),"""",IF(D821=""Cash"",B821,IF(GOOGLEFINANCE(D821,""CURRENCY"")=""GBX"",""GBP"",GOOGLEFINANCE(D821,""CURRENCY"")))))),B821)"),"")</f>
        <v/>
      </c>
      <c r="R821" s="263" t="str">
        <f>IFERROR(__xludf.DUMMYFUNCTION("IF(ISBLANK(A821),"""",IFERROR(IF(OR(Q821=""GPB"",Q821=""ZAR""),IF(Q821=Dashboard!$L$1,K821,(K821*GOOGLEFINANCE(""CURRENCY:""&amp;Q821&amp;""""&amp;Dashboard!$L$1&amp;""""))/100),IF(Q821=Dashboard!$L$1,K821,K821*GOOGLEFINANCE(""CURRENCY:""&amp;Q821&amp;""""&amp;Dashboard!$L$1&amp;"""")))"&amp;",K821))"),"")</f>
        <v/>
      </c>
      <c r="S821" s="266" t="str">
        <f>IFERROR(__xludf.DUMMYFUNCTION("IF(ISBLANK(A821),"""",IFERROR(IF(OR(Q821=""GPB"",Q821=""ZAR""),IF(Q821=Dashboard!$L$1,M821,(M821*GOOGLEFINANCE(""CURRENCY:""&amp;Q821&amp;""""&amp;Dashboard!$L$1&amp;""""))/100),IF(Q821=Dashboard!$L$1,M821,M821*GOOGLEFINANCE(""CURRENCY:""&amp;Q821&amp;""""&amp;Dashboard!$L$1&amp;"""")))"&amp;",M821))"),"")</f>
        <v/>
      </c>
      <c r="T821" s="264" t="str">
        <f t="shared" si="4"/>
        <v/>
      </c>
      <c r="U821" s="264" t="str">
        <f t="shared" si="5"/>
        <v/>
      </c>
      <c r="V821" s="264" t="str">
        <f t="shared" si="6"/>
        <v/>
      </c>
      <c r="W821" s="267" t="str">
        <f t="shared" si="8"/>
        <v/>
      </c>
      <c r="X821" s="264" t="str">
        <f t="shared" si="7"/>
        <v/>
      </c>
    </row>
    <row r="822" ht="15.75" customHeight="1">
      <c r="A822" s="258"/>
      <c r="B822" s="258"/>
      <c r="C822" s="269"/>
      <c r="D822" s="258"/>
      <c r="E822" s="258"/>
      <c r="F822" s="258"/>
      <c r="G822" s="258"/>
      <c r="H822" s="271"/>
      <c r="I822" s="258"/>
      <c r="J822" s="272"/>
      <c r="K822" s="260"/>
      <c r="L822" s="261"/>
      <c r="M822" s="262" t="str">
        <f t="shared" si="1"/>
        <v/>
      </c>
      <c r="N822" s="263" t="str">
        <f t="shared" si="2"/>
        <v/>
      </c>
      <c r="O822" s="264" t="str">
        <f t="shared" si="3"/>
        <v/>
      </c>
      <c r="P822" s="265" t="str">
        <f>IFERROR(__xludf.DUMMYFUNCTION("IF(ISBLANK(A822),"""",IFERROR(IF(H822=""Sell"",VLOOKUP(9^99,FILTER({ROW(P$2:P821),P$2:P821},D$2:D821=D822),2),(VLOOKUP(9^99,FILTER({ROW(P$2:P821),P$2:P821},D$2:D821=D822),2)*VLOOKUP(9^99,FILTER({ROW(O$2:O821),O$2:O821},D$2:D821=D822),2)-N822)/O822),J822))"),"")</f>
        <v/>
      </c>
      <c r="Q822" s="264" t="str">
        <f>IFERROR(__xludf.DUMMYFUNCTION("IFERROR(IF(F822=""Crypto"",B822,(IF(ISBLANK(D822),"""",IF(D822=""Cash"",B822,IF(GOOGLEFINANCE(D822,""CURRENCY"")=""GBX"",""GBP"",GOOGLEFINANCE(D822,""CURRENCY"")))))),B822)"),"")</f>
        <v/>
      </c>
      <c r="R822" s="263" t="str">
        <f>IFERROR(__xludf.DUMMYFUNCTION("IF(ISBLANK(A822),"""",IFERROR(IF(OR(Q822=""GPB"",Q822=""ZAR""),IF(Q822=Dashboard!$L$1,K822,(K822*GOOGLEFINANCE(""CURRENCY:""&amp;Q822&amp;""""&amp;Dashboard!$L$1&amp;""""))/100),IF(Q822=Dashboard!$L$1,K822,K822*GOOGLEFINANCE(""CURRENCY:""&amp;Q822&amp;""""&amp;Dashboard!$L$1&amp;"""")))"&amp;",K822))"),"")</f>
        <v/>
      </c>
      <c r="S822" s="266" t="str">
        <f>IFERROR(__xludf.DUMMYFUNCTION("IF(ISBLANK(A822),"""",IFERROR(IF(OR(Q822=""GPB"",Q822=""ZAR""),IF(Q822=Dashboard!$L$1,M822,(M822*GOOGLEFINANCE(""CURRENCY:""&amp;Q822&amp;""""&amp;Dashboard!$L$1&amp;""""))/100),IF(Q822=Dashboard!$L$1,M822,M822*GOOGLEFINANCE(""CURRENCY:""&amp;Q822&amp;""""&amp;Dashboard!$L$1&amp;"""")))"&amp;",M822))"),"")</f>
        <v/>
      </c>
      <c r="T822" s="264" t="str">
        <f t="shared" si="4"/>
        <v/>
      </c>
      <c r="U822" s="264" t="str">
        <f t="shared" si="5"/>
        <v/>
      </c>
      <c r="V822" s="264" t="str">
        <f t="shared" si="6"/>
        <v/>
      </c>
      <c r="W822" s="267" t="str">
        <f t="shared" si="8"/>
        <v/>
      </c>
      <c r="X822" s="264" t="str">
        <f t="shared" si="7"/>
        <v/>
      </c>
    </row>
    <row r="823" ht="15.75" customHeight="1">
      <c r="A823" s="258"/>
      <c r="B823" s="258"/>
      <c r="C823" s="269"/>
      <c r="D823" s="258"/>
      <c r="E823" s="258"/>
      <c r="F823" s="258"/>
      <c r="G823" s="258"/>
      <c r="H823" s="271"/>
      <c r="I823" s="258"/>
      <c r="J823" s="272"/>
      <c r="K823" s="260"/>
      <c r="L823" s="261"/>
      <c r="M823" s="262" t="str">
        <f t="shared" si="1"/>
        <v/>
      </c>
      <c r="N823" s="263" t="str">
        <f t="shared" si="2"/>
        <v/>
      </c>
      <c r="O823" s="264" t="str">
        <f t="shared" si="3"/>
        <v/>
      </c>
      <c r="P823" s="265" t="str">
        <f>IFERROR(__xludf.DUMMYFUNCTION("IF(ISBLANK(A823),"""",IFERROR(IF(H823=""Sell"",VLOOKUP(9^99,FILTER({ROW(P$2:P822),P$2:P822},D$2:D822=D823),2),(VLOOKUP(9^99,FILTER({ROW(P$2:P822),P$2:P822},D$2:D822=D823),2)*VLOOKUP(9^99,FILTER({ROW(O$2:O822),O$2:O822},D$2:D822=D823),2)-N823)/O823),J823))"),"")</f>
        <v/>
      </c>
      <c r="Q823" s="264" t="str">
        <f>IFERROR(__xludf.DUMMYFUNCTION("IFERROR(IF(F823=""Crypto"",B823,(IF(ISBLANK(D823),"""",IF(D823=""Cash"",B823,IF(GOOGLEFINANCE(D823,""CURRENCY"")=""GBX"",""GBP"",GOOGLEFINANCE(D823,""CURRENCY"")))))),B823)"),"")</f>
        <v/>
      </c>
      <c r="R823" s="263" t="str">
        <f>IFERROR(__xludf.DUMMYFUNCTION("IF(ISBLANK(A823),"""",IFERROR(IF(OR(Q823=""GPB"",Q823=""ZAR""),IF(Q823=Dashboard!$L$1,K823,(K823*GOOGLEFINANCE(""CURRENCY:""&amp;Q823&amp;""""&amp;Dashboard!$L$1&amp;""""))/100),IF(Q823=Dashboard!$L$1,K823,K823*GOOGLEFINANCE(""CURRENCY:""&amp;Q823&amp;""""&amp;Dashboard!$L$1&amp;"""")))"&amp;",K823))"),"")</f>
        <v/>
      </c>
      <c r="S823" s="266" t="str">
        <f>IFERROR(__xludf.DUMMYFUNCTION("IF(ISBLANK(A823),"""",IFERROR(IF(OR(Q823=""GPB"",Q823=""ZAR""),IF(Q823=Dashboard!$L$1,M823,(M823*GOOGLEFINANCE(""CURRENCY:""&amp;Q823&amp;""""&amp;Dashboard!$L$1&amp;""""))/100),IF(Q823=Dashboard!$L$1,M823,M823*GOOGLEFINANCE(""CURRENCY:""&amp;Q823&amp;""""&amp;Dashboard!$L$1&amp;"""")))"&amp;",M823))"),"")</f>
        <v/>
      </c>
      <c r="T823" s="264" t="str">
        <f t="shared" si="4"/>
        <v/>
      </c>
      <c r="U823" s="264" t="str">
        <f t="shared" si="5"/>
        <v/>
      </c>
      <c r="V823" s="264" t="str">
        <f t="shared" si="6"/>
        <v/>
      </c>
      <c r="W823" s="267" t="str">
        <f t="shared" si="8"/>
        <v/>
      </c>
      <c r="X823" s="264" t="str">
        <f t="shared" si="7"/>
        <v/>
      </c>
    </row>
    <row r="824" ht="15.75" customHeight="1">
      <c r="A824" s="258"/>
      <c r="B824" s="258"/>
      <c r="C824" s="269"/>
      <c r="D824" s="258"/>
      <c r="E824" s="258"/>
      <c r="F824" s="258"/>
      <c r="G824" s="258"/>
      <c r="H824" s="271"/>
      <c r="I824" s="258"/>
      <c r="J824" s="272"/>
      <c r="K824" s="260"/>
      <c r="L824" s="261"/>
      <c r="M824" s="262" t="str">
        <f t="shared" si="1"/>
        <v/>
      </c>
      <c r="N824" s="263" t="str">
        <f t="shared" si="2"/>
        <v/>
      </c>
      <c r="O824" s="264" t="str">
        <f t="shared" si="3"/>
        <v/>
      </c>
      <c r="P824" s="265" t="str">
        <f>IFERROR(__xludf.DUMMYFUNCTION("IF(ISBLANK(A824),"""",IFERROR(IF(H824=""Sell"",VLOOKUP(9^99,FILTER({ROW(P$2:P823),P$2:P823},D$2:D823=D824),2),(VLOOKUP(9^99,FILTER({ROW(P$2:P823),P$2:P823},D$2:D823=D824),2)*VLOOKUP(9^99,FILTER({ROW(O$2:O823),O$2:O823},D$2:D823=D824),2)-N824)/O824),J824))"),"")</f>
        <v/>
      </c>
      <c r="Q824" s="264" t="str">
        <f>IFERROR(__xludf.DUMMYFUNCTION("IFERROR(IF(F824=""Crypto"",B824,(IF(ISBLANK(D824),"""",IF(D824=""Cash"",B824,IF(GOOGLEFINANCE(D824,""CURRENCY"")=""GBX"",""GBP"",GOOGLEFINANCE(D824,""CURRENCY"")))))),B824)"),"")</f>
        <v/>
      </c>
      <c r="R824" s="263" t="str">
        <f>IFERROR(__xludf.DUMMYFUNCTION("IF(ISBLANK(A824),"""",IFERROR(IF(OR(Q824=""GPB"",Q824=""ZAR""),IF(Q824=Dashboard!$L$1,K824,(K824*GOOGLEFINANCE(""CURRENCY:""&amp;Q824&amp;""""&amp;Dashboard!$L$1&amp;""""))/100),IF(Q824=Dashboard!$L$1,K824,K824*GOOGLEFINANCE(""CURRENCY:""&amp;Q824&amp;""""&amp;Dashboard!$L$1&amp;"""")))"&amp;",K824))"),"")</f>
        <v/>
      </c>
      <c r="S824" s="266" t="str">
        <f>IFERROR(__xludf.DUMMYFUNCTION("IF(ISBLANK(A824),"""",IFERROR(IF(OR(Q824=""GPB"",Q824=""ZAR""),IF(Q824=Dashboard!$L$1,M824,(M824*GOOGLEFINANCE(""CURRENCY:""&amp;Q824&amp;""""&amp;Dashboard!$L$1&amp;""""))/100),IF(Q824=Dashboard!$L$1,M824,M824*GOOGLEFINANCE(""CURRENCY:""&amp;Q824&amp;""""&amp;Dashboard!$L$1&amp;"""")))"&amp;",M824))"),"")</f>
        <v/>
      </c>
      <c r="T824" s="264" t="str">
        <f t="shared" si="4"/>
        <v/>
      </c>
      <c r="U824" s="264" t="str">
        <f t="shared" si="5"/>
        <v/>
      </c>
      <c r="V824" s="264" t="str">
        <f t="shared" si="6"/>
        <v/>
      </c>
      <c r="W824" s="267" t="str">
        <f t="shared" si="8"/>
        <v/>
      </c>
      <c r="X824" s="264" t="str">
        <f t="shared" si="7"/>
        <v/>
      </c>
    </row>
    <row r="825" ht="15.75" customHeight="1">
      <c r="A825" s="258"/>
      <c r="B825" s="258"/>
      <c r="C825" s="269"/>
      <c r="D825" s="258"/>
      <c r="E825" s="258"/>
      <c r="F825" s="258"/>
      <c r="G825" s="258"/>
      <c r="H825" s="271"/>
      <c r="I825" s="258"/>
      <c r="J825" s="272"/>
      <c r="K825" s="260"/>
      <c r="L825" s="261"/>
      <c r="M825" s="262" t="str">
        <f t="shared" si="1"/>
        <v/>
      </c>
      <c r="N825" s="263" t="str">
        <f t="shared" si="2"/>
        <v/>
      </c>
      <c r="O825" s="264" t="str">
        <f t="shared" si="3"/>
        <v/>
      </c>
      <c r="P825" s="265" t="str">
        <f>IFERROR(__xludf.DUMMYFUNCTION("IF(ISBLANK(A825),"""",IFERROR(IF(H825=""Sell"",VLOOKUP(9^99,FILTER({ROW(P$2:P824),P$2:P824},D$2:D824=D825),2),(VLOOKUP(9^99,FILTER({ROW(P$2:P824),P$2:P824},D$2:D824=D825),2)*VLOOKUP(9^99,FILTER({ROW(O$2:O824),O$2:O824},D$2:D824=D825),2)-N825)/O825),J825))"),"")</f>
        <v/>
      </c>
      <c r="Q825" s="264" t="str">
        <f>IFERROR(__xludf.DUMMYFUNCTION("IFERROR(IF(F825=""Crypto"",B825,(IF(ISBLANK(D825),"""",IF(D825=""Cash"",B825,IF(GOOGLEFINANCE(D825,""CURRENCY"")=""GBX"",""GBP"",GOOGLEFINANCE(D825,""CURRENCY"")))))),B825)"),"")</f>
        <v/>
      </c>
      <c r="R825" s="263" t="str">
        <f>IFERROR(__xludf.DUMMYFUNCTION("IF(ISBLANK(A825),"""",IFERROR(IF(OR(Q825=""GPB"",Q825=""ZAR""),IF(Q825=Dashboard!$L$1,K825,(K825*GOOGLEFINANCE(""CURRENCY:""&amp;Q825&amp;""""&amp;Dashboard!$L$1&amp;""""))/100),IF(Q825=Dashboard!$L$1,K825,K825*GOOGLEFINANCE(""CURRENCY:""&amp;Q825&amp;""""&amp;Dashboard!$L$1&amp;"""")))"&amp;",K825))"),"")</f>
        <v/>
      </c>
      <c r="S825" s="266" t="str">
        <f>IFERROR(__xludf.DUMMYFUNCTION("IF(ISBLANK(A825),"""",IFERROR(IF(OR(Q825=""GPB"",Q825=""ZAR""),IF(Q825=Dashboard!$L$1,M825,(M825*GOOGLEFINANCE(""CURRENCY:""&amp;Q825&amp;""""&amp;Dashboard!$L$1&amp;""""))/100),IF(Q825=Dashboard!$L$1,M825,M825*GOOGLEFINANCE(""CURRENCY:""&amp;Q825&amp;""""&amp;Dashboard!$L$1&amp;"""")))"&amp;",M825))"),"")</f>
        <v/>
      </c>
      <c r="T825" s="264" t="str">
        <f t="shared" si="4"/>
        <v/>
      </c>
      <c r="U825" s="264" t="str">
        <f t="shared" si="5"/>
        <v/>
      </c>
      <c r="V825" s="264" t="str">
        <f t="shared" si="6"/>
        <v/>
      </c>
      <c r="W825" s="267" t="str">
        <f t="shared" si="8"/>
        <v/>
      </c>
      <c r="X825" s="264" t="str">
        <f t="shared" si="7"/>
        <v/>
      </c>
    </row>
    <row r="826" ht="15.75" customHeight="1">
      <c r="A826" s="258"/>
      <c r="B826" s="258"/>
      <c r="C826" s="269"/>
      <c r="D826" s="258"/>
      <c r="E826" s="258"/>
      <c r="F826" s="258"/>
      <c r="G826" s="258"/>
      <c r="H826" s="271"/>
      <c r="I826" s="258"/>
      <c r="J826" s="272"/>
      <c r="K826" s="260"/>
      <c r="L826" s="261"/>
      <c r="M826" s="262" t="str">
        <f t="shared" si="1"/>
        <v/>
      </c>
      <c r="N826" s="263" t="str">
        <f t="shared" si="2"/>
        <v/>
      </c>
      <c r="O826" s="264" t="str">
        <f t="shared" si="3"/>
        <v/>
      </c>
      <c r="P826" s="265" t="str">
        <f>IFERROR(__xludf.DUMMYFUNCTION("IF(ISBLANK(A826),"""",IFERROR(IF(H826=""Sell"",VLOOKUP(9^99,FILTER({ROW(P$2:P825),P$2:P825},D$2:D825=D826),2),(VLOOKUP(9^99,FILTER({ROW(P$2:P825),P$2:P825},D$2:D825=D826),2)*VLOOKUP(9^99,FILTER({ROW(O$2:O825),O$2:O825},D$2:D825=D826),2)-N826)/O826),J826))"),"")</f>
        <v/>
      </c>
      <c r="Q826" s="264" t="str">
        <f>IFERROR(__xludf.DUMMYFUNCTION("IFERROR(IF(F826=""Crypto"",B826,(IF(ISBLANK(D826),"""",IF(D826=""Cash"",B826,IF(GOOGLEFINANCE(D826,""CURRENCY"")=""GBX"",""GBP"",GOOGLEFINANCE(D826,""CURRENCY"")))))),B826)"),"")</f>
        <v/>
      </c>
      <c r="R826" s="263" t="str">
        <f>IFERROR(__xludf.DUMMYFUNCTION("IF(ISBLANK(A826),"""",IFERROR(IF(OR(Q826=""GPB"",Q826=""ZAR""),IF(Q826=Dashboard!$L$1,K826,(K826*GOOGLEFINANCE(""CURRENCY:""&amp;Q826&amp;""""&amp;Dashboard!$L$1&amp;""""))/100),IF(Q826=Dashboard!$L$1,K826,K826*GOOGLEFINANCE(""CURRENCY:""&amp;Q826&amp;""""&amp;Dashboard!$L$1&amp;"""")))"&amp;",K826))"),"")</f>
        <v/>
      </c>
      <c r="S826" s="266" t="str">
        <f>IFERROR(__xludf.DUMMYFUNCTION("IF(ISBLANK(A826),"""",IFERROR(IF(OR(Q826=""GPB"",Q826=""ZAR""),IF(Q826=Dashboard!$L$1,M826,(M826*GOOGLEFINANCE(""CURRENCY:""&amp;Q826&amp;""""&amp;Dashboard!$L$1&amp;""""))/100),IF(Q826=Dashboard!$L$1,M826,M826*GOOGLEFINANCE(""CURRENCY:""&amp;Q826&amp;""""&amp;Dashboard!$L$1&amp;"""")))"&amp;",M826))"),"")</f>
        <v/>
      </c>
      <c r="T826" s="264" t="str">
        <f t="shared" si="4"/>
        <v/>
      </c>
      <c r="U826" s="264" t="str">
        <f t="shared" si="5"/>
        <v/>
      </c>
      <c r="V826" s="264" t="str">
        <f t="shared" si="6"/>
        <v/>
      </c>
      <c r="W826" s="267" t="str">
        <f t="shared" si="8"/>
        <v/>
      </c>
      <c r="X826" s="264" t="str">
        <f t="shared" si="7"/>
        <v/>
      </c>
    </row>
    <row r="827" ht="15.75" customHeight="1">
      <c r="A827" s="258"/>
      <c r="B827" s="258"/>
      <c r="C827" s="269"/>
      <c r="D827" s="258"/>
      <c r="E827" s="258"/>
      <c r="F827" s="258"/>
      <c r="G827" s="258"/>
      <c r="H827" s="271"/>
      <c r="I827" s="258"/>
      <c r="J827" s="272"/>
      <c r="K827" s="260"/>
      <c r="L827" s="261"/>
      <c r="M827" s="262" t="str">
        <f t="shared" si="1"/>
        <v/>
      </c>
      <c r="N827" s="263" t="str">
        <f t="shared" si="2"/>
        <v/>
      </c>
      <c r="O827" s="264" t="str">
        <f t="shared" si="3"/>
        <v/>
      </c>
      <c r="P827" s="265" t="str">
        <f>IFERROR(__xludf.DUMMYFUNCTION("IF(ISBLANK(A827),"""",IFERROR(IF(H827=""Sell"",VLOOKUP(9^99,FILTER({ROW(P$2:P826),P$2:P826},D$2:D826=D827),2),(VLOOKUP(9^99,FILTER({ROW(P$2:P826),P$2:P826},D$2:D826=D827),2)*VLOOKUP(9^99,FILTER({ROW(O$2:O826),O$2:O826},D$2:D826=D827),2)-N827)/O827),J827))"),"")</f>
        <v/>
      </c>
      <c r="Q827" s="264" t="str">
        <f>IFERROR(__xludf.DUMMYFUNCTION("IFERROR(IF(F827=""Crypto"",B827,(IF(ISBLANK(D827),"""",IF(D827=""Cash"",B827,IF(GOOGLEFINANCE(D827,""CURRENCY"")=""GBX"",""GBP"",GOOGLEFINANCE(D827,""CURRENCY"")))))),B827)"),"")</f>
        <v/>
      </c>
      <c r="R827" s="263" t="str">
        <f>IFERROR(__xludf.DUMMYFUNCTION("IF(ISBLANK(A827),"""",IFERROR(IF(OR(Q827=""GPB"",Q827=""ZAR""),IF(Q827=Dashboard!$L$1,K827,(K827*GOOGLEFINANCE(""CURRENCY:""&amp;Q827&amp;""""&amp;Dashboard!$L$1&amp;""""))/100),IF(Q827=Dashboard!$L$1,K827,K827*GOOGLEFINANCE(""CURRENCY:""&amp;Q827&amp;""""&amp;Dashboard!$L$1&amp;"""")))"&amp;",K827))"),"")</f>
        <v/>
      </c>
      <c r="S827" s="266" t="str">
        <f>IFERROR(__xludf.DUMMYFUNCTION("IF(ISBLANK(A827),"""",IFERROR(IF(OR(Q827=""GPB"",Q827=""ZAR""),IF(Q827=Dashboard!$L$1,M827,(M827*GOOGLEFINANCE(""CURRENCY:""&amp;Q827&amp;""""&amp;Dashboard!$L$1&amp;""""))/100),IF(Q827=Dashboard!$L$1,M827,M827*GOOGLEFINANCE(""CURRENCY:""&amp;Q827&amp;""""&amp;Dashboard!$L$1&amp;"""")))"&amp;",M827))"),"")</f>
        <v/>
      </c>
      <c r="T827" s="264" t="str">
        <f t="shared" si="4"/>
        <v/>
      </c>
      <c r="U827" s="264" t="str">
        <f t="shared" si="5"/>
        <v/>
      </c>
      <c r="V827" s="264" t="str">
        <f t="shared" si="6"/>
        <v/>
      </c>
      <c r="W827" s="267" t="str">
        <f t="shared" si="8"/>
        <v/>
      </c>
      <c r="X827" s="264" t="str">
        <f t="shared" si="7"/>
        <v/>
      </c>
    </row>
    <row r="828" ht="15.75" customHeight="1">
      <c r="A828" s="258"/>
      <c r="B828" s="258"/>
      <c r="C828" s="269"/>
      <c r="D828" s="258"/>
      <c r="E828" s="258"/>
      <c r="F828" s="258"/>
      <c r="G828" s="258"/>
      <c r="H828" s="271"/>
      <c r="I828" s="258"/>
      <c r="J828" s="272"/>
      <c r="K828" s="260"/>
      <c r="L828" s="261"/>
      <c r="M828" s="262" t="str">
        <f t="shared" si="1"/>
        <v/>
      </c>
      <c r="N828" s="263" t="str">
        <f t="shared" si="2"/>
        <v/>
      </c>
      <c r="O828" s="264" t="str">
        <f t="shared" si="3"/>
        <v/>
      </c>
      <c r="P828" s="265" t="str">
        <f>IFERROR(__xludf.DUMMYFUNCTION("IF(ISBLANK(A828),"""",IFERROR(IF(H828=""Sell"",VLOOKUP(9^99,FILTER({ROW(P$2:P827),P$2:P827},D$2:D827=D828),2),(VLOOKUP(9^99,FILTER({ROW(P$2:P827),P$2:P827},D$2:D827=D828),2)*VLOOKUP(9^99,FILTER({ROW(O$2:O827),O$2:O827},D$2:D827=D828),2)-N828)/O828),J828))"),"")</f>
        <v/>
      </c>
      <c r="Q828" s="264" t="str">
        <f>IFERROR(__xludf.DUMMYFUNCTION("IFERROR(IF(F828=""Crypto"",B828,(IF(ISBLANK(D828),"""",IF(D828=""Cash"",B828,IF(GOOGLEFINANCE(D828,""CURRENCY"")=""GBX"",""GBP"",GOOGLEFINANCE(D828,""CURRENCY"")))))),B828)"),"")</f>
        <v/>
      </c>
      <c r="R828" s="263" t="str">
        <f>IFERROR(__xludf.DUMMYFUNCTION("IF(ISBLANK(A828),"""",IFERROR(IF(OR(Q828=""GPB"",Q828=""ZAR""),IF(Q828=Dashboard!$L$1,K828,(K828*GOOGLEFINANCE(""CURRENCY:""&amp;Q828&amp;""""&amp;Dashboard!$L$1&amp;""""))/100),IF(Q828=Dashboard!$L$1,K828,K828*GOOGLEFINANCE(""CURRENCY:""&amp;Q828&amp;""""&amp;Dashboard!$L$1&amp;"""")))"&amp;",K828))"),"")</f>
        <v/>
      </c>
      <c r="S828" s="266" t="str">
        <f>IFERROR(__xludf.DUMMYFUNCTION("IF(ISBLANK(A828),"""",IFERROR(IF(OR(Q828=""GPB"",Q828=""ZAR""),IF(Q828=Dashboard!$L$1,M828,(M828*GOOGLEFINANCE(""CURRENCY:""&amp;Q828&amp;""""&amp;Dashboard!$L$1&amp;""""))/100),IF(Q828=Dashboard!$L$1,M828,M828*GOOGLEFINANCE(""CURRENCY:""&amp;Q828&amp;""""&amp;Dashboard!$L$1&amp;"""")))"&amp;",M828))"),"")</f>
        <v/>
      </c>
      <c r="T828" s="264" t="str">
        <f t="shared" si="4"/>
        <v/>
      </c>
      <c r="U828" s="264" t="str">
        <f t="shared" si="5"/>
        <v/>
      </c>
      <c r="V828" s="264" t="str">
        <f t="shared" si="6"/>
        <v/>
      </c>
      <c r="W828" s="267" t="str">
        <f t="shared" si="8"/>
        <v/>
      </c>
      <c r="X828" s="264" t="str">
        <f t="shared" si="7"/>
        <v/>
      </c>
    </row>
    <row r="829" ht="15.75" customHeight="1">
      <c r="A829" s="258"/>
      <c r="B829" s="258"/>
      <c r="C829" s="269"/>
      <c r="D829" s="258"/>
      <c r="E829" s="258"/>
      <c r="F829" s="258"/>
      <c r="G829" s="258"/>
      <c r="H829" s="271"/>
      <c r="I829" s="258"/>
      <c r="J829" s="272"/>
      <c r="K829" s="260"/>
      <c r="L829" s="261"/>
      <c r="M829" s="262" t="str">
        <f t="shared" si="1"/>
        <v/>
      </c>
      <c r="N829" s="263" t="str">
        <f t="shared" si="2"/>
        <v/>
      </c>
      <c r="O829" s="264" t="str">
        <f t="shared" si="3"/>
        <v/>
      </c>
      <c r="P829" s="265" t="str">
        <f>IFERROR(__xludf.DUMMYFUNCTION("IF(ISBLANK(A829),"""",IFERROR(IF(H829=""Sell"",VLOOKUP(9^99,FILTER({ROW(P$2:P828),P$2:P828},D$2:D828=D829),2),(VLOOKUP(9^99,FILTER({ROW(P$2:P828),P$2:P828},D$2:D828=D829),2)*VLOOKUP(9^99,FILTER({ROW(O$2:O828),O$2:O828},D$2:D828=D829),2)-N829)/O829),J829))"),"")</f>
        <v/>
      </c>
      <c r="Q829" s="264" t="str">
        <f>IFERROR(__xludf.DUMMYFUNCTION("IFERROR(IF(F829=""Crypto"",B829,(IF(ISBLANK(D829),"""",IF(D829=""Cash"",B829,IF(GOOGLEFINANCE(D829,""CURRENCY"")=""GBX"",""GBP"",GOOGLEFINANCE(D829,""CURRENCY"")))))),B829)"),"")</f>
        <v/>
      </c>
      <c r="R829" s="263" t="str">
        <f>IFERROR(__xludf.DUMMYFUNCTION("IF(ISBLANK(A829),"""",IFERROR(IF(OR(Q829=""GPB"",Q829=""ZAR""),IF(Q829=Dashboard!$L$1,K829,(K829*GOOGLEFINANCE(""CURRENCY:""&amp;Q829&amp;""""&amp;Dashboard!$L$1&amp;""""))/100),IF(Q829=Dashboard!$L$1,K829,K829*GOOGLEFINANCE(""CURRENCY:""&amp;Q829&amp;""""&amp;Dashboard!$L$1&amp;"""")))"&amp;",K829))"),"")</f>
        <v/>
      </c>
      <c r="S829" s="266" t="str">
        <f>IFERROR(__xludf.DUMMYFUNCTION("IF(ISBLANK(A829),"""",IFERROR(IF(OR(Q829=""GPB"",Q829=""ZAR""),IF(Q829=Dashboard!$L$1,M829,(M829*GOOGLEFINANCE(""CURRENCY:""&amp;Q829&amp;""""&amp;Dashboard!$L$1&amp;""""))/100),IF(Q829=Dashboard!$L$1,M829,M829*GOOGLEFINANCE(""CURRENCY:""&amp;Q829&amp;""""&amp;Dashboard!$L$1&amp;"""")))"&amp;",M829))"),"")</f>
        <v/>
      </c>
      <c r="T829" s="264" t="str">
        <f t="shared" si="4"/>
        <v/>
      </c>
      <c r="U829" s="264" t="str">
        <f t="shared" si="5"/>
        <v/>
      </c>
      <c r="V829" s="264" t="str">
        <f t="shared" si="6"/>
        <v/>
      </c>
      <c r="W829" s="267" t="str">
        <f t="shared" si="8"/>
        <v/>
      </c>
      <c r="X829" s="264" t="str">
        <f t="shared" si="7"/>
        <v/>
      </c>
    </row>
    <row r="830" ht="15.75" customHeight="1">
      <c r="A830" s="258"/>
      <c r="B830" s="258"/>
      <c r="C830" s="269"/>
      <c r="D830" s="258"/>
      <c r="E830" s="258"/>
      <c r="F830" s="258"/>
      <c r="G830" s="258"/>
      <c r="H830" s="271"/>
      <c r="I830" s="258"/>
      <c r="J830" s="272"/>
      <c r="K830" s="260"/>
      <c r="L830" s="261"/>
      <c r="M830" s="262" t="str">
        <f t="shared" si="1"/>
        <v/>
      </c>
      <c r="N830" s="263" t="str">
        <f t="shared" si="2"/>
        <v/>
      </c>
      <c r="O830" s="264" t="str">
        <f t="shared" si="3"/>
        <v/>
      </c>
      <c r="P830" s="265" t="str">
        <f>IFERROR(__xludf.DUMMYFUNCTION("IF(ISBLANK(A830),"""",IFERROR(IF(H830=""Sell"",VLOOKUP(9^99,FILTER({ROW(P$2:P829),P$2:P829},D$2:D829=D830),2),(VLOOKUP(9^99,FILTER({ROW(P$2:P829),P$2:P829},D$2:D829=D830),2)*VLOOKUP(9^99,FILTER({ROW(O$2:O829),O$2:O829},D$2:D829=D830),2)-N830)/O830),J830))"),"")</f>
        <v/>
      </c>
      <c r="Q830" s="264" t="str">
        <f>IFERROR(__xludf.DUMMYFUNCTION("IFERROR(IF(F830=""Crypto"",B830,(IF(ISBLANK(D830),"""",IF(D830=""Cash"",B830,IF(GOOGLEFINANCE(D830,""CURRENCY"")=""GBX"",""GBP"",GOOGLEFINANCE(D830,""CURRENCY"")))))),B830)"),"")</f>
        <v/>
      </c>
      <c r="R830" s="263" t="str">
        <f>IFERROR(__xludf.DUMMYFUNCTION("IF(ISBLANK(A830),"""",IFERROR(IF(OR(Q830=""GPB"",Q830=""ZAR""),IF(Q830=Dashboard!$L$1,K830,(K830*GOOGLEFINANCE(""CURRENCY:""&amp;Q830&amp;""""&amp;Dashboard!$L$1&amp;""""))/100),IF(Q830=Dashboard!$L$1,K830,K830*GOOGLEFINANCE(""CURRENCY:""&amp;Q830&amp;""""&amp;Dashboard!$L$1&amp;"""")))"&amp;",K830))"),"")</f>
        <v/>
      </c>
      <c r="S830" s="266" t="str">
        <f>IFERROR(__xludf.DUMMYFUNCTION("IF(ISBLANK(A830),"""",IFERROR(IF(OR(Q830=""GPB"",Q830=""ZAR""),IF(Q830=Dashboard!$L$1,M830,(M830*GOOGLEFINANCE(""CURRENCY:""&amp;Q830&amp;""""&amp;Dashboard!$L$1&amp;""""))/100),IF(Q830=Dashboard!$L$1,M830,M830*GOOGLEFINANCE(""CURRENCY:""&amp;Q830&amp;""""&amp;Dashboard!$L$1&amp;"""")))"&amp;",M830))"),"")</f>
        <v/>
      </c>
      <c r="T830" s="264" t="str">
        <f t="shared" si="4"/>
        <v/>
      </c>
      <c r="U830" s="264" t="str">
        <f t="shared" si="5"/>
        <v/>
      </c>
      <c r="V830" s="264" t="str">
        <f t="shared" si="6"/>
        <v/>
      </c>
      <c r="W830" s="267" t="str">
        <f t="shared" si="8"/>
        <v/>
      </c>
      <c r="X830" s="264" t="str">
        <f t="shared" si="7"/>
        <v/>
      </c>
    </row>
    <row r="831" ht="15.75" customHeight="1">
      <c r="A831" s="258"/>
      <c r="B831" s="258"/>
      <c r="C831" s="269"/>
      <c r="D831" s="258"/>
      <c r="E831" s="258"/>
      <c r="F831" s="258"/>
      <c r="G831" s="258"/>
      <c r="H831" s="271"/>
      <c r="I831" s="258"/>
      <c r="J831" s="272"/>
      <c r="K831" s="260"/>
      <c r="L831" s="261"/>
      <c r="M831" s="262" t="str">
        <f t="shared" si="1"/>
        <v/>
      </c>
      <c r="N831" s="263" t="str">
        <f t="shared" si="2"/>
        <v/>
      </c>
      <c r="O831" s="264" t="str">
        <f t="shared" si="3"/>
        <v/>
      </c>
      <c r="P831" s="265" t="str">
        <f>IFERROR(__xludf.DUMMYFUNCTION("IF(ISBLANK(A831),"""",IFERROR(IF(H831=""Sell"",VLOOKUP(9^99,FILTER({ROW(P$2:P830),P$2:P830},D$2:D830=D831),2),(VLOOKUP(9^99,FILTER({ROW(P$2:P830),P$2:P830},D$2:D830=D831),2)*VLOOKUP(9^99,FILTER({ROW(O$2:O830),O$2:O830},D$2:D830=D831),2)-N831)/O831),J831))"),"")</f>
        <v/>
      </c>
      <c r="Q831" s="264" t="str">
        <f>IFERROR(__xludf.DUMMYFUNCTION("IFERROR(IF(F831=""Crypto"",B831,(IF(ISBLANK(D831),"""",IF(D831=""Cash"",B831,IF(GOOGLEFINANCE(D831,""CURRENCY"")=""GBX"",""GBP"",GOOGLEFINANCE(D831,""CURRENCY"")))))),B831)"),"")</f>
        <v/>
      </c>
      <c r="R831" s="263" t="str">
        <f>IFERROR(__xludf.DUMMYFUNCTION("IF(ISBLANK(A831),"""",IFERROR(IF(OR(Q831=""GPB"",Q831=""ZAR""),IF(Q831=Dashboard!$L$1,K831,(K831*GOOGLEFINANCE(""CURRENCY:""&amp;Q831&amp;""""&amp;Dashboard!$L$1&amp;""""))/100),IF(Q831=Dashboard!$L$1,K831,K831*GOOGLEFINANCE(""CURRENCY:""&amp;Q831&amp;""""&amp;Dashboard!$L$1&amp;"""")))"&amp;",K831))"),"")</f>
        <v/>
      </c>
      <c r="S831" s="266" t="str">
        <f>IFERROR(__xludf.DUMMYFUNCTION("IF(ISBLANK(A831),"""",IFERROR(IF(OR(Q831=""GPB"",Q831=""ZAR""),IF(Q831=Dashboard!$L$1,M831,(M831*GOOGLEFINANCE(""CURRENCY:""&amp;Q831&amp;""""&amp;Dashboard!$L$1&amp;""""))/100),IF(Q831=Dashboard!$L$1,M831,M831*GOOGLEFINANCE(""CURRENCY:""&amp;Q831&amp;""""&amp;Dashboard!$L$1&amp;"""")))"&amp;",M831))"),"")</f>
        <v/>
      </c>
      <c r="T831" s="264" t="str">
        <f t="shared" si="4"/>
        <v/>
      </c>
      <c r="U831" s="264" t="str">
        <f t="shared" si="5"/>
        <v/>
      </c>
      <c r="V831" s="264" t="str">
        <f t="shared" si="6"/>
        <v/>
      </c>
      <c r="W831" s="267" t="str">
        <f t="shared" si="8"/>
        <v/>
      </c>
      <c r="X831" s="264" t="str">
        <f t="shared" si="7"/>
        <v/>
      </c>
    </row>
    <row r="832" ht="15.75" customHeight="1">
      <c r="A832" s="258"/>
      <c r="B832" s="258"/>
      <c r="C832" s="269"/>
      <c r="D832" s="258"/>
      <c r="E832" s="258"/>
      <c r="F832" s="258"/>
      <c r="G832" s="258"/>
      <c r="H832" s="271"/>
      <c r="I832" s="258"/>
      <c r="J832" s="272"/>
      <c r="K832" s="260"/>
      <c r="L832" s="261"/>
      <c r="M832" s="262" t="str">
        <f t="shared" si="1"/>
        <v/>
      </c>
      <c r="N832" s="263" t="str">
        <f t="shared" si="2"/>
        <v/>
      </c>
      <c r="O832" s="264" t="str">
        <f t="shared" si="3"/>
        <v/>
      </c>
      <c r="P832" s="265" t="str">
        <f>IFERROR(__xludf.DUMMYFUNCTION("IF(ISBLANK(A832),"""",IFERROR(IF(H832=""Sell"",VLOOKUP(9^99,FILTER({ROW(P$2:P831),P$2:P831},D$2:D831=D832),2),(VLOOKUP(9^99,FILTER({ROW(P$2:P831),P$2:P831},D$2:D831=D832),2)*VLOOKUP(9^99,FILTER({ROW(O$2:O831),O$2:O831},D$2:D831=D832),2)-N832)/O832),J832))"),"")</f>
        <v/>
      </c>
      <c r="Q832" s="264" t="str">
        <f>IFERROR(__xludf.DUMMYFUNCTION("IFERROR(IF(F832=""Crypto"",B832,(IF(ISBLANK(D832),"""",IF(D832=""Cash"",B832,IF(GOOGLEFINANCE(D832,""CURRENCY"")=""GBX"",""GBP"",GOOGLEFINANCE(D832,""CURRENCY"")))))),B832)"),"")</f>
        <v/>
      </c>
      <c r="R832" s="263" t="str">
        <f>IFERROR(__xludf.DUMMYFUNCTION("IF(ISBLANK(A832),"""",IFERROR(IF(OR(Q832=""GPB"",Q832=""ZAR""),IF(Q832=Dashboard!$L$1,K832,(K832*GOOGLEFINANCE(""CURRENCY:""&amp;Q832&amp;""""&amp;Dashboard!$L$1&amp;""""))/100),IF(Q832=Dashboard!$L$1,K832,K832*GOOGLEFINANCE(""CURRENCY:""&amp;Q832&amp;""""&amp;Dashboard!$L$1&amp;"""")))"&amp;",K832))"),"")</f>
        <v/>
      </c>
      <c r="S832" s="266" t="str">
        <f>IFERROR(__xludf.DUMMYFUNCTION("IF(ISBLANK(A832),"""",IFERROR(IF(OR(Q832=""GPB"",Q832=""ZAR""),IF(Q832=Dashboard!$L$1,M832,(M832*GOOGLEFINANCE(""CURRENCY:""&amp;Q832&amp;""""&amp;Dashboard!$L$1&amp;""""))/100),IF(Q832=Dashboard!$L$1,M832,M832*GOOGLEFINANCE(""CURRENCY:""&amp;Q832&amp;""""&amp;Dashboard!$L$1&amp;"""")))"&amp;",M832))"),"")</f>
        <v/>
      </c>
      <c r="T832" s="264" t="str">
        <f t="shared" si="4"/>
        <v/>
      </c>
      <c r="U832" s="264" t="str">
        <f t="shared" si="5"/>
        <v/>
      </c>
      <c r="V832" s="264" t="str">
        <f t="shared" si="6"/>
        <v/>
      </c>
      <c r="W832" s="267" t="str">
        <f t="shared" si="8"/>
        <v/>
      </c>
      <c r="X832" s="264" t="str">
        <f t="shared" si="7"/>
        <v/>
      </c>
    </row>
    <row r="833" ht="15.75" customHeight="1">
      <c r="A833" s="258"/>
      <c r="B833" s="258"/>
      <c r="C833" s="269"/>
      <c r="D833" s="258"/>
      <c r="E833" s="258"/>
      <c r="F833" s="258"/>
      <c r="G833" s="258"/>
      <c r="H833" s="271"/>
      <c r="I833" s="258"/>
      <c r="J833" s="272"/>
      <c r="K833" s="260"/>
      <c r="L833" s="261"/>
      <c r="M833" s="262" t="str">
        <f t="shared" si="1"/>
        <v/>
      </c>
      <c r="N833" s="263" t="str">
        <f t="shared" si="2"/>
        <v/>
      </c>
      <c r="O833" s="264" t="str">
        <f t="shared" si="3"/>
        <v/>
      </c>
      <c r="P833" s="265" t="str">
        <f>IFERROR(__xludf.DUMMYFUNCTION("IF(ISBLANK(A833),"""",IFERROR(IF(H833=""Sell"",VLOOKUP(9^99,FILTER({ROW(P$2:P832),P$2:P832},D$2:D832=D833),2),(VLOOKUP(9^99,FILTER({ROW(P$2:P832),P$2:P832},D$2:D832=D833),2)*VLOOKUP(9^99,FILTER({ROW(O$2:O832),O$2:O832},D$2:D832=D833),2)-N833)/O833),J833))"),"")</f>
        <v/>
      </c>
      <c r="Q833" s="264" t="str">
        <f>IFERROR(__xludf.DUMMYFUNCTION("IFERROR(IF(F833=""Crypto"",B833,(IF(ISBLANK(D833),"""",IF(D833=""Cash"",B833,IF(GOOGLEFINANCE(D833,""CURRENCY"")=""GBX"",""GBP"",GOOGLEFINANCE(D833,""CURRENCY"")))))),B833)"),"")</f>
        <v/>
      </c>
      <c r="R833" s="263" t="str">
        <f>IFERROR(__xludf.DUMMYFUNCTION("IF(ISBLANK(A833),"""",IFERROR(IF(OR(Q833=""GPB"",Q833=""ZAR""),IF(Q833=Dashboard!$L$1,K833,(K833*GOOGLEFINANCE(""CURRENCY:""&amp;Q833&amp;""""&amp;Dashboard!$L$1&amp;""""))/100),IF(Q833=Dashboard!$L$1,K833,K833*GOOGLEFINANCE(""CURRENCY:""&amp;Q833&amp;""""&amp;Dashboard!$L$1&amp;"""")))"&amp;",K833))"),"")</f>
        <v/>
      </c>
      <c r="S833" s="266" t="str">
        <f>IFERROR(__xludf.DUMMYFUNCTION("IF(ISBLANK(A833),"""",IFERROR(IF(OR(Q833=""GPB"",Q833=""ZAR""),IF(Q833=Dashboard!$L$1,M833,(M833*GOOGLEFINANCE(""CURRENCY:""&amp;Q833&amp;""""&amp;Dashboard!$L$1&amp;""""))/100),IF(Q833=Dashboard!$L$1,M833,M833*GOOGLEFINANCE(""CURRENCY:""&amp;Q833&amp;""""&amp;Dashboard!$L$1&amp;"""")))"&amp;",M833))"),"")</f>
        <v/>
      </c>
      <c r="T833" s="264" t="str">
        <f t="shared" si="4"/>
        <v/>
      </c>
      <c r="U833" s="264" t="str">
        <f t="shared" si="5"/>
        <v/>
      </c>
      <c r="V833" s="264" t="str">
        <f t="shared" si="6"/>
        <v/>
      </c>
      <c r="W833" s="267" t="str">
        <f t="shared" si="8"/>
        <v/>
      </c>
      <c r="X833" s="264" t="str">
        <f t="shared" si="7"/>
        <v/>
      </c>
    </row>
    <row r="834" ht="15.75" customHeight="1">
      <c r="A834" s="258"/>
      <c r="B834" s="258"/>
      <c r="C834" s="269"/>
      <c r="D834" s="258"/>
      <c r="E834" s="258"/>
      <c r="F834" s="258"/>
      <c r="G834" s="258"/>
      <c r="H834" s="271"/>
      <c r="I834" s="258"/>
      <c r="J834" s="272"/>
      <c r="K834" s="260"/>
      <c r="L834" s="261"/>
      <c r="M834" s="262" t="str">
        <f t="shared" si="1"/>
        <v/>
      </c>
      <c r="N834" s="263" t="str">
        <f t="shared" si="2"/>
        <v/>
      </c>
      <c r="O834" s="264" t="str">
        <f t="shared" si="3"/>
        <v/>
      </c>
      <c r="P834" s="265" t="str">
        <f>IFERROR(__xludf.DUMMYFUNCTION("IF(ISBLANK(A834),"""",IFERROR(IF(H834=""Sell"",VLOOKUP(9^99,FILTER({ROW(P$2:P833),P$2:P833},D$2:D833=D834),2),(VLOOKUP(9^99,FILTER({ROW(P$2:P833),P$2:P833},D$2:D833=D834),2)*VLOOKUP(9^99,FILTER({ROW(O$2:O833),O$2:O833},D$2:D833=D834),2)-N834)/O834),J834))"),"")</f>
        <v/>
      </c>
      <c r="Q834" s="264" t="str">
        <f>IFERROR(__xludf.DUMMYFUNCTION("IFERROR(IF(F834=""Crypto"",B834,(IF(ISBLANK(D834),"""",IF(D834=""Cash"",B834,IF(GOOGLEFINANCE(D834,""CURRENCY"")=""GBX"",""GBP"",GOOGLEFINANCE(D834,""CURRENCY"")))))),B834)"),"")</f>
        <v/>
      </c>
      <c r="R834" s="263" t="str">
        <f>IFERROR(__xludf.DUMMYFUNCTION("IF(ISBLANK(A834),"""",IFERROR(IF(OR(Q834=""GPB"",Q834=""ZAR""),IF(Q834=Dashboard!$L$1,K834,(K834*GOOGLEFINANCE(""CURRENCY:""&amp;Q834&amp;""""&amp;Dashboard!$L$1&amp;""""))/100),IF(Q834=Dashboard!$L$1,K834,K834*GOOGLEFINANCE(""CURRENCY:""&amp;Q834&amp;""""&amp;Dashboard!$L$1&amp;"""")))"&amp;",K834))"),"")</f>
        <v/>
      </c>
      <c r="S834" s="266" t="str">
        <f>IFERROR(__xludf.DUMMYFUNCTION("IF(ISBLANK(A834),"""",IFERROR(IF(OR(Q834=""GPB"",Q834=""ZAR""),IF(Q834=Dashboard!$L$1,M834,(M834*GOOGLEFINANCE(""CURRENCY:""&amp;Q834&amp;""""&amp;Dashboard!$L$1&amp;""""))/100),IF(Q834=Dashboard!$L$1,M834,M834*GOOGLEFINANCE(""CURRENCY:""&amp;Q834&amp;""""&amp;Dashboard!$L$1&amp;"""")))"&amp;",M834))"),"")</f>
        <v/>
      </c>
      <c r="T834" s="264" t="str">
        <f t="shared" si="4"/>
        <v/>
      </c>
      <c r="U834" s="264" t="str">
        <f t="shared" si="5"/>
        <v/>
      </c>
      <c r="V834" s="264" t="str">
        <f t="shared" si="6"/>
        <v/>
      </c>
      <c r="W834" s="267" t="str">
        <f t="shared" si="8"/>
        <v/>
      </c>
      <c r="X834" s="264" t="str">
        <f t="shared" si="7"/>
        <v/>
      </c>
    </row>
    <row r="835" ht="15.75" customHeight="1">
      <c r="A835" s="258"/>
      <c r="B835" s="258"/>
      <c r="C835" s="269"/>
      <c r="D835" s="258"/>
      <c r="E835" s="258"/>
      <c r="F835" s="258"/>
      <c r="G835" s="258"/>
      <c r="H835" s="271"/>
      <c r="I835" s="258"/>
      <c r="J835" s="272"/>
      <c r="K835" s="260"/>
      <c r="L835" s="261"/>
      <c r="M835" s="262" t="str">
        <f t="shared" si="1"/>
        <v/>
      </c>
      <c r="N835" s="263" t="str">
        <f t="shared" si="2"/>
        <v/>
      </c>
      <c r="O835" s="264" t="str">
        <f t="shared" si="3"/>
        <v/>
      </c>
      <c r="P835" s="265" t="str">
        <f>IFERROR(__xludf.DUMMYFUNCTION("IF(ISBLANK(A835),"""",IFERROR(IF(H835=""Sell"",VLOOKUP(9^99,FILTER({ROW(P$2:P834),P$2:P834},D$2:D834=D835),2),(VLOOKUP(9^99,FILTER({ROW(P$2:P834),P$2:P834},D$2:D834=D835),2)*VLOOKUP(9^99,FILTER({ROW(O$2:O834),O$2:O834},D$2:D834=D835),2)-N835)/O835),J835))"),"")</f>
        <v/>
      </c>
      <c r="Q835" s="264" t="str">
        <f>IFERROR(__xludf.DUMMYFUNCTION("IFERROR(IF(F835=""Crypto"",B835,(IF(ISBLANK(D835),"""",IF(D835=""Cash"",B835,IF(GOOGLEFINANCE(D835,""CURRENCY"")=""GBX"",""GBP"",GOOGLEFINANCE(D835,""CURRENCY"")))))),B835)"),"")</f>
        <v/>
      </c>
      <c r="R835" s="263" t="str">
        <f>IFERROR(__xludf.DUMMYFUNCTION("IF(ISBLANK(A835),"""",IFERROR(IF(OR(Q835=""GPB"",Q835=""ZAR""),IF(Q835=Dashboard!$L$1,K835,(K835*GOOGLEFINANCE(""CURRENCY:""&amp;Q835&amp;""""&amp;Dashboard!$L$1&amp;""""))/100),IF(Q835=Dashboard!$L$1,K835,K835*GOOGLEFINANCE(""CURRENCY:""&amp;Q835&amp;""""&amp;Dashboard!$L$1&amp;"""")))"&amp;",K835))"),"")</f>
        <v/>
      </c>
      <c r="S835" s="266" t="str">
        <f>IFERROR(__xludf.DUMMYFUNCTION("IF(ISBLANK(A835),"""",IFERROR(IF(OR(Q835=""GPB"",Q835=""ZAR""),IF(Q835=Dashboard!$L$1,M835,(M835*GOOGLEFINANCE(""CURRENCY:""&amp;Q835&amp;""""&amp;Dashboard!$L$1&amp;""""))/100),IF(Q835=Dashboard!$L$1,M835,M835*GOOGLEFINANCE(""CURRENCY:""&amp;Q835&amp;""""&amp;Dashboard!$L$1&amp;"""")))"&amp;",M835))"),"")</f>
        <v/>
      </c>
      <c r="T835" s="264" t="str">
        <f t="shared" si="4"/>
        <v/>
      </c>
      <c r="U835" s="264" t="str">
        <f t="shared" si="5"/>
        <v/>
      </c>
      <c r="V835" s="264" t="str">
        <f t="shared" si="6"/>
        <v/>
      </c>
      <c r="W835" s="267" t="str">
        <f t="shared" si="8"/>
        <v/>
      </c>
      <c r="X835" s="264" t="str">
        <f t="shared" si="7"/>
        <v/>
      </c>
    </row>
    <row r="836" ht="15.75" customHeight="1">
      <c r="A836" s="258"/>
      <c r="B836" s="258"/>
      <c r="C836" s="269"/>
      <c r="D836" s="258"/>
      <c r="E836" s="258"/>
      <c r="F836" s="258"/>
      <c r="G836" s="258"/>
      <c r="H836" s="271"/>
      <c r="I836" s="258"/>
      <c r="J836" s="272"/>
      <c r="K836" s="260"/>
      <c r="L836" s="261"/>
      <c r="M836" s="262" t="str">
        <f t="shared" si="1"/>
        <v/>
      </c>
      <c r="N836" s="263" t="str">
        <f t="shared" si="2"/>
        <v/>
      </c>
      <c r="O836" s="264" t="str">
        <f t="shared" si="3"/>
        <v/>
      </c>
      <c r="P836" s="265" t="str">
        <f>IFERROR(__xludf.DUMMYFUNCTION("IF(ISBLANK(A836),"""",IFERROR(IF(H836=""Sell"",VLOOKUP(9^99,FILTER({ROW(P$2:P835),P$2:P835},D$2:D835=D836),2),(VLOOKUP(9^99,FILTER({ROW(P$2:P835),P$2:P835},D$2:D835=D836),2)*VLOOKUP(9^99,FILTER({ROW(O$2:O835),O$2:O835},D$2:D835=D836),2)-N836)/O836),J836))"),"")</f>
        <v/>
      </c>
      <c r="Q836" s="264" t="str">
        <f>IFERROR(__xludf.DUMMYFUNCTION("IFERROR(IF(F836=""Crypto"",B836,(IF(ISBLANK(D836),"""",IF(D836=""Cash"",B836,IF(GOOGLEFINANCE(D836,""CURRENCY"")=""GBX"",""GBP"",GOOGLEFINANCE(D836,""CURRENCY"")))))),B836)"),"")</f>
        <v/>
      </c>
      <c r="R836" s="263" t="str">
        <f>IFERROR(__xludf.DUMMYFUNCTION("IF(ISBLANK(A836),"""",IFERROR(IF(OR(Q836=""GPB"",Q836=""ZAR""),IF(Q836=Dashboard!$L$1,K836,(K836*GOOGLEFINANCE(""CURRENCY:""&amp;Q836&amp;""""&amp;Dashboard!$L$1&amp;""""))/100),IF(Q836=Dashboard!$L$1,K836,K836*GOOGLEFINANCE(""CURRENCY:""&amp;Q836&amp;""""&amp;Dashboard!$L$1&amp;"""")))"&amp;",K836))"),"")</f>
        <v/>
      </c>
      <c r="S836" s="266" t="str">
        <f>IFERROR(__xludf.DUMMYFUNCTION("IF(ISBLANK(A836),"""",IFERROR(IF(OR(Q836=""GPB"",Q836=""ZAR""),IF(Q836=Dashboard!$L$1,M836,(M836*GOOGLEFINANCE(""CURRENCY:""&amp;Q836&amp;""""&amp;Dashboard!$L$1&amp;""""))/100),IF(Q836=Dashboard!$L$1,M836,M836*GOOGLEFINANCE(""CURRENCY:""&amp;Q836&amp;""""&amp;Dashboard!$L$1&amp;"""")))"&amp;",M836))"),"")</f>
        <v/>
      </c>
      <c r="T836" s="264" t="str">
        <f t="shared" si="4"/>
        <v/>
      </c>
      <c r="U836" s="264" t="str">
        <f t="shared" si="5"/>
        <v/>
      </c>
      <c r="V836" s="264" t="str">
        <f t="shared" si="6"/>
        <v/>
      </c>
      <c r="W836" s="267" t="str">
        <f t="shared" si="8"/>
        <v/>
      </c>
      <c r="X836" s="264" t="str">
        <f t="shared" si="7"/>
        <v/>
      </c>
    </row>
    <row r="837" ht="15.75" customHeight="1">
      <c r="A837" s="258"/>
      <c r="B837" s="258"/>
      <c r="C837" s="269"/>
      <c r="D837" s="258"/>
      <c r="E837" s="258"/>
      <c r="F837" s="258"/>
      <c r="G837" s="258"/>
      <c r="H837" s="271"/>
      <c r="I837" s="258"/>
      <c r="J837" s="272"/>
      <c r="K837" s="260"/>
      <c r="L837" s="261"/>
      <c r="M837" s="262" t="str">
        <f t="shared" si="1"/>
        <v/>
      </c>
      <c r="N837" s="263" t="str">
        <f t="shared" si="2"/>
        <v/>
      </c>
      <c r="O837" s="264" t="str">
        <f t="shared" si="3"/>
        <v/>
      </c>
      <c r="P837" s="265" t="str">
        <f>IFERROR(__xludf.DUMMYFUNCTION("IF(ISBLANK(A837),"""",IFERROR(IF(H837=""Sell"",VLOOKUP(9^99,FILTER({ROW(P$2:P836),P$2:P836},D$2:D836=D837),2),(VLOOKUP(9^99,FILTER({ROW(P$2:P836),P$2:P836},D$2:D836=D837),2)*VLOOKUP(9^99,FILTER({ROW(O$2:O836),O$2:O836},D$2:D836=D837),2)-N837)/O837),J837))"),"")</f>
        <v/>
      </c>
      <c r="Q837" s="264" t="str">
        <f>IFERROR(__xludf.DUMMYFUNCTION("IFERROR(IF(F837=""Crypto"",B837,(IF(ISBLANK(D837),"""",IF(D837=""Cash"",B837,IF(GOOGLEFINANCE(D837,""CURRENCY"")=""GBX"",""GBP"",GOOGLEFINANCE(D837,""CURRENCY"")))))),B837)"),"")</f>
        <v/>
      </c>
      <c r="R837" s="263" t="str">
        <f>IFERROR(__xludf.DUMMYFUNCTION("IF(ISBLANK(A837),"""",IFERROR(IF(OR(Q837=""GPB"",Q837=""ZAR""),IF(Q837=Dashboard!$L$1,K837,(K837*GOOGLEFINANCE(""CURRENCY:""&amp;Q837&amp;""""&amp;Dashboard!$L$1&amp;""""))/100),IF(Q837=Dashboard!$L$1,K837,K837*GOOGLEFINANCE(""CURRENCY:""&amp;Q837&amp;""""&amp;Dashboard!$L$1&amp;"""")))"&amp;",K837))"),"")</f>
        <v/>
      </c>
      <c r="S837" s="266" t="str">
        <f>IFERROR(__xludf.DUMMYFUNCTION("IF(ISBLANK(A837),"""",IFERROR(IF(OR(Q837=""GPB"",Q837=""ZAR""),IF(Q837=Dashboard!$L$1,M837,(M837*GOOGLEFINANCE(""CURRENCY:""&amp;Q837&amp;""""&amp;Dashboard!$L$1&amp;""""))/100),IF(Q837=Dashboard!$L$1,M837,M837*GOOGLEFINANCE(""CURRENCY:""&amp;Q837&amp;""""&amp;Dashboard!$L$1&amp;"""")))"&amp;",M837))"),"")</f>
        <v/>
      </c>
      <c r="T837" s="264" t="str">
        <f t="shared" si="4"/>
        <v/>
      </c>
      <c r="U837" s="264" t="str">
        <f t="shared" si="5"/>
        <v/>
      </c>
      <c r="V837" s="264" t="str">
        <f t="shared" si="6"/>
        <v/>
      </c>
      <c r="W837" s="267" t="str">
        <f t="shared" si="8"/>
        <v/>
      </c>
      <c r="X837" s="264" t="str">
        <f t="shared" si="7"/>
        <v/>
      </c>
    </row>
    <row r="838" ht="15.75" customHeight="1">
      <c r="A838" s="258"/>
      <c r="B838" s="258"/>
      <c r="C838" s="269"/>
      <c r="D838" s="258"/>
      <c r="E838" s="258"/>
      <c r="F838" s="258"/>
      <c r="G838" s="258"/>
      <c r="H838" s="271"/>
      <c r="I838" s="258"/>
      <c r="J838" s="272"/>
      <c r="K838" s="260"/>
      <c r="L838" s="261"/>
      <c r="M838" s="262" t="str">
        <f t="shared" si="1"/>
        <v/>
      </c>
      <c r="N838" s="263" t="str">
        <f t="shared" si="2"/>
        <v/>
      </c>
      <c r="O838" s="264" t="str">
        <f t="shared" si="3"/>
        <v/>
      </c>
      <c r="P838" s="265" t="str">
        <f>IFERROR(__xludf.DUMMYFUNCTION("IF(ISBLANK(A838),"""",IFERROR(IF(H838=""Sell"",VLOOKUP(9^99,FILTER({ROW(P$2:P837),P$2:P837},D$2:D837=D838),2),(VLOOKUP(9^99,FILTER({ROW(P$2:P837),P$2:P837},D$2:D837=D838),2)*VLOOKUP(9^99,FILTER({ROW(O$2:O837),O$2:O837},D$2:D837=D838),2)-N838)/O838),J838))"),"")</f>
        <v/>
      </c>
      <c r="Q838" s="264" t="str">
        <f>IFERROR(__xludf.DUMMYFUNCTION("IFERROR(IF(F838=""Crypto"",B838,(IF(ISBLANK(D838),"""",IF(D838=""Cash"",B838,IF(GOOGLEFINANCE(D838,""CURRENCY"")=""GBX"",""GBP"",GOOGLEFINANCE(D838,""CURRENCY"")))))),B838)"),"")</f>
        <v/>
      </c>
      <c r="R838" s="263" t="str">
        <f>IFERROR(__xludf.DUMMYFUNCTION("IF(ISBLANK(A838),"""",IFERROR(IF(OR(Q838=""GPB"",Q838=""ZAR""),IF(Q838=Dashboard!$L$1,K838,(K838*GOOGLEFINANCE(""CURRENCY:""&amp;Q838&amp;""""&amp;Dashboard!$L$1&amp;""""))/100),IF(Q838=Dashboard!$L$1,K838,K838*GOOGLEFINANCE(""CURRENCY:""&amp;Q838&amp;""""&amp;Dashboard!$L$1&amp;"""")))"&amp;",K838))"),"")</f>
        <v/>
      </c>
      <c r="S838" s="266" t="str">
        <f>IFERROR(__xludf.DUMMYFUNCTION("IF(ISBLANK(A838),"""",IFERROR(IF(OR(Q838=""GPB"",Q838=""ZAR""),IF(Q838=Dashboard!$L$1,M838,(M838*GOOGLEFINANCE(""CURRENCY:""&amp;Q838&amp;""""&amp;Dashboard!$L$1&amp;""""))/100),IF(Q838=Dashboard!$L$1,M838,M838*GOOGLEFINANCE(""CURRENCY:""&amp;Q838&amp;""""&amp;Dashboard!$L$1&amp;"""")))"&amp;",M838))"),"")</f>
        <v/>
      </c>
      <c r="T838" s="264" t="str">
        <f t="shared" si="4"/>
        <v/>
      </c>
      <c r="U838" s="264" t="str">
        <f t="shared" si="5"/>
        <v/>
      </c>
      <c r="V838" s="264" t="str">
        <f t="shared" si="6"/>
        <v/>
      </c>
      <c r="W838" s="267" t="str">
        <f t="shared" si="8"/>
        <v/>
      </c>
      <c r="X838" s="264" t="str">
        <f t="shared" si="7"/>
        <v/>
      </c>
    </row>
    <row r="839" ht="15.75" customHeight="1">
      <c r="A839" s="258"/>
      <c r="B839" s="258"/>
      <c r="C839" s="269"/>
      <c r="D839" s="258"/>
      <c r="E839" s="258"/>
      <c r="F839" s="258"/>
      <c r="G839" s="258"/>
      <c r="H839" s="271"/>
      <c r="I839" s="258"/>
      <c r="J839" s="272"/>
      <c r="K839" s="260"/>
      <c r="L839" s="261"/>
      <c r="M839" s="262" t="str">
        <f t="shared" si="1"/>
        <v/>
      </c>
      <c r="N839" s="263" t="str">
        <f t="shared" si="2"/>
        <v/>
      </c>
      <c r="O839" s="264" t="str">
        <f t="shared" si="3"/>
        <v/>
      </c>
      <c r="P839" s="265" t="str">
        <f>IFERROR(__xludf.DUMMYFUNCTION("IF(ISBLANK(A839),"""",IFERROR(IF(H839=""Sell"",VLOOKUP(9^99,FILTER({ROW(P$2:P838),P$2:P838},D$2:D838=D839),2),(VLOOKUP(9^99,FILTER({ROW(P$2:P838),P$2:P838},D$2:D838=D839),2)*VLOOKUP(9^99,FILTER({ROW(O$2:O838),O$2:O838},D$2:D838=D839),2)-N839)/O839),J839))"),"")</f>
        <v/>
      </c>
      <c r="Q839" s="264" t="str">
        <f>IFERROR(__xludf.DUMMYFUNCTION("IFERROR(IF(F839=""Crypto"",B839,(IF(ISBLANK(D839),"""",IF(D839=""Cash"",B839,IF(GOOGLEFINANCE(D839,""CURRENCY"")=""GBX"",""GBP"",GOOGLEFINANCE(D839,""CURRENCY"")))))),B839)"),"")</f>
        <v/>
      </c>
      <c r="R839" s="263" t="str">
        <f>IFERROR(__xludf.DUMMYFUNCTION("IF(ISBLANK(A839),"""",IFERROR(IF(OR(Q839=""GPB"",Q839=""ZAR""),IF(Q839=Dashboard!$L$1,K839,(K839*GOOGLEFINANCE(""CURRENCY:""&amp;Q839&amp;""""&amp;Dashboard!$L$1&amp;""""))/100),IF(Q839=Dashboard!$L$1,K839,K839*GOOGLEFINANCE(""CURRENCY:""&amp;Q839&amp;""""&amp;Dashboard!$L$1&amp;"""")))"&amp;",K839))"),"")</f>
        <v/>
      </c>
      <c r="S839" s="266" t="str">
        <f>IFERROR(__xludf.DUMMYFUNCTION("IF(ISBLANK(A839),"""",IFERROR(IF(OR(Q839=""GPB"",Q839=""ZAR""),IF(Q839=Dashboard!$L$1,M839,(M839*GOOGLEFINANCE(""CURRENCY:""&amp;Q839&amp;""""&amp;Dashboard!$L$1&amp;""""))/100),IF(Q839=Dashboard!$L$1,M839,M839*GOOGLEFINANCE(""CURRENCY:""&amp;Q839&amp;""""&amp;Dashboard!$L$1&amp;"""")))"&amp;",M839))"),"")</f>
        <v/>
      </c>
      <c r="T839" s="264" t="str">
        <f t="shared" si="4"/>
        <v/>
      </c>
      <c r="U839" s="264" t="str">
        <f t="shared" si="5"/>
        <v/>
      </c>
      <c r="V839" s="264" t="str">
        <f t="shared" si="6"/>
        <v/>
      </c>
      <c r="W839" s="267" t="str">
        <f t="shared" si="8"/>
        <v/>
      </c>
      <c r="X839" s="264" t="str">
        <f t="shared" si="7"/>
        <v/>
      </c>
    </row>
    <row r="840" ht="15.75" customHeight="1">
      <c r="A840" s="258"/>
      <c r="B840" s="258"/>
      <c r="C840" s="269"/>
      <c r="D840" s="258"/>
      <c r="E840" s="258"/>
      <c r="F840" s="258"/>
      <c r="G840" s="258"/>
      <c r="H840" s="271"/>
      <c r="I840" s="258"/>
      <c r="J840" s="272"/>
      <c r="K840" s="260"/>
      <c r="L840" s="261"/>
      <c r="M840" s="262" t="str">
        <f t="shared" si="1"/>
        <v/>
      </c>
      <c r="N840" s="263" t="str">
        <f t="shared" si="2"/>
        <v/>
      </c>
      <c r="O840" s="264" t="str">
        <f t="shared" si="3"/>
        <v/>
      </c>
      <c r="P840" s="265" t="str">
        <f>IFERROR(__xludf.DUMMYFUNCTION("IF(ISBLANK(A840),"""",IFERROR(IF(H840=""Sell"",VLOOKUP(9^99,FILTER({ROW(P$2:P839),P$2:P839},D$2:D839=D840),2),(VLOOKUP(9^99,FILTER({ROW(P$2:P839),P$2:P839},D$2:D839=D840),2)*VLOOKUP(9^99,FILTER({ROW(O$2:O839),O$2:O839},D$2:D839=D840),2)-N840)/O840),J840))"),"")</f>
        <v/>
      </c>
      <c r="Q840" s="264" t="str">
        <f>IFERROR(__xludf.DUMMYFUNCTION("IFERROR(IF(F840=""Crypto"",B840,(IF(ISBLANK(D840),"""",IF(D840=""Cash"",B840,IF(GOOGLEFINANCE(D840,""CURRENCY"")=""GBX"",""GBP"",GOOGLEFINANCE(D840,""CURRENCY"")))))),B840)"),"")</f>
        <v/>
      </c>
      <c r="R840" s="263" t="str">
        <f>IFERROR(__xludf.DUMMYFUNCTION("IF(ISBLANK(A840),"""",IFERROR(IF(OR(Q840=""GPB"",Q840=""ZAR""),IF(Q840=Dashboard!$L$1,K840,(K840*GOOGLEFINANCE(""CURRENCY:""&amp;Q840&amp;""""&amp;Dashboard!$L$1&amp;""""))/100),IF(Q840=Dashboard!$L$1,K840,K840*GOOGLEFINANCE(""CURRENCY:""&amp;Q840&amp;""""&amp;Dashboard!$L$1&amp;"""")))"&amp;",K840))"),"")</f>
        <v/>
      </c>
      <c r="S840" s="266" t="str">
        <f>IFERROR(__xludf.DUMMYFUNCTION("IF(ISBLANK(A840),"""",IFERROR(IF(OR(Q840=""GPB"",Q840=""ZAR""),IF(Q840=Dashboard!$L$1,M840,(M840*GOOGLEFINANCE(""CURRENCY:""&amp;Q840&amp;""""&amp;Dashboard!$L$1&amp;""""))/100),IF(Q840=Dashboard!$L$1,M840,M840*GOOGLEFINANCE(""CURRENCY:""&amp;Q840&amp;""""&amp;Dashboard!$L$1&amp;"""")))"&amp;",M840))"),"")</f>
        <v/>
      </c>
      <c r="T840" s="264" t="str">
        <f t="shared" si="4"/>
        <v/>
      </c>
      <c r="U840" s="264" t="str">
        <f t="shared" si="5"/>
        <v/>
      </c>
      <c r="V840" s="264" t="str">
        <f t="shared" si="6"/>
        <v/>
      </c>
      <c r="W840" s="267" t="str">
        <f t="shared" si="8"/>
        <v/>
      </c>
      <c r="X840" s="264" t="str">
        <f t="shared" si="7"/>
        <v/>
      </c>
    </row>
    <row r="841" ht="15.75" customHeight="1">
      <c r="A841" s="258"/>
      <c r="B841" s="258"/>
      <c r="C841" s="269"/>
      <c r="D841" s="258"/>
      <c r="E841" s="258"/>
      <c r="F841" s="258"/>
      <c r="G841" s="258"/>
      <c r="H841" s="271"/>
      <c r="I841" s="258"/>
      <c r="J841" s="272"/>
      <c r="K841" s="260"/>
      <c r="L841" s="261"/>
      <c r="M841" s="262" t="str">
        <f t="shared" si="1"/>
        <v/>
      </c>
      <c r="N841" s="263" t="str">
        <f t="shared" si="2"/>
        <v/>
      </c>
      <c r="O841" s="264" t="str">
        <f t="shared" si="3"/>
        <v/>
      </c>
      <c r="P841" s="265" t="str">
        <f>IFERROR(__xludf.DUMMYFUNCTION("IF(ISBLANK(A841),"""",IFERROR(IF(H841=""Sell"",VLOOKUP(9^99,FILTER({ROW(P$2:P840),P$2:P840},D$2:D840=D841),2),(VLOOKUP(9^99,FILTER({ROW(P$2:P840),P$2:P840},D$2:D840=D841),2)*VLOOKUP(9^99,FILTER({ROW(O$2:O840),O$2:O840},D$2:D840=D841),2)-N841)/O841),J841))"),"")</f>
        <v/>
      </c>
      <c r="Q841" s="264" t="str">
        <f>IFERROR(__xludf.DUMMYFUNCTION("IFERROR(IF(F841=""Crypto"",B841,(IF(ISBLANK(D841),"""",IF(D841=""Cash"",B841,IF(GOOGLEFINANCE(D841,""CURRENCY"")=""GBX"",""GBP"",GOOGLEFINANCE(D841,""CURRENCY"")))))),B841)"),"")</f>
        <v/>
      </c>
      <c r="R841" s="263" t="str">
        <f>IFERROR(__xludf.DUMMYFUNCTION("IF(ISBLANK(A841),"""",IFERROR(IF(OR(Q841=""GPB"",Q841=""ZAR""),IF(Q841=Dashboard!$L$1,K841,(K841*GOOGLEFINANCE(""CURRENCY:""&amp;Q841&amp;""""&amp;Dashboard!$L$1&amp;""""))/100),IF(Q841=Dashboard!$L$1,K841,K841*GOOGLEFINANCE(""CURRENCY:""&amp;Q841&amp;""""&amp;Dashboard!$L$1&amp;"""")))"&amp;",K841))"),"")</f>
        <v/>
      </c>
      <c r="S841" s="266" t="str">
        <f>IFERROR(__xludf.DUMMYFUNCTION("IF(ISBLANK(A841),"""",IFERROR(IF(OR(Q841=""GPB"",Q841=""ZAR""),IF(Q841=Dashboard!$L$1,M841,(M841*GOOGLEFINANCE(""CURRENCY:""&amp;Q841&amp;""""&amp;Dashboard!$L$1&amp;""""))/100),IF(Q841=Dashboard!$L$1,M841,M841*GOOGLEFINANCE(""CURRENCY:""&amp;Q841&amp;""""&amp;Dashboard!$L$1&amp;"""")))"&amp;",M841))"),"")</f>
        <v/>
      </c>
      <c r="T841" s="264" t="str">
        <f t="shared" si="4"/>
        <v/>
      </c>
      <c r="U841" s="264" t="str">
        <f t="shared" si="5"/>
        <v/>
      </c>
      <c r="V841" s="264" t="str">
        <f t="shared" si="6"/>
        <v/>
      </c>
      <c r="W841" s="267" t="str">
        <f t="shared" si="8"/>
        <v/>
      </c>
      <c r="X841" s="264" t="str">
        <f t="shared" si="7"/>
        <v/>
      </c>
    </row>
    <row r="842" ht="15.75" customHeight="1">
      <c r="A842" s="258"/>
      <c r="B842" s="258"/>
      <c r="C842" s="269"/>
      <c r="D842" s="258"/>
      <c r="E842" s="258"/>
      <c r="F842" s="258"/>
      <c r="G842" s="258"/>
      <c r="H842" s="271"/>
      <c r="I842" s="258"/>
      <c r="J842" s="272"/>
      <c r="K842" s="260"/>
      <c r="L842" s="261"/>
      <c r="M842" s="262" t="str">
        <f t="shared" si="1"/>
        <v/>
      </c>
      <c r="N842" s="263" t="str">
        <f t="shared" si="2"/>
        <v/>
      </c>
      <c r="O842" s="264" t="str">
        <f t="shared" si="3"/>
        <v/>
      </c>
      <c r="P842" s="265" t="str">
        <f>IFERROR(__xludf.DUMMYFUNCTION("IF(ISBLANK(A842),"""",IFERROR(IF(H842=""Sell"",VLOOKUP(9^99,FILTER({ROW(P$2:P841),P$2:P841},D$2:D841=D842),2),(VLOOKUP(9^99,FILTER({ROW(P$2:P841),P$2:P841},D$2:D841=D842),2)*VLOOKUP(9^99,FILTER({ROW(O$2:O841),O$2:O841},D$2:D841=D842),2)-N842)/O842),J842))"),"")</f>
        <v/>
      </c>
      <c r="Q842" s="264" t="str">
        <f>IFERROR(__xludf.DUMMYFUNCTION("IFERROR(IF(F842=""Crypto"",B842,(IF(ISBLANK(D842),"""",IF(D842=""Cash"",B842,IF(GOOGLEFINANCE(D842,""CURRENCY"")=""GBX"",""GBP"",GOOGLEFINANCE(D842,""CURRENCY"")))))),B842)"),"")</f>
        <v/>
      </c>
      <c r="R842" s="263" t="str">
        <f>IFERROR(__xludf.DUMMYFUNCTION("IF(ISBLANK(A842),"""",IFERROR(IF(OR(Q842=""GPB"",Q842=""ZAR""),IF(Q842=Dashboard!$L$1,K842,(K842*GOOGLEFINANCE(""CURRENCY:""&amp;Q842&amp;""""&amp;Dashboard!$L$1&amp;""""))/100),IF(Q842=Dashboard!$L$1,K842,K842*GOOGLEFINANCE(""CURRENCY:""&amp;Q842&amp;""""&amp;Dashboard!$L$1&amp;"""")))"&amp;",K842))"),"")</f>
        <v/>
      </c>
      <c r="S842" s="266" t="str">
        <f>IFERROR(__xludf.DUMMYFUNCTION("IF(ISBLANK(A842),"""",IFERROR(IF(OR(Q842=""GPB"",Q842=""ZAR""),IF(Q842=Dashboard!$L$1,M842,(M842*GOOGLEFINANCE(""CURRENCY:""&amp;Q842&amp;""""&amp;Dashboard!$L$1&amp;""""))/100),IF(Q842=Dashboard!$L$1,M842,M842*GOOGLEFINANCE(""CURRENCY:""&amp;Q842&amp;""""&amp;Dashboard!$L$1&amp;"""")))"&amp;",M842))"),"")</f>
        <v/>
      </c>
      <c r="T842" s="264" t="str">
        <f t="shared" si="4"/>
        <v/>
      </c>
      <c r="U842" s="264" t="str">
        <f t="shared" si="5"/>
        <v/>
      </c>
      <c r="V842" s="264" t="str">
        <f t="shared" si="6"/>
        <v/>
      </c>
      <c r="W842" s="267" t="str">
        <f t="shared" si="8"/>
        <v/>
      </c>
      <c r="X842" s="264" t="str">
        <f t="shared" si="7"/>
        <v/>
      </c>
    </row>
    <row r="843" ht="15.75" customHeight="1">
      <c r="A843" s="258"/>
      <c r="B843" s="258"/>
      <c r="C843" s="269"/>
      <c r="D843" s="258"/>
      <c r="E843" s="258"/>
      <c r="F843" s="258"/>
      <c r="G843" s="258"/>
      <c r="H843" s="271"/>
      <c r="I843" s="258"/>
      <c r="J843" s="272"/>
      <c r="K843" s="260"/>
      <c r="L843" s="261"/>
      <c r="M843" s="262" t="str">
        <f t="shared" si="1"/>
        <v/>
      </c>
      <c r="N843" s="263" t="str">
        <f t="shared" si="2"/>
        <v/>
      </c>
      <c r="O843" s="264" t="str">
        <f t="shared" si="3"/>
        <v/>
      </c>
      <c r="P843" s="265" t="str">
        <f>IFERROR(__xludf.DUMMYFUNCTION("IF(ISBLANK(A843),"""",IFERROR(IF(H843=""Sell"",VLOOKUP(9^99,FILTER({ROW(P$2:P842),P$2:P842},D$2:D842=D843),2),(VLOOKUP(9^99,FILTER({ROW(P$2:P842),P$2:P842},D$2:D842=D843),2)*VLOOKUP(9^99,FILTER({ROW(O$2:O842),O$2:O842},D$2:D842=D843),2)-N843)/O843),J843))"),"")</f>
        <v/>
      </c>
      <c r="Q843" s="264" t="str">
        <f>IFERROR(__xludf.DUMMYFUNCTION("IFERROR(IF(F843=""Crypto"",B843,(IF(ISBLANK(D843),"""",IF(D843=""Cash"",B843,IF(GOOGLEFINANCE(D843,""CURRENCY"")=""GBX"",""GBP"",GOOGLEFINANCE(D843,""CURRENCY"")))))),B843)"),"")</f>
        <v/>
      </c>
      <c r="R843" s="263" t="str">
        <f>IFERROR(__xludf.DUMMYFUNCTION("IF(ISBLANK(A843),"""",IFERROR(IF(OR(Q843=""GPB"",Q843=""ZAR""),IF(Q843=Dashboard!$L$1,K843,(K843*GOOGLEFINANCE(""CURRENCY:""&amp;Q843&amp;""""&amp;Dashboard!$L$1&amp;""""))/100),IF(Q843=Dashboard!$L$1,K843,K843*GOOGLEFINANCE(""CURRENCY:""&amp;Q843&amp;""""&amp;Dashboard!$L$1&amp;"""")))"&amp;",K843))"),"")</f>
        <v/>
      </c>
      <c r="S843" s="266" t="str">
        <f>IFERROR(__xludf.DUMMYFUNCTION("IF(ISBLANK(A843),"""",IFERROR(IF(OR(Q843=""GPB"",Q843=""ZAR""),IF(Q843=Dashboard!$L$1,M843,(M843*GOOGLEFINANCE(""CURRENCY:""&amp;Q843&amp;""""&amp;Dashboard!$L$1&amp;""""))/100),IF(Q843=Dashboard!$L$1,M843,M843*GOOGLEFINANCE(""CURRENCY:""&amp;Q843&amp;""""&amp;Dashboard!$L$1&amp;"""")))"&amp;",M843))"),"")</f>
        <v/>
      </c>
      <c r="T843" s="264" t="str">
        <f t="shared" si="4"/>
        <v/>
      </c>
      <c r="U843" s="264" t="str">
        <f t="shared" si="5"/>
        <v/>
      </c>
      <c r="V843" s="264" t="str">
        <f t="shared" si="6"/>
        <v/>
      </c>
      <c r="W843" s="267" t="str">
        <f t="shared" si="8"/>
        <v/>
      </c>
      <c r="X843" s="264" t="str">
        <f t="shared" si="7"/>
        <v/>
      </c>
    </row>
    <row r="844" ht="15.75" customHeight="1">
      <c r="A844" s="258"/>
      <c r="B844" s="258"/>
      <c r="C844" s="269"/>
      <c r="D844" s="258"/>
      <c r="E844" s="258"/>
      <c r="F844" s="258"/>
      <c r="G844" s="258"/>
      <c r="H844" s="271"/>
      <c r="I844" s="258"/>
      <c r="J844" s="272"/>
      <c r="K844" s="260"/>
      <c r="L844" s="261"/>
      <c r="M844" s="262" t="str">
        <f t="shared" si="1"/>
        <v/>
      </c>
      <c r="N844" s="263" t="str">
        <f t="shared" si="2"/>
        <v/>
      </c>
      <c r="O844" s="264" t="str">
        <f t="shared" si="3"/>
        <v/>
      </c>
      <c r="P844" s="265" t="str">
        <f>IFERROR(__xludf.DUMMYFUNCTION("IF(ISBLANK(A844),"""",IFERROR(IF(H844=""Sell"",VLOOKUP(9^99,FILTER({ROW(P$2:P843),P$2:P843},D$2:D843=D844),2),(VLOOKUP(9^99,FILTER({ROW(P$2:P843),P$2:P843},D$2:D843=D844),2)*VLOOKUP(9^99,FILTER({ROW(O$2:O843),O$2:O843},D$2:D843=D844),2)-N844)/O844),J844))"),"")</f>
        <v/>
      </c>
      <c r="Q844" s="264" t="str">
        <f>IFERROR(__xludf.DUMMYFUNCTION("IFERROR(IF(F844=""Crypto"",B844,(IF(ISBLANK(D844),"""",IF(D844=""Cash"",B844,IF(GOOGLEFINANCE(D844,""CURRENCY"")=""GBX"",""GBP"",GOOGLEFINANCE(D844,""CURRENCY"")))))),B844)"),"")</f>
        <v/>
      </c>
      <c r="R844" s="263" t="str">
        <f>IFERROR(__xludf.DUMMYFUNCTION("IF(ISBLANK(A844),"""",IFERROR(IF(OR(Q844=""GPB"",Q844=""ZAR""),IF(Q844=Dashboard!$L$1,K844,(K844*GOOGLEFINANCE(""CURRENCY:""&amp;Q844&amp;""""&amp;Dashboard!$L$1&amp;""""))/100),IF(Q844=Dashboard!$L$1,K844,K844*GOOGLEFINANCE(""CURRENCY:""&amp;Q844&amp;""""&amp;Dashboard!$L$1&amp;"""")))"&amp;",K844))"),"")</f>
        <v/>
      </c>
      <c r="S844" s="266" t="str">
        <f>IFERROR(__xludf.DUMMYFUNCTION("IF(ISBLANK(A844),"""",IFERROR(IF(OR(Q844=""GPB"",Q844=""ZAR""),IF(Q844=Dashboard!$L$1,M844,(M844*GOOGLEFINANCE(""CURRENCY:""&amp;Q844&amp;""""&amp;Dashboard!$L$1&amp;""""))/100),IF(Q844=Dashboard!$L$1,M844,M844*GOOGLEFINANCE(""CURRENCY:""&amp;Q844&amp;""""&amp;Dashboard!$L$1&amp;"""")))"&amp;",M844))"),"")</f>
        <v/>
      </c>
      <c r="T844" s="264" t="str">
        <f t="shared" si="4"/>
        <v/>
      </c>
      <c r="U844" s="264" t="str">
        <f t="shared" si="5"/>
        <v/>
      </c>
      <c r="V844" s="264" t="str">
        <f t="shared" si="6"/>
        <v/>
      </c>
      <c r="W844" s="267" t="str">
        <f t="shared" si="8"/>
        <v/>
      </c>
      <c r="X844" s="264" t="str">
        <f t="shared" si="7"/>
        <v/>
      </c>
    </row>
    <row r="845" ht="15.75" customHeight="1">
      <c r="A845" s="258"/>
      <c r="B845" s="258"/>
      <c r="C845" s="269"/>
      <c r="D845" s="258"/>
      <c r="E845" s="258"/>
      <c r="F845" s="258"/>
      <c r="G845" s="258"/>
      <c r="H845" s="271"/>
      <c r="I845" s="258"/>
      <c r="J845" s="272"/>
      <c r="K845" s="260"/>
      <c r="L845" s="261"/>
      <c r="M845" s="262" t="str">
        <f t="shared" si="1"/>
        <v/>
      </c>
      <c r="N845" s="263" t="str">
        <f t="shared" si="2"/>
        <v/>
      </c>
      <c r="O845" s="264" t="str">
        <f t="shared" si="3"/>
        <v/>
      </c>
      <c r="P845" s="265" t="str">
        <f>IFERROR(__xludf.DUMMYFUNCTION("IF(ISBLANK(A845),"""",IFERROR(IF(H845=""Sell"",VLOOKUP(9^99,FILTER({ROW(P$2:P844),P$2:P844},D$2:D844=D845),2),(VLOOKUP(9^99,FILTER({ROW(P$2:P844),P$2:P844},D$2:D844=D845),2)*VLOOKUP(9^99,FILTER({ROW(O$2:O844),O$2:O844},D$2:D844=D845),2)-N845)/O845),J845))"),"")</f>
        <v/>
      </c>
      <c r="Q845" s="264" t="str">
        <f>IFERROR(__xludf.DUMMYFUNCTION("IFERROR(IF(F845=""Crypto"",B845,(IF(ISBLANK(D845),"""",IF(D845=""Cash"",B845,IF(GOOGLEFINANCE(D845,""CURRENCY"")=""GBX"",""GBP"",GOOGLEFINANCE(D845,""CURRENCY"")))))),B845)"),"")</f>
        <v/>
      </c>
      <c r="R845" s="263" t="str">
        <f>IFERROR(__xludf.DUMMYFUNCTION("IF(ISBLANK(A845),"""",IFERROR(IF(OR(Q845=""GPB"",Q845=""ZAR""),IF(Q845=Dashboard!$L$1,K845,(K845*GOOGLEFINANCE(""CURRENCY:""&amp;Q845&amp;""""&amp;Dashboard!$L$1&amp;""""))/100),IF(Q845=Dashboard!$L$1,K845,K845*GOOGLEFINANCE(""CURRENCY:""&amp;Q845&amp;""""&amp;Dashboard!$L$1&amp;"""")))"&amp;",K845))"),"")</f>
        <v/>
      </c>
      <c r="S845" s="266" t="str">
        <f>IFERROR(__xludf.DUMMYFUNCTION("IF(ISBLANK(A845),"""",IFERROR(IF(OR(Q845=""GPB"",Q845=""ZAR""),IF(Q845=Dashboard!$L$1,M845,(M845*GOOGLEFINANCE(""CURRENCY:""&amp;Q845&amp;""""&amp;Dashboard!$L$1&amp;""""))/100),IF(Q845=Dashboard!$L$1,M845,M845*GOOGLEFINANCE(""CURRENCY:""&amp;Q845&amp;""""&amp;Dashboard!$L$1&amp;"""")))"&amp;",M845))"),"")</f>
        <v/>
      </c>
      <c r="T845" s="264" t="str">
        <f t="shared" si="4"/>
        <v/>
      </c>
      <c r="U845" s="264" t="str">
        <f t="shared" si="5"/>
        <v/>
      </c>
      <c r="V845" s="264" t="str">
        <f t="shared" si="6"/>
        <v/>
      </c>
      <c r="W845" s="267" t="str">
        <f t="shared" si="8"/>
        <v/>
      </c>
      <c r="X845" s="264" t="str">
        <f t="shared" si="7"/>
        <v/>
      </c>
    </row>
    <row r="846" ht="15.75" customHeight="1">
      <c r="A846" s="258"/>
      <c r="B846" s="258"/>
      <c r="C846" s="269"/>
      <c r="D846" s="258"/>
      <c r="E846" s="258"/>
      <c r="F846" s="258"/>
      <c r="G846" s="258"/>
      <c r="H846" s="271"/>
      <c r="I846" s="258"/>
      <c r="J846" s="272"/>
      <c r="K846" s="260"/>
      <c r="L846" s="261"/>
      <c r="M846" s="262" t="str">
        <f t="shared" si="1"/>
        <v/>
      </c>
      <c r="N846" s="263" t="str">
        <f t="shared" si="2"/>
        <v/>
      </c>
      <c r="O846" s="264" t="str">
        <f t="shared" si="3"/>
        <v/>
      </c>
      <c r="P846" s="265" t="str">
        <f>IFERROR(__xludf.DUMMYFUNCTION("IF(ISBLANK(A846),"""",IFERROR(IF(H846=""Sell"",VLOOKUP(9^99,FILTER({ROW(P$2:P845),P$2:P845},D$2:D845=D846),2),(VLOOKUP(9^99,FILTER({ROW(P$2:P845),P$2:P845},D$2:D845=D846),2)*VLOOKUP(9^99,FILTER({ROW(O$2:O845),O$2:O845},D$2:D845=D846),2)-N846)/O846),J846))"),"")</f>
        <v/>
      </c>
      <c r="Q846" s="264" t="str">
        <f>IFERROR(__xludf.DUMMYFUNCTION("IFERROR(IF(F846=""Crypto"",B846,(IF(ISBLANK(D846),"""",IF(D846=""Cash"",B846,IF(GOOGLEFINANCE(D846,""CURRENCY"")=""GBX"",""GBP"",GOOGLEFINANCE(D846,""CURRENCY"")))))),B846)"),"")</f>
        <v/>
      </c>
      <c r="R846" s="263" t="str">
        <f>IFERROR(__xludf.DUMMYFUNCTION("IF(ISBLANK(A846),"""",IFERROR(IF(OR(Q846=""GPB"",Q846=""ZAR""),IF(Q846=Dashboard!$L$1,K846,(K846*GOOGLEFINANCE(""CURRENCY:""&amp;Q846&amp;""""&amp;Dashboard!$L$1&amp;""""))/100),IF(Q846=Dashboard!$L$1,K846,K846*GOOGLEFINANCE(""CURRENCY:""&amp;Q846&amp;""""&amp;Dashboard!$L$1&amp;"""")))"&amp;",K846))"),"")</f>
        <v/>
      </c>
      <c r="S846" s="266" t="str">
        <f>IFERROR(__xludf.DUMMYFUNCTION("IF(ISBLANK(A846),"""",IFERROR(IF(OR(Q846=""GPB"",Q846=""ZAR""),IF(Q846=Dashboard!$L$1,M846,(M846*GOOGLEFINANCE(""CURRENCY:""&amp;Q846&amp;""""&amp;Dashboard!$L$1&amp;""""))/100),IF(Q846=Dashboard!$L$1,M846,M846*GOOGLEFINANCE(""CURRENCY:""&amp;Q846&amp;""""&amp;Dashboard!$L$1&amp;"""")))"&amp;",M846))"),"")</f>
        <v/>
      </c>
      <c r="T846" s="264" t="str">
        <f t="shared" si="4"/>
        <v/>
      </c>
      <c r="U846" s="264" t="str">
        <f t="shared" si="5"/>
        <v/>
      </c>
      <c r="V846" s="264" t="str">
        <f t="shared" si="6"/>
        <v/>
      </c>
      <c r="W846" s="267" t="str">
        <f t="shared" si="8"/>
        <v/>
      </c>
      <c r="X846" s="264" t="str">
        <f t="shared" si="7"/>
        <v/>
      </c>
    </row>
    <row r="847" ht="15.75" customHeight="1">
      <c r="A847" s="258"/>
      <c r="B847" s="258"/>
      <c r="C847" s="269"/>
      <c r="D847" s="258"/>
      <c r="E847" s="258"/>
      <c r="F847" s="258"/>
      <c r="G847" s="258"/>
      <c r="H847" s="271"/>
      <c r="I847" s="258"/>
      <c r="J847" s="272"/>
      <c r="K847" s="260"/>
      <c r="L847" s="261"/>
      <c r="M847" s="262" t="str">
        <f t="shared" si="1"/>
        <v/>
      </c>
      <c r="N847" s="263" t="str">
        <f t="shared" si="2"/>
        <v/>
      </c>
      <c r="O847" s="264" t="str">
        <f t="shared" si="3"/>
        <v/>
      </c>
      <c r="P847" s="265" t="str">
        <f>IFERROR(__xludf.DUMMYFUNCTION("IF(ISBLANK(A847),"""",IFERROR(IF(H847=""Sell"",VLOOKUP(9^99,FILTER({ROW(P$2:P846),P$2:P846},D$2:D846=D847),2),(VLOOKUP(9^99,FILTER({ROW(P$2:P846),P$2:P846},D$2:D846=D847),2)*VLOOKUP(9^99,FILTER({ROW(O$2:O846),O$2:O846},D$2:D846=D847),2)-N847)/O847),J847))"),"")</f>
        <v/>
      </c>
      <c r="Q847" s="264" t="str">
        <f>IFERROR(__xludf.DUMMYFUNCTION("IFERROR(IF(F847=""Crypto"",B847,(IF(ISBLANK(D847),"""",IF(D847=""Cash"",B847,IF(GOOGLEFINANCE(D847,""CURRENCY"")=""GBX"",""GBP"",GOOGLEFINANCE(D847,""CURRENCY"")))))),B847)"),"")</f>
        <v/>
      </c>
      <c r="R847" s="263" t="str">
        <f>IFERROR(__xludf.DUMMYFUNCTION("IF(ISBLANK(A847),"""",IFERROR(IF(OR(Q847=""GPB"",Q847=""ZAR""),IF(Q847=Dashboard!$L$1,K847,(K847*GOOGLEFINANCE(""CURRENCY:""&amp;Q847&amp;""""&amp;Dashboard!$L$1&amp;""""))/100),IF(Q847=Dashboard!$L$1,K847,K847*GOOGLEFINANCE(""CURRENCY:""&amp;Q847&amp;""""&amp;Dashboard!$L$1&amp;"""")))"&amp;",K847))"),"")</f>
        <v/>
      </c>
      <c r="S847" s="266" t="str">
        <f>IFERROR(__xludf.DUMMYFUNCTION("IF(ISBLANK(A847),"""",IFERROR(IF(OR(Q847=""GPB"",Q847=""ZAR""),IF(Q847=Dashboard!$L$1,M847,(M847*GOOGLEFINANCE(""CURRENCY:""&amp;Q847&amp;""""&amp;Dashboard!$L$1&amp;""""))/100),IF(Q847=Dashboard!$L$1,M847,M847*GOOGLEFINANCE(""CURRENCY:""&amp;Q847&amp;""""&amp;Dashboard!$L$1&amp;"""")))"&amp;",M847))"),"")</f>
        <v/>
      </c>
      <c r="T847" s="264" t="str">
        <f t="shared" si="4"/>
        <v/>
      </c>
      <c r="U847" s="264" t="str">
        <f t="shared" si="5"/>
        <v/>
      </c>
      <c r="V847" s="264" t="str">
        <f t="shared" si="6"/>
        <v/>
      </c>
      <c r="W847" s="267" t="str">
        <f t="shared" si="8"/>
        <v/>
      </c>
      <c r="X847" s="264" t="str">
        <f t="shared" si="7"/>
        <v/>
      </c>
    </row>
    <row r="848" ht="15.75" customHeight="1">
      <c r="A848" s="258"/>
      <c r="B848" s="258"/>
      <c r="C848" s="269"/>
      <c r="D848" s="258"/>
      <c r="E848" s="258"/>
      <c r="F848" s="258"/>
      <c r="G848" s="258"/>
      <c r="H848" s="271"/>
      <c r="I848" s="258"/>
      <c r="J848" s="272"/>
      <c r="K848" s="260"/>
      <c r="L848" s="261"/>
      <c r="M848" s="262" t="str">
        <f t="shared" si="1"/>
        <v/>
      </c>
      <c r="N848" s="263" t="str">
        <f t="shared" si="2"/>
        <v/>
      </c>
      <c r="O848" s="264" t="str">
        <f t="shared" si="3"/>
        <v/>
      </c>
      <c r="P848" s="265" t="str">
        <f>IFERROR(__xludf.DUMMYFUNCTION("IF(ISBLANK(A848),"""",IFERROR(IF(H848=""Sell"",VLOOKUP(9^99,FILTER({ROW(P$2:P847),P$2:P847},D$2:D847=D848),2),(VLOOKUP(9^99,FILTER({ROW(P$2:P847),P$2:P847},D$2:D847=D848),2)*VLOOKUP(9^99,FILTER({ROW(O$2:O847),O$2:O847},D$2:D847=D848),2)-N848)/O848),J848))"),"")</f>
        <v/>
      </c>
      <c r="Q848" s="264" t="str">
        <f>IFERROR(__xludf.DUMMYFUNCTION("IFERROR(IF(F848=""Crypto"",B848,(IF(ISBLANK(D848),"""",IF(D848=""Cash"",B848,IF(GOOGLEFINANCE(D848,""CURRENCY"")=""GBX"",""GBP"",GOOGLEFINANCE(D848,""CURRENCY"")))))),B848)"),"")</f>
        <v/>
      </c>
      <c r="R848" s="263" t="str">
        <f>IFERROR(__xludf.DUMMYFUNCTION("IF(ISBLANK(A848),"""",IFERROR(IF(OR(Q848=""GPB"",Q848=""ZAR""),IF(Q848=Dashboard!$L$1,K848,(K848*GOOGLEFINANCE(""CURRENCY:""&amp;Q848&amp;""""&amp;Dashboard!$L$1&amp;""""))/100),IF(Q848=Dashboard!$L$1,K848,K848*GOOGLEFINANCE(""CURRENCY:""&amp;Q848&amp;""""&amp;Dashboard!$L$1&amp;"""")))"&amp;",K848))"),"")</f>
        <v/>
      </c>
      <c r="S848" s="266" t="str">
        <f>IFERROR(__xludf.DUMMYFUNCTION("IF(ISBLANK(A848),"""",IFERROR(IF(OR(Q848=""GPB"",Q848=""ZAR""),IF(Q848=Dashboard!$L$1,M848,(M848*GOOGLEFINANCE(""CURRENCY:""&amp;Q848&amp;""""&amp;Dashboard!$L$1&amp;""""))/100),IF(Q848=Dashboard!$L$1,M848,M848*GOOGLEFINANCE(""CURRENCY:""&amp;Q848&amp;""""&amp;Dashboard!$L$1&amp;"""")))"&amp;",M848))"),"")</f>
        <v/>
      </c>
      <c r="T848" s="264" t="str">
        <f t="shared" si="4"/>
        <v/>
      </c>
      <c r="U848" s="264" t="str">
        <f t="shared" si="5"/>
        <v/>
      </c>
      <c r="V848" s="264" t="str">
        <f t="shared" si="6"/>
        <v/>
      </c>
      <c r="W848" s="267" t="str">
        <f t="shared" si="8"/>
        <v/>
      </c>
      <c r="X848" s="264" t="str">
        <f t="shared" si="7"/>
        <v/>
      </c>
    </row>
    <row r="849" ht="15.75" customHeight="1">
      <c r="A849" s="258"/>
      <c r="B849" s="258"/>
      <c r="C849" s="269"/>
      <c r="D849" s="258"/>
      <c r="E849" s="258"/>
      <c r="F849" s="258"/>
      <c r="G849" s="258"/>
      <c r="H849" s="271"/>
      <c r="I849" s="258"/>
      <c r="J849" s="272"/>
      <c r="K849" s="260"/>
      <c r="L849" s="261"/>
      <c r="M849" s="262" t="str">
        <f t="shared" si="1"/>
        <v/>
      </c>
      <c r="N849" s="263" t="str">
        <f t="shared" si="2"/>
        <v/>
      </c>
      <c r="O849" s="264" t="str">
        <f t="shared" si="3"/>
        <v/>
      </c>
      <c r="P849" s="265" t="str">
        <f>IFERROR(__xludf.DUMMYFUNCTION("IF(ISBLANK(A849),"""",IFERROR(IF(H849=""Sell"",VLOOKUP(9^99,FILTER({ROW(P$2:P848),P$2:P848},D$2:D848=D849),2),(VLOOKUP(9^99,FILTER({ROW(P$2:P848),P$2:P848},D$2:D848=D849),2)*VLOOKUP(9^99,FILTER({ROW(O$2:O848),O$2:O848},D$2:D848=D849),2)-N849)/O849),J849))"),"")</f>
        <v/>
      </c>
      <c r="Q849" s="264" t="str">
        <f>IFERROR(__xludf.DUMMYFUNCTION("IFERROR(IF(F849=""Crypto"",B849,(IF(ISBLANK(D849),"""",IF(D849=""Cash"",B849,IF(GOOGLEFINANCE(D849,""CURRENCY"")=""GBX"",""GBP"",GOOGLEFINANCE(D849,""CURRENCY"")))))),B849)"),"")</f>
        <v/>
      </c>
      <c r="R849" s="263" t="str">
        <f>IFERROR(__xludf.DUMMYFUNCTION("IF(ISBLANK(A849),"""",IFERROR(IF(OR(Q849=""GPB"",Q849=""ZAR""),IF(Q849=Dashboard!$L$1,K849,(K849*GOOGLEFINANCE(""CURRENCY:""&amp;Q849&amp;""""&amp;Dashboard!$L$1&amp;""""))/100),IF(Q849=Dashboard!$L$1,K849,K849*GOOGLEFINANCE(""CURRENCY:""&amp;Q849&amp;""""&amp;Dashboard!$L$1&amp;"""")))"&amp;",K849))"),"")</f>
        <v/>
      </c>
      <c r="S849" s="266" t="str">
        <f>IFERROR(__xludf.DUMMYFUNCTION("IF(ISBLANK(A849),"""",IFERROR(IF(OR(Q849=""GPB"",Q849=""ZAR""),IF(Q849=Dashboard!$L$1,M849,(M849*GOOGLEFINANCE(""CURRENCY:""&amp;Q849&amp;""""&amp;Dashboard!$L$1&amp;""""))/100),IF(Q849=Dashboard!$L$1,M849,M849*GOOGLEFINANCE(""CURRENCY:""&amp;Q849&amp;""""&amp;Dashboard!$L$1&amp;"""")))"&amp;",M849))"),"")</f>
        <v/>
      </c>
      <c r="T849" s="264" t="str">
        <f t="shared" si="4"/>
        <v/>
      </c>
      <c r="U849" s="264" t="str">
        <f t="shared" si="5"/>
        <v/>
      </c>
      <c r="V849" s="264" t="str">
        <f t="shared" si="6"/>
        <v/>
      </c>
      <c r="W849" s="267" t="str">
        <f t="shared" si="8"/>
        <v/>
      </c>
      <c r="X849" s="264" t="str">
        <f t="shared" si="7"/>
        <v/>
      </c>
    </row>
    <row r="850" ht="15.75" customHeight="1">
      <c r="A850" s="258"/>
      <c r="B850" s="258"/>
      <c r="C850" s="269"/>
      <c r="D850" s="258"/>
      <c r="E850" s="258"/>
      <c r="F850" s="258"/>
      <c r="G850" s="258"/>
      <c r="H850" s="271"/>
      <c r="I850" s="258"/>
      <c r="J850" s="272"/>
      <c r="K850" s="260"/>
      <c r="L850" s="261"/>
      <c r="M850" s="262" t="str">
        <f t="shared" si="1"/>
        <v/>
      </c>
      <c r="N850" s="263" t="str">
        <f t="shared" si="2"/>
        <v/>
      </c>
      <c r="O850" s="264" t="str">
        <f t="shared" si="3"/>
        <v/>
      </c>
      <c r="P850" s="265" t="str">
        <f>IFERROR(__xludf.DUMMYFUNCTION("IF(ISBLANK(A850),"""",IFERROR(IF(H850=""Sell"",VLOOKUP(9^99,FILTER({ROW(P$2:P849),P$2:P849},D$2:D849=D850),2),(VLOOKUP(9^99,FILTER({ROW(P$2:P849),P$2:P849},D$2:D849=D850),2)*VLOOKUP(9^99,FILTER({ROW(O$2:O849),O$2:O849},D$2:D849=D850),2)-N850)/O850),J850))"),"")</f>
        <v/>
      </c>
      <c r="Q850" s="264" t="str">
        <f>IFERROR(__xludf.DUMMYFUNCTION("IFERROR(IF(F850=""Crypto"",B850,(IF(ISBLANK(D850),"""",IF(D850=""Cash"",B850,IF(GOOGLEFINANCE(D850,""CURRENCY"")=""GBX"",""GBP"",GOOGLEFINANCE(D850,""CURRENCY"")))))),B850)"),"")</f>
        <v/>
      </c>
      <c r="R850" s="263" t="str">
        <f>IFERROR(__xludf.DUMMYFUNCTION("IF(ISBLANK(A850),"""",IFERROR(IF(OR(Q850=""GPB"",Q850=""ZAR""),IF(Q850=Dashboard!$L$1,K850,(K850*GOOGLEFINANCE(""CURRENCY:""&amp;Q850&amp;""""&amp;Dashboard!$L$1&amp;""""))/100),IF(Q850=Dashboard!$L$1,K850,K850*GOOGLEFINANCE(""CURRENCY:""&amp;Q850&amp;""""&amp;Dashboard!$L$1&amp;"""")))"&amp;",K850))"),"")</f>
        <v/>
      </c>
      <c r="S850" s="266" t="str">
        <f>IFERROR(__xludf.DUMMYFUNCTION("IF(ISBLANK(A850),"""",IFERROR(IF(OR(Q850=""GPB"",Q850=""ZAR""),IF(Q850=Dashboard!$L$1,M850,(M850*GOOGLEFINANCE(""CURRENCY:""&amp;Q850&amp;""""&amp;Dashboard!$L$1&amp;""""))/100),IF(Q850=Dashboard!$L$1,M850,M850*GOOGLEFINANCE(""CURRENCY:""&amp;Q850&amp;""""&amp;Dashboard!$L$1&amp;"""")))"&amp;",M850))"),"")</f>
        <v/>
      </c>
      <c r="T850" s="264" t="str">
        <f t="shared" si="4"/>
        <v/>
      </c>
      <c r="U850" s="264" t="str">
        <f t="shared" si="5"/>
        <v/>
      </c>
      <c r="V850" s="264" t="str">
        <f t="shared" si="6"/>
        <v/>
      </c>
      <c r="W850" s="267" t="str">
        <f t="shared" si="8"/>
        <v/>
      </c>
      <c r="X850" s="264" t="str">
        <f t="shared" si="7"/>
        <v/>
      </c>
    </row>
    <row r="851" ht="15.75" customHeight="1">
      <c r="A851" s="258"/>
      <c r="B851" s="258"/>
      <c r="C851" s="269"/>
      <c r="D851" s="258"/>
      <c r="E851" s="258"/>
      <c r="F851" s="258"/>
      <c r="G851" s="258"/>
      <c r="H851" s="271"/>
      <c r="I851" s="258"/>
      <c r="J851" s="272"/>
      <c r="K851" s="260"/>
      <c r="L851" s="261"/>
      <c r="M851" s="262" t="str">
        <f t="shared" si="1"/>
        <v/>
      </c>
      <c r="N851" s="263" t="str">
        <f t="shared" si="2"/>
        <v/>
      </c>
      <c r="O851" s="264" t="str">
        <f t="shared" si="3"/>
        <v/>
      </c>
      <c r="P851" s="265" t="str">
        <f>IFERROR(__xludf.DUMMYFUNCTION("IF(ISBLANK(A851),"""",IFERROR(IF(H851=""Sell"",VLOOKUP(9^99,FILTER({ROW(P$2:P850),P$2:P850},D$2:D850=D851),2),(VLOOKUP(9^99,FILTER({ROW(P$2:P850),P$2:P850},D$2:D850=D851),2)*VLOOKUP(9^99,FILTER({ROW(O$2:O850),O$2:O850},D$2:D850=D851),2)-N851)/O851),J851))"),"")</f>
        <v/>
      </c>
      <c r="Q851" s="264" t="str">
        <f>IFERROR(__xludf.DUMMYFUNCTION("IFERROR(IF(F851=""Crypto"",B851,(IF(ISBLANK(D851),"""",IF(D851=""Cash"",B851,IF(GOOGLEFINANCE(D851,""CURRENCY"")=""GBX"",""GBP"",GOOGLEFINANCE(D851,""CURRENCY"")))))),B851)"),"")</f>
        <v/>
      </c>
      <c r="R851" s="263" t="str">
        <f>IFERROR(__xludf.DUMMYFUNCTION("IF(ISBLANK(A851),"""",IFERROR(IF(OR(Q851=""GPB"",Q851=""ZAR""),IF(Q851=Dashboard!$L$1,K851,(K851*GOOGLEFINANCE(""CURRENCY:""&amp;Q851&amp;""""&amp;Dashboard!$L$1&amp;""""))/100),IF(Q851=Dashboard!$L$1,K851,K851*GOOGLEFINANCE(""CURRENCY:""&amp;Q851&amp;""""&amp;Dashboard!$L$1&amp;"""")))"&amp;",K851))"),"")</f>
        <v/>
      </c>
      <c r="S851" s="266" t="str">
        <f>IFERROR(__xludf.DUMMYFUNCTION("IF(ISBLANK(A851),"""",IFERROR(IF(OR(Q851=""GPB"",Q851=""ZAR""),IF(Q851=Dashboard!$L$1,M851,(M851*GOOGLEFINANCE(""CURRENCY:""&amp;Q851&amp;""""&amp;Dashboard!$L$1&amp;""""))/100),IF(Q851=Dashboard!$L$1,M851,M851*GOOGLEFINANCE(""CURRENCY:""&amp;Q851&amp;""""&amp;Dashboard!$L$1&amp;"""")))"&amp;",M851))"),"")</f>
        <v/>
      </c>
      <c r="T851" s="264" t="str">
        <f t="shared" si="4"/>
        <v/>
      </c>
      <c r="U851" s="264" t="str">
        <f t="shared" si="5"/>
        <v/>
      </c>
      <c r="V851" s="264" t="str">
        <f t="shared" si="6"/>
        <v/>
      </c>
      <c r="W851" s="267" t="str">
        <f t="shared" si="8"/>
        <v/>
      </c>
      <c r="X851" s="264" t="str">
        <f t="shared" si="7"/>
        <v/>
      </c>
    </row>
    <row r="852" ht="15.75" customHeight="1">
      <c r="A852" s="258"/>
      <c r="B852" s="258"/>
      <c r="C852" s="269"/>
      <c r="D852" s="258"/>
      <c r="E852" s="258"/>
      <c r="F852" s="258"/>
      <c r="G852" s="258"/>
      <c r="H852" s="271"/>
      <c r="I852" s="258"/>
      <c r="J852" s="272"/>
      <c r="K852" s="260"/>
      <c r="L852" s="261"/>
      <c r="M852" s="262" t="str">
        <f t="shared" si="1"/>
        <v/>
      </c>
      <c r="N852" s="263" t="str">
        <f t="shared" si="2"/>
        <v/>
      </c>
      <c r="O852" s="264" t="str">
        <f t="shared" si="3"/>
        <v/>
      </c>
      <c r="P852" s="265" t="str">
        <f>IFERROR(__xludf.DUMMYFUNCTION("IF(ISBLANK(A852),"""",IFERROR(IF(H852=""Sell"",VLOOKUP(9^99,FILTER({ROW(P$2:P851),P$2:P851},D$2:D851=D852),2),(VLOOKUP(9^99,FILTER({ROW(P$2:P851),P$2:P851},D$2:D851=D852),2)*VLOOKUP(9^99,FILTER({ROW(O$2:O851),O$2:O851},D$2:D851=D852),2)-N852)/O852),J852))"),"")</f>
        <v/>
      </c>
      <c r="Q852" s="264" t="str">
        <f>IFERROR(__xludf.DUMMYFUNCTION("IFERROR(IF(F852=""Crypto"",B852,(IF(ISBLANK(D852),"""",IF(D852=""Cash"",B852,IF(GOOGLEFINANCE(D852,""CURRENCY"")=""GBX"",""GBP"",GOOGLEFINANCE(D852,""CURRENCY"")))))),B852)"),"")</f>
        <v/>
      </c>
      <c r="R852" s="263" t="str">
        <f>IFERROR(__xludf.DUMMYFUNCTION("IF(ISBLANK(A852),"""",IFERROR(IF(OR(Q852=""GPB"",Q852=""ZAR""),IF(Q852=Dashboard!$L$1,K852,(K852*GOOGLEFINANCE(""CURRENCY:""&amp;Q852&amp;""""&amp;Dashboard!$L$1&amp;""""))/100),IF(Q852=Dashboard!$L$1,K852,K852*GOOGLEFINANCE(""CURRENCY:""&amp;Q852&amp;""""&amp;Dashboard!$L$1&amp;"""")))"&amp;",K852))"),"")</f>
        <v/>
      </c>
      <c r="S852" s="266" t="str">
        <f>IFERROR(__xludf.DUMMYFUNCTION("IF(ISBLANK(A852),"""",IFERROR(IF(OR(Q852=""GPB"",Q852=""ZAR""),IF(Q852=Dashboard!$L$1,M852,(M852*GOOGLEFINANCE(""CURRENCY:""&amp;Q852&amp;""""&amp;Dashboard!$L$1&amp;""""))/100),IF(Q852=Dashboard!$L$1,M852,M852*GOOGLEFINANCE(""CURRENCY:""&amp;Q852&amp;""""&amp;Dashboard!$L$1&amp;"""")))"&amp;",M852))"),"")</f>
        <v/>
      </c>
      <c r="T852" s="264" t="str">
        <f t="shared" si="4"/>
        <v/>
      </c>
      <c r="U852" s="264" t="str">
        <f t="shared" si="5"/>
        <v/>
      </c>
      <c r="V852" s="264" t="str">
        <f t="shared" si="6"/>
        <v/>
      </c>
      <c r="W852" s="267" t="str">
        <f t="shared" si="8"/>
        <v/>
      </c>
      <c r="X852" s="264" t="str">
        <f t="shared" si="7"/>
        <v/>
      </c>
    </row>
    <row r="853" ht="15.75" customHeight="1">
      <c r="A853" s="258"/>
      <c r="B853" s="258"/>
      <c r="C853" s="269"/>
      <c r="D853" s="258"/>
      <c r="E853" s="258"/>
      <c r="F853" s="258"/>
      <c r="G853" s="258"/>
      <c r="H853" s="271"/>
      <c r="I853" s="258"/>
      <c r="J853" s="272"/>
      <c r="K853" s="260"/>
      <c r="L853" s="261"/>
      <c r="M853" s="262" t="str">
        <f t="shared" si="1"/>
        <v/>
      </c>
      <c r="N853" s="263" t="str">
        <f t="shared" si="2"/>
        <v/>
      </c>
      <c r="O853" s="264" t="str">
        <f t="shared" si="3"/>
        <v/>
      </c>
      <c r="P853" s="265" t="str">
        <f>IFERROR(__xludf.DUMMYFUNCTION("IF(ISBLANK(A853),"""",IFERROR(IF(H853=""Sell"",VLOOKUP(9^99,FILTER({ROW(P$2:P852),P$2:P852},D$2:D852=D853),2),(VLOOKUP(9^99,FILTER({ROW(P$2:P852),P$2:P852},D$2:D852=D853),2)*VLOOKUP(9^99,FILTER({ROW(O$2:O852),O$2:O852},D$2:D852=D853),2)-N853)/O853),J853))"),"")</f>
        <v/>
      </c>
      <c r="Q853" s="264" t="str">
        <f>IFERROR(__xludf.DUMMYFUNCTION("IFERROR(IF(F853=""Crypto"",B853,(IF(ISBLANK(D853),"""",IF(D853=""Cash"",B853,IF(GOOGLEFINANCE(D853,""CURRENCY"")=""GBX"",""GBP"",GOOGLEFINANCE(D853,""CURRENCY"")))))),B853)"),"")</f>
        <v/>
      </c>
      <c r="R853" s="263" t="str">
        <f>IFERROR(__xludf.DUMMYFUNCTION("IF(ISBLANK(A853),"""",IFERROR(IF(OR(Q853=""GPB"",Q853=""ZAR""),IF(Q853=Dashboard!$L$1,K853,(K853*GOOGLEFINANCE(""CURRENCY:""&amp;Q853&amp;""""&amp;Dashboard!$L$1&amp;""""))/100),IF(Q853=Dashboard!$L$1,K853,K853*GOOGLEFINANCE(""CURRENCY:""&amp;Q853&amp;""""&amp;Dashboard!$L$1&amp;"""")))"&amp;",K853))"),"")</f>
        <v/>
      </c>
      <c r="S853" s="266" t="str">
        <f>IFERROR(__xludf.DUMMYFUNCTION("IF(ISBLANK(A853),"""",IFERROR(IF(OR(Q853=""GPB"",Q853=""ZAR""),IF(Q853=Dashboard!$L$1,M853,(M853*GOOGLEFINANCE(""CURRENCY:""&amp;Q853&amp;""""&amp;Dashboard!$L$1&amp;""""))/100),IF(Q853=Dashboard!$L$1,M853,M853*GOOGLEFINANCE(""CURRENCY:""&amp;Q853&amp;""""&amp;Dashboard!$L$1&amp;"""")))"&amp;",M853))"),"")</f>
        <v/>
      </c>
      <c r="T853" s="264" t="str">
        <f t="shared" si="4"/>
        <v/>
      </c>
      <c r="U853" s="264" t="str">
        <f t="shared" si="5"/>
        <v/>
      </c>
      <c r="V853" s="264" t="str">
        <f t="shared" si="6"/>
        <v/>
      </c>
      <c r="W853" s="267" t="str">
        <f t="shared" si="8"/>
        <v/>
      </c>
      <c r="X853" s="264" t="str">
        <f t="shared" si="7"/>
        <v/>
      </c>
    </row>
    <row r="854" ht="15.75" customHeight="1">
      <c r="A854" s="258"/>
      <c r="B854" s="258"/>
      <c r="C854" s="269"/>
      <c r="D854" s="258"/>
      <c r="E854" s="258"/>
      <c r="F854" s="258"/>
      <c r="G854" s="258"/>
      <c r="H854" s="271"/>
      <c r="I854" s="258"/>
      <c r="J854" s="272"/>
      <c r="K854" s="260"/>
      <c r="L854" s="261"/>
      <c r="M854" s="262" t="str">
        <f t="shared" si="1"/>
        <v/>
      </c>
      <c r="N854" s="263" t="str">
        <f t="shared" si="2"/>
        <v/>
      </c>
      <c r="O854" s="264" t="str">
        <f t="shared" si="3"/>
        <v/>
      </c>
      <c r="P854" s="265" t="str">
        <f>IFERROR(__xludf.DUMMYFUNCTION("IF(ISBLANK(A854),"""",IFERROR(IF(H854=""Sell"",VLOOKUP(9^99,FILTER({ROW(P$2:P853),P$2:P853},D$2:D853=D854),2),(VLOOKUP(9^99,FILTER({ROW(P$2:P853),P$2:P853},D$2:D853=D854),2)*VLOOKUP(9^99,FILTER({ROW(O$2:O853),O$2:O853},D$2:D853=D854),2)-N854)/O854),J854))"),"")</f>
        <v/>
      </c>
      <c r="Q854" s="264" t="str">
        <f>IFERROR(__xludf.DUMMYFUNCTION("IFERROR(IF(F854=""Crypto"",B854,(IF(ISBLANK(D854),"""",IF(D854=""Cash"",B854,IF(GOOGLEFINANCE(D854,""CURRENCY"")=""GBX"",""GBP"",GOOGLEFINANCE(D854,""CURRENCY"")))))),B854)"),"")</f>
        <v/>
      </c>
      <c r="R854" s="263" t="str">
        <f>IFERROR(__xludf.DUMMYFUNCTION("IF(ISBLANK(A854),"""",IFERROR(IF(OR(Q854=""GPB"",Q854=""ZAR""),IF(Q854=Dashboard!$L$1,K854,(K854*GOOGLEFINANCE(""CURRENCY:""&amp;Q854&amp;""""&amp;Dashboard!$L$1&amp;""""))/100),IF(Q854=Dashboard!$L$1,K854,K854*GOOGLEFINANCE(""CURRENCY:""&amp;Q854&amp;""""&amp;Dashboard!$L$1&amp;"""")))"&amp;",K854))"),"")</f>
        <v/>
      </c>
      <c r="S854" s="266" t="str">
        <f>IFERROR(__xludf.DUMMYFUNCTION("IF(ISBLANK(A854),"""",IFERROR(IF(OR(Q854=""GPB"",Q854=""ZAR""),IF(Q854=Dashboard!$L$1,M854,(M854*GOOGLEFINANCE(""CURRENCY:""&amp;Q854&amp;""""&amp;Dashboard!$L$1&amp;""""))/100),IF(Q854=Dashboard!$L$1,M854,M854*GOOGLEFINANCE(""CURRENCY:""&amp;Q854&amp;""""&amp;Dashboard!$L$1&amp;"""")))"&amp;",M854))"),"")</f>
        <v/>
      </c>
      <c r="T854" s="264" t="str">
        <f t="shared" si="4"/>
        <v/>
      </c>
      <c r="U854" s="264" t="str">
        <f t="shared" si="5"/>
        <v/>
      </c>
      <c r="V854" s="264" t="str">
        <f t="shared" si="6"/>
        <v/>
      </c>
      <c r="W854" s="267" t="str">
        <f t="shared" si="8"/>
        <v/>
      </c>
      <c r="X854" s="264" t="str">
        <f t="shared" si="7"/>
        <v/>
      </c>
    </row>
    <row r="855" ht="15.75" customHeight="1">
      <c r="A855" s="258"/>
      <c r="B855" s="258"/>
      <c r="C855" s="269"/>
      <c r="D855" s="258"/>
      <c r="E855" s="258"/>
      <c r="F855" s="258"/>
      <c r="G855" s="258"/>
      <c r="H855" s="271"/>
      <c r="I855" s="258"/>
      <c r="J855" s="272"/>
      <c r="K855" s="260"/>
      <c r="L855" s="261"/>
      <c r="M855" s="262" t="str">
        <f t="shared" si="1"/>
        <v/>
      </c>
      <c r="N855" s="263" t="str">
        <f t="shared" si="2"/>
        <v/>
      </c>
      <c r="O855" s="264" t="str">
        <f t="shared" si="3"/>
        <v/>
      </c>
      <c r="P855" s="265" t="str">
        <f>IFERROR(__xludf.DUMMYFUNCTION("IF(ISBLANK(A855),"""",IFERROR(IF(H855=""Sell"",VLOOKUP(9^99,FILTER({ROW(P$2:P854),P$2:P854},D$2:D854=D855),2),(VLOOKUP(9^99,FILTER({ROW(P$2:P854),P$2:P854},D$2:D854=D855),2)*VLOOKUP(9^99,FILTER({ROW(O$2:O854),O$2:O854},D$2:D854=D855),2)-N855)/O855),J855))"),"")</f>
        <v/>
      </c>
      <c r="Q855" s="264" t="str">
        <f>IFERROR(__xludf.DUMMYFUNCTION("IFERROR(IF(F855=""Crypto"",B855,(IF(ISBLANK(D855),"""",IF(D855=""Cash"",B855,IF(GOOGLEFINANCE(D855,""CURRENCY"")=""GBX"",""GBP"",GOOGLEFINANCE(D855,""CURRENCY"")))))),B855)"),"")</f>
        <v/>
      </c>
      <c r="R855" s="263" t="str">
        <f>IFERROR(__xludf.DUMMYFUNCTION("IF(ISBLANK(A855),"""",IFERROR(IF(OR(Q855=""GPB"",Q855=""ZAR""),IF(Q855=Dashboard!$L$1,K855,(K855*GOOGLEFINANCE(""CURRENCY:""&amp;Q855&amp;""""&amp;Dashboard!$L$1&amp;""""))/100),IF(Q855=Dashboard!$L$1,K855,K855*GOOGLEFINANCE(""CURRENCY:""&amp;Q855&amp;""""&amp;Dashboard!$L$1&amp;"""")))"&amp;",K855))"),"")</f>
        <v/>
      </c>
      <c r="S855" s="266" t="str">
        <f>IFERROR(__xludf.DUMMYFUNCTION("IF(ISBLANK(A855),"""",IFERROR(IF(OR(Q855=""GPB"",Q855=""ZAR""),IF(Q855=Dashboard!$L$1,M855,(M855*GOOGLEFINANCE(""CURRENCY:""&amp;Q855&amp;""""&amp;Dashboard!$L$1&amp;""""))/100),IF(Q855=Dashboard!$L$1,M855,M855*GOOGLEFINANCE(""CURRENCY:""&amp;Q855&amp;""""&amp;Dashboard!$L$1&amp;"""")))"&amp;",M855))"),"")</f>
        <v/>
      </c>
      <c r="T855" s="264" t="str">
        <f t="shared" si="4"/>
        <v/>
      </c>
      <c r="U855" s="264" t="str">
        <f t="shared" si="5"/>
        <v/>
      </c>
      <c r="V855" s="264" t="str">
        <f t="shared" si="6"/>
        <v/>
      </c>
      <c r="W855" s="267" t="str">
        <f t="shared" si="8"/>
        <v/>
      </c>
      <c r="X855" s="264" t="str">
        <f t="shared" si="7"/>
        <v/>
      </c>
    </row>
    <row r="856" ht="15.75" customHeight="1">
      <c r="A856" s="258"/>
      <c r="B856" s="258"/>
      <c r="C856" s="269"/>
      <c r="D856" s="258"/>
      <c r="E856" s="258"/>
      <c r="F856" s="258"/>
      <c r="G856" s="258"/>
      <c r="H856" s="271"/>
      <c r="I856" s="258"/>
      <c r="J856" s="272"/>
      <c r="K856" s="260"/>
      <c r="L856" s="261"/>
      <c r="M856" s="262" t="str">
        <f t="shared" si="1"/>
        <v/>
      </c>
      <c r="N856" s="263" t="str">
        <f t="shared" si="2"/>
        <v/>
      </c>
      <c r="O856" s="264" t="str">
        <f t="shared" si="3"/>
        <v/>
      </c>
      <c r="P856" s="265" t="str">
        <f>IFERROR(__xludf.DUMMYFUNCTION("IF(ISBLANK(A856),"""",IFERROR(IF(H856=""Sell"",VLOOKUP(9^99,FILTER({ROW(P$2:P855),P$2:P855},D$2:D855=D856),2),(VLOOKUP(9^99,FILTER({ROW(P$2:P855),P$2:P855},D$2:D855=D856),2)*VLOOKUP(9^99,FILTER({ROW(O$2:O855),O$2:O855},D$2:D855=D856),2)-N856)/O856),J856))"),"")</f>
        <v/>
      </c>
      <c r="Q856" s="264" t="str">
        <f>IFERROR(__xludf.DUMMYFUNCTION("IFERROR(IF(F856=""Crypto"",B856,(IF(ISBLANK(D856),"""",IF(D856=""Cash"",B856,IF(GOOGLEFINANCE(D856,""CURRENCY"")=""GBX"",""GBP"",GOOGLEFINANCE(D856,""CURRENCY"")))))),B856)"),"")</f>
        <v/>
      </c>
      <c r="R856" s="263" t="str">
        <f>IFERROR(__xludf.DUMMYFUNCTION("IF(ISBLANK(A856),"""",IFERROR(IF(OR(Q856=""GPB"",Q856=""ZAR""),IF(Q856=Dashboard!$L$1,K856,(K856*GOOGLEFINANCE(""CURRENCY:""&amp;Q856&amp;""""&amp;Dashboard!$L$1&amp;""""))/100),IF(Q856=Dashboard!$L$1,K856,K856*GOOGLEFINANCE(""CURRENCY:""&amp;Q856&amp;""""&amp;Dashboard!$L$1&amp;"""")))"&amp;",K856))"),"")</f>
        <v/>
      </c>
      <c r="S856" s="266" t="str">
        <f>IFERROR(__xludf.DUMMYFUNCTION("IF(ISBLANK(A856),"""",IFERROR(IF(OR(Q856=""GPB"",Q856=""ZAR""),IF(Q856=Dashboard!$L$1,M856,(M856*GOOGLEFINANCE(""CURRENCY:""&amp;Q856&amp;""""&amp;Dashboard!$L$1&amp;""""))/100),IF(Q856=Dashboard!$L$1,M856,M856*GOOGLEFINANCE(""CURRENCY:""&amp;Q856&amp;""""&amp;Dashboard!$L$1&amp;"""")))"&amp;",M856))"),"")</f>
        <v/>
      </c>
      <c r="T856" s="264" t="str">
        <f t="shared" si="4"/>
        <v/>
      </c>
      <c r="U856" s="264" t="str">
        <f t="shared" si="5"/>
        <v/>
      </c>
      <c r="V856" s="264" t="str">
        <f t="shared" si="6"/>
        <v/>
      </c>
      <c r="W856" s="267" t="str">
        <f t="shared" si="8"/>
        <v/>
      </c>
      <c r="X856" s="264" t="str">
        <f t="shared" si="7"/>
        <v/>
      </c>
    </row>
    <row r="857" ht="15.75" customHeight="1">
      <c r="A857" s="258"/>
      <c r="B857" s="258"/>
      <c r="C857" s="269"/>
      <c r="D857" s="258"/>
      <c r="E857" s="258"/>
      <c r="F857" s="258"/>
      <c r="G857" s="258"/>
      <c r="H857" s="271"/>
      <c r="I857" s="258"/>
      <c r="J857" s="272"/>
      <c r="K857" s="260"/>
      <c r="L857" s="261"/>
      <c r="M857" s="262" t="str">
        <f t="shared" si="1"/>
        <v/>
      </c>
      <c r="N857" s="263" t="str">
        <f t="shared" si="2"/>
        <v/>
      </c>
      <c r="O857" s="264" t="str">
        <f t="shared" si="3"/>
        <v/>
      </c>
      <c r="P857" s="265" t="str">
        <f>IFERROR(__xludf.DUMMYFUNCTION("IF(ISBLANK(A857),"""",IFERROR(IF(H857=""Sell"",VLOOKUP(9^99,FILTER({ROW(P$2:P856),P$2:P856},D$2:D856=D857),2),(VLOOKUP(9^99,FILTER({ROW(P$2:P856),P$2:P856},D$2:D856=D857),2)*VLOOKUP(9^99,FILTER({ROW(O$2:O856),O$2:O856},D$2:D856=D857),2)-N857)/O857),J857))"),"")</f>
        <v/>
      </c>
      <c r="Q857" s="264" t="str">
        <f>IFERROR(__xludf.DUMMYFUNCTION("IFERROR(IF(F857=""Crypto"",B857,(IF(ISBLANK(D857),"""",IF(D857=""Cash"",B857,IF(GOOGLEFINANCE(D857,""CURRENCY"")=""GBX"",""GBP"",GOOGLEFINANCE(D857,""CURRENCY"")))))),B857)"),"")</f>
        <v/>
      </c>
      <c r="R857" s="263" t="str">
        <f>IFERROR(__xludf.DUMMYFUNCTION("IF(ISBLANK(A857),"""",IFERROR(IF(OR(Q857=""GPB"",Q857=""ZAR""),IF(Q857=Dashboard!$L$1,K857,(K857*GOOGLEFINANCE(""CURRENCY:""&amp;Q857&amp;""""&amp;Dashboard!$L$1&amp;""""))/100),IF(Q857=Dashboard!$L$1,K857,K857*GOOGLEFINANCE(""CURRENCY:""&amp;Q857&amp;""""&amp;Dashboard!$L$1&amp;"""")))"&amp;",K857))"),"")</f>
        <v/>
      </c>
      <c r="S857" s="266" t="str">
        <f>IFERROR(__xludf.DUMMYFUNCTION("IF(ISBLANK(A857),"""",IFERROR(IF(OR(Q857=""GPB"",Q857=""ZAR""),IF(Q857=Dashboard!$L$1,M857,(M857*GOOGLEFINANCE(""CURRENCY:""&amp;Q857&amp;""""&amp;Dashboard!$L$1&amp;""""))/100),IF(Q857=Dashboard!$L$1,M857,M857*GOOGLEFINANCE(""CURRENCY:""&amp;Q857&amp;""""&amp;Dashboard!$L$1&amp;"""")))"&amp;",M857))"),"")</f>
        <v/>
      </c>
      <c r="T857" s="264" t="str">
        <f t="shared" si="4"/>
        <v/>
      </c>
      <c r="U857" s="264" t="str">
        <f t="shared" si="5"/>
        <v/>
      </c>
      <c r="V857" s="264" t="str">
        <f t="shared" si="6"/>
        <v/>
      </c>
      <c r="W857" s="267" t="str">
        <f t="shared" si="8"/>
        <v/>
      </c>
      <c r="X857" s="264" t="str">
        <f t="shared" si="7"/>
        <v/>
      </c>
    </row>
    <row r="858" ht="15.75" customHeight="1">
      <c r="A858" s="258"/>
      <c r="B858" s="258"/>
      <c r="C858" s="269"/>
      <c r="D858" s="258"/>
      <c r="E858" s="258"/>
      <c r="F858" s="258"/>
      <c r="G858" s="258"/>
      <c r="H858" s="271"/>
      <c r="I858" s="258"/>
      <c r="J858" s="272"/>
      <c r="K858" s="260"/>
      <c r="L858" s="261"/>
      <c r="M858" s="262" t="str">
        <f t="shared" si="1"/>
        <v/>
      </c>
      <c r="N858" s="263" t="str">
        <f t="shared" si="2"/>
        <v/>
      </c>
      <c r="O858" s="264" t="str">
        <f t="shared" si="3"/>
        <v/>
      </c>
      <c r="P858" s="265" t="str">
        <f>IFERROR(__xludf.DUMMYFUNCTION("IF(ISBLANK(A858),"""",IFERROR(IF(H858=""Sell"",VLOOKUP(9^99,FILTER({ROW(P$2:P857),P$2:P857},D$2:D857=D858),2),(VLOOKUP(9^99,FILTER({ROW(P$2:P857),P$2:P857},D$2:D857=D858),2)*VLOOKUP(9^99,FILTER({ROW(O$2:O857),O$2:O857},D$2:D857=D858),2)-N858)/O858),J858))"),"")</f>
        <v/>
      </c>
      <c r="Q858" s="264" t="str">
        <f>IFERROR(__xludf.DUMMYFUNCTION("IFERROR(IF(F858=""Crypto"",B858,(IF(ISBLANK(D858),"""",IF(D858=""Cash"",B858,IF(GOOGLEFINANCE(D858,""CURRENCY"")=""GBX"",""GBP"",GOOGLEFINANCE(D858,""CURRENCY"")))))),B858)"),"")</f>
        <v/>
      </c>
      <c r="R858" s="263" t="str">
        <f>IFERROR(__xludf.DUMMYFUNCTION("IF(ISBLANK(A858),"""",IFERROR(IF(OR(Q858=""GPB"",Q858=""ZAR""),IF(Q858=Dashboard!$L$1,K858,(K858*GOOGLEFINANCE(""CURRENCY:""&amp;Q858&amp;""""&amp;Dashboard!$L$1&amp;""""))/100),IF(Q858=Dashboard!$L$1,K858,K858*GOOGLEFINANCE(""CURRENCY:""&amp;Q858&amp;""""&amp;Dashboard!$L$1&amp;"""")))"&amp;",K858))"),"")</f>
        <v/>
      </c>
      <c r="S858" s="266" t="str">
        <f>IFERROR(__xludf.DUMMYFUNCTION("IF(ISBLANK(A858),"""",IFERROR(IF(OR(Q858=""GPB"",Q858=""ZAR""),IF(Q858=Dashboard!$L$1,M858,(M858*GOOGLEFINANCE(""CURRENCY:""&amp;Q858&amp;""""&amp;Dashboard!$L$1&amp;""""))/100),IF(Q858=Dashboard!$L$1,M858,M858*GOOGLEFINANCE(""CURRENCY:""&amp;Q858&amp;""""&amp;Dashboard!$L$1&amp;"""")))"&amp;",M858))"),"")</f>
        <v/>
      </c>
      <c r="T858" s="264" t="str">
        <f t="shared" si="4"/>
        <v/>
      </c>
      <c r="U858" s="264" t="str">
        <f t="shared" si="5"/>
        <v/>
      </c>
      <c r="V858" s="264" t="str">
        <f t="shared" si="6"/>
        <v/>
      </c>
      <c r="W858" s="267" t="str">
        <f t="shared" si="8"/>
        <v/>
      </c>
      <c r="X858" s="264" t="str">
        <f t="shared" si="7"/>
        <v/>
      </c>
    </row>
    <row r="859" ht="15.75" customHeight="1">
      <c r="A859" s="258"/>
      <c r="B859" s="258"/>
      <c r="C859" s="269"/>
      <c r="D859" s="258"/>
      <c r="E859" s="258"/>
      <c r="F859" s="258"/>
      <c r="G859" s="258"/>
      <c r="H859" s="271"/>
      <c r="I859" s="258"/>
      <c r="J859" s="272"/>
      <c r="K859" s="260"/>
      <c r="L859" s="261"/>
      <c r="M859" s="262" t="str">
        <f t="shared" si="1"/>
        <v/>
      </c>
      <c r="N859" s="263" t="str">
        <f t="shared" si="2"/>
        <v/>
      </c>
      <c r="O859" s="264" t="str">
        <f t="shared" si="3"/>
        <v/>
      </c>
      <c r="P859" s="265" t="str">
        <f>IFERROR(__xludf.DUMMYFUNCTION("IF(ISBLANK(A859),"""",IFERROR(IF(H859=""Sell"",VLOOKUP(9^99,FILTER({ROW(P$2:P858),P$2:P858},D$2:D858=D859),2),(VLOOKUP(9^99,FILTER({ROW(P$2:P858),P$2:P858},D$2:D858=D859),2)*VLOOKUP(9^99,FILTER({ROW(O$2:O858),O$2:O858},D$2:D858=D859),2)-N859)/O859),J859))"),"")</f>
        <v/>
      </c>
      <c r="Q859" s="264" t="str">
        <f>IFERROR(__xludf.DUMMYFUNCTION("IFERROR(IF(F859=""Crypto"",B859,(IF(ISBLANK(D859),"""",IF(D859=""Cash"",B859,IF(GOOGLEFINANCE(D859,""CURRENCY"")=""GBX"",""GBP"",GOOGLEFINANCE(D859,""CURRENCY"")))))),B859)"),"")</f>
        <v/>
      </c>
      <c r="R859" s="263" t="str">
        <f>IFERROR(__xludf.DUMMYFUNCTION("IF(ISBLANK(A859),"""",IFERROR(IF(OR(Q859=""GPB"",Q859=""ZAR""),IF(Q859=Dashboard!$L$1,K859,(K859*GOOGLEFINANCE(""CURRENCY:""&amp;Q859&amp;""""&amp;Dashboard!$L$1&amp;""""))/100),IF(Q859=Dashboard!$L$1,K859,K859*GOOGLEFINANCE(""CURRENCY:""&amp;Q859&amp;""""&amp;Dashboard!$L$1&amp;"""")))"&amp;",K859))"),"")</f>
        <v/>
      </c>
      <c r="S859" s="266" t="str">
        <f>IFERROR(__xludf.DUMMYFUNCTION("IF(ISBLANK(A859),"""",IFERROR(IF(OR(Q859=""GPB"",Q859=""ZAR""),IF(Q859=Dashboard!$L$1,M859,(M859*GOOGLEFINANCE(""CURRENCY:""&amp;Q859&amp;""""&amp;Dashboard!$L$1&amp;""""))/100),IF(Q859=Dashboard!$L$1,M859,M859*GOOGLEFINANCE(""CURRENCY:""&amp;Q859&amp;""""&amp;Dashboard!$L$1&amp;"""")))"&amp;",M859))"),"")</f>
        <v/>
      </c>
      <c r="T859" s="264" t="str">
        <f t="shared" si="4"/>
        <v/>
      </c>
      <c r="U859" s="264" t="str">
        <f t="shared" si="5"/>
        <v/>
      </c>
      <c r="V859" s="264" t="str">
        <f t="shared" si="6"/>
        <v/>
      </c>
      <c r="W859" s="267" t="str">
        <f t="shared" si="8"/>
        <v/>
      </c>
      <c r="X859" s="264" t="str">
        <f t="shared" si="7"/>
        <v/>
      </c>
    </row>
    <row r="860" ht="15.75" customHeight="1">
      <c r="A860" s="258"/>
      <c r="B860" s="258"/>
      <c r="C860" s="269"/>
      <c r="D860" s="258"/>
      <c r="E860" s="258"/>
      <c r="F860" s="258"/>
      <c r="G860" s="258"/>
      <c r="H860" s="271"/>
      <c r="I860" s="258"/>
      <c r="J860" s="272"/>
      <c r="K860" s="260"/>
      <c r="L860" s="261"/>
      <c r="M860" s="262" t="str">
        <f t="shared" si="1"/>
        <v/>
      </c>
      <c r="N860" s="263" t="str">
        <f t="shared" si="2"/>
        <v/>
      </c>
      <c r="O860" s="264" t="str">
        <f t="shared" si="3"/>
        <v/>
      </c>
      <c r="P860" s="265" t="str">
        <f>IFERROR(__xludf.DUMMYFUNCTION("IF(ISBLANK(A860),"""",IFERROR(IF(H860=""Sell"",VLOOKUP(9^99,FILTER({ROW(P$2:P859),P$2:P859},D$2:D859=D860),2),(VLOOKUP(9^99,FILTER({ROW(P$2:P859),P$2:P859},D$2:D859=D860),2)*VLOOKUP(9^99,FILTER({ROW(O$2:O859),O$2:O859},D$2:D859=D860),2)-N860)/O860),J860))"),"")</f>
        <v/>
      </c>
      <c r="Q860" s="264" t="str">
        <f>IFERROR(__xludf.DUMMYFUNCTION("IFERROR(IF(F860=""Crypto"",B860,(IF(ISBLANK(D860),"""",IF(D860=""Cash"",B860,IF(GOOGLEFINANCE(D860,""CURRENCY"")=""GBX"",""GBP"",GOOGLEFINANCE(D860,""CURRENCY"")))))),B860)"),"")</f>
        <v/>
      </c>
      <c r="R860" s="263" t="str">
        <f>IFERROR(__xludf.DUMMYFUNCTION("IF(ISBLANK(A860),"""",IFERROR(IF(OR(Q860=""GPB"",Q860=""ZAR""),IF(Q860=Dashboard!$L$1,K860,(K860*GOOGLEFINANCE(""CURRENCY:""&amp;Q860&amp;""""&amp;Dashboard!$L$1&amp;""""))/100),IF(Q860=Dashboard!$L$1,K860,K860*GOOGLEFINANCE(""CURRENCY:""&amp;Q860&amp;""""&amp;Dashboard!$L$1&amp;"""")))"&amp;",K860))"),"")</f>
        <v/>
      </c>
      <c r="S860" s="266" t="str">
        <f>IFERROR(__xludf.DUMMYFUNCTION("IF(ISBLANK(A860),"""",IFERROR(IF(OR(Q860=""GPB"",Q860=""ZAR""),IF(Q860=Dashboard!$L$1,M860,(M860*GOOGLEFINANCE(""CURRENCY:""&amp;Q860&amp;""""&amp;Dashboard!$L$1&amp;""""))/100),IF(Q860=Dashboard!$L$1,M860,M860*GOOGLEFINANCE(""CURRENCY:""&amp;Q860&amp;""""&amp;Dashboard!$L$1&amp;"""")))"&amp;",M860))"),"")</f>
        <v/>
      </c>
      <c r="T860" s="264" t="str">
        <f t="shared" si="4"/>
        <v/>
      </c>
      <c r="U860" s="264" t="str">
        <f t="shared" si="5"/>
        <v/>
      </c>
      <c r="V860" s="264" t="str">
        <f t="shared" si="6"/>
        <v/>
      </c>
      <c r="W860" s="267" t="str">
        <f t="shared" si="8"/>
        <v/>
      </c>
      <c r="X860" s="264" t="str">
        <f t="shared" si="7"/>
        <v/>
      </c>
    </row>
    <row r="861" ht="15.75" customHeight="1">
      <c r="A861" s="258"/>
      <c r="B861" s="258"/>
      <c r="C861" s="269"/>
      <c r="D861" s="258"/>
      <c r="E861" s="258"/>
      <c r="F861" s="258"/>
      <c r="G861" s="258"/>
      <c r="H861" s="271"/>
      <c r="I861" s="258"/>
      <c r="J861" s="272"/>
      <c r="K861" s="260"/>
      <c r="L861" s="261"/>
      <c r="M861" s="262" t="str">
        <f t="shared" si="1"/>
        <v/>
      </c>
      <c r="N861" s="263" t="str">
        <f t="shared" si="2"/>
        <v/>
      </c>
      <c r="O861" s="264" t="str">
        <f t="shared" si="3"/>
        <v/>
      </c>
      <c r="P861" s="265" t="str">
        <f>IFERROR(__xludf.DUMMYFUNCTION("IF(ISBLANK(A861),"""",IFERROR(IF(H861=""Sell"",VLOOKUP(9^99,FILTER({ROW(P$2:P860),P$2:P860},D$2:D860=D861),2),(VLOOKUP(9^99,FILTER({ROW(P$2:P860),P$2:P860},D$2:D860=D861),2)*VLOOKUP(9^99,FILTER({ROW(O$2:O860),O$2:O860},D$2:D860=D861),2)-N861)/O861),J861))"),"")</f>
        <v/>
      </c>
      <c r="Q861" s="264" t="str">
        <f>IFERROR(__xludf.DUMMYFUNCTION("IFERROR(IF(F861=""Crypto"",B861,(IF(ISBLANK(D861),"""",IF(D861=""Cash"",B861,IF(GOOGLEFINANCE(D861,""CURRENCY"")=""GBX"",""GBP"",GOOGLEFINANCE(D861,""CURRENCY"")))))),B861)"),"")</f>
        <v/>
      </c>
      <c r="R861" s="263" t="str">
        <f>IFERROR(__xludf.DUMMYFUNCTION("IF(ISBLANK(A861),"""",IFERROR(IF(OR(Q861=""GPB"",Q861=""ZAR""),IF(Q861=Dashboard!$L$1,K861,(K861*GOOGLEFINANCE(""CURRENCY:""&amp;Q861&amp;""""&amp;Dashboard!$L$1&amp;""""))/100),IF(Q861=Dashboard!$L$1,K861,K861*GOOGLEFINANCE(""CURRENCY:""&amp;Q861&amp;""""&amp;Dashboard!$L$1&amp;"""")))"&amp;",K861))"),"")</f>
        <v/>
      </c>
      <c r="S861" s="266" t="str">
        <f>IFERROR(__xludf.DUMMYFUNCTION("IF(ISBLANK(A861),"""",IFERROR(IF(OR(Q861=""GPB"",Q861=""ZAR""),IF(Q861=Dashboard!$L$1,M861,(M861*GOOGLEFINANCE(""CURRENCY:""&amp;Q861&amp;""""&amp;Dashboard!$L$1&amp;""""))/100),IF(Q861=Dashboard!$L$1,M861,M861*GOOGLEFINANCE(""CURRENCY:""&amp;Q861&amp;""""&amp;Dashboard!$L$1&amp;"""")))"&amp;",M861))"),"")</f>
        <v/>
      </c>
      <c r="T861" s="264" t="str">
        <f t="shared" si="4"/>
        <v/>
      </c>
      <c r="U861" s="264" t="str">
        <f t="shared" si="5"/>
        <v/>
      </c>
      <c r="V861" s="264" t="str">
        <f t="shared" si="6"/>
        <v/>
      </c>
      <c r="W861" s="267" t="str">
        <f t="shared" si="8"/>
        <v/>
      </c>
      <c r="X861" s="264" t="str">
        <f t="shared" si="7"/>
        <v/>
      </c>
    </row>
    <row r="862" ht="15.75" customHeight="1">
      <c r="A862" s="258"/>
      <c r="B862" s="258"/>
      <c r="C862" s="269"/>
      <c r="D862" s="258"/>
      <c r="E862" s="258"/>
      <c r="F862" s="258"/>
      <c r="G862" s="258"/>
      <c r="H862" s="271"/>
      <c r="I862" s="258"/>
      <c r="J862" s="272"/>
      <c r="K862" s="260"/>
      <c r="L862" s="261"/>
      <c r="M862" s="262" t="str">
        <f t="shared" si="1"/>
        <v/>
      </c>
      <c r="N862" s="263" t="str">
        <f t="shared" si="2"/>
        <v/>
      </c>
      <c r="O862" s="264" t="str">
        <f t="shared" si="3"/>
        <v/>
      </c>
      <c r="P862" s="265" t="str">
        <f>IFERROR(__xludf.DUMMYFUNCTION("IF(ISBLANK(A862),"""",IFERROR(IF(H862=""Sell"",VLOOKUP(9^99,FILTER({ROW(P$2:P861),P$2:P861},D$2:D861=D862),2),(VLOOKUP(9^99,FILTER({ROW(P$2:P861),P$2:P861},D$2:D861=D862),2)*VLOOKUP(9^99,FILTER({ROW(O$2:O861),O$2:O861},D$2:D861=D862),2)-N862)/O862),J862))"),"")</f>
        <v/>
      </c>
      <c r="Q862" s="264" t="str">
        <f>IFERROR(__xludf.DUMMYFUNCTION("IFERROR(IF(F862=""Crypto"",B862,(IF(ISBLANK(D862),"""",IF(D862=""Cash"",B862,IF(GOOGLEFINANCE(D862,""CURRENCY"")=""GBX"",""GBP"",GOOGLEFINANCE(D862,""CURRENCY"")))))),B862)"),"")</f>
        <v/>
      </c>
      <c r="R862" s="263" t="str">
        <f>IFERROR(__xludf.DUMMYFUNCTION("IF(ISBLANK(A862),"""",IFERROR(IF(OR(Q862=""GPB"",Q862=""ZAR""),IF(Q862=Dashboard!$L$1,K862,(K862*GOOGLEFINANCE(""CURRENCY:""&amp;Q862&amp;""""&amp;Dashboard!$L$1&amp;""""))/100),IF(Q862=Dashboard!$L$1,K862,K862*GOOGLEFINANCE(""CURRENCY:""&amp;Q862&amp;""""&amp;Dashboard!$L$1&amp;"""")))"&amp;",K862))"),"")</f>
        <v/>
      </c>
      <c r="S862" s="266" t="str">
        <f>IFERROR(__xludf.DUMMYFUNCTION("IF(ISBLANK(A862),"""",IFERROR(IF(OR(Q862=""GPB"",Q862=""ZAR""),IF(Q862=Dashboard!$L$1,M862,(M862*GOOGLEFINANCE(""CURRENCY:""&amp;Q862&amp;""""&amp;Dashboard!$L$1&amp;""""))/100),IF(Q862=Dashboard!$L$1,M862,M862*GOOGLEFINANCE(""CURRENCY:""&amp;Q862&amp;""""&amp;Dashboard!$L$1&amp;"""")))"&amp;",M862))"),"")</f>
        <v/>
      </c>
      <c r="T862" s="264" t="str">
        <f t="shared" si="4"/>
        <v/>
      </c>
      <c r="U862" s="264" t="str">
        <f t="shared" si="5"/>
        <v/>
      </c>
      <c r="V862" s="264" t="str">
        <f t="shared" si="6"/>
        <v/>
      </c>
      <c r="W862" s="267" t="str">
        <f t="shared" si="8"/>
        <v/>
      </c>
      <c r="X862" s="264" t="str">
        <f t="shared" si="7"/>
        <v/>
      </c>
    </row>
    <row r="863" ht="15.75" customHeight="1">
      <c r="A863" s="258"/>
      <c r="B863" s="258"/>
      <c r="C863" s="269"/>
      <c r="D863" s="258"/>
      <c r="E863" s="258"/>
      <c r="F863" s="258"/>
      <c r="G863" s="258"/>
      <c r="H863" s="271"/>
      <c r="I863" s="258"/>
      <c r="J863" s="272"/>
      <c r="K863" s="260"/>
      <c r="L863" s="261"/>
      <c r="M863" s="262" t="str">
        <f t="shared" si="1"/>
        <v/>
      </c>
      <c r="N863" s="263" t="str">
        <f t="shared" si="2"/>
        <v/>
      </c>
      <c r="O863" s="264" t="str">
        <f t="shared" si="3"/>
        <v/>
      </c>
      <c r="P863" s="265" t="str">
        <f>IFERROR(__xludf.DUMMYFUNCTION("IF(ISBLANK(A863),"""",IFERROR(IF(H863=""Sell"",VLOOKUP(9^99,FILTER({ROW(P$2:P862),P$2:P862},D$2:D862=D863),2),(VLOOKUP(9^99,FILTER({ROW(P$2:P862),P$2:P862},D$2:D862=D863),2)*VLOOKUP(9^99,FILTER({ROW(O$2:O862),O$2:O862},D$2:D862=D863),2)-N863)/O863),J863))"),"")</f>
        <v/>
      </c>
      <c r="Q863" s="264" t="str">
        <f>IFERROR(__xludf.DUMMYFUNCTION("IFERROR(IF(F863=""Crypto"",B863,(IF(ISBLANK(D863),"""",IF(D863=""Cash"",B863,IF(GOOGLEFINANCE(D863,""CURRENCY"")=""GBX"",""GBP"",GOOGLEFINANCE(D863,""CURRENCY"")))))),B863)"),"")</f>
        <v/>
      </c>
      <c r="R863" s="263" t="str">
        <f>IFERROR(__xludf.DUMMYFUNCTION("IF(ISBLANK(A863),"""",IFERROR(IF(OR(Q863=""GPB"",Q863=""ZAR""),IF(Q863=Dashboard!$L$1,K863,(K863*GOOGLEFINANCE(""CURRENCY:""&amp;Q863&amp;""""&amp;Dashboard!$L$1&amp;""""))/100),IF(Q863=Dashboard!$L$1,K863,K863*GOOGLEFINANCE(""CURRENCY:""&amp;Q863&amp;""""&amp;Dashboard!$L$1&amp;"""")))"&amp;",K863))"),"")</f>
        <v/>
      </c>
      <c r="S863" s="266" t="str">
        <f>IFERROR(__xludf.DUMMYFUNCTION("IF(ISBLANK(A863),"""",IFERROR(IF(OR(Q863=""GPB"",Q863=""ZAR""),IF(Q863=Dashboard!$L$1,M863,(M863*GOOGLEFINANCE(""CURRENCY:""&amp;Q863&amp;""""&amp;Dashboard!$L$1&amp;""""))/100),IF(Q863=Dashboard!$L$1,M863,M863*GOOGLEFINANCE(""CURRENCY:""&amp;Q863&amp;""""&amp;Dashboard!$L$1&amp;"""")))"&amp;",M863))"),"")</f>
        <v/>
      </c>
      <c r="T863" s="264" t="str">
        <f t="shared" si="4"/>
        <v/>
      </c>
      <c r="U863" s="264" t="str">
        <f t="shared" si="5"/>
        <v/>
      </c>
      <c r="V863" s="264" t="str">
        <f t="shared" si="6"/>
        <v/>
      </c>
      <c r="W863" s="267" t="str">
        <f t="shared" si="8"/>
        <v/>
      </c>
      <c r="X863" s="264" t="str">
        <f t="shared" si="7"/>
        <v/>
      </c>
    </row>
    <row r="864" ht="15.75" customHeight="1">
      <c r="A864" s="258"/>
      <c r="B864" s="258"/>
      <c r="C864" s="269"/>
      <c r="D864" s="258"/>
      <c r="E864" s="258"/>
      <c r="F864" s="258"/>
      <c r="G864" s="258"/>
      <c r="H864" s="271"/>
      <c r="I864" s="258"/>
      <c r="J864" s="272"/>
      <c r="K864" s="260"/>
      <c r="L864" s="261"/>
      <c r="M864" s="262" t="str">
        <f t="shared" si="1"/>
        <v/>
      </c>
      <c r="N864" s="263" t="str">
        <f t="shared" si="2"/>
        <v/>
      </c>
      <c r="O864" s="264" t="str">
        <f t="shared" si="3"/>
        <v/>
      </c>
      <c r="P864" s="265" t="str">
        <f>IFERROR(__xludf.DUMMYFUNCTION("IF(ISBLANK(A864),"""",IFERROR(IF(H864=""Sell"",VLOOKUP(9^99,FILTER({ROW(P$2:P863),P$2:P863},D$2:D863=D864),2),(VLOOKUP(9^99,FILTER({ROW(P$2:P863),P$2:P863},D$2:D863=D864),2)*VLOOKUP(9^99,FILTER({ROW(O$2:O863),O$2:O863},D$2:D863=D864),2)-N864)/O864),J864))"),"")</f>
        <v/>
      </c>
      <c r="Q864" s="264" t="str">
        <f>IFERROR(__xludf.DUMMYFUNCTION("IFERROR(IF(F864=""Crypto"",B864,(IF(ISBLANK(D864),"""",IF(D864=""Cash"",B864,IF(GOOGLEFINANCE(D864,""CURRENCY"")=""GBX"",""GBP"",GOOGLEFINANCE(D864,""CURRENCY"")))))),B864)"),"")</f>
        <v/>
      </c>
      <c r="R864" s="263" t="str">
        <f>IFERROR(__xludf.DUMMYFUNCTION("IF(ISBLANK(A864),"""",IFERROR(IF(OR(Q864=""GPB"",Q864=""ZAR""),IF(Q864=Dashboard!$L$1,K864,(K864*GOOGLEFINANCE(""CURRENCY:""&amp;Q864&amp;""""&amp;Dashboard!$L$1&amp;""""))/100),IF(Q864=Dashboard!$L$1,K864,K864*GOOGLEFINANCE(""CURRENCY:""&amp;Q864&amp;""""&amp;Dashboard!$L$1&amp;"""")))"&amp;",K864))"),"")</f>
        <v/>
      </c>
      <c r="S864" s="266" t="str">
        <f>IFERROR(__xludf.DUMMYFUNCTION("IF(ISBLANK(A864),"""",IFERROR(IF(OR(Q864=""GPB"",Q864=""ZAR""),IF(Q864=Dashboard!$L$1,M864,(M864*GOOGLEFINANCE(""CURRENCY:""&amp;Q864&amp;""""&amp;Dashboard!$L$1&amp;""""))/100),IF(Q864=Dashboard!$L$1,M864,M864*GOOGLEFINANCE(""CURRENCY:""&amp;Q864&amp;""""&amp;Dashboard!$L$1&amp;"""")))"&amp;",M864))"),"")</f>
        <v/>
      </c>
      <c r="T864" s="264" t="str">
        <f t="shared" si="4"/>
        <v/>
      </c>
      <c r="U864" s="264" t="str">
        <f t="shared" si="5"/>
        <v/>
      </c>
      <c r="V864" s="264" t="str">
        <f t="shared" si="6"/>
        <v/>
      </c>
      <c r="W864" s="267" t="str">
        <f t="shared" si="8"/>
        <v/>
      </c>
      <c r="X864" s="264" t="str">
        <f t="shared" si="7"/>
        <v/>
      </c>
    </row>
    <row r="865" ht="15.75" customHeight="1">
      <c r="A865" s="258"/>
      <c r="B865" s="258"/>
      <c r="C865" s="269"/>
      <c r="D865" s="258"/>
      <c r="E865" s="258"/>
      <c r="F865" s="258"/>
      <c r="G865" s="258"/>
      <c r="H865" s="271"/>
      <c r="I865" s="258"/>
      <c r="J865" s="272"/>
      <c r="K865" s="260"/>
      <c r="L865" s="261"/>
      <c r="M865" s="262" t="str">
        <f t="shared" si="1"/>
        <v/>
      </c>
      <c r="N865" s="263" t="str">
        <f t="shared" si="2"/>
        <v/>
      </c>
      <c r="O865" s="264" t="str">
        <f t="shared" si="3"/>
        <v/>
      </c>
      <c r="P865" s="265" t="str">
        <f>IFERROR(__xludf.DUMMYFUNCTION("IF(ISBLANK(A865),"""",IFERROR(IF(H865=""Sell"",VLOOKUP(9^99,FILTER({ROW(P$2:P864),P$2:P864},D$2:D864=D865),2),(VLOOKUP(9^99,FILTER({ROW(P$2:P864),P$2:P864},D$2:D864=D865),2)*VLOOKUP(9^99,FILTER({ROW(O$2:O864),O$2:O864},D$2:D864=D865),2)-N865)/O865),J865))"),"")</f>
        <v/>
      </c>
      <c r="Q865" s="264" t="str">
        <f>IFERROR(__xludf.DUMMYFUNCTION("IFERROR(IF(F865=""Crypto"",B865,(IF(ISBLANK(D865),"""",IF(D865=""Cash"",B865,IF(GOOGLEFINANCE(D865,""CURRENCY"")=""GBX"",""GBP"",GOOGLEFINANCE(D865,""CURRENCY"")))))),B865)"),"")</f>
        <v/>
      </c>
      <c r="R865" s="263" t="str">
        <f>IFERROR(__xludf.DUMMYFUNCTION("IF(ISBLANK(A865),"""",IFERROR(IF(OR(Q865=""GPB"",Q865=""ZAR""),IF(Q865=Dashboard!$L$1,K865,(K865*GOOGLEFINANCE(""CURRENCY:""&amp;Q865&amp;""""&amp;Dashboard!$L$1&amp;""""))/100),IF(Q865=Dashboard!$L$1,K865,K865*GOOGLEFINANCE(""CURRENCY:""&amp;Q865&amp;""""&amp;Dashboard!$L$1&amp;"""")))"&amp;",K865))"),"")</f>
        <v/>
      </c>
      <c r="S865" s="266" t="str">
        <f>IFERROR(__xludf.DUMMYFUNCTION("IF(ISBLANK(A865),"""",IFERROR(IF(OR(Q865=""GPB"",Q865=""ZAR""),IF(Q865=Dashboard!$L$1,M865,(M865*GOOGLEFINANCE(""CURRENCY:""&amp;Q865&amp;""""&amp;Dashboard!$L$1&amp;""""))/100),IF(Q865=Dashboard!$L$1,M865,M865*GOOGLEFINANCE(""CURRENCY:""&amp;Q865&amp;""""&amp;Dashboard!$L$1&amp;"""")))"&amp;",M865))"),"")</f>
        <v/>
      </c>
      <c r="T865" s="264" t="str">
        <f t="shared" si="4"/>
        <v/>
      </c>
      <c r="U865" s="264" t="str">
        <f t="shared" si="5"/>
        <v/>
      </c>
      <c r="V865" s="264" t="str">
        <f t="shared" si="6"/>
        <v/>
      </c>
      <c r="W865" s="267" t="str">
        <f t="shared" si="8"/>
        <v/>
      </c>
      <c r="X865" s="264" t="str">
        <f t="shared" si="7"/>
        <v/>
      </c>
    </row>
    <row r="866" ht="15.75" customHeight="1">
      <c r="A866" s="258"/>
      <c r="B866" s="258"/>
      <c r="C866" s="269"/>
      <c r="D866" s="258"/>
      <c r="E866" s="258"/>
      <c r="F866" s="258"/>
      <c r="G866" s="258"/>
      <c r="H866" s="271"/>
      <c r="I866" s="258"/>
      <c r="J866" s="272"/>
      <c r="K866" s="260"/>
      <c r="L866" s="261"/>
      <c r="M866" s="262" t="str">
        <f t="shared" si="1"/>
        <v/>
      </c>
      <c r="N866" s="263" t="str">
        <f t="shared" si="2"/>
        <v/>
      </c>
      <c r="O866" s="264" t="str">
        <f t="shared" si="3"/>
        <v/>
      </c>
      <c r="P866" s="265" t="str">
        <f>IFERROR(__xludf.DUMMYFUNCTION("IF(ISBLANK(A866),"""",IFERROR(IF(H866=""Sell"",VLOOKUP(9^99,FILTER({ROW(P$2:P865),P$2:P865},D$2:D865=D866),2),(VLOOKUP(9^99,FILTER({ROW(P$2:P865),P$2:P865},D$2:D865=D866),2)*VLOOKUP(9^99,FILTER({ROW(O$2:O865),O$2:O865},D$2:D865=D866),2)-N866)/O866),J866))"),"")</f>
        <v/>
      </c>
      <c r="Q866" s="264" t="str">
        <f>IFERROR(__xludf.DUMMYFUNCTION("IFERROR(IF(F866=""Crypto"",B866,(IF(ISBLANK(D866),"""",IF(D866=""Cash"",B866,IF(GOOGLEFINANCE(D866,""CURRENCY"")=""GBX"",""GBP"",GOOGLEFINANCE(D866,""CURRENCY"")))))),B866)"),"")</f>
        <v/>
      </c>
      <c r="R866" s="263" t="str">
        <f>IFERROR(__xludf.DUMMYFUNCTION("IF(ISBLANK(A866),"""",IFERROR(IF(OR(Q866=""GPB"",Q866=""ZAR""),IF(Q866=Dashboard!$L$1,K866,(K866*GOOGLEFINANCE(""CURRENCY:""&amp;Q866&amp;""""&amp;Dashboard!$L$1&amp;""""))/100),IF(Q866=Dashboard!$L$1,K866,K866*GOOGLEFINANCE(""CURRENCY:""&amp;Q866&amp;""""&amp;Dashboard!$L$1&amp;"""")))"&amp;",K866))"),"")</f>
        <v/>
      </c>
      <c r="S866" s="266" t="str">
        <f>IFERROR(__xludf.DUMMYFUNCTION("IF(ISBLANK(A866),"""",IFERROR(IF(OR(Q866=""GPB"",Q866=""ZAR""),IF(Q866=Dashboard!$L$1,M866,(M866*GOOGLEFINANCE(""CURRENCY:""&amp;Q866&amp;""""&amp;Dashboard!$L$1&amp;""""))/100),IF(Q866=Dashboard!$L$1,M866,M866*GOOGLEFINANCE(""CURRENCY:""&amp;Q866&amp;""""&amp;Dashboard!$L$1&amp;"""")))"&amp;",M866))"),"")</f>
        <v/>
      </c>
      <c r="T866" s="264" t="str">
        <f t="shared" si="4"/>
        <v/>
      </c>
      <c r="U866" s="264" t="str">
        <f t="shared" si="5"/>
        <v/>
      </c>
      <c r="V866" s="264" t="str">
        <f t="shared" si="6"/>
        <v/>
      </c>
      <c r="W866" s="267" t="str">
        <f t="shared" si="8"/>
        <v/>
      </c>
      <c r="X866" s="264" t="str">
        <f t="shared" si="7"/>
        <v/>
      </c>
    </row>
    <row r="867" ht="15.75" customHeight="1">
      <c r="A867" s="258"/>
      <c r="B867" s="258"/>
      <c r="C867" s="269"/>
      <c r="D867" s="258"/>
      <c r="E867" s="258"/>
      <c r="F867" s="258"/>
      <c r="G867" s="258"/>
      <c r="H867" s="271"/>
      <c r="I867" s="258"/>
      <c r="J867" s="272"/>
      <c r="K867" s="260"/>
      <c r="L867" s="261"/>
      <c r="M867" s="262" t="str">
        <f t="shared" si="1"/>
        <v/>
      </c>
      <c r="N867" s="263" t="str">
        <f t="shared" si="2"/>
        <v/>
      </c>
      <c r="O867" s="264" t="str">
        <f t="shared" si="3"/>
        <v/>
      </c>
      <c r="P867" s="265" t="str">
        <f>IFERROR(__xludf.DUMMYFUNCTION("IF(ISBLANK(A867),"""",IFERROR(IF(H867=""Sell"",VLOOKUP(9^99,FILTER({ROW(P$2:P866),P$2:P866},D$2:D866=D867),2),(VLOOKUP(9^99,FILTER({ROW(P$2:P866),P$2:P866},D$2:D866=D867),2)*VLOOKUP(9^99,FILTER({ROW(O$2:O866),O$2:O866},D$2:D866=D867),2)-N867)/O867),J867))"),"")</f>
        <v/>
      </c>
      <c r="Q867" s="264" t="str">
        <f>IFERROR(__xludf.DUMMYFUNCTION("IFERROR(IF(F867=""Crypto"",B867,(IF(ISBLANK(D867),"""",IF(D867=""Cash"",B867,IF(GOOGLEFINANCE(D867,""CURRENCY"")=""GBX"",""GBP"",GOOGLEFINANCE(D867,""CURRENCY"")))))),B867)"),"")</f>
        <v/>
      </c>
      <c r="R867" s="263" t="str">
        <f>IFERROR(__xludf.DUMMYFUNCTION("IF(ISBLANK(A867),"""",IFERROR(IF(OR(Q867=""GPB"",Q867=""ZAR""),IF(Q867=Dashboard!$L$1,K867,(K867*GOOGLEFINANCE(""CURRENCY:""&amp;Q867&amp;""""&amp;Dashboard!$L$1&amp;""""))/100),IF(Q867=Dashboard!$L$1,K867,K867*GOOGLEFINANCE(""CURRENCY:""&amp;Q867&amp;""""&amp;Dashboard!$L$1&amp;"""")))"&amp;",K867))"),"")</f>
        <v/>
      </c>
      <c r="S867" s="266" t="str">
        <f>IFERROR(__xludf.DUMMYFUNCTION("IF(ISBLANK(A867),"""",IFERROR(IF(OR(Q867=""GPB"",Q867=""ZAR""),IF(Q867=Dashboard!$L$1,M867,(M867*GOOGLEFINANCE(""CURRENCY:""&amp;Q867&amp;""""&amp;Dashboard!$L$1&amp;""""))/100),IF(Q867=Dashboard!$L$1,M867,M867*GOOGLEFINANCE(""CURRENCY:""&amp;Q867&amp;""""&amp;Dashboard!$L$1&amp;"""")))"&amp;",M867))"),"")</f>
        <v/>
      </c>
      <c r="T867" s="264" t="str">
        <f t="shared" si="4"/>
        <v/>
      </c>
      <c r="U867" s="264" t="str">
        <f t="shared" si="5"/>
        <v/>
      </c>
      <c r="V867" s="264" t="str">
        <f t="shared" si="6"/>
        <v/>
      </c>
      <c r="W867" s="267" t="str">
        <f t="shared" si="8"/>
        <v/>
      </c>
      <c r="X867" s="264" t="str">
        <f t="shared" si="7"/>
        <v/>
      </c>
    </row>
    <row r="868" ht="15.75" customHeight="1">
      <c r="A868" s="258"/>
      <c r="B868" s="258"/>
      <c r="C868" s="269"/>
      <c r="D868" s="258"/>
      <c r="E868" s="258"/>
      <c r="F868" s="258"/>
      <c r="G868" s="258"/>
      <c r="H868" s="271"/>
      <c r="I868" s="258"/>
      <c r="J868" s="272"/>
      <c r="K868" s="260"/>
      <c r="L868" s="261"/>
      <c r="M868" s="262" t="str">
        <f t="shared" si="1"/>
        <v/>
      </c>
      <c r="N868" s="263" t="str">
        <f t="shared" si="2"/>
        <v/>
      </c>
      <c r="O868" s="264" t="str">
        <f t="shared" si="3"/>
        <v/>
      </c>
      <c r="P868" s="265" t="str">
        <f>IFERROR(__xludf.DUMMYFUNCTION("IF(ISBLANK(A868),"""",IFERROR(IF(H868=""Sell"",VLOOKUP(9^99,FILTER({ROW(P$2:P867),P$2:P867},D$2:D867=D868),2),(VLOOKUP(9^99,FILTER({ROW(P$2:P867),P$2:P867},D$2:D867=D868),2)*VLOOKUP(9^99,FILTER({ROW(O$2:O867),O$2:O867},D$2:D867=D868),2)-N868)/O868),J868))"),"")</f>
        <v/>
      </c>
      <c r="Q868" s="264" t="str">
        <f>IFERROR(__xludf.DUMMYFUNCTION("IFERROR(IF(F868=""Crypto"",B868,(IF(ISBLANK(D868),"""",IF(D868=""Cash"",B868,IF(GOOGLEFINANCE(D868,""CURRENCY"")=""GBX"",""GBP"",GOOGLEFINANCE(D868,""CURRENCY"")))))),B868)"),"")</f>
        <v/>
      </c>
      <c r="R868" s="263" t="str">
        <f>IFERROR(__xludf.DUMMYFUNCTION("IF(ISBLANK(A868),"""",IFERROR(IF(OR(Q868=""GPB"",Q868=""ZAR""),IF(Q868=Dashboard!$L$1,K868,(K868*GOOGLEFINANCE(""CURRENCY:""&amp;Q868&amp;""""&amp;Dashboard!$L$1&amp;""""))/100),IF(Q868=Dashboard!$L$1,K868,K868*GOOGLEFINANCE(""CURRENCY:""&amp;Q868&amp;""""&amp;Dashboard!$L$1&amp;"""")))"&amp;",K868))"),"")</f>
        <v/>
      </c>
      <c r="S868" s="266" t="str">
        <f>IFERROR(__xludf.DUMMYFUNCTION("IF(ISBLANK(A868),"""",IFERROR(IF(OR(Q868=""GPB"",Q868=""ZAR""),IF(Q868=Dashboard!$L$1,M868,(M868*GOOGLEFINANCE(""CURRENCY:""&amp;Q868&amp;""""&amp;Dashboard!$L$1&amp;""""))/100),IF(Q868=Dashboard!$L$1,M868,M868*GOOGLEFINANCE(""CURRENCY:""&amp;Q868&amp;""""&amp;Dashboard!$L$1&amp;"""")))"&amp;",M868))"),"")</f>
        <v/>
      </c>
      <c r="T868" s="264" t="str">
        <f t="shared" si="4"/>
        <v/>
      </c>
      <c r="U868" s="264" t="str">
        <f t="shared" si="5"/>
        <v/>
      </c>
      <c r="V868" s="264" t="str">
        <f t="shared" si="6"/>
        <v/>
      </c>
      <c r="W868" s="267" t="str">
        <f t="shared" si="8"/>
        <v/>
      </c>
      <c r="X868" s="264" t="str">
        <f t="shared" si="7"/>
        <v/>
      </c>
    </row>
    <row r="869" ht="15.75" customHeight="1">
      <c r="A869" s="258"/>
      <c r="B869" s="258"/>
      <c r="C869" s="269"/>
      <c r="D869" s="258"/>
      <c r="E869" s="258"/>
      <c r="F869" s="258"/>
      <c r="G869" s="258"/>
      <c r="H869" s="271"/>
      <c r="I869" s="258"/>
      <c r="J869" s="272"/>
      <c r="K869" s="260"/>
      <c r="L869" s="261"/>
      <c r="M869" s="262" t="str">
        <f t="shared" si="1"/>
        <v/>
      </c>
      <c r="N869" s="263" t="str">
        <f t="shared" si="2"/>
        <v/>
      </c>
      <c r="O869" s="264" t="str">
        <f t="shared" si="3"/>
        <v/>
      </c>
      <c r="P869" s="265" t="str">
        <f>IFERROR(__xludf.DUMMYFUNCTION("IF(ISBLANK(A869),"""",IFERROR(IF(H869=""Sell"",VLOOKUP(9^99,FILTER({ROW(P$2:P868),P$2:P868},D$2:D868=D869),2),(VLOOKUP(9^99,FILTER({ROW(P$2:P868),P$2:P868},D$2:D868=D869),2)*VLOOKUP(9^99,FILTER({ROW(O$2:O868),O$2:O868},D$2:D868=D869),2)-N869)/O869),J869))"),"")</f>
        <v/>
      </c>
      <c r="Q869" s="264" t="str">
        <f>IFERROR(__xludf.DUMMYFUNCTION("IFERROR(IF(F869=""Crypto"",B869,(IF(ISBLANK(D869),"""",IF(D869=""Cash"",B869,IF(GOOGLEFINANCE(D869,""CURRENCY"")=""GBX"",""GBP"",GOOGLEFINANCE(D869,""CURRENCY"")))))),B869)"),"")</f>
        <v/>
      </c>
      <c r="R869" s="263" t="str">
        <f>IFERROR(__xludf.DUMMYFUNCTION("IF(ISBLANK(A869),"""",IFERROR(IF(OR(Q869=""GPB"",Q869=""ZAR""),IF(Q869=Dashboard!$L$1,K869,(K869*GOOGLEFINANCE(""CURRENCY:""&amp;Q869&amp;""""&amp;Dashboard!$L$1&amp;""""))/100),IF(Q869=Dashboard!$L$1,K869,K869*GOOGLEFINANCE(""CURRENCY:""&amp;Q869&amp;""""&amp;Dashboard!$L$1&amp;"""")))"&amp;",K869))"),"")</f>
        <v/>
      </c>
      <c r="S869" s="266" t="str">
        <f>IFERROR(__xludf.DUMMYFUNCTION("IF(ISBLANK(A869),"""",IFERROR(IF(OR(Q869=""GPB"",Q869=""ZAR""),IF(Q869=Dashboard!$L$1,M869,(M869*GOOGLEFINANCE(""CURRENCY:""&amp;Q869&amp;""""&amp;Dashboard!$L$1&amp;""""))/100),IF(Q869=Dashboard!$L$1,M869,M869*GOOGLEFINANCE(""CURRENCY:""&amp;Q869&amp;""""&amp;Dashboard!$L$1&amp;"""")))"&amp;",M869))"),"")</f>
        <v/>
      </c>
      <c r="T869" s="264" t="str">
        <f t="shared" si="4"/>
        <v/>
      </c>
      <c r="U869" s="264" t="str">
        <f t="shared" si="5"/>
        <v/>
      </c>
      <c r="V869" s="264" t="str">
        <f t="shared" si="6"/>
        <v/>
      </c>
      <c r="W869" s="267" t="str">
        <f t="shared" si="8"/>
        <v/>
      </c>
      <c r="X869" s="264" t="str">
        <f t="shared" si="7"/>
        <v/>
      </c>
    </row>
    <row r="870" ht="15.75" customHeight="1">
      <c r="A870" s="258"/>
      <c r="B870" s="258"/>
      <c r="C870" s="269"/>
      <c r="D870" s="258"/>
      <c r="E870" s="258"/>
      <c r="F870" s="258"/>
      <c r="G870" s="258"/>
      <c r="H870" s="271"/>
      <c r="I870" s="258"/>
      <c r="J870" s="272"/>
      <c r="K870" s="260"/>
      <c r="L870" s="261"/>
      <c r="M870" s="262" t="str">
        <f t="shared" si="1"/>
        <v/>
      </c>
      <c r="N870" s="263" t="str">
        <f t="shared" si="2"/>
        <v/>
      </c>
      <c r="O870" s="264" t="str">
        <f t="shared" si="3"/>
        <v/>
      </c>
      <c r="P870" s="265" t="str">
        <f>IFERROR(__xludf.DUMMYFUNCTION("IF(ISBLANK(A870),"""",IFERROR(IF(H870=""Sell"",VLOOKUP(9^99,FILTER({ROW(P$2:P869),P$2:P869},D$2:D869=D870),2),(VLOOKUP(9^99,FILTER({ROW(P$2:P869),P$2:P869},D$2:D869=D870),2)*VLOOKUP(9^99,FILTER({ROW(O$2:O869),O$2:O869},D$2:D869=D870),2)-N870)/O870),J870))"),"")</f>
        <v/>
      </c>
      <c r="Q870" s="264" t="str">
        <f>IFERROR(__xludf.DUMMYFUNCTION("IFERROR(IF(F870=""Crypto"",B870,(IF(ISBLANK(D870),"""",IF(D870=""Cash"",B870,IF(GOOGLEFINANCE(D870,""CURRENCY"")=""GBX"",""GBP"",GOOGLEFINANCE(D870,""CURRENCY"")))))),B870)"),"")</f>
        <v/>
      </c>
      <c r="R870" s="263" t="str">
        <f>IFERROR(__xludf.DUMMYFUNCTION("IF(ISBLANK(A870),"""",IFERROR(IF(OR(Q870=""GPB"",Q870=""ZAR""),IF(Q870=Dashboard!$L$1,K870,(K870*GOOGLEFINANCE(""CURRENCY:""&amp;Q870&amp;""""&amp;Dashboard!$L$1&amp;""""))/100),IF(Q870=Dashboard!$L$1,K870,K870*GOOGLEFINANCE(""CURRENCY:""&amp;Q870&amp;""""&amp;Dashboard!$L$1&amp;"""")))"&amp;",K870))"),"")</f>
        <v/>
      </c>
      <c r="S870" s="266" t="str">
        <f>IFERROR(__xludf.DUMMYFUNCTION("IF(ISBLANK(A870),"""",IFERROR(IF(OR(Q870=""GPB"",Q870=""ZAR""),IF(Q870=Dashboard!$L$1,M870,(M870*GOOGLEFINANCE(""CURRENCY:""&amp;Q870&amp;""""&amp;Dashboard!$L$1&amp;""""))/100),IF(Q870=Dashboard!$L$1,M870,M870*GOOGLEFINANCE(""CURRENCY:""&amp;Q870&amp;""""&amp;Dashboard!$L$1&amp;"""")))"&amp;",M870))"),"")</f>
        <v/>
      </c>
      <c r="T870" s="264" t="str">
        <f t="shared" si="4"/>
        <v/>
      </c>
      <c r="U870" s="264" t="str">
        <f t="shared" si="5"/>
        <v/>
      </c>
      <c r="V870" s="264" t="str">
        <f t="shared" si="6"/>
        <v/>
      </c>
      <c r="W870" s="267" t="str">
        <f t="shared" si="8"/>
        <v/>
      </c>
      <c r="X870" s="264" t="str">
        <f t="shared" si="7"/>
        <v/>
      </c>
    </row>
    <row r="871" ht="15.75" customHeight="1">
      <c r="A871" s="258"/>
      <c r="B871" s="258"/>
      <c r="C871" s="269"/>
      <c r="D871" s="258"/>
      <c r="E871" s="258"/>
      <c r="F871" s="258"/>
      <c r="G871" s="258"/>
      <c r="H871" s="271"/>
      <c r="I871" s="258"/>
      <c r="J871" s="272"/>
      <c r="K871" s="260"/>
      <c r="L871" s="261"/>
      <c r="M871" s="262" t="str">
        <f t="shared" si="1"/>
        <v/>
      </c>
      <c r="N871" s="263" t="str">
        <f t="shared" si="2"/>
        <v/>
      </c>
      <c r="O871" s="264" t="str">
        <f t="shared" si="3"/>
        <v/>
      </c>
      <c r="P871" s="265" t="str">
        <f>IFERROR(__xludf.DUMMYFUNCTION("IF(ISBLANK(A871),"""",IFERROR(IF(H871=""Sell"",VLOOKUP(9^99,FILTER({ROW(P$2:P870),P$2:P870},D$2:D870=D871),2),(VLOOKUP(9^99,FILTER({ROW(P$2:P870),P$2:P870},D$2:D870=D871),2)*VLOOKUP(9^99,FILTER({ROW(O$2:O870),O$2:O870},D$2:D870=D871),2)-N871)/O871),J871))"),"")</f>
        <v/>
      </c>
      <c r="Q871" s="264" t="str">
        <f>IFERROR(__xludf.DUMMYFUNCTION("IFERROR(IF(F871=""Crypto"",B871,(IF(ISBLANK(D871),"""",IF(D871=""Cash"",B871,IF(GOOGLEFINANCE(D871,""CURRENCY"")=""GBX"",""GBP"",GOOGLEFINANCE(D871,""CURRENCY"")))))),B871)"),"")</f>
        <v/>
      </c>
      <c r="R871" s="263" t="str">
        <f>IFERROR(__xludf.DUMMYFUNCTION("IF(ISBLANK(A871),"""",IFERROR(IF(OR(Q871=""GPB"",Q871=""ZAR""),IF(Q871=Dashboard!$L$1,K871,(K871*GOOGLEFINANCE(""CURRENCY:""&amp;Q871&amp;""""&amp;Dashboard!$L$1&amp;""""))/100),IF(Q871=Dashboard!$L$1,K871,K871*GOOGLEFINANCE(""CURRENCY:""&amp;Q871&amp;""""&amp;Dashboard!$L$1&amp;"""")))"&amp;",K871))"),"")</f>
        <v/>
      </c>
      <c r="S871" s="266" t="str">
        <f>IFERROR(__xludf.DUMMYFUNCTION("IF(ISBLANK(A871),"""",IFERROR(IF(OR(Q871=""GPB"",Q871=""ZAR""),IF(Q871=Dashboard!$L$1,M871,(M871*GOOGLEFINANCE(""CURRENCY:""&amp;Q871&amp;""""&amp;Dashboard!$L$1&amp;""""))/100),IF(Q871=Dashboard!$L$1,M871,M871*GOOGLEFINANCE(""CURRENCY:""&amp;Q871&amp;""""&amp;Dashboard!$L$1&amp;"""")))"&amp;",M871))"),"")</f>
        <v/>
      </c>
      <c r="T871" s="264" t="str">
        <f t="shared" si="4"/>
        <v/>
      </c>
      <c r="U871" s="264" t="str">
        <f t="shared" si="5"/>
        <v/>
      </c>
      <c r="V871" s="264" t="str">
        <f t="shared" si="6"/>
        <v/>
      </c>
      <c r="W871" s="267" t="str">
        <f t="shared" si="8"/>
        <v/>
      </c>
      <c r="X871" s="264" t="str">
        <f t="shared" si="7"/>
        <v/>
      </c>
    </row>
    <row r="872" ht="15.75" customHeight="1">
      <c r="A872" s="258"/>
      <c r="B872" s="258"/>
      <c r="C872" s="269"/>
      <c r="D872" s="258"/>
      <c r="E872" s="258"/>
      <c r="F872" s="258"/>
      <c r="G872" s="258"/>
      <c r="H872" s="271"/>
      <c r="I872" s="258"/>
      <c r="J872" s="272"/>
      <c r="K872" s="260"/>
      <c r="L872" s="261"/>
      <c r="M872" s="262" t="str">
        <f t="shared" si="1"/>
        <v/>
      </c>
      <c r="N872" s="263" t="str">
        <f t="shared" si="2"/>
        <v/>
      </c>
      <c r="O872" s="264" t="str">
        <f t="shared" si="3"/>
        <v/>
      </c>
      <c r="P872" s="265" t="str">
        <f>IFERROR(__xludf.DUMMYFUNCTION("IF(ISBLANK(A872),"""",IFERROR(IF(H872=""Sell"",VLOOKUP(9^99,FILTER({ROW(P$2:P871),P$2:P871},D$2:D871=D872),2),(VLOOKUP(9^99,FILTER({ROW(P$2:P871),P$2:P871},D$2:D871=D872),2)*VLOOKUP(9^99,FILTER({ROW(O$2:O871),O$2:O871},D$2:D871=D872),2)-N872)/O872),J872))"),"")</f>
        <v/>
      </c>
      <c r="Q872" s="264" t="str">
        <f>IFERROR(__xludf.DUMMYFUNCTION("IFERROR(IF(F872=""Crypto"",B872,(IF(ISBLANK(D872),"""",IF(D872=""Cash"",B872,IF(GOOGLEFINANCE(D872,""CURRENCY"")=""GBX"",""GBP"",GOOGLEFINANCE(D872,""CURRENCY"")))))),B872)"),"")</f>
        <v/>
      </c>
      <c r="R872" s="263" t="str">
        <f>IFERROR(__xludf.DUMMYFUNCTION("IF(ISBLANK(A872),"""",IFERROR(IF(OR(Q872=""GPB"",Q872=""ZAR""),IF(Q872=Dashboard!$L$1,K872,(K872*GOOGLEFINANCE(""CURRENCY:""&amp;Q872&amp;""""&amp;Dashboard!$L$1&amp;""""))/100),IF(Q872=Dashboard!$L$1,K872,K872*GOOGLEFINANCE(""CURRENCY:""&amp;Q872&amp;""""&amp;Dashboard!$L$1&amp;"""")))"&amp;",K872))"),"")</f>
        <v/>
      </c>
      <c r="S872" s="266" t="str">
        <f>IFERROR(__xludf.DUMMYFUNCTION("IF(ISBLANK(A872),"""",IFERROR(IF(OR(Q872=""GPB"",Q872=""ZAR""),IF(Q872=Dashboard!$L$1,M872,(M872*GOOGLEFINANCE(""CURRENCY:""&amp;Q872&amp;""""&amp;Dashboard!$L$1&amp;""""))/100),IF(Q872=Dashboard!$L$1,M872,M872*GOOGLEFINANCE(""CURRENCY:""&amp;Q872&amp;""""&amp;Dashboard!$L$1&amp;"""")))"&amp;",M872))"),"")</f>
        <v/>
      </c>
      <c r="T872" s="264" t="str">
        <f t="shared" si="4"/>
        <v/>
      </c>
      <c r="U872" s="264" t="str">
        <f t="shared" si="5"/>
        <v/>
      </c>
      <c r="V872" s="264" t="str">
        <f t="shared" si="6"/>
        <v/>
      </c>
      <c r="W872" s="267" t="str">
        <f t="shared" si="8"/>
        <v/>
      </c>
      <c r="X872" s="264" t="str">
        <f t="shared" si="7"/>
        <v/>
      </c>
    </row>
    <row r="873" ht="15.75" customHeight="1">
      <c r="A873" s="258"/>
      <c r="B873" s="258"/>
      <c r="C873" s="269"/>
      <c r="D873" s="258"/>
      <c r="E873" s="258"/>
      <c r="F873" s="258"/>
      <c r="G873" s="258"/>
      <c r="H873" s="271"/>
      <c r="I873" s="258"/>
      <c r="J873" s="272"/>
      <c r="K873" s="260"/>
      <c r="L873" s="261"/>
      <c r="M873" s="262" t="str">
        <f t="shared" si="1"/>
        <v/>
      </c>
      <c r="N873" s="263" t="str">
        <f t="shared" si="2"/>
        <v/>
      </c>
      <c r="O873" s="264" t="str">
        <f t="shared" si="3"/>
        <v/>
      </c>
      <c r="P873" s="265" t="str">
        <f>IFERROR(__xludf.DUMMYFUNCTION("IF(ISBLANK(A873),"""",IFERROR(IF(H873=""Sell"",VLOOKUP(9^99,FILTER({ROW(P$2:P872),P$2:P872},D$2:D872=D873),2),(VLOOKUP(9^99,FILTER({ROW(P$2:P872),P$2:P872},D$2:D872=D873),2)*VLOOKUP(9^99,FILTER({ROW(O$2:O872),O$2:O872},D$2:D872=D873),2)-N873)/O873),J873))"),"")</f>
        <v/>
      </c>
      <c r="Q873" s="264" t="str">
        <f>IFERROR(__xludf.DUMMYFUNCTION("IFERROR(IF(F873=""Crypto"",B873,(IF(ISBLANK(D873),"""",IF(D873=""Cash"",B873,IF(GOOGLEFINANCE(D873,""CURRENCY"")=""GBX"",""GBP"",GOOGLEFINANCE(D873,""CURRENCY"")))))),B873)"),"")</f>
        <v/>
      </c>
      <c r="R873" s="263" t="str">
        <f>IFERROR(__xludf.DUMMYFUNCTION("IF(ISBLANK(A873),"""",IFERROR(IF(OR(Q873=""GPB"",Q873=""ZAR""),IF(Q873=Dashboard!$L$1,K873,(K873*GOOGLEFINANCE(""CURRENCY:""&amp;Q873&amp;""""&amp;Dashboard!$L$1&amp;""""))/100),IF(Q873=Dashboard!$L$1,K873,K873*GOOGLEFINANCE(""CURRENCY:""&amp;Q873&amp;""""&amp;Dashboard!$L$1&amp;"""")))"&amp;",K873))"),"")</f>
        <v/>
      </c>
      <c r="S873" s="266" t="str">
        <f>IFERROR(__xludf.DUMMYFUNCTION("IF(ISBLANK(A873),"""",IFERROR(IF(OR(Q873=""GPB"",Q873=""ZAR""),IF(Q873=Dashboard!$L$1,M873,(M873*GOOGLEFINANCE(""CURRENCY:""&amp;Q873&amp;""""&amp;Dashboard!$L$1&amp;""""))/100),IF(Q873=Dashboard!$L$1,M873,M873*GOOGLEFINANCE(""CURRENCY:""&amp;Q873&amp;""""&amp;Dashboard!$L$1&amp;"""")))"&amp;",M873))"),"")</f>
        <v/>
      </c>
      <c r="T873" s="264" t="str">
        <f t="shared" si="4"/>
        <v/>
      </c>
      <c r="U873" s="264" t="str">
        <f t="shared" si="5"/>
        <v/>
      </c>
      <c r="V873" s="264" t="str">
        <f t="shared" si="6"/>
        <v/>
      </c>
      <c r="W873" s="267" t="str">
        <f t="shared" si="8"/>
        <v/>
      </c>
      <c r="X873" s="264" t="str">
        <f t="shared" si="7"/>
        <v/>
      </c>
    </row>
    <row r="874" ht="15.75" customHeight="1">
      <c r="A874" s="258"/>
      <c r="B874" s="258"/>
      <c r="C874" s="269"/>
      <c r="D874" s="258"/>
      <c r="E874" s="258"/>
      <c r="F874" s="258"/>
      <c r="G874" s="258"/>
      <c r="H874" s="271"/>
      <c r="I874" s="258"/>
      <c r="J874" s="272"/>
      <c r="K874" s="260"/>
      <c r="L874" s="261"/>
      <c r="M874" s="262" t="str">
        <f t="shared" si="1"/>
        <v/>
      </c>
      <c r="N874" s="263" t="str">
        <f t="shared" si="2"/>
        <v/>
      </c>
      <c r="O874" s="264" t="str">
        <f t="shared" si="3"/>
        <v/>
      </c>
      <c r="P874" s="265" t="str">
        <f>IFERROR(__xludf.DUMMYFUNCTION("IF(ISBLANK(A874),"""",IFERROR(IF(H874=""Sell"",VLOOKUP(9^99,FILTER({ROW(P$2:P873),P$2:P873},D$2:D873=D874),2),(VLOOKUP(9^99,FILTER({ROW(P$2:P873),P$2:P873},D$2:D873=D874),2)*VLOOKUP(9^99,FILTER({ROW(O$2:O873),O$2:O873},D$2:D873=D874),2)-N874)/O874),J874))"),"")</f>
        <v/>
      </c>
      <c r="Q874" s="264" t="str">
        <f>IFERROR(__xludf.DUMMYFUNCTION("IFERROR(IF(F874=""Crypto"",B874,(IF(ISBLANK(D874),"""",IF(D874=""Cash"",B874,IF(GOOGLEFINANCE(D874,""CURRENCY"")=""GBX"",""GBP"",GOOGLEFINANCE(D874,""CURRENCY"")))))),B874)"),"")</f>
        <v/>
      </c>
      <c r="R874" s="263" t="str">
        <f>IFERROR(__xludf.DUMMYFUNCTION("IF(ISBLANK(A874),"""",IFERROR(IF(OR(Q874=""GPB"",Q874=""ZAR""),IF(Q874=Dashboard!$L$1,K874,(K874*GOOGLEFINANCE(""CURRENCY:""&amp;Q874&amp;""""&amp;Dashboard!$L$1&amp;""""))/100),IF(Q874=Dashboard!$L$1,K874,K874*GOOGLEFINANCE(""CURRENCY:""&amp;Q874&amp;""""&amp;Dashboard!$L$1&amp;"""")))"&amp;",K874))"),"")</f>
        <v/>
      </c>
      <c r="S874" s="266" t="str">
        <f>IFERROR(__xludf.DUMMYFUNCTION("IF(ISBLANK(A874),"""",IFERROR(IF(OR(Q874=""GPB"",Q874=""ZAR""),IF(Q874=Dashboard!$L$1,M874,(M874*GOOGLEFINANCE(""CURRENCY:""&amp;Q874&amp;""""&amp;Dashboard!$L$1&amp;""""))/100),IF(Q874=Dashboard!$L$1,M874,M874*GOOGLEFINANCE(""CURRENCY:""&amp;Q874&amp;""""&amp;Dashboard!$L$1&amp;"""")))"&amp;",M874))"),"")</f>
        <v/>
      </c>
      <c r="T874" s="264" t="str">
        <f t="shared" si="4"/>
        <v/>
      </c>
      <c r="U874" s="264" t="str">
        <f t="shared" si="5"/>
        <v/>
      </c>
      <c r="V874" s="264" t="str">
        <f t="shared" si="6"/>
        <v/>
      </c>
      <c r="W874" s="267" t="str">
        <f t="shared" si="8"/>
        <v/>
      </c>
      <c r="X874" s="264" t="str">
        <f t="shared" si="7"/>
        <v/>
      </c>
    </row>
    <row r="875" ht="15.75" customHeight="1">
      <c r="A875" s="258"/>
      <c r="B875" s="258"/>
      <c r="C875" s="269"/>
      <c r="D875" s="258"/>
      <c r="E875" s="258"/>
      <c r="F875" s="258"/>
      <c r="G875" s="258"/>
      <c r="H875" s="271"/>
      <c r="I875" s="258"/>
      <c r="J875" s="272"/>
      <c r="K875" s="260"/>
      <c r="L875" s="261"/>
      <c r="M875" s="262" t="str">
        <f t="shared" si="1"/>
        <v/>
      </c>
      <c r="N875" s="263" t="str">
        <f t="shared" si="2"/>
        <v/>
      </c>
      <c r="O875" s="264" t="str">
        <f t="shared" si="3"/>
        <v/>
      </c>
      <c r="P875" s="265" t="str">
        <f>IFERROR(__xludf.DUMMYFUNCTION("IF(ISBLANK(A875),"""",IFERROR(IF(H875=""Sell"",VLOOKUP(9^99,FILTER({ROW(P$2:P874),P$2:P874},D$2:D874=D875),2),(VLOOKUP(9^99,FILTER({ROW(P$2:P874),P$2:P874},D$2:D874=D875),2)*VLOOKUP(9^99,FILTER({ROW(O$2:O874),O$2:O874},D$2:D874=D875),2)-N875)/O875),J875))"),"")</f>
        <v/>
      </c>
      <c r="Q875" s="264" t="str">
        <f>IFERROR(__xludf.DUMMYFUNCTION("IFERROR(IF(F875=""Crypto"",B875,(IF(ISBLANK(D875),"""",IF(D875=""Cash"",B875,IF(GOOGLEFINANCE(D875,""CURRENCY"")=""GBX"",""GBP"",GOOGLEFINANCE(D875,""CURRENCY"")))))),B875)"),"")</f>
        <v/>
      </c>
      <c r="R875" s="263" t="str">
        <f>IFERROR(__xludf.DUMMYFUNCTION("IF(ISBLANK(A875),"""",IFERROR(IF(OR(Q875=""GPB"",Q875=""ZAR""),IF(Q875=Dashboard!$L$1,K875,(K875*GOOGLEFINANCE(""CURRENCY:""&amp;Q875&amp;""""&amp;Dashboard!$L$1&amp;""""))/100),IF(Q875=Dashboard!$L$1,K875,K875*GOOGLEFINANCE(""CURRENCY:""&amp;Q875&amp;""""&amp;Dashboard!$L$1&amp;"""")))"&amp;",K875))"),"")</f>
        <v/>
      </c>
      <c r="S875" s="266" t="str">
        <f>IFERROR(__xludf.DUMMYFUNCTION("IF(ISBLANK(A875),"""",IFERROR(IF(OR(Q875=""GPB"",Q875=""ZAR""),IF(Q875=Dashboard!$L$1,M875,(M875*GOOGLEFINANCE(""CURRENCY:""&amp;Q875&amp;""""&amp;Dashboard!$L$1&amp;""""))/100),IF(Q875=Dashboard!$L$1,M875,M875*GOOGLEFINANCE(""CURRENCY:""&amp;Q875&amp;""""&amp;Dashboard!$L$1&amp;"""")))"&amp;",M875))"),"")</f>
        <v/>
      </c>
      <c r="T875" s="264" t="str">
        <f t="shared" si="4"/>
        <v/>
      </c>
      <c r="U875" s="264" t="str">
        <f t="shared" si="5"/>
        <v/>
      </c>
      <c r="V875" s="264" t="str">
        <f t="shared" si="6"/>
        <v/>
      </c>
      <c r="W875" s="267" t="str">
        <f t="shared" si="8"/>
        <v/>
      </c>
      <c r="X875" s="264" t="str">
        <f t="shared" si="7"/>
        <v/>
      </c>
    </row>
    <row r="876" ht="15.75" customHeight="1">
      <c r="A876" s="258"/>
      <c r="B876" s="258"/>
      <c r="C876" s="269"/>
      <c r="D876" s="258"/>
      <c r="E876" s="258"/>
      <c r="F876" s="258"/>
      <c r="G876" s="258"/>
      <c r="H876" s="271"/>
      <c r="I876" s="258"/>
      <c r="J876" s="272"/>
      <c r="K876" s="260"/>
      <c r="L876" s="261"/>
      <c r="M876" s="262" t="str">
        <f t="shared" si="1"/>
        <v/>
      </c>
      <c r="N876" s="263" t="str">
        <f t="shared" si="2"/>
        <v/>
      </c>
      <c r="O876" s="264" t="str">
        <f t="shared" si="3"/>
        <v/>
      </c>
      <c r="P876" s="265" t="str">
        <f>IFERROR(__xludf.DUMMYFUNCTION("IF(ISBLANK(A876),"""",IFERROR(IF(H876=""Sell"",VLOOKUP(9^99,FILTER({ROW(P$2:P875),P$2:P875},D$2:D875=D876),2),(VLOOKUP(9^99,FILTER({ROW(P$2:P875),P$2:P875},D$2:D875=D876),2)*VLOOKUP(9^99,FILTER({ROW(O$2:O875),O$2:O875},D$2:D875=D876),2)-N876)/O876),J876))"),"")</f>
        <v/>
      </c>
      <c r="Q876" s="264" t="str">
        <f>IFERROR(__xludf.DUMMYFUNCTION("IFERROR(IF(F876=""Crypto"",B876,(IF(ISBLANK(D876),"""",IF(D876=""Cash"",B876,IF(GOOGLEFINANCE(D876,""CURRENCY"")=""GBX"",""GBP"",GOOGLEFINANCE(D876,""CURRENCY"")))))),B876)"),"")</f>
        <v/>
      </c>
      <c r="R876" s="263" t="str">
        <f>IFERROR(__xludf.DUMMYFUNCTION("IF(ISBLANK(A876),"""",IFERROR(IF(OR(Q876=""GPB"",Q876=""ZAR""),IF(Q876=Dashboard!$L$1,K876,(K876*GOOGLEFINANCE(""CURRENCY:""&amp;Q876&amp;""""&amp;Dashboard!$L$1&amp;""""))/100),IF(Q876=Dashboard!$L$1,K876,K876*GOOGLEFINANCE(""CURRENCY:""&amp;Q876&amp;""""&amp;Dashboard!$L$1&amp;"""")))"&amp;",K876))"),"")</f>
        <v/>
      </c>
      <c r="S876" s="266" t="str">
        <f>IFERROR(__xludf.DUMMYFUNCTION("IF(ISBLANK(A876),"""",IFERROR(IF(OR(Q876=""GPB"",Q876=""ZAR""),IF(Q876=Dashboard!$L$1,M876,(M876*GOOGLEFINANCE(""CURRENCY:""&amp;Q876&amp;""""&amp;Dashboard!$L$1&amp;""""))/100),IF(Q876=Dashboard!$L$1,M876,M876*GOOGLEFINANCE(""CURRENCY:""&amp;Q876&amp;""""&amp;Dashboard!$L$1&amp;"""")))"&amp;",M876))"),"")</f>
        <v/>
      </c>
      <c r="T876" s="264" t="str">
        <f t="shared" si="4"/>
        <v/>
      </c>
      <c r="U876" s="264" t="str">
        <f t="shared" si="5"/>
        <v/>
      </c>
      <c r="V876" s="264" t="str">
        <f t="shared" si="6"/>
        <v/>
      </c>
      <c r="W876" s="267" t="str">
        <f t="shared" si="8"/>
        <v/>
      </c>
      <c r="X876" s="264" t="str">
        <f t="shared" si="7"/>
        <v/>
      </c>
    </row>
    <row r="877" ht="15.75" customHeight="1">
      <c r="A877" s="258"/>
      <c r="B877" s="258"/>
      <c r="C877" s="269"/>
      <c r="D877" s="258"/>
      <c r="E877" s="258"/>
      <c r="F877" s="258"/>
      <c r="G877" s="258"/>
      <c r="H877" s="271"/>
      <c r="I877" s="258"/>
      <c r="J877" s="272"/>
      <c r="K877" s="260"/>
      <c r="L877" s="261"/>
      <c r="M877" s="262" t="str">
        <f t="shared" si="1"/>
        <v/>
      </c>
      <c r="N877" s="263" t="str">
        <f t="shared" si="2"/>
        <v/>
      </c>
      <c r="O877" s="264" t="str">
        <f t="shared" si="3"/>
        <v/>
      </c>
      <c r="P877" s="265" t="str">
        <f>IFERROR(__xludf.DUMMYFUNCTION("IF(ISBLANK(A877),"""",IFERROR(IF(H877=""Sell"",VLOOKUP(9^99,FILTER({ROW(P$2:P876),P$2:P876},D$2:D876=D877),2),(VLOOKUP(9^99,FILTER({ROW(P$2:P876),P$2:P876},D$2:D876=D877),2)*VLOOKUP(9^99,FILTER({ROW(O$2:O876),O$2:O876},D$2:D876=D877),2)-N877)/O877),J877))"),"")</f>
        <v/>
      </c>
      <c r="Q877" s="264" t="str">
        <f>IFERROR(__xludf.DUMMYFUNCTION("IFERROR(IF(F877=""Crypto"",B877,(IF(ISBLANK(D877),"""",IF(D877=""Cash"",B877,IF(GOOGLEFINANCE(D877,""CURRENCY"")=""GBX"",""GBP"",GOOGLEFINANCE(D877,""CURRENCY"")))))),B877)"),"")</f>
        <v/>
      </c>
      <c r="R877" s="263" t="str">
        <f>IFERROR(__xludf.DUMMYFUNCTION("IF(ISBLANK(A877),"""",IFERROR(IF(OR(Q877=""GPB"",Q877=""ZAR""),IF(Q877=Dashboard!$L$1,K877,(K877*GOOGLEFINANCE(""CURRENCY:""&amp;Q877&amp;""""&amp;Dashboard!$L$1&amp;""""))/100),IF(Q877=Dashboard!$L$1,K877,K877*GOOGLEFINANCE(""CURRENCY:""&amp;Q877&amp;""""&amp;Dashboard!$L$1&amp;"""")))"&amp;",K877))"),"")</f>
        <v/>
      </c>
      <c r="S877" s="266" t="str">
        <f>IFERROR(__xludf.DUMMYFUNCTION("IF(ISBLANK(A877),"""",IFERROR(IF(OR(Q877=""GPB"",Q877=""ZAR""),IF(Q877=Dashboard!$L$1,M877,(M877*GOOGLEFINANCE(""CURRENCY:""&amp;Q877&amp;""""&amp;Dashboard!$L$1&amp;""""))/100),IF(Q877=Dashboard!$L$1,M877,M877*GOOGLEFINANCE(""CURRENCY:""&amp;Q877&amp;""""&amp;Dashboard!$L$1&amp;"""")))"&amp;",M877))"),"")</f>
        <v/>
      </c>
      <c r="T877" s="264" t="str">
        <f t="shared" si="4"/>
        <v/>
      </c>
      <c r="U877" s="264" t="str">
        <f t="shared" si="5"/>
        <v/>
      </c>
      <c r="V877" s="264" t="str">
        <f t="shared" si="6"/>
        <v/>
      </c>
      <c r="W877" s="267" t="str">
        <f t="shared" si="8"/>
        <v/>
      </c>
      <c r="X877" s="264" t="str">
        <f t="shared" si="7"/>
        <v/>
      </c>
    </row>
    <row r="878" ht="15.75" customHeight="1">
      <c r="A878" s="258"/>
      <c r="B878" s="258"/>
      <c r="C878" s="269"/>
      <c r="D878" s="258"/>
      <c r="E878" s="258"/>
      <c r="F878" s="258"/>
      <c r="G878" s="258"/>
      <c r="H878" s="271"/>
      <c r="I878" s="258"/>
      <c r="J878" s="272"/>
      <c r="K878" s="260"/>
      <c r="L878" s="261"/>
      <c r="M878" s="262" t="str">
        <f t="shared" si="1"/>
        <v/>
      </c>
      <c r="N878" s="263" t="str">
        <f t="shared" si="2"/>
        <v/>
      </c>
      <c r="O878" s="264" t="str">
        <f t="shared" si="3"/>
        <v/>
      </c>
      <c r="P878" s="265" t="str">
        <f>IFERROR(__xludf.DUMMYFUNCTION("IF(ISBLANK(A878),"""",IFERROR(IF(H878=""Sell"",VLOOKUP(9^99,FILTER({ROW(P$2:P877),P$2:P877},D$2:D877=D878),2),(VLOOKUP(9^99,FILTER({ROW(P$2:P877),P$2:P877},D$2:D877=D878),2)*VLOOKUP(9^99,FILTER({ROW(O$2:O877),O$2:O877},D$2:D877=D878),2)-N878)/O878),J878))"),"")</f>
        <v/>
      </c>
      <c r="Q878" s="264" t="str">
        <f>IFERROR(__xludf.DUMMYFUNCTION("IFERROR(IF(F878=""Crypto"",B878,(IF(ISBLANK(D878),"""",IF(D878=""Cash"",B878,IF(GOOGLEFINANCE(D878,""CURRENCY"")=""GBX"",""GBP"",GOOGLEFINANCE(D878,""CURRENCY"")))))),B878)"),"")</f>
        <v/>
      </c>
      <c r="R878" s="263" t="str">
        <f>IFERROR(__xludf.DUMMYFUNCTION("IF(ISBLANK(A878),"""",IFERROR(IF(OR(Q878=""GPB"",Q878=""ZAR""),IF(Q878=Dashboard!$L$1,K878,(K878*GOOGLEFINANCE(""CURRENCY:""&amp;Q878&amp;""""&amp;Dashboard!$L$1&amp;""""))/100),IF(Q878=Dashboard!$L$1,K878,K878*GOOGLEFINANCE(""CURRENCY:""&amp;Q878&amp;""""&amp;Dashboard!$L$1&amp;"""")))"&amp;",K878))"),"")</f>
        <v/>
      </c>
      <c r="S878" s="266" t="str">
        <f>IFERROR(__xludf.DUMMYFUNCTION("IF(ISBLANK(A878),"""",IFERROR(IF(OR(Q878=""GPB"",Q878=""ZAR""),IF(Q878=Dashboard!$L$1,M878,(M878*GOOGLEFINANCE(""CURRENCY:""&amp;Q878&amp;""""&amp;Dashboard!$L$1&amp;""""))/100),IF(Q878=Dashboard!$L$1,M878,M878*GOOGLEFINANCE(""CURRENCY:""&amp;Q878&amp;""""&amp;Dashboard!$L$1&amp;"""")))"&amp;",M878))"),"")</f>
        <v/>
      </c>
      <c r="T878" s="264" t="str">
        <f t="shared" si="4"/>
        <v/>
      </c>
      <c r="U878" s="264" t="str">
        <f t="shared" si="5"/>
        <v/>
      </c>
      <c r="V878" s="264" t="str">
        <f t="shared" si="6"/>
        <v/>
      </c>
      <c r="W878" s="267" t="str">
        <f t="shared" si="8"/>
        <v/>
      </c>
      <c r="X878" s="264" t="str">
        <f t="shared" si="7"/>
        <v/>
      </c>
    </row>
    <row r="879" ht="15.75" customHeight="1">
      <c r="A879" s="258"/>
      <c r="B879" s="258"/>
      <c r="C879" s="269"/>
      <c r="D879" s="258"/>
      <c r="E879" s="258"/>
      <c r="F879" s="258"/>
      <c r="G879" s="258"/>
      <c r="H879" s="271"/>
      <c r="I879" s="258"/>
      <c r="J879" s="272"/>
      <c r="K879" s="260"/>
      <c r="L879" s="261"/>
      <c r="M879" s="262" t="str">
        <f t="shared" si="1"/>
        <v/>
      </c>
      <c r="N879" s="263" t="str">
        <f t="shared" si="2"/>
        <v/>
      </c>
      <c r="O879" s="264" t="str">
        <f t="shared" si="3"/>
        <v/>
      </c>
      <c r="P879" s="265" t="str">
        <f>IFERROR(__xludf.DUMMYFUNCTION("IF(ISBLANK(A879),"""",IFERROR(IF(H879=""Sell"",VLOOKUP(9^99,FILTER({ROW(P$2:P878),P$2:P878},D$2:D878=D879),2),(VLOOKUP(9^99,FILTER({ROW(P$2:P878),P$2:P878},D$2:D878=D879),2)*VLOOKUP(9^99,FILTER({ROW(O$2:O878),O$2:O878},D$2:D878=D879),2)-N879)/O879),J879))"),"")</f>
        <v/>
      </c>
      <c r="Q879" s="264" t="str">
        <f>IFERROR(__xludf.DUMMYFUNCTION("IFERROR(IF(F879=""Crypto"",B879,(IF(ISBLANK(D879),"""",IF(D879=""Cash"",B879,IF(GOOGLEFINANCE(D879,""CURRENCY"")=""GBX"",""GBP"",GOOGLEFINANCE(D879,""CURRENCY"")))))),B879)"),"")</f>
        <v/>
      </c>
      <c r="R879" s="263" t="str">
        <f>IFERROR(__xludf.DUMMYFUNCTION("IF(ISBLANK(A879),"""",IFERROR(IF(OR(Q879=""GPB"",Q879=""ZAR""),IF(Q879=Dashboard!$L$1,K879,(K879*GOOGLEFINANCE(""CURRENCY:""&amp;Q879&amp;""""&amp;Dashboard!$L$1&amp;""""))/100),IF(Q879=Dashboard!$L$1,K879,K879*GOOGLEFINANCE(""CURRENCY:""&amp;Q879&amp;""""&amp;Dashboard!$L$1&amp;"""")))"&amp;",K879))"),"")</f>
        <v/>
      </c>
      <c r="S879" s="266" t="str">
        <f>IFERROR(__xludf.DUMMYFUNCTION("IF(ISBLANK(A879),"""",IFERROR(IF(OR(Q879=""GPB"",Q879=""ZAR""),IF(Q879=Dashboard!$L$1,M879,(M879*GOOGLEFINANCE(""CURRENCY:""&amp;Q879&amp;""""&amp;Dashboard!$L$1&amp;""""))/100),IF(Q879=Dashboard!$L$1,M879,M879*GOOGLEFINANCE(""CURRENCY:""&amp;Q879&amp;""""&amp;Dashboard!$L$1&amp;"""")))"&amp;",M879))"),"")</f>
        <v/>
      </c>
      <c r="T879" s="264" t="str">
        <f t="shared" si="4"/>
        <v/>
      </c>
      <c r="U879" s="264" t="str">
        <f t="shared" si="5"/>
        <v/>
      </c>
      <c r="V879" s="264" t="str">
        <f t="shared" si="6"/>
        <v/>
      </c>
      <c r="W879" s="267" t="str">
        <f t="shared" si="8"/>
        <v/>
      </c>
      <c r="X879" s="264" t="str">
        <f t="shared" si="7"/>
        <v/>
      </c>
    </row>
    <row r="880" ht="15.75" customHeight="1">
      <c r="A880" s="258"/>
      <c r="B880" s="258"/>
      <c r="C880" s="269"/>
      <c r="D880" s="258"/>
      <c r="E880" s="258"/>
      <c r="F880" s="258"/>
      <c r="G880" s="258"/>
      <c r="H880" s="271"/>
      <c r="I880" s="258"/>
      <c r="J880" s="272"/>
      <c r="K880" s="260"/>
      <c r="L880" s="261"/>
      <c r="M880" s="262" t="str">
        <f t="shared" si="1"/>
        <v/>
      </c>
      <c r="N880" s="263" t="str">
        <f t="shared" si="2"/>
        <v/>
      </c>
      <c r="O880" s="264" t="str">
        <f t="shared" si="3"/>
        <v/>
      </c>
      <c r="P880" s="265" t="str">
        <f>IFERROR(__xludf.DUMMYFUNCTION("IF(ISBLANK(A880),"""",IFERROR(IF(H880=""Sell"",VLOOKUP(9^99,FILTER({ROW(P$2:P879),P$2:P879},D$2:D879=D880),2),(VLOOKUP(9^99,FILTER({ROW(P$2:P879),P$2:P879},D$2:D879=D880),2)*VLOOKUP(9^99,FILTER({ROW(O$2:O879),O$2:O879},D$2:D879=D880),2)-N880)/O880),J880))"),"")</f>
        <v/>
      </c>
      <c r="Q880" s="264" t="str">
        <f>IFERROR(__xludf.DUMMYFUNCTION("IFERROR(IF(F880=""Crypto"",B880,(IF(ISBLANK(D880),"""",IF(D880=""Cash"",B880,IF(GOOGLEFINANCE(D880,""CURRENCY"")=""GBX"",""GBP"",GOOGLEFINANCE(D880,""CURRENCY"")))))),B880)"),"")</f>
        <v/>
      </c>
      <c r="R880" s="263" t="str">
        <f>IFERROR(__xludf.DUMMYFUNCTION("IF(ISBLANK(A880),"""",IFERROR(IF(OR(Q880=""GPB"",Q880=""ZAR""),IF(Q880=Dashboard!$L$1,K880,(K880*GOOGLEFINANCE(""CURRENCY:""&amp;Q880&amp;""""&amp;Dashboard!$L$1&amp;""""))/100),IF(Q880=Dashboard!$L$1,K880,K880*GOOGLEFINANCE(""CURRENCY:""&amp;Q880&amp;""""&amp;Dashboard!$L$1&amp;"""")))"&amp;",K880))"),"")</f>
        <v/>
      </c>
      <c r="S880" s="266" t="str">
        <f>IFERROR(__xludf.DUMMYFUNCTION("IF(ISBLANK(A880),"""",IFERROR(IF(OR(Q880=""GPB"",Q880=""ZAR""),IF(Q880=Dashboard!$L$1,M880,(M880*GOOGLEFINANCE(""CURRENCY:""&amp;Q880&amp;""""&amp;Dashboard!$L$1&amp;""""))/100),IF(Q880=Dashboard!$L$1,M880,M880*GOOGLEFINANCE(""CURRENCY:""&amp;Q880&amp;""""&amp;Dashboard!$L$1&amp;"""")))"&amp;",M880))"),"")</f>
        <v/>
      </c>
      <c r="T880" s="264" t="str">
        <f t="shared" si="4"/>
        <v/>
      </c>
      <c r="U880" s="264" t="str">
        <f t="shared" si="5"/>
        <v/>
      </c>
      <c r="V880" s="264" t="str">
        <f t="shared" si="6"/>
        <v/>
      </c>
      <c r="W880" s="267" t="str">
        <f t="shared" si="8"/>
        <v/>
      </c>
      <c r="X880" s="264" t="str">
        <f t="shared" si="7"/>
        <v/>
      </c>
    </row>
    <row r="881" ht="15.75" customHeight="1">
      <c r="A881" s="258"/>
      <c r="B881" s="258"/>
      <c r="C881" s="269"/>
      <c r="D881" s="258"/>
      <c r="E881" s="258"/>
      <c r="F881" s="258"/>
      <c r="G881" s="258"/>
      <c r="H881" s="271"/>
      <c r="I881" s="258"/>
      <c r="J881" s="272"/>
      <c r="K881" s="260"/>
      <c r="L881" s="261"/>
      <c r="M881" s="262" t="str">
        <f t="shared" si="1"/>
        <v/>
      </c>
      <c r="N881" s="263" t="str">
        <f t="shared" si="2"/>
        <v/>
      </c>
      <c r="O881" s="264" t="str">
        <f t="shared" si="3"/>
        <v/>
      </c>
      <c r="P881" s="265" t="str">
        <f>IFERROR(__xludf.DUMMYFUNCTION("IF(ISBLANK(A881),"""",IFERROR(IF(H881=""Sell"",VLOOKUP(9^99,FILTER({ROW(P$2:P880),P$2:P880},D$2:D880=D881),2),(VLOOKUP(9^99,FILTER({ROW(P$2:P880),P$2:P880},D$2:D880=D881),2)*VLOOKUP(9^99,FILTER({ROW(O$2:O880),O$2:O880},D$2:D880=D881),2)-N881)/O881),J881))"),"")</f>
        <v/>
      </c>
      <c r="Q881" s="264" t="str">
        <f>IFERROR(__xludf.DUMMYFUNCTION("IFERROR(IF(F881=""Crypto"",B881,(IF(ISBLANK(D881),"""",IF(D881=""Cash"",B881,IF(GOOGLEFINANCE(D881,""CURRENCY"")=""GBX"",""GBP"",GOOGLEFINANCE(D881,""CURRENCY"")))))),B881)"),"")</f>
        <v/>
      </c>
      <c r="R881" s="263" t="str">
        <f>IFERROR(__xludf.DUMMYFUNCTION("IF(ISBLANK(A881),"""",IFERROR(IF(OR(Q881=""GPB"",Q881=""ZAR""),IF(Q881=Dashboard!$L$1,K881,(K881*GOOGLEFINANCE(""CURRENCY:""&amp;Q881&amp;""""&amp;Dashboard!$L$1&amp;""""))/100),IF(Q881=Dashboard!$L$1,K881,K881*GOOGLEFINANCE(""CURRENCY:""&amp;Q881&amp;""""&amp;Dashboard!$L$1&amp;"""")))"&amp;",K881))"),"")</f>
        <v/>
      </c>
      <c r="S881" s="266" t="str">
        <f>IFERROR(__xludf.DUMMYFUNCTION("IF(ISBLANK(A881),"""",IFERROR(IF(OR(Q881=""GPB"",Q881=""ZAR""),IF(Q881=Dashboard!$L$1,M881,(M881*GOOGLEFINANCE(""CURRENCY:""&amp;Q881&amp;""""&amp;Dashboard!$L$1&amp;""""))/100),IF(Q881=Dashboard!$L$1,M881,M881*GOOGLEFINANCE(""CURRENCY:""&amp;Q881&amp;""""&amp;Dashboard!$L$1&amp;"""")))"&amp;",M881))"),"")</f>
        <v/>
      </c>
      <c r="T881" s="264" t="str">
        <f t="shared" si="4"/>
        <v/>
      </c>
      <c r="U881" s="264" t="str">
        <f t="shared" si="5"/>
        <v/>
      </c>
      <c r="V881" s="264" t="str">
        <f t="shared" si="6"/>
        <v/>
      </c>
      <c r="W881" s="267" t="str">
        <f t="shared" si="8"/>
        <v/>
      </c>
      <c r="X881" s="264" t="str">
        <f t="shared" si="7"/>
        <v/>
      </c>
    </row>
    <row r="882" ht="15.75" customHeight="1">
      <c r="A882" s="258"/>
      <c r="B882" s="258"/>
      <c r="C882" s="269"/>
      <c r="D882" s="258"/>
      <c r="E882" s="258"/>
      <c r="F882" s="258"/>
      <c r="G882" s="258"/>
      <c r="H882" s="271"/>
      <c r="I882" s="258"/>
      <c r="J882" s="272"/>
      <c r="K882" s="260"/>
      <c r="L882" s="261"/>
      <c r="M882" s="262" t="str">
        <f t="shared" si="1"/>
        <v/>
      </c>
      <c r="N882" s="263" t="str">
        <f t="shared" si="2"/>
        <v/>
      </c>
      <c r="O882" s="264" t="str">
        <f t="shared" si="3"/>
        <v/>
      </c>
      <c r="P882" s="265" t="str">
        <f>IFERROR(__xludf.DUMMYFUNCTION("IF(ISBLANK(A882),"""",IFERROR(IF(H882=""Sell"",VLOOKUP(9^99,FILTER({ROW(P$2:P881),P$2:P881},D$2:D881=D882),2),(VLOOKUP(9^99,FILTER({ROW(P$2:P881),P$2:P881},D$2:D881=D882),2)*VLOOKUP(9^99,FILTER({ROW(O$2:O881),O$2:O881},D$2:D881=D882),2)-N882)/O882),J882))"),"")</f>
        <v/>
      </c>
      <c r="Q882" s="264" t="str">
        <f>IFERROR(__xludf.DUMMYFUNCTION("IFERROR(IF(F882=""Crypto"",B882,(IF(ISBLANK(D882),"""",IF(D882=""Cash"",B882,IF(GOOGLEFINANCE(D882,""CURRENCY"")=""GBX"",""GBP"",GOOGLEFINANCE(D882,""CURRENCY"")))))),B882)"),"")</f>
        <v/>
      </c>
      <c r="R882" s="263" t="str">
        <f>IFERROR(__xludf.DUMMYFUNCTION("IF(ISBLANK(A882),"""",IFERROR(IF(OR(Q882=""GPB"",Q882=""ZAR""),IF(Q882=Dashboard!$L$1,K882,(K882*GOOGLEFINANCE(""CURRENCY:""&amp;Q882&amp;""""&amp;Dashboard!$L$1&amp;""""))/100),IF(Q882=Dashboard!$L$1,K882,K882*GOOGLEFINANCE(""CURRENCY:""&amp;Q882&amp;""""&amp;Dashboard!$L$1&amp;"""")))"&amp;",K882))"),"")</f>
        <v/>
      </c>
      <c r="S882" s="266" t="str">
        <f>IFERROR(__xludf.DUMMYFUNCTION("IF(ISBLANK(A882),"""",IFERROR(IF(OR(Q882=""GPB"",Q882=""ZAR""),IF(Q882=Dashboard!$L$1,M882,(M882*GOOGLEFINANCE(""CURRENCY:""&amp;Q882&amp;""""&amp;Dashboard!$L$1&amp;""""))/100),IF(Q882=Dashboard!$L$1,M882,M882*GOOGLEFINANCE(""CURRENCY:""&amp;Q882&amp;""""&amp;Dashboard!$L$1&amp;"""")))"&amp;",M882))"),"")</f>
        <v/>
      </c>
      <c r="T882" s="264" t="str">
        <f t="shared" si="4"/>
        <v/>
      </c>
      <c r="U882" s="264" t="str">
        <f t="shared" si="5"/>
        <v/>
      </c>
      <c r="V882" s="264" t="str">
        <f t="shared" si="6"/>
        <v/>
      </c>
      <c r="W882" s="267" t="str">
        <f t="shared" si="8"/>
        <v/>
      </c>
      <c r="X882" s="264" t="str">
        <f t="shared" si="7"/>
        <v/>
      </c>
    </row>
    <row r="883" ht="15.75" customHeight="1">
      <c r="A883" s="258"/>
      <c r="B883" s="258"/>
      <c r="C883" s="269"/>
      <c r="D883" s="258"/>
      <c r="E883" s="258"/>
      <c r="F883" s="258"/>
      <c r="G883" s="258"/>
      <c r="H883" s="271"/>
      <c r="I883" s="258"/>
      <c r="J883" s="272"/>
      <c r="K883" s="260"/>
      <c r="L883" s="261"/>
      <c r="M883" s="262" t="str">
        <f t="shared" si="1"/>
        <v/>
      </c>
      <c r="N883" s="263" t="str">
        <f t="shared" si="2"/>
        <v/>
      </c>
      <c r="O883" s="264" t="str">
        <f t="shared" si="3"/>
        <v/>
      </c>
      <c r="P883" s="265" t="str">
        <f>IFERROR(__xludf.DUMMYFUNCTION("IF(ISBLANK(A883),"""",IFERROR(IF(H883=""Sell"",VLOOKUP(9^99,FILTER({ROW(P$2:P882),P$2:P882},D$2:D882=D883),2),(VLOOKUP(9^99,FILTER({ROW(P$2:P882),P$2:P882},D$2:D882=D883),2)*VLOOKUP(9^99,FILTER({ROW(O$2:O882),O$2:O882},D$2:D882=D883),2)-N883)/O883),J883))"),"")</f>
        <v/>
      </c>
      <c r="Q883" s="264" t="str">
        <f>IFERROR(__xludf.DUMMYFUNCTION("IFERROR(IF(F883=""Crypto"",B883,(IF(ISBLANK(D883),"""",IF(D883=""Cash"",B883,IF(GOOGLEFINANCE(D883,""CURRENCY"")=""GBX"",""GBP"",GOOGLEFINANCE(D883,""CURRENCY"")))))),B883)"),"")</f>
        <v/>
      </c>
      <c r="R883" s="263" t="str">
        <f>IFERROR(__xludf.DUMMYFUNCTION("IF(ISBLANK(A883),"""",IFERROR(IF(OR(Q883=""GPB"",Q883=""ZAR""),IF(Q883=Dashboard!$L$1,K883,(K883*GOOGLEFINANCE(""CURRENCY:""&amp;Q883&amp;""""&amp;Dashboard!$L$1&amp;""""))/100),IF(Q883=Dashboard!$L$1,K883,K883*GOOGLEFINANCE(""CURRENCY:""&amp;Q883&amp;""""&amp;Dashboard!$L$1&amp;"""")))"&amp;",K883))"),"")</f>
        <v/>
      </c>
      <c r="S883" s="266" t="str">
        <f>IFERROR(__xludf.DUMMYFUNCTION("IF(ISBLANK(A883),"""",IFERROR(IF(OR(Q883=""GPB"",Q883=""ZAR""),IF(Q883=Dashboard!$L$1,M883,(M883*GOOGLEFINANCE(""CURRENCY:""&amp;Q883&amp;""""&amp;Dashboard!$L$1&amp;""""))/100),IF(Q883=Dashboard!$L$1,M883,M883*GOOGLEFINANCE(""CURRENCY:""&amp;Q883&amp;""""&amp;Dashboard!$L$1&amp;"""")))"&amp;",M883))"),"")</f>
        <v/>
      </c>
      <c r="T883" s="264" t="str">
        <f t="shared" si="4"/>
        <v/>
      </c>
      <c r="U883" s="264" t="str">
        <f t="shared" si="5"/>
        <v/>
      </c>
      <c r="V883" s="264" t="str">
        <f t="shared" si="6"/>
        <v/>
      </c>
      <c r="W883" s="267" t="str">
        <f t="shared" si="8"/>
        <v/>
      </c>
      <c r="X883" s="264" t="str">
        <f t="shared" si="7"/>
        <v/>
      </c>
    </row>
    <row r="884" ht="15.75" customHeight="1">
      <c r="A884" s="258"/>
      <c r="B884" s="258"/>
      <c r="C884" s="269"/>
      <c r="D884" s="258"/>
      <c r="E884" s="258"/>
      <c r="F884" s="258"/>
      <c r="G884" s="258"/>
      <c r="H884" s="271"/>
      <c r="I884" s="258"/>
      <c r="J884" s="272"/>
      <c r="K884" s="260"/>
      <c r="L884" s="261"/>
      <c r="M884" s="262" t="str">
        <f t="shared" si="1"/>
        <v/>
      </c>
      <c r="N884" s="263" t="str">
        <f t="shared" si="2"/>
        <v/>
      </c>
      <c r="O884" s="264" t="str">
        <f t="shared" si="3"/>
        <v/>
      </c>
      <c r="P884" s="265" t="str">
        <f>IFERROR(__xludf.DUMMYFUNCTION("IF(ISBLANK(A884),"""",IFERROR(IF(H884=""Sell"",VLOOKUP(9^99,FILTER({ROW(P$2:P883),P$2:P883},D$2:D883=D884),2),(VLOOKUP(9^99,FILTER({ROW(P$2:P883),P$2:P883},D$2:D883=D884),2)*VLOOKUP(9^99,FILTER({ROW(O$2:O883),O$2:O883},D$2:D883=D884),2)-N884)/O884),J884))"),"")</f>
        <v/>
      </c>
      <c r="Q884" s="264" t="str">
        <f>IFERROR(__xludf.DUMMYFUNCTION("IFERROR(IF(F884=""Crypto"",B884,(IF(ISBLANK(D884),"""",IF(D884=""Cash"",B884,IF(GOOGLEFINANCE(D884,""CURRENCY"")=""GBX"",""GBP"",GOOGLEFINANCE(D884,""CURRENCY"")))))),B884)"),"")</f>
        <v/>
      </c>
      <c r="R884" s="263" t="str">
        <f>IFERROR(__xludf.DUMMYFUNCTION("IF(ISBLANK(A884),"""",IFERROR(IF(OR(Q884=""GPB"",Q884=""ZAR""),IF(Q884=Dashboard!$L$1,K884,(K884*GOOGLEFINANCE(""CURRENCY:""&amp;Q884&amp;""""&amp;Dashboard!$L$1&amp;""""))/100),IF(Q884=Dashboard!$L$1,K884,K884*GOOGLEFINANCE(""CURRENCY:""&amp;Q884&amp;""""&amp;Dashboard!$L$1&amp;"""")))"&amp;",K884))"),"")</f>
        <v/>
      </c>
      <c r="S884" s="266" t="str">
        <f>IFERROR(__xludf.DUMMYFUNCTION("IF(ISBLANK(A884),"""",IFERROR(IF(OR(Q884=""GPB"",Q884=""ZAR""),IF(Q884=Dashboard!$L$1,M884,(M884*GOOGLEFINANCE(""CURRENCY:""&amp;Q884&amp;""""&amp;Dashboard!$L$1&amp;""""))/100),IF(Q884=Dashboard!$L$1,M884,M884*GOOGLEFINANCE(""CURRENCY:""&amp;Q884&amp;""""&amp;Dashboard!$L$1&amp;"""")))"&amp;",M884))"),"")</f>
        <v/>
      </c>
      <c r="T884" s="264" t="str">
        <f t="shared" si="4"/>
        <v/>
      </c>
      <c r="U884" s="264" t="str">
        <f t="shared" si="5"/>
        <v/>
      </c>
      <c r="V884" s="264" t="str">
        <f t="shared" si="6"/>
        <v/>
      </c>
      <c r="W884" s="267" t="str">
        <f t="shared" si="8"/>
        <v/>
      </c>
      <c r="X884" s="264" t="str">
        <f t="shared" si="7"/>
        <v/>
      </c>
    </row>
    <row r="885" ht="15.75" customHeight="1">
      <c r="A885" s="258"/>
      <c r="B885" s="258"/>
      <c r="C885" s="269"/>
      <c r="D885" s="258"/>
      <c r="E885" s="258"/>
      <c r="F885" s="258"/>
      <c r="G885" s="258"/>
      <c r="H885" s="271"/>
      <c r="I885" s="258"/>
      <c r="J885" s="272"/>
      <c r="K885" s="260"/>
      <c r="L885" s="261"/>
      <c r="M885" s="262" t="str">
        <f t="shared" si="1"/>
        <v/>
      </c>
      <c r="N885" s="263" t="str">
        <f t="shared" si="2"/>
        <v/>
      </c>
      <c r="O885" s="264" t="str">
        <f t="shared" si="3"/>
        <v/>
      </c>
      <c r="P885" s="265" t="str">
        <f>IFERROR(__xludf.DUMMYFUNCTION("IF(ISBLANK(A885),"""",IFERROR(IF(H885=""Sell"",VLOOKUP(9^99,FILTER({ROW(P$2:P884),P$2:P884},D$2:D884=D885),2),(VLOOKUP(9^99,FILTER({ROW(P$2:P884),P$2:P884},D$2:D884=D885),2)*VLOOKUP(9^99,FILTER({ROW(O$2:O884),O$2:O884},D$2:D884=D885),2)-N885)/O885),J885))"),"")</f>
        <v/>
      </c>
      <c r="Q885" s="264" t="str">
        <f>IFERROR(__xludf.DUMMYFUNCTION("IFERROR(IF(F885=""Crypto"",B885,(IF(ISBLANK(D885),"""",IF(D885=""Cash"",B885,IF(GOOGLEFINANCE(D885,""CURRENCY"")=""GBX"",""GBP"",GOOGLEFINANCE(D885,""CURRENCY"")))))),B885)"),"")</f>
        <v/>
      </c>
      <c r="R885" s="263" t="str">
        <f>IFERROR(__xludf.DUMMYFUNCTION("IF(ISBLANK(A885),"""",IFERROR(IF(OR(Q885=""GPB"",Q885=""ZAR""),IF(Q885=Dashboard!$L$1,K885,(K885*GOOGLEFINANCE(""CURRENCY:""&amp;Q885&amp;""""&amp;Dashboard!$L$1&amp;""""))/100),IF(Q885=Dashboard!$L$1,K885,K885*GOOGLEFINANCE(""CURRENCY:""&amp;Q885&amp;""""&amp;Dashboard!$L$1&amp;"""")))"&amp;",K885))"),"")</f>
        <v/>
      </c>
      <c r="S885" s="266" t="str">
        <f>IFERROR(__xludf.DUMMYFUNCTION("IF(ISBLANK(A885),"""",IFERROR(IF(OR(Q885=""GPB"",Q885=""ZAR""),IF(Q885=Dashboard!$L$1,M885,(M885*GOOGLEFINANCE(""CURRENCY:""&amp;Q885&amp;""""&amp;Dashboard!$L$1&amp;""""))/100),IF(Q885=Dashboard!$L$1,M885,M885*GOOGLEFINANCE(""CURRENCY:""&amp;Q885&amp;""""&amp;Dashboard!$L$1&amp;"""")))"&amp;",M885))"),"")</f>
        <v/>
      </c>
      <c r="T885" s="264" t="str">
        <f t="shared" si="4"/>
        <v/>
      </c>
      <c r="U885" s="264" t="str">
        <f t="shared" si="5"/>
        <v/>
      </c>
      <c r="V885" s="264" t="str">
        <f t="shared" si="6"/>
        <v/>
      </c>
      <c r="W885" s="267" t="str">
        <f t="shared" si="8"/>
        <v/>
      </c>
      <c r="X885" s="264" t="str">
        <f t="shared" si="7"/>
        <v/>
      </c>
    </row>
    <row r="886" ht="15.75" customHeight="1">
      <c r="A886" s="258"/>
      <c r="B886" s="258"/>
      <c r="C886" s="269"/>
      <c r="D886" s="258"/>
      <c r="E886" s="258"/>
      <c r="F886" s="258"/>
      <c r="G886" s="258"/>
      <c r="H886" s="271"/>
      <c r="I886" s="258"/>
      <c r="J886" s="272"/>
      <c r="K886" s="260"/>
      <c r="L886" s="261"/>
      <c r="M886" s="262" t="str">
        <f t="shared" si="1"/>
        <v/>
      </c>
      <c r="N886" s="263" t="str">
        <f t="shared" si="2"/>
        <v/>
      </c>
      <c r="O886" s="264" t="str">
        <f t="shared" si="3"/>
        <v/>
      </c>
      <c r="P886" s="265" t="str">
        <f>IFERROR(__xludf.DUMMYFUNCTION("IF(ISBLANK(A886),"""",IFERROR(IF(H886=""Sell"",VLOOKUP(9^99,FILTER({ROW(P$2:P885),P$2:P885},D$2:D885=D886),2),(VLOOKUP(9^99,FILTER({ROW(P$2:P885),P$2:P885},D$2:D885=D886),2)*VLOOKUP(9^99,FILTER({ROW(O$2:O885),O$2:O885},D$2:D885=D886),2)-N886)/O886),J886))"),"")</f>
        <v/>
      </c>
      <c r="Q886" s="264" t="str">
        <f>IFERROR(__xludf.DUMMYFUNCTION("IFERROR(IF(F886=""Crypto"",B886,(IF(ISBLANK(D886),"""",IF(D886=""Cash"",B886,IF(GOOGLEFINANCE(D886,""CURRENCY"")=""GBX"",""GBP"",GOOGLEFINANCE(D886,""CURRENCY"")))))),B886)"),"")</f>
        <v/>
      </c>
      <c r="R886" s="263" t="str">
        <f>IFERROR(__xludf.DUMMYFUNCTION("IF(ISBLANK(A886),"""",IFERROR(IF(OR(Q886=""GPB"",Q886=""ZAR""),IF(Q886=Dashboard!$L$1,K886,(K886*GOOGLEFINANCE(""CURRENCY:""&amp;Q886&amp;""""&amp;Dashboard!$L$1&amp;""""))/100),IF(Q886=Dashboard!$L$1,K886,K886*GOOGLEFINANCE(""CURRENCY:""&amp;Q886&amp;""""&amp;Dashboard!$L$1&amp;"""")))"&amp;",K886))"),"")</f>
        <v/>
      </c>
      <c r="S886" s="266" t="str">
        <f>IFERROR(__xludf.DUMMYFUNCTION("IF(ISBLANK(A886),"""",IFERROR(IF(OR(Q886=""GPB"",Q886=""ZAR""),IF(Q886=Dashboard!$L$1,M886,(M886*GOOGLEFINANCE(""CURRENCY:""&amp;Q886&amp;""""&amp;Dashboard!$L$1&amp;""""))/100),IF(Q886=Dashboard!$L$1,M886,M886*GOOGLEFINANCE(""CURRENCY:""&amp;Q886&amp;""""&amp;Dashboard!$L$1&amp;"""")))"&amp;",M886))"),"")</f>
        <v/>
      </c>
      <c r="T886" s="264" t="str">
        <f t="shared" si="4"/>
        <v/>
      </c>
      <c r="U886" s="264" t="str">
        <f t="shared" si="5"/>
        <v/>
      </c>
      <c r="V886" s="264" t="str">
        <f t="shared" si="6"/>
        <v/>
      </c>
      <c r="W886" s="267" t="str">
        <f t="shared" si="8"/>
        <v/>
      </c>
      <c r="X886" s="264" t="str">
        <f t="shared" si="7"/>
        <v/>
      </c>
    </row>
    <row r="887" ht="15.75" customHeight="1">
      <c r="A887" s="258"/>
      <c r="B887" s="258"/>
      <c r="C887" s="269"/>
      <c r="D887" s="258"/>
      <c r="E887" s="258"/>
      <c r="F887" s="258"/>
      <c r="G887" s="258"/>
      <c r="H887" s="271"/>
      <c r="I887" s="258"/>
      <c r="J887" s="272"/>
      <c r="K887" s="260"/>
      <c r="L887" s="261"/>
      <c r="M887" s="262" t="str">
        <f t="shared" si="1"/>
        <v/>
      </c>
      <c r="N887" s="263" t="str">
        <f t="shared" si="2"/>
        <v/>
      </c>
      <c r="O887" s="264" t="str">
        <f t="shared" si="3"/>
        <v/>
      </c>
      <c r="P887" s="265" t="str">
        <f>IFERROR(__xludf.DUMMYFUNCTION("IF(ISBLANK(A887),"""",IFERROR(IF(H887=""Sell"",VLOOKUP(9^99,FILTER({ROW(P$2:P886),P$2:P886},D$2:D886=D887),2),(VLOOKUP(9^99,FILTER({ROW(P$2:P886),P$2:P886},D$2:D886=D887),2)*VLOOKUP(9^99,FILTER({ROW(O$2:O886),O$2:O886},D$2:D886=D887),2)-N887)/O887),J887))"),"")</f>
        <v/>
      </c>
      <c r="Q887" s="264" t="str">
        <f>IFERROR(__xludf.DUMMYFUNCTION("IFERROR(IF(F887=""Crypto"",B887,(IF(ISBLANK(D887),"""",IF(D887=""Cash"",B887,IF(GOOGLEFINANCE(D887,""CURRENCY"")=""GBX"",""GBP"",GOOGLEFINANCE(D887,""CURRENCY"")))))),B887)"),"")</f>
        <v/>
      </c>
      <c r="R887" s="263" t="str">
        <f>IFERROR(__xludf.DUMMYFUNCTION("IF(ISBLANK(A887),"""",IFERROR(IF(OR(Q887=""GPB"",Q887=""ZAR""),IF(Q887=Dashboard!$L$1,K887,(K887*GOOGLEFINANCE(""CURRENCY:""&amp;Q887&amp;""""&amp;Dashboard!$L$1&amp;""""))/100),IF(Q887=Dashboard!$L$1,K887,K887*GOOGLEFINANCE(""CURRENCY:""&amp;Q887&amp;""""&amp;Dashboard!$L$1&amp;"""")))"&amp;",K887))"),"")</f>
        <v/>
      </c>
      <c r="S887" s="266" t="str">
        <f>IFERROR(__xludf.DUMMYFUNCTION("IF(ISBLANK(A887),"""",IFERROR(IF(OR(Q887=""GPB"",Q887=""ZAR""),IF(Q887=Dashboard!$L$1,M887,(M887*GOOGLEFINANCE(""CURRENCY:""&amp;Q887&amp;""""&amp;Dashboard!$L$1&amp;""""))/100),IF(Q887=Dashboard!$L$1,M887,M887*GOOGLEFINANCE(""CURRENCY:""&amp;Q887&amp;""""&amp;Dashboard!$L$1&amp;"""")))"&amp;",M887))"),"")</f>
        <v/>
      </c>
      <c r="T887" s="264" t="str">
        <f t="shared" si="4"/>
        <v/>
      </c>
      <c r="U887" s="264" t="str">
        <f t="shared" si="5"/>
        <v/>
      </c>
      <c r="V887" s="264" t="str">
        <f t="shared" si="6"/>
        <v/>
      </c>
      <c r="W887" s="267" t="str">
        <f t="shared" si="8"/>
        <v/>
      </c>
      <c r="X887" s="264" t="str">
        <f t="shared" si="7"/>
        <v/>
      </c>
    </row>
    <row r="888" ht="15.75" customHeight="1">
      <c r="A888" s="258"/>
      <c r="B888" s="258"/>
      <c r="C888" s="269"/>
      <c r="D888" s="258"/>
      <c r="E888" s="258"/>
      <c r="F888" s="258"/>
      <c r="G888" s="258"/>
      <c r="H888" s="271"/>
      <c r="I888" s="258"/>
      <c r="J888" s="272"/>
      <c r="K888" s="260"/>
      <c r="L888" s="261"/>
      <c r="M888" s="262" t="str">
        <f t="shared" si="1"/>
        <v/>
      </c>
      <c r="N888" s="263" t="str">
        <f t="shared" si="2"/>
        <v/>
      </c>
      <c r="O888" s="264" t="str">
        <f t="shared" si="3"/>
        <v/>
      </c>
      <c r="P888" s="265" t="str">
        <f>IFERROR(__xludf.DUMMYFUNCTION("IF(ISBLANK(A888),"""",IFERROR(IF(H888=""Sell"",VLOOKUP(9^99,FILTER({ROW(P$2:P887),P$2:P887},D$2:D887=D888),2),(VLOOKUP(9^99,FILTER({ROW(P$2:P887),P$2:P887},D$2:D887=D888),2)*VLOOKUP(9^99,FILTER({ROW(O$2:O887),O$2:O887},D$2:D887=D888),2)-N888)/O888),J888))"),"")</f>
        <v/>
      </c>
      <c r="Q888" s="264" t="str">
        <f>IFERROR(__xludf.DUMMYFUNCTION("IFERROR(IF(F888=""Crypto"",B888,(IF(ISBLANK(D888),"""",IF(D888=""Cash"",B888,IF(GOOGLEFINANCE(D888,""CURRENCY"")=""GBX"",""GBP"",GOOGLEFINANCE(D888,""CURRENCY"")))))),B888)"),"")</f>
        <v/>
      </c>
      <c r="R888" s="263" t="str">
        <f>IFERROR(__xludf.DUMMYFUNCTION("IF(ISBLANK(A888),"""",IFERROR(IF(OR(Q888=""GPB"",Q888=""ZAR""),IF(Q888=Dashboard!$L$1,K888,(K888*GOOGLEFINANCE(""CURRENCY:""&amp;Q888&amp;""""&amp;Dashboard!$L$1&amp;""""))/100),IF(Q888=Dashboard!$L$1,K888,K888*GOOGLEFINANCE(""CURRENCY:""&amp;Q888&amp;""""&amp;Dashboard!$L$1&amp;"""")))"&amp;",K888))"),"")</f>
        <v/>
      </c>
      <c r="S888" s="266" t="str">
        <f>IFERROR(__xludf.DUMMYFUNCTION("IF(ISBLANK(A888),"""",IFERROR(IF(OR(Q888=""GPB"",Q888=""ZAR""),IF(Q888=Dashboard!$L$1,M888,(M888*GOOGLEFINANCE(""CURRENCY:""&amp;Q888&amp;""""&amp;Dashboard!$L$1&amp;""""))/100),IF(Q888=Dashboard!$L$1,M888,M888*GOOGLEFINANCE(""CURRENCY:""&amp;Q888&amp;""""&amp;Dashboard!$L$1&amp;"""")))"&amp;",M888))"),"")</f>
        <v/>
      </c>
      <c r="T888" s="264" t="str">
        <f t="shared" si="4"/>
        <v/>
      </c>
      <c r="U888" s="264" t="str">
        <f t="shared" si="5"/>
        <v/>
      </c>
      <c r="V888" s="264" t="str">
        <f t="shared" si="6"/>
        <v/>
      </c>
      <c r="W888" s="267" t="str">
        <f t="shared" si="8"/>
        <v/>
      </c>
      <c r="X888" s="264" t="str">
        <f t="shared" si="7"/>
        <v/>
      </c>
    </row>
    <row r="889" ht="15.75" customHeight="1">
      <c r="A889" s="258"/>
      <c r="B889" s="258"/>
      <c r="C889" s="269"/>
      <c r="D889" s="258"/>
      <c r="E889" s="258"/>
      <c r="F889" s="258"/>
      <c r="G889" s="258"/>
      <c r="H889" s="271"/>
      <c r="I889" s="258"/>
      <c r="J889" s="272"/>
      <c r="K889" s="260"/>
      <c r="L889" s="261"/>
      <c r="M889" s="262" t="str">
        <f t="shared" si="1"/>
        <v/>
      </c>
      <c r="N889" s="263" t="str">
        <f t="shared" si="2"/>
        <v/>
      </c>
      <c r="O889" s="264" t="str">
        <f t="shared" si="3"/>
        <v/>
      </c>
      <c r="P889" s="265" t="str">
        <f>IFERROR(__xludf.DUMMYFUNCTION("IF(ISBLANK(A889),"""",IFERROR(IF(H889=""Sell"",VLOOKUP(9^99,FILTER({ROW(P$2:P888),P$2:P888},D$2:D888=D889),2),(VLOOKUP(9^99,FILTER({ROW(P$2:P888),P$2:P888},D$2:D888=D889),2)*VLOOKUP(9^99,FILTER({ROW(O$2:O888),O$2:O888},D$2:D888=D889),2)-N889)/O889),J889))"),"")</f>
        <v/>
      </c>
      <c r="Q889" s="264" t="str">
        <f>IFERROR(__xludf.DUMMYFUNCTION("IFERROR(IF(F889=""Crypto"",B889,(IF(ISBLANK(D889),"""",IF(D889=""Cash"",B889,IF(GOOGLEFINANCE(D889,""CURRENCY"")=""GBX"",""GBP"",GOOGLEFINANCE(D889,""CURRENCY"")))))),B889)"),"")</f>
        <v/>
      </c>
      <c r="R889" s="263" t="str">
        <f>IFERROR(__xludf.DUMMYFUNCTION("IF(ISBLANK(A889),"""",IFERROR(IF(OR(Q889=""GPB"",Q889=""ZAR""),IF(Q889=Dashboard!$L$1,K889,(K889*GOOGLEFINANCE(""CURRENCY:""&amp;Q889&amp;""""&amp;Dashboard!$L$1&amp;""""))/100),IF(Q889=Dashboard!$L$1,K889,K889*GOOGLEFINANCE(""CURRENCY:""&amp;Q889&amp;""""&amp;Dashboard!$L$1&amp;"""")))"&amp;",K889))"),"")</f>
        <v/>
      </c>
      <c r="S889" s="266" t="str">
        <f>IFERROR(__xludf.DUMMYFUNCTION("IF(ISBLANK(A889),"""",IFERROR(IF(OR(Q889=""GPB"",Q889=""ZAR""),IF(Q889=Dashboard!$L$1,M889,(M889*GOOGLEFINANCE(""CURRENCY:""&amp;Q889&amp;""""&amp;Dashboard!$L$1&amp;""""))/100),IF(Q889=Dashboard!$L$1,M889,M889*GOOGLEFINANCE(""CURRENCY:""&amp;Q889&amp;""""&amp;Dashboard!$L$1&amp;"""")))"&amp;",M889))"),"")</f>
        <v/>
      </c>
      <c r="T889" s="264" t="str">
        <f t="shared" si="4"/>
        <v/>
      </c>
      <c r="U889" s="264" t="str">
        <f t="shared" si="5"/>
        <v/>
      </c>
      <c r="V889" s="264" t="str">
        <f t="shared" si="6"/>
        <v/>
      </c>
      <c r="W889" s="267" t="str">
        <f t="shared" si="8"/>
        <v/>
      </c>
      <c r="X889" s="264" t="str">
        <f t="shared" si="7"/>
        <v/>
      </c>
    </row>
    <row r="890" ht="15.75" customHeight="1">
      <c r="A890" s="258"/>
      <c r="B890" s="258"/>
      <c r="C890" s="269"/>
      <c r="D890" s="258"/>
      <c r="E890" s="258"/>
      <c r="F890" s="258"/>
      <c r="G890" s="258"/>
      <c r="H890" s="271"/>
      <c r="I890" s="258"/>
      <c r="J890" s="272"/>
      <c r="K890" s="260"/>
      <c r="L890" s="261"/>
      <c r="M890" s="262" t="str">
        <f t="shared" si="1"/>
        <v/>
      </c>
      <c r="N890" s="263" t="str">
        <f t="shared" si="2"/>
        <v/>
      </c>
      <c r="O890" s="264" t="str">
        <f t="shared" si="3"/>
        <v/>
      </c>
      <c r="P890" s="265" t="str">
        <f>IFERROR(__xludf.DUMMYFUNCTION("IF(ISBLANK(A890),"""",IFERROR(IF(H890=""Sell"",VLOOKUP(9^99,FILTER({ROW(P$2:P889),P$2:P889},D$2:D889=D890),2),(VLOOKUP(9^99,FILTER({ROW(P$2:P889),P$2:P889},D$2:D889=D890),2)*VLOOKUP(9^99,FILTER({ROW(O$2:O889),O$2:O889},D$2:D889=D890),2)-N890)/O890),J890))"),"")</f>
        <v/>
      </c>
      <c r="Q890" s="264" t="str">
        <f>IFERROR(__xludf.DUMMYFUNCTION("IFERROR(IF(F890=""Crypto"",B890,(IF(ISBLANK(D890),"""",IF(D890=""Cash"",B890,IF(GOOGLEFINANCE(D890,""CURRENCY"")=""GBX"",""GBP"",GOOGLEFINANCE(D890,""CURRENCY"")))))),B890)"),"")</f>
        <v/>
      </c>
      <c r="R890" s="263" t="str">
        <f>IFERROR(__xludf.DUMMYFUNCTION("IF(ISBLANK(A890),"""",IFERROR(IF(OR(Q890=""GPB"",Q890=""ZAR""),IF(Q890=Dashboard!$L$1,K890,(K890*GOOGLEFINANCE(""CURRENCY:""&amp;Q890&amp;""""&amp;Dashboard!$L$1&amp;""""))/100),IF(Q890=Dashboard!$L$1,K890,K890*GOOGLEFINANCE(""CURRENCY:""&amp;Q890&amp;""""&amp;Dashboard!$L$1&amp;"""")))"&amp;",K890))"),"")</f>
        <v/>
      </c>
      <c r="S890" s="266" t="str">
        <f>IFERROR(__xludf.DUMMYFUNCTION("IF(ISBLANK(A890),"""",IFERROR(IF(OR(Q890=""GPB"",Q890=""ZAR""),IF(Q890=Dashboard!$L$1,M890,(M890*GOOGLEFINANCE(""CURRENCY:""&amp;Q890&amp;""""&amp;Dashboard!$L$1&amp;""""))/100),IF(Q890=Dashboard!$L$1,M890,M890*GOOGLEFINANCE(""CURRENCY:""&amp;Q890&amp;""""&amp;Dashboard!$L$1&amp;"""")))"&amp;",M890))"),"")</f>
        <v/>
      </c>
      <c r="T890" s="264" t="str">
        <f t="shared" si="4"/>
        <v/>
      </c>
      <c r="U890" s="264" t="str">
        <f t="shared" si="5"/>
        <v/>
      </c>
      <c r="V890" s="264" t="str">
        <f t="shared" si="6"/>
        <v/>
      </c>
      <c r="W890" s="267" t="str">
        <f t="shared" si="8"/>
        <v/>
      </c>
      <c r="X890" s="264" t="str">
        <f t="shared" si="7"/>
        <v/>
      </c>
    </row>
    <row r="891" ht="15.75" customHeight="1">
      <c r="A891" s="258"/>
      <c r="B891" s="258"/>
      <c r="C891" s="269"/>
      <c r="D891" s="258"/>
      <c r="E891" s="258"/>
      <c r="F891" s="258"/>
      <c r="G891" s="258"/>
      <c r="H891" s="271"/>
      <c r="I891" s="258"/>
      <c r="J891" s="272"/>
      <c r="K891" s="260"/>
      <c r="L891" s="261"/>
      <c r="M891" s="262" t="str">
        <f t="shared" si="1"/>
        <v/>
      </c>
      <c r="N891" s="263" t="str">
        <f t="shared" si="2"/>
        <v/>
      </c>
      <c r="O891" s="264" t="str">
        <f t="shared" si="3"/>
        <v/>
      </c>
      <c r="P891" s="265" t="str">
        <f>IFERROR(__xludf.DUMMYFUNCTION("IF(ISBLANK(A891),"""",IFERROR(IF(H891=""Sell"",VLOOKUP(9^99,FILTER({ROW(P$2:P890),P$2:P890},D$2:D890=D891),2),(VLOOKUP(9^99,FILTER({ROW(P$2:P890),P$2:P890},D$2:D890=D891),2)*VLOOKUP(9^99,FILTER({ROW(O$2:O890),O$2:O890},D$2:D890=D891),2)-N891)/O891),J891))"),"")</f>
        <v/>
      </c>
      <c r="Q891" s="264" t="str">
        <f>IFERROR(__xludf.DUMMYFUNCTION("IFERROR(IF(F891=""Crypto"",B891,(IF(ISBLANK(D891),"""",IF(D891=""Cash"",B891,IF(GOOGLEFINANCE(D891,""CURRENCY"")=""GBX"",""GBP"",GOOGLEFINANCE(D891,""CURRENCY"")))))),B891)"),"")</f>
        <v/>
      </c>
      <c r="R891" s="263" t="str">
        <f>IFERROR(__xludf.DUMMYFUNCTION("IF(ISBLANK(A891),"""",IFERROR(IF(OR(Q891=""GPB"",Q891=""ZAR""),IF(Q891=Dashboard!$L$1,K891,(K891*GOOGLEFINANCE(""CURRENCY:""&amp;Q891&amp;""""&amp;Dashboard!$L$1&amp;""""))/100),IF(Q891=Dashboard!$L$1,K891,K891*GOOGLEFINANCE(""CURRENCY:""&amp;Q891&amp;""""&amp;Dashboard!$L$1&amp;"""")))"&amp;",K891))"),"")</f>
        <v/>
      </c>
      <c r="S891" s="266" t="str">
        <f>IFERROR(__xludf.DUMMYFUNCTION("IF(ISBLANK(A891),"""",IFERROR(IF(OR(Q891=""GPB"",Q891=""ZAR""),IF(Q891=Dashboard!$L$1,M891,(M891*GOOGLEFINANCE(""CURRENCY:""&amp;Q891&amp;""""&amp;Dashboard!$L$1&amp;""""))/100),IF(Q891=Dashboard!$L$1,M891,M891*GOOGLEFINANCE(""CURRENCY:""&amp;Q891&amp;""""&amp;Dashboard!$L$1&amp;"""")))"&amp;",M891))"),"")</f>
        <v/>
      </c>
      <c r="T891" s="264" t="str">
        <f t="shared" si="4"/>
        <v/>
      </c>
      <c r="U891" s="264" t="str">
        <f t="shared" si="5"/>
        <v/>
      </c>
      <c r="V891" s="264" t="str">
        <f t="shared" si="6"/>
        <v/>
      </c>
      <c r="W891" s="267" t="str">
        <f t="shared" si="8"/>
        <v/>
      </c>
      <c r="X891" s="264" t="str">
        <f t="shared" si="7"/>
        <v/>
      </c>
    </row>
    <row r="892" ht="15.75" customHeight="1">
      <c r="A892" s="258"/>
      <c r="B892" s="258"/>
      <c r="C892" s="269"/>
      <c r="D892" s="258"/>
      <c r="E892" s="258"/>
      <c r="F892" s="258"/>
      <c r="G892" s="258"/>
      <c r="H892" s="271"/>
      <c r="I892" s="258"/>
      <c r="J892" s="272"/>
      <c r="K892" s="260"/>
      <c r="L892" s="261"/>
      <c r="M892" s="262" t="str">
        <f t="shared" si="1"/>
        <v/>
      </c>
      <c r="N892" s="263" t="str">
        <f t="shared" si="2"/>
        <v/>
      </c>
      <c r="O892" s="264" t="str">
        <f t="shared" si="3"/>
        <v/>
      </c>
      <c r="P892" s="265" t="str">
        <f>IFERROR(__xludf.DUMMYFUNCTION("IF(ISBLANK(A892),"""",IFERROR(IF(H892=""Sell"",VLOOKUP(9^99,FILTER({ROW(P$2:P891),P$2:P891},D$2:D891=D892),2),(VLOOKUP(9^99,FILTER({ROW(P$2:P891),P$2:P891},D$2:D891=D892),2)*VLOOKUP(9^99,FILTER({ROW(O$2:O891),O$2:O891},D$2:D891=D892),2)-N892)/O892),J892))"),"")</f>
        <v/>
      </c>
      <c r="Q892" s="264" t="str">
        <f>IFERROR(__xludf.DUMMYFUNCTION("IFERROR(IF(F892=""Crypto"",B892,(IF(ISBLANK(D892),"""",IF(D892=""Cash"",B892,IF(GOOGLEFINANCE(D892,""CURRENCY"")=""GBX"",""GBP"",GOOGLEFINANCE(D892,""CURRENCY"")))))),B892)"),"")</f>
        <v/>
      </c>
      <c r="R892" s="263" t="str">
        <f>IFERROR(__xludf.DUMMYFUNCTION("IF(ISBLANK(A892),"""",IFERROR(IF(OR(Q892=""GPB"",Q892=""ZAR""),IF(Q892=Dashboard!$L$1,K892,(K892*GOOGLEFINANCE(""CURRENCY:""&amp;Q892&amp;""""&amp;Dashboard!$L$1&amp;""""))/100),IF(Q892=Dashboard!$L$1,K892,K892*GOOGLEFINANCE(""CURRENCY:""&amp;Q892&amp;""""&amp;Dashboard!$L$1&amp;"""")))"&amp;",K892))"),"")</f>
        <v/>
      </c>
      <c r="S892" s="266" t="str">
        <f>IFERROR(__xludf.DUMMYFUNCTION("IF(ISBLANK(A892),"""",IFERROR(IF(OR(Q892=""GPB"",Q892=""ZAR""),IF(Q892=Dashboard!$L$1,M892,(M892*GOOGLEFINANCE(""CURRENCY:""&amp;Q892&amp;""""&amp;Dashboard!$L$1&amp;""""))/100),IF(Q892=Dashboard!$L$1,M892,M892*GOOGLEFINANCE(""CURRENCY:""&amp;Q892&amp;""""&amp;Dashboard!$L$1&amp;"""")))"&amp;",M892))"),"")</f>
        <v/>
      </c>
      <c r="T892" s="264" t="str">
        <f t="shared" si="4"/>
        <v/>
      </c>
      <c r="U892" s="264" t="str">
        <f t="shared" si="5"/>
        <v/>
      </c>
      <c r="V892" s="264" t="str">
        <f t="shared" si="6"/>
        <v/>
      </c>
      <c r="W892" s="267" t="str">
        <f t="shared" si="8"/>
        <v/>
      </c>
      <c r="X892" s="264" t="str">
        <f t="shared" si="7"/>
        <v/>
      </c>
    </row>
    <row r="893" ht="15.75" customHeight="1">
      <c r="A893" s="258"/>
      <c r="B893" s="258"/>
      <c r="C893" s="269"/>
      <c r="D893" s="258"/>
      <c r="E893" s="258"/>
      <c r="F893" s="258"/>
      <c r="G893" s="258"/>
      <c r="H893" s="271"/>
      <c r="I893" s="258"/>
      <c r="J893" s="272"/>
      <c r="K893" s="260"/>
      <c r="L893" s="261"/>
      <c r="M893" s="262" t="str">
        <f t="shared" si="1"/>
        <v/>
      </c>
      <c r="N893" s="263" t="str">
        <f t="shared" si="2"/>
        <v/>
      </c>
      <c r="O893" s="264" t="str">
        <f t="shared" si="3"/>
        <v/>
      </c>
      <c r="P893" s="265" t="str">
        <f>IFERROR(__xludf.DUMMYFUNCTION("IF(ISBLANK(A893),"""",IFERROR(IF(H893=""Sell"",VLOOKUP(9^99,FILTER({ROW(P$2:P892),P$2:P892},D$2:D892=D893),2),(VLOOKUP(9^99,FILTER({ROW(P$2:P892),P$2:P892},D$2:D892=D893),2)*VLOOKUP(9^99,FILTER({ROW(O$2:O892),O$2:O892},D$2:D892=D893),2)-N893)/O893),J893))"),"")</f>
        <v/>
      </c>
      <c r="Q893" s="264" t="str">
        <f>IFERROR(__xludf.DUMMYFUNCTION("IFERROR(IF(F893=""Crypto"",B893,(IF(ISBLANK(D893),"""",IF(D893=""Cash"",B893,IF(GOOGLEFINANCE(D893,""CURRENCY"")=""GBX"",""GBP"",GOOGLEFINANCE(D893,""CURRENCY"")))))),B893)"),"")</f>
        <v/>
      </c>
      <c r="R893" s="263" t="str">
        <f>IFERROR(__xludf.DUMMYFUNCTION("IF(ISBLANK(A893),"""",IFERROR(IF(OR(Q893=""GPB"",Q893=""ZAR""),IF(Q893=Dashboard!$L$1,K893,(K893*GOOGLEFINANCE(""CURRENCY:""&amp;Q893&amp;""""&amp;Dashboard!$L$1&amp;""""))/100),IF(Q893=Dashboard!$L$1,K893,K893*GOOGLEFINANCE(""CURRENCY:""&amp;Q893&amp;""""&amp;Dashboard!$L$1&amp;"""")))"&amp;",K893))"),"")</f>
        <v/>
      </c>
      <c r="S893" s="266" t="str">
        <f>IFERROR(__xludf.DUMMYFUNCTION("IF(ISBLANK(A893),"""",IFERROR(IF(OR(Q893=""GPB"",Q893=""ZAR""),IF(Q893=Dashboard!$L$1,M893,(M893*GOOGLEFINANCE(""CURRENCY:""&amp;Q893&amp;""""&amp;Dashboard!$L$1&amp;""""))/100),IF(Q893=Dashboard!$L$1,M893,M893*GOOGLEFINANCE(""CURRENCY:""&amp;Q893&amp;""""&amp;Dashboard!$L$1&amp;"""")))"&amp;",M893))"),"")</f>
        <v/>
      </c>
      <c r="T893" s="264" t="str">
        <f t="shared" si="4"/>
        <v/>
      </c>
      <c r="U893" s="264" t="str">
        <f t="shared" si="5"/>
        <v/>
      </c>
      <c r="V893" s="264" t="str">
        <f t="shared" si="6"/>
        <v/>
      </c>
      <c r="W893" s="267" t="str">
        <f t="shared" si="8"/>
        <v/>
      </c>
      <c r="X893" s="264" t="str">
        <f t="shared" si="7"/>
        <v/>
      </c>
    </row>
    <row r="894" ht="15.75" customHeight="1">
      <c r="A894" s="258"/>
      <c r="B894" s="258"/>
      <c r="C894" s="269"/>
      <c r="D894" s="258"/>
      <c r="E894" s="258"/>
      <c r="F894" s="258"/>
      <c r="G894" s="258"/>
      <c r="H894" s="271"/>
      <c r="I894" s="258"/>
      <c r="J894" s="272"/>
      <c r="K894" s="260"/>
      <c r="L894" s="261"/>
      <c r="M894" s="262" t="str">
        <f t="shared" si="1"/>
        <v/>
      </c>
      <c r="N894" s="263" t="str">
        <f t="shared" si="2"/>
        <v/>
      </c>
      <c r="O894" s="264" t="str">
        <f t="shared" si="3"/>
        <v/>
      </c>
      <c r="P894" s="265" t="str">
        <f>IFERROR(__xludf.DUMMYFUNCTION("IF(ISBLANK(A894),"""",IFERROR(IF(H894=""Sell"",VLOOKUP(9^99,FILTER({ROW(P$2:P893),P$2:P893},D$2:D893=D894),2),(VLOOKUP(9^99,FILTER({ROW(P$2:P893),P$2:P893},D$2:D893=D894),2)*VLOOKUP(9^99,FILTER({ROW(O$2:O893),O$2:O893},D$2:D893=D894),2)-N894)/O894),J894))"),"")</f>
        <v/>
      </c>
      <c r="Q894" s="264" t="str">
        <f>IFERROR(__xludf.DUMMYFUNCTION("IFERROR(IF(F894=""Crypto"",B894,(IF(ISBLANK(D894),"""",IF(D894=""Cash"",B894,IF(GOOGLEFINANCE(D894,""CURRENCY"")=""GBX"",""GBP"",GOOGLEFINANCE(D894,""CURRENCY"")))))),B894)"),"")</f>
        <v/>
      </c>
      <c r="R894" s="263" t="str">
        <f>IFERROR(__xludf.DUMMYFUNCTION("IF(ISBLANK(A894),"""",IFERROR(IF(OR(Q894=""GPB"",Q894=""ZAR""),IF(Q894=Dashboard!$L$1,K894,(K894*GOOGLEFINANCE(""CURRENCY:""&amp;Q894&amp;""""&amp;Dashboard!$L$1&amp;""""))/100),IF(Q894=Dashboard!$L$1,K894,K894*GOOGLEFINANCE(""CURRENCY:""&amp;Q894&amp;""""&amp;Dashboard!$L$1&amp;"""")))"&amp;",K894))"),"")</f>
        <v/>
      </c>
      <c r="S894" s="266" t="str">
        <f>IFERROR(__xludf.DUMMYFUNCTION("IF(ISBLANK(A894),"""",IFERROR(IF(OR(Q894=""GPB"",Q894=""ZAR""),IF(Q894=Dashboard!$L$1,M894,(M894*GOOGLEFINANCE(""CURRENCY:""&amp;Q894&amp;""""&amp;Dashboard!$L$1&amp;""""))/100),IF(Q894=Dashboard!$L$1,M894,M894*GOOGLEFINANCE(""CURRENCY:""&amp;Q894&amp;""""&amp;Dashboard!$L$1&amp;"""")))"&amp;",M894))"),"")</f>
        <v/>
      </c>
      <c r="T894" s="264" t="str">
        <f t="shared" si="4"/>
        <v/>
      </c>
      <c r="U894" s="264" t="str">
        <f t="shared" si="5"/>
        <v/>
      </c>
      <c r="V894" s="264" t="str">
        <f t="shared" si="6"/>
        <v/>
      </c>
      <c r="W894" s="267" t="str">
        <f t="shared" si="8"/>
        <v/>
      </c>
      <c r="X894" s="264" t="str">
        <f t="shared" si="7"/>
        <v/>
      </c>
    </row>
    <row r="895" ht="15.75" customHeight="1">
      <c r="A895" s="258"/>
      <c r="B895" s="258"/>
      <c r="C895" s="269"/>
      <c r="D895" s="258"/>
      <c r="E895" s="258"/>
      <c r="F895" s="258"/>
      <c r="G895" s="258"/>
      <c r="H895" s="271"/>
      <c r="I895" s="258"/>
      <c r="J895" s="272"/>
      <c r="K895" s="260"/>
      <c r="L895" s="261"/>
      <c r="M895" s="262" t="str">
        <f t="shared" si="1"/>
        <v/>
      </c>
      <c r="N895" s="263" t="str">
        <f t="shared" si="2"/>
        <v/>
      </c>
      <c r="O895" s="264" t="str">
        <f t="shared" si="3"/>
        <v/>
      </c>
      <c r="P895" s="265" t="str">
        <f>IFERROR(__xludf.DUMMYFUNCTION("IF(ISBLANK(A895),"""",IFERROR(IF(H895=""Sell"",VLOOKUP(9^99,FILTER({ROW(P$2:P894),P$2:P894},D$2:D894=D895),2),(VLOOKUP(9^99,FILTER({ROW(P$2:P894),P$2:P894},D$2:D894=D895),2)*VLOOKUP(9^99,FILTER({ROW(O$2:O894),O$2:O894},D$2:D894=D895),2)-N895)/O895),J895))"),"")</f>
        <v/>
      </c>
      <c r="Q895" s="264" t="str">
        <f>IFERROR(__xludf.DUMMYFUNCTION("IFERROR(IF(F895=""Crypto"",B895,(IF(ISBLANK(D895),"""",IF(D895=""Cash"",B895,IF(GOOGLEFINANCE(D895,""CURRENCY"")=""GBX"",""GBP"",GOOGLEFINANCE(D895,""CURRENCY"")))))),B895)"),"")</f>
        <v/>
      </c>
      <c r="R895" s="263" t="str">
        <f>IFERROR(__xludf.DUMMYFUNCTION("IF(ISBLANK(A895),"""",IFERROR(IF(OR(Q895=""GPB"",Q895=""ZAR""),IF(Q895=Dashboard!$L$1,K895,(K895*GOOGLEFINANCE(""CURRENCY:""&amp;Q895&amp;""""&amp;Dashboard!$L$1&amp;""""))/100),IF(Q895=Dashboard!$L$1,K895,K895*GOOGLEFINANCE(""CURRENCY:""&amp;Q895&amp;""""&amp;Dashboard!$L$1&amp;"""")))"&amp;",K895))"),"")</f>
        <v/>
      </c>
      <c r="S895" s="266" t="str">
        <f>IFERROR(__xludf.DUMMYFUNCTION("IF(ISBLANK(A895),"""",IFERROR(IF(OR(Q895=""GPB"",Q895=""ZAR""),IF(Q895=Dashboard!$L$1,M895,(M895*GOOGLEFINANCE(""CURRENCY:""&amp;Q895&amp;""""&amp;Dashboard!$L$1&amp;""""))/100),IF(Q895=Dashboard!$L$1,M895,M895*GOOGLEFINANCE(""CURRENCY:""&amp;Q895&amp;""""&amp;Dashboard!$L$1&amp;"""")))"&amp;",M895))"),"")</f>
        <v/>
      </c>
      <c r="T895" s="264" t="str">
        <f t="shared" si="4"/>
        <v/>
      </c>
      <c r="U895" s="264" t="str">
        <f t="shared" si="5"/>
        <v/>
      </c>
      <c r="V895" s="264" t="str">
        <f t="shared" si="6"/>
        <v/>
      </c>
      <c r="W895" s="267" t="str">
        <f t="shared" si="8"/>
        <v/>
      </c>
      <c r="X895" s="264" t="str">
        <f t="shared" si="7"/>
        <v/>
      </c>
    </row>
    <row r="896" ht="15.75" customHeight="1">
      <c r="A896" s="258"/>
      <c r="B896" s="258"/>
      <c r="C896" s="269"/>
      <c r="D896" s="258"/>
      <c r="E896" s="258"/>
      <c r="F896" s="258"/>
      <c r="G896" s="258"/>
      <c r="H896" s="271"/>
      <c r="I896" s="258"/>
      <c r="J896" s="272"/>
      <c r="K896" s="260"/>
      <c r="L896" s="261"/>
      <c r="M896" s="262" t="str">
        <f t="shared" si="1"/>
        <v/>
      </c>
      <c r="N896" s="263" t="str">
        <f t="shared" si="2"/>
        <v/>
      </c>
      <c r="O896" s="264" t="str">
        <f t="shared" si="3"/>
        <v/>
      </c>
      <c r="P896" s="265" t="str">
        <f>IFERROR(__xludf.DUMMYFUNCTION("IF(ISBLANK(A896),"""",IFERROR(IF(H896=""Sell"",VLOOKUP(9^99,FILTER({ROW(P$2:P895),P$2:P895},D$2:D895=D896),2),(VLOOKUP(9^99,FILTER({ROW(P$2:P895),P$2:P895},D$2:D895=D896),2)*VLOOKUP(9^99,FILTER({ROW(O$2:O895),O$2:O895},D$2:D895=D896),2)-N896)/O896),J896))"),"")</f>
        <v/>
      </c>
      <c r="Q896" s="264" t="str">
        <f>IFERROR(__xludf.DUMMYFUNCTION("IFERROR(IF(F896=""Crypto"",B896,(IF(ISBLANK(D896),"""",IF(D896=""Cash"",B896,IF(GOOGLEFINANCE(D896,""CURRENCY"")=""GBX"",""GBP"",GOOGLEFINANCE(D896,""CURRENCY"")))))),B896)"),"")</f>
        <v/>
      </c>
      <c r="R896" s="263" t="str">
        <f>IFERROR(__xludf.DUMMYFUNCTION("IF(ISBLANK(A896),"""",IFERROR(IF(OR(Q896=""GPB"",Q896=""ZAR""),IF(Q896=Dashboard!$L$1,K896,(K896*GOOGLEFINANCE(""CURRENCY:""&amp;Q896&amp;""""&amp;Dashboard!$L$1&amp;""""))/100),IF(Q896=Dashboard!$L$1,K896,K896*GOOGLEFINANCE(""CURRENCY:""&amp;Q896&amp;""""&amp;Dashboard!$L$1&amp;"""")))"&amp;",K896))"),"")</f>
        <v/>
      </c>
      <c r="S896" s="266" t="str">
        <f>IFERROR(__xludf.DUMMYFUNCTION("IF(ISBLANK(A896),"""",IFERROR(IF(OR(Q896=""GPB"",Q896=""ZAR""),IF(Q896=Dashboard!$L$1,M896,(M896*GOOGLEFINANCE(""CURRENCY:""&amp;Q896&amp;""""&amp;Dashboard!$L$1&amp;""""))/100),IF(Q896=Dashboard!$L$1,M896,M896*GOOGLEFINANCE(""CURRENCY:""&amp;Q896&amp;""""&amp;Dashboard!$L$1&amp;"""")))"&amp;",M896))"),"")</f>
        <v/>
      </c>
      <c r="T896" s="264" t="str">
        <f t="shared" si="4"/>
        <v/>
      </c>
      <c r="U896" s="264" t="str">
        <f t="shared" si="5"/>
        <v/>
      </c>
      <c r="V896" s="264" t="str">
        <f t="shared" si="6"/>
        <v/>
      </c>
      <c r="W896" s="267" t="str">
        <f t="shared" si="8"/>
        <v/>
      </c>
      <c r="X896" s="264" t="str">
        <f t="shared" si="7"/>
        <v/>
      </c>
    </row>
    <row r="897" ht="15.75" customHeight="1">
      <c r="A897" s="258"/>
      <c r="B897" s="258"/>
      <c r="C897" s="269"/>
      <c r="D897" s="258"/>
      <c r="E897" s="258"/>
      <c r="F897" s="258"/>
      <c r="G897" s="258"/>
      <c r="H897" s="271"/>
      <c r="I897" s="258"/>
      <c r="J897" s="272"/>
      <c r="K897" s="260"/>
      <c r="L897" s="261"/>
      <c r="M897" s="262" t="str">
        <f t="shared" si="1"/>
        <v/>
      </c>
      <c r="N897" s="263" t="str">
        <f t="shared" si="2"/>
        <v/>
      </c>
      <c r="O897" s="264" t="str">
        <f t="shared" si="3"/>
        <v/>
      </c>
      <c r="P897" s="265" t="str">
        <f>IFERROR(__xludf.DUMMYFUNCTION("IF(ISBLANK(A897),"""",IFERROR(IF(H897=""Sell"",VLOOKUP(9^99,FILTER({ROW(P$2:P896),P$2:P896},D$2:D896=D897),2),(VLOOKUP(9^99,FILTER({ROW(P$2:P896),P$2:P896},D$2:D896=D897),2)*VLOOKUP(9^99,FILTER({ROW(O$2:O896),O$2:O896},D$2:D896=D897),2)-N897)/O897),J897))"),"")</f>
        <v/>
      </c>
      <c r="Q897" s="264" t="str">
        <f>IFERROR(__xludf.DUMMYFUNCTION("IFERROR(IF(F897=""Crypto"",B897,(IF(ISBLANK(D897),"""",IF(D897=""Cash"",B897,IF(GOOGLEFINANCE(D897,""CURRENCY"")=""GBX"",""GBP"",GOOGLEFINANCE(D897,""CURRENCY"")))))),B897)"),"")</f>
        <v/>
      </c>
      <c r="R897" s="263" t="str">
        <f>IFERROR(__xludf.DUMMYFUNCTION("IF(ISBLANK(A897),"""",IFERROR(IF(OR(Q897=""GPB"",Q897=""ZAR""),IF(Q897=Dashboard!$L$1,K897,(K897*GOOGLEFINANCE(""CURRENCY:""&amp;Q897&amp;""""&amp;Dashboard!$L$1&amp;""""))/100),IF(Q897=Dashboard!$L$1,K897,K897*GOOGLEFINANCE(""CURRENCY:""&amp;Q897&amp;""""&amp;Dashboard!$L$1&amp;"""")))"&amp;",K897))"),"")</f>
        <v/>
      </c>
      <c r="S897" s="266" t="str">
        <f>IFERROR(__xludf.DUMMYFUNCTION("IF(ISBLANK(A897),"""",IFERROR(IF(OR(Q897=""GPB"",Q897=""ZAR""),IF(Q897=Dashboard!$L$1,M897,(M897*GOOGLEFINANCE(""CURRENCY:""&amp;Q897&amp;""""&amp;Dashboard!$L$1&amp;""""))/100),IF(Q897=Dashboard!$L$1,M897,M897*GOOGLEFINANCE(""CURRENCY:""&amp;Q897&amp;""""&amp;Dashboard!$L$1&amp;"""")))"&amp;",M897))"),"")</f>
        <v/>
      </c>
      <c r="T897" s="264" t="str">
        <f t="shared" si="4"/>
        <v/>
      </c>
      <c r="U897" s="264" t="str">
        <f t="shared" si="5"/>
        <v/>
      </c>
      <c r="V897" s="264" t="str">
        <f t="shared" si="6"/>
        <v/>
      </c>
      <c r="W897" s="267" t="str">
        <f t="shared" si="8"/>
        <v/>
      </c>
      <c r="X897" s="264" t="str">
        <f t="shared" si="7"/>
        <v/>
      </c>
    </row>
    <row r="898" ht="15.75" customHeight="1">
      <c r="A898" s="258"/>
      <c r="B898" s="258"/>
      <c r="C898" s="269"/>
      <c r="D898" s="258"/>
      <c r="E898" s="258"/>
      <c r="F898" s="258"/>
      <c r="G898" s="258"/>
      <c r="H898" s="271"/>
      <c r="I898" s="258"/>
      <c r="J898" s="272"/>
      <c r="K898" s="260"/>
      <c r="L898" s="261"/>
      <c r="M898" s="262" t="str">
        <f t="shared" si="1"/>
        <v/>
      </c>
      <c r="N898" s="263" t="str">
        <f t="shared" si="2"/>
        <v/>
      </c>
      <c r="O898" s="264" t="str">
        <f t="shared" si="3"/>
        <v/>
      </c>
      <c r="P898" s="265" t="str">
        <f>IFERROR(__xludf.DUMMYFUNCTION("IF(ISBLANK(A898),"""",IFERROR(IF(H898=""Sell"",VLOOKUP(9^99,FILTER({ROW(P$2:P897),P$2:P897},D$2:D897=D898),2),(VLOOKUP(9^99,FILTER({ROW(P$2:P897),P$2:P897},D$2:D897=D898),2)*VLOOKUP(9^99,FILTER({ROW(O$2:O897),O$2:O897},D$2:D897=D898),2)-N898)/O898),J898))"),"")</f>
        <v/>
      </c>
      <c r="Q898" s="264" t="str">
        <f>IFERROR(__xludf.DUMMYFUNCTION("IFERROR(IF(F898=""Crypto"",B898,(IF(ISBLANK(D898),"""",IF(D898=""Cash"",B898,IF(GOOGLEFINANCE(D898,""CURRENCY"")=""GBX"",""GBP"",GOOGLEFINANCE(D898,""CURRENCY"")))))),B898)"),"")</f>
        <v/>
      </c>
      <c r="R898" s="263" t="str">
        <f>IFERROR(__xludf.DUMMYFUNCTION("IF(ISBLANK(A898),"""",IFERROR(IF(OR(Q898=""GPB"",Q898=""ZAR""),IF(Q898=Dashboard!$L$1,K898,(K898*GOOGLEFINANCE(""CURRENCY:""&amp;Q898&amp;""""&amp;Dashboard!$L$1&amp;""""))/100),IF(Q898=Dashboard!$L$1,K898,K898*GOOGLEFINANCE(""CURRENCY:""&amp;Q898&amp;""""&amp;Dashboard!$L$1&amp;"""")))"&amp;",K898))"),"")</f>
        <v/>
      </c>
      <c r="S898" s="266" t="str">
        <f>IFERROR(__xludf.DUMMYFUNCTION("IF(ISBLANK(A898),"""",IFERROR(IF(OR(Q898=""GPB"",Q898=""ZAR""),IF(Q898=Dashboard!$L$1,M898,(M898*GOOGLEFINANCE(""CURRENCY:""&amp;Q898&amp;""""&amp;Dashboard!$L$1&amp;""""))/100),IF(Q898=Dashboard!$L$1,M898,M898*GOOGLEFINANCE(""CURRENCY:""&amp;Q898&amp;""""&amp;Dashboard!$L$1&amp;"""")))"&amp;",M898))"),"")</f>
        <v/>
      </c>
      <c r="T898" s="264" t="str">
        <f t="shared" si="4"/>
        <v/>
      </c>
      <c r="U898" s="264" t="str">
        <f t="shared" si="5"/>
        <v/>
      </c>
      <c r="V898" s="264" t="str">
        <f t="shared" si="6"/>
        <v/>
      </c>
      <c r="W898" s="267" t="str">
        <f t="shared" si="8"/>
        <v/>
      </c>
      <c r="X898" s="264" t="str">
        <f t="shared" si="7"/>
        <v/>
      </c>
    </row>
    <row r="899" ht="15.75" customHeight="1">
      <c r="A899" s="258"/>
      <c r="B899" s="258"/>
      <c r="C899" s="269"/>
      <c r="D899" s="258"/>
      <c r="E899" s="258"/>
      <c r="F899" s="258"/>
      <c r="G899" s="258"/>
      <c r="H899" s="271"/>
      <c r="I899" s="258"/>
      <c r="J899" s="272"/>
      <c r="K899" s="260"/>
      <c r="L899" s="261"/>
      <c r="M899" s="262" t="str">
        <f t="shared" si="1"/>
        <v/>
      </c>
      <c r="N899" s="263" t="str">
        <f t="shared" si="2"/>
        <v/>
      </c>
      <c r="O899" s="264" t="str">
        <f t="shared" si="3"/>
        <v/>
      </c>
      <c r="P899" s="265" t="str">
        <f>IFERROR(__xludf.DUMMYFUNCTION("IF(ISBLANK(A899),"""",IFERROR(IF(H899=""Sell"",VLOOKUP(9^99,FILTER({ROW(P$2:P898),P$2:P898},D$2:D898=D899),2),(VLOOKUP(9^99,FILTER({ROW(P$2:P898),P$2:P898},D$2:D898=D899),2)*VLOOKUP(9^99,FILTER({ROW(O$2:O898),O$2:O898},D$2:D898=D899),2)-N899)/O899),J899))"),"")</f>
        <v/>
      </c>
      <c r="Q899" s="264" t="str">
        <f>IFERROR(__xludf.DUMMYFUNCTION("IFERROR(IF(F899=""Crypto"",B899,(IF(ISBLANK(D899),"""",IF(D899=""Cash"",B899,IF(GOOGLEFINANCE(D899,""CURRENCY"")=""GBX"",""GBP"",GOOGLEFINANCE(D899,""CURRENCY"")))))),B899)"),"")</f>
        <v/>
      </c>
      <c r="R899" s="263" t="str">
        <f>IFERROR(__xludf.DUMMYFUNCTION("IF(ISBLANK(A899),"""",IFERROR(IF(OR(Q899=""GPB"",Q899=""ZAR""),IF(Q899=Dashboard!$L$1,K899,(K899*GOOGLEFINANCE(""CURRENCY:""&amp;Q899&amp;""""&amp;Dashboard!$L$1&amp;""""))/100),IF(Q899=Dashboard!$L$1,K899,K899*GOOGLEFINANCE(""CURRENCY:""&amp;Q899&amp;""""&amp;Dashboard!$L$1&amp;"""")))"&amp;",K899))"),"")</f>
        <v/>
      </c>
      <c r="S899" s="266" t="str">
        <f>IFERROR(__xludf.DUMMYFUNCTION("IF(ISBLANK(A899),"""",IFERROR(IF(OR(Q899=""GPB"",Q899=""ZAR""),IF(Q899=Dashboard!$L$1,M899,(M899*GOOGLEFINANCE(""CURRENCY:""&amp;Q899&amp;""""&amp;Dashboard!$L$1&amp;""""))/100),IF(Q899=Dashboard!$L$1,M899,M899*GOOGLEFINANCE(""CURRENCY:""&amp;Q899&amp;""""&amp;Dashboard!$L$1&amp;"""")))"&amp;",M899))"),"")</f>
        <v/>
      </c>
      <c r="T899" s="264" t="str">
        <f t="shared" si="4"/>
        <v/>
      </c>
      <c r="U899" s="264" t="str">
        <f t="shared" si="5"/>
        <v/>
      </c>
      <c r="V899" s="264" t="str">
        <f t="shared" si="6"/>
        <v/>
      </c>
      <c r="W899" s="267" t="str">
        <f t="shared" si="8"/>
        <v/>
      </c>
      <c r="X899" s="264" t="str">
        <f t="shared" si="7"/>
        <v/>
      </c>
    </row>
    <row r="900" ht="15.75" customHeight="1">
      <c r="A900" s="258"/>
      <c r="B900" s="258"/>
      <c r="C900" s="269"/>
      <c r="D900" s="258"/>
      <c r="E900" s="258"/>
      <c r="F900" s="258"/>
      <c r="G900" s="258"/>
      <c r="H900" s="271"/>
      <c r="I900" s="258"/>
      <c r="J900" s="272"/>
      <c r="K900" s="260"/>
      <c r="L900" s="261"/>
      <c r="M900" s="262" t="str">
        <f t="shared" si="1"/>
        <v/>
      </c>
      <c r="N900" s="263" t="str">
        <f t="shared" si="2"/>
        <v/>
      </c>
      <c r="O900" s="264" t="str">
        <f t="shared" si="3"/>
        <v/>
      </c>
      <c r="P900" s="265" t="str">
        <f>IFERROR(__xludf.DUMMYFUNCTION("IF(ISBLANK(A900),"""",IFERROR(IF(H900=""Sell"",VLOOKUP(9^99,FILTER({ROW(P$2:P899),P$2:P899},D$2:D899=D900),2),(VLOOKUP(9^99,FILTER({ROW(P$2:P899),P$2:P899},D$2:D899=D900),2)*VLOOKUP(9^99,FILTER({ROW(O$2:O899),O$2:O899},D$2:D899=D900),2)-N900)/O900),J900))"),"")</f>
        <v/>
      </c>
      <c r="Q900" s="264" t="str">
        <f>IFERROR(__xludf.DUMMYFUNCTION("IFERROR(IF(F900=""Crypto"",B900,(IF(ISBLANK(D900),"""",IF(D900=""Cash"",B900,IF(GOOGLEFINANCE(D900,""CURRENCY"")=""GBX"",""GBP"",GOOGLEFINANCE(D900,""CURRENCY"")))))),B900)"),"")</f>
        <v/>
      </c>
      <c r="R900" s="263" t="str">
        <f>IFERROR(__xludf.DUMMYFUNCTION("IF(ISBLANK(A900),"""",IFERROR(IF(OR(Q900=""GPB"",Q900=""ZAR""),IF(Q900=Dashboard!$L$1,K900,(K900*GOOGLEFINANCE(""CURRENCY:""&amp;Q900&amp;""""&amp;Dashboard!$L$1&amp;""""))/100),IF(Q900=Dashboard!$L$1,K900,K900*GOOGLEFINANCE(""CURRENCY:""&amp;Q900&amp;""""&amp;Dashboard!$L$1&amp;"""")))"&amp;",K900))"),"")</f>
        <v/>
      </c>
      <c r="S900" s="266" t="str">
        <f>IFERROR(__xludf.DUMMYFUNCTION("IF(ISBLANK(A900),"""",IFERROR(IF(OR(Q900=""GPB"",Q900=""ZAR""),IF(Q900=Dashboard!$L$1,M900,(M900*GOOGLEFINANCE(""CURRENCY:""&amp;Q900&amp;""""&amp;Dashboard!$L$1&amp;""""))/100),IF(Q900=Dashboard!$L$1,M900,M900*GOOGLEFINANCE(""CURRENCY:""&amp;Q900&amp;""""&amp;Dashboard!$L$1&amp;"""")))"&amp;",M900))"),"")</f>
        <v/>
      </c>
      <c r="T900" s="264" t="str">
        <f t="shared" si="4"/>
        <v/>
      </c>
      <c r="U900" s="264" t="str">
        <f t="shared" si="5"/>
        <v/>
      </c>
      <c r="V900" s="264" t="str">
        <f t="shared" si="6"/>
        <v/>
      </c>
      <c r="W900" s="267" t="str">
        <f t="shared" si="8"/>
        <v/>
      </c>
      <c r="X900" s="264" t="str">
        <f t="shared" si="7"/>
        <v/>
      </c>
    </row>
    <row r="901" ht="15.75" customHeight="1">
      <c r="A901" s="258"/>
      <c r="B901" s="258"/>
      <c r="C901" s="269"/>
      <c r="D901" s="258"/>
      <c r="E901" s="258"/>
      <c r="F901" s="258"/>
      <c r="G901" s="258"/>
      <c r="H901" s="271"/>
      <c r="I901" s="258"/>
      <c r="J901" s="272"/>
      <c r="K901" s="260"/>
      <c r="L901" s="261"/>
      <c r="M901" s="262" t="str">
        <f t="shared" si="1"/>
        <v/>
      </c>
      <c r="N901" s="263" t="str">
        <f t="shared" si="2"/>
        <v/>
      </c>
      <c r="O901" s="264" t="str">
        <f t="shared" si="3"/>
        <v/>
      </c>
      <c r="P901" s="265" t="str">
        <f>IFERROR(__xludf.DUMMYFUNCTION("IF(ISBLANK(A901),"""",IFERROR(IF(H901=""Sell"",VLOOKUP(9^99,FILTER({ROW(P$2:P900),P$2:P900},D$2:D900=D901),2),(VLOOKUP(9^99,FILTER({ROW(P$2:P900),P$2:P900},D$2:D900=D901),2)*VLOOKUP(9^99,FILTER({ROW(O$2:O900),O$2:O900},D$2:D900=D901),2)-N901)/O901),J901))"),"")</f>
        <v/>
      </c>
      <c r="Q901" s="264" t="str">
        <f>IFERROR(__xludf.DUMMYFUNCTION("IFERROR(IF(F901=""Crypto"",B901,(IF(ISBLANK(D901),"""",IF(D901=""Cash"",B901,IF(GOOGLEFINANCE(D901,""CURRENCY"")=""GBX"",""GBP"",GOOGLEFINANCE(D901,""CURRENCY"")))))),B901)"),"")</f>
        <v/>
      </c>
      <c r="R901" s="263" t="str">
        <f>IFERROR(__xludf.DUMMYFUNCTION("IF(ISBLANK(A901),"""",IFERROR(IF(OR(Q901=""GPB"",Q901=""ZAR""),IF(Q901=Dashboard!$L$1,K901,(K901*GOOGLEFINANCE(""CURRENCY:""&amp;Q901&amp;""""&amp;Dashboard!$L$1&amp;""""))/100),IF(Q901=Dashboard!$L$1,K901,K901*GOOGLEFINANCE(""CURRENCY:""&amp;Q901&amp;""""&amp;Dashboard!$L$1&amp;"""")))"&amp;",K901))"),"")</f>
        <v/>
      </c>
      <c r="S901" s="266" t="str">
        <f>IFERROR(__xludf.DUMMYFUNCTION("IF(ISBLANK(A901),"""",IFERROR(IF(OR(Q901=""GPB"",Q901=""ZAR""),IF(Q901=Dashboard!$L$1,M901,(M901*GOOGLEFINANCE(""CURRENCY:""&amp;Q901&amp;""""&amp;Dashboard!$L$1&amp;""""))/100),IF(Q901=Dashboard!$L$1,M901,M901*GOOGLEFINANCE(""CURRENCY:""&amp;Q901&amp;""""&amp;Dashboard!$L$1&amp;"""")))"&amp;",M901))"),"")</f>
        <v/>
      </c>
      <c r="T901" s="264" t="str">
        <f t="shared" si="4"/>
        <v/>
      </c>
      <c r="U901" s="264" t="str">
        <f t="shared" si="5"/>
        <v/>
      </c>
      <c r="V901" s="264" t="str">
        <f t="shared" si="6"/>
        <v/>
      </c>
      <c r="W901" s="267" t="str">
        <f t="shared" si="8"/>
        <v/>
      </c>
      <c r="X901" s="264" t="str">
        <f t="shared" si="7"/>
        <v/>
      </c>
    </row>
    <row r="902" ht="15.75" customHeight="1">
      <c r="A902" s="258"/>
      <c r="B902" s="258"/>
      <c r="C902" s="269"/>
      <c r="D902" s="258"/>
      <c r="E902" s="258"/>
      <c r="F902" s="258"/>
      <c r="G902" s="258"/>
      <c r="H902" s="271"/>
      <c r="I902" s="258"/>
      <c r="J902" s="272"/>
      <c r="K902" s="260"/>
      <c r="L902" s="261"/>
      <c r="M902" s="262" t="str">
        <f t="shared" si="1"/>
        <v/>
      </c>
      <c r="N902" s="263" t="str">
        <f t="shared" si="2"/>
        <v/>
      </c>
      <c r="O902" s="264" t="str">
        <f t="shared" si="3"/>
        <v/>
      </c>
      <c r="P902" s="265" t="str">
        <f>IFERROR(__xludf.DUMMYFUNCTION("IF(ISBLANK(A902),"""",IFERROR(IF(H902=""Sell"",VLOOKUP(9^99,FILTER({ROW(P$2:P901),P$2:P901},D$2:D901=D902),2),(VLOOKUP(9^99,FILTER({ROW(P$2:P901),P$2:P901},D$2:D901=D902),2)*VLOOKUP(9^99,FILTER({ROW(O$2:O901),O$2:O901},D$2:D901=D902),2)-N902)/O902),J902))"),"")</f>
        <v/>
      </c>
      <c r="Q902" s="264" t="str">
        <f>IFERROR(__xludf.DUMMYFUNCTION("IFERROR(IF(F902=""Crypto"",B902,(IF(ISBLANK(D902),"""",IF(D902=""Cash"",B902,IF(GOOGLEFINANCE(D902,""CURRENCY"")=""GBX"",""GBP"",GOOGLEFINANCE(D902,""CURRENCY"")))))),B902)"),"")</f>
        <v/>
      </c>
      <c r="R902" s="263" t="str">
        <f>IFERROR(__xludf.DUMMYFUNCTION("IF(ISBLANK(A902),"""",IFERROR(IF(OR(Q902=""GPB"",Q902=""ZAR""),IF(Q902=Dashboard!$L$1,K902,(K902*GOOGLEFINANCE(""CURRENCY:""&amp;Q902&amp;""""&amp;Dashboard!$L$1&amp;""""))/100),IF(Q902=Dashboard!$L$1,K902,K902*GOOGLEFINANCE(""CURRENCY:""&amp;Q902&amp;""""&amp;Dashboard!$L$1&amp;"""")))"&amp;",K902))"),"")</f>
        <v/>
      </c>
      <c r="S902" s="266" t="str">
        <f>IFERROR(__xludf.DUMMYFUNCTION("IF(ISBLANK(A902),"""",IFERROR(IF(OR(Q902=""GPB"",Q902=""ZAR""),IF(Q902=Dashboard!$L$1,M902,(M902*GOOGLEFINANCE(""CURRENCY:""&amp;Q902&amp;""""&amp;Dashboard!$L$1&amp;""""))/100),IF(Q902=Dashboard!$L$1,M902,M902*GOOGLEFINANCE(""CURRENCY:""&amp;Q902&amp;""""&amp;Dashboard!$L$1&amp;"""")))"&amp;",M902))"),"")</f>
        <v/>
      </c>
      <c r="T902" s="264" t="str">
        <f t="shared" si="4"/>
        <v/>
      </c>
      <c r="U902" s="264" t="str">
        <f t="shared" si="5"/>
        <v/>
      </c>
      <c r="V902" s="264" t="str">
        <f t="shared" si="6"/>
        <v/>
      </c>
      <c r="W902" s="267" t="str">
        <f t="shared" si="8"/>
        <v/>
      </c>
      <c r="X902" s="264" t="str">
        <f t="shared" si="7"/>
        <v/>
      </c>
    </row>
    <row r="903" ht="15.75" customHeight="1">
      <c r="A903" s="258"/>
      <c r="B903" s="258"/>
      <c r="C903" s="269"/>
      <c r="D903" s="258"/>
      <c r="E903" s="258"/>
      <c r="F903" s="258"/>
      <c r="G903" s="258"/>
      <c r="H903" s="271"/>
      <c r="I903" s="258"/>
      <c r="J903" s="272"/>
      <c r="K903" s="260"/>
      <c r="L903" s="261"/>
      <c r="M903" s="262" t="str">
        <f t="shared" si="1"/>
        <v/>
      </c>
      <c r="N903" s="263" t="str">
        <f t="shared" si="2"/>
        <v/>
      </c>
      <c r="O903" s="264" t="str">
        <f t="shared" si="3"/>
        <v/>
      </c>
      <c r="P903" s="265" t="str">
        <f>IFERROR(__xludf.DUMMYFUNCTION("IF(ISBLANK(A903),"""",IFERROR(IF(H903=""Sell"",VLOOKUP(9^99,FILTER({ROW(P$2:P902),P$2:P902},D$2:D902=D903),2),(VLOOKUP(9^99,FILTER({ROW(P$2:P902),P$2:P902},D$2:D902=D903),2)*VLOOKUP(9^99,FILTER({ROW(O$2:O902),O$2:O902},D$2:D902=D903),2)-N903)/O903),J903))"),"")</f>
        <v/>
      </c>
      <c r="Q903" s="264" t="str">
        <f>IFERROR(__xludf.DUMMYFUNCTION("IFERROR(IF(F903=""Crypto"",B903,(IF(ISBLANK(D903),"""",IF(D903=""Cash"",B903,IF(GOOGLEFINANCE(D903,""CURRENCY"")=""GBX"",""GBP"",GOOGLEFINANCE(D903,""CURRENCY"")))))),B903)"),"")</f>
        <v/>
      </c>
      <c r="R903" s="263" t="str">
        <f>IFERROR(__xludf.DUMMYFUNCTION("IF(ISBLANK(A903),"""",IFERROR(IF(OR(Q903=""GPB"",Q903=""ZAR""),IF(Q903=Dashboard!$L$1,K903,(K903*GOOGLEFINANCE(""CURRENCY:""&amp;Q903&amp;""""&amp;Dashboard!$L$1&amp;""""))/100),IF(Q903=Dashboard!$L$1,K903,K903*GOOGLEFINANCE(""CURRENCY:""&amp;Q903&amp;""""&amp;Dashboard!$L$1&amp;"""")))"&amp;",K903))"),"")</f>
        <v/>
      </c>
      <c r="S903" s="266" t="str">
        <f>IFERROR(__xludf.DUMMYFUNCTION("IF(ISBLANK(A903),"""",IFERROR(IF(OR(Q903=""GPB"",Q903=""ZAR""),IF(Q903=Dashboard!$L$1,M903,(M903*GOOGLEFINANCE(""CURRENCY:""&amp;Q903&amp;""""&amp;Dashboard!$L$1&amp;""""))/100),IF(Q903=Dashboard!$L$1,M903,M903*GOOGLEFINANCE(""CURRENCY:""&amp;Q903&amp;""""&amp;Dashboard!$L$1&amp;"""")))"&amp;",M903))"),"")</f>
        <v/>
      </c>
      <c r="T903" s="264" t="str">
        <f t="shared" si="4"/>
        <v/>
      </c>
      <c r="U903" s="264" t="str">
        <f t="shared" si="5"/>
        <v/>
      </c>
      <c r="V903" s="264" t="str">
        <f t="shared" si="6"/>
        <v/>
      </c>
      <c r="W903" s="267" t="str">
        <f t="shared" si="8"/>
        <v/>
      </c>
      <c r="X903" s="264" t="str">
        <f t="shared" si="7"/>
        <v/>
      </c>
    </row>
    <row r="904" ht="15.75" customHeight="1">
      <c r="A904" s="258"/>
      <c r="B904" s="258"/>
      <c r="C904" s="269"/>
      <c r="D904" s="258"/>
      <c r="E904" s="258"/>
      <c r="F904" s="258"/>
      <c r="G904" s="258"/>
      <c r="H904" s="271"/>
      <c r="I904" s="258"/>
      <c r="J904" s="272"/>
      <c r="K904" s="260"/>
      <c r="L904" s="261"/>
      <c r="M904" s="262" t="str">
        <f t="shared" si="1"/>
        <v/>
      </c>
      <c r="N904" s="263" t="str">
        <f t="shared" si="2"/>
        <v/>
      </c>
      <c r="O904" s="264" t="str">
        <f t="shared" si="3"/>
        <v/>
      </c>
      <c r="P904" s="265" t="str">
        <f>IFERROR(__xludf.DUMMYFUNCTION("IF(ISBLANK(A904),"""",IFERROR(IF(H904=""Sell"",VLOOKUP(9^99,FILTER({ROW(P$2:P903),P$2:P903},D$2:D903=D904),2),(VLOOKUP(9^99,FILTER({ROW(P$2:P903),P$2:P903},D$2:D903=D904),2)*VLOOKUP(9^99,FILTER({ROW(O$2:O903),O$2:O903},D$2:D903=D904),2)-N904)/O904),J904))"),"")</f>
        <v/>
      </c>
      <c r="Q904" s="264" t="str">
        <f>IFERROR(__xludf.DUMMYFUNCTION("IFERROR(IF(F904=""Crypto"",B904,(IF(ISBLANK(D904),"""",IF(D904=""Cash"",B904,IF(GOOGLEFINANCE(D904,""CURRENCY"")=""GBX"",""GBP"",GOOGLEFINANCE(D904,""CURRENCY"")))))),B904)"),"")</f>
        <v/>
      </c>
      <c r="R904" s="263" t="str">
        <f>IFERROR(__xludf.DUMMYFUNCTION("IF(ISBLANK(A904),"""",IFERROR(IF(OR(Q904=""GPB"",Q904=""ZAR""),IF(Q904=Dashboard!$L$1,K904,(K904*GOOGLEFINANCE(""CURRENCY:""&amp;Q904&amp;""""&amp;Dashboard!$L$1&amp;""""))/100),IF(Q904=Dashboard!$L$1,K904,K904*GOOGLEFINANCE(""CURRENCY:""&amp;Q904&amp;""""&amp;Dashboard!$L$1&amp;"""")))"&amp;",K904))"),"")</f>
        <v/>
      </c>
      <c r="S904" s="266" t="str">
        <f>IFERROR(__xludf.DUMMYFUNCTION("IF(ISBLANK(A904),"""",IFERROR(IF(OR(Q904=""GPB"",Q904=""ZAR""),IF(Q904=Dashboard!$L$1,M904,(M904*GOOGLEFINANCE(""CURRENCY:""&amp;Q904&amp;""""&amp;Dashboard!$L$1&amp;""""))/100),IF(Q904=Dashboard!$L$1,M904,M904*GOOGLEFINANCE(""CURRENCY:""&amp;Q904&amp;""""&amp;Dashboard!$L$1&amp;"""")))"&amp;",M904))"),"")</f>
        <v/>
      </c>
      <c r="T904" s="264" t="str">
        <f t="shared" si="4"/>
        <v/>
      </c>
      <c r="U904" s="264" t="str">
        <f t="shared" si="5"/>
        <v/>
      </c>
      <c r="V904" s="264" t="str">
        <f t="shared" si="6"/>
        <v/>
      </c>
      <c r="W904" s="267" t="str">
        <f t="shared" si="8"/>
        <v/>
      </c>
      <c r="X904" s="264" t="str">
        <f t="shared" si="7"/>
        <v/>
      </c>
    </row>
    <row r="905" ht="15.75" customHeight="1">
      <c r="A905" s="258"/>
      <c r="B905" s="258"/>
      <c r="C905" s="269"/>
      <c r="D905" s="258"/>
      <c r="E905" s="258"/>
      <c r="F905" s="258"/>
      <c r="G905" s="258"/>
      <c r="H905" s="271"/>
      <c r="I905" s="258"/>
      <c r="J905" s="272"/>
      <c r="K905" s="260"/>
      <c r="L905" s="261"/>
      <c r="M905" s="262" t="str">
        <f t="shared" si="1"/>
        <v/>
      </c>
      <c r="N905" s="263" t="str">
        <f t="shared" si="2"/>
        <v/>
      </c>
      <c r="O905" s="264" t="str">
        <f t="shared" si="3"/>
        <v/>
      </c>
      <c r="P905" s="265" t="str">
        <f>IFERROR(__xludf.DUMMYFUNCTION("IF(ISBLANK(A905),"""",IFERROR(IF(H905=""Sell"",VLOOKUP(9^99,FILTER({ROW(P$2:P904),P$2:P904},D$2:D904=D905),2),(VLOOKUP(9^99,FILTER({ROW(P$2:P904),P$2:P904},D$2:D904=D905),2)*VLOOKUP(9^99,FILTER({ROW(O$2:O904),O$2:O904},D$2:D904=D905),2)-N905)/O905),J905))"),"")</f>
        <v/>
      </c>
      <c r="Q905" s="264" t="str">
        <f>IFERROR(__xludf.DUMMYFUNCTION("IFERROR(IF(F905=""Crypto"",B905,(IF(ISBLANK(D905),"""",IF(D905=""Cash"",B905,IF(GOOGLEFINANCE(D905,""CURRENCY"")=""GBX"",""GBP"",GOOGLEFINANCE(D905,""CURRENCY"")))))),B905)"),"")</f>
        <v/>
      </c>
      <c r="R905" s="263" t="str">
        <f>IFERROR(__xludf.DUMMYFUNCTION("IF(ISBLANK(A905),"""",IFERROR(IF(OR(Q905=""GPB"",Q905=""ZAR""),IF(Q905=Dashboard!$L$1,K905,(K905*GOOGLEFINANCE(""CURRENCY:""&amp;Q905&amp;""""&amp;Dashboard!$L$1&amp;""""))/100),IF(Q905=Dashboard!$L$1,K905,K905*GOOGLEFINANCE(""CURRENCY:""&amp;Q905&amp;""""&amp;Dashboard!$L$1&amp;"""")))"&amp;",K905))"),"")</f>
        <v/>
      </c>
      <c r="S905" s="266" t="str">
        <f>IFERROR(__xludf.DUMMYFUNCTION("IF(ISBLANK(A905),"""",IFERROR(IF(OR(Q905=""GPB"",Q905=""ZAR""),IF(Q905=Dashboard!$L$1,M905,(M905*GOOGLEFINANCE(""CURRENCY:""&amp;Q905&amp;""""&amp;Dashboard!$L$1&amp;""""))/100),IF(Q905=Dashboard!$L$1,M905,M905*GOOGLEFINANCE(""CURRENCY:""&amp;Q905&amp;""""&amp;Dashboard!$L$1&amp;"""")))"&amp;",M905))"),"")</f>
        <v/>
      </c>
      <c r="T905" s="264" t="str">
        <f t="shared" si="4"/>
        <v/>
      </c>
      <c r="U905" s="264" t="str">
        <f t="shared" si="5"/>
        <v/>
      </c>
      <c r="V905" s="264" t="str">
        <f t="shared" si="6"/>
        <v/>
      </c>
      <c r="W905" s="267" t="str">
        <f t="shared" si="8"/>
        <v/>
      </c>
      <c r="X905" s="264" t="str">
        <f t="shared" si="7"/>
        <v/>
      </c>
    </row>
    <row r="906" ht="15.75" customHeight="1">
      <c r="A906" s="258"/>
      <c r="B906" s="258"/>
      <c r="C906" s="269"/>
      <c r="D906" s="258"/>
      <c r="E906" s="258"/>
      <c r="F906" s="258"/>
      <c r="G906" s="258"/>
      <c r="H906" s="271"/>
      <c r="I906" s="258"/>
      <c r="J906" s="272"/>
      <c r="K906" s="260"/>
      <c r="L906" s="261"/>
      <c r="M906" s="262" t="str">
        <f t="shared" si="1"/>
        <v/>
      </c>
      <c r="N906" s="263" t="str">
        <f t="shared" si="2"/>
        <v/>
      </c>
      <c r="O906" s="264" t="str">
        <f t="shared" si="3"/>
        <v/>
      </c>
      <c r="P906" s="265" t="str">
        <f>IFERROR(__xludf.DUMMYFUNCTION("IF(ISBLANK(A906),"""",IFERROR(IF(H906=""Sell"",VLOOKUP(9^99,FILTER({ROW(P$2:P905),P$2:P905},D$2:D905=D906),2),(VLOOKUP(9^99,FILTER({ROW(P$2:P905),P$2:P905},D$2:D905=D906),2)*VLOOKUP(9^99,FILTER({ROW(O$2:O905),O$2:O905},D$2:D905=D906),2)-N906)/O906),J906))"),"")</f>
        <v/>
      </c>
      <c r="Q906" s="264" t="str">
        <f>IFERROR(__xludf.DUMMYFUNCTION("IFERROR(IF(F906=""Crypto"",B906,(IF(ISBLANK(D906),"""",IF(D906=""Cash"",B906,IF(GOOGLEFINANCE(D906,""CURRENCY"")=""GBX"",""GBP"",GOOGLEFINANCE(D906,""CURRENCY"")))))),B906)"),"")</f>
        <v/>
      </c>
      <c r="R906" s="263" t="str">
        <f>IFERROR(__xludf.DUMMYFUNCTION("IF(ISBLANK(A906),"""",IFERROR(IF(OR(Q906=""GPB"",Q906=""ZAR""),IF(Q906=Dashboard!$L$1,K906,(K906*GOOGLEFINANCE(""CURRENCY:""&amp;Q906&amp;""""&amp;Dashboard!$L$1&amp;""""))/100),IF(Q906=Dashboard!$L$1,K906,K906*GOOGLEFINANCE(""CURRENCY:""&amp;Q906&amp;""""&amp;Dashboard!$L$1&amp;"""")))"&amp;",K906))"),"")</f>
        <v/>
      </c>
      <c r="S906" s="266" t="str">
        <f>IFERROR(__xludf.DUMMYFUNCTION("IF(ISBLANK(A906),"""",IFERROR(IF(OR(Q906=""GPB"",Q906=""ZAR""),IF(Q906=Dashboard!$L$1,M906,(M906*GOOGLEFINANCE(""CURRENCY:""&amp;Q906&amp;""""&amp;Dashboard!$L$1&amp;""""))/100),IF(Q906=Dashboard!$L$1,M906,M906*GOOGLEFINANCE(""CURRENCY:""&amp;Q906&amp;""""&amp;Dashboard!$L$1&amp;"""")))"&amp;",M906))"),"")</f>
        <v/>
      </c>
      <c r="T906" s="264" t="str">
        <f t="shared" si="4"/>
        <v/>
      </c>
      <c r="U906" s="264" t="str">
        <f t="shared" si="5"/>
        <v/>
      </c>
      <c r="V906" s="264" t="str">
        <f t="shared" si="6"/>
        <v/>
      </c>
      <c r="W906" s="267" t="str">
        <f t="shared" si="8"/>
        <v/>
      </c>
      <c r="X906" s="264" t="str">
        <f t="shared" si="7"/>
        <v/>
      </c>
    </row>
    <row r="907" ht="15.75" customHeight="1">
      <c r="A907" s="258"/>
      <c r="B907" s="258"/>
      <c r="C907" s="269"/>
      <c r="D907" s="258"/>
      <c r="E907" s="258"/>
      <c r="F907" s="258"/>
      <c r="G907" s="258"/>
      <c r="H907" s="271"/>
      <c r="I907" s="258"/>
      <c r="J907" s="272"/>
      <c r="K907" s="260"/>
      <c r="L907" s="261"/>
      <c r="M907" s="262" t="str">
        <f t="shared" si="1"/>
        <v/>
      </c>
      <c r="N907" s="263" t="str">
        <f t="shared" si="2"/>
        <v/>
      </c>
      <c r="O907" s="264" t="str">
        <f t="shared" si="3"/>
        <v/>
      </c>
      <c r="P907" s="265" t="str">
        <f>IFERROR(__xludf.DUMMYFUNCTION("IF(ISBLANK(A907),"""",IFERROR(IF(H907=""Sell"",VLOOKUP(9^99,FILTER({ROW(P$2:P906),P$2:P906},D$2:D906=D907),2),(VLOOKUP(9^99,FILTER({ROW(P$2:P906),P$2:P906},D$2:D906=D907),2)*VLOOKUP(9^99,FILTER({ROW(O$2:O906),O$2:O906},D$2:D906=D907),2)-N907)/O907),J907))"),"")</f>
        <v/>
      </c>
      <c r="Q907" s="264" t="str">
        <f>IFERROR(__xludf.DUMMYFUNCTION("IFERROR(IF(F907=""Crypto"",B907,(IF(ISBLANK(D907),"""",IF(D907=""Cash"",B907,IF(GOOGLEFINANCE(D907,""CURRENCY"")=""GBX"",""GBP"",GOOGLEFINANCE(D907,""CURRENCY"")))))),B907)"),"")</f>
        <v/>
      </c>
      <c r="R907" s="263" t="str">
        <f>IFERROR(__xludf.DUMMYFUNCTION("IF(ISBLANK(A907),"""",IFERROR(IF(OR(Q907=""GPB"",Q907=""ZAR""),IF(Q907=Dashboard!$L$1,K907,(K907*GOOGLEFINANCE(""CURRENCY:""&amp;Q907&amp;""""&amp;Dashboard!$L$1&amp;""""))/100),IF(Q907=Dashboard!$L$1,K907,K907*GOOGLEFINANCE(""CURRENCY:""&amp;Q907&amp;""""&amp;Dashboard!$L$1&amp;"""")))"&amp;",K907))"),"")</f>
        <v/>
      </c>
      <c r="S907" s="266" t="str">
        <f>IFERROR(__xludf.DUMMYFUNCTION("IF(ISBLANK(A907),"""",IFERROR(IF(OR(Q907=""GPB"",Q907=""ZAR""),IF(Q907=Dashboard!$L$1,M907,(M907*GOOGLEFINANCE(""CURRENCY:""&amp;Q907&amp;""""&amp;Dashboard!$L$1&amp;""""))/100),IF(Q907=Dashboard!$L$1,M907,M907*GOOGLEFINANCE(""CURRENCY:""&amp;Q907&amp;""""&amp;Dashboard!$L$1&amp;"""")))"&amp;",M907))"),"")</f>
        <v/>
      </c>
      <c r="T907" s="264" t="str">
        <f t="shared" si="4"/>
        <v/>
      </c>
      <c r="U907" s="264" t="str">
        <f t="shared" si="5"/>
        <v/>
      </c>
      <c r="V907" s="264" t="str">
        <f t="shared" si="6"/>
        <v/>
      </c>
      <c r="W907" s="267" t="str">
        <f t="shared" si="8"/>
        <v/>
      </c>
      <c r="X907" s="264" t="str">
        <f t="shared" si="7"/>
        <v/>
      </c>
    </row>
    <row r="908" ht="15.75" customHeight="1">
      <c r="A908" s="258"/>
      <c r="B908" s="258"/>
      <c r="C908" s="269"/>
      <c r="D908" s="258"/>
      <c r="E908" s="258"/>
      <c r="F908" s="258"/>
      <c r="G908" s="258"/>
      <c r="H908" s="271"/>
      <c r="I908" s="258"/>
      <c r="J908" s="272"/>
      <c r="K908" s="260"/>
      <c r="L908" s="261"/>
      <c r="M908" s="262" t="str">
        <f t="shared" si="1"/>
        <v/>
      </c>
      <c r="N908" s="263" t="str">
        <f t="shared" si="2"/>
        <v/>
      </c>
      <c r="O908" s="264" t="str">
        <f t="shared" si="3"/>
        <v/>
      </c>
      <c r="P908" s="265" t="str">
        <f>IFERROR(__xludf.DUMMYFUNCTION("IF(ISBLANK(A908),"""",IFERROR(IF(H908=""Sell"",VLOOKUP(9^99,FILTER({ROW(P$2:P907),P$2:P907},D$2:D907=D908),2),(VLOOKUP(9^99,FILTER({ROW(P$2:P907),P$2:P907},D$2:D907=D908),2)*VLOOKUP(9^99,FILTER({ROW(O$2:O907),O$2:O907},D$2:D907=D908),2)-N908)/O908),J908))"),"")</f>
        <v/>
      </c>
      <c r="Q908" s="264" t="str">
        <f>IFERROR(__xludf.DUMMYFUNCTION("IFERROR(IF(F908=""Crypto"",B908,(IF(ISBLANK(D908),"""",IF(D908=""Cash"",B908,IF(GOOGLEFINANCE(D908,""CURRENCY"")=""GBX"",""GBP"",GOOGLEFINANCE(D908,""CURRENCY"")))))),B908)"),"")</f>
        <v/>
      </c>
      <c r="R908" s="263" t="str">
        <f>IFERROR(__xludf.DUMMYFUNCTION("IF(ISBLANK(A908),"""",IFERROR(IF(OR(Q908=""GPB"",Q908=""ZAR""),IF(Q908=Dashboard!$L$1,K908,(K908*GOOGLEFINANCE(""CURRENCY:""&amp;Q908&amp;""""&amp;Dashboard!$L$1&amp;""""))/100),IF(Q908=Dashboard!$L$1,K908,K908*GOOGLEFINANCE(""CURRENCY:""&amp;Q908&amp;""""&amp;Dashboard!$L$1&amp;"""")))"&amp;",K908))"),"")</f>
        <v/>
      </c>
      <c r="S908" s="266" t="str">
        <f>IFERROR(__xludf.DUMMYFUNCTION("IF(ISBLANK(A908),"""",IFERROR(IF(OR(Q908=""GPB"",Q908=""ZAR""),IF(Q908=Dashboard!$L$1,M908,(M908*GOOGLEFINANCE(""CURRENCY:""&amp;Q908&amp;""""&amp;Dashboard!$L$1&amp;""""))/100),IF(Q908=Dashboard!$L$1,M908,M908*GOOGLEFINANCE(""CURRENCY:""&amp;Q908&amp;""""&amp;Dashboard!$L$1&amp;"""")))"&amp;",M908))"),"")</f>
        <v/>
      </c>
      <c r="T908" s="264" t="str">
        <f t="shared" si="4"/>
        <v/>
      </c>
      <c r="U908" s="264" t="str">
        <f t="shared" si="5"/>
        <v/>
      </c>
      <c r="V908" s="264" t="str">
        <f t="shared" si="6"/>
        <v/>
      </c>
      <c r="W908" s="267" t="str">
        <f t="shared" si="8"/>
        <v/>
      </c>
      <c r="X908" s="264" t="str">
        <f t="shared" si="7"/>
        <v/>
      </c>
    </row>
    <row r="909" ht="15.75" customHeight="1">
      <c r="A909" s="258"/>
      <c r="B909" s="258"/>
      <c r="C909" s="269"/>
      <c r="D909" s="258"/>
      <c r="E909" s="258"/>
      <c r="F909" s="258"/>
      <c r="G909" s="258"/>
      <c r="H909" s="271"/>
      <c r="I909" s="258"/>
      <c r="J909" s="272"/>
      <c r="K909" s="260"/>
      <c r="L909" s="261"/>
      <c r="M909" s="262" t="str">
        <f t="shared" si="1"/>
        <v/>
      </c>
      <c r="N909" s="263" t="str">
        <f t="shared" si="2"/>
        <v/>
      </c>
      <c r="O909" s="264" t="str">
        <f t="shared" si="3"/>
        <v/>
      </c>
      <c r="P909" s="265" t="str">
        <f>IFERROR(__xludf.DUMMYFUNCTION("IF(ISBLANK(A909),"""",IFERROR(IF(H909=""Sell"",VLOOKUP(9^99,FILTER({ROW(P$2:P908),P$2:P908},D$2:D908=D909),2),(VLOOKUP(9^99,FILTER({ROW(P$2:P908),P$2:P908},D$2:D908=D909),2)*VLOOKUP(9^99,FILTER({ROW(O$2:O908),O$2:O908},D$2:D908=D909),2)-N909)/O909),J909))"),"")</f>
        <v/>
      </c>
      <c r="Q909" s="264" t="str">
        <f>IFERROR(__xludf.DUMMYFUNCTION("IFERROR(IF(F909=""Crypto"",B909,(IF(ISBLANK(D909),"""",IF(D909=""Cash"",B909,IF(GOOGLEFINANCE(D909,""CURRENCY"")=""GBX"",""GBP"",GOOGLEFINANCE(D909,""CURRENCY"")))))),B909)"),"")</f>
        <v/>
      </c>
      <c r="R909" s="263" t="str">
        <f>IFERROR(__xludf.DUMMYFUNCTION("IF(ISBLANK(A909),"""",IFERROR(IF(OR(Q909=""GPB"",Q909=""ZAR""),IF(Q909=Dashboard!$L$1,K909,(K909*GOOGLEFINANCE(""CURRENCY:""&amp;Q909&amp;""""&amp;Dashboard!$L$1&amp;""""))/100),IF(Q909=Dashboard!$L$1,K909,K909*GOOGLEFINANCE(""CURRENCY:""&amp;Q909&amp;""""&amp;Dashboard!$L$1&amp;"""")))"&amp;",K909))"),"")</f>
        <v/>
      </c>
      <c r="S909" s="266" t="str">
        <f>IFERROR(__xludf.DUMMYFUNCTION("IF(ISBLANK(A909),"""",IFERROR(IF(OR(Q909=""GPB"",Q909=""ZAR""),IF(Q909=Dashboard!$L$1,M909,(M909*GOOGLEFINANCE(""CURRENCY:""&amp;Q909&amp;""""&amp;Dashboard!$L$1&amp;""""))/100),IF(Q909=Dashboard!$L$1,M909,M909*GOOGLEFINANCE(""CURRENCY:""&amp;Q909&amp;""""&amp;Dashboard!$L$1&amp;"""")))"&amp;",M909))"),"")</f>
        <v/>
      </c>
      <c r="T909" s="264" t="str">
        <f t="shared" si="4"/>
        <v/>
      </c>
      <c r="U909" s="264" t="str">
        <f t="shared" si="5"/>
        <v/>
      </c>
      <c r="V909" s="264" t="str">
        <f t="shared" si="6"/>
        <v/>
      </c>
      <c r="W909" s="267" t="str">
        <f t="shared" si="8"/>
        <v/>
      </c>
      <c r="X909" s="264" t="str">
        <f t="shared" si="7"/>
        <v/>
      </c>
    </row>
    <row r="910" ht="15.75" customHeight="1">
      <c r="A910" s="258"/>
      <c r="B910" s="258"/>
      <c r="C910" s="269"/>
      <c r="D910" s="258"/>
      <c r="E910" s="258"/>
      <c r="F910" s="258"/>
      <c r="G910" s="258"/>
      <c r="H910" s="271"/>
      <c r="I910" s="258"/>
      <c r="J910" s="272"/>
      <c r="K910" s="260"/>
      <c r="L910" s="261"/>
      <c r="M910" s="262" t="str">
        <f t="shared" si="1"/>
        <v/>
      </c>
      <c r="N910" s="263" t="str">
        <f t="shared" si="2"/>
        <v/>
      </c>
      <c r="O910" s="264" t="str">
        <f t="shared" si="3"/>
        <v/>
      </c>
      <c r="P910" s="265" t="str">
        <f>IFERROR(__xludf.DUMMYFUNCTION("IF(ISBLANK(A910),"""",IFERROR(IF(H910=""Sell"",VLOOKUP(9^99,FILTER({ROW(P$2:P909),P$2:P909},D$2:D909=D910),2),(VLOOKUP(9^99,FILTER({ROW(P$2:P909),P$2:P909},D$2:D909=D910),2)*VLOOKUP(9^99,FILTER({ROW(O$2:O909),O$2:O909},D$2:D909=D910),2)-N910)/O910),J910))"),"")</f>
        <v/>
      </c>
      <c r="Q910" s="264" t="str">
        <f>IFERROR(__xludf.DUMMYFUNCTION("IFERROR(IF(F910=""Crypto"",B910,(IF(ISBLANK(D910),"""",IF(D910=""Cash"",B910,IF(GOOGLEFINANCE(D910,""CURRENCY"")=""GBX"",""GBP"",GOOGLEFINANCE(D910,""CURRENCY"")))))),B910)"),"")</f>
        <v/>
      </c>
      <c r="R910" s="263" t="str">
        <f>IFERROR(__xludf.DUMMYFUNCTION("IF(ISBLANK(A910),"""",IFERROR(IF(OR(Q910=""GPB"",Q910=""ZAR""),IF(Q910=Dashboard!$L$1,K910,(K910*GOOGLEFINANCE(""CURRENCY:""&amp;Q910&amp;""""&amp;Dashboard!$L$1&amp;""""))/100),IF(Q910=Dashboard!$L$1,K910,K910*GOOGLEFINANCE(""CURRENCY:""&amp;Q910&amp;""""&amp;Dashboard!$L$1&amp;"""")))"&amp;",K910))"),"")</f>
        <v/>
      </c>
      <c r="S910" s="266" t="str">
        <f>IFERROR(__xludf.DUMMYFUNCTION("IF(ISBLANK(A910),"""",IFERROR(IF(OR(Q910=""GPB"",Q910=""ZAR""),IF(Q910=Dashboard!$L$1,M910,(M910*GOOGLEFINANCE(""CURRENCY:""&amp;Q910&amp;""""&amp;Dashboard!$L$1&amp;""""))/100),IF(Q910=Dashboard!$L$1,M910,M910*GOOGLEFINANCE(""CURRENCY:""&amp;Q910&amp;""""&amp;Dashboard!$L$1&amp;"""")))"&amp;",M910))"),"")</f>
        <v/>
      </c>
      <c r="T910" s="264" t="str">
        <f t="shared" si="4"/>
        <v/>
      </c>
      <c r="U910" s="264" t="str">
        <f t="shared" si="5"/>
        <v/>
      </c>
      <c r="V910" s="264" t="str">
        <f t="shared" si="6"/>
        <v/>
      </c>
      <c r="W910" s="267" t="str">
        <f t="shared" si="8"/>
        <v/>
      </c>
      <c r="X910" s="264" t="str">
        <f t="shared" si="7"/>
        <v/>
      </c>
    </row>
    <row r="911" ht="15.75" customHeight="1">
      <c r="A911" s="258"/>
      <c r="B911" s="258"/>
      <c r="C911" s="269"/>
      <c r="D911" s="258"/>
      <c r="E911" s="258"/>
      <c r="F911" s="258"/>
      <c r="G911" s="258"/>
      <c r="H911" s="271"/>
      <c r="I911" s="258"/>
      <c r="J911" s="272"/>
      <c r="K911" s="260"/>
      <c r="L911" s="261"/>
      <c r="M911" s="262" t="str">
        <f t="shared" si="1"/>
        <v/>
      </c>
      <c r="N911" s="263" t="str">
        <f t="shared" si="2"/>
        <v/>
      </c>
      <c r="O911" s="264" t="str">
        <f t="shared" si="3"/>
        <v/>
      </c>
      <c r="P911" s="265" t="str">
        <f>IFERROR(__xludf.DUMMYFUNCTION("IF(ISBLANK(A911),"""",IFERROR(IF(H911=""Sell"",VLOOKUP(9^99,FILTER({ROW(P$2:P910),P$2:P910},D$2:D910=D911),2),(VLOOKUP(9^99,FILTER({ROW(P$2:P910),P$2:P910},D$2:D910=D911),2)*VLOOKUP(9^99,FILTER({ROW(O$2:O910),O$2:O910},D$2:D910=D911),2)-N911)/O911),J911))"),"")</f>
        <v/>
      </c>
      <c r="Q911" s="264" t="str">
        <f>IFERROR(__xludf.DUMMYFUNCTION("IFERROR(IF(F911=""Crypto"",B911,(IF(ISBLANK(D911),"""",IF(D911=""Cash"",B911,IF(GOOGLEFINANCE(D911,""CURRENCY"")=""GBX"",""GBP"",GOOGLEFINANCE(D911,""CURRENCY"")))))),B911)"),"")</f>
        <v/>
      </c>
      <c r="R911" s="263" t="str">
        <f>IFERROR(__xludf.DUMMYFUNCTION("IF(ISBLANK(A911),"""",IFERROR(IF(OR(Q911=""GPB"",Q911=""ZAR""),IF(Q911=Dashboard!$L$1,K911,(K911*GOOGLEFINANCE(""CURRENCY:""&amp;Q911&amp;""""&amp;Dashboard!$L$1&amp;""""))/100),IF(Q911=Dashboard!$L$1,K911,K911*GOOGLEFINANCE(""CURRENCY:""&amp;Q911&amp;""""&amp;Dashboard!$L$1&amp;"""")))"&amp;",K911))"),"")</f>
        <v/>
      </c>
      <c r="S911" s="266" t="str">
        <f>IFERROR(__xludf.DUMMYFUNCTION("IF(ISBLANK(A911),"""",IFERROR(IF(OR(Q911=""GPB"",Q911=""ZAR""),IF(Q911=Dashboard!$L$1,M911,(M911*GOOGLEFINANCE(""CURRENCY:""&amp;Q911&amp;""""&amp;Dashboard!$L$1&amp;""""))/100),IF(Q911=Dashboard!$L$1,M911,M911*GOOGLEFINANCE(""CURRENCY:""&amp;Q911&amp;""""&amp;Dashboard!$L$1&amp;"""")))"&amp;",M911))"),"")</f>
        <v/>
      </c>
      <c r="T911" s="264" t="str">
        <f t="shared" si="4"/>
        <v/>
      </c>
      <c r="U911" s="264" t="str">
        <f t="shared" si="5"/>
        <v/>
      </c>
      <c r="V911" s="264" t="str">
        <f t="shared" si="6"/>
        <v/>
      </c>
      <c r="W911" s="267" t="str">
        <f t="shared" si="8"/>
        <v/>
      </c>
      <c r="X911" s="264" t="str">
        <f t="shared" si="7"/>
        <v/>
      </c>
    </row>
    <row r="912" ht="15.75" customHeight="1">
      <c r="A912" s="258"/>
      <c r="B912" s="258"/>
      <c r="C912" s="269"/>
      <c r="D912" s="258"/>
      <c r="E912" s="258"/>
      <c r="F912" s="258"/>
      <c r="G912" s="258"/>
      <c r="H912" s="271"/>
      <c r="I912" s="258"/>
      <c r="J912" s="272"/>
      <c r="K912" s="260"/>
      <c r="L912" s="261"/>
      <c r="M912" s="262" t="str">
        <f t="shared" si="1"/>
        <v/>
      </c>
      <c r="N912" s="263" t="str">
        <f t="shared" si="2"/>
        <v/>
      </c>
      <c r="O912" s="264" t="str">
        <f t="shared" si="3"/>
        <v/>
      </c>
      <c r="P912" s="265" t="str">
        <f>IFERROR(__xludf.DUMMYFUNCTION("IF(ISBLANK(A912),"""",IFERROR(IF(H912=""Sell"",VLOOKUP(9^99,FILTER({ROW(P$2:P911),P$2:P911},D$2:D911=D912),2),(VLOOKUP(9^99,FILTER({ROW(P$2:P911),P$2:P911},D$2:D911=D912),2)*VLOOKUP(9^99,FILTER({ROW(O$2:O911),O$2:O911},D$2:D911=D912),2)-N912)/O912),J912))"),"")</f>
        <v/>
      </c>
      <c r="Q912" s="264" t="str">
        <f>IFERROR(__xludf.DUMMYFUNCTION("IFERROR(IF(F912=""Crypto"",B912,(IF(ISBLANK(D912),"""",IF(D912=""Cash"",B912,IF(GOOGLEFINANCE(D912,""CURRENCY"")=""GBX"",""GBP"",GOOGLEFINANCE(D912,""CURRENCY"")))))),B912)"),"")</f>
        <v/>
      </c>
      <c r="R912" s="263" t="str">
        <f>IFERROR(__xludf.DUMMYFUNCTION("IF(ISBLANK(A912),"""",IFERROR(IF(OR(Q912=""GPB"",Q912=""ZAR""),IF(Q912=Dashboard!$L$1,K912,(K912*GOOGLEFINANCE(""CURRENCY:""&amp;Q912&amp;""""&amp;Dashboard!$L$1&amp;""""))/100),IF(Q912=Dashboard!$L$1,K912,K912*GOOGLEFINANCE(""CURRENCY:""&amp;Q912&amp;""""&amp;Dashboard!$L$1&amp;"""")))"&amp;",K912))"),"")</f>
        <v/>
      </c>
      <c r="S912" s="266" t="str">
        <f>IFERROR(__xludf.DUMMYFUNCTION("IF(ISBLANK(A912),"""",IFERROR(IF(OR(Q912=""GPB"",Q912=""ZAR""),IF(Q912=Dashboard!$L$1,M912,(M912*GOOGLEFINANCE(""CURRENCY:""&amp;Q912&amp;""""&amp;Dashboard!$L$1&amp;""""))/100),IF(Q912=Dashboard!$L$1,M912,M912*GOOGLEFINANCE(""CURRENCY:""&amp;Q912&amp;""""&amp;Dashboard!$L$1&amp;"""")))"&amp;",M912))"),"")</f>
        <v/>
      </c>
      <c r="T912" s="264" t="str">
        <f t="shared" si="4"/>
        <v/>
      </c>
      <c r="U912" s="264" t="str">
        <f t="shared" si="5"/>
        <v/>
      </c>
      <c r="V912" s="264" t="str">
        <f t="shared" si="6"/>
        <v/>
      </c>
      <c r="W912" s="267" t="str">
        <f t="shared" si="8"/>
        <v/>
      </c>
      <c r="X912" s="264" t="str">
        <f t="shared" si="7"/>
        <v/>
      </c>
    </row>
    <row r="913" ht="15.75" customHeight="1">
      <c r="A913" s="258"/>
      <c r="B913" s="258"/>
      <c r="C913" s="269"/>
      <c r="D913" s="258"/>
      <c r="E913" s="258"/>
      <c r="F913" s="258"/>
      <c r="G913" s="258"/>
      <c r="H913" s="271"/>
      <c r="I913" s="258"/>
      <c r="J913" s="272"/>
      <c r="K913" s="260"/>
      <c r="L913" s="261"/>
      <c r="M913" s="262" t="str">
        <f t="shared" si="1"/>
        <v/>
      </c>
      <c r="N913" s="263" t="str">
        <f t="shared" si="2"/>
        <v/>
      </c>
      <c r="O913" s="264" t="str">
        <f t="shared" si="3"/>
        <v/>
      </c>
      <c r="P913" s="265" t="str">
        <f>IFERROR(__xludf.DUMMYFUNCTION("IF(ISBLANK(A913),"""",IFERROR(IF(H913=""Sell"",VLOOKUP(9^99,FILTER({ROW(P$2:P912),P$2:P912},D$2:D912=D913),2),(VLOOKUP(9^99,FILTER({ROW(P$2:P912),P$2:P912},D$2:D912=D913),2)*VLOOKUP(9^99,FILTER({ROW(O$2:O912),O$2:O912},D$2:D912=D913),2)-N913)/O913),J913))"),"")</f>
        <v/>
      </c>
      <c r="Q913" s="264" t="str">
        <f>IFERROR(__xludf.DUMMYFUNCTION("IFERROR(IF(F913=""Crypto"",B913,(IF(ISBLANK(D913),"""",IF(D913=""Cash"",B913,IF(GOOGLEFINANCE(D913,""CURRENCY"")=""GBX"",""GBP"",GOOGLEFINANCE(D913,""CURRENCY"")))))),B913)"),"")</f>
        <v/>
      </c>
      <c r="R913" s="263" t="str">
        <f>IFERROR(__xludf.DUMMYFUNCTION("IF(ISBLANK(A913),"""",IFERROR(IF(OR(Q913=""GPB"",Q913=""ZAR""),IF(Q913=Dashboard!$L$1,K913,(K913*GOOGLEFINANCE(""CURRENCY:""&amp;Q913&amp;""""&amp;Dashboard!$L$1&amp;""""))/100),IF(Q913=Dashboard!$L$1,K913,K913*GOOGLEFINANCE(""CURRENCY:""&amp;Q913&amp;""""&amp;Dashboard!$L$1&amp;"""")))"&amp;",K913))"),"")</f>
        <v/>
      </c>
      <c r="S913" s="266" t="str">
        <f>IFERROR(__xludf.DUMMYFUNCTION("IF(ISBLANK(A913),"""",IFERROR(IF(OR(Q913=""GPB"",Q913=""ZAR""),IF(Q913=Dashboard!$L$1,M913,(M913*GOOGLEFINANCE(""CURRENCY:""&amp;Q913&amp;""""&amp;Dashboard!$L$1&amp;""""))/100),IF(Q913=Dashboard!$L$1,M913,M913*GOOGLEFINANCE(""CURRENCY:""&amp;Q913&amp;""""&amp;Dashboard!$L$1&amp;"""")))"&amp;",M913))"),"")</f>
        <v/>
      </c>
      <c r="T913" s="264" t="str">
        <f t="shared" si="4"/>
        <v/>
      </c>
      <c r="U913" s="264" t="str">
        <f t="shared" si="5"/>
        <v/>
      </c>
      <c r="V913" s="264" t="str">
        <f t="shared" si="6"/>
        <v/>
      </c>
      <c r="W913" s="267" t="str">
        <f t="shared" si="8"/>
        <v/>
      </c>
      <c r="X913" s="264" t="str">
        <f t="shared" si="7"/>
        <v/>
      </c>
    </row>
    <row r="914" ht="15.75" customHeight="1">
      <c r="A914" s="258"/>
      <c r="B914" s="258"/>
      <c r="C914" s="269"/>
      <c r="D914" s="258"/>
      <c r="E914" s="258"/>
      <c r="F914" s="258"/>
      <c r="G914" s="258"/>
      <c r="H914" s="271"/>
      <c r="I914" s="258"/>
      <c r="J914" s="272"/>
      <c r="K914" s="260"/>
      <c r="L914" s="261"/>
      <c r="M914" s="262" t="str">
        <f t="shared" si="1"/>
        <v/>
      </c>
      <c r="N914" s="263" t="str">
        <f t="shared" si="2"/>
        <v/>
      </c>
      <c r="O914" s="264" t="str">
        <f t="shared" si="3"/>
        <v/>
      </c>
      <c r="P914" s="265" t="str">
        <f>IFERROR(__xludf.DUMMYFUNCTION("IF(ISBLANK(A914),"""",IFERROR(IF(H914=""Sell"",VLOOKUP(9^99,FILTER({ROW(P$2:P913),P$2:P913},D$2:D913=D914),2),(VLOOKUP(9^99,FILTER({ROW(P$2:P913),P$2:P913},D$2:D913=D914),2)*VLOOKUP(9^99,FILTER({ROW(O$2:O913),O$2:O913},D$2:D913=D914),2)-N914)/O914),J914))"),"")</f>
        <v/>
      </c>
      <c r="Q914" s="264" t="str">
        <f>IFERROR(__xludf.DUMMYFUNCTION("IFERROR(IF(F914=""Crypto"",B914,(IF(ISBLANK(D914),"""",IF(D914=""Cash"",B914,IF(GOOGLEFINANCE(D914,""CURRENCY"")=""GBX"",""GBP"",GOOGLEFINANCE(D914,""CURRENCY"")))))),B914)"),"")</f>
        <v/>
      </c>
      <c r="R914" s="263" t="str">
        <f>IFERROR(__xludf.DUMMYFUNCTION("IF(ISBLANK(A914),"""",IFERROR(IF(OR(Q914=""GPB"",Q914=""ZAR""),IF(Q914=Dashboard!$L$1,K914,(K914*GOOGLEFINANCE(""CURRENCY:""&amp;Q914&amp;""""&amp;Dashboard!$L$1&amp;""""))/100),IF(Q914=Dashboard!$L$1,K914,K914*GOOGLEFINANCE(""CURRENCY:""&amp;Q914&amp;""""&amp;Dashboard!$L$1&amp;"""")))"&amp;",K914))"),"")</f>
        <v/>
      </c>
      <c r="S914" s="266" t="str">
        <f>IFERROR(__xludf.DUMMYFUNCTION("IF(ISBLANK(A914),"""",IFERROR(IF(OR(Q914=""GPB"",Q914=""ZAR""),IF(Q914=Dashboard!$L$1,M914,(M914*GOOGLEFINANCE(""CURRENCY:""&amp;Q914&amp;""""&amp;Dashboard!$L$1&amp;""""))/100),IF(Q914=Dashboard!$L$1,M914,M914*GOOGLEFINANCE(""CURRENCY:""&amp;Q914&amp;""""&amp;Dashboard!$L$1&amp;"""")))"&amp;",M914))"),"")</f>
        <v/>
      </c>
      <c r="T914" s="264" t="str">
        <f t="shared" si="4"/>
        <v/>
      </c>
      <c r="U914" s="264" t="str">
        <f t="shared" si="5"/>
        <v/>
      </c>
      <c r="V914" s="264" t="str">
        <f t="shared" si="6"/>
        <v/>
      </c>
      <c r="W914" s="267" t="str">
        <f t="shared" si="8"/>
        <v/>
      </c>
      <c r="X914" s="264" t="str">
        <f t="shared" si="7"/>
        <v/>
      </c>
    </row>
    <row r="915" ht="15.75" customHeight="1">
      <c r="A915" s="258"/>
      <c r="B915" s="258"/>
      <c r="C915" s="269"/>
      <c r="D915" s="258"/>
      <c r="E915" s="258"/>
      <c r="F915" s="258"/>
      <c r="G915" s="258"/>
      <c r="H915" s="271"/>
      <c r="I915" s="258"/>
      <c r="J915" s="272"/>
      <c r="K915" s="260"/>
      <c r="L915" s="261"/>
      <c r="M915" s="262" t="str">
        <f t="shared" si="1"/>
        <v/>
      </c>
      <c r="N915" s="263" t="str">
        <f t="shared" si="2"/>
        <v/>
      </c>
      <c r="O915" s="264" t="str">
        <f t="shared" si="3"/>
        <v/>
      </c>
      <c r="P915" s="265" t="str">
        <f>IFERROR(__xludf.DUMMYFUNCTION("IF(ISBLANK(A915),"""",IFERROR(IF(H915=""Sell"",VLOOKUP(9^99,FILTER({ROW(P$2:P914),P$2:P914},D$2:D914=D915),2),(VLOOKUP(9^99,FILTER({ROW(P$2:P914),P$2:P914},D$2:D914=D915),2)*VLOOKUP(9^99,FILTER({ROW(O$2:O914),O$2:O914},D$2:D914=D915),2)-N915)/O915),J915))"),"")</f>
        <v/>
      </c>
      <c r="Q915" s="264" t="str">
        <f>IFERROR(__xludf.DUMMYFUNCTION("IFERROR(IF(F915=""Crypto"",B915,(IF(ISBLANK(D915),"""",IF(D915=""Cash"",B915,IF(GOOGLEFINANCE(D915,""CURRENCY"")=""GBX"",""GBP"",GOOGLEFINANCE(D915,""CURRENCY"")))))),B915)"),"")</f>
        <v/>
      </c>
      <c r="R915" s="263" t="str">
        <f>IFERROR(__xludf.DUMMYFUNCTION("IF(ISBLANK(A915),"""",IFERROR(IF(OR(Q915=""GPB"",Q915=""ZAR""),IF(Q915=Dashboard!$L$1,K915,(K915*GOOGLEFINANCE(""CURRENCY:""&amp;Q915&amp;""""&amp;Dashboard!$L$1&amp;""""))/100),IF(Q915=Dashboard!$L$1,K915,K915*GOOGLEFINANCE(""CURRENCY:""&amp;Q915&amp;""""&amp;Dashboard!$L$1&amp;"""")))"&amp;",K915))"),"")</f>
        <v/>
      </c>
      <c r="S915" s="266" t="str">
        <f>IFERROR(__xludf.DUMMYFUNCTION("IF(ISBLANK(A915),"""",IFERROR(IF(OR(Q915=""GPB"",Q915=""ZAR""),IF(Q915=Dashboard!$L$1,M915,(M915*GOOGLEFINANCE(""CURRENCY:""&amp;Q915&amp;""""&amp;Dashboard!$L$1&amp;""""))/100),IF(Q915=Dashboard!$L$1,M915,M915*GOOGLEFINANCE(""CURRENCY:""&amp;Q915&amp;""""&amp;Dashboard!$L$1&amp;"""")))"&amp;",M915))"),"")</f>
        <v/>
      </c>
      <c r="T915" s="264" t="str">
        <f t="shared" si="4"/>
        <v/>
      </c>
      <c r="U915" s="264" t="str">
        <f t="shared" si="5"/>
        <v/>
      </c>
      <c r="V915" s="264" t="str">
        <f t="shared" si="6"/>
        <v/>
      </c>
      <c r="W915" s="267" t="str">
        <f t="shared" si="8"/>
        <v/>
      </c>
      <c r="X915" s="264" t="str">
        <f t="shared" si="7"/>
        <v/>
      </c>
    </row>
    <row r="916" ht="15.75" customHeight="1">
      <c r="A916" s="258"/>
      <c r="B916" s="258"/>
      <c r="C916" s="269"/>
      <c r="D916" s="258"/>
      <c r="E916" s="258"/>
      <c r="F916" s="258"/>
      <c r="G916" s="258"/>
      <c r="H916" s="271"/>
      <c r="I916" s="258"/>
      <c r="J916" s="272"/>
      <c r="K916" s="260"/>
      <c r="L916" s="261"/>
      <c r="M916" s="262" t="str">
        <f t="shared" si="1"/>
        <v/>
      </c>
      <c r="N916" s="263" t="str">
        <f t="shared" si="2"/>
        <v/>
      </c>
      <c r="O916" s="264" t="str">
        <f t="shared" si="3"/>
        <v/>
      </c>
      <c r="P916" s="265" t="str">
        <f>IFERROR(__xludf.DUMMYFUNCTION("IF(ISBLANK(A916),"""",IFERROR(IF(H916=""Sell"",VLOOKUP(9^99,FILTER({ROW(P$2:P915),P$2:P915},D$2:D915=D916),2),(VLOOKUP(9^99,FILTER({ROW(P$2:P915),P$2:P915},D$2:D915=D916),2)*VLOOKUP(9^99,FILTER({ROW(O$2:O915),O$2:O915},D$2:D915=D916),2)-N916)/O916),J916))"),"")</f>
        <v/>
      </c>
      <c r="Q916" s="264" t="str">
        <f>IFERROR(__xludf.DUMMYFUNCTION("IFERROR(IF(F916=""Crypto"",B916,(IF(ISBLANK(D916),"""",IF(D916=""Cash"",B916,IF(GOOGLEFINANCE(D916,""CURRENCY"")=""GBX"",""GBP"",GOOGLEFINANCE(D916,""CURRENCY"")))))),B916)"),"")</f>
        <v/>
      </c>
      <c r="R916" s="263" t="str">
        <f>IFERROR(__xludf.DUMMYFUNCTION("IF(ISBLANK(A916),"""",IFERROR(IF(OR(Q916=""GPB"",Q916=""ZAR""),IF(Q916=Dashboard!$L$1,K916,(K916*GOOGLEFINANCE(""CURRENCY:""&amp;Q916&amp;""""&amp;Dashboard!$L$1&amp;""""))/100),IF(Q916=Dashboard!$L$1,K916,K916*GOOGLEFINANCE(""CURRENCY:""&amp;Q916&amp;""""&amp;Dashboard!$L$1&amp;"""")))"&amp;",K916))"),"")</f>
        <v/>
      </c>
      <c r="S916" s="266" t="str">
        <f>IFERROR(__xludf.DUMMYFUNCTION("IF(ISBLANK(A916),"""",IFERROR(IF(OR(Q916=""GPB"",Q916=""ZAR""),IF(Q916=Dashboard!$L$1,M916,(M916*GOOGLEFINANCE(""CURRENCY:""&amp;Q916&amp;""""&amp;Dashboard!$L$1&amp;""""))/100),IF(Q916=Dashboard!$L$1,M916,M916*GOOGLEFINANCE(""CURRENCY:""&amp;Q916&amp;""""&amp;Dashboard!$L$1&amp;"""")))"&amp;",M916))"),"")</f>
        <v/>
      </c>
      <c r="T916" s="264" t="str">
        <f t="shared" si="4"/>
        <v/>
      </c>
      <c r="U916" s="264" t="str">
        <f t="shared" si="5"/>
        <v/>
      </c>
      <c r="V916" s="264" t="str">
        <f t="shared" si="6"/>
        <v/>
      </c>
      <c r="W916" s="267" t="str">
        <f t="shared" si="8"/>
        <v/>
      </c>
      <c r="X916" s="264" t="str">
        <f t="shared" si="7"/>
        <v/>
      </c>
    </row>
    <row r="917" ht="15.75" customHeight="1">
      <c r="A917" s="258"/>
      <c r="B917" s="258"/>
      <c r="C917" s="269"/>
      <c r="D917" s="258"/>
      <c r="E917" s="258"/>
      <c r="F917" s="258"/>
      <c r="G917" s="258"/>
      <c r="H917" s="271"/>
      <c r="I917" s="258"/>
      <c r="J917" s="272"/>
      <c r="K917" s="260"/>
      <c r="L917" s="261"/>
      <c r="M917" s="262" t="str">
        <f t="shared" si="1"/>
        <v/>
      </c>
      <c r="N917" s="263" t="str">
        <f t="shared" si="2"/>
        <v/>
      </c>
      <c r="O917" s="264" t="str">
        <f t="shared" si="3"/>
        <v/>
      </c>
      <c r="P917" s="265" t="str">
        <f>IFERROR(__xludf.DUMMYFUNCTION("IF(ISBLANK(A917),"""",IFERROR(IF(H917=""Sell"",VLOOKUP(9^99,FILTER({ROW(P$2:P916),P$2:P916},D$2:D916=D917),2),(VLOOKUP(9^99,FILTER({ROW(P$2:P916),P$2:P916},D$2:D916=D917),2)*VLOOKUP(9^99,FILTER({ROW(O$2:O916),O$2:O916},D$2:D916=D917),2)-N917)/O917),J917))"),"")</f>
        <v/>
      </c>
      <c r="Q917" s="264" t="str">
        <f>IFERROR(__xludf.DUMMYFUNCTION("IFERROR(IF(F917=""Crypto"",B917,(IF(ISBLANK(D917),"""",IF(D917=""Cash"",B917,IF(GOOGLEFINANCE(D917,""CURRENCY"")=""GBX"",""GBP"",GOOGLEFINANCE(D917,""CURRENCY"")))))),B917)"),"")</f>
        <v/>
      </c>
      <c r="R917" s="263" t="str">
        <f>IFERROR(__xludf.DUMMYFUNCTION("IF(ISBLANK(A917),"""",IFERROR(IF(OR(Q917=""GPB"",Q917=""ZAR""),IF(Q917=Dashboard!$L$1,K917,(K917*GOOGLEFINANCE(""CURRENCY:""&amp;Q917&amp;""""&amp;Dashboard!$L$1&amp;""""))/100),IF(Q917=Dashboard!$L$1,K917,K917*GOOGLEFINANCE(""CURRENCY:""&amp;Q917&amp;""""&amp;Dashboard!$L$1&amp;"""")))"&amp;",K917))"),"")</f>
        <v/>
      </c>
      <c r="S917" s="266" t="str">
        <f>IFERROR(__xludf.DUMMYFUNCTION("IF(ISBLANK(A917),"""",IFERROR(IF(OR(Q917=""GPB"",Q917=""ZAR""),IF(Q917=Dashboard!$L$1,M917,(M917*GOOGLEFINANCE(""CURRENCY:""&amp;Q917&amp;""""&amp;Dashboard!$L$1&amp;""""))/100),IF(Q917=Dashboard!$L$1,M917,M917*GOOGLEFINANCE(""CURRENCY:""&amp;Q917&amp;""""&amp;Dashboard!$L$1&amp;"""")))"&amp;",M917))"),"")</f>
        <v/>
      </c>
      <c r="T917" s="264" t="str">
        <f t="shared" si="4"/>
        <v/>
      </c>
      <c r="U917" s="264" t="str">
        <f t="shared" si="5"/>
        <v/>
      </c>
      <c r="V917" s="264" t="str">
        <f t="shared" si="6"/>
        <v/>
      </c>
      <c r="W917" s="267" t="str">
        <f t="shared" si="8"/>
        <v/>
      </c>
      <c r="X917" s="264" t="str">
        <f t="shared" si="7"/>
        <v/>
      </c>
    </row>
    <row r="918" ht="15.75" customHeight="1">
      <c r="A918" s="258"/>
      <c r="B918" s="258"/>
      <c r="C918" s="269"/>
      <c r="D918" s="258"/>
      <c r="E918" s="258"/>
      <c r="F918" s="258"/>
      <c r="G918" s="258"/>
      <c r="H918" s="271"/>
      <c r="I918" s="258"/>
      <c r="J918" s="272"/>
      <c r="K918" s="260"/>
      <c r="L918" s="261"/>
      <c r="M918" s="262" t="str">
        <f t="shared" si="1"/>
        <v/>
      </c>
      <c r="N918" s="263" t="str">
        <f t="shared" si="2"/>
        <v/>
      </c>
      <c r="O918" s="264" t="str">
        <f t="shared" si="3"/>
        <v/>
      </c>
      <c r="P918" s="265" t="str">
        <f>IFERROR(__xludf.DUMMYFUNCTION("IF(ISBLANK(A918),"""",IFERROR(IF(H918=""Sell"",VLOOKUP(9^99,FILTER({ROW(P$2:P917),P$2:P917},D$2:D917=D918),2),(VLOOKUP(9^99,FILTER({ROW(P$2:P917),P$2:P917},D$2:D917=D918),2)*VLOOKUP(9^99,FILTER({ROW(O$2:O917),O$2:O917},D$2:D917=D918),2)-N918)/O918),J918))"),"")</f>
        <v/>
      </c>
      <c r="Q918" s="264" t="str">
        <f>IFERROR(__xludf.DUMMYFUNCTION("IFERROR(IF(F918=""Crypto"",B918,(IF(ISBLANK(D918),"""",IF(D918=""Cash"",B918,IF(GOOGLEFINANCE(D918,""CURRENCY"")=""GBX"",""GBP"",GOOGLEFINANCE(D918,""CURRENCY"")))))),B918)"),"")</f>
        <v/>
      </c>
      <c r="R918" s="263" t="str">
        <f>IFERROR(__xludf.DUMMYFUNCTION("IF(ISBLANK(A918),"""",IFERROR(IF(OR(Q918=""GPB"",Q918=""ZAR""),IF(Q918=Dashboard!$L$1,K918,(K918*GOOGLEFINANCE(""CURRENCY:""&amp;Q918&amp;""""&amp;Dashboard!$L$1&amp;""""))/100),IF(Q918=Dashboard!$L$1,K918,K918*GOOGLEFINANCE(""CURRENCY:""&amp;Q918&amp;""""&amp;Dashboard!$L$1&amp;"""")))"&amp;",K918))"),"")</f>
        <v/>
      </c>
      <c r="S918" s="266" t="str">
        <f>IFERROR(__xludf.DUMMYFUNCTION("IF(ISBLANK(A918),"""",IFERROR(IF(OR(Q918=""GPB"",Q918=""ZAR""),IF(Q918=Dashboard!$L$1,M918,(M918*GOOGLEFINANCE(""CURRENCY:""&amp;Q918&amp;""""&amp;Dashboard!$L$1&amp;""""))/100),IF(Q918=Dashboard!$L$1,M918,M918*GOOGLEFINANCE(""CURRENCY:""&amp;Q918&amp;""""&amp;Dashboard!$L$1&amp;"""")))"&amp;",M918))"),"")</f>
        <v/>
      </c>
      <c r="T918" s="264" t="str">
        <f t="shared" si="4"/>
        <v/>
      </c>
      <c r="U918" s="264" t="str">
        <f t="shared" si="5"/>
        <v/>
      </c>
      <c r="V918" s="264" t="str">
        <f t="shared" si="6"/>
        <v/>
      </c>
      <c r="W918" s="267" t="str">
        <f t="shared" si="8"/>
        <v/>
      </c>
      <c r="X918" s="264" t="str">
        <f t="shared" si="7"/>
        <v/>
      </c>
    </row>
    <row r="919" ht="15.75" customHeight="1">
      <c r="A919" s="258"/>
      <c r="B919" s="258"/>
      <c r="C919" s="269"/>
      <c r="D919" s="258"/>
      <c r="E919" s="258"/>
      <c r="F919" s="258"/>
      <c r="G919" s="258"/>
      <c r="H919" s="271"/>
      <c r="I919" s="258"/>
      <c r="J919" s="272"/>
      <c r="K919" s="260"/>
      <c r="L919" s="261"/>
      <c r="M919" s="262" t="str">
        <f t="shared" si="1"/>
        <v/>
      </c>
      <c r="N919" s="263" t="str">
        <f t="shared" si="2"/>
        <v/>
      </c>
      <c r="O919" s="264" t="str">
        <f t="shared" si="3"/>
        <v/>
      </c>
      <c r="P919" s="265" t="str">
        <f>IFERROR(__xludf.DUMMYFUNCTION("IF(ISBLANK(A919),"""",IFERROR(IF(H919=""Sell"",VLOOKUP(9^99,FILTER({ROW(P$2:P918),P$2:P918},D$2:D918=D919),2),(VLOOKUP(9^99,FILTER({ROW(P$2:P918),P$2:P918},D$2:D918=D919),2)*VLOOKUP(9^99,FILTER({ROW(O$2:O918),O$2:O918},D$2:D918=D919),2)-N919)/O919),J919))"),"")</f>
        <v/>
      </c>
      <c r="Q919" s="264" t="str">
        <f>IFERROR(__xludf.DUMMYFUNCTION("IFERROR(IF(F919=""Crypto"",B919,(IF(ISBLANK(D919),"""",IF(D919=""Cash"",B919,IF(GOOGLEFINANCE(D919,""CURRENCY"")=""GBX"",""GBP"",GOOGLEFINANCE(D919,""CURRENCY"")))))),B919)"),"")</f>
        <v/>
      </c>
      <c r="R919" s="263" t="str">
        <f>IFERROR(__xludf.DUMMYFUNCTION("IF(ISBLANK(A919),"""",IFERROR(IF(OR(Q919=""GPB"",Q919=""ZAR""),IF(Q919=Dashboard!$L$1,K919,(K919*GOOGLEFINANCE(""CURRENCY:""&amp;Q919&amp;""""&amp;Dashboard!$L$1&amp;""""))/100),IF(Q919=Dashboard!$L$1,K919,K919*GOOGLEFINANCE(""CURRENCY:""&amp;Q919&amp;""""&amp;Dashboard!$L$1&amp;"""")))"&amp;",K919))"),"")</f>
        <v/>
      </c>
      <c r="S919" s="266" t="str">
        <f>IFERROR(__xludf.DUMMYFUNCTION("IF(ISBLANK(A919),"""",IFERROR(IF(OR(Q919=""GPB"",Q919=""ZAR""),IF(Q919=Dashboard!$L$1,M919,(M919*GOOGLEFINANCE(""CURRENCY:""&amp;Q919&amp;""""&amp;Dashboard!$L$1&amp;""""))/100),IF(Q919=Dashboard!$L$1,M919,M919*GOOGLEFINANCE(""CURRENCY:""&amp;Q919&amp;""""&amp;Dashboard!$L$1&amp;"""")))"&amp;",M919))"),"")</f>
        <v/>
      </c>
      <c r="T919" s="264" t="str">
        <f t="shared" si="4"/>
        <v/>
      </c>
      <c r="U919" s="264" t="str">
        <f t="shared" si="5"/>
        <v/>
      </c>
      <c r="V919" s="264" t="str">
        <f t="shared" si="6"/>
        <v/>
      </c>
      <c r="W919" s="267" t="str">
        <f t="shared" si="8"/>
        <v/>
      </c>
      <c r="X919" s="264" t="str">
        <f t="shared" si="7"/>
        <v/>
      </c>
    </row>
    <row r="920" ht="15.75" customHeight="1">
      <c r="A920" s="258"/>
      <c r="B920" s="258"/>
      <c r="C920" s="269"/>
      <c r="D920" s="258"/>
      <c r="E920" s="258"/>
      <c r="F920" s="258"/>
      <c r="G920" s="258"/>
      <c r="H920" s="271"/>
      <c r="I920" s="258"/>
      <c r="J920" s="272"/>
      <c r="K920" s="260"/>
      <c r="L920" s="261"/>
      <c r="M920" s="262" t="str">
        <f t="shared" si="1"/>
        <v/>
      </c>
      <c r="N920" s="263" t="str">
        <f t="shared" si="2"/>
        <v/>
      </c>
      <c r="O920" s="264" t="str">
        <f t="shared" si="3"/>
        <v/>
      </c>
      <c r="P920" s="265" t="str">
        <f>IFERROR(__xludf.DUMMYFUNCTION("IF(ISBLANK(A920),"""",IFERROR(IF(H920=""Sell"",VLOOKUP(9^99,FILTER({ROW(P$2:P919),P$2:P919},D$2:D919=D920),2),(VLOOKUP(9^99,FILTER({ROW(P$2:P919),P$2:P919},D$2:D919=D920),2)*VLOOKUP(9^99,FILTER({ROW(O$2:O919),O$2:O919},D$2:D919=D920),2)-N920)/O920),J920))"),"")</f>
        <v/>
      </c>
      <c r="Q920" s="264" t="str">
        <f>IFERROR(__xludf.DUMMYFUNCTION("IFERROR(IF(F920=""Crypto"",B920,(IF(ISBLANK(D920),"""",IF(D920=""Cash"",B920,IF(GOOGLEFINANCE(D920,""CURRENCY"")=""GBX"",""GBP"",GOOGLEFINANCE(D920,""CURRENCY"")))))),B920)"),"")</f>
        <v/>
      </c>
      <c r="R920" s="263" t="str">
        <f>IFERROR(__xludf.DUMMYFUNCTION("IF(ISBLANK(A920),"""",IFERROR(IF(OR(Q920=""GPB"",Q920=""ZAR""),IF(Q920=Dashboard!$L$1,K920,(K920*GOOGLEFINANCE(""CURRENCY:""&amp;Q920&amp;""""&amp;Dashboard!$L$1&amp;""""))/100),IF(Q920=Dashboard!$L$1,K920,K920*GOOGLEFINANCE(""CURRENCY:""&amp;Q920&amp;""""&amp;Dashboard!$L$1&amp;"""")))"&amp;",K920))"),"")</f>
        <v/>
      </c>
      <c r="S920" s="266" t="str">
        <f>IFERROR(__xludf.DUMMYFUNCTION("IF(ISBLANK(A920),"""",IFERROR(IF(OR(Q920=""GPB"",Q920=""ZAR""),IF(Q920=Dashboard!$L$1,M920,(M920*GOOGLEFINANCE(""CURRENCY:""&amp;Q920&amp;""""&amp;Dashboard!$L$1&amp;""""))/100),IF(Q920=Dashboard!$L$1,M920,M920*GOOGLEFINANCE(""CURRENCY:""&amp;Q920&amp;""""&amp;Dashboard!$L$1&amp;"""")))"&amp;",M920))"),"")</f>
        <v/>
      </c>
      <c r="T920" s="264" t="str">
        <f t="shared" si="4"/>
        <v/>
      </c>
      <c r="U920" s="264" t="str">
        <f t="shared" si="5"/>
        <v/>
      </c>
      <c r="V920" s="264" t="str">
        <f t="shared" si="6"/>
        <v/>
      </c>
      <c r="W920" s="267" t="str">
        <f t="shared" si="8"/>
        <v/>
      </c>
      <c r="X920" s="264" t="str">
        <f t="shared" si="7"/>
        <v/>
      </c>
    </row>
    <row r="921" ht="15.75" customHeight="1">
      <c r="A921" s="258"/>
      <c r="B921" s="258"/>
      <c r="C921" s="269"/>
      <c r="D921" s="258"/>
      <c r="E921" s="258"/>
      <c r="F921" s="258"/>
      <c r="G921" s="258"/>
      <c r="H921" s="271"/>
      <c r="I921" s="258"/>
      <c r="J921" s="272"/>
      <c r="K921" s="260"/>
      <c r="L921" s="261"/>
      <c r="M921" s="262" t="str">
        <f t="shared" si="1"/>
        <v/>
      </c>
      <c r="N921" s="263" t="str">
        <f t="shared" si="2"/>
        <v/>
      </c>
      <c r="O921" s="264" t="str">
        <f t="shared" si="3"/>
        <v/>
      </c>
      <c r="P921" s="265" t="str">
        <f>IFERROR(__xludf.DUMMYFUNCTION("IF(ISBLANK(A921),"""",IFERROR(IF(H921=""Sell"",VLOOKUP(9^99,FILTER({ROW(P$2:P920),P$2:P920},D$2:D920=D921),2),(VLOOKUP(9^99,FILTER({ROW(P$2:P920),P$2:P920},D$2:D920=D921),2)*VLOOKUP(9^99,FILTER({ROW(O$2:O920),O$2:O920},D$2:D920=D921),2)-N921)/O921),J921))"),"")</f>
        <v/>
      </c>
      <c r="Q921" s="264" t="str">
        <f>IFERROR(__xludf.DUMMYFUNCTION("IFERROR(IF(F921=""Crypto"",B921,(IF(ISBLANK(D921),"""",IF(D921=""Cash"",B921,IF(GOOGLEFINANCE(D921,""CURRENCY"")=""GBX"",""GBP"",GOOGLEFINANCE(D921,""CURRENCY"")))))),B921)"),"")</f>
        <v/>
      </c>
      <c r="R921" s="263" t="str">
        <f>IFERROR(__xludf.DUMMYFUNCTION("IF(ISBLANK(A921),"""",IFERROR(IF(OR(Q921=""GPB"",Q921=""ZAR""),IF(Q921=Dashboard!$L$1,K921,(K921*GOOGLEFINANCE(""CURRENCY:""&amp;Q921&amp;""""&amp;Dashboard!$L$1&amp;""""))/100),IF(Q921=Dashboard!$L$1,K921,K921*GOOGLEFINANCE(""CURRENCY:""&amp;Q921&amp;""""&amp;Dashboard!$L$1&amp;"""")))"&amp;",K921))"),"")</f>
        <v/>
      </c>
      <c r="S921" s="266" t="str">
        <f>IFERROR(__xludf.DUMMYFUNCTION("IF(ISBLANK(A921),"""",IFERROR(IF(OR(Q921=""GPB"",Q921=""ZAR""),IF(Q921=Dashboard!$L$1,M921,(M921*GOOGLEFINANCE(""CURRENCY:""&amp;Q921&amp;""""&amp;Dashboard!$L$1&amp;""""))/100),IF(Q921=Dashboard!$L$1,M921,M921*GOOGLEFINANCE(""CURRENCY:""&amp;Q921&amp;""""&amp;Dashboard!$L$1&amp;"""")))"&amp;",M921))"),"")</f>
        <v/>
      </c>
      <c r="T921" s="264" t="str">
        <f t="shared" si="4"/>
        <v/>
      </c>
      <c r="U921" s="264" t="str">
        <f t="shared" si="5"/>
        <v/>
      </c>
      <c r="V921" s="264" t="str">
        <f t="shared" si="6"/>
        <v/>
      </c>
      <c r="W921" s="267" t="str">
        <f t="shared" si="8"/>
        <v/>
      </c>
      <c r="X921" s="264" t="str">
        <f t="shared" si="7"/>
        <v/>
      </c>
    </row>
    <row r="922" ht="15.75" customHeight="1">
      <c r="A922" s="258"/>
      <c r="B922" s="258"/>
      <c r="C922" s="269"/>
      <c r="D922" s="258"/>
      <c r="E922" s="258"/>
      <c r="F922" s="258"/>
      <c r="G922" s="258"/>
      <c r="H922" s="271"/>
      <c r="I922" s="258"/>
      <c r="J922" s="272"/>
      <c r="K922" s="260"/>
      <c r="L922" s="261"/>
      <c r="M922" s="262" t="str">
        <f t="shared" si="1"/>
        <v/>
      </c>
      <c r="N922" s="263" t="str">
        <f t="shared" si="2"/>
        <v/>
      </c>
      <c r="O922" s="264" t="str">
        <f t="shared" si="3"/>
        <v/>
      </c>
      <c r="P922" s="265" t="str">
        <f>IFERROR(__xludf.DUMMYFUNCTION("IF(ISBLANK(A922),"""",IFERROR(IF(H922=""Sell"",VLOOKUP(9^99,FILTER({ROW(P$2:P921),P$2:P921},D$2:D921=D922),2),(VLOOKUP(9^99,FILTER({ROW(P$2:P921),P$2:P921},D$2:D921=D922),2)*VLOOKUP(9^99,FILTER({ROW(O$2:O921),O$2:O921},D$2:D921=D922),2)-N922)/O922),J922))"),"")</f>
        <v/>
      </c>
      <c r="Q922" s="264" t="str">
        <f>IFERROR(__xludf.DUMMYFUNCTION("IFERROR(IF(F922=""Crypto"",B922,(IF(ISBLANK(D922),"""",IF(D922=""Cash"",B922,IF(GOOGLEFINANCE(D922,""CURRENCY"")=""GBX"",""GBP"",GOOGLEFINANCE(D922,""CURRENCY"")))))),B922)"),"")</f>
        <v/>
      </c>
      <c r="R922" s="263" t="str">
        <f>IFERROR(__xludf.DUMMYFUNCTION("IF(ISBLANK(A922),"""",IFERROR(IF(OR(Q922=""GPB"",Q922=""ZAR""),IF(Q922=Dashboard!$L$1,K922,(K922*GOOGLEFINANCE(""CURRENCY:""&amp;Q922&amp;""""&amp;Dashboard!$L$1&amp;""""))/100),IF(Q922=Dashboard!$L$1,K922,K922*GOOGLEFINANCE(""CURRENCY:""&amp;Q922&amp;""""&amp;Dashboard!$L$1&amp;"""")))"&amp;",K922))"),"")</f>
        <v/>
      </c>
      <c r="S922" s="266" t="str">
        <f>IFERROR(__xludf.DUMMYFUNCTION("IF(ISBLANK(A922),"""",IFERROR(IF(OR(Q922=""GPB"",Q922=""ZAR""),IF(Q922=Dashboard!$L$1,M922,(M922*GOOGLEFINANCE(""CURRENCY:""&amp;Q922&amp;""""&amp;Dashboard!$L$1&amp;""""))/100),IF(Q922=Dashboard!$L$1,M922,M922*GOOGLEFINANCE(""CURRENCY:""&amp;Q922&amp;""""&amp;Dashboard!$L$1&amp;"""")))"&amp;",M922))"),"")</f>
        <v/>
      </c>
      <c r="T922" s="264" t="str">
        <f t="shared" si="4"/>
        <v/>
      </c>
      <c r="U922" s="264" t="str">
        <f t="shared" si="5"/>
        <v/>
      </c>
      <c r="V922" s="264" t="str">
        <f t="shared" si="6"/>
        <v/>
      </c>
      <c r="W922" s="267" t="str">
        <f t="shared" si="8"/>
        <v/>
      </c>
      <c r="X922" s="264" t="str">
        <f t="shared" si="7"/>
        <v/>
      </c>
    </row>
    <row r="923" ht="15.75" customHeight="1">
      <c r="A923" s="258"/>
      <c r="B923" s="258"/>
      <c r="C923" s="269"/>
      <c r="D923" s="258"/>
      <c r="E923" s="258"/>
      <c r="F923" s="258"/>
      <c r="G923" s="258"/>
      <c r="H923" s="271"/>
      <c r="I923" s="258"/>
      <c r="J923" s="272"/>
      <c r="K923" s="260"/>
      <c r="L923" s="261"/>
      <c r="M923" s="262" t="str">
        <f t="shared" si="1"/>
        <v/>
      </c>
      <c r="N923" s="263" t="str">
        <f t="shared" si="2"/>
        <v/>
      </c>
      <c r="O923" s="264" t="str">
        <f t="shared" si="3"/>
        <v/>
      </c>
      <c r="P923" s="265" t="str">
        <f>IFERROR(__xludf.DUMMYFUNCTION("IF(ISBLANK(A923),"""",IFERROR(IF(H923=""Sell"",VLOOKUP(9^99,FILTER({ROW(P$2:P922),P$2:P922},D$2:D922=D923),2),(VLOOKUP(9^99,FILTER({ROW(P$2:P922),P$2:P922},D$2:D922=D923),2)*VLOOKUP(9^99,FILTER({ROW(O$2:O922),O$2:O922},D$2:D922=D923),2)-N923)/O923),J923))"),"")</f>
        <v/>
      </c>
      <c r="Q923" s="264" t="str">
        <f>IFERROR(__xludf.DUMMYFUNCTION("IFERROR(IF(F923=""Crypto"",B923,(IF(ISBLANK(D923),"""",IF(D923=""Cash"",B923,IF(GOOGLEFINANCE(D923,""CURRENCY"")=""GBX"",""GBP"",GOOGLEFINANCE(D923,""CURRENCY"")))))),B923)"),"")</f>
        <v/>
      </c>
      <c r="R923" s="263" t="str">
        <f>IFERROR(__xludf.DUMMYFUNCTION("IF(ISBLANK(A923),"""",IFERROR(IF(OR(Q923=""GPB"",Q923=""ZAR""),IF(Q923=Dashboard!$L$1,K923,(K923*GOOGLEFINANCE(""CURRENCY:""&amp;Q923&amp;""""&amp;Dashboard!$L$1&amp;""""))/100),IF(Q923=Dashboard!$L$1,K923,K923*GOOGLEFINANCE(""CURRENCY:""&amp;Q923&amp;""""&amp;Dashboard!$L$1&amp;"""")))"&amp;",K923))"),"")</f>
        <v/>
      </c>
      <c r="S923" s="266" t="str">
        <f>IFERROR(__xludf.DUMMYFUNCTION("IF(ISBLANK(A923),"""",IFERROR(IF(OR(Q923=""GPB"",Q923=""ZAR""),IF(Q923=Dashboard!$L$1,M923,(M923*GOOGLEFINANCE(""CURRENCY:""&amp;Q923&amp;""""&amp;Dashboard!$L$1&amp;""""))/100),IF(Q923=Dashboard!$L$1,M923,M923*GOOGLEFINANCE(""CURRENCY:""&amp;Q923&amp;""""&amp;Dashboard!$L$1&amp;"""")))"&amp;",M923))"),"")</f>
        <v/>
      </c>
      <c r="T923" s="264" t="str">
        <f t="shared" si="4"/>
        <v/>
      </c>
      <c r="U923" s="264" t="str">
        <f t="shared" si="5"/>
        <v/>
      </c>
      <c r="V923" s="264" t="str">
        <f t="shared" si="6"/>
        <v/>
      </c>
      <c r="W923" s="267" t="str">
        <f t="shared" si="8"/>
        <v/>
      </c>
      <c r="X923" s="264" t="str">
        <f t="shared" si="7"/>
        <v/>
      </c>
    </row>
    <row r="924" ht="15.75" customHeight="1">
      <c r="A924" s="258"/>
      <c r="B924" s="258"/>
      <c r="C924" s="269"/>
      <c r="D924" s="258"/>
      <c r="E924" s="258"/>
      <c r="F924" s="258"/>
      <c r="G924" s="258"/>
      <c r="H924" s="271"/>
      <c r="I924" s="258"/>
      <c r="J924" s="272"/>
      <c r="K924" s="260"/>
      <c r="L924" s="261"/>
      <c r="M924" s="262" t="str">
        <f t="shared" si="1"/>
        <v/>
      </c>
      <c r="N924" s="263" t="str">
        <f t="shared" si="2"/>
        <v/>
      </c>
      <c r="O924" s="264" t="str">
        <f t="shared" si="3"/>
        <v/>
      </c>
      <c r="P924" s="265" t="str">
        <f>IFERROR(__xludf.DUMMYFUNCTION("IF(ISBLANK(A924),"""",IFERROR(IF(H924=""Sell"",VLOOKUP(9^99,FILTER({ROW(P$2:P923),P$2:P923},D$2:D923=D924),2),(VLOOKUP(9^99,FILTER({ROW(P$2:P923),P$2:P923},D$2:D923=D924),2)*VLOOKUP(9^99,FILTER({ROW(O$2:O923),O$2:O923},D$2:D923=D924),2)-N924)/O924),J924))"),"")</f>
        <v/>
      </c>
      <c r="Q924" s="264" t="str">
        <f>IFERROR(__xludf.DUMMYFUNCTION("IFERROR(IF(F924=""Crypto"",B924,(IF(ISBLANK(D924),"""",IF(D924=""Cash"",B924,IF(GOOGLEFINANCE(D924,""CURRENCY"")=""GBX"",""GBP"",GOOGLEFINANCE(D924,""CURRENCY"")))))),B924)"),"")</f>
        <v/>
      </c>
      <c r="R924" s="263" t="str">
        <f>IFERROR(__xludf.DUMMYFUNCTION("IF(ISBLANK(A924),"""",IFERROR(IF(OR(Q924=""GPB"",Q924=""ZAR""),IF(Q924=Dashboard!$L$1,K924,(K924*GOOGLEFINANCE(""CURRENCY:""&amp;Q924&amp;""""&amp;Dashboard!$L$1&amp;""""))/100),IF(Q924=Dashboard!$L$1,K924,K924*GOOGLEFINANCE(""CURRENCY:""&amp;Q924&amp;""""&amp;Dashboard!$L$1&amp;"""")))"&amp;",K924))"),"")</f>
        <v/>
      </c>
      <c r="S924" s="266" t="str">
        <f>IFERROR(__xludf.DUMMYFUNCTION("IF(ISBLANK(A924),"""",IFERROR(IF(OR(Q924=""GPB"",Q924=""ZAR""),IF(Q924=Dashboard!$L$1,M924,(M924*GOOGLEFINANCE(""CURRENCY:""&amp;Q924&amp;""""&amp;Dashboard!$L$1&amp;""""))/100),IF(Q924=Dashboard!$L$1,M924,M924*GOOGLEFINANCE(""CURRENCY:""&amp;Q924&amp;""""&amp;Dashboard!$L$1&amp;"""")))"&amp;",M924))"),"")</f>
        <v/>
      </c>
      <c r="T924" s="264" t="str">
        <f t="shared" si="4"/>
        <v/>
      </c>
      <c r="U924" s="264" t="str">
        <f t="shared" si="5"/>
        <v/>
      </c>
      <c r="V924" s="264" t="str">
        <f t="shared" si="6"/>
        <v/>
      </c>
      <c r="W924" s="267" t="str">
        <f t="shared" si="8"/>
        <v/>
      </c>
      <c r="X924" s="264" t="str">
        <f t="shared" si="7"/>
        <v/>
      </c>
    </row>
    <row r="925" ht="15.75" customHeight="1">
      <c r="A925" s="258"/>
      <c r="B925" s="258"/>
      <c r="C925" s="269"/>
      <c r="D925" s="258"/>
      <c r="E925" s="258"/>
      <c r="F925" s="258"/>
      <c r="G925" s="258"/>
      <c r="H925" s="271"/>
      <c r="I925" s="258"/>
      <c r="J925" s="272"/>
      <c r="K925" s="260"/>
      <c r="L925" s="261"/>
      <c r="M925" s="262" t="str">
        <f t="shared" si="1"/>
        <v/>
      </c>
      <c r="N925" s="263" t="str">
        <f t="shared" si="2"/>
        <v/>
      </c>
      <c r="O925" s="264" t="str">
        <f t="shared" si="3"/>
        <v/>
      </c>
      <c r="P925" s="265" t="str">
        <f>IFERROR(__xludf.DUMMYFUNCTION("IF(ISBLANK(A925),"""",IFERROR(IF(H925=""Sell"",VLOOKUP(9^99,FILTER({ROW(P$2:P924),P$2:P924},D$2:D924=D925),2),(VLOOKUP(9^99,FILTER({ROW(P$2:P924),P$2:P924},D$2:D924=D925),2)*VLOOKUP(9^99,FILTER({ROW(O$2:O924),O$2:O924},D$2:D924=D925),2)-N925)/O925),J925))"),"")</f>
        <v/>
      </c>
      <c r="Q925" s="264" t="str">
        <f>IFERROR(__xludf.DUMMYFUNCTION("IFERROR(IF(F925=""Crypto"",B925,(IF(ISBLANK(D925),"""",IF(D925=""Cash"",B925,IF(GOOGLEFINANCE(D925,""CURRENCY"")=""GBX"",""GBP"",GOOGLEFINANCE(D925,""CURRENCY"")))))),B925)"),"")</f>
        <v/>
      </c>
      <c r="R925" s="263" t="str">
        <f>IFERROR(__xludf.DUMMYFUNCTION("IF(ISBLANK(A925),"""",IFERROR(IF(OR(Q925=""GPB"",Q925=""ZAR""),IF(Q925=Dashboard!$L$1,K925,(K925*GOOGLEFINANCE(""CURRENCY:""&amp;Q925&amp;""""&amp;Dashboard!$L$1&amp;""""))/100),IF(Q925=Dashboard!$L$1,K925,K925*GOOGLEFINANCE(""CURRENCY:""&amp;Q925&amp;""""&amp;Dashboard!$L$1&amp;"""")))"&amp;",K925))"),"")</f>
        <v/>
      </c>
      <c r="S925" s="266" t="str">
        <f>IFERROR(__xludf.DUMMYFUNCTION("IF(ISBLANK(A925),"""",IFERROR(IF(OR(Q925=""GPB"",Q925=""ZAR""),IF(Q925=Dashboard!$L$1,M925,(M925*GOOGLEFINANCE(""CURRENCY:""&amp;Q925&amp;""""&amp;Dashboard!$L$1&amp;""""))/100),IF(Q925=Dashboard!$L$1,M925,M925*GOOGLEFINANCE(""CURRENCY:""&amp;Q925&amp;""""&amp;Dashboard!$L$1&amp;"""")))"&amp;",M925))"),"")</f>
        <v/>
      </c>
      <c r="T925" s="264" t="str">
        <f t="shared" si="4"/>
        <v/>
      </c>
      <c r="U925" s="264" t="str">
        <f t="shared" si="5"/>
        <v/>
      </c>
      <c r="V925" s="264" t="str">
        <f t="shared" si="6"/>
        <v/>
      </c>
      <c r="W925" s="267" t="str">
        <f t="shared" si="8"/>
        <v/>
      </c>
      <c r="X925" s="264" t="str">
        <f t="shared" si="7"/>
        <v/>
      </c>
    </row>
    <row r="926" ht="15.75" customHeight="1">
      <c r="A926" s="258"/>
      <c r="B926" s="258"/>
      <c r="C926" s="269"/>
      <c r="D926" s="258"/>
      <c r="E926" s="258"/>
      <c r="F926" s="258"/>
      <c r="G926" s="258"/>
      <c r="H926" s="271"/>
      <c r="I926" s="258"/>
      <c r="J926" s="272"/>
      <c r="K926" s="260"/>
      <c r="L926" s="261"/>
      <c r="M926" s="262" t="str">
        <f t="shared" si="1"/>
        <v/>
      </c>
      <c r="N926" s="263" t="str">
        <f t="shared" si="2"/>
        <v/>
      </c>
      <c r="O926" s="264" t="str">
        <f t="shared" si="3"/>
        <v/>
      </c>
      <c r="P926" s="265" t="str">
        <f>IFERROR(__xludf.DUMMYFUNCTION("IF(ISBLANK(A926),"""",IFERROR(IF(H926=""Sell"",VLOOKUP(9^99,FILTER({ROW(P$2:P925),P$2:P925},D$2:D925=D926),2),(VLOOKUP(9^99,FILTER({ROW(P$2:P925),P$2:P925},D$2:D925=D926),2)*VLOOKUP(9^99,FILTER({ROW(O$2:O925),O$2:O925},D$2:D925=D926),2)-N926)/O926),J926))"),"")</f>
        <v/>
      </c>
      <c r="Q926" s="264" t="str">
        <f>IFERROR(__xludf.DUMMYFUNCTION("IFERROR(IF(F926=""Crypto"",B926,(IF(ISBLANK(D926),"""",IF(D926=""Cash"",B926,IF(GOOGLEFINANCE(D926,""CURRENCY"")=""GBX"",""GBP"",GOOGLEFINANCE(D926,""CURRENCY"")))))),B926)"),"")</f>
        <v/>
      </c>
      <c r="R926" s="263" t="str">
        <f>IFERROR(__xludf.DUMMYFUNCTION("IF(ISBLANK(A926),"""",IFERROR(IF(OR(Q926=""GPB"",Q926=""ZAR""),IF(Q926=Dashboard!$L$1,K926,(K926*GOOGLEFINANCE(""CURRENCY:""&amp;Q926&amp;""""&amp;Dashboard!$L$1&amp;""""))/100),IF(Q926=Dashboard!$L$1,K926,K926*GOOGLEFINANCE(""CURRENCY:""&amp;Q926&amp;""""&amp;Dashboard!$L$1&amp;"""")))"&amp;",K926))"),"")</f>
        <v/>
      </c>
      <c r="S926" s="266" t="str">
        <f>IFERROR(__xludf.DUMMYFUNCTION("IF(ISBLANK(A926),"""",IFERROR(IF(OR(Q926=""GPB"",Q926=""ZAR""),IF(Q926=Dashboard!$L$1,M926,(M926*GOOGLEFINANCE(""CURRENCY:""&amp;Q926&amp;""""&amp;Dashboard!$L$1&amp;""""))/100),IF(Q926=Dashboard!$L$1,M926,M926*GOOGLEFINANCE(""CURRENCY:""&amp;Q926&amp;""""&amp;Dashboard!$L$1&amp;"""")))"&amp;",M926))"),"")</f>
        <v/>
      </c>
      <c r="T926" s="264" t="str">
        <f t="shared" si="4"/>
        <v/>
      </c>
      <c r="U926" s="264" t="str">
        <f t="shared" si="5"/>
        <v/>
      </c>
      <c r="V926" s="264" t="str">
        <f t="shared" si="6"/>
        <v/>
      </c>
      <c r="W926" s="267" t="str">
        <f t="shared" si="8"/>
        <v/>
      </c>
      <c r="X926" s="264" t="str">
        <f t="shared" si="7"/>
        <v/>
      </c>
    </row>
    <row r="927" ht="15.75" customHeight="1">
      <c r="A927" s="258"/>
      <c r="B927" s="258"/>
      <c r="C927" s="269"/>
      <c r="D927" s="258"/>
      <c r="E927" s="258"/>
      <c r="F927" s="258"/>
      <c r="G927" s="258"/>
      <c r="H927" s="271"/>
      <c r="I927" s="258"/>
      <c r="J927" s="272"/>
      <c r="K927" s="260"/>
      <c r="L927" s="261"/>
      <c r="M927" s="262" t="str">
        <f t="shared" si="1"/>
        <v/>
      </c>
      <c r="N927" s="263" t="str">
        <f t="shared" si="2"/>
        <v/>
      </c>
      <c r="O927" s="264" t="str">
        <f t="shared" si="3"/>
        <v/>
      </c>
      <c r="P927" s="265" t="str">
        <f>IFERROR(__xludf.DUMMYFUNCTION("IF(ISBLANK(A927),"""",IFERROR(IF(H927=""Sell"",VLOOKUP(9^99,FILTER({ROW(P$2:P926),P$2:P926},D$2:D926=D927),2),(VLOOKUP(9^99,FILTER({ROW(P$2:P926),P$2:P926},D$2:D926=D927),2)*VLOOKUP(9^99,FILTER({ROW(O$2:O926),O$2:O926},D$2:D926=D927),2)-N927)/O927),J927))"),"")</f>
        <v/>
      </c>
      <c r="Q927" s="264" t="str">
        <f>IFERROR(__xludf.DUMMYFUNCTION("IFERROR(IF(F927=""Crypto"",B927,(IF(ISBLANK(D927),"""",IF(D927=""Cash"",B927,IF(GOOGLEFINANCE(D927,""CURRENCY"")=""GBX"",""GBP"",GOOGLEFINANCE(D927,""CURRENCY"")))))),B927)"),"")</f>
        <v/>
      </c>
      <c r="R927" s="263" t="str">
        <f>IFERROR(__xludf.DUMMYFUNCTION("IF(ISBLANK(A927),"""",IFERROR(IF(OR(Q927=""GPB"",Q927=""ZAR""),IF(Q927=Dashboard!$L$1,K927,(K927*GOOGLEFINANCE(""CURRENCY:""&amp;Q927&amp;""""&amp;Dashboard!$L$1&amp;""""))/100),IF(Q927=Dashboard!$L$1,K927,K927*GOOGLEFINANCE(""CURRENCY:""&amp;Q927&amp;""""&amp;Dashboard!$L$1&amp;"""")))"&amp;",K927))"),"")</f>
        <v/>
      </c>
      <c r="S927" s="266" t="str">
        <f>IFERROR(__xludf.DUMMYFUNCTION("IF(ISBLANK(A927),"""",IFERROR(IF(OR(Q927=""GPB"",Q927=""ZAR""),IF(Q927=Dashboard!$L$1,M927,(M927*GOOGLEFINANCE(""CURRENCY:""&amp;Q927&amp;""""&amp;Dashboard!$L$1&amp;""""))/100),IF(Q927=Dashboard!$L$1,M927,M927*GOOGLEFINANCE(""CURRENCY:""&amp;Q927&amp;""""&amp;Dashboard!$L$1&amp;"""")))"&amp;",M927))"),"")</f>
        <v/>
      </c>
      <c r="T927" s="264" t="str">
        <f t="shared" si="4"/>
        <v/>
      </c>
      <c r="U927" s="264" t="str">
        <f t="shared" si="5"/>
        <v/>
      </c>
      <c r="V927" s="264" t="str">
        <f t="shared" si="6"/>
        <v/>
      </c>
      <c r="W927" s="267" t="str">
        <f t="shared" si="8"/>
        <v/>
      </c>
      <c r="X927" s="264" t="str">
        <f t="shared" si="7"/>
        <v/>
      </c>
    </row>
    <row r="928" ht="15.75" customHeight="1">
      <c r="A928" s="258"/>
      <c r="B928" s="258"/>
      <c r="C928" s="269"/>
      <c r="D928" s="258"/>
      <c r="E928" s="258"/>
      <c r="F928" s="258"/>
      <c r="G928" s="258"/>
      <c r="H928" s="271"/>
      <c r="I928" s="258"/>
      <c r="J928" s="272"/>
      <c r="K928" s="260"/>
      <c r="L928" s="261"/>
      <c r="M928" s="262" t="str">
        <f t="shared" si="1"/>
        <v/>
      </c>
      <c r="N928" s="263" t="str">
        <f t="shared" si="2"/>
        <v/>
      </c>
      <c r="O928" s="264" t="str">
        <f t="shared" si="3"/>
        <v/>
      </c>
      <c r="P928" s="265" t="str">
        <f>IFERROR(__xludf.DUMMYFUNCTION("IF(ISBLANK(A928),"""",IFERROR(IF(H928=""Sell"",VLOOKUP(9^99,FILTER({ROW(P$2:P927),P$2:P927},D$2:D927=D928),2),(VLOOKUP(9^99,FILTER({ROW(P$2:P927),P$2:P927},D$2:D927=D928),2)*VLOOKUP(9^99,FILTER({ROW(O$2:O927),O$2:O927},D$2:D927=D928),2)-N928)/O928),J928))"),"")</f>
        <v/>
      </c>
      <c r="Q928" s="264" t="str">
        <f>IFERROR(__xludf.DUMMYFUNCTION("IFERROR(IF(F928=""Crypto"",B928,(IF(ISBLANK(D928),"""",IF(D928=""Cash"",B928,IF(GOOGLEFINANCE(D928,""CURRENCY"")=""GBX"",""GBP"",GOOGLEFINANCE(D928,""CURRENCY"")))))),B928)"),"")</f>
        <v/>
      </c>
      <c r="R928" s="263" t="str">
        <f>IFERROR(__xludf.DUMMYFUNCTION("IF(ISBLANK(A928),"""",IFERROR(IF(OR(Q928=""GPB"",Q928=""ZAR""),IF(Q928=Dashboard!$L$1,K928,(K928*GOOGLEFINANCE(""CURRENCY:""&amp;Q928&amp;""""&amp;Dashboard!$L$1&amp;""""))/100),IF(Q928=Dashboard!$L$1,K928,K928*GOOGLEFINANCE(""CURRENCY:""&amp;Q928&amp;""""&amp;Dashboard!$L$1&amp;"""")))"&amp;",K928))"),"")</f>
        <v/>
      </c>
      <c r="S928" s="266" t="str">
        <f>IFERROR(__xludf.DUMMYFUNCTION("IF(ISBLANK(A928),"""",IFERROR(IF(OR(Q928=""GPB"",Q928=""ZAR""),IF(Q928=Dashboard!$L$1,M928,(M928*GOOGLEFINANCE(""CURRENCY:""&amp;Q928&amp;""""&amp;Dashboard!$L$1&amp;""""))/100),IF(Q928=Dashboard!$L$1,M928,M928*GOOGLEFINANCE(""CURRENCY:""&amp;Q928&amp;""""&amp;Dashboard!$L$1&amp;"""")))"&amp;",M928))"),"")</f>
        <v/>
      </c>
      <c r="T928" s="264" t="str">
        <f t="shared" si="4"/>
        <v/>
      </c>
      <c r="U928" s="264" t="str">
        <f t="shared" si="5"/>
        <v/>
      </c>
      <c r="V928" s="264" t="str">
        <f t="shared" si="6"/>
        <v/>
      </c>
      <c r="W928" s="267" t="str">
        <f t="shared" si="8"/>
        <v/>
      </c>
      <c r="X928" s="264" t="str">
        <f t="shared" si="7"/>
        <v/>
      </c>
    </row>
    <row r="929" ht="15.75" customHeight="1">
      <c r="A929" s="258"/>
      <c r="B929" s="258"/>
      <c r="C929" s="269"/>
      <c r="D929" s="258"/>
      <c r="E929" s="258"/>
      <c r="F929" s="258"/>
      <c r="G929" s="258"/>
      <c r="H929" s="271"/>
      <c r="I929" s="258"/>
      <c r="J929" s="272"/>
      <c r="K929" s="260"/>
      <c r="L929" s="261"/>
      <c r="M929" s="262" t="str">
        <f t="shared" si="1"/>
        <v/>
      </c>
      <c r="N929" s="263" t="str">
        <f t="shared" si="2"/>
        <v/>
      </c>
      <c r="O929" s="264" t="str">
        <f t="shared" si="3"/>
        <v/>
      </c>
      <c r="P929" s="265" t="str">
        <f>IFERROR(__xludf.DUMMYFUNCTION("IF(ISBLANK(A929),"""",IFERROR(IF(H929=""Sell"",VLOOKUP(9^99,FILTER({ROW(P$2:P928),P$2:P928},D$2:D928=D929),2),(VLOOKUP(9^99,FILTER({ROW(P$2:P928),P$2:P928},D$2:D928=D929),2)*VLOOKUP(9^99,FILTER({ROW(O$2:O928),O$2:O928},D$2:D928=D929),2)-N929)/O929),J929))"),"")</f>
        <v/>
      </c>
      <c r="Q929" s="264" t="str">
        <f>IFERROR(__xludf.DUMMYFUNCTION("IFERROR(IF(F929=""Crypto"",B929,(IF(ISBLANK(D929),"""",IF(D929=""Cash"",B929,IF(GOOGLEFINANCE(D929,""CURRENCY"")=""GBX"",""GBP"",GOOGLEFINANCE(D929,""CURRENCY"")))))),B929)"),"")</f>
        <v/>
      </c>
      <c r="R929" s="263" t="str">
        <f>IFERROR(__xludf.DUMMYFUNCTION("IF(ISBLANK(A929),"""",IFERROR(IF(OR(Q929=""GPB"",Q929=""ZAR""),IF(Q929=Dashboard!$L$1,K929,(K929*GOOGLEFINANCE(""CURRENCY:""&amp;Q929&amp;""""&amp;Dashboard!$L$1&amp;""""))/100),IF(Q929=Dashboard!$L$1,K929,K929*GOOGLEFINANCE(""CURRENCY:""&amp;Q929&amp;""""&amp;Dashboard!$L$1&amp;"""")))"&amp;",K929))"),"")</f>
        <v/>
      </c>
      <c r="S929" s="266" t="str">
        <f>IFERROR(__xludf.DUMMYFUNCTION("IF(ISBLANK(A929),"""",IFERROR(IF(OR(Q929=""GPB"",Q929=""ZAR""),IF(Q929=Dashboard!$L$1,M929,(M929*GOOGLEFINANCE(""CURRENCY:""&amp;Q929&amp;""""&amp;Dashboard!$L$1&amp;""""))/100),IF(Q929=Dashboard!$L$1,M929,M929*GOOGLEFINANCE(""CURRENCY:""&amp;Q929&amp;""""&amp;Dashboard!$L$1&amp;"""")))"&amp;",M929))"),"")</f>
        <v/>
      </c>
      <c r="T929" s="264" t="str">
        <f t="shared" si="4"/>
        <v/>
      </c>
      <c r="U929" s="264" t="str">
        <f t="shared" si="5"/>
        <v/>
      </c>
      <c r="V929" s="264" t="str">
        <f t="shared" si="6"/>
        <v/>
      </c>
      <c r="W929" s="267" t="str">
        <f t="shared" si="8"/>
        <v/>
      </c>
      <c r="X929" s="264" t="str">
        <f t="shared" si="7"/>
        <v/>
      </c>
    </row>
    <row r="930" ht="15.75" customHeight="1">
      <c r="A930" s="258"/>
      <c r="B930" s="258"/>
      <c r="C930" s="269"/>
      <c r="D930" s="258"/>
      <c r="E930" s="258"/>
      <c r="F930" s="258"/>
      <c r="G930" s="258"/>
      <c r="H930" s="271"/>
      <c r="I930" s="258"/>
      <c r="J930" s="272"/>
      <c r="K930" s="260"/>
      <c r="L930" s="261"/>
      <c r="M930" s="262" t="str">
        <f t="shared" si="1"/>
        <v/>
      </c>
      <c r="N930" s="263" t="str">
        <f t="shared" si="2"/>
        <v/>
      </c>
      <c r="O930" s="264" t="str">
        <f t="shared" si="3"/>
        <v/>
      </c>
      <c r="P930" s="265" t="str">
        <f>IFERROR(__xludf.DUMMYFUNCTION("IF(ISBLANK(A930),"""",IFERROR(IF(H930=""Sell"",VLOOKUP(9^99,FILTER({ROW(P$2:P929),P$2:P929},D$2:D929=D930),2),(VLOOKUP(9^99,FILTER({ROW(P$2:P929),P$2:P929},D$2:D929=D930),2)*VLOOKUP(9^99,FILTER({ROW(O$2:O929),O$2:O929},D$2:D929=D930),2)-N930)/O930),J930))"),"")</f>
        <v/>
      </c>
      <c r="Q930" s="264" t="str">
        <f>IFERROR(__xludf.DUMMYFUNCTION("IFERROR(IF(F930=""Crypto"",B930,(IF(ISBLANK(D930),"""",IF(D930=""Cash"",B930,IF(GOOGLEFINANCE(D930,""CURRENCY"")=""GBX"",""GBP"",GOOGLEFINANCE(D930,""CURRENCY"")))))),B930)"),"")</f>
        <v/>
      </c>
      <c r="R930" s="263" t="str">
        <f>IFERROR(__xludf.DUMMYFUNCTION("IF(ISBLANK(A930),"""",IFERROR(IF(OR(Q930=""GPB"",Q930=""ZAR""),IF(Q930=Dashboard!$L$1,K930,(K930*GOOGLEFINANCE(""CURRENCY:""&amp;Q930&amp;""""&amp;Dashboard!$L$1&amp;""""))/100),IF(Q930=Dashboard!$L$1,K930,K930*GOOGLEFINANCE(""CURRENCY:""&amp;Q930&amp;""""&amp;Dashboard!$L$1&amp;"""")))"&amp;",K930))"),"")</f>
        <v/>
      </c>
      <c r="S930" s="266" t="str">
        <f>IFERROR(__xludf.DUMMYFUNCTION("IF(ISBLANK(A930),"""",IFERROR(IF(OR(Q930=""GPB"",Q930=""ZAR""),IF(Q930=Dashboard!$L$1,M930,(M930*GOOGLEFINANCE(""CURRENCY:""&amp;Q930&amp;""""&amp;Dashboard!$L$1&amp;""""))/100),IF(Q930=Dashboard!$L$1,M930,M930*GOOGLEFINANCE(""CURRENCY:""&amp;Q930&amp;""""&amp;Dashboard!$L$1&amp;"""")))"&amp;",M930))"),"")</f>
        <v/>
      </c>
      <c r="T930" s="264" t="str">
        <f t="shared" si="4"/>
        <v/>
      </c>
      <c r="U930" s="264" t="str">
        <f t="shared" si="5"/>
        <v/>
      </c>
      <c r="V930" s="264" t="str">
        <f t="shared" si="6"/>
        <v/>
      </c>
      <c r="W930" s="267" t="str">
        <f t="shared" si="8"/>
        <v/>
      </c>
      <c r="X930" s="264" t="str">
        <f t="shared" si="7"/>
        <v/>
      </c>
    </row>
    <row r="931" ht="15.75" customHeight="1">
      <c r="A931" s="258"/>
      <c r="B931" s="258"/>
      <c r="C931" s="269"/>
      <c r="D931" s="258"/>
      <c r="E931" s="258"/>
      <c r="F931" s="258"/>
      <c r="G931" s="258"/>
      <c r="H931" s="271"/>
      <c r="I931" s="258"/>
      <c r="J931" s="272"/>
      <c r="K931" s="260"/>
      <c r="L931" s="261"/>
      <c r="M931" s="262" t="str">
        <f t="shared" si="1"/>
        <v/>
      </c>
      <c r="N931" s="263" t="str">
        <f t="shared" si="2"/>
        <v/>
      </c>
      <c r="O931" s="264" t="str">
        <f t="shared" si="3"/>
        <v/>
      </c>
      <c r="P931" s="265" t="str">
        <f>IFERROR(__xludf.DUMMYFUNCTION("IF(ISBLANK(A931),"""",IFERROR(IF(H931=""Sell"",VLOOKUP(9^99,FILTER({ROW(P$2:P930),P$2:P930},D$2:D930=D931),2),(VLOOKUP(9^99,FILTER({ROW(P$2:P930),P$2:P930},D$2:D930=D931),2)*VLOOKUP(9^99,FILTER({ROW(O$2:O930),O$2:O930},D$2:D930=D931),2)-N931)/O931),J931))"),"")</f>
        <v/>
      </c>
      <c r="Q931" s="264" t="str">
        <f>IFERROR(__xludf.DUMMYFUNCTION("IFERROR(IF(F931=""Crypto"",B931,(IF(ISBLANK(D931),"""",IF(D931=""Cash"",B931,IF(GOOGLEFINANCE(D931,""CURRENCY"")=""GBX"",""GBP"",GOOGLEFINANCE(D931,""CURRENCY"")))))),B931)"),"")</f>
        <v/>
      </c>
      <c r="R931" s="263" t="str">
        <f>IFERROR(__xludf.DUMMYFUNCTION("IF(ISBLANK(A931),"""",IFERROR(IF(OR(Q931=""GPB"",Q931=""ZAR""),IF(Q931=Dashboard!$L$1,K931,(K931*GOOGLEFINANCE(""CURRENCY:""&amp;Q931&amp;""""&amp;Dashboard!$L$1&amp;""""))/100),IF(Q931=Dashboard!$L$1,K931,K931*GOOGLEFINANCE(""CURRENCY:""&amp;Q931&amp;""""&amp;Dashboard!$L$1&amp;"""")))"&amp;",K931))"),"")</f>
        <v/>
      </c>
      <c r="S931" s="266" t="str">
        <f>IFERROR(__xludf.DUMMYFUNCTION("IF(ISBLANK(A931),"""",IFERROR(IF(OR(Q931=""GPB"",Q931=""ZAR""),IF(Q931=Dashboard!$L$1,M931,(M931*GOOGLEFINANCE(""CURRENCY:""&amp;Q931&amp;""""&amp;Dashboard!$L$1&amp;""""))/100),IF(Q931=Dashboard!$L$1,M931,M931*GOOGLEFINANCE(""CURRENCY:""&amp;Q931&amp;""""&amp;Dashboard!$L$1&amp;"""")))"&amp;",M931))"),"")</f>
        <v/>
      </c>
      <c r="T931" s="264" t="str">
        <f t="shared" si="4"/>
        <v/>
      </c>
      <c r="U931" s="264" t="str">
        <f t="shared" si="5"/>
        <v/>
      </c>
      <c r="V931" s="264" t="str">
        <f t="shared" si="6"/>
        <v/>
      </c>
      <c r="W931" s="267" t="str">
        <f t="shared" si="8"/>
        <v/>
      </c>
      <c r="X931" s="264" t="str">
        <f t="shared" si="7"/>
        <v/>
      </c>
    </row>
    <row r="932" ht="15.75" customHeight="1">
      <c r="A932" s="258"/>
      <c r="B932" s="258"/>
      <c r="C932" s="269"/>
      <c r="D932" s="258"/>
      <c r="E932" s="258"/>
      <c r="F932" s="258"/>
      <c r="G932" s="258"/>
      <c r="H932" s="271"/>
      <c r="I932" s="258"/>
      <c r="J932" s="272"/>
      <c r="K932" s="260"/>
      <c r="L932" s="261"/>
      <c r="M932" s="262" t="str">
        <f t="shared" si="1"/>
        <v/>
      </c>
      <c r="N932" s="263" t="str">
        <f t="shared" si="2"/>
        <v/>
      </c>
      <c r="O932" s="264" t="str">
        <f t="shared" si="3"/>
        <v/>
      </c>
      <c r="P932" s="265" t="str">
        <f>IFERROR(__xludf.DUMMYFUNCTION("IF(ISBLANK(A932),"""",IFERROR(IF(H932=""Sell"",VLOOKUP(9^99,FILTER({ROW(P$2:P931),P$2:P931},D$2:D931=D932),2),(VLOOKUP(9^99,FILTER({ROW(P$2:P931),P$2:P931},D$2:D931=D932),2)*VLOOKUP(9^99,FILTER({ROW(O$2:O931),O$2:O931},D$2:D931=D932),2)-N932)/O932),J932))"),"")</f>
        <v/>
      </c>
      <c r="Q932" s="264" t="str">
        <f>IFERROR(__xludf.DUMMYFUNCTION("IFERROR(IF(F932=""Crypto"",B932,(IF(ISBLANK(D932),"""",IF(D932=""Cash"",B932,IF(GOOGLEFINANCE(D932,""CURRENCY"")=""GBX"",""GBP"",GOOGLEFINANCE(D932,""CURRENCY"")))))),B932)"),"")</f>
        <v/>
      </c>
      <c r="R932" s="263" t="str">
        <f>IFERROR(__xludf.DUMMYFUNCTION("IF(ISBLANK(A932),"""",IFERROR(IF(OR(Q932=""GPB"",Q932=""ZAR""),IF(Q932=Dashboard!$L$1,K932,(K932*GOOGLEFINANCE(""CURRENCY:""&amp;Q932&amp;""""&amp;Dashboard!$L$1&amp;""""))/100),IF(Q932=Dashboard!$L$1,K932,K932*GOOGLEFINANCE(""CURRENCY:""&amp;Q932&amp;""""&amp;Dashboard!$L$1&amp;"""")))"&amp;",K932))"),"")</f>
        <v/>
      </c>
      <c r="S932" s="266" t="str">
        <f>IFERROR(__xludf.DUMMYFUNCTION("IF(ISBLANK(A932),"""",IFERROR(IF(OR(Q932=""GPB"",Q932=""ZAR""),IF(Q932=Dashboard!$L$1,M932,(M932*GOOGLEFINANCE(""CURRENCY:""&amp;Q932&amp;""""&amp;Dashboard!$L$1&amp;""""))/100),IF(Q932=Dashboard!$L$1,M932,M932*GOOGLEFINANCE(""CURRENCY:""&amp;Q932&amp;""""&amp;Dashboard!$L$1&amp;"""")))"&amp;",M932))"),"")</f>
        <v/>
      </c>
      <c r="T932" s="264" t="str">
        <f t="shared" si="4"/>
        <v/>
      </c>
      <c r="U932" s="264" t="str">
        <f t="shared" si="5"/>
        <v/>
      </c>
      <c r="V932" s="264" t="str">
        <f t="shared" si="6"/>
        <v/>
      </c>
      <c r="W932" s="267" t="str">
        <f t="shared" si="8"/>
        <v/>
      </c>
      <c r="X932" s="264" t="str">
        <f t="shared" si="7"/>
        <v/>
      </c>
    </row>
    <row r="933" ht="15.75" customHeight="1">
      <c r="A933" s="258"/>
      <c r="B933" s="258"/>
      <c r="C933" s="269"/>
      <c r="D933" s="258"/>
      <c r="E933" s="258"/>
      <c r="F933" s="258"/>
      <c r="G933" s="258"/>
      <c r="H933" s="271"/>
      <c r="I933" s="258"/>
      <c r="J933" s="272"/>
      <c r="K933" s="260"/>
      <c r="L933" s="261"/>
      <c r="M933" s="262" t="str">
        <f t="shared" si="1"/>
        <v/>
      </c>
      <c r="N933" s="263" t="str">
        <f t="shared" si="2"/>
        <v/>
      </c>
      <c r="O933" s="264" t="str">
        <f t="shared" si="3"/>
        <v/>
      </c>
      <c r="P933" s="265" t="str">
        <f>IFERROR(__xludf.DUMMYFUNCTION("IF(ISBLANK(A933),"""",IFERROR(IF(H933=""Sell"",VLOOKUP(9^99,FILTER({ROW(P$2:P932),P$2:P932},D$2:D932=D933),2),(VLOOKUP(9^99,FILTER({ROW(P$2:P932),P$2:P932},D$2:D932=D933),2)*VLOOKUP(9^99,FILTER({ROW(O$2:O932),O$2:O932},D$2:D932=D933),2)-N933)/O933),J933))"),"")</f>
        <v/>
      </c>
      <c r="Q933" s="264" t="str">
        <f>IFERROR(__xludf.DUMMYFUNCTION("IFERROR(IF(F933=""Crypto"",B933,(IF(ISBLANK(D933),"""",IF(D933=""Cash"",B933,IF(GOOGLEFINANCE(D933,""CURRENCY"")=""GBX"",""GBP"",GOOGLEFINANCE(D933,""CURRENCY"")))))),B933)"),"")</f>
        <v/>
      </c>
      <c r="R933" s="263" t="str">
        <f>IFERROR(__xludf.DUMMYFUNCTION("IF(ISBLANK(A933),"""",IFERROR(IF(OR(Q933=""GPB"",Q933=""ZAR""),IF(Q933=Dashboard!$L$1,K933,(K933*GOOGLEFINANCE(""CURRENCY:""&amp;Q933&amp;""""&amp;Dashboard!$L$1&amp;""""))/100),IF(Q933=Dashboard!$L$1,K933,K933*GOOGLEFINANCE(""CURRENCY:""&amp;Q933&amp;""""&amp;Dashboard!$L$1&amp;"""")))"&amp;",K933))"),"")</f>
        <v/>
      </c>
      <c r="S933" s="266" t="str">
        <f>IFERROR(__xludf.DUMMYFUNCTION("IF(ISBLANK(A933),"""",IFERROR(IF(OR(Q933=""GPB"",Q933=""ZAR""),IF(Q933=Dashboard!$L$1,M933,(M933*GOOGLEFINANCE(""CURRENCY:""&amp;Q933&amp;""""&amp;Dashboard!$L$1&amp;""""))/100),IF(Q933=Dashboard!$L$1,M933,M933*GOOGLEFINANCE(""CURRENCY:""&amp;Q933&amp;""""&amp;Dashboard!$L$1&amp;"""")))"&amp;",M933))"),"")</f>
        <v/>
      </c>
      <c r="T933" s="264" t="str">
        <f t="shared" si="4"/>
        <v/>
      </c>
      <c r="U933" s="264" t="str">
        <f t="shared" si="5"/>
        <v/>
      </c>
      <c r="V933" s="264" t="str">
        <f t="shared" si="6"/>
        <v/>
      </c>
      <c r="W933" s="267" t="str">
        <f t="shared" si="8"/>
        <v/>
      </c>
      <c r="X933" s="264" t="str">
        <f t="shared" si="7"/>
        <v/>
      </c>
    </row>
    <row r="934" ht="15.75" customHeight="1">
      <c r="A934" s="258"/>
      <c r="B934" s="258"/>
      <c r="C934" s="269"/>
      <c r="D934" s="258"/>
      <c r="E934" s="258"/>
      <c r="F934" s="258"/>
      <c r="G934" s="258"/>
      <c r="H934" s="271"/>
      <c r="I934" s="258"/>
      <c r="J934" s="272"/>
      <c r="K934" s="260"/>
      <c r="L934" s="261"/>
      <c r="M934" s="262" t="str">
        <f t="shared" si="1"/>
        <v/>
      </c>
      <c r="N934" s="263" t="str">
        <f t="shared" si="2"/>
        <v/>
      </c>
      <c r="O934" s="264" t="str">
        <f t="shared" si="3"/>
        <v/>
      </c>
      <c r="P934" s="265" t="str">
        <f>IFERROR(__xludf.DUMMYFUNCTION("IF(ISBLANK(A934),"""",IFERROR(IF(H934=""Sell"",VLOOKUP(9^99,FILTER({ROW(P$2:P933),P$2:P933},D$2:D933=D934),2),(VLOOKUP(9^99,FILTER({ROW(P$2:P933),P$2:P933},D$2:D933=D934),2)*VLOOKUP(9^99,FILTER({ROW(O$2:O933),O$2:O933},D$2:D933=D934),2)-N934)/O934),J934))"),"")</f>
        <v/>
      </c>
      <c r="Q934" s="264" t="str">
        <f>IFERROR(__xludf.DUMMYFUNCTION("IFERROR(IF(F934=""Crypto"",B934,(IF(ISBLANK(D934),"""",IF(D934=""Cash"",B934,IF(GOOGLEFINANCE(D934,""CURRENCY"")=""GBX"",""GBP"",GOOGLEFINANCE(D934,""CURRENCY"")))))),B934)"),"")</f>
        <v/>
      </c>
      <c r="R934" s="263" t="str">
        <f>IFERROR(__xludf.DUMMYFUNCTION("IF(ISBLANK(A934),"""",IFERROR(IF(OR(Q934=""GPB"",Q934=""ZAR""),IF(Q934=Dashboard!$L$1,K934,(K934*GOOGLEFINANCE(""CURRENCY:""&amp;Q934&amp;""""&amp;Dashboard!$L$1&amp;""""))/100),IF(Q934=Dashboard!$L$1,K934,K934*GOOGLEFINANCE(""CURRENCY:""&amp;Q934&amp;""""&amp;Dashboard!$L$1&amp;"""")))"&amp;",K934))"),"")</f>
        <v/>
      </c>
      <c r="S934" s="266" t="str">
        <f>IFERROR(__xludf.DUMMYFUNCTION("IF(ISBLANK(A934),"""",IFERROR(IF(OR(Q934=""GPB"",Q934=""ZAR""),IF(Q934=Dashboard!$L$1,M934,(M934*GOOGLEFINANCE(""CURRENCY:""&amp;Q934&amp;""""&amp;Dashboard!$L$1&amp;""""))/100),IF(Q934=Dashboard!$L$1,M934,M934*GOOGLEFINANCE(""CURRENCY:""&amp;Q934&amp;""""&amp;Dashboard!$L$1&amp;"""")))"&amp;",M934))"),"")</f>
        <v/>
      </c>
      <c r="T934" s="264" t="str">
        <f t="shared" si="4"/>
        <v/>
      </c>
      <c r="U934" s="264" t="str">
        <f t="shared" si="5"/>
        <v/>
      </c>
      <c r="V934" s="264" t="str">
        <f t="shared" si="6"/>
        <v/>
      </c>
      <c r="W934" s="267" t="str">
        <f t="shared" si="8"/>
        <v/>
      </c>
      <c r="X934" s="264" t="str">
        <f t="shared" si="7"/>
        <v/>
      </c>
    </row>
    <row r="935" ht="15.75" customHeight="1">
      <c r="A935" s="258"/>
      <c r="B935" s="258"/>
      <c r="C935" s="269"/>
      <c r="D935" s="258"/>
      <c r="E935" s="258"/>
      <c r="F935" s="258"/>
      <c r="G935" s="258"/>
      <c r="H935" s="271"/>
      <c r="I935" s="258"/>
      <c r="J935" s="272"/>
      <c r="K935" s="260"/>
      <c r="L935" s="261"/>
      <c r="M935" s="262" t="str">
        <f t="shared" si="1"/>
        <v/>
      </c>
      <c r="N935" s="263" t="str">
        <f t="shared" si="2"/>
        <v/>
      </c>
      <c r="O935" s="264" t="str">
        <f t="shared" si="3"/>
        <v/>
      </c>
      <c r="P935" s="265" t="str">
        <f>IFERROR(__xludf.DUMMYFUNCTION("IF(ISBLANK(A935),"""",IFERROR(IF(H935=""Sell"",VLOOKUP(9^99,FILTER({ROW(P$2:P934),P$2:P934},D$2:D934=D935),2),(VLOOKUP(9^99,FILTER({ROW(P$2:P934),P$2:P934},D$2:D934=D935),2)*VLOOKUP(9^99,FILTER({ROW(O$2:O934),O$2:O934},D$2:D934=D935),2)-N935)/O935),J935))"),"")</f>
        <v/>
      </c>
      <c r="Q935" s="264" t="str">
        <f>IFERROR(__xludf.DUMMYFUNCTION("IFERROR(IF(F935=""Crypto"",B935,(IF(ISBLANK(D935),"""",IF(D935=""Cash"",B935,IF(GOOGLEFINANCE(D935,""CURRENCY"")=""GBX"",""GBP"",GOOGLEFINANCE(D935,""CURRENCY"")))))),B935)"),"")</f>
        <v/>
      </c>
      <c r="R935" s="263" t="str">
        <f>IFERROR(__xludf.DUMMYFUNCTION("IF(ISBLANK(A935),"""",IFERROR(IF(OR(Q935=""GPB"",Q935=""ZAR""),IF(Q935=Dashboard!$L$1,K935,(K935*GOOGLEFINANCE(""CURRENCY:""&amp;Q935&amp;""""&amp;Dashboard!$L$1&amp;""""))/100),IF(Q935=Dashboard!$L$1,K935,K935*GOOGLEFINANCE(""CURRENCY:""&amp;Q935&amp;""""&amp;Dashboard!$L$1&amp;"""")))"&amp;",K935))"),"")</f>
        <v/>
      </c>
      <c r="S935" s="266" t="str">
        <f>IFERROR(__xludf.DUMMYFUNCTION("IF(ISBLANK(A935),"""",IFERROR(IF(OR(Q935=""GPB"",Q935=""ZAR""),IF(Q935=Dashboard!$L$1,M935,(M935*GOOGLEFINANCE(""CURRENCY:""&amp;Q935&amp;""""&amp;Dashboard!$L$1&amp;""""))/100),IF(Q935=Dashboard!$L$1,M935,M935*GOOGLEFINANCE(""CURRENCY:""&amp;Q935&amp;""""&amp;Dashboard!$L$1&amp;"""")))"&amp;",M935))"),"")</f>
        <v/>
      </c>
      <c r="T935" s="264" t="str">
        <f t="shared" si="4"/>
        <v/>
      </c>
      <c r="U935" s="264" t="str">
        <f t="shared" si="5"/>
        <v/>
      </c>
      <c r="V935" s="264" t="str">
        <f t="shared" si="6"/>
        <v/>
      </c>
      <c r="W935" s="267" t="str">
        <f t="shared" si="8"/>
        <v/>
      </c>
      <c r="X935" s="264" t="str">
        <f t="shared" si="7"/>
        <v/>
      </c>
    </row>
    <row r="936" ht="15.75" customHeight="1">
      <c r="A936" s="258"/>
      <c r="B936" s="258"/>
      <c r="C936" s="269"/>
      <c r="D936" s="258"/>
      <c r="E936" s="258"/>
      <c r="F936" s="258"/>
      <c r="G936" s="258"/>
      <c r="H936" s="271"/>
      <c r="I936" s="258"/>
      <c r="J936" s="272"/>
      <c r="K936" s="260"/>
      <c r="L936" s="261"/>
      <c r="M936" s="262" t="str">
        <f t="shared" si="1"/>
        <v/>
      </c>
      <c r="N936" s="263" t="str">
        <f t="shared" si="2"/>
        <v/>
      </c>
      <c r="O936" s="264" t="str">
        <f t="shared" si="3"/>
        <v/>
      </c>
      <c r="P936" s="265" t="str">
        <f>IFERROR(__xludf.DUMMYFUNCTION("IF(ISBLANK(A936),"""",IFERROR(IF(H936=""Sell"",VLOOKUP(9^99,FILTER({ROW(P$2:P935),P$2:P935},D$2:D935=D936),2),(VLOOKUP(9^99,FILTER({ROW(P$2:P935),P$2:P935},D$2:D935=D936),2)*VLOOKUP(9^99,FILTER({ROW(O$2:O935),O$2:O935},D$2:D935=D936),2)-N936)/O936),J936))"),"")</f>
        <v/>
      </c>
      <c r="Q936" s="264" t="str">
        <f>IFERROR(__xludf.DUMMYFUNCTION("IFERROR(IF(F936=""Crypto"",B936,(IF(ISBLANK(D936),"""",IF(D936=""Cash"",B936,IF(GOOGLEFINANCE(D936,""CURRENCY"")=""GBX"",""GBP"",GOOGLEFINANCE(D936,""CURRENCY"")))))),B936)"),"")</f>
        <v/>
      </c>
      <c r="R936" s="263" t="str">
        <f>IFERROR(__xludf.DUMMYFUNCTION("IF(ISBLANK(A936),"""",IFERROR(IF(OR(Q936=""GPB"",Q936=""ZAR""),IF(Q936=Dashboard!$L$1,K936,(K936*GOOGLEFINANCE(""CURRENCY:""&amp;Q936&amp;""""&amp;Dashboard!$L$1&amp;""""))/100),IF(Q936=Dashboard!$L$1,K936,K936*GOOGLEFINANCE(""CURRENCY:""&amp;Q936&amp;""""&amp;Dashboard!$L$1&amp;"""")))"&amp;",K936))"),"")</f>
        <v/>
      </c>
      <c r="S936" s="266" t="str">
        <f>IFERROR(__xludf.DUMMYFUNCTION("IF(ISBLANK(A936),"""",IFERROR(IF(OR(Q936=""GPB"",Q936=""ZAR""),IF(Q936=Dashboard!$L$1,M936,(M936*GOOGLEFINANCE(""CURRENCY:""&amp;Q936&amp;""""&amp;Dashboard!$L$1&amp;""""))/100),IF(Q936=Dashboard!$L$1,M936,M936*GOOGLEFINANCE(""CURRENCY:""&amp;Q936&amp;""""&amp;Dashboard!$L$1&amp;"""")))"&amp;",M936))"),"")</f>
        <v/>
      </c>
      <c r="T936" s="264" t="str">
        <f t="shared" si="4"/>
        <v/>
      </c>
      <c r="U936" s="264" t="str">
        <f t="shared" si="5"/>
        <v/>
      </c>
      <c r="V936" s="264" t="str">
        <f t="shared" si="6"/>
        <v/>
      </c>
      <c r="W936" s="267" t="str">
        <f t="shared" si="8"/>
        <v/>
      </c>
      <c r="X936" s="264" t="str">
        <f t="shared" si="7"/>
        <v/>
      </c>
    </row>
    <row r="937" ht="15.75" customHeight="1">
      <c r="A937" s="258"/>
      <c r="B937" s="258"/>
      <c r="C937" s="269"/>
      <c r="D937" s="258"/>
      <c r="E937" s="258"/>
      <c r="F937" s="258"/>
      <c r="G937" s="258"/>
      <c r="H937" s="271"/>
      <c r="I937" s="258"/>
      <c r="J937" s="272"/>
      <c r="K937" s="260"/>
      <c r="L937" s="261"/>
      <c r="M937" s="262" t="str">
        <f t="shared" si="1"/>
        <v/>
      </c>
      <c r="N937" s="263" t="str">
        <f t="shared" si="2"/>
        <v/>
      </c>
      <c r="O937" s="264" t="str">
        <f t="shared" si="3"/>
        <v/>
      </c>
      <c r="P937" s="265" t="str">
        <f>IFERROR(__xludf.DUMMYFUNCTION("IF(ISBLANK(A937),"""",IFERROR(IF(H937=""Sell"",VLOOKUP(9^99,FILTER({ROW(P$2:P936),P$2:P936},D$2:D936=D937),2),(VLOOKUP(9^99,FILTER({ROW(P$2:P936),P$2:P936},D$2:D936=D937),2)*VLOOKUP(9^99,FILTER({ROW(O$2:O936),O$2:O936},D$2:D936=D937),2)-N937)/O937),J937))"),"")</f>
        <v/>
      </c>
      <c r="Q937" s="264" t="str">
        <f>IFERROR(__xludf.DUMMYFUNCTION("IFERROR(IF(F937=""Crypto"",B937,(IF(ISBLANK(D937),"""",IF(D937=""Cash"",B937,IF(GOOGLEFINANCE(D937,""CURRENCY"")=""GBX"",""GBP"",GOOGLEFINANCE(D937,""CURRENCY"")))))),B937)"),"")</f>
        <v/>
      </c>
      <c r="R937" s="263" t="str">
        <f>IFERROR(__xludf.DUMMYFUNCTION("IF(ISBLANK(A937),"""",IFERROR(IF(OR(Q937=""GPB"",Q937=""ZAR""),IF(Q937=Dashboard!$L$1,K937,(K937*GOOGLEFINANCE(""CURRENCY:""&amp;Q937&amp;""""&amp;Dashboard!$L$1&amp;""""))/100),IF(Q937=Dashboard!$L$1,K937,K937*GOOGLEFINANCE(""CURRENCY:""&amp;Q937&amp;""""&amp;Dashboard!$L$1&amp;"""")))"&amp;",K937))"),"")</f>
        <v/>
      </c>
      <c r="S937" s="266" t="str">
        <f>IFERROR(__xludf.DUMMYFUNCTION("IF(ISBLANK(A937),"""",IFERROR(IF(OR(Q937=""GPB"",Q937=""ZAR""),IF(Q937=Dashboard!$L$1,M937,(M937*GOOGLEFINANCE(""CURRENCY:""&amp;Q937&amp;""""&amp;Dashboard!$L$1&amp;""""))/100),IF(Q937=Dashboard!$L$1,M937,M937*GOOGLEFINANCE(""CURRENCY:""&amp;Q937&amp;""""&amp;Dashboard!$L$1&amp;"""")))"&amp;",M937))"),"")</f>
        <v/>
      </c>
      <c r="T937" s="264" t="str">
        <f t="shared" si="4"/>
        <v/>
      </c>
      <c r="U937" s="264" t="str">
        <f t="shared" si="5"/>
        <v/>
      </c>
      <c r="V937" s="264" t="str">
        <f t="shared" si="6"/>
        <v/>
      </c>
      <c r="W937" s="267" t="str">
        <f t="shared" si="8"/>
        <v/>
      </c>
      <c r="X937" s="264" t="str">
        <f t="shared" si="7"/>
        <v/>
      </c>
    </row>
    <row r="938" ht="15.75" customHeight="1">
      <c r="A938" s="258"/>
      <c r="B938" s="258"/>
      <c r="C938" s="269"/>
      <c r="D938" s="258"/>
      <c r="E938" s="258"/>
      <c r="F938" s="258"/>
      <c r="G938" s="258"/>
      <c r="H938" s="271"/>
      <c r="I938" s="258"/>
      <c r="J938" s="272"/>
      <c r="K938" s="260"/>
      <c r="L938" s="261"/>
      <c r="M938" s="262" t="str">
        <f t="shared" si="1"/>
        <v/>
      </c>
      <c r="N938" s="263" t="str">
        <f t="shared" si="2"/>
        <v/>
      </c>
      <c r="O938" s="264" t="str">
        <f t="shared" si="3"/>
        <v/>
      </c>
      <c r="P938" s="265" t="str">
        <f>IFERROR(__xludf.DUMMYFUNCTION("IF(ISBLANK(A938),"""",IFERROR(IF(H938=""Sell"",VLOOKUP(9^99,FILTER({ROW(P$2:P937),P$2:P937},D$2:D937=D938),2),(VLOOKUP(9^99,FILTER({ROW(P$2:P937),P$2:P937},D$2:D937=D938),2)*VLOOKUP(9^99,FILTER({ROW(O$2:O937),O$2:O937},D$2:D937=D938),2)-N938)/O938),J938))"),"")</f>
        <v/>
      </c>
      <c r="Q938" s="264" t="str">
        <f>IFERROR(__xludf.DUMMYFUNCTION("IFERROR(IF(F938=""Crypto"",B938,(IF(ISBLANK(D938),"""",IF(D938=""Cash"",B938,IF(GOOGLEFINANCE(D938,""CURRENCY"")=""GBX"",""GBP"",GOOGLEFINANCE(D938,""CURRENCY"")))))),B938)"),"")</f>
        <v/>
      </c>
      <c r="R938" s="263" t="str">
        <f>IFERROR(__xludf.DUMMYFUNCTION("IF(ISBLANK(A938),"""",IFERROR(IF(OR(Q938=""GPB"",Q938=""ZAR""),IF(Q938=Dashboard!$L$1,K938,(K938*GOOGLEFINANCE(""CURRENCY:""&amp;Q938&amp;""""&amp;Dashboard!$L$1&amp;""""))/100),IF(Q938=Dashboard!$L$1,K938,K938*GOOGLEFINANCE(""CURRENCY:""&amp;Q938&amp;""""&amp;Dashboard!$L$1&amp;"""")))"&amp;",K938))"),"")</f>
        <v/>
      </c>
      <c r="S938" s="266" t="str">
        <f>IFERROR(__xludf.DUMMYFUNCTION("IF(ISBLANK(A938),"""",IFERROR(IF(OR(Q938=""GPB"",Q938=""ZAR""),IF(Q938=Dashboard!$L$1,M938,(M938*GOOGLEFINANCE(""CURRENCY:""&amp;Q938&amp;""""&amp;Dashboard!$L$1&amp;""""))/100),IF(Q938=Dashboard!$L$1,M938,M938*GOOGLEFINANCE(""CURRENCY:""&amp;Q938&amp;""""&amp;Dashboard!$L$1&amp;"""")))"&amp;",M938))"),"")</f>
        <v/>
      </c>
      <c r="T938" s="264" t="str">
        <f t="shared" si="4"/>
        <v/>
      </c>
      <c r="U938" s="264" t="str">
        <f t="shared" si="5"/>
        <v/>
      </c>
      <c r="V938" s="264" t="str">
        <f t="shared" si="6"/>
        <v/>
      </c>
      <c r="W938" s="267" t="str">
        <f t="shared" si="8"/>
        <v/>
      </c>
      <c r="X938" s="264" t="str">
        <f t="shared" si="7"/>
        <v/>
      </c>
    </row>
    <row r="939" ht="15.75" customHeight="1">
      <c r="A939" s="258"/>
      <c r="B939" s="258"/>
      <c r="C939" s="269"/>
      <c r="D939" s="258"/>
      <c r="E939" s="258"/>
      <c r="F939" s="258"/>
      <c r="G939" s="258"/>
      <c r="H939" s="271"/>
      <c r="I939" s="258"/>
      <c r="J939" s="272"/>
      <c r="K939" s="260"/>
      <c r="L939" s="261"/>
      <c r="M939" s="262" t="str">
        <f t="shared" si="1"/>
        <v/>
      </c>
      <c r="N939" s="263" t="str">
        <f t="shared" si="2"/>
        <v/>
      </c>
      <c r="O939" s="264" t="str">
        <f t="shared" si="3"/>
        <v/>
      </c>
      <c r="P939" s="265" t="str">
        <f>IFERROR(__xludf.DUMMYFUNCTION("IF(ISBLANK(A939),"""",IFERROR(IF(H939=""Sell"",VLOOKUP(9^99,FILTER({ROW(P$2:P938),P$2:P938},D$2:D938=D939),2),(VLOOKUP(9^99,FILTER({ROW(P$2:P938),P$2:P938},D$2:D938=D939),2)*VLOOKUP(9^99,FILTER({ROW(O$2:O938),O$2:O938},D$2:D938=D939),2)-N939)/O939),J939))"),"")</f>
        <v/>
      </c>
      <c r="Q939" s="264" t="str">
        <f>IFERROR(__xludf.DUMMYFUNCTION("IFERROR(IF(F939=""Crypto"",B939,(IF(ISBLANK(D939),"""",IF(D939=""Cash"",B939,IF(GOOGLEFINANCE(D939,""CURRENCY"")=""GBX"",""GBP"",GOOGLEFINANCE(D939,""CURRENCY"")))))),B939)"),"")</f>
        <v/>
      </c>
      <c r="R939" s="263" t="str">
        <f>IFERROR(__xludf.DUMMYFUNCTION("IF(ISBLANK(A939),"""",IFERROR(IF(OR(Q939=""GPB"",Q939=""ZAR""),IF(Q939=Dashboard!$L$1,K939,(K939*GOOGLEFINANCE(""CURRENCY:""&amp;Q939&amp;""""&amp;Dashboard!$L$1&amp;""""))/100),IF(Q939=Dashboard!$L$1,K939,K939*GOOGLEFINANCE(""CURRENCY:""&amp;Q939&amp;""""&amp;Dashboard!$L$1&amp;"""")))"&amp;",K939))"),"")</f>
        <v/>
      </c>
      <c r="S939" s="266" t="str">
        <f>IFERROR(__xludf.DUMMYFUNCTION("IF(ISBLANK(A939),"""",IFERROR(IF(OR(Q939=""GPB"",Q939=""ZAR""),IF(Q939=Dashboard!$L$1,M939,(M939*GOOGLEFINANCE(""CURRENCY:""&amp;Q939&amp;""""&amp;Dashboard!$L$1&amp;""""))/100),IF(Q939=Dashboard!$L$1,M939,M939*GOOGLEFINANCE(""CURRENCY:""&amp;Q939&amp;""""&amp;Dashboard!$L$1&amp;"""")))"&amp;",M939))"),"")</f>
        <v/>
      </c>
      <c r="T939" s="264" t="str">
        <f t="shared" si="4"/>
        <v/>
      </c>
      <c r="U939" s="264" t="str">
        <f t="shared" si="5"/>
        <v/>
      </c>
      <c r="V939" s="264" t="str">
        <f t="shared" si="6"/>
        <v/>
      </c>
      <c r="W939" s="267" t="str">
        <f t="shared" si="8"/>
        <v/>
      </c>
      <c r="X939" s="264" t="str">
        <f t="shared" si="7"/>
        <v/>
      </c>
    </row>
    <row r="940" ht="15.75" customHeight="1">
      <c r="A940" s="258"/>
      <c r="B940" s="258"/>
      <c r="C940" s="269"/>
      <c r="D940" s="258"/>
      <c r="E940" s="258"/>
      <c r="F940" s="258"/>
      <c r="G940" s="258"/>
      <c r="H940" s="271"/>
      <c r="I940" s="258"/>
      <c r="J940" s="272"/>
      <c r="K940" s="260"/>
      <c r="L940" s="261"/>
      <c r="M940" s="262" t="str">
        <f t="shared" si="1"/>
        <v/>
      </c>
      <c r="N940" s="263" t="str">
        <f t="shared" si="2"/>
        <v/>
      </c>
      <c r="O940" s="264" t="str">
        <f t="shared" si="3"/>
        <v/>
      </c>
      <c r="P940" s="265" t="str">
        <f>IFERROR(__xludf.DUMMYFUNCTION("IF(ISBLANK(A940),"""",IFERROR(IF(H940=""Sell"",VLOOKUP(9^99,FILTER({ROW(P$2:P939),P$2:P939},D$2:D939=D940),2),(VLOOKUP(9^99,FILTER({ROW(P$2:P939),P$2:P939},D$2:D939=D940),2)*VLOOKUP(9^99,FILTER({ROW(O$2:O939),O$2:O939},D$2:D939=D940),2)-N940)/O940),J940))"),"")</f>
        <v/>
      </c>
      <c r="Q940" s="264" t="str">
        <f>IFERROR(__xludf.DUMMYFUNCTION("IFERROR(IF(F940=""Crypto"",B940,(IF(ISBLANK(D940),"""",IF(D940=""Cash"",B940,IF(GOOGLEFINANCE(D940,""CURRENCY"")=""GBX"",""GBP"",GOOGLEFINANCE(D940,""CURRENCY"")))))),B940)"),"")</f>
        <v/>
      </c>
      <c r="R940" s="263" t="str">
        <f>IFERROR(__xludf.DUMMYFUNCTION("IF(ISBLANK(A940),"""",IFERROR(IF(OR(Q940=""GPB"",Q940=""ZAR""),IF(Q940=Dashboard!$L$1,K940,(K940*GOOGLEFINANCE(""CURRENCY:""&amp;Q940&amp;""""&amp;Dashboard!$L$1&amp;""""))/100),IF(Q940=Dashboard!$L$1,K940,K940*GOOGLEFINANCE(""CURRENCY:""&amp;Q940&amp;""""&amp;Dashboard!$L$1&amp;"""")))"&amp;",K940))"),"")</f>
        <v/>
      </c>
      <c r="S940" s="266" t="str">
        <f>IFERROR(__xludf.DUMMYFUNCTION("IF(ISBLANK(A940),"""",IFERROR(IF(OR(Q940=""GPB"",Q940=""ZAR""),IF(Q940=Dashboard!$L$1,M940,(M940*GOOGLEFINANCE(""CURRENCY:""&amp;Q940&amp;""""&amp;Dashboard!$L$1&amp;""""))/100),IF(Q940=Dashboard!$L$1,M940,M940*GOOGLEFINANCE(""CURRENCY:""&amp;Q940&amp;""""&amp;Dashboard!$L$1&amp;"""")))"&amp;",M940))"),"")</f>
        <v/>
      </c>
      <c r="T940" s="264" t="str">
        <f t="shared" si="4"/>
        <v/>
      </c>
      <c r="U940" s="264" t="str">
        <f t="shared" si="5"/>
        <v/>
      </c>
      <c r="V940" s="264" t="str">
        <f t="shared" si="6"/>
        <v/>
      </c>
      <c r="W940" s="267" t="str">
        <f t="shared" si="8"/>
        <v/>
      </c>
      <c r="X940" s="264" t="str">
        <f t="shared" si="7"/>
        <v/>
      </c>
    </row>
    <row r="941" ht="15.75" customHeight="1">
      <c r="A941" s="258"/>
      <c r="B941" s="258"/>
      <c r="C941" s="269"/>
      <c r="D941" s="258"/>
      <c r="E941" s="258"/>
      <c r="F941" s="258"/>
      <c r="G941" s="258"/>
      <c r="H941" s="271"/>
      <c r="I941" s="258"/>
      <c r="J941" s="272"/>
      <c r="K941" s="260"/>
      <c r="L941" s="261"/>
      <c r="M941" s="262" t="str">
        <f t="shared" si="1"/>
        <v/>
      </c>
      <c r="N941" s="263" t="str">
        <f t="shared" si="2"/>
        <v/>
      </c>
      <c r="O941" s="264" t="str">
        <f t="shared" si="3"/>
        <v/>
      </c>
      <c r="P941" s="265" t="str">
        <f>IFERROR(__xludf.DUMMYFUNCTION("IF(ISBLANK(A941),"""",IFERROR(IF(H941=""Sell"",VLOOKUP(9^99,FILTER({ROW(P$2:P940),P$2:P940},D$2:D940=D941),2),(VLOOKUP(9^99,FILTER({ROW(P$2:P940),P$2:P940},D$2:D940=D941),2)*VLOOKUP(9^99,FILTER({ROW(O$2:O940),O$2:O940},D$2:D940=D941),2)-N941)/O941),J941))"),"")</f>
        <v/>
      </c>
      <c r="Q941" s="264" t="str">
        <f>IFERROR(__xludf.DUMMYFUNCTION("IFERROR(IF(F941=""Crypto"",B941,(IF(ISBLANK(D941),"""",IF(D941=""Cash"",B941,IF(GOOGLEFINANCE(D941,""CURRENCY"")=""GBX"",""GBP"",GOOGLEFINANCE(D941,""CURRENCY"")))))),B941)"),"")</f>
        <v/>
      </c>
      <c r="R941" s="263" t="str">
        <f>IFERROR(__xludf.DUMMYFUNCTION("IF(ISBLANK(A941),"""",IFERROR(IF(OR(Q941=""GPB"",Q941=""ZAR""),IF(Q941=Dashboard!$L$1,K941,(K941*GOOGLEFINANCE(""CURRENCY:""&amp;Q941&amp;""""&amp;Dashboard!$L$1&amp;""""))/100),IF(Q941=Dashboard!$L$1,K941,K941*GOOGLEFINANCE(""CURRENCY:""&amp;Q941&amp;""""&amp;Dashboard!$L$1&amp;"""")))"&amp;",K941))"),"")</f>
        <v/>
      </c>
      <c r="S941" s="266" t="str">
        <f>IFERROR(__xludf.DUMMYFUNCTION("IF(ISBLANK(A941),"""",IFERROR(IF(OR(Q941=""GPB"",Q941=""ZAR""),IF(Q941=Dashboard!$L$1,M941,(M941*GOOGLEFINANCE(""CURRENCY:""&amp;Q941&amp;""""&amp;Dashboard!$L$1&amp;""""))/100),IF(Q941=Dashboard!$L$1,M941,M941*GOOGLEFINANCE(""CURRENCY:""&amp;Q941&amp;""""&amp;Dashboard!$L$1&amp;"""")))"&amp;",M941))"),"")</f>
        <v/>
      </c>
      <c r="T941" s="264" t="str">
        <f t="shared" si="4"/>
        <v/>
      </c>
      <c r="U941" s="264" t="str">
        <f t="shared" si="5"/>
        <v/>
      </c>
      <c r="V941" s="264" t="str">
        <f t="shared" si="6"/>
        <v/>
      </c>
      <c r="W941" s="267" t="str">
        <f t="shared" si="8"/>
        <v/>
      </c>
      <c r="X941" s="264" t="str">
        <f t="shared" si="7"/>
        <v/>
      </c>
    </row>
    <row r="942" ht="15.75" customHeight="1">
      <c r="A942" s="258"/>
      <c r="B942" s="258"/>
      <c r="C942" s="269"/>
      <c r="D942" s="258"/>
      <c r="E942" s="258"/>
      <c r="F942" s="258"/>
      <c r="G942" s="258"/>
      <c r="H942" s="271"/>
      <c r="I942" s="258"/>
      <c r="J942" s="272"/>
      <c r="K942" s="260"/>
      <c r="L942" s="261"/>
      <c r="M942" s="262" t="str">
        <f t="shared" si="1"/>
        <v/>
      </c>
      <c r="N942" s="263" t="str">
        <f t="shared" si="2"/>
        <v/>
      </c>
      <c r="O942" s="264" t="str">
        <f t="shared" si="3"/>
        <v/>
      </c>
      <c r="P942" s="265" t="str">
        <f>IFERROR(__xludf.DUMMYFUNCTION("IF(ISBLANK(A942),"""",IFERROR(IF(H942=""Sell"",VLOOKUP(9^99,FILTER({ROW(P$2:P941),P$2:P941},D$2:D941=D942),2),(VLOOKUP(9^99,FILTER({ROW(P$2:P941),P$2:P941},D$2:D941=D942),2)*VLOOKUP(9^99,FILTER({ROW(O$2:O941),O$2:O941},D$2:D941=D942),2)-N942)/O942),J942))"),"")</f>
        <v/>
      </c>
      <c r="Q942" s="264" t="str">
        <f>IFERROR(__xludf.DUMMYFUNCTION("IFERROR(IF(F942=""Crypto"",B942,(IF(ISBLANK(D942),"""",IF(D942=""Cash"",B942,IF(GOOGLEFINANCE(D942,""CURRENCY"")=""GBX"",""GBP"",GOOGLEFINANCE(D942,""CURRENCY"")))))),B942)"),"")</f>
        <v/>
      </c>
      <c r="R942" s="263" t="str">
        <f>IFERROR(__xludf.DUMMYFUNCTION("IF(ISBLANK(A942),"""",IFERROR(IF(OR(Q942=""GPB"",Q942=""ZAR""),IF(Q942=Dashboard!$L$1,K942,(K942*GOOGLEFINANCE(""CURRENCY:""&amp;Q942&amp;""""&amp;Dashboard!$L$1&amp;""""))/100),IF(Q942=Dashboard!$L$1,K942,K942*GOOGLEFINANCE(""CURRENCY:""&amp;Q942&amp;""""&amp;Dashboard!$L$1&amp;"""")))"&amp;",K942))"),"")</f>
        <v/>
      </c>
      <c r="S942" s="266" t="str">
        <f>IFERROR(__xludf.DUMMYFUNCTION("IF(ISBLANK(A942),"""",IFERROR(IF(OR(Q942=""GPB"",Q942=""ZAR""),IF(Q942=Dashboard!$L$1,M942,(M942*GOOGLEFINANCE(""CURRENCY:""&amp;Q942&amp;""""&amp;Dashboard!$L$1&amp;""""))/100),IF(Q942=Dashboard!$L$1,M942,M942*GOOGLEFINANCE(""CURRENCY:""&amp;Q942&amp;""""&amp;Dashboard!$L$1&amp;"""")))"&amp;",M942))"),"")</f>
        <v/>
      </c>
      <c r="T942" s="264" t="str">
        <f t="shared" si="4"/>
        <v/>
      </c>
      <c r="U942" s="264" t="str">
        <f t="shared" si="5"/>
        <v/>
      </c>
      <c r="V942" s="264" t="str">
        <f t="shared" si="6"/>
        <v/>
      </c>
      <c r="W942" s="267" t="str">
        <f t="shared" si="8"/>
        <v/>
      </c>
      <c r="X942" s="264" t="str">
        <f t="shared" si="7"/>
        <v/>
      </c>
    </row>
    <row r="943" ht="15.75" customHeight="1">
      <c r="A943" s="258"/>
      <c r="B943" s="258"/>
      <c r="C943" s="269"/>
      <c r="D943" s="258"/>
      <c r="E943" s="258"/>
      <c r="F943" s="258"/>
      <c r="G943" s="258"/>
      <c r="H943" s="271"/>
      <c r="I943" s="258"/>
      <c r="J943" s="272"/>
      <c r="K943" s="260"/>
      <c r="L943" s="261"/>
      <c r="M943" s="262" t="str">
        <f t="shared" si="1"/>
        <v/>
      </c>
      <c r="N943" s="263" t="str">
        <f t="shared" si="2"/>
        <v/>
      </c>
      <c r="O943" s="264" t="str">
        <f t="shared" si="3"/>
        <v/>
      </c>
      <c r="P943" s="265" t="str">
        <f>IFERROR(__xludf.DUMMYFUNCTION("IF(ISBLANK(A943),"""",IFERROR(IF(H943=""Sell"",VLOOKUP(9^99,FILTER({ROW(P$2:P942),P$2:P942},D$2:D942=D943),2),(VLOOKUP(9^99,FILTER({ROW(P$2:P942),P$2:P942},D$2:D942=D943),2)*VLOOKUP(9^99,FILTER({ROW(O$2:O942),O$2:O942},D$2:D942=D943),2)-N943)/O943),J943))"),"")</f>
        <v/>
      </c>
      <c r="Q943" s="264" t="str">
        <f>IFERROR(__xludf.DUMMYFUNCTION("IFERROR(IF(F943=""Crypto"",B943,(IF(ISBLANK(D943),"""",IF(D943=""Cash"",B943,IF(GOOGLEFINANCE(D943,""CURRENCY"")=""GBX"",""GBP"",GOOGLEFINANCE(D943,""CURRENCY"")))))),B943)"),"")</f>
        <v/>
      </c>
      <c r="R943" s="263" t="str">
        <f>IFERROR(__xludf.DUMMYFUNCTION("IF(ISBLANK(A943),"""",IFERROR(IF(OR(Q943=""GPB"",Q943=""ZAR""),IF(Q943=Dashboard!$L$1,K943,(K943*GOOGLEFINANCE(""CURRENCY:""&amp;Q943&amp;""""&amp;Dashboard!$L$1&amp;""""))/100),IF(Q943=Dashboard!$L$1,K943,K943*GOOGLEFINANCE(""CURRENCY:""&amp;Q943&amp;""""&amp;Dashboard!$L$1&amp;"""")))"&amp;",K943))"),"")</f>
        <v/>
      </c>
      <c r="S943" s="266" t="str">
        <f>IFERROR(__xludf.DUMMYFUNCTION("IF(ISBLANK(A943),"""",IFERROR(IF(OR(Q943=""GPB"",Q943=""ZAR""),IF(Q943=Dashboard!$L$1,M943,(M943*GOOGLEFINANCE(""CURRENCY:""&amp;Q943&amp;""""&amp;Dashboard!$L$1&amp;""""))/100),IF(Q943=Dashboard!$L$1,M943,M943*GOOGLEFINANCE(""CURRENCY:""&amp;Q943&amp;""""&amp;Dashboard!$L$1&amp;"""")))"&amp;",M943))"),"")</f>
        <v/>
      </c>
      <c r="T943" s="264" t="str">
        <f t="shared" si="4"/>
        <v/>
      </c>
      <c r="U943" s="264" t="str">
        <f t="shared" si="5"/>
        <v/>
      </c>
      <c r="V943" s="264" t="str">
        <f t="shared" si="6"/>
        <v/>
      </c>
      <c r="W943" s="267" t="str">
        <f t="shared" si="8"/>
        <v/>
      </c>
      <c r="X943" s="264" t="str">
        <f t="shared" si="7"/>
        <v/>
      </c>
    </row>
    <row r="944" ht="15.75" customHeight="1">
      <c r="A944" s="258"/>
      <c r="B944" s="258"/>
      <c r="C944" s="269"/>
      <c r="D944" s="258"/>
      <c r="E944" s="258"/>
      <c r="F944" s="258"/>
      <c r="G944" s="258"/>
      <c r="H944" s="271"/>
      <c r="I944" s="258"/>
      <c r="J944" s="272"/>
      <c r="K944" s="260"/>
      <c r="L944" s="261"/>
      <c r="M944" s="262" t="str">
        <f t="shared" si="1"/>
        <v/>
      </c>
      <c r="N944" s="263" t="str">
        <f t="shared" si="2"/>
        <v/>
      </c>
      <c r="O944" s="264" t="str">
        <f t="shared" si="3"/>
        <v/>
      </c>
      <c r="P944" s="265" t="str">
        <f>IFERROR(__xludf.DUMMYFUNCTION("IF(ISBLANK(A944),"""",IFERROR(IF(H944=""Sell"",VLOOKUP(9^99,FILTER({ROW(P$2:P943),P$2:P943},D$2:D943=D944),2),(VLOOKUP(9^99,FILTER({ROW(P$2:P943),P$2:P943},D$2:D943=D944),2)*VLOOKUP(9^99,FILTER({ROW(O$2:O943),O$2:O943},D$2:D943=D944),2)-N944)/O944),J944))"),"")</f>
        <v/>
      </c>
      <c r="Q944" s="264" t="str">
        <f>IFERROR(__xludf.DUMMYFUNCTION("IFERROR(IF(F944=""Crypto"",B944,(IF(ISBLANK(D944),"""",IF(D944=""Cash"",B944,IF(GOOGLEFINANCE(D944,""CURRENCY"")=""GBX"",""GBP"",GOOGLEFINANCE(D944,""CURRENCY"")))))),B944)"),"")</f>
        <v/>
      </c>
      <c r="R944" s="263" t="str">
        <f>IFERROR(__xludf.DUMMYFUNCTION("IF(ISBLANK(A944),"""",IFERROR(IF(OR(Q944=""GPB"",Q944=""ZAR""),IF(Q944=Dashboard!$L$1,K944,(K944*GOOGLEFINANCE(""CURRENCY:""&amp;Q944&amp;""""&amp;Dashboard!$L$1&amp;""""))/100),IF(Q944=Dashboard!$L$1,K944,K944*GOOGLEFINANCE(""CURRENCY:""&amp;Q944&amp;""""&amp;Dashboard!$L$1&amp;"""")))"&amp;",K944))"),"")</f>
        <v/>
      </c>
      <c r="S944" s="266" t="str">
        <f>IFERROR(__xludf.DUMMYFUNCTION("IF(ISBLANK(A944),"""",IFERROR(IF(OR(Q944=""GPB"",Q944=""ZAR""),IF(Q944=Dashboard!$L$1,M944,(M944*GOOGLEFINANCE(""CURRENCY:""&amp;Q944&amp;""""&amp;Dashboard!$L$1&amp;""""))/100),IF(Q944=Dashboard!$L$1,M944,M944*GOOGLEFINANCE(""CURRENCY:""&amp;Q944&amp;""""&amp;Dashboard!$L$1&amp;"""")))"&amp;",M944))"),"")</f>
        <v/>
      </c>
      <c r="T944" s="264" t="str">
        <f t="shared" si="4"/>
        <v/>
      </c>
      <c r="U944" s="264" t="str">
        <f t="shared" si="5"/>
        <v/>
      </c>
      <c r="V944" s="264" t="str">
        <f t="shared" si="6"/>
        <v/>
      </c>
      <c r="W944" s="267" t="str">
        <f t="shared" si="8"/>
        <v/>
      </c>
      <c r="X944" s="264" t="str">
        <f t="shared" si="7"/>
        <v/>
      </c>
    </row>
    <row r="945" ht="15.75" customHeight="1">
      <c r="A945" s="258"/>
      <c r="B945" s="258"/>
      <c r="C945" s="269"/>
      <c r="D945" s="258"/>
      <c r="E945" s="258"/>
      <c r="F945" s="258"/>
      <c r="G945" s="258"/>
      <c r="H945" s="271"/>
      <c r="I945" s="258"/>
      <c r="J945" s="272"/>
      <c r="K945" s="260"/>
      <c r="L945" s="261"/>
      <c r="M945" s="262" t="str">
        <f t="shared" si="1"/>
        <v/>
      </c>
      <c r="N945" s="263" t="str">
        <f t="shared" si="2"/>
        <v/>
      </c>
      <c r="O945" s="264" t="str">
        <f t="shared" si="3"/>
        <v/>
      </c>
      <c r="P945" s="265" t="str">
        <f>IFERROR(__xludf.DUMMYFUNCTION("IF(ISBLANK(A945),"""",IFERROR(IF(H945=""Sell"",VLOOKUP(9^99,FILTER({ROW(P$2:P944),P$2:P944},D$2:D944=D945),2),(VLOOKUP(9^99,FILTER({ROW(P$2:P944),P$2:P944},D$2:D944=D945),2)*VLOOKUP(9^99,FILTER({ROW(O$2:O944),O$2:O944},D$2:D944=D945),2)-N945)/O945),J945))"),"")</f>
        <v/>
      </c>
      <c r="Q945" s="264" t="str">
        <f>IFERROR(__xludf.DUMMYFUNCTION("IFERROR(IF(F945=""Crypto"",B945,(IF(ISBLANK(D945),"""",IF(D945=""Cash"",B945,IF(GOOGLEFINANCE(D945,""CURRENCY"")=""GBX"",""GBP"",GOOGLEFINANCE(D945,""CURRENCY"")))))),B945)"),"")</f>
        <v/>
      </c>
      <c r="R945" s="263" t="str">
        <f>IFERROR(__xludf.DUMMYFUNCTION("IF(ISBLANK(A945),"""",IFERROR(IF(OR(Q945=""GPB"",Q945=""ZAR""),IF(Q945=Dashboard!$L$1,K945,(K945*GOOGLEFINANCE(""CURRENCY:""&amp;Q945&amp;""""&amp;Dashboard!$L$1&amp;""""))/100),IF(Q945=Dashboard!$L$1,K945,K945*GOOGLEFINANCE(""CURRENCY:""&amp;Q945&amp;""""&amp;Dashboard!$L$1&amp;"""")))"&amp;",K945))"),"")</f>
        <v/>
      </c>
      <c r="S945" s="266" t="str">
        <f>IFERROR(__xludf.DUMMYFUNCTION("IF(ISBLANK(A945),"""",IFERROR(IF(OR(Q945=""GPB"",Q945=""ZAR""),IF(Q945=Dashboard!$L$1,M945,(M945*GOOGLEFINANCE(""CURRENCY:""&amp;Q945&amp;""""&amp;Dashboard!$L$1&amp;""""))/100),IF(Q945=Dashboard!$L$1,M945,M945*GOOGLEFINANCE(""CURRENCY:""&amp;Q945&amp;""""&amp;Dashboard!$L$1&amp;"""")))"&amp;",M945))"),"")</f>
        <v/>
      </c>
      <c r="T945" s="264" t="str">
        <f t="shared" si="4"/>
        <v/>
      </c>
      <c r="U945" s="264" t="str">
        <f t="shared" si="5"/>
        <v/>
      </c>
      <c r="V945" s="264" t="str">
        <f t="shared" si="6"/>
        <v/>
      </c>
      <c r="W945" s="267" t="str">
        <f t="shared" si="8"/>
        <v/>
      </c>
      <c r="X945" s="264" t="str">
        <f t="shared" si="7"/>
        <v/>
      </c>
    </row>
    <row r="946" ht="15.75" customHeight="1">
      <c r="A946" s="258"/>
      <c r="B946" s="258"/>
      <c r="C946" s="269"/>
      <c r="D946" s="258"/>
      <c r="E946" s="258"/>
      <c r="F946" s="258"/>
      <c r="G946" s="258"/>
      <c r="H946" s="271"/>
      <c r="I946" s="258"/>
      <c r="J946" s="272"/>
      <c r="K946" s="260"/>
      <c r="L946" s="261"/>
      <c r="M946" s="262" t="str">
        <f t="shared" si="1"/>
        <v/>
      </c>
      <c r="N946" s="263" t="str">
        <f t="shared" si="2"/>
        <v/>
      </c>
      <c r="O946" s="264" t="str">
        <f t="shared" si="3"/>
        <v/>
      </c>
      <c r="P946" s="265" t="str">
        <f>IFERROR(__xludf.DUMMYFUNCTION("IF(ISBLANK(A946),"""",IFERROR(IF(H946=""Sell"",VLOOKUP(9^99,FILTER({ROW(P$2:P945),P$2:P945},D$2:D945=D946),2),(VLOOKUP(9^99,FILTER({ROW(P$2:P945),P$2:P945},D$2:D945=D946),2)*VLOOKUP(9^99,FILTER({ROW(O$2:O945),O$2:O945},D$2:D945=D946),2)-N946)/O946),J946))"),"")</f>
        <v/>
      </c>
      <c r="Q946" s="264" t="str">
        <f>IFERROR(__xludf.DUMMYFUNCTION("IFERROR(IF(F946=""Crypto"",B946,(IF(ISBLANK(D946),"""",IF(D946=""Cash"",B946,IF(GOOGLEFINANCE(D946,""CURRENCY"")=""GBX"",""GBP"",GOOGLEFINANCE(D946,""CURRENCY"")))))),B946)"),"")</f>
        <v/>
      </c>
      <c r="R946" s="263" t="str">
        <f>IFERROR(__xludf.DUMMYFUNCTION("IF(ISBLANK(A946),"""",IFERROR(IF(OR(Q946=""GPB"",Q946=""ZAR""),IF(Q946=Dashboard!$L$1,K946,(K946*GOOGLEFINANCE(""CURRENCY:""&amp;Q946&amp;""""&amp;Dashboard!$L$1&amp;""""))/100),IF(Q946=Dashboard!$L$1,K946,K946*GOOGLEFINANCE(""CURRENCY:""&amp;Q946&amp;""""&amp;Dashboard!$L$1&amp;"""")))"&amp;",K946))"),"")</f>
        <v/>
      </c>
      <c r="S946" s="266" t="str">
        <f>IFERROR(__xludf.DUMMYFUNCTION("IF(ISBLANK(A946),"""",IFERROR(IF(OR(Q946=""GPB"",Q946=""ZAR""),IF(Q946=Dashboard!$L$1,M946,(M946*GOOGLEFINANCE(""CURRENCY:""&amp;Q946&amp;""""&amp;Dashboard!$L$1&amp;""""))/100),IF(Q946=Dashboard!$L$1,M946,M946*GOOGLEFINANCE(""CURRENCY:""&amp;Q946&amp;""""&amp;Dashboard!$L$1&amp;"""")))"&amp;",M946))"),"")</f>
        <v/>
      </c>
      <c r="T946" s="264" t="str">
        <f t="shared" si="4"/>
        <v/>
      </c>
      <c r="U946" s="264" t="str">
        <f t="shared" si="5"/>
        <v/>
      </c>
      <c r="V946" s="264" t="str">
        <f t="shared" si="6"/>
        <v/>
      </c>
      <c r="W946" s="267" t="str">
        <f t="shared" si="8"/>
        <v/>
      </c>
      <c r="X946" s="264" t="str">
        <f t="shared" si="7"/>
        <v/>
      </c>
    </row>
    <row r="947" ht="15.75" customHeight="1">
      <c r="A947" s="258"/>
      <c r="B947" s="258"/>
      <c r="C947" s="269"/>
      <c r="D947" s="258"/>
      <c r="E947" s="258"/>
      <c r="F947" s="258"/>
      <c r="G947" s="258"/>
      <c r="H947" s="271"/>
      <c r="I947" s="258"/>
      <c r="J947" s="272"/>
      <c r="K947" s="260"/>
      <c r="L947" s="261"/>
      <c r="M947" s="262" t="str">
        <f t="shared" si="1"/>
        <v/>
      </c>
      <c r="N947" s="263" t="str">
        <f t="shared" si="2"/>
        <v/>
      </c>
      <c r="O947" s="264" t="str">
        <f t="shared" si="3"/>
        <v/>
      </c>
      <c r="P947" s="265" t="str">
        <f>IFERROR(__xludf.DUMMYFUNCTION("IF(ISBLANK(A947),"""",IFERROR(IF(H947=""Sell"",VLOOKUP(9^99,FILTER({ROW(P$2:P946),P$2:P946},D$2:D946=D947),2),(VLOOKUP(9^99,FILTER({ROW(P$2:P946),P$2:P946},D$2:D946=D947),2)*VLOOKUP(9^99,FILTER({ROW(O$2:O946),O$2:O946},D$2:D946=D947),2)-N947)/O947),J947))"),"")</f>
        <v/>
      </c>
      <c r="Q947" s="264" t="str">
        <f>IFERROR(__xludf.DUMMYFUNCTION("IFERROR(IF(F947=""Crypto"",B947,(IF(ISBLANK(D947),"""",IF(D947=""Cash"",B947,IF(GOOGLEFINANCE(D947,""CURRENCY"")=""GBX"",""GBP"",GOOGLEFINANCE(D947,""CURRENCY"")))))),B947)"),"")</f>
        <v/>
      </c>
      <c r="R947" s="263" t="str">
        <f>IFERROR(__xludf.DUMMYFUNCTION("IF(ISBLANK(A947),"""",IFERROR(IF(OR(Q947=""GPB"",Q947=""ZAR""),IF(Q947=Dashboard!$L$1,K947,(K947*GOOGLEFINANCE(""CURRENCY:""&amp;Q947&amp;""""&amp;Dashboard!$L$1&amp;""""))/100),IF(Q947=Dashboard!$L$1,K947,K947*GOOGLEFINANCE(""CURRENCY:""&amp;Q947&amp;""""&amp;Dashboard!$L$1&amp;"""")))"&amp;",K947))"),"")</f>
        <v/>
      </c>
      <c r="S947" s="266" t="str">
        <f>IFERROR(__xludf.DUMMYFUNCTION("IF(ISBLANK(A947),"""",IFERROR(IF(OR(Q947=""GPB"",Q947=""ZAR""),IF(Q947=Dashboard!$L$1,M947,(M947*GOOGLEFINANCE(""CURRENCY:""&amp;Q947&amp;""""&amp;Dashboard!$L$1&amp;""""))/100),IF(Q947=Dashboard!$L$1,M947,M947*GOOGLEFINANCE(""CURRENCY:""&amp;Q947&amp;""""&amp;Dashboard!$L$1&amp;"""")))"&amp;",M947))"),"")</f>
        <v/>
      </c>
      <c r="T947" s="264" t="str">
        <f t="shared" si="4"/>
        <v/>
      </c>
      <c r="U947" s="264" t="str">
        <f t="shared" si="5"/>
        <v/>
      </c>
      <c r="V947" s="264" t="str">
        <f t="shared" si="6"/>
        <v/>
      </c>
      <c r="W947" s="267" t="str">
        <f t="shared" si="8"/>
        <v/>
      </c>
      <c r="X947" s="264" t="str">
        <f t="shared" si="7"/>
        <v/>
      </c>
    </row>
    <row r="948" ht="15.75" customHeight="1">
      <c r="A948" s="258"/>
      <c r="B948" s="258"/>
      <c r="C948" s="269"/>
      <c r="D948" s="258"/>
      <c r="E948" s="258"/>
      <c r="F948" s="258"/>
      <c r="G948" s="258"/>
      <c r="H948" s="271"/>
      <c r="I948" s="258"/>
      <c r="J948" s="272"/>
      <c r="K948" s="260"/>
      <c r="L948" s="261"/>
      <c r="M948" s="262" t="str">
        <f t="shared" si="1"/>
        <v/>
      </c>
      <c r="N948" s="263" t="str">
        <f t="shared" si="2"/>
        <v/>
      </c>
      <c r="O948" s="264" t="str">
        <f t="shared" si="3"/>
        <v/>
      </c>
      <c r="P948" s="265" t="str">
        <f>IFERROR(__xludf.DUMMYFUNCTION("IF(ISBLANK(A948),"""",IFERROR(IF(H948=""Sell"",VLOOKUP(9^99,FILTER({ROW(P$2:P947),P$2:P947},D$2:D947=D948),2),(VLOOKUP(9^99,FILTER({ROW(P$2:P947),P$2:P947},D$2:D947=D948),2)*VLOOKUP(9^99,FILTER({ROW(O$2:O947),O$2:O947},D$2:D947=D948),2)-N948)/O948),J948))"),"")</f>
        <v/>
      </c>
      <c r="Q948" s="264" t="str">
        <f>IFERROR(__xludf.DUMMYFUNCTION("IFERROR(IF(F948=""Crypto"",B948,(IF(ISBLANK(D948),"""",IF(D948=""Cash"",B948,IF(GOOGLEFINANCE(D948,""CURRENCY"")=""GBX"",""GBP"",GOOGLEFINANCE(D948,""CURRENCY"")))))),B948)"),"")</f>
        <v/>
      </c>
      <c r="R948" s="263" t="str">
        <f>IFERROR(__xludf.DUMMYFUNCTION("IF(ISBLANK(A948),"""",IFERROR(IF(OR(Q948=""GPB"",Q948=""ZAR""),IF(Q948=Dashboard!$L$1,K948,(K948*GOOGLEFINANCE(""CURRENCY:""&amp;Q948&amp;""""&amp;Dashboard!$L$1&amp;""""))/100),IF(Q948=Dashboard!$L$1,K948,K948*GOOGLEFINANCE(""CURRENCY:""&amp;Q948&amp;""""&amp;Dashboard!$L$1&amp;"""")))"&amp;",K948))"),"")</f>
        <v/>
      </c>
      <c r="S948" s="266" t="str">
        <f>IFERROR(__xludf.DUMMYFUNCTION("IF(ISBLANK(A948),"""",IFERROR(IF(OR(Q948=""GPB"",Q948=""ZAR""),IF(Q948=Dashboard!$L$1,M948,(M948*GOOGLEFINANCE(""CURRENCY:""&amp;Q948&amp;""""&amp;Dashboard!$L$1&amp;""""))/100),IF(Q948=Dashboard!$L$1,M948,M948*GOOGLEFINANCE(""CURRENCY:""&amp;Q948&amp;""""&amp;Dashboard!$L$1&amp;"""")))"&amp;",M948))"),"")</f>
        <v/>
      </c>
      <c r="T948" s="264" t="str">
        <f t="shared" si="4"/>
        <v/>
      </c>
      <c r="U948" s="264" t="str">
        <f t="shared" si="5"/>
        <v/>
      </c>
      <c r="V948" s="264" t="str">
        <f t="shared" si="6"/>
        <v/>
      </c>
      <c r="W948" s="267" t="str">
        <f t="shared" si="8"/>
        <v/>
      </c>
      <c r="X948" s="264" t="str">
        <f t="shared" si="7"/>
        <v/>
      </c>
    </row>
    <row r="949" ht="15.75" customHeight="1">
      <c r="A949" s="258"/>
      <c r="B949" s="258"/>
      <c r="C949" s="269"/>
      <c r="D949" s="258"/>
      <c r="E949" s="258"/>
      <c r="F949" s="258"/>
      <c r="G949" s="258"/>
      <c r="H949" s="271"/>
      <c r="I949" s="258"/>
      <c r="J949" s="272"/>
      <c r="K949" s="260"/>
      <c r="L949" s="261"/>
      <c r="M949" s="262" t="str">
        <f t="shared" si="1"/>
        <v/>
      </c>
      <c r="N949" s="263" t="str">
        <f t="shared" si="2"/>
        <v/>
      </c>
      <c r="O949" s="264" t="str">
        <f t="shared" si="3"/>
        <v/>
      </c>
      <c r="P949" s="265" t="str">
        <f>IFERROR(__xludf.DUMMYFUNCTION("IF(ISBLANK(A949),"""",IFERROR(IF(H949=""Sell"",VLOOKUP(9^99,FILTER({ROW(P$2:P948),P$2:P948},D$2:D948=D949),2),(VLOOKUP(9^99,FILTER({ROW(P$2:P948),P$2:P948},D$2:D948=D949),2)*VLOOKUP(9^99,FILTER({ROW(O$2:O948),O$2:O948},D$2:D948=D949),2)-N949)/O949),J949))"),"")</f>
        <v/>
      </c>
      <c r="Q949" s="264" t="str">
        <f>IFERROR(__xludf.DUMMYFUNCTION("IFERROR(IF(F949=""Crypto"",B949,(IF(ISBLANK(D949),"""",IF(D949=""Cash"",B949,IF(GOOGLEFINANCE(D949,""CURRENCY"")=""GBX"",""GBP"",GOOGLEFINANCE(D949,""CURRENCY"")))))),B949)"),"")</f>
        <v/>
      </c>
      <c r="R949" s="263" t="str">
        <f>IFERROR(__xludf.DUMMYFUNCTION("IF(ISBLANK(A949),"""",IFERROR(IF(OR(Q949=""GPB"",Q949=""ZAR""),IF(Q949=Dashboard!$L$1,K949,(K949*GOOGLEFINANCE(""CURRENCY:""&amp;Q949&amp;""""&amp;Dashboard!$L$1&amp;""""))/100),IF(Q949=Dashboard!$L$1,K949,K949*GOOGLEFINANCE(""CURRENCY:""&amp;Q949&amp;""""&amp;Dashboard!$L$1&amp;"""")))"&amp;",K949))"),"")</f>
        <v/>
      </c>
      <c r="S949" s="266" t="str">
        <f>IFERROR(__xludf.DUMMYFUNCTION("IF(ISBLANK(A949),"""",IFERROR(IF(OR(Q949=""GPB"",Q949=""ZAR""),IF(Q949=Dashboard!$L$1,M949,(M949*GOOGLEFINANCE(""CURRENCY:""&amp;Q949&amp;""""&amp;Dashboard!$L$1&amp;""""))/100),IF(Q949=Dashboard!$L$1,M949,M949*GOOGLEFINANCE(""CURRENCY:""&amp;Q949&amp;""""&amp;Dashboard!$L$1&amp;"""")))"&amp;",M949))"),"")</f>
        <v/>
      </c>
      <c r="T949" s="264" t="str">
        <f t="shared" si="4"/>
        <v/>
      </c>
      <c r="U949" s="264" t="str">
        <f t="shared" si="5"/>
        <v/>
      </c>
      <c r="V949" s="264" t="str">
        <f t="shared" si="6"/>
        <v/>
      </c>
      <c r="W949" s="267" t="str">
        <f t="shared" si="8"/>
        <v/>
      </c>
      <c r="X949" s="264" t="str">
        <f t="shared" si="7"/>
        <v/>
      </c>
    </row>
    <row r="950" ht="15.75" customHeight="1">
      <c r="A950" s="258"/>
      <c r="B950" s="258"/>
      <c r="C950" s="269"/>
      <c r="D950" s="258"/>
      <c r="E950" s="258"/>
      <c r="F950" s="258"/>
      <c r="G950" s="258"/>
      <c r="H950" s="271"/>
      <c r="I950" s="258"/>
      <c r="J950" s="272"/>
      <c r="K950" s="260"/>
      <c r="L950" s="261"/>
      <c r="M950" s="262" t="str">
        <f t="shared" si="1"/>
        <v/>
      </c>
      <c r="N950" s="263" t="str">
        <f t="shared" si="2"/>
        <v/>
      </c>
      <c r="O950" s="264" t="str">
        <f t="shared" si="3"/>
        <v/>
      </c>
      <c r="P950" s="265" t="str">
        <f>IFERROR(__xludf.DUMMYFUNCTION("IF(ISBLANK(A950),"""",IFERROR(IF(H950=""Sell"",VLOOKUP(9^99,FILTER({ROW(P$2:P949),P$2:P949},D$2:D949=D950),2),(VLOOKUP(9^99,FILTER({ROW(P$2:P949),P$2:P949},D$2:D949=D950),2)*VLOOKUP(9^99,FILTER({ROW(O$2:O949),O$2:O949},D$2:D949=D950),2)-N950)/O950),J950))"),"")</f>
        <v/>
      </c>
      <c r="Q950" s="264" t="str">
        <f>IFERROR(__xludf.DUMMYFUNCTION("IFERROR(IF(F950=""Crypto"",B950,(IF(ISBLANK(D950),"""",IF(D950=""Cash"",B950,IF(GOOGLEFINANCE(D950,""CURRENCY"")=""GBX"",""GBP"",GOOGLEFINANCE(D950,""CURRENCY"")))))),B950)"),"")</f>
        <v/>
      </c>
      <c r="R950" s="263" t="str">
        <f>IFERROR(__xludf.DUMMYFUNCTION("IF(ISBLANK(A950),"""",IFERROR(IF(OR(Q950=""GPB"",Q950=""ZAR""),IF(Q950=Dashboard!$L$1,K950,(K950*GOOGLEFINANCE(""CURRENCY:""&amp;Q950&amp;""""&amp;Dashboard!$L$1&amp;""""))/100),IF(Q950=Dashboard!$L$1,K950,K950*GOOGLEFINANCE(""CURRENCY:""&amp;Q950&amp;""""&amp;Dashboard!$L$1&amp;"""")))"&amp;",K950))"),"")</f>
        <v/>
      </c>
      <c r="S950" s="266" t="str">
        <f>IFERROR(__xludf.DUMMYFUNCTION("IF(ISBLANK(A950),"""",IFERROR(IF(OR(Q950=""GPB"",Q950=""ZAR""),IF(Q950=Dashboard!$L$1,M950,(M950*GOOGLEFINANCE(""CURRENCY:""&amp;Q950&amp;""""&amp;Dashboard!$L$1&amp;""""))/100),IF(Q950=Dashboard!$L$1,M950,M950*GOOGLEFINANCE(""CURRENCY:""&amp;Q950&amp;""""&amp;Dashboard!$L$1&amp;"""")))"&amp;",M950))"),"")</f>
        <v/>
      </c>
      <c r="T950" s="264" t="str">
        <f t="shared" si="4"/>
        <v/>
      </c>
      <c r="U950" s="264" t="str">
        <f t="shared" si="5"/>
        <v/>
      </c>
      <c r="V950" s="264" t="str">
        <f t="shared" si="6"/>
        <v/>
      </c>
      <c r="W950" s="267" t="str">
        <f t="shared" si="8"/>
        <v/>
      </c>
      <c r="X950" s="264" t="str">
        <f t="shared" si="7"/>
        <v/>
      </c>
    </row>
    <row r="951" ht="15.75" customHeight="1">
      <c r="A951" s="258"/>
      <c r="B951" s="258"/>
      <c r="C951" s="269"/>
      <c r="D951" s="258"/>
      <c r="E951" s="258"/>
      <c r="F951" s="258"/>
      <c r="G951" s="258"/>
      <c r="H951" s="271"/>
      <c r="I951" s="258"/>
      <c r="J951" s="272"/>
      <c r="K951" s="260"/>
      <c r="L951" s="261"/>
      <c r="M951" s="262" t="str">
        <f t="shared" si="1"/>
        <v/>
      </c>
      <c r="N951" s="263" t="str">
        <f t="shared" si="2"/>
        <v/>
      </c>
      <c r="O951" s="264" t="str">
        <f t="shared" si="3"/>
        <v/>
      </c>
      <c r="P951" s="265" t="str">
        <f>IFERROR(__xludf.DUMMYFUNCTION("IF(ISBLANK(A951),"""",IFERROR(IF(H951=""Sell"",VLOOKUP(9^99,FILTER({ROW(P$2:P950),P$2:P950},D$2:D950=D951),2),(VLOOKUP(9^99,FILTER({ROW(P$2:P950),P$2:P950},D$2:D950=D951),2)*VLOOKUP(9^99,FILTER({ROW(O$2:O950),O$2:O950},D$2:D950=D951),2)-N951)/O951),J951))"),"")</f>
        <v/>
      </c>
      <c r="Q951" s="264" t="str">
        <f>IFERROR(__xludf.DUMMYFUNCTION("IFERROR(IF(F951=""Crypto"",B951,(IF(ISBLANK(D951),"""",IF(D951=""Cash"",B951,IF(GOOGLEFINANCE(D951,""CURRENCY"")=""GBX"",""GBP"",GOOGLEFINANCE(D951,""CURRENCY"")))))),B951)"),"")</f>
        <v/>
      </c>
      <c r="R951" s="263" t="str">
        <f>IFERROR(__xludf.DUMMYFUNCTION("IF(ISBLANK(A951),"""",IFERROR(IF(OR(Q951=""GPB"",Q951=""ZAR""),IF(Q951=Dashboard!$L$1,K951,(K951*GOOGLEFINANCE(""CURRENCY:""&amp;Q951&amp;""""&amp;Dashboard!$L$1&amp;""""))/100),IF(Q951=Dashboard!$L$1,K951,K951*GOOGLEFINANCE(""CURRENCY:""&amp;Q951&amp;""""&amp;Dashboard!$L$1&amp;"""")))"&amp;",K951))"),"")</f>
        <v/>
      </c>
      <c r="S951" s="266" t="str">
        <f>IFERROR(__xludf.DUMMYFUNCTION("IF(ISBLANK(A951),"""",IFERROR(IF(OR(Q951=""GPB"",Q951=""ZAR""),IF(Q951=Dashboard!$L$1,M951,(M951*GOOGLEFINANCE(""CURRENCY:""&amp;Q951&amp;""""&amp;Dashboard!$L$1&amp;""""))/100),IF(Q951=Dashboard!$L$1,M951,M951*GOOGLEFINANCE(""CURRENCY:""&amp;Q951&amp;""""&amp;Dashboard!$L$1&amp;"""")))"&amp;",M951))"),"")</f>
        <v/>
      </c>
      <c r="T951" s="264" t="str">
        <f t="shared" si="4"/>
        <v/>
      </c>
      <c r="U951" s="264" t="str">
        <f t="shared" si="5"/>
        <v/>
      </c>
      <c r="V951" s="264" t="str">
        <f t="shared" si="6"/>
        <v/>
      </c>
      <c r="W951" s="267" t="str">
        <f t="shared" si="8"/>
        <v/>
      </c>
      <c r="X951" s="264" t="str">
        <f t="shared" si="7"/>
        <v/>
      </c>
    </row>
    <row r="952" ht="15.75" customHeight="1">
      <c r="A952" s="258"/>
      <c r="B952" s="258"/>
      <c r="C952" s="269"/>
      <c r="D952" s="258"/>
      <c r="E952" s="258"/>
      <c r="F952" s="258"/>
      <c r="G952" s="258"/>
      <c r="H952" s="271"/>
      <c r="I952" s="258"/>
      <c r="J952" s="272"/>
      <c r="K952" s="260"/>
      <c r="L952" s="261"/>
      <c r="M952" s="262" t="str">
        <f t="shared" si="1"/>
        <v/>
      </c>
      <c r="N952" s="263" t="str">
        <f t="shared" si="2"/>
        <v/>
      </c>
      <c r="O952" s="264" t="str">
        <f t="shared" si="3"/>
        <v/>
      </c>
      <c r="P952" s="265" t="str">
        <f>IFERROR(__xludf.DUMMYFUNCTION("IF(ISBLANK(A952),"""",IFERROR(IF(H952=""Sell"",VLOOKUP(9^99,FILTER({ROW(P$2:P951),P$2:P951},D$2:D951=D952),2),(VLOOKUP(9^99,FILTER({ROW(P$2:P951),P$2:P951},D$2:D951=D952),2)*VLOOKUP(9^99,FILTER({ROW(O$2:O951),O$2:O951},D$2:D951=D952),2)-N952)/O952),J952))"),"")</f>
        <v/>
      </c>
      <c r="Q952" s="264" t="str">
        <f>IFERROR(__xludf.DUMMYFUNCTION("IFERROR(IF(F952=""Crypto"",B952,(IF(ISBLANK(D952),"""",IF(D952=""Cash"",B952,IF(GOOGLEFINANCE(D952,""CURRENCY"")=""GBX"",""GBP"",GOOGLEFINANCE(D952,""CURRENCY"")))))),B952)"),"")</f>
        <v/>
      </c>
      <c r="R952" s="263" t="str">
        <f>IFERROR(__xludf.DUMMYFUNCTION("IF(ISBLANK(A952),"""",IFERROR(IF(OR(Q952=""GPB"",Q952=""ZAR""),IF(Q952=Dashboard!$L$1,K952,(K952*GOOGLEFINANCE(""CURRENCY:""&amp;Q952&amp;""""&amp;Dashboard!$L$1&amp;""""))/100),IF(Q952=Dashboard!$L$1,K952,K952*GOOGLEFINANCE(""CURRENCY:""&amp;Q952&amp;""""&amp;Dashboard!$L$1&amp;"""")))"&amp;",K952))"),"")</f>
        <v/>
      </c>
      <c r="S952" s="266" t="str">
        <f>IFERROR(__xludf.DUMMYFUNCTION("IF(ISBLANK(A952),"""",IFERROR(IF(OR(Q952=""GPB"",Q952=""ZAR""),IF(Q952=Dashboard!$L$1,M952,(M952*GOOGLEFINANCE(""CURRENCY:""&amp;Q952&amp;""""&amp;Dashboard!$L$1&amp;""""))/100),IF(Q952=Dashboard!$L$1,M952,M952*GOOGLEFINANCE(""CURRENCY:""&amp;Q952&amp;""""&amp;Dashboard!$L$1&amp;"""")))"&amp;",M952))"),"")</f>
        <v/>
      </c>
      <c r="T952" s="264" t="str">
        <f t="shared" si="4"/>
        <v/>
      </c>
      <c r="U952" s="264" t="str">
        <f t="shared" si="5"/>
        <v/>
      </c>
      <c r="V952" s="264" t="str">
        <f t="shared" si="6"/>
        <v/>
      </c>
      <c r="W952" s="267" t="str">
        <f t="shared" si="8"/>
        <v/>
      </c>
      <c r="X952" s="264" t="str">
        <f t="shared" si="7"/>
        <v/>
      </c>
    </row>
    <row r="953" ht="15.75" customHeight="1">
      <c r="A953" s="258"/>
      <c r="B953" s="258"/>
      <c r="C953" s="269"/>
      <c r="D953" s="258"/>
      <c r="E953" s="258"/>
      <c r="F953" s="258"/>
      <c r="G953" s="258"/>
      <c r="H953" s="271"/>
      <c r="I953" s="258"/>
      <c r="J953" s="272"/>
      <c r="K953" s="260"/>
      <c r="L953" s="261"/>
      <c r="M953" s="262" t="str">
        <f t="shared" si="1"/>
        <v/>
      </c>
      <c r="N953" s="263" t="str">
        <f t="shared" si="2"/>
        <v/>
      </c>
      <c r="O953" s="264" t="str">
        <f t="shared" si="3"/>
        <v/>
      </c>
      <c r="P953" s="265" t="str">
        <f>IFERROR(__xludf.DUMMYFUNCTION("IF(ISBLANK(A953),"""",IFERROR(IF(H953=""Sell"",VLOOKUP(9^99,FILTER({ROW(P$2:P952),P$2:P952},D$2:D952=D953),2),(VLOOKUP(9^99,FILTER({ROW(P$2:P952),P$2:P952},D$2:D952=D953),2)*VLOOKUP(9^99,FILTER({ROW(O$2:O952),O$2:O952},D$2:D952=D953),2)-N953)/O953),J953))"),"")</f>
        <v/>
      </c>
      <c r="Q953" s="264" t="str">
        <f>IFERROR(__xludf.DUMMYFUNCTION("IFERROR(IF(F953=""Crypto"",B953,(IF(ISBLANK(D953),"""",IF(D953=""Cash"",B953,IF(GOOGLEFINANCE(D953,""CURRENCY"")=""GBX"",""GBP"",GOOGLEFINANCE(D953,""CURRENCY"")))))),B953)"),"")</f>
        <v/>
      </c>
      <c r="R953" s="263" t="str">
        <f>IFERROR(__xludf.DUMMYFUNCTION("IF(ISBLANK(A953),"""",IFERROR(IF(OR(Q953=""GPB"",Q953=""ZAR""),IF(Q953=Dashboard!$L$1,K953,(K953*GOOGLEFINANCE(""CURRENCY:""&amp;Q953&amp;""""&amp;Dashboard!$L$1&amp;""""))/100),IF(Q953=Dashboard!$L$1,K953,K953*GOOGLEFINANCE(""CURRENCY:""&amp;Q953&amp;""""&amp;Dashboard!$L$1&amp;"""")))"&amp;",K953))"),"")</f>
        <v/>
      </c>
      <c r="S953" s="266" t="str">
        <f>IFERROR(__xludf.DUMMYFUNCTION("IF(ISBLANK(A953),"""",IFERROR(IF(OR(Q953=""GPB"",Q953=""ZAR""),IF(Q953=Dashboard!$L$1,M953,(M953*GOOGLEFINANCE(""CURRENCY:""&amp;Q953&amp;""""&amp;Dashboard!$L$1&amp;""""))/100),IF(Q953=Dashboard!$L$1,M953,M953*GOOGLEFINANCE(""CURRENCY:""&amp;Q953&amp;""""&amp;Dashboard!$L$1&amp;"""")))"&amp;",M953))"),"")</f>
        <v/>
      </c>
      <c r="T953" s="264" t="str">
        <f t="shared" si="4"/>
        <v/>
      </c>
      <c r="U953" s="264" t="str">
        <f t="shared" si="5"/>
        <v/>
      </c>
      <c r="V953" s="264" t="str">
        <f t="shared" si="6"/>
        <v/>
      </c>
      <c r="W953" s="267" t="str">
        <f t="shared" si="8"/>
        <v/>
      </c>
      <c r="X953" s="264" t="str">
        <f t="shared" si="7"/>
        <v/>
      </c>
    </row>
    <row r="954" ht="15.75" customHeight="1">
      <c r="A954" s="258"/>
      <c r="B954" s="258"/>
      <c r="C954" s="269"/>
      <c r="D954" s="258"/>
      <c r="E954" s="258"/>
      <c r="F954" s="258"/>
      <c r="G954" s="258"/>
      <c r="H954" s="271"/>
      <c r="I954" s="258"/>
      <c r="J954" s="272"/>
      <c r="K954" s="260"/>
      <c r="L954" s="261"/>
      <c r="M954" s="262" t="str">
        <f t="shared" si="1"/>
        <v/>
      </c>
      <c r="N954" s="263" t="str">
        <f t="shared" si="2"/>
        <v/>
      </c>
      <c r="O954" s="264" t="str">
        <f t="shared" si="3"/>
        <v/>
      </c>
      <c r="P954" s="265" t="str">
        <f>IFERROR(__xludf.DUMMYFUNCTION("IF(ISBLANK(A954),"""",IFERROR(IF(H954=""Sell"",VLOOKUP(9^99,FILTER({ROW(P$2:P953),P$2:P953},D$2:D953=D954),2),(VLOOKUP(9^99,FILTER({ROW(P$2:P953),P$2:P953},D$2:D953=D954),2)*VLOOKUP(9^99,FILTER({ROW(O$2:O953),O$2:O953},D$2:D953=D954),2)-N954)/O954),J954))"),"")</f>
        <v/>
      </c>
      <c r="Q954" s="264" t="str">
        <f>IFERROR(__xludf.DUMMYFUNCTION("IFERROR(IF(F954=""Crypto"",B954,(IF(ISBLANK(D954),"""",IF(D954=""Cash"",B954,IF(GOOGLEFINANCE(D954,""CURRENCY"")=""GBX"",""GBP"",GOOGLEFINANCE(D954,""CURRENCY"")))))),B954)"),"")</f>
        <v/>
      </c>
      <c r="R954" s="263" t="str">
        <f>IFERROR(__xludf.DUMMYFUNCTION("IF(ISBLANK(A954),"""",IFERROR(IF(OR(Q954=""GPB"",Q954=""ZAR""),IF(Q954=Dashboard!$L$1,K954,(K954*GOOGLEFINANCE(""CURRENCY:""&amp;Q954&amp;""""&amp;Dashboard!$L$1&amp;""""))/100),IF(Q954=Dashboard!$L$1,K954,K954*GOOGLEFINANCE(""CURRENCY:""&amp;Q954&amp;""""&amp;Dashboard!$L$1&amp;"""")))"&amp;",K954))"),"")</f>
        <v/>
      </c>
      <c r="S954" s="266" t="str">
        <f>IFERROR(__xludf.DUMMYFUNCTION("IF(ISBLANK(A954),"""",IFERROR(IF(OR(Q954=""GPB"",Q954=""ZAR""),IF(Q954=Dashboard!$L$1,M954,(M954*GOOGLEFINANCE(""CURRENCY:""&amp;Q954&amp;""""&amp;Dashboard!$L$1&amp;""""))/100),IF(Q954=Dashboard!$L$1,M954,M954*GOOGLEFINANCE(""CURRENCY:""&amp;Q954&amp;""""&amp;Dashboard!$L$1&amp;"""")))"&amp;",M954))"),"")</f>
        <v/>
      </c>
      <c r="T954" s="264" t="str">
        <f t="shared" si="4"/>
        <v/>
      </c>
      <c r="U954" s="264" t="str">
        <f t="shared" si="5"/>
        <v/>
      </c>
      <c r="V954" s="264" t="str">
        <f t="shared" si="6"/>
        <v/>
      </c>
      <c r="W954" s="267" t="str">
        <f t="shared" si="8"/>
        <v/>
      </c>
      <c r="X954" s="264" t="str">
        <f t="shared" si="7"/>
        <v/>
      </c>
    </row>
    <row r="955" ht="15.75" customHeight="1">
      <c r="A955" s="258"/>
      <c r="B955" s="258"/>
      <c r="C955" s="269"/>
      <c r="D955" s="258"/>
      <c r="E955" s="258"/>
      <c r="F955" s="258"/>
      <c r="G955" s="258"/>
      <c r="H955" s="271"/>
      <c r="I955" s="258"/>
      <c r="J955" s="272"/>
      <c r="K955" s="260"/>
      <c r="L955" s="261"/>
      <c r="M955" s="262" t="str">
        <f t="shared" si="1"/>
        <v/>
      </c>
      <c r="N955" s="263" t="str">
        <f t="shared" si="2"/>
        <v/>
      </c>
      <c r="O955" s="264" t="str">
        <f t="shared" si="3"/>
        <v/>
      </c>
      <c r="P955" s="265" t="str">
        <f>IFERROR(__xludf.DUMMYFUNCTION("IF(ISBLANK(A955),"""",IFERROR(IF(H955=""Sell"",VLOOKUP(9^99,FILTER({ROW(P$2:P954),P$2:P954},D$2:D954=D955),2),(VLOOKUP(9^99,FILTER({ROW(P$2:P954),P$2:P954},D$2:D954=D955),2)*VLOOKUP(9^99,FILTER({ROW(O$2:O954),O$2:O954},D$2:D954=D955),2)-N955)/O955),J955))"),"")</f>
        <v/>
      </c>
      <c r="Q955" s="264" t="str">
        <f>IFERROR(__xludf.DUMMYFUNCTION("IFERROR(IF(F955=""Crypto"",B955,(IF(ISBLANK(D955),"""",IF(D955=""Cash"",B955,IF(GOOGLEFINANCE(D955,""CURRENCY"")=""GBX"",""GBP"",GOOGLEFINANCE(D955,""CURRENCY"")))))),B955)"),"")</f>
        <v/>
      </c>
      <c r="R955" s="263" t="str">
        <f>IFERROR(__xludf.DUMMYFUNCTION("IF(ISBLANK(A955),"""",IFERROR(IF(OR(Q955=""GPB"",Q955=""ZAR""),IF(Q955=Dashboard!$L$1,K955,(K955*GOOGLEFINANCE(""CURRENCY:""&amp;Q955&amp;""""&amp;Dashboard!$L$1&amp;""""))/100),IF(Q955=Dashboard!$L$1,K955,K955*GOOGLEFINANCE(""CURRENCY:""&amp;Q955&amp;""""&amp;Dashboard!$L$1&amp;"""")))"&amp;",K955))"),"")</f>
        <v/>
      </c>
      <c r="S955" s="266" t="str">
        <f>IFERROR(__xludf.DUMMYFUNCTION("IF(ISBLANK(A955),"""",IFERROR(IF(OR(Q955=""GPB"",Q955=""ZAR""),IF(Q955=Dashboard!$L$1,M955,(M955*GOOGLEFINANCE(""CURRENCY:""&amp;Q955&amp;""""&amp;Dashboard!$L$1&amp;""""))/100),IF(Q955=Dashboard!$L$1,M955,M955*GOOGLEFINANCE(""CURRENCY:""&amp;Q955&amp;""""&amp;Dashboard!$L$1&amp;"""")))"&amp;",M955))"),"")</f>
        <v/>
      </c>
      <c r="T955" s="264" t="str">
        <f t="shared" si="4"/>
        <v/>
      </c>
      <c r="U955" s="264" t="str">
        <f t="shared" si="5"/>
        <v/>
      </c>
      <c r="V955" s="264" t="str">
        <f t="shared" si="6"/>
        <v/>
      </c>
      <c r="W955" s="267" t="str">
        <f t="shared" si="8"/>
        <v/>
      </c>
      <c r="X955" s="264" t="str">
        <f t="shared" si="7"/>
        <v/>
      </c>
    </row>
    <row r="956" ht="15.75" customHeight="1">
      <c r="A956" s="258"/>
      <c r="B956" s="258"/>
      <c r="C956" s="269"/>
      <c r="D956" s="258"/>
      <c r="E956" s="258"/>
      <c r="F956" s="258"/>
      <c r="G956" s="258"/>
      <c r="H956" s="271"/>
      <c r="I956" s="258"/>
      <c r="J956" s="272"/>
      <c r="K956" s="260"/>
      <c r="L956" s="261"/>
      <c r="M956" s="262" t="str">
        <f t="shared" si="1"/>
        <v/>
      </c>
      <c r="N956" s="263" t="str">
        <f t="shared" si="2"/>
        <v/>
      </c>
      <c r="O956" s="264" t="str">
        <f t="shared" si="3"/>
        <v/>
      </c>
      <c r="P956" s="265" t="str">
        <f>IFERROR(__xludf.DUMMYFUNCTION("IF(ISBLANK(A956),"""",IFERROR(IF(H956=""Sell"",VLOOKUP(9^99,FILTER({ROW(P$2:P955),P$2:P955},D$2:D955=D956),2),(VLOOKUP(9^99,FILTER({ROW(P$2:P955),P$2:P955},D$2:D955=D956),2)*VLOOKUP(9^99,FILTER({ROW(O$2:O955),O$2:O955},D$2:D955=D956),2)-N956)/O956),J956))"),"")</f>
        <v/>
      </c>
      <c r="Q956" s="264" t="str">
        <f>IFERROR(__xludf.DUMMYFUNCTION("IFERROR(IF(F956=""Crypto"",B956,(IF(ISBLANK(D956),"""",IF(D956=""Cash"",B956,IF(GOOGLEFINANCE(D956,""CURRENCY"")=""GBX"",""GBP"",GOOGLEFINANCE(D956,""CURRENCY"")))))),B956)"),"")</f>
        <v/>
      </c>
      <c r="R956" s="263" t="str">
        <f>IFERROR(__xludf.DUMMYFUNCTION("IF(ISBLANK(A956),"""",IFERROR(IF(OR(Q956=""GPB"",Q956=""ZAR""),IF(Q956=Dashboard!$L$1,K956,(K956*GOOGLEFINANCE(""CURRENCY:""&amp;Q956&amp;""""&amp;Dashboard!$L$1&amp;""""))/100),IF(Q956=Dashboard!$L$1,K956,K956*GOOGLEFINANCE(""CURRENCY:""&amp;Q956&amp;""""&amp;Dashboard!$L$1&amp;"""")))"&amp;",K956))"),"")</f>
        <v/>
      </c>
      <c r="S956" s="266" t="str">
        <f>IFERROR(__xludf.DUMMYFUNCTION("IF(ISBLANK(A956),"""",IFERROR(IF(OR(Q956=""GPB"",Q956=""ZAR""),IF(Q956=Dashboard!$L$1,M956,(M956*GOOGLEFINANCE(""CURRENCY:""&amp;Q956&amp;""""&amp;Dashboard!$L$1&amp;""""))/100),IF(Q956=Dashboard!$L$1,M956,M956*GOOGLEFINANCE(""CURRENCY:""&amp;Q956&amp;""""&amp;Dashboard!$L$1&amp;"""")))"&amp;",M956))"),"")</f>
        <v/>
      </c>
      <c r="T956" s="264" t="str">
        <f t="shared" si="4"/>
        <v/>
      </c>
      <c r="U956" s="264" t="str">
        <f t="shared" si="5"/>
        <v/>
      </c>
      <c r="V956" s="264" t="str">
        <f t="shared" si="6"/>
        <v/>
      </c>
      <c r="W956" s="267" t="str">
        <f t="shared" si="8"/>
        <v/>
      </c>
      <c r="X956" s="264" t="str">
        <f t="shared" si="7"/>
        <v/>
      </c>
    </row>
    <row r="957" ht="15.75" customHeight="1">
      <c r="A957" s="258"/>
      <c r="B957" s="258"/>
      <c r="C957" s="269"/>
      <c r="D957" s="258"/>
      <c r="E957" s="258"/>
      <c r="F957" s="258"/>
      <c r="G957" s="258"/>
      <c r="H957" s="271"/>
      <c r="I957" s="258"/>
      <c r="J957" s="272"/>
      <c r="K957" s="260"/>
      <c r="L957" s="261"/>
      <c r="M957" s="262" t="str">
        <f t="shared" si="1"/>
        <v/>
      </c>
      <c r="N957" s="263" t="str">
        <f t="shared" si="2"/>
        <v/>
      </c>
      <c r="O957" s="264" t="str">
        <f t="shared" si="3"/>
        <v/>
      </c>
      <c r="P957" s="265" t="str">
        <f>IFERROR(__xludf.DUMMYFUNCTION("IF(ISBLANK(A957),"""",IFERROR(IF(H957=""Sell"",VLOOKUP(9^99,FILTER({ROW(P$2:P956),P$2:P956},D$2:D956=D957),2),(VLOOKUP(9^99,FILTER({ROW(P$2:P956),P$2:P956},D$2:D956=D957),2)*VLOOKUP(9^99,FILTER({ROW(O$2:O956),O$2:O956},D$2:D956=D957),2)-N957)/O957),J957))"),"")</f>
        <v/>
      </c>
      <c r="Q957" s="264" t="str">
        <f>IFERROR(__xludf.DUMMYFUNCTION("IFERROR(IF(F957=""Crypto"",B957,(IF(ISBLANK(D957),"""",IF(D957=""Cash"",B957,IF(GOOGLEFINANCE(D957,""CURRENCY"")=""GBX"",""GBP"",GOOGLEFINANCE(D957,""CURRENCY"")))))),B957)"),"")</f>
        <v/>
      </c>
      <c r="R957" s="263" t="str">
        <f>IFERROR(__xludf.DUMMYFUNCTION("IF(ISBLANK(A957),"""",IFERROR(IF(OR(Q957=""GPB"",Q957=""ZAR""),IF(Q957=Dashboard!$L$1,K957,(K957*GOOGLEFINANCE(""CURRENCY:""&amp;Q957&amp;""""&amp;Dashboard!$L$1&amp;""""))/100),IF(Q957=Dashboard!$L$1,K957,K957*GOOGLEFINANCE(""CURRENCY:""&amp;Q957&amp;""""&amp;Dashboard!$L$1&amp;"""")))"&amp;",K957))"),"")</f>
        <v/>
      </c>
      <c r="S957" s="266" t="str">
        <f>IFERROR(__xludf.DUMMYFUNCTION("IF(ISBLANK(A957),"""",IFERROR(IF(OR(Q957=""GPB"",Q957=""ZAR""),IF(Q957=Dashboard!$L$1,M957,(M957*GOOGLEFINANCE(""CURRENCY:""&amp;Q957&amp;""""&amp;Dashboard!$L$1&amp;""""))/100),IF(Q957=Dashboard!$L$1,M957,M957*GOOGLEFINANCE(""CURRENCY:""&amp;Q957&amp;""""&amp;Dashboard!$L$1&amp;"""")))"&amp;",M957))"),"")</f>
        <v/>
      </c>
      <c r="T957" s="264" t="str">
        <f t="shared" si="4"/>
        <v/>
      </c>
      <c r="U957" s="264" t="str">
        <f t="shared" si="5"/>
        <v/>
      </c>
      <c r="V957" s="264" t="str">
        <f t="shared" si="6"/>
        <v/>
      </c>
      <c r="W957" s="267" t="str">
        <f t="shared" si="8"/>
        <v/>
      </c>
      <c r="X957" s="264" t="str">
        <f t="shared" si="7"/>
        <v/>
      </c>
    </row>
    <row r="958" ht="15.75" customHeight="1">
      <c r="A958" s="258"/>
      <c r="B958" s="258"/>
      <c r="C958" s="269"/>
      <c r="D958" s="258"/>
      <c r="E958" s="258"/>
      <c r="F958" s="258"/>
      <c r="G958" s="258"/>
      <c r="H958" s="271"/>
      <c r="I958" s="258"/>
      <c r="J958" s="272"/>
      <c r="K958" s="260"/>
      <c r="L958" s="261"/>
      <c r="M958" s="262" t="str">
        <f t="shared" si="1"/>
        <v/>
      </c>
      <c r="N958" s="263" t="str">
        <f t="shared" si="2"/>
        <v/>
      </c>
      <c r="O958" s="264" t="str">
        <f t="shared" si="3"/>
        <v/>
      </c>
      <c r="P958" s="265" t="str">
        <f>IFERROR(__xludf.DUMMYFUNCTION("IF(ISBLANK(A958),"""",IFERROR(IF(H958=""Sell"",VLOOKUP(9^99,FILTER({ROW(P$2:P957),P$2:P957},D$2:D957=D958),2),(VLOOKUP(9^99,FILTER({ROW(P$2:P957),P$2:P957},D$2:D957=D958),2)*VLOOKUP(9^99,FILTER({ROW(O$2:O957),O$2:O957},D$2:D957=D958),2)-N958)/O958),J958))"),"")</f>
        <v/>
      </c>
      <c r="Q958" s="264" t="str">
        <f>IFERROR(__xludf.DUMMYFUNCTION("IFERROR(IF(F958=""Crypto"",B958,(IF(ISBLANK(D958),"""",IF(D958=""Cash"",B958,IF(GOOGLEFINANCE(D958,""CURRENCY"")=""GBX"",""GBP"",GOOGLEFINANCE(D958,""CURRENCY"")))))),B958)"),"")</f>
        <v/>
      </c>
      <c r="R958" s="263" t="str">
        <f>IFERROR(__xludf.DUMMYFUNCTION("IF(ISBLANK(A958),"""",IFERROR(IF(OR(Q958=""GPB"",Q958=""ZAR""),IF(Q958=Dashboard!$L$1,K958,(K958*GOOGLEFINANCE(""CURRENCY:""&amp;Q958&amp;""""&amp;Dashboard!$L$1&amp;""""))/100),IF(Q958=Dashboard!$L$1,K958,K958*GOOGLEFINANCE(""CURRENCY:""&amp;Q958&amp;""""&amp;Dashboard!$L$1&amp;"""")))"&amp;",K958))"),"")</f>
        <v/>
      </c>
      <c r="S958" s="266" t="str">
        <f>IFERROR(__xludf.DUMMYFUNCTION("IF(ISBLANK(A958),"""",IFERROR(IF(OR(Q958=""GPB"",Q958=""ZAR""),IF(Q958=Dashboard!$L$1,M958,(M958*GOOGLEFINANCE(""CURRENCY:""&amp;Q958&amp;""""&amp;Dashboard!$L$1&amp;""""))/100),IF(Q958=Dashboard!$L$1,M958,M958*GOOGLEFINANCE(""CURRENCY:""&amp;Q958&amp;""""&amp;Dashboard!$L$1&amp;"""")))"&amp;",M958))"),"")</f>
        <v/>
      </c>
      <c r="T958" s="264" t="str">
        <f t="shared" si="4"/>
        <v/>
      </c>
      <c r="U958" s="264" t="str">
        <f t="shared" si="5"/>
        <v/>
      </c>
      <c r="V958" s="264" t="str">
        <f t="shared" si="6"/>
        <v/>
      </c>
      <c r="W958" s="267" t="str">
        <f t="shared" si="8"/>
        <v/>
      </c>
      <c r="X958" s="264" t="str">
        <f t="shared" si="7"/>
        <v/>
      </c>
    </row>
    <row r="959" ht="15.75" customHeight="1">
      <c r="A959" s="258"/>
      <c r="B959" s="258"/>
      <c r="C959" s="269"/>
      <c r="D959" s="258"/>
      <c r="E959" s="258"/>
      <c r="F959" s="258"/>
      <c r="G959" s="258"/>
      <c r="H959" s="271"/>
      <c r="I959" s="258"/>
      <c r="J959" s="272"/>
      <c r="K959" s="260"/>
      <c r="L959" s="261"/>
      <c r="M959" s="262" t="str">
        <f t="shared" si="1"/>
        <v/>
      </c>
      <c r="N959" s="263" t="str">
        <f t="shared" si="2"/>
        <v/>
      </c>
      <c r="O959" s="264" t="str">
        <f t="shared" si="3"/>
        <v/>
      </c>
      <c r="P959" s="265" t="str">
        <f>IFERROR(__xludf.DUMMYFUNCTION("IF(ISBLANK(A959),"""",IFERROR(IF(H959=""Sell"",VLOOKUP(9^99,FILTER({ROW(P$2:P958),P$2:P958},D$2:D958=D959),2),(VLOOKUP(9^99,FILTER({ROW(P$2:P958),P$2:P958},D$2:D958=D959),2)*VLOOKUP(9^99,FILTER({ROW(O$2:O958),O$2:O958},D$2:D958=D959),2)-N959)/O959),J959))"),"")</f>
        <v/>
      </c>
      <c r="Q959" s="264" t="str">
        <f>IFERROR(__xludf.DUMMYFUNCTION("IFERROR(IF(F959=""Crypto"",B959,(IF(ISBLANK(D959),"""",IF(D959=""Cash"",B959,IF(GOOGLEFINANCE(D959,""CURRENCY"")=""GBX"",""GBP"",GOOGLEFINANCE(D959,""CURRENCY"")))))),B959)"),"")</f>
        <v/>
      </c>
      <c r="R959" s="263" t="str">
        <f>IFERROR(__xludf.DUMMYFUNCTION("IF(ISBLANK(A959),"""",IFERROR(IF(OR(Q959=""GPB"",Q959=""ZAR""),IF(Q959=Dashboard!$L$1,K959,(K959*GOOGLEFINANCE(""CURRENCY:""&amp;Q959&amp;""""&amp;Dashboard!$L$1&amp;""""))/100),IF(Q959=Dashboard!$L$1,K959,K959*GOOGLEFINANCE(""CURRENCY:""&amp;Q959&amp;""""&amp;Dashboard!$L$1&amp;"""")))"&amp;",K959))"),"")</f>
        <v/>
      </c>
      <c r="S959" s="266" t="str">
        <f>IFERROR(__xludf.DUMMYFUNCTION("IF(ISBLANK(A959),"""",IFERROR(IF(OR(Q959=""GPB"",Q959=""ZAR""),IF(Q959=Dashboard!$L$1,M959,(M959*GOOGLEFINANCE(""CURRENCY:""&amp;Q959&amp;""""&amp;Dashboard!$L$1&amp;""""))/100),IF(Q959=Dashboard!$L$1,M959,M959*GOOGLEFINANCE(""CURRENCY:""&amp;Q959&amp;""""&amp;Dashboard!$L$1&amp;"""")))"&amp;",M959))"),"")</f>
        <v/>
      </c>
      <c r="T959" s="264" t="str">
        <f t="shared" si="4"/>
        <v/>
      </c>
      <c r="U959" s="264" t="str">
        <f t="shared" si="5"/>
        <v/>
      </c>
      <c r="V959" s="264" t="str">
        <f t="shared" si="6"/>
        <v/>
      </c>
      <c r="W959" s="267" t="str">
        <f t="shared" si="8"/>
        <v/>
      </c>
      <c r="X959" s="264" t="str">
        <f t="shared" si="7"/>
        <v/>
      </c>
    </row>
    <row r="960" ht="15.75" customHeight="1">
      <c r="A960" s="258"/>
      <c r="B960" s="258"/>
      <c r="C960" s="269"/>
      <c r="D960" s="258"/>
      <c r="E960" s="258"/>
      <c r="F960" s="258"/>
      <c r="G960" s="258"/>
      <c r="H960" s="271"/>
      <c r="I960" s="258"/>
      <c r="J960" s="272"/>
      <c r="K960" s="260"/>
      <c r="L960" s="261"/>
      <c r="M960" s="262" t="str">
        <f t="shared" si="1"/>
        <v/>
      </c>
      <c r="N960" s="263" t="str">
        <f t="shared" si="2"/>
        <v/>
      </c>
      <c r="O960" s="264" t="str">
        <f t="shared" si="3"/>
        <v/>
      </c>
      <c r="P960" s="265" t="str">
        <f>IFERROR(__xludf.DUMMYFUNCTION("IF(ISBLANK(A960),"""",IFERROR(IF(H960=""Sell"",VLOOKUP(9^99,FILTER({ROW(P$2:P959),P$2:P959},D$2:D959=D960),2),(VLOOKUP(9^99,FILTER({ROW(P$2:P959),P$2:P959},D$2:D959=D960),2)*VLOOKUP(9^99,FILTER({ROW(O$2:O959),O$2:O959},D$2:D959=D960),2)-N960)/O960),J960))"),"")</f>
        <v/>
      </c>
      <c r="Q960" s="264" t="str">
        <f>IFERROR(__xludf.DUMMYFUNCTION("IFERROR(IF(F960=""Crypto"",B960,(IF(ISBLANK(D960),"""",IF(D960=""Cash"",B960,IF(GOOGLEFINANCE(D960,""CURRENCY"")=""GBX"",""GBP"",GOOGLEFINANCE(D960,""CURRENCY"")))))),B960)"),"")</f>
        <v/>
      </c>
      <c r="R960" s="263" t="str">
        <f>IFERROR(__xludf.DUMMYFUNCTION("IF(ISBLANK(A960),"""",IFERROR(IF(OR(Q960=""GPB"",Q960=""ZAR""),IF(Q960=Dashboard!$L$1,K960,(K960*GOOGLEFINANCE(""CURRENCY:""&amp;Q960&amp;""""&amp;Dashboard!$L$1&amp;""""))/100),IF(Q960=Dashboard!$L$1,K960,K960*GOOGLEFINANCE(""CURRENCY:""&amp;Q960&amp;""""&amp;Dashboard!$L$1&amp;"""")))"&amp;",K960))"),"")</f>
        <v/>
      </c>
      <c r="S960" s="266" t="str">
        <f>IFERROR(__xludf.DUMMYFUNCTION("IF(ISBLANK(A960),"""",IFERROR(IF(OR(Q960=""GPB"",Q960=""ZAR""),IF(Q960=Dashboard!$L$1,M960,(M960*GOOGLEFINANCE(""CURRENCY:""&amp;Q960&amp;""""&amp;Dashboard!$L$1&amp;""""))/100),IF(Q960=Dashboard!$L$1,M960,M960*GOOGLEFINANCE(""CURRENCY:""&amp;Q960&amp;""""&amp;Dashboard!$L$1&amp;"""")))"&amp;",M960))"),"")</f>
        <v/>
      </c>
      <c r="T960" s="264" t="str">
        <f t="shared" si="4"/>
        <v/>
      </c>
      <c r="U960" s="264" t="str">
        <f t="shared" si="5"/>
        <v/>
      </c>
      <c r="V960" s="264" t="str">
        <f t="shared" si="6"/>
        <v/>
      </c>
      <c r="W960" s="267" t="str">
        <f t="shared" si="8"/>
        <v/>
      </c>
      <c r="X960" s="264" t="str">
        <f t="shared" si="7"/>
        <v/>
      </c>
    </row>
    <row r="961" ht="15.75" customHeight="1">
      <c r="A961" s="258"/>
      <c r="B961" s="258"/>
      <c r="C961" s="269"/>
      <c r="D961" s="258"/>
      <c r="E961" s="258"/>
      <c r="F961" s="258"/>
      <c r="G961" s="258"/>
      <c r="H961" s="271"/>
      <c r="I961" s="258"/>
      <c r="J961" s="272"/>
      <c r="K961" s="260"/>
      <c r="L961" s="261"/>
      <c r="M961" s="262" t="str">
        <f t="shared" si="1"/>
        <v/>
      </c>
      <c r="N961" s="263" t="str">
        <f t="shared" si="2"/>
        <v/>
      </c>
      <c r="O961" s="264" t="str">
        <f t="shared" si="3"/>
        <v/>
      </c>
      <c r="P961" s="265" t="str">
        <f>IFERROR(__xludf.DUMMYFUNCTION("IF(ISBLANK(A961),"""",IFERROR(IF(H961=""Sell"",VLOOKUP(9^99,FILTER({ROW(P$2:P960),P$2:P960},D$2:D960=D961),2),(VLOOKUP(9^99,FILTER({ROW(P$2:P960),P$2:P960},D$2:D960=D961),2)*VLOOKUP(9^99,FILTER({ROW(O$2:O960),O$2:O960},D$2:D960=D961),2)-N961)/O961),J961))"),"")</f>
        <v/>
      </c>
      <c r="Q961" s="264" t="str">
        <f>IFERROR(__xludf.DUMMYFUNCTION("IFERROR(IF(F961=""Crypto"",B961,(IF(ISBLANK(D961),"""",IF(D961=""Cash"",B961,IF(GOOGLEFINANCE(D961,""CURRENCY"")=""GBX"",""GBP"",GOOGLEFINANCE(D961,""CURRENCY"")))))),B961)"),"")</f>
        <v/>
      </c>
      <c r="R961" s="263" t="str">
        <f>IFERROR(__xludf.DUMMYFUNCTION("IF(ISBLANK(A961),"""",IFERROR(IF(OR(Q961=""GPB"",Q961=""ZAR""),IF(Q961=Dashboard!$L$1,K961,(K961*GOOGLEFINANCE(""CURRENCY:""&amp;Q961&amp;""""&amp;Dashboard!$L$1&amp;""""))/100),IF(Q961=Dashboard!$L$1,K961,K961*GOOGLEFINANCE(""CURRENCY:""&amp;Q961&amp;""""&amp;Dashboard!$L$1&amp;"""")))"&amp;",K961))"),"")</f>
        <v/>
      </c>
      <c r="S961" s="266" t="str">
        <f>IFERROR(__xludf.DUMMYFUNCTION("IF(ISBLANK(A961),"""",IFERROR(IF(OR(Q961=""GPB"",Q961=""ZAR""),IF(Q961=Dashboard!$L$1,M961,(M961*GOOGLEFINANCE(""CURRENCY:""&amp;Q961&amp;""""&amp;Dashboard!$L$1&amp;""""))/100),IF(Q961=Dashboard!$L$1,M961,M961*GOOGLEFINANCE(""CURRENCY:""&amp;Q961&amp;""""&amp;Dashboard!$L$1&amp;"""")))"&amp;",M961))"),"")</f>
        <v/>
      </c>
      <c r="T961" s="264" t="str">
        <f t="shared" si="4"/>
        <v/>
      </c>
      <c r="U961" s="264" t="str">
        <f t="shared" si="5"/>
        <v/>
      </c>
      <c r="V961" s="264" t="str">
        <f t="shared" si="6"/>
        <v/>
      </c>
      <c r="W961" s="267" t="str">
        <f t="shared" si="8"/>
        <v/>
      </c>
      <c r="X961" s="264" t="str">
        <f t="shared" si="7"/>
        <v/>
      </c>
    </row>
    <row r="962" ht="15.75" customHeight="1">
      <c r="A962" s="258"/>
      <c r="B962" s="258"/>
      <c r="C962" s="269"/>
      <c r="D962" s="258"/>
      <c r="E962" s="258"/>
      <c r="F962" s="258"/>
      <c r="G962" s="258"/>
      <c r="H962" s="271"/>
      <c r="I962" s="258"/>
      <c r="J962" s="272"/>
      <c r="K962" s="260"/>
      <c r="L962" s="261"/>
      <c r="M962" s="262" t="str">
        <f t="shared" si="1"/>
        <v/>
      </c>
      <c r="N962" s="263" t="str">
        <f t="shared" si="2"/>
        <v/>
      </c>
      <c r="O962" s="264" t="str">
        <f t="shared" si="3"/>
        <v/>
      </c>
      <c r="P962" s="265" t="str">
        <f>IFERROR(__xludf.DUMMYFUNCTION("IF(ISBLANK(A962),"""",IFERROR(IF(H962=""Sell"",VLOOKUP(9^99,FILTER({ROW(P$2:P961),P$2:P961},D$2:D961=D962),2),(VLOOKUP(9^99,FILTER({ROW(P$2:P961),P$2:P961},D$2:D961=D962),2)*VLOOKUP(9^99,FILTER({ROW(O$2:O961),O$2:O961},D$2:D961=D962),2)-N962)/O962),J962))"),"")</f>
        <v/>
      </c>
      <c r="Q962" s="264" t="str">
        <f>IFERROR(__xludf.DUMMYFUNCTION("IFERROR(IF(F962=""Crypto"",B962,(IF(ISBLANK(D962),"""",IF(D962=""Cash"",B962,IF(GOOGLEFINANCE(D962,""CURRENCY"")=""GBX"",""GBP"",GOOGLEFINANCE(D962,""CURRENCY"")))))),B962)"),"")</f>
        <v/>
      </c>
      <c r="R962" s="263" t="str">
        <f>IFERROR(__xludf.DUMMYFUNCTION("IF(ISBLANK(A962),"""",IFERROR(IF(OR(Q962=""GPB"",Q962=""ZAR""),IF(Q962=Dashboard!$L$1,K962,(K962*GOOGLEFINANCE(""CURRENCY:""&amp;Q962&amp;""""&amp;Dashboard!$L$1&amp;""""))/100),IF(Q962=Dashboard!$L$1,K962,K962*GOOGLEFINANCE(""CURRENCY:""&amp;Q962&amp;""""&amp;Dashboard!$L$1&amp;"""")))"&amp;",K962))"),"")</f>
        <v/>
      </c>
      <c r="S962" s="266" t="str">
        <f>IFERROR(__xludf.DUMMYFUNCTION("IF(ISBLANK(A962),"""",IFERROR(IF(OR(Q962=""GPB"",Q962=""ZAR""),IF(Q962=Dashboard!$L$1,M962,(M962*GOOGLEFINANCE(""CURRENCY:""&amp;Q962&amp;""""&amp;Dashboard!$L$1&amp;""""))/100),IF(Q962=Dashboard!$L$1,M962,M962*GOOGLEFINANCE(""CURRENCY:""&amp;Q962&amp;""""&amp;Dashboard!$L$1&amp;"""")))"&amp;",M962))"),"")</f>
        <v/>
      </c>
      <c r="T962" s="264" t="str">
        <f t="shared" si="4"/>
        <v/>
      </c>
      <c r="U962" s="264" t="str">
        <f t="shared" si="5"/>
        <v/>
      </c>
      <c r="V962" s="264" t="str">
        <f t="shared" si="6"/>
        <v/>
      </c>
      <c r="W962" s="267" t="str">
        <f t="shared" si="8"/>
        <v/>
      </c>
      <c r="X962" s="264" t="str">
        <f t="shared" si="7"/>
        <v/>
      </c>
    </row>
    <row r="963" ht="15.75" customHeight="1">
      <c r="A963" s="258"/>
      <c r="B963" s="258"/>
      <c r="C963" s="269"/>
      <c r="D963" s="258"/>
      <c r="E963" s="258"/>
      <c r="F963" s="258"/>
      <c r="G963" s="258"/>
      <c r="H963" s="271"/>
      <c r="I963" s="258"/>
      <c r="J963" s="272"/>
      <c r="K963" s="260"/>
      <c r="L963" s="261"/>
      <c r="M963" s="262" t="str">
        <f t="shared" si="1"/>
        <v/>
      </c>
      <c r="N963" s="263" t="str">
        <f t="shared" si="2"/>
        <v/>
      </c>
      <c r="O963" s="264" t="str">
        <f t="shared" si="3"/>
        <v/>
      </c>
      <c r="P963" s="265" t="str">
        <f>IFERROR(__xludf.DUMMYFUNCTION("IF(ISBLANK(A963),"""",IFERROR(IF(H963=""Sell"",VLOOKUP(9^99,FILTER({ROW(P$2:P962),P$2:P962},D$2:D962=D963),2),(VLOOKUP(9^99,FILTER({ROW(P$2:P962),P$2:P962},D$2:D962=D963),2)*VLOOKUP(9^99,FILTER({ROW(O$2:O962),O$2:O962},D$2:D962=D963),2)-N963)/O963),J963))"),"")</f>
        <v/>
      </c>
      <c r="Q963" s="264" t="str">
        <f>IFERROR(__xludf.DUMMYFUNCTION("IFERROR(IF(F963=""Crypto"",B963,(IF(ISBLANK(D963),"""",IF(D963=""Cash"",B963,IF(GOOGLEFINANCE(D963,""CURRENCY"")=""GBX"",""GBP"",GOOGLEFINANCE(D963,""CURRENCY"")))))),B963)"),"")</f>
        <v/>
      </c>
      <c r="R963" s="263" t="str">
        <f>IFERROR(__xludf.DUMMYFUNCTION("IF(ISBLANK(A963),"""",IFERROR(IF(OR(Q963=""GPB"",Q963=""ZAR""),IF(Q963=Dashboard!$L$1,K963,(K963*GOOGLEFINANCE(""CURRENCY:""&amp;Q963&amp;""""&amp;Dashboard!$L$1&amp;""""))/100),IF(Q963=Dashboard!$L$1,K963,K963*GOOGLEFINANCE(""CURRENCY:""&amp;Q963&amp;""""&amp;Dashboard!$L$1&amp;"""")))"&amp;",K963))"),"")</f>
        <v/>
      </c>
      <c r="S963" s="266" t="str">
        <f>IFERROR(__xludf.DUMMYFUNCTION("IF(ISBLANK(A963),"""",IFERROR(IF(OR(Q963=""GPB"",Q963=""ZAR""),IF(Q963=Dashboard!$L$1,M963,(M963*GOOGLEFINANCE(""CURRENCY:""&amp;Q963&amp;""""&amp;Dashboard!$L$1&amp;""""))/100),IF(Q963=Dashboard!$L$1,M963,M963*GOOGLEFINANCE(""CURRENCY:""&amp;Q963&amp;""""&amp;Dashboard!$L$1&amp;"""")))"&amp;",M963))"),"")</f>
        <v/>
      </c>
      <c r="T963" s="264" t="str">
        <f t="shared" si="4"/>
        <v/>
      </c>
      <c r="U963" s="264" t="str">
        <f t="shared" si="5"/>
        <v/>
      </c>
      <c r="V963" s="264" t="str">
        <f t="shared" si="6"/>
        <v/>
      </c>
      <c r="W963" s="267" t="str">
        <f t="shared" si="8"/>
        <v/>
      </c>
      <c r="X963" s="264" t="str">
        <f t="shared" si="7"/>
        <v/>
      </c>
    </row>
    <row r="964" ht="15.75" customHeight="1">
      <c r="A964" s="258"/>
      <c r="B964" s="258"/>
      <c r="C964" s="269"/>
      <c r="D964" s="258"/>
      <c r="E964" s="258"/>
      <c r="F964" s="258"/>
      <c r="G964" s="258"/>
      <c r="H964" s="271"/>
      <c r="I964" s="258"/>
      <c r="J964" s="272"/>
      <c r="K964" s="260"/>
      <c r="L964" s="261"/>
      <c r="M964" s="262" t="str">
        <f t="shared" si="1"/>
        <v/>
      </c>
      <c r="N964" s="263" t="str">
        <f t="shared" si="2"/>
        <v/>
      </c>
      <c r="O964" s="264" t="str">
        <f t="shared" si="3"/>
        <v/>
      </c>
      <c r="P964" s="265" t="str">
        <f>IFERROR(__xludf.DUMMYFUNCTION("IF(ISBLANK(A964),"""",IFERROR(IF(H964=""Sell"",VLOOKUP(9^99,FILTER({ROW(P$2:P963),P$2:P963},D$2:D963=D964),2),(VLOOKUP(9^99,FILTER({ROW(P$2:P963),P$2:P963},D$2:D963=D964),2)*VLOOKUP(9^99,FILTER({ROW(O$2:O963),O$2:O963},D$2:D963=D964),2)-N964)/O964),J964))"),"")</f>
        <v/>
      </c>
      <c r="Q964" s="264" t="str">
        <f>IFERROR(__xludf.DUMMYFUNCTION("IFERROR(IF(F964=""Crypto"",B964,(IF(ISBLANK(D964),"""",IF(D964=""Cash"",B964,IF(GOOGLEFINANCE(D964,""CURRENCY"")=""GBX"",""GBP"",GOOGLEFINANCE(D964,""CURRENCY"")))))),B964)"),"")</f>
        <v/>
      </c>
      <c r="R964" s="263" t="str">
        <f>IFERROR(__xludf.DUMMYFUNCTION("IF(ISBLANK(A964),"""",IFERROR(IF(OR(Q964=""GPB"",Q964=""ZAR""),IF(Q964=Dashboard!$L$1,K964,(K964*GOOGLEFINANCE(""CURRENCY:""&amp;Q964&amp;""""&amp;Dashboard!$L$1&amp;""""))/100),IF(Q964=Dashboard!$L$1,K964,K964*GOOGLEFINANCE(""CURRENCY:""&amp;Q964&amp;""""&amp;Dashboard!$L$1&amp;"""")))"&amp;",K964))"),"")</f>
        <v/>
      </c>
      <c r="S964" s="266" t="str">
        <f>IFERROR(__xludf.DUMMYFUNCTION("IF(ISBLANK(A964),"""",IFERROR(IF(OR(Q964=""GPB"",Q964=""ZAR""),IF(Q964=Dashboard!$L$1,M964,(M964*GOOGLEFINANCE(""CURRENCY:""&amp;Q964&amp;""""&amp;Dashboard!$L$1&amp;""""))/100),IF(Q964=Dashboard!$L$1,M964,M964*GOOGLEFINANCE(""CURRENCY:""&amp;Q964&amp;""""&amp;Dashboard!$L$1&amp;"""")))"&amp;",M964))"),"")</f>
        <v/>
      </c>
      <c r="T964" s="264" t="str">
        <f t="shared" si="4"/>
        <v/>
      </c>
      <c r="U964" s="264" t="str">
        <f t="shared" si="5"/>
        <v/>
      </c>
      <c r="V964" s="264" t="str">
        <f t="shared" si="6"/>
        <v/>
      </c>
      <c r="W964" s="267" t="str">
        <f t="shared" si="8"/>
        <v/>
      </c>
      <c r="X964" s="264" t="str">
        <f t="shared" si="7"/>
        <v/>
      </c>
    </row>
    <row r="965" ht="15.75" customHeight="1">
      <c r="A965" s="258"/>
      <c r="B965" s="258"/>
      <c r="C965" s="269"/>
      <c r="D965" s="258"/>
      <c r="E965" s="258"/>
      <c r="F965" s="258"/>
      <c r="G965" s="258"/>
      <c r="H965" s="271"/>
      <c r="I965" s="258"/>
      <c r="J965" s="272"/>
      <c r="K965" s="260"/>
      <c r="L965" s="261"/>
      <c r="M965" s="262" t="str">
        <f t="shared" si="1"/>
        <v/>
      </c>
      <c r="N965" s="263" t="str">
        <f t="shared" si="2"/>
        <v/>
      </c>
      <c r="O965" s="264" t="str">
        <f t="shared" si="3"/>
        <v/>
      </c>
      <c r="P965" s="265" t="str">
        <f>IFERROR(__xludf.DUMMYFUNCTION("IF(ISBLANK(A965),"""",IFERROR(IF(H965=""Sell"",VLOOKUP(9^99,FILTER({ROW(P$2:P964),P$2:P964},D$2:D964=D965),2),(VLOOKUP(9^99,FILTER({ROW(P$2:P964),P$2:P964},D$2:D964=D965),2)*VLOOKUP(9^99,FILTER({ROW(O$2:O964),O$2:O964},D$2:D964=D965),2)-N965)/O965),J965))"),"")</f>
        <v/>
      </c>
      <c r="Q965" s="264" t="str">
        <f>IFERROR(__xludf.DUMMYFUNCTION("IFERROR(IF(F965=""Crypto"",B965,(IF(ISBLANK(D965),"""",IF(D965=""Cash"",B965,IF(GOOGLEFINANCE(D965,""CURRENCY"")=""GBX"",""GBP"",GOOGLEFINANCE(D965,""CURRENCY"")))))),B965)"),"")</f>
        <v/>
      </c>
      <c r="R965" s="263" t="str">
        <f>IFERROR(__xludf.DUMMYFUNCTION("IF(ISBLANK(A965),"""",IFERROR(IF(OR(Q965=""GPB"",Q965=""ZAR""),IF(Q965=Dashboard!$L$1,K965,(K965*GOOGLEFINANCE(""CURRENCY:""&amp;Q965&amp;""""&amp;Dashboard!$L$1&amp;""""))/100),IF(Q965=Dashboard!$L$1,K965,K965*GOOGLEFINANCE(""CURRENCY:""&amp;Q965&amp;""""&amp;Dashboard!$L$1&amp;"""")))"&amp;",K965))"),"")</f>
        <v/>
      </c>
      <c r="S965" s="266" t="str">
        <f>IFERROR(__xludf.DUMMYFUNCTION("IF(ISBLANK(A965),"""",IFERROR(IF(OR(Q965=""GPB"",Q965=""ZAR""),IF(Q965=Dashboard!$L$1,M965,(M965*GOOGLEFINANCE(""CURRENCY:""&amp;Q965&amp;""""&amp;Dashboard!$L$1&amp;""""))/100),IF(Q965=Dashboard!$L$1,M965,M965*GOOGLEFINANCE(""CURRENCY:""&amp;Q965&amp;""""&amp;Dashboard!$L$1&amp;"""")))"&amp;",M965))"),"")</f>
        <v/>
      </c>
      <c r="T965" s="264" t="str">
        <f t="shared" si="4"/>
        <v/>
      </c>
      <c r="U965" s="264" t="str">
        <f t="shared" si="5"/>
        <v/>
      </c>
      <c r="V965" s="264" t="str">
        <f t="shared" si="6"/>
        <v/>
      </c>
      <c r="W965" s="267" t="str">
        <f t="shared" si="8"/>
        <v/>
      </c>
      <c r="X965" s="264" t="str">
        <f t="shared" si="7"/>
        <v/>
      </c>
    </row>
    <row r="966" ht="15.75" customHeight="1">
      <c r="A966" s="258"/>
      <c r="B966" s="258"/>
      <c r="C966" s="269"/>
      <c r="D966" s="258"/>
      <c r="E966" s="258"/>
      <c r="F966" s="258"/>
      <c r="G966" s="258"/>
      <c r="H966" s="271"/>
      <c r="I966" s="258"/>
      <c r="J966" s="272"/>
      <c r="K966" s="260"/>
      <c r="L966" s="261"/>
      <c r="M966" s="262" t="str">
        <f t="shared" si="1"/>
        <v/>
      </c>
      <c r="N966" s="263" t="str">
        <f t="shared" si="2"/>
        <v/>
      </c>
      <c r="O966" s="264" t="str">
        <f t="shared" si="3"/>
        <v/>
      </c>
      <c r="P966" s="265" t="str">
        <f>IFERROR(__xludf.DUMMYFUNCTION("IF(ISBLANK(A966),"""",IFERROR(IF(H966=""Sell"",VLOOKUP(9^99,FILTER({ROW(P$2:P965),P$2:P965},D$2:D965=D966),2),(VLOOKUP(9^99,FILTER({ROW(P$2:P965),P$2:P965},D$2:D965=D966),2)*VLOOKUP(9^99,FILTER({ROW(O$2:O965),O$2:O965},D$2:D965=D966),2)-N966)/O966),J966))"),"")</f>
        <v/>
      </c>
      <c r="Q966" s="264" t="str">
        <f>IFERROR(__xludf.DUMMYFUNCTION("IFERROR(IF(F966=""Crypto"",B966,(IF(ISBLANK(D966),"""",IF(D966=""Cash"",B966,IF(GOOGLEFINANCE(D966,""CURRENCY"")=""GBX"",""GBP"",GOOGLEFINANCE(D966,""CURRENCY"")))))),B966)"),"")</f>
        <v/>
      </c>
      <c r="R966" s="263" t="str">
        <f>IFERROR(__xludf.DUMMYFUNCTION("IF(ISBLANK(A966),"""",IFERROR(IF(OR(Q966=""GPB"",Q966=""ZAR""),IF(Q966=Dashboard!$L$1,K966,(K966*GOOGLEFINANCE(""CURRENCY:""&amp;Q966&amp;""""&amp;Dashboard!$L$1&amp;""""))/100),IF(Q966=Dashboard!$L$1,K966,K966*GOOGLEFINANCE(""CURRENCY:""&amp;Q966&amp;""""&amp;Dashboard!$L$1&amp;"""")))"&amp;",K966))"),"")</f>
        <v/>
      </c>
      <c r="S966" s="266" t="str">
        <f>IFERROR(__xludf.DUMMYFUNCTION("IF(ISBLANK(A966),"""",IFERROR(IF(OR(Q966=""GPB"",Q966=""ZAR""),IF(Q966=Dashboard!$L$1,M966,(M966*GOOGLEFINANCE(""CURRENCY:""&amp;Q966&amp;""""&amp;Dashboard!$L$1&amp;""""))/100),IF(Q966=Dashboard!$L$1,M966,M966*GOOGLEFINANCE(""CURRENCY:""&amp;Q966&amp;""""&amp;Dashboard!$L$1&amp;"""")))"&amp;",M966))"),"")</f>
        <v/>
      </c>
      <c r="T966" s="264" t="str">
        <f t="shared" si="4"/>
        <v/>
      </c>
      <c r="U966" s="264" t="str">
        <f t="shared" si="5"/>
        <v/>
      </c>
      <c r="V966" s="264" t="str">
        <f t="shared" si="6"/>
        <v/>
      </c>
      <c r="W966" s="267" t="str">
        <f t="shared" si="8"/>
        <v/>
      </c>
      <c r="X966" s="264" t="str">
        <f t="shared" si="7"/>
        <v/>
      </c>
    </row>
    <row r="967" ht="15.75" customHeight="1">
      <c r="A967" s="258"/>
      <c r="B967" s="258"/>
      <c r="C967" s="269"/>
      <c r="D967" s="258"/>
      <c r="E967" s="258"/>
      <c r="F967" s="258"/>
      <c r="G967" s="258"/>
      <c r="H967" s="271"/>
      <c r="I967" s="258"/>
      <c r="J967" s="272"/>
      <c r="K967" s="260"/>
      <c r="L967" s="261"/>
      <c r="M967" s="262" t="str">
        <f t="shared" si="1"/>
        <v/>
      </c>
      <c r="N967" s="263" t="str">
        <f t="shared" si="2"/>
        <v/>
      </c>
      <c r="O967" s="264" t="str">
        <f t="shared" si="3"/>
        <v/>
      </c>
      <c r="P967" s="265" t="str">
        <f>IFERROR(__xludf.DUMMYFUNCTION("IF(ISBLANK(A967),"""",IFERROR(IF(H967=""Sell"",VLOOKUP(9^99,FILTER({ROW(P$2:P966),P$2:P966},D$2:D966=D967),2),(VLOOKUP(9^99,FILTER({ROW(P$2:P966),P$2:P966},D$2:D966=D967),2)*VLOOKUP(9^99,FILTER({ROW(O$2:O966),O$2:O966},D$2:D966=D967),2)-N967)/O967),J967))"),"")</f>
        <v/>
      </c>
      <c r="Q967" s="264" t="str">
        <f>IFERROR(__xludf.DUMMYFUNCTION("IFERROR(IF(F967=""Crypto"",B967,(IF(ISBLANK(D967),"""",IF(D967=""Cash"",B967,IF(GOOGLEFINANCE(D967,""CURRENCY"")=""GBX"",""GBP"",GOOGLEFINANCE(D967,""CURRENCY"")))))),B967)"),"")</f>
        <v/>
      </c>
      <c r="R967" s="263" t="str">
        <f>IFERROR(__xludf.DUMMYFUNCTION("IF(ISBLANK(A967),"""",IFERROR(IF(OR(Q967=""GPB"",Q967=""ZAR""),IF(Q967=Dashboard!$L$1,K967,(K967*GOOGLEFINANCE(""CURRENCY:""&amp;Q967&amp;""""&amp;Dashboard!$L$1&amp;""""))/100),IF(Q967=Dashboard!$L$1,K967,K967*GOOGLEFINANCE(""CURRENCY:""&amp;Q967&amp;""""&amp;Dashboard!$L$1&amp;"""")))"&amp;",K967))"),"")</f>
        <v/>
      </c>
      <c r="S967" s="266" t="str">
        <f>IFERROR(__xludf.DUMMYFUNCTION("IF(ISBLANK(A967),"""",IFERROR(IF(OR(Q967=""GPB"",Q967=""ZAR""),IF(Q967=Dashboard!$L$1,M967,(M967*GOOGLEFINANCE(""CURRENCY:""&amp;Q967&amp;""""&amp;Dashboard!$L$1&amp;""""))/100),IF(Q967=Dashboard!$L$1,M967,M967*GOOGLEFINANCE(""CURRENCY:""&amp;Q967&amp;""""&amp;Dashboard!$L$1&amp;"""")))"&amp;",M967))"),"")</f>
        <v/>
      </c>
      <c r="T967" s="264" t="str">
        <f t="shared" si="4"/>
        <v/>
      </c>
      <c r="U967" s="264" t="str">
        <f t="shared" si="5"/>
        <v/>
      </c>
      <c r="V967" s="264" t="str">
        <f t="shared" si="6"/>
        <v/>
      </c>
      <c r="W967" s="267" t="str">
        <f t="shared" si="8"/>
        <v/>
      </c>
      <c r="X967" s="264" t="str">
        <f t="shared" si="7"/>
        <v/>
      </c>
    </row>
    <row r="968" ht="15.75" customHeight="1">
      <c r="A968" s="258"/>
      <c r="B968" s="258"/>
      <c r="C968" s="269"/>
      <c r="D968" s="258"/>
      <c r="E968" s="258"/>
      <c r="F968" s="258"/>
      <c r="G968" s="258"/>
      <c r="H968" s="271"/>
      <c r="I968" s="258"/>
      <c r="J968" s="272"/>
      <c r="K968" s="260"/>
      <c r="L968" s="261"/>
      <c r="M968" s="262" t="str">
        <f t="shared" si="1"/>
        <v/>
      </c>
      <c r="N968" s="263" t="str">
        <f t="shared" si="2"/>
        <v/>
      </c>
      <c r="O968" s="264" t="str">
        <f t="shared" si="3"/>
        <v/>
      </c>
      <c r="P968" s="265" t="str">
        <f>IFERROR(__xludf.DUMMYFUNCTION("IF(ISBLANK(A968),"""",IFERROR(IF(H968=""Sell"",VLOOKUP(9^99,FILTER({ROW(P$2:P967),P$2:P967},D$2:D967=D968),2),(VLOOKUP(9^99,FILTER({ROW(P$2:P967),P$2:P967},D$2:D967=D968),2)*VLOOKUP(9^99,FILTER({ROW(O$2:O967),O$2:O967},D$2:D967=D968),2)-N968)/O968),J968))"),"")</f>
        <v/>
      </c>
      <c r="Q968" s="264" t="str">
        <f>IFERROR(__xludf.DUMMYFUNCTION("IFERROR(IF(F968=""Crypto"",B968,(IF(ISBLANK(D968),"""",IF(D968=""Cash"",B968,IF(GOOGLEFINANCE(D968,""CURRENCY"")=""GBX"",""GBP"",GOOGLEFINANCE(D968,""CURRENCY"")))))),B968)"),"")</f>
        <v/>
      </c>
      <c r="R968" s="263" t="str">
        <f>IFERROR(__xludf.DUMMYFUNCTION("IF(ISBLANK(A968),"""",IFERROR(IF(OR(Q968=""GPB"",Q968=""ZAR""),IF(Q968=Dashboard!$L$1,K968,(K968*GOOGLEFINANCE(""CURRENCY:""&amp;Q968&amp;""""&amp;Dashboard!$L$1&amp;""""))/100),IF(Q968=Dashboard!$L$1,K968,K968*GOOGLEFINANCE(""CURRENCY:""&amp;Q968&amp;""""&amp;Dashboard!$L$1&amp;"""")))"&amp;",K968))"),"")</f>
        <v/>
      </c>
      <c r="S968" s="266" t="str">
        <f>IFERROR(__xludf.DUMMYFUNCTION("IF(ISBLANK(A968),"""",IFERROR(IF(OR(Q968=""GPB"",Q968=""ZAR""),IF(Q968=Dashboard!$L$1,M968,(M968*GOOGLEFINANCE(""CURRENCY:""&amp;Q968&amp;""""&amp;Dashboard!$L$1&amp;""""))/100),IF(Q968=Dashboard!$L$1,M968,M968*GOOGLEFINANCE(""CURRENCY:""&amp;Q968&amp;""""&amp;Dashboard!$L$1&amp;"""")))"&amp;",M968))"),"")</f>
        <v/>
      </c>
      <c r="T968" s="264" t="str">
        <f t="shared" si="4"/>
        <v/>
      </c>
      <c r="U968" s="264" t="str">
        <f t="shared" si="5"/>
        <v/>
      </c>
      <c r="V968" s="264" t="str">
        <f t="shared" si="6"/>
        <v/>
      </c>
      <c r="W968" s="267" t="str">
        <f t="shared" si="8"/>
        <v/>
      </c>
      <c r="X968" s="264" t="str">
        <f t="shared" si="7"/>
        <v/>
      </c>
    </row>
    <row r="969" ht="15.75" customHeight="1">
      <c r="A969" s="258"/>
      <c r="B969" s="258"/>
      <c r="C969" s="269"/>
      <c r="D969" s="258"/>
      <c r="E969" s="258"/>
      <c r="F969" s="258"/>
      <c r="G969" s="258"/>
      <c r="H969" s="271"/>
      <c r="I969" s="258"/>
      <c r="J969" s="272"/>
      <c r="K969" s="260"/>
      <c r="L969" s="261"/>
      <c r="M969" s="262" t="str">
        <f t="shared" si="1"/>
        <v/>
      </c>
      <c r="N969" s="263" t="str">
        <f t="shared" si="2"/>
        <v/>
      </c>
      <c r="O969" s="264" t="str">
        <f t="shared" si="3"/>
        <v/>
      </c>
      <c r="P969" s="265" t="str">
        <f>IFERROR(__xludf.DUMMYFUNCTION("IF(ISBLANK(A969),"""",IFERROR(IF(H969=""Sell"",VLOOKUP(9^99,FILTER({ROW(P$2:P968),P$2:P968},D$2:D968=D969),2),(VLOOKUP(9^99,FILTER({ROW(P$2:P968),P$2:P968},D$2:D968=D969),2)*VLOOKUP(9^99,FILTER({ROW(O$2:O968),O$2:O968},D$2:D968=D969),2)-N969)/O969),J969))"),"")</f>
        <v/>
      </c>
      <c r="Q969" s="264" t="str">
        <f>IFERROR(__xludf.DUMMYFUNCTION("IFERROR(IF(F969=""Crypto"",B969,(IF(ISBLANK(D969),"""",IF(D969=""Cash"",B969,IF(GOOGLEFINANCE(D969,""CURRENCY"")=""GBX"",""GBP"",GOOGLEFINANCE(D969,""CURRENCY"")))))),B969)"),"")</f>
        <v/>
      </c>
      <c r="R969" s="263" t="str">
        <f>IFERROR(__xludf.DUMMYFUNCTION("IF(ISBLANK(A969),"""",IFERROR(IF(OR(Q969=""GPB"",Q969=""ZAR""),IF(Q969=Dashboard!$L$1,K969,(K969*GOOGLEFINANCE(""CURRENCY:""&amp;Q969&amp;""""&amp;Dashboard!$L$1&amp;""""))/100),IF(Q969=Dashboard!$L$1,K969,K969*GOOGLEFINANCE(""CURRENCY:""&amp;Q969&amp;""""&amp;Dashboard!$L$1&amp;"""")))"&amp;",K969))"),"")</f>
        <v/>
      </c>
      <c r="S969" s="266" t="str">
        <f>IFERROR(__xludf.DUMMYFUNCTION("IF(ISBLANK(A969),"""",IFERROR(IF(OR(Q969=""GPB"",Q969=""ZAR""),IF(Q969=Dashboard!$L$1,M969,(M969*GOOGLEFINANCE(""CURRENCY:""&amp;Q969&amp;""""&amp;Dashboard!$L$1&amp;""""))/100),IF(Q969=Dashboard!$L$1,M969,M969*GOOGLEFINANCE(""CURRENCY:""&amp;Q969&amp;""""&amp;Dashboard!$L$1&amp;"""")))"&amp;",M969))"),"")</f>
        <v/>
      </c>
      <c r="T969" s="264" t="str">
        <f t="shared" si="4"/>
        <v/>
      </c>
      <c r="U969" s="264" t="str">
        <f t="shared" si="5"/>
        <v/>
      </c>
      <c r="V969" s="264" t="str">
        <f t="shared" si="6"/>
        <v/>
      </c>
      <c r="W969" s="267" t="str">
        <f t="shared" si="8"/>
        <v/>
      </c>
      <c r="X969" s="264" t="str">
        <f t="shared" si="7"/>
        <v/>
      </c>
    </row>
    <row r="970" ht="15.75" customHeight="1">
      <c r="A970" s="258"/>
      <c r="B970" s="258"/>
      <c r="C970" s="269"/>
      <c r="D970" s="258"/>
      <c r="E970" s="258"/>
      <c r="F970" s="258"/>
      <c r="G970" s="258"/>
      <c r="H970" s="271"/>
      <c r="I970" s="258"/>
      <c r="J970" s="272"/>
      <c r="K970" s="260"/>
      <c r="L970" s="261"/>
      <c r="M970" s="262" t="str">
        <f t="shared" si="1"/>
        <v/>
      </c>
      <c r="N970" s="263" t="str">
        <f t="shared" si="2"/>
        <v/>
      </c>
      <c r="O970" s="264" t="str">
        <f t="shared" si="3"/>
        <v/>
      </c>
      <c r="P970" s="265" t="str">
        <f>IFERROR(__xludf.DUMMYFUNCTION("IF(ISBLANK(A970),"""",IFERROR(IF(H970=""Sell"",VLOOKUP(9^99,FILTER({ROW(P$2:P969),P$2:P969},D$2:D969=D970),2),(VLOOKUP(9^99,FILTER({ROW(P$2:P969),P$2:P969},D$2:D969=D970),2)*VLOOKUP(9^99,FILTER({ROW(O$2:O969),O$2:O969},D$2:D969=D970),2)-N970)/O970),J970))"),"")</f>
        <v/>
      </c>
      <c r="Q970" s="264" t="str">
        <f>IFERROR(__xludf.DUMMYFUNCTION("IFERROR(IF(F970=""Crypto"",B970,(IF(ISBLANK(D970),"""",IF(D970=""Cash"",B970,IF(GOOGLEFINANCE(D970,""CURRENCY"")=""GBX"",""GBP"",GOOGLEFINANCE(D970,""CURRENCY"")))))),B970)"),"")</f>
        <v/>
      </c>
      <c r="R970" s="263" t="str">
        <f>IFERROR(__xludf.DUMMYFUNCTION("IF(ISBLANK(A970),"""",IFERROR(IF(OR(Q970=""GPB"",Q970=""ZAR""),IF(Q970=Dashboard!$L$1,K970,(K970*GOOGLEFINANCE(""CURRENCY:""&amp;Q970&amp;""""&amp;Dashboard!$L$1&amp;""""))/100),IF(Q970=Dashboard!$L$1,K970,K970*GOOGLEFINANCE(""CURRENCY:""&amp;Q970&amp;""""&amp;Dashboard!$L$1&amp;"""")))"&amp;",K970))"),"")</f>
        <v/>
      </c>
      <c r="S970" s="266" t="str">
        <f>IFERROR(__xludf.DUMMYFUNCTION("IF(ISBLANK(A970),"""",IFERROR(IF(OR(Q970=""GPB"",Q970=""ZAR""),IF(Q970=Dashboard!$L$1,M970,(M970*GOOGLEFINANCE(""CURRENCY:""&amp;Q970&amp;""""&amp;Dashboard!$L$1&amp;""""))/100),IF(Q970=Dashboard!$L$1,M970,M970*GOOGLEFINANCE(""CURRENCY:""&amp;Q970&amp;""""&amp;Dashboard!$L$1&amp;"""")))"&amp;",M970))"),"")</f>
        <v/>
      </c>
      <c r="T970" s="264" t="str">
        <f t="shared" si="4"/>
        <v/>
      </c>
      <c r="U970" s="264" t="str">
        <f t="shared" si="5"/>
        <v/>
      </c>
      <c r="V970" s="264" t="str">
        <f t="shared" si="6"/>
        <v/>
      </c>
      <c r="W970" s="267" t="str">
        <f t="shared" si="8"/>
        <v/>
      </c>
      <c r="X970" s="264" t="str">
        <f t="shared" si="7"/>
        <v/>
      </c>
    </row>
    <row r="971" ht="15.75" customHeight="1">
      <c r="A971" s="258"/>
      <c r="B971" s="258"/>
      <c r="C971" s="269"/>
      <c r="D971" s="258"/>
      <c r="E971" s="258"/>
      <c r="F971" s="258"/>
      <c r="G971" s="258"/>
      <c r="H971" s="271"/>
      <c r="I971" s="258"/>
      <c r="J971" s="272"/>
      <c r="K971" s="260"/>
      <c r="L971" s="261"/>
      <c r="M971" s="262" t="str">
        <f t="shared" si="1"/>
        <v/>
      </c>
      <c r="N971" s="263" t="str">
        <f t="shared" si="2"/>
        <v/>
      </c>
      <c r="O971" s="264" t="str">
        <f t="shared" si="3"/>
        <v/>
      </c>
      <c r="P971" s="265" t="str">
        <f>IFERROR(__xludf.DUMMYFUNCTION("IF(ISBLANK(A971),"""",IFERROR(IF(H971=""Sell"",VLOOKUP(9^99,FILTER({ROW(P$2:P970),P$2:P970},D$2:D970=D971),2),(VLOOKUP(9^99,FILTER({ROW(P$2:P970),P$2:P970},D$2:D970=D971),2)*VLOOKUP(9^99,FILTER({ROW(O$2:O970),O$2:O970},D$2:D970=D971),2)-N971)/O971),J971))"),"")</f>
        <v/>
      </c>
      <c r="Q971" s="264" t="str">
        <f>IFERROR(__xludf.DUMMYFUNCTION("IFERROR(IF(F971=""Crypto"",B971,(IF(ISBLANK(D971),"""",IF(D971=""Cash"",B971,IF(GOOGLEFINANCE(D971,""CURRENCY"")=""GBX"",""GBP"",GOOGLEFINANCE(D971,""CURRENCY"")))))),B971)"),"")</f>
        <v/>
      </c>
      <c r="R971" s="263" t="str">
        <f>IFERROR(__xludf.DUMMYFUNCTION("IF(ISBLANK(A971),"""",IFERROR(IF(OR(Q971=""GPB"",Q971=""ZAR""),IF(Q971=Dashboard!$L$1,K971,(K971*GOOGLEFINANCE(""CURRENCY:""&amp;Q971&amp;""""&amp;Dashboard!$L$1&amp;""""))/100),IF(Q971=Dashboard!$L$1,K971,K971*GOOGLEFINANCE(""CURRENCY:""&amp;Q971&amp;""""&amp;Dashboard!$L$1&amp;"""")))"&amp;",K971))"),"")</f>
        <v/>
      </c>
      <c r="S971" s="266" t="str">
        <f>IFERROR(__xludf.DUMMYFUNCTION("IF(ISBLANK(A971),"""",IFERROR(IF(OR(Q971=""GPB"",Q971=""ZAR""),IF(Q971=Dashboard!$L$1,M971,(M971*GOOGLEFINANCE(""CURRENCY:""&amp;Q971&amp;""""&amp;Dashboard!$L$1&amp;""""))/100),IF(Q971=Dashboard!$L$1,M971,M971*GOOGLEFINANCE(""CURRENCY:""&amp;Q971&amp;""""&amp;Dashboard!$L$1&amp;"""")))"&amp;",M971))"),"")</f>
        <v/>
      </c>
      <c r="T971" s="264" t="str">
        <f t="shared" si="4"/>
        <v/>
      </c>
      <c r="U971" s="264" t="str">
        <f t="shared" si="5"/>
        <v/>
      </c>
      <c r="V971" s="264" t="str">
        <f t="shared" si="6"/>
        <v/>
      </c>
      <c r="W971" s="267" t="str">
        <f t="shared" si="8"/>
        <v/>
      </c>
      <c r="X971" s="264" t="str">
        <f t="shared" si="7"/>
        <v/>
      </c>
    </row>
    <row r="972" ht="15.75" customHeight="1">
      <c r="A972" s="258"/>
      <c r="B972" s="258"/>
      <c r="C972" s="269"/>
      <c r="D972" s="258"/>
      <c r="E972" s="258"/>
      <c r="F972" s="258"/>
      <c r="G972" s="258"/>
      <c r="H972" s="271"/>
      <c r="I972" s="258"/>
      <c r="J972" s="272"/>
      <c r="K972" s="260"/>
      <c r="L972" s="261"/>
      <c r="M972" s="262" t="str">
        <f t="shared" si="1"/>
        <v/>
      </c>
      <c r="N972" s="263" t="str">
        <f t="shared" si="2"/>
        <v/>
      </c>
      <c r="O972" s="264" t="str">
        <f t="shared" si="3"/>
        <v/>
      </c>
      <c r="P972" s="265" t="str">
        <f>IFERROR(__xludf.DUMMYFUNCTION("IF(ISBLANK(A972),"""",IFERROR(IF(H972=""Sell"",VLOOKUP(9^99,FILTER({ROW(P$2:P971),P$2:P971},D$2:D971=D972),2),(VLOOKUP(9^99,FILTER({ROW(P$2:P971),P$2:P971},D$2:D971=D972),2)*VLOOKUP(9^99,FILTER({ROW(O$2:O971),O$2:O971},D$2:D971=D972),2)-N972)/O972),J972))"),"")</f>
        <v/>
      </c>
      <c r="Q972" s="264" t="str">
        <f>IFERROR(__xludf.DUMMYFUNCTION("IFERROR(IF(F972=""Crypto"",B972,(IF(ISBLANK(D972),"""",IF(D972=""Cash"",B972,IF(GOOGLEFINANCE(D972,""CURRENCY"")=""GBX"",""GBP"",GOOGLEFINANCE(D972,""CURRENCY"")))))),B972)"),"")</f>
        <v/>
      </c>
      <c r="R972" s="263" t="str">
        <f>IFERROR(__xludf.DUMMYFUNCTION("IF(ISBLANK(A972),"""",IFERROR(IF(OR(Q972=""GPB"",Q972=""ZAR""),IF(Q972=Dashboard!$L$1,K972,(K972*GOOGLEFINANCE(""CURRENCY:""&amp;Q972&amp;""""&amp;Dashboard!$L$1&amp;""""))/100),IF(Q972=Dashboard!$L$1,K972,K972*GOOGLEFINANCE(""CURRENCY:""&amp;Q972&amp;""""&amp;Dashboard!$L$1&amp;"""")))"&amp;",K972))"),"")</f>
        <v/>
      </c>
      <c r="S972" s="266" t="str">
        <f>IFERROR(__xludf.DUMMYFUNCTION("IF(ISBLANK(A972),"""",IFERROR(IF(OR(Q972=""GPB"",Q972=""ZAR""),IF(Q972=Dashboard!$L$1,M972,(M972*GOOGLEFINANCE(""CURRENCY:""&amp;Q972&amp;""""&amp;Dashboard!$L$1&amp;""""))/100),IF(Q972=Dashboard!$L$1,M972,M972*GOOGLEFINANCE(""CURRENCY:""&amp;Q972&amp;""""&amp;Dashboard!$L$1&amp;"""")))"&amp;",M972))"),"")</f>
        <v/>
      </c>
      <c r="T972" s="264" t="str">
        <f t="shared" si="4"/>
        <v/>
      </c>
      <c r="U972" s="264" t="str">
        <f t="shared" si="5"/>
        <v/>
      </c>
      <c r="V972" s="264" t="str">
        <f t="shared" si="6"/>
        <v/>
      </c>
      <c r="W972" s="267" t="str">
        <f t="shared" si="8"/>
        <v/>
      </c>
      <c r="X972" s="264" t="str">
        <f t="shared" si="7"/>
        <v/>
      </c>
    </row>
    <row r="973" ht="15.75" customHeight="1">
      <c r="A973" s="258"/>
      <c r="B973" s="258"/>
      <c r="C973" s="269"/>
      <c r="D973" s="258"/>
      <c r="E973" s="258"/>
      <c r="F973" s="258"/>
      <c r="G973" s="258"/>
      <c r="H973" s="271"/>
      <c r="I973" s="258"/>
      <c r="J973" s="272"/>
      <c r="K973" s="260"/>
      <c r="L973" s="261"/>
      <c r="M973" s="262" t="str">
        <f t="shared" si="1"/>
        <v/>
      </c>
      <c r="N973" s="263" t="str">
        <f t="shared" si="2"/>
        <v/>
      </c>
      <c r="O973" s="264" t="str">
        <f t="shared" si="3"/>
        <v/>
      </c>
      <c r="P973" s="265" t="str">
        <f>IFERROR(__xludf.DUMMYFUNCTION("IF(ISBLANK(A973),"""",IFERROR(IF(H973=""Sell"",VLOOKUP(9^99,FILTER({ROW(P$2:P972),P$2:P972},D$2:D972=D973),2),(VLOOKUP(9^99,FILTER({ROW(P$2:P972),P$2:P972},D$2:D972=D973),2)*VLOOKUP(9^99,FILTER({ROW(O$2:O972),O$2:O972},D$2:D972=D973),2)-N973)/O973),J973))"),"")</f>
        <v/>
      </c>
      <c r="Q973" s="264" t="str">
        <f>IFERROR(__xludf.DUMMYFUNCTION("IFERROR(IF(F973=""Crypto"",B973,(IF(ISBLANK(D973),"""",IF(D973=""Cash"",B973,IF(GOOGLEFINANCE(D973,""CURRENCY"")=""GBX"",""GBP"",GOOGLEFINANCE(D973,""CURRENCY"")))))),B973)"),"")</f>
        <v/>
      </c>
      <c r="R973" s="263" t="str">
        <f>IFERROR(__xludf.DUMMYFUNCTION("IF(ISBLANK(A973),"""",IFERROR(IF(OR(Q973=""GPB"",Q973=""ZAR""),IF(Q973=Dashboard!$L$1,K973,(K973*GOOGLEFINANCE(""CURRENCY:""&amp;Q973&amp;""""&amp;Dashboard!$L$1&amp;""""))/100),IF(Q973=Dashboard!$L$1,K973,K973*GOOGLEFINANCE(""CURRENCY:""&amp;Q973&amp;""""&amp;Dashboard!$L$1&amp;"""")))"&amp;",K973))"),"")</f>
        <v/>
      </c>
      <c r="S973" s="266" t="str">
        <f>IFERROR(__xludf.DUMMYFUNCTION("IF(ISBLANK(A973),"""",IFERROR(IF(OR(Q973=""GPB"",Q973=""ZAR""),IF(Q973=Dashboard!$L$1,M973,(M973*GOOGLEFINANCE(""CURRENCY:""&amp;Q973&amp;""""&amp;Dashboard!$L$1&amp;""""))/100),IF(Q973=Dashboard!$L$1,M973,M973*GOOGLEFINANCE(""CURRENCY:""&amp;Q973&amp;""""&amp;Dashboard!$L$1&amp;"""")))"&amp;",M973))"),"")</f>
        <v/>
      </c>
      <c r="T973" s="264" t="str">
        <f t="shared" si="4"/>
        <v/>
      </c>
      <c r="U973" s="264" t="str">
        <f t="shared" si="5"/>
        <v/>
      </c>
      <c r="V973" s="264" t="str">
        <f t="shared" si="6"/>
        <v/>
      </c>
      <c r="W973" s="267" t="str">
        <f t="shared" si="8"/>
        <v/>
      </c>
      <c r="X973" s="264" t="str">
        <f t="shared" si="7"/>
        <v/>
      </c>
    </row>
    <row r="974" ht="15.75" customHeight="1">
      <c r="A974" s="258"/>
      <c r="B974" s="258"/>
      <c r="C974" s="269"/>
      <c r="D974" s="258"/>
      <c r="E974" s="258"/>
      <c r="F974" s="258"/>
      <c r="G974" s="258"/>
      <c r="H974" s="271"/>
      <c r="I974" s="258"/>
      <c r="J974" s="272"/>
      <c r="K974" s="260"/>
      <c r="L974" s="261"/>
      <c r="M974" s="262" t="str">
        <f t="shared" si="1"/>
        <v/>
      </c>
      <c r="N974" s="263" t="str">
        <f t="shared" si="2"/>
        <v/>
      </c>
      <c r="O974" s="264" t="str">
        <f t="shared" si="3"/>
        <v/>
      </c>
      <c r="P974" s="265" t="str">
        <f>IFERROR(__xludf.DUMMYFUNCTION("IF(ISBLANK(A974),"""",IFERROR(IF(H974=""Sell"",VLOOKUP(9^99,FILTER({ROW(P$2:P973),P$2:P973},D$2:D973=D974),2),(VLOOKUP(9^99,FILTER({ROW(P$2:P973),P$2:P973},D$2:D973=D974),2)*VLOOKUP(9^99,FILTER({ROW(O$2:O973),O$2:O973},D$2:D973=D974),2)-N974)/O974),J974))"),"")</f>
        <v/>
      </c>
      <c r="Q974" s="264" t="str">
        <f>IFERROR(__xludf.DUMMYFUNCTION("IFERROR(IF(F974=""Crypto"",B974,(IF(ISBLANK(D974),"""",IF(D974=""Cash"",B974,IF(GOOGLEFINANCE(D974,""CURRENCY"")=""GBX"",""GBP"",GOOGLEFINANCE(D974,""CURRENCY"")))))),B974)"),"")</f>
        <v/>
      </c>
      <c r="R974" s="263" t="str">
        <f>IFERROR(__xludf.DUMMYFUNCTION("IF(ISBLANK(A974),"""",IFERROR(IF(OR(Q974=""GPB"",Q974=""ZAR""),IF(Q974=Dashboard!$L$1,K974,(K974*GOOGLEFINANCE(""CURRENCY:""&amp;Q974&amp;""""&amp;Dashboard!$L$1&amp;""""))/100),IF(Q974=Dashboard!$L$1,K974,K974*GOOGLEFINANCE(""CURRENCY:""&amp;Q974&amp;""""&amp;Dashboard!$L$1&amp;"""")))"&amp;",K974))"),"")</f>
        <v/>
      </c>
      <c r="S974" s="266" t="str">
        <f>IFERROR(__xludf.DUMMYFUNCTION("IF(ISBLANK(A974),"""",IFERROR(IF(OR(Q974=""GPB"",Q974=""ZAR""),IF(Q974=Dashboard!$L$1,M974,(M974*GOOGLEFINANCE(""CURRENCY:""&amp;Q974&amp;""""&amp;Dashboard!$L$1&amp;""""))/100),IF(Q974=Dashboard!$L$1,M974,M974*GOOGLEFINANCE(""CURRENCY:""&amp;Q974&amp;""""&amp;Dashboard!$L$1&amp;"""")))"&amp;",M974))"),"")</f>
        <v/>
      </c>
      <c r="T974" s="264" t="str">
        <f t="shared" si="4"/>
        <v/>
      </c>
      <c r="U974" s="264" t="str">
        <f t="shared" si="5"/>
        <v/>
      </c>
      <c r="V974" s="264" t="str">
        <f t="shared" si="6"/>
        <v/>
      </c>
      <c r="W974" s="267" t="str">
        <f t="shared" si="8"/>
        <v/>
      </c>
      <c r="X974" s="264" t="str">
        <f t="shared" si="7"/>
        <v/>
      </c>
    </row>
    <row r="975" ht="15.75" customHeight="1">
      <c r="A975" s="258"/>
      <c r="B975" s="258"/>
      <c r="C975" s="269"/>
      <c r="D975" s="258"/>
      <c r="E975" s="258"/>
      <c r="F975" s="258"/>
      <c r="G975" s="258"/>
      <c r="H975" s="271"/>
      <c r="I975" s="258"/>
      <c r="J975" s="272"/>
      <c r="K975" s="260"/>
      <c r="L975" s="261"/>
      <c r="M975" s="262" t="str">
        <f t="shared" si="1"/>
        <v/>
      </c>
      <c r="N975" s="263" t="str">
        <f t="shared" si="2"/>
        <v/>
      </c>
      <c r="O975" s="264" t="str">
        <f t="shared" si="3"/>
        <v/>
      </c>
      <c r="P975" s="265" t="str">
        <f>IFERROR(__xludf.DUMMYFUNCTION("IF(ISBLANK(A975),"""",IFERROR(IF(H975=""Sell"",VLOOKUP(9^99,FILTER({ROW(P$2:P974),P$2:P974},D$2:D974=D975),2),(VLOOKUP(9^99,FILTER({ROW(P$2:P974),P$2:P974},D$2:D974=D975),2)*VLOOKUP(9^99,FILTER({ROW(O$2:O974),O$2:O974},D$2:D974=D975),2)-N975)/O975),J975))"),"")</f>
        <v/>
      </c>
      <c r="Q975" s="264" t="str">
        <f>IFERROR(__xludf.DUMMYFUNCTION("IFERROR(IF(F975=""Crypto"",B975,(IF(ISBLANK(D975),"""",IF(D975=""Cash"",B975,IF(GOOGLEFINANCE(D975,""CURRENCY"")=""GBX"",""GBP"",GOOGLEFINANCE(D975,""CURRENCY"")))))),B975)"),"")</f>
        <v/>
      </c>
      <c r="R975" s="263" t="str">
        <f>IFERROR(__xludf.DUMMYFUNCTION("IF(ISBLANK(A975),"""",IFERROR(IF(OR(Q975=""GPB"",Q975=""ZAR""),IF(Q975=Dashboard!$L$1,K975,(K975*GOOGLEFINANCE(""CURRENCY:""&amp;Q975&amp;""""&amp;Dashboard!$L$1&amp;""""))/100),IF(Q975=Dashboard!$L$1,K975,K975*GOOGLEFINANCE(""CURRENCY:""&amp;Q975&amp;""""&amp;Dashboard!$L$1&amp;"""")))"&amp;",K975))"),"")</f>
        <v/>
      </c>
      <c r="S975" s="266" t="str">
        <f>IFERROR(__xludf.DUMMYFUNCTION("IF(ISBLANK(A975),"""",IFERROR(IF(OR(Q975=""GPB"",Q975=""ZAR""),IF(Q975=Dashboard!$L$1,M975,(M975*GOOGLEFINANCE(""CURRENCY:""&amp;Q975&amp;""""&amp;Dashboard!$L$1&amp;""""))/100),IF(Q975=Dashboard!$L$1,M975,M975*GOOGLEFINANCE(""CURRENCY:""&amp;Q975&amp;""""&amp;Dashboard!$L$1&amp;"""")))"&amp;",M975))"),"")</f>
        <v/>
      </c>
      <c r="T975" s="264" t="str">
        <f t="shared" si="4"/>
        <v/>
      </c>
      <c r="U975" s="264" t="str">
        <f t="shared" si="5"/>
        <v/>
      </c>
      <c r="V975" s="264" t="str">
        <f t="shared" si="6"/>
        <v/>
      </c>
      <c r="W975" s="267" t="str">
        <f t="shared" si="8"/>
        <v/>
      </c>
      <c r="X975" s="264" t="str">
        <f t="shared" si="7"/>
        <v/>
      </c>
    </row>
    <row r="976" ht="15.75" customHeight="1">
      <c r="A976" s="258"/>
      <c r="B976" s="258"/>
      <c r="C976" s="269"/>
      <c r="D976" s="258"/>
      <c r="E976" s="258"/>
      <c r="F976" s="258"/>
      <c r="G976" s="258"/>
      <c r="H976" s="271"/>
      <c r="I976" s="258"/>
      <c r="J976" s="272"/>
      <c r="K976" s="260"/>
      <c r="L976" s="261"/>
      <c r="M976" s="262" t="str">
        <f t="shared" si="1"/>
        <v/>
      </c>
      <c r="N976" s="263" t="str">
        <f t="shared" si="2"/>
        <v/>
      </c>
      <c r="O976" s="264" t="str">
        <f t="shared" si="3"/>
        <v/>
      </c>
      <c r="P976" s="265" t="str">
        <f>IFERROR(__xludf.DUMMYFUNCTION("IF(ISBLANK(A976),"""",IFERROR(IF(H976=""Sell"",VLOOKUP(9^99,FILTER({ROW(P$2:P975),P$2:P975},D$2:D975=D976),2),(VLOOKUP(9^99,FILTER({ROW(P$2:P975),P$2:P975},D$2:D975=D976),2)*VLOOKUP(9^99,FILTER({ROW(O$2:O975),O$2:O975},D$2:D975=D976),2)-N976)/O976),J976))"),"")</f>
        <v/>
      </c>
      <c r="Q976" s="264" t="str">
        <f>IFERROR(__xludf.DUMMYFUNCTION("IFERROR(IF(F976=""Crypto"",B976,(IF(ISBLANK(D976),"""",IF(D976=""Cash"",B976,IF(GOOGLEFINANCE(D976,""CURRENCY"")=""GBX"",""GBP"",GOOGLEFINANCE(D976,""CURRENCY"")))))),B976)"),"")</f>
        <v/>
      </c>
      <c r="R976" s="263" t="str">
        <f>IFERROR(__xludf.DUMMYFUNCTION("IF(ISBLANK(A976),"""",IFERROR(IF(OR(Q976=""GPB"",Q976=""ZAR""),IF(Q976=Dashboard!$L$1,K976,(K976*GOOGLEFINANCE(""CURRENCY:""&amp;Q976&amp;""""&amp;Dashboard!$L$1&amp;""""))/100),IF(Q976=Dashboard!$L$1,K976,K976*GOOGLEFINANCE(""CURRENCY:""&amp;Q976&amp;""""&amp;Dashboard!$L$1&amp;"""")))"&amp;",K976))"),"")</f>
        <v/>
      </c>
      <c r="S976" s="266" t="str">
        <f>IFERROR(__xludf.DUMMYFUNCTION("IF(ISBLANK(A976),"""",IFERROR(IF(OR(Q976=""GPB"",Q976=""ZAR""),IF(Q976=Dashboard!$L$1,M976,(M976*GOOGLEFINANCE(""CURRENCY:""&amp;Q976&amp;""""&amp;Dashboard!$L$1&amp;""""))/100),IF(Q976=Dashboard!$L$1,M976,M976*GOOGLEFINANCE(""CURRENCY:""&amp;Q976&amp;""""&amp;Dashboard!$L$1&amp;"""")))"&amp;",M976))"),"")</f>
        <v/>
      </c>
      <c r="T976" s="264" t="str">
        <f t="shared" si="4"/>
        <v/>
      </c>
      <c r="U976" s="264" t="str">
        <f t="shared" si="5"/>
        <v/>
      </c>
      <c r="V976" s="264" t="str">
        <f t="shared" si="6"/>
        <v/>
      </c>
      <c r="W976" s="267" t="str">
        <f t="shared" si="8"/>
        <v/>
      </c>
      <c r="X976" s="264" t="str">
        <f t="shared" si="7"/>
        <v/>
      </c>
    </row>
    <row r="977" ht="15.75" customHeight="1">
      <c r="A977" s="258"/>
      <c r="B977" s="258"/>
      <c r="C977" s="269"/>
      <c r="D977" s="258"/>
      <c r="E977" s="258"/>
      <c r="F977" s="258"/>
      <c r="G977" s="258"/>
      <c r="H977" s="271"/>
      <c r="I977" s="258"/>
      <c r="J977" s="272"/>
      <c r="K977" s="260"/>
      <c r="L977" s="261"/>
      <c r="M977" s="262" t="str">
        <f t="shared" si="1"/>
        <v/>
      </c>
      <c r="N977" s="263" t="str">
        <f t="shared" si="2"/>
        <v/>
      </c>
      <c r="O977" s="264" t="str">
        <f t="shared" si="3"/>
        <v/>
      </c>
      <c r="P977" s="265" t="str">
        <f>IFERROR(__xludf.DUMMYFUNCTION("IF(ISBLANK(A977),"""",IFERROR(IF(H977=""Sell"",VLOOKUP(9^99,FILTER({ROW(P$2:P976),P$2:P976},D$2:D976=D977),2),(VLOOKUP(9^99,FILTER({ROW(P$2:P976),P$2:P976},D$2:D976=D977),2)*VLOOKUP(9^99,FILTER({ROW(O$2:O976),O$2:O976},D$2:D976=D977),2)-N977)/O977),J977))"),"")</f>
        <v/>
      </c>
      <c r="Q977" s="264" t="str">
        <f>IFERROR(__xludf.DUMMYFUNCTION("IFERROR(IF(F977=""Crypto"",B977,(IF(ISBLANK(D977),"""",IF(D977=""Cash"",B977,IF(GOOGLEFINANCE(D977,""CURRENCY"")=""GBX"",""GBP"",GOOGLEFINANCE(D977,""CURRENCY"")))))),B977)"),"")</f>
        <v/>
      </c>
      <c r="R977" s="263" t="str">
        <f>IFERROR(__xludf.DUMMYFUNCTION("IF(ISBLANK(A977),"""",IFERROR(IF(OR(Q977=""GPB"",Q977=""ZAR""),IF(Q977=Dashboard!$L$1,K977,(K977*GOOGLEFINANCE(""CURRENCY:""&amp;Q977&amp;""""&amp;Dashboard!$L$1&amp;""""))/100),IF(Q977=Dashboard!$L$1,K977,K977*GOOGLEFINANCE(""CURRENCY:""&amp;Q977&amp;""""&amp;Dashboard!$L$1&amp;"""")))"&amp;",K977))"),"")</f>
        <v/>
      </c>
      <c r="S977" s="266" t="str">
        <f>IFERROR(__xludf.DUMMYFUNCTION("IF(ISBLANK(A977),"""",IFERROR(IF(OR(Q977=""GPB"",Q977=""ZAR""),IF(Q977=Dashboard!$L$1,M977,(M977*GOOGLEFINANCE(""CURRENCY:""&amp;Q977&amp;""""&amp;Dashboard!$L$1&amp;""""))/100),IF(Q977=Dashboard!$L$1,M977,M977*GOOGLEFINANCE(""CURRENCY:""&amp;Q977&amp;""""&amp;Dashboard!$L$1&amp;"""")))"&amp;",M977))"),"")</f>
        <v/>
      </c>
      <c r="T977" s="264" t="str">
        <f t="shared" si="4"/>
        <v/>
      </c>
      <c r="U977" s="264" t="str">
        <f t="shared" si="5"/>
        <v/>
      </c>
      <c r="V977" s="264" t="str">
        <f t="shared" si="6"/>
        <v/>
      </c>
      <c r="W977" s="267" t="str">
        <f t="shared" si="8"/>
        <v/>
      </c>
      <c r="X977" s="264" t="str">
        <f t="shared" si="7"/>
        <v/>
      </c>
    </row>
    <row r="978" ht="15.75" customHeight="1">
      <c r="A978" s="258"/>
      <c r="B978" s="258"/>
      <c r="C978" s="269"/>
      <c r="D978" s="258"/>
      <c r="E978" s="258"/>
      <c r="F978" s="258"/>
      <c r="G978" s="258"/>
      <c r="H978" s="271"/>
      <c r="I978" s="258"/>
      <c r="J978" s="272"/>
      <c r="K978" s="260"/>
      <c r="L978" s="261"/>
      <c r="M978" s="262" t="str">
        <f t="shared" si="1"/>
        <v/>
      </c>
      <c r="N978" s="263" t="str">
        <f t="shared" si="2"/>
        <v/>
      </c>
      <c r="O978" s="264" t="str">
        <f t="shared" si="3"/>
        <v/>
      </c>
      <c r="P978" s="265" t="str">
        <f>IFERROR(__xludf.DUMMYFUNCTION("IF(ISBLANK(A978),"""",IFERROR(IF(H978=""Sell"",VLOOKUP(9^99,FILTER({ROW(P$2:P977),P$2:P977},D$2:D977=D978),2),(VLOOKUP(9^99,FILTER({ROW(P$2:P977),P$2:P977},D$2:D977=D978),2)*VLOOKUP(9^99,FILTER({ROW(O$2:O977),O$2:O977},D$2:D977=D978),2)-N978)/O978),J978))"),"")</f>
        <v/>
      </c>
      <c r="Q978" s="264" t="str">
        <f>IFERROR(__xludf.DUMMYFUNCTION("IFERROR(IF(F978=""Crypto"",B978,(IF(ISBLANK(D978),"""",IF(D978=""Cash"",B978,IF(GOOGLEFINANCE(D978,""CURRENCY"")=""GBX"",""GBP"",GOOGLEFINANCE(D978,""CURRENCY"")))))),B978)"),"")</f>
        <v/>
      </c>
      <c r="R978" s="263" t="str">
        <f>IFERROR(__xludf.DUMMYFUNCTION("IF(ISBLANK(A978),"""",IFERROR(IF(OR(Q978=""GPB"",Q978=""ZAR""),IF(Q978=Dashboard!$L$1,K978,(K978*GOOGLEFINANCE(""CURRENCY:""&amp;Q978&amp;""""&amp;Dashboard!$L$1&amp;""""))/100),IF(Q978=Dashboard!$L$1,K978,K978*GOOGLEFINANCE(""CURRENCY:""&amp;Q978&amp;""""&amp;Dashboard!$L$1&amp;"""")))"&amp;",K978))"),"")</f>
        <v/>
      </c>
      <c r="S978" s="266" t="str">
        <f>IFERROR(__xludf.DUMMYFUNCTION("IF(ISBLANK(A978),"""",IFERROR(IF(OR(Q978=""GPB"",Q978=""ZAR""),IF(Q978=Dashboard!$L$1,M978,(M978*GOOGLEFINANCE(""CURRENCY:""&amp;Q978&amp;""""&amp;Dashboard!$L$1&amp;""""))/100),IF(Q978=Dashboard!$L$1,M978,M978*GOOGLEFINANCE(""CURRENCY:""&amp;Q978&amp;""""&amp;Dashboard!$L$1&amp;"""")))"&amp;",M978))"),"")</f>
        <v/>
      </c>
      <c r="T978" s="264" t="str">
        <f t="shared" si="4"/>
        <v/>
      </c>
      <c r="U978" s="264" t="str">
        <f t="shared" si="5"/>
        <v/>
      </c>
      <c r="V978" s="264" t="str">
        <f t="shared" si="6"/>
        <v/>
      </c>
      <c r="W978" s="267" t="str">
        <f t="shared" si="8"/>
        <v/>
      </c>
      <c r="X978" s="264" t="str">
        <f t="shared" si="7"/>
        <v/>
      </c>
    </row>
    <row r="979" ht="15.75" customHeight="1">
      <c r="A979" s="258"/>
      <c r="B979" s="258"/>
      <c r="C979" s="269"/>
      <c r="D979" s="258"/>
      <c r="E979" s="258"/>
      <c r="F979" s="258"/>
      <c r="G979" s="258"/>
      <c r="H979" s="271"/>
      <c r="I979" s="258"/>
      <c r="J979" s="272"/>
      <c r="K979" s="260"/>
      <c r="L979" s="261"/>
      <c r="M979" s="262" t="str">
        <f t="shared" si="1"/>
        <v/>
      </c>
      <c r="N979" s="263" t="str">
        <f t="shared" si="2"/>
        <v/>
      </c>
      <c r="O979" s="264" t="str">
        <f t="shared" si="3"/>
        <v/>
      </c>
      <c r="P979" s="265" t="str">
        <f>IFERROR(__xludf.DUMMYFUNCTION("IF(ISBLANK(A979),"""",IFERROR(IF(H979=""Sell"",VLOOKUP(9^99,FILTER({ROW(P$2:P978),P$2:P978},D$2:D978=D979),2),(VLOOKUP(9^99,FILTER({ROW(P$2:P978),P$2:P978},D$2:D978=D979),2)*VLOOKUP(9^99,FILTER({ROW(O$2:O978),O$2:O978},D$2:D978=D979),2)-N979)/O979),J979))"),"")</f>
        <v/>
      </c>
      <c r="Q979" s="264" t="str">
        <f>IFERROR(__xludf.DUMMYFUNCTION("IFERROR(IF(F979=""Crypto"",B979,(IF(ISBLANK(D979),"""",IF(D979=""Cash"",B979,IF(GOOGLEFINANCE(D979,""CURRENCY"")=""GBX"",""GBP"",GOOGLEFINANCE(D979,""CURRENCY"")))))),B979)"),"")</f>
        <v/>
      </c>
      <c r="R979" s="263" t="str">
        <f>IFERROR(__xludf.DUMMYFUNCTION("IF(ISBLANK(A979),"""",IFERROR(IF(OR(Q979=""GPB"",Q979=""ZAR""),IF(Q979=Dashboard!$L$1,K979,(K979*GOOGLEFINANCE(""CURRENCY:""&amp;Q979&amp;""""&amp;Dashboard!$L$1&amp;""""))/100),IF(Q979=Dashboard!$L$1,K979,K979*GOOGLEFINANCE(""CURRENCY:""&amp;Q979&amp;""""&amp;Dashboard!$L$1&amp;"""")))"&amp;",K979))"),"")</f>
        <v/>
      </c>
      <c r="S979" s="266" t="str">
        <f>IFERROR(__xludf.DUMMYFUNCTION("IF(ISBLANK(A979),"""",IFERROR(IF(OR(Q979=""GPB"",Q979=""ZAR""),IF(Q979=Dashboard!$L$1,M979,(M979*GOOGLEFINANCE(""CURRENCY:""&amp;Q979&amp;""""&amp;Dashboard!$L$1&amp;""""))/100),IF(Q979=Dashboard!$L$1,M979,M979*GOOGLEFINANCE(""CURRENCY:""&amp;Q979&amp;""""&amp;Dashboard!$L$1&amp;"""")))"&amp;",M979))"),"")</f>
        <v/>
      </c>
      <c r="T979" s="264" t="str">
        <f t="shared" si="4"/>
        <v/>
      </c>
      <c r="U979" s="264" t="str">
        <f t="shared" si="5"/>
        <v/>
      </c>
      <c r="V979" s="264" t="str">
        <f t="shared" si="6"/>
        <v/>
      </c>
      <c r="W979" s="267" t="str">
        <f t="shared" si="8"/>
        <v/>
      </c>
      <c r="X979" s="264" t="str">
        <f t="shared" si="7"/>
        <v/>
      </c>
    </row>
    <row r="980" ht="15.75" customHeight="1">
      <c r="A980" s="258"/>
      <c r="B980" s="258"/>
      <c r="C980" s="269"/>
      <c r="D980" s="258"/>
      <c r="E980" s="258"/>
      <c r="F980" s="258"/>
      <c r="G980" s="258"/>
      <c r="H980" s="271"/>
      <c r="I980" s="258"/>
      <c r="J980" s="272"/>
      <c r="K980" s="260"/>
      <c r="L980" s="261"/>
      <c r="M980" s="262" t="str">
        <f t="shared" si="1"/>
        <v/>
      </c>
      <c r="N980" s="263" t="str">
        <f t="shared" si="2"/>
        <v/>
      </c>
      <c r="O980" s="264" t="str">
        <f t="shared" si="3"/>
        <v/>
      </c>
      <c r="P980" s="265" t="str">
        <f>IFERROR(__xludf.DUMMYFUNCTION("IF(ISBLANK(A980),"""",IFERROR(IF(H980=""Sell"",VLOOKUP(9^99,FILTER({ROW(P$2:P979),P$2:P979},D$2:D979=D980),2),(VLOOKUP(9^99,FILTER({ROW(P$2:P979),P$2:P979},D$2:D979=D980),2)*VLOOKUP(9^99,FILTER({ROW(O$2:O979),O$2:O979},D$2:D979=D980),2)-N980)/O980),J980))"),"")</f>
        <v/>
      </c>
      <c r="Q980" s="264" t="str">
        <f>IFERROR(__xludf.DUMMYFUNCTION("IFERROR(IF(F980=""Crypto"",B980,(IF(ISBLANK(D980),"""",IF(D980=""Cash"",B980,IF(GOOGLEFINANCE(D980,""CURRENCY"")=""GBX"",""GBP"",GOOGLEFINANCE(D980,""CURRENCY"")))))),B980)"),"")</f>
        <v/>
      </c>
      <c r="R980" s="263" t="str">
        <f>IFERROR(__xludf.DUMMYFUNCTION("IF(ISBLANK(A980),"""",IFERROR(IF(OR(Q980=""GPB"",Q980=""ZAR""),IF(Q980=Dashboard!$L$1,K980,(K980*GOOGLEFINANCE(""CURRENCY:""&amp;Q980&amp;""""&amp;Dashboard!$L$1&amp;""""))/100),IF(Q980=Dashboard!$L$1,K980,K980*GOOGLEFINANCE(""CURRENCY:""&amp;Q980&amp;""""&amp;Dashboard!$L$1&amp;"""")))"&amp;",K980))"),"")</f>
        <v/>
      </c>
      <c r="S980" s="266" t="str">
        <f>IFERROR(__xludf.DUMMYFUNCTION("IF(ISBLANK(A980),"""",IFERROR(IF(OR(Q980=""GPB"",Q980=""ZAR""),IF(Q980=Dashboard!$L$1,M980,(M980*GOOGLEFINANCE(""CURRENCY:""&amp;Q980&amp;""""&amp;Dashboard!$L$1&amp;""""))/100),IF(Q980=Dashboard!$L$1,M980,M980*GOOGLEFINANCE(""CURRENCY:""&amp;Q980&amp;""""&amp;Dashboard!$L$1&amp;"""")))"&amp;",M980))"),"")</f>
        <v/>
      </c>
      <c r="T980" s="264" t="str">
        <f t="shared" si="4"/>
        <v/>
      </c>
      <c r="U980" s="264" t="str">
        <f t="shared" si="5"/>
        <v/>
      </c>
      <c r="V980" s="264" t="str">
        <f t="shared" si="6"/>
        <v/>
      </c>
      <c r="W980" s="267" t="str">
        <f t="shared" si="8"/>
        <v/>
      </c>
      <c r="X980" s="264" t="str">
        <f t="shared" si="7"/>
        <v/>
      </c>
    </row>
    <row r="981" ht="15.75" customHeight="1">
      <c r="A981" s="258"/>
      <c r="B981" s="258"/>
      <c r="C981" s="269"/>
      <c r="D981" s="258"/>
      <c r="E981" s="258"/>
      <c r="F981" s="258"/>
      <c r="G981" s="258"/>
      <c r="H981" s="271"/>
      <c r="I981" s="258"/>
      <c r="J981" s="272"/>
      <c r="K981" s="260"/>
      <c r="L981" s="261"/>
      <c r="M981" s="262" t="str">
        <f t="shared" si="1"/>
        <v/>
      </c>
      <c r="N981" s="263" t="str">
        <f t="shared" si="2"/>
        <v/>
      </c>
      <c r="O981" s="264" t="str">
        <f t="shared" si="3"/>
        <v/>
      </c>
      <c r="P981" s="265" t="str">
        <f>IFERROR(__xludf.DUMMYFUNCTION("IF(ISBLANK(A981),"""",IFERROR(IF(H981=""Sell"",VLOOKUP(9^99,FILTER({ROW(P$2:P980),P$2:P980},D$2:D980=D981),2),(VLOOKUP(9^99,FILTER({ROW(P$2:P980),P$2:P980},D$2:D980=D981),2)*VLOOKUP(9^99,FILTER({ROW(O$2:O980),O$2:O980},D$2:D980=D981),2)-N981)/O981),J981))"),"")</f>
        <v/>
      </c>
      <c r="Q981" s="264" t="str">
        <f>IFERROR(__xludf.DUMMYFUNCTION("IFERROR(IF(F981=""Crypto"",B981,(IF(ISBLANK(D981),"""",IF(D981=""Cash"",B981,IF(GOOGLEFINANCE(D981,""CURRENCY"")=""GBX"",""GBP"",GOOGLEFINANCE(D981,""CURRENCY"")))))),B981)"),"")</f>
        <v/>
      </c>
      <c r="R981" s="263" t="str">
        <f>IFERROR(__xludf.DUMMYFUNCTION("IF(ISBLANK(A981),"""",IFERROR(IF(OR(Q981=""GPB"",Q981=""ZAR""),IF(Q981=Dashboard!$L$1,K981,(K981*GOOGLEFINANCE(""CURRENCY:""&amp;Q981&amp;""""&amp;Dashboard!$L$1&amp;""""))/100),IF(Q981=Dashboard!$L$1,K981,K981*GOOGLEFINANCE(""CURRENCY:""&amp;Q981&amp;""""&amp;Dashboard!$L$1&amp;"""")))"&amp;",K981))"),"")</f>
        <v/>
      </c>
      <c r="S981" s="266" t="str">
        <f>IFERROR(__xludf.DUMMYFUNCTION("IF(ISBLANK(A981),"""",IFERROR(IF(OR(Q981=""GPB"",Q981=""ZAR""),IF(Q981=Dashboard!$L$1,M981,(M981*GOOGLEFINANCE(""CURRENCY:""&amp;Q981&amp;""""&amp;Dashboard!$L$1&amp;""""))/100),IF(Q981=Dashboard!$L$1,M981,M981*GOOGLEFINANCE(""CURRENCY:""&amp;Q981&amp;""""&amp;Dashboard!$L$1&amp;"""")))"&amp;",M981))"),"")</f>
        <v/>
      </c>
      <c r="T981" s="264" t="str">
        <f t="shared" si="4"/>
        <v/>
      </c>
      <c r="U981" s="264" t="str">
        <f t="shared" si="5"/>
        <v/>
      </c>
      <c r="V981" s="264" t="str">
        <f t="shared" si="6"/>
        <v/>
      </c>
      <c r="W981" s="267" t="str">
        <f t="shared" si="8"/>
        <v/>
      </c>
      <c r="X981" s="264" t="str">
        <f t="shared" si="7"/>
        <v/>
      </c>
    </row>
    <row r="982" ht="15.75" customHeight="1">
      <c r="A982" s="258"/>
      <c r="B982" s="258"/>
      <c r="C982" s="269"/>
      <c r="D982" s="258"/>
      <c r="E982" s="258"/>
      <c r="F982" s="258"/>
      <c r="G982" s="258"/>
      <c r="H982" s="271"/>
      <c r="I982" s="258"/>
      <c r="J982" s="272"/>
      <c r="K982" s="260"/>
      <c r="L982" s="261"/>
      <c r="M982" s="262" t="str">
        <f t="shared" si="1"/>
        <v/>
      </c>
      <c r="N982" s="263" t="str">
        <f t="shared" si="2"/>
        <v/>
      </c>
      <c r="O982" s="264" t="str">
        <f t="shared" si="3"/>
        <v/>
      </c>
      <c r="P982" s="265" t="str">
        <f>IFERROR(__xludf.DUMMYFUNCTION("IF(ISBLANK(A982),"""",IFERROR(IF(H982=""Sell"",VLOOKUP(9^99,FILTER({ROW(P$2:P981),P$2:P981},D$2:D981=D982),2),(VLOOKUP(9^99,FILTER({ROW(P$2:P981),P$2:P981},D$2:D981=D982),2)*VLOOKUP(9^99,FILTER({ROW(O$2:O981),O$2:O981},D$2:D981=D982),2)-N982)/O982),J982))"),"")</f>
        <v/>
      </c>
      <c r="Q982" s="264" t="str">
        <f>IFERROR(__xludf.DUMMYFUNCTION("IFERROR(IF(F982=""Crypto"",B982,(IF(ISBLANK(D982),"""",IF(D982=""Cash"",B982,IF(GOOGLEFINANCE(D982,""CURRENCY"")=""GBX"",""GBP"",GOOGLEFINANCE(D982,""CURRENCY"")))))),B982)"),"")</f>
        <v/>
      </c>
      <c r="R982" s="263" t="str">
        <f>IFERROR(__xludf.DUMMYFUNCTION("IF(ISBLANK(A982),"""",IFERROR(IF(OR(Q982=""GPB"",Q982=""ZAR""),IF(Q982=Dashboard!$L$1,K982,(K982*GOOGLEFINANCE(""CURRENCY:""&amp;Q982&amp;""""&amp;Dashboard!$L$1&amp;""""))/100),IF(Q982=Dashboard!$L$1,K982,K982*GOOGLEFINANCE(""CURRENCY:""&amp;Q982&amp;""""&amp;Dashboard!$L$1&amp;"""")))"&amp;",K982))"),"")</f>
        <v/>
      </c>
      <c r="S982" s="266" t="str">
        <f>IFERROR(__xludf.DUMMYFUNCTION("IF(ISBLANK(A982),"""",IFERROR(IF(OR(Q982=""GPB"",Q982=""ZAR""),IF(Q982=Dashboard!$L$1,M982,(M982*GOOGLEFINANCE(""CURRENCY:""&amp;Q982&amp;""""&amp;Dashboard!$L$1&amp;""""))/100),IF(Q982=Dashboard!$L$1,M982,M982*GOOGLEFINANCE(""CURRENCY:""&amp;Q982&amp;""""&amp;Dashboard!$L$1&amp;"""")))"&amp;",M982))"),"")</f>
        <v/>
      </c>
      <c r="T982" s="264" t="str">
        <f t="shared" si="4"/>
        <v/>
      </c>
      <c r="U982" s="264" t="str">
        <f t="shared" si="5"/>
        <v/>
      </c>
      <c r="V982" s="264" t="str">
        <f t="shared" si="6"/>
        <v/>
      </c>
      <c r="W982" s="267" t="str">
        <f t="shared" si="8"/>
        <v/>
      </c>
      <c r="X982" s="264" t="str">
        <f t="shared" si="7"/>
        <v/>
      </c>
    </row>
    <row r="983" ht="15.75" customHeight="1">
      <c r="A983" s="258"/>
      <c r="B983" s="258"/>
      <c r="C983" s="269"/>
      <c r="D983" s="258"/>
      <c r="E983" s="258"/>
      <c r="F983" s="258"/>
      <c r="G983" s="258"/>
      <c r="H983" s="271"/>
      <c r="I983" s="258"/>
      <c r="J983" s="272"/>
      <c r="K983" s="260"/>
      <c r="L983" s="261"/>
      <c r="M983" s="262" t="str">
        <f t="shared" si="1"/>
        <v/>
      </c>
      <c r="N983" s="263" t="str">
        <f t="shared" si="2"/>
        <v/>
      </c>
      <c r="O983" s="264" t="str">
        <f t="shared" si="3"/>
        <v/>
      </c>
      <c r="P983" s="265" t="str">
        <f>IFERROR(__xludf.DUMMYFUNCTION("IF(ISBLANK(A983),"""",IFERROR(IF(H983=""Sell"",VLOOKUP(9^99,FILTER({ROW(P$2:P982),P$2:P982},D$2:D982=D983),2),(VLOOKUP(9^99,FILTER({ROW(P$2:P982),P$2:P982},D$2:D982=D983),2)*VLOOKUP(9^99,FILTER({ROW(O$2:O982),O$2:O982},D$2:D982=D983),2)-N983)/O983),J983))"),"")</f>
        <v/>
      </c>
      <c r="Q983" s="264" t="str">
        <f>IFERROR(__xludf.DUMMYFUNCTION("IFERROR(IF(F983=""Crypto"",B983,(IF(ISBLANK(D983),"""",IF(D983=""Cash"",B983,IF(GOOGLEFINANCE(D983,""CURRENCY"")=""GBX"",""GBP"",GOOGLEFINANCE(D983,""CURRENCY"")))))),B983)"),"")</f>
        <v/>
      </c>
      <c r="R983" s="263" t="str">
        <f>IFERROR(__xludf.DUMMYFUNCTION("IF(ISBLANK(A983),"""",IFERROR(IF(OR(Q983=""GPB"",Q983=""ZAR""),IF(Q983=Dashboard!$L$1,K983,(K983*GOOGLEFINANCE(""CURRENCY:""&amp;Q983&amp;""""&amp;Dashboard!$L$1&amp;""""))/100),IF(Q983=Dashboard!$L$1,K983,K983*GOOGLEFINANCE(""CURRENCY:""&amp;Q983&amp;""""&amp;Dashboard!$L$1&amp;"""")))"&amp;",K983))"),"")</f>
        <v/>
      </c>
      <c r="S983" s="266" t="str">
        <f>IFERROR(__xludf.DUMMYFUNCTION("IF(ISBLANK(A983),"""",IFERROR(IF(OR(Q983=""GPB"",Q983=""ZAR""),IF(Q983=Dashboard!$L$1,M983,(M983*GOOGLEFINANCE(""CURRENCY:""&amp;Q983&amp;""""&amp;Dashboard!$L$1&amp;""""))/100),IF(Q983=Dashboard!$L$1,M983,M983*GOOGLEFINANCE(""CURRENCY:""&amp;Q983&amp;""""&amp;Dashboard!$L$1&amp;"""")))"&amp;",M983))"),"")</f>
        <v/>
      </c>
      <c r="T983" s="264" t="str">
        <f t="shared" si="4"/>
        <v/>
      </c>
      <c r="U983" s="264" t="str">
        <f t="shared" si="5"/>
        <v/>
      </c>
      <c r="V983" s="264" t="str">
        <f t="shared" si="6"/>
        <v/>
      </c>
      <c r="W983" s="267" t="str">
        <f t="shared" si="8"/>
        <v/>
      </c>
      <c r="X983" s="264" t="str">
        <f t="shared" si="7"/>
        <v/>
      </c>
    </row>
    <row r="984" ht="15.75" customHeight="1">
      <c r="A984" s="258"/>
      <c r="B984" s="258"/>
      <c r="C984" s="269"/>
      <c r="D984" s="258"/>
      <c r="E984" s="258"/>
      <c r="F984" s="258"/>
      <c r="G984" s="258"/>
      <c r="H984" s="271"/>
      <c r="I984" s="258"/>
      <c r="J984" s="272"/>
      <c r="K984" s="260"/>
      <c r="L984" s="261"/>
      <c r="M984" s="262" t="str">
        <f t="shared" si="1"/>
        <v/>
      </c>
      <c r="N984" s="263" t="str">
        <f t="shared" si="2"/>
        <v/>
      </c>
      <c r="O984" s="264" t="str">
        <f t="shared" si="3"/>
        <v/>
      </c>
      <c r="P984" s="265" t="str">
        <f>IFERROR(__xludf.DUMMYFUNCTION("IF(ISBLANK(A984),"""",IFERROR(IF(H984=""Sell"",VLOOKUP(9^99,FILTER({ROW(P$2:P983),P$2:P983},D$2:D983=D984),2),(VLOOKUP(9^99,FILTER({ROW(P$2:P983),P$2:P983},D$2:D983=D984),2)*VLOOKUP(9^99,FILTER({ROW(O$2:O983),O$2:O983},D$2:D983=D984),2)-N984)/O984),J984))"),"")</f>
        <v/>
      </c>
      <c r="Q984" s="264" t="str">
        <f>IFERROR(__xludf.DUMMYFUNCTION("IFERROR(IF(F984=""Crypto"",B984,(IF(ISBLANK(D984),"""",IF(D984=""Cash"",B984,IF(GOOGLEFINANCE(D984,""CURRENCY"")=""GBX"",""GBP"",GOOGLEFINANCE(D984,""CURRENCY"")))))),B984)"),"")</f>
        <v/>
      </c>
      <c r="R984" s="263" t="str">
        <f>IFERROR(__xludf.DUMMYFUNCTION("IF(ISBLANK(A984),"""",IFERROR(IF(OR(Q984=""GPB"",Q984=""ZAR""),IF(Q984=Dashboard!$L$1,K984,(K984*GOOGLEFINANCE(""CURRENCY:""&amp;Q984&amp;""""&amp;Dashboard!$L$1&amp;""""))/100),IF(Q984=Dashboard!$L$1,K984,K984*GOOGLEFINANCE(""CURRENCY:""&amp;Q984&amp;""""&amp;Dashboard!$L$1&amp;"""")))"&amp;",K984))"),"")</f>
        <v/>
      </c>
      <c r="S984" s="266" t="str">
        <f>IFERROR(__xludf.DUMMYFUNCTION("IF(ISBLANK(A984),"""",IFERROR(IF(OR(Q984=""GPB"",Q984=""ZAR""),IF(Q984=Dashboard!$L$1,M984,(M984*GOOGLEFINANCE(""CURRENCY:""&amp;Q984&amp;""""&amp;Dashboard!$L$1&amp;""""))/100),IF(Q984=Dashboard!$L$1,M984,M984*GOOGLEFINANCE(""CURRENCY:""&amp;Q984&amp;""""&amp;Dashboard!$L$1&amp;"""")))"&amp;",M984))"),"")</f>
        <v/>
      </c>
      <c r="T984" s="264" t="str">
        <f t="shared" si="4"/>
        <v/>
      </c>
      <c r="U984" s="264" t="str">
        <f t="shared" si="5"/>
        <v/>
      </c>
      <c r="V984" s="264" t="str">
        <f t="shared" si="6"/>
        <v/>
      </c>
      <c r="W984" s="267" t="str">
        <f t="shared" si="8"/>
        <v/>
      </c>
      <c r="X984" s="264" t="str">
        <f t="shared" si="7"/>
        <v/>
      </c>
    </row>
    <row r="985" ht="15.75" customHeight="1">
      <c r="A985" s="258"/>
      <c r="B985" s="258"/>
      <c r="C985" s="269"/>
      <c r="D985" s="258"/>
      <c r="E985" s="258"/>
      <c r="F985" s="258"/>
      <c r="G985" s="258"/>
      <c r="H985" s="271"/>
      <c r="I985" s="258"/>
      <c r="J985" s="272"/>
      <c r="K985" s="260"/>
      <c r="L985" s="261"/>
      <c r="M985" s="262" t="str">
        <f t="shared" si="1"/>
        <v/>
      </c>
      <c r="N985" s="263" t="str">
        <f t="shared" si="2"/>
        <v/>
      </c>
      <c r="O985" s="264" t="str">
        <f t="shared" si="3"/>
        <v/>
      </c>
      <c r="P985" s="265" t="str">
        <f>IFERROR(__xludf.DUMMYFUNCTION("IF(ISBLANK(A985),"""",IFERROR(IF(H985=""Sell"",VLOOKUP(9^99,FILTER({ROW(P$2:P984),P$2:P984},D$2:D984=D985),2),(VLOOKUP(9^99,FILTER({ROW(P$2:P984),P$2:P984},D$2:D984=D985),2)*VLOOKUP(9^99,FILTER({ROW(O$2:O984),O$2:O984},D$2:D984=D985),2)-N985)/O985),J985))"),"")</f>
        <v/>
      </c>
      <c r="Q985" s="264" t="str">
        <f>IFERROR(__xludf.DUMMYFUNCTION("IFERROR(IF(F985=""Crypto"",B985,(IF(ISBLANK(D985),"""",IF(D985=""Cash"",B985,IF(GOOGLEFINANCE(D985,""CURRENCY"")=""GBX"",""GBP"",GOOGLEFINANCE(D985,""CURRENCY"")))))),B985)"),"")</f>
        <v/>
      </c>
      <c r="R985" s="263" t="str">
        <f>IFERROR(__xludf.DUMMYFUNCTION("IF(ISBLANK(A985),"""",IFERROR(IF(OR(Q985=""GPB"",Q985=""ZAR""),IF(Q985=Dashboard!$L$1,K985,(K985*GOOGLEFINANCE(""CURRENCY:""&amp;Q985&amp;""""&amp;Dashboard!$L$1&amp;""""))/100),IF(Q985=Dashboard!$L$1,K985,K985*GOOGLEFINANCE(""CURRENCY:""&amp;Q985&amp;""""&amp;Dashboard!$L$1&amp;"""")))"&amp;",K985))"),"")</f>
        <v/>
      </c>
      <c r="S985" s="266" t="str">
        <f>IFERROR(__xludf.DUMMYFUNCTION("IF(ISBLANK(A985),"""",IFERROR(IF(OR(Q985=""GPB"",Q985=""ZAR""),IF(Q985=Dashboard!$L$1,M985,(M985*GOOGLEFINANCE(""CURRENCY:""&amp;Q985&amp;""""&amp;Dashboard!$L$1&amp;""""))/100),IF(Q985=Dashboard!$L$1,M985,M985*GOOGLEFINANCE(""CURRENCY:""&amp;Q985&amp;""""&amp;Dashboard!$L$1&amp;"""")))"&amp;",M985))"),"")</f>
        <v/>
      </c>
      <c r="T985" s="264" t="str">
        <f t="shared" si="4"/>
        <v/>
      </c>
      <c r="U985" s="264" t="str">
        <f t="shared" si="5"/>
        <v/>
      </c>
      <c r="V985" s="264" t="str">
        <f t="shared" si="6"/>
        <v/>
      </c>
      <c r="W985" s="267" t="str">
        <f t="shared" si="8"/>
        <v/>
      </c>
      <c r="X985" s="264" t="str">
        <f t="shared" si="7"/>
        <v/>
      </c>
    </row>
    <row r="986" ht="15.75" customHeight="1">
      <c r="A986" s="258"/>
      <c r="B986" s="258"/>
      <c r="C986" s="269"/>
      <c r="D986" s="258"/>
      <c r="E986" s="258"/>
      <c r="F986" s="258"/>
      <c r="G986" s="258"/>
      <c r="H986" s="271"/>
      <c r="I986" s="258"/>
      <c r="J986" s="272"/>
      <c r="K986" s="260"/>
      <c r="L986" s="261"/>
      <c r="M986" s="262" t="str">
        <f t="shared" si="1"/>
        <v/>
      </c>
      <c r="N986" s="263" t="str">
        <f t="shared" si="2"/>
        <v/>
      </c>
      <c r="O986" s="264" t="str">
        <f t="shared" si="3"/>
        <v/>
      </c>
      <c r="P986" s="265" t="str">
        <f>IFERROR(__xludf.DUMMYFUNCTION("IF(ISBLANK(A986),"""",IFERROR(IF(H986=""Sell"",VLOOKUP(9^99,FILTER({ROW(P$2:P985),P$2:P985},D$2:D985=D986),2),(VLOOKUP(9^99,FILTER({ROW(P$2:P985),P$2:P985},D$2:D985=D986),2)*VLOOKUP(9^99,FILTER({ROW(O$2:O985),O$2:O985},D$2:D985=D986),2)-N986)/O986),J986))"),"")</f>
        <v/>
      </c>
      <c r="Q986" s="264" t="str">
        <f>IFERROR(__xludf.DUMMYFUNCTION("IFERROR(IF(F986=""Crypto"",B986,(IF(ISBLANK(D986),"""",IF(D986=""Cash"",B986,IF(GOOGLEFINANCE(D986,""CURRENCY"")=""GBX"",""GBP"",GOOGLEFINANCE(D986,""CURRENCY"")))))),B986)"),"")</f>
        <v/>
      </c>
      <c r="R986" s="263" t="str">
        <f>IFERROR(__xludf.DUMMYFUNCTION("IF(ISBLANK(A986),"""",IFERROR(IF(OR(Q986=""GPB"",Q986=""ZAR""),IF(Q986=Dashboard!$L$1,K986,(K986*GOOGLEFINANCE(""CURRENCY:""&amp;Q986&amp;""""&amp;Dashboard!$L$1&amp;""""))/100),IF(Q986=Dashboard!$L$1,K986,K986*GOOGLEFINANCE(""CURRENCY:""&amp;Q986&amp;""""&amp;Dashboard!$L$1&amp;"""")))"&amp;",K986))"),"")</f>
        <v/>
      </c>
      <c r="S986" s="266" t="str">
        <f>IFERROR(__xludf.DUMMYFUNCTION("IF(ISBLANK(A986),"""",IFERROR(IF(OR(Q986=""GPB"",Q986=""ZAR""),IF(Q986=Dashboard!$L$1,M986,(M986*GOOGLEFINANCE(""CURRENCY:""&amp;Q986&amp;""""&amp;Dashboard!$L$1&amp;""""))/100),IF(Q986=Dashboard!$L$1,M986,M986*GOOGLEFINANCE(""CURRENCY:""&amp;Q986&amp;""""&amp;Dashboard!$L$1&amp;"""")))"&amp;",M986))"),"")</f>
        <v/>
      </c>
      <c r="T986" s="264" t="str">
        <f t="shared" si="4"/>
        <v/>
      </c>
      <c r="U986" s="264" t="str">
        <f t="shared" si="5"/>
        <v/>
      </c>
      <c r="V986" s="264" t="str">
        <f t="shared" si="6"/>
        <v/>
      </c>
      <c r="W986" s="267" t="str">
        <f t="shared" si="8"/>
        <v/>
      </c>
      <c r="X986" s="264" t="str">
        <f t="shared" si="7"/>
        <v/>
      </c>
    </row>
    <row r="987" ht="15.75" customHeight="1">
      <c r="A987" s="258"/>
      <c r="B987" s="258"/>
      <c r="C987" s="269"/>
      <c r="D987" s="258"/>
      <c r="E987" s="258"/>
      <c r="F987" s="258"/>
      <c r="G987" s="258"/>
      <c r="H987" s="271"/>
      <c r="I987" s="258"/>
      <c r="J987" s="272"/>
      <c r="K987" s="260"/>
      <c r="L987" s="261"/>
      <c r="M987" s="262" t="str">
        <f t="shared" si="1"/>
        <v/>
      </c>
      <c r="N987" s="263" t="str">
        <f t="shared" si="2"/>
        <v/>
      </c>
      <c r="O987" s="264" t="str">
        <f t="shared" si="3"/>
        <v/>
      </c>
      <c r="P987" s="265" t="str">
        <f>IFERROR(__xludf.DUMMYFUNCTION("IF(ISBLANK(A987),"""",IFERROR(IF(H987=""Sell"",VLOOKUP(9^99,FILTER({ROW(P$2:P986),P$2:P986},D$2:D986=D987),2),(VLOOKUP(9^99,FILTER({ROW(P$2:P986),P$2:P986},D$2:D986=D987),2)*VLOOKUP(9^99,FILTER({ROW(O$2:O986),O$2:O986},D$2:D986=D987),2)-N987)/O987),J987))"),"")</f>
        <v/>
      </c>
      <c r="Q987" s="264" t="str">
        <f>IFERROR(__xludf.DUMMYFUNCTION("IFERROR(IF(F987=""Crypto"",B987,(IF(ISBLANK(D987),"""",IF(D987=""Cash"",B987,IF(GOOGLEFINANCE(D987,""CURRENCY"")=""GBX"",""GBP"",GOOGLEFINANCE(D987,""CURRENCY"")))))),B987)"),"")</f>
        <v/>
      </c>
      <c r="R987" s="263" t="str">
        <f>IFERROR(__xludf.DUMMYFUNCTION("IF(ISBLANK(A987),"""",IFERROR(IF(OR(Q987=""GPB"",Q987=""ZAR""),IF(Q987=Dashboard!$L$1,K987,(K987*GOOGLEFINANCE(""CURRENCY:""&amp;Q987&amp;""""&amp;Dashboard!$L$1&amp;""""))/100),IF(Q987=Dashboard!$L$1,K987,K987*GOOGLEFINANCE(""CURRENCY:""&amp;Q987&amp;""""&amp;Dashboard!$L$1&amp;"""")))"&amp;",K987))"),"")</f>
        <v/>
      </c>
      <c r="S987" s="266" t="str">
        <f>IFERROR(__xludf.DUMMYFUNCTION("IF(ISBLANK(A987),"""",IFERROR(IF(OR(Q987=""GPB"",Q987=""ZAR""),IF(Q987=Dashboard!$L$1,M987,(M987*GOOGLEFINANCE(""CURRENCY:""&amp;Q987&amp;""""&amp;Dashboard!$L$1&amp;""""))/100),IF(Q987=Dashboard!$L$1,M987,M987*GOOGLEFINANCE(""CURRENCY:""&amp;Q987&amp;""""&amp;Dashboard!$L$1&amp;"""")))"&amp;",M987))"),"")</f>
        <v/>
      </c>
      <c r="T987" s="264" t="str">
        <f t="shared" si="4"/>
        <v/>
      </c>
      <c r="U987" s="264" t="str">
        <f t="shared" si="5"/>
        <v/>
      </c>
      <c r="V987" s="264" t="str">
        <f t="shared" si="6"/>
        <v/>
      </c>
      <c r="W987" s="267" t="str">
        <f t="shared" si="8"/>
        <v/>
      </c>
      <c r="X987" s="264" t="str">
        <f t="shared" si="7"/>
        <v/>
      </c>
    </row>
    <row r="988" ht="15.75" customHeight="1">
      <c r="A988" s="258"/>
      <c r="B988" s="258"/>
      <c r="C988" s="269"/>
      <c r="D988" s="258"/>
      <c r="E988" s="258"/>
      <c r="F988" s="258"/>
      <c r="G988" s="258"/>
      <c r="H988" s="271"/>
      <c r="I988" s="258"/>
      <c r="J988" s="272"/>
      <c r="K988" s="260"/>
      <c r="L988" s="261"/>
      <c r="M988" s="262" t="str">
        <f t="shared" si="1"/>
        <v/>
      </c>
      <c r="N988" s="263" t="str">
        <f t="shared" si="2"/>
        <v/>
      </c>
      <c r="O988" s="264" t="str">
        <f t="shared" si="3"/>
        <v/>
      </c>
      <c r="P988" s="265" t="str">
        <f>IFERROR(__xludf.DUMMYFUNCTION("IF(ISBLANK(A988),"""",IFERROR(IF(H988=""Sell"",VLOOKUP(9^99,FILTER({ROW(P$2:P987),P$2:P987},D$2:D987=D988),2),(VLOOKUP(9^99,FILTER({ROW(P$2:P987),P$2:P987},D$2:D987=D988),2)*VLOOKUP(9^99,FILTER({ROW(O$2:O987),O$2:O987},D$2:D987=D988),2)-N988)/O988),J988))"),"")</f>
        <v/>
      </c>
      <c r="Q988" s="264" t="str">
        <f>IFERROR(__xludf.DUMMYFUNCTION("IFERROR(IF(F988=""Crypto"",B988,(IF(ISBLANK(D988),"""",IF(D988=""Cash"",B988,IF(GOOGLEFINANCE(D988,""CURRENCY"")=""GBX"",""GBP"",GOOGLEFINANCE(D988,""CURRENCY"")))))),B988)"),"")</f>
        <v/>
      </c>
      <c r="R988" s="263" t="str">
        <f>IFERROR(__xludf.DUMMYFUNCTION("IF(ISBLANK(A988),"""",IFERROR(IF(OR(Q988=""GPB"",Q988=""ZAR""),IF(Q988=Dashboard!$L$1,K988,(K988*GOOGLEFINANCE(""CURRENCY:""&amp;Q988&amp;""""&amp;Dashboard!$L$1&amp;""""))/100),IF(Q988=Dashboard!$L$1,K988,K988*GOOGLEFINANCE(""CURRENCY:""&amp;Q988&amp;""""&amp;Dashboard!$L$1&amp;"""")))"&amp;",K988))"),"")</f>
        <v/>
      </c>
      <c r="S988" s="266" t="str">
        <f>IFERROR(__xludf.DUMMYFUNCTION("IF(ISBLANK(A988),"""",IFERROR(IF(OR(Q988=""GPB"",Q988=""ZAR""),IF(Q988=Dashboard!$L$1,M988,(M988*GOOGLEFINANCE(""CURRENCY:""&amp;Q988&amp;""""&amp;Dashboard!$L$1&amp;""""))/100),IF(Q988=Dashboard!$L$1,M988,M988*GOOGLEFINANCE(""CURRENCY:""&amp;Q988&amp;""""&amp;Dashboard!$L$1&amp;"""")))"&amp;",M988))"),"")</f>
        <v/>
      </c>
      <c r="T988" s="264" t="str">
        <f t="shared" si="4"/>
        <v/>
      </c>
      <c r="U988" s="264" t="str">
        <f t="shared" si="5"/>
        <v/>
      </c>
      <c r="V988" s="264" t="str">
        <f t="shared" si="6"/>
        <v/>
      </c>
      <c r="W988" s="267" t="str">
        <f t="shared" si="8"/>
        <v/>
      </c>
      <c r="X988" s="264" t="str">
        <f t="shared" si="7"/>
        <v/>
      </c>
    </row>
    <row r="989" ht="15.75" customHeight="1">
      <c r="A989" s="258"/>
      <c r="B989" s="258"/>
      <c r="C989" s="269"/>
      <c r="D989" s="258"/>
      <c r="E989" s="258"/>
      <c r="F989" s="258"/>
      <c r="G989" s="258"/>
      <c r="H989" s="271"/>
      <c r="I989" s="258"/>
      <c r="J989" s="272"/>
      <c r="K989" s="260"/>
      <c r="L989" s="261"/>
      <c r="M989" s="262" t="str">
        <f t="shared" si="1"/>
        <v/>
      </c>
      <c r="N989" s="263" t="str">
        <f t="shared" si="2"/>
        <v/>
      </c>
      <c r="O989" s="264" t="str">
        <f t="shared" si="3"/>
        <v/>
      </c>
      <c r="P989" s="265" t="str">
        <f>IFERROR(__xludf.DUMMYFUNCTION("IF(ISBLANK(A989),"""",IFERROR(IF(H989=""Sell"",VLOOKUP(9^99,FILTER({ROW(P$2:P988),P$2:P988},D$2:D988=D989),2),(VLOOKUP(9^99,FILTER({ROW(P$2:P988),P$2:P988},D$2:D988=D989),2)*VLOOKUP(9^99,FILTER({ROW(O$2:O988),O$2:O988},D$2:D988=D989),2)-N989)/O989),J989))"),"")</f>
        <v/>
      </c>
      <c r="Q989" s="264" t="str">
        <f>IFERROR(__xludf.DUMMYFUNCTION("IFERROR(IF(F989=""Crypto"",B989,(IF(ISBLANK(D989),"""",IF(D989=""Cash"",B989,IF(GOOGLEFINANCE(D989,""CURRENCY"")=""GBX"",""GBP"",GOOGLEFINANCE(D989,""CURRENCY"")))))),B989)"),"")</f>
        <v/>
      </c>
      <c r="R989" s="263" t="str">
        <f>IFERROR(__xludf.DUMMYFUNCTION("IF(ISBLANK(A989),"""",IFERROR(IF(OR(Q989=""GPB"",Q989=""ZAR""),IF(Q989=Dashboard!$L$1,K989,(K989*GOOGLEFINANCE(""CURRENCY:""&amp;Q989&amp;""""&amp;Dashboard!$L$1&amp;""""))/100),IF(Q989=Dashboard!$L$1,K989,K989*GOOGLEFINANCE(""CURRENCY:""&amp;Q989&amp;""""&amp;Dashboard!$L$1&amp;"""")))"&amp;",K989))"),"")</f>
        <v/>
      </c>
      <c r="S989" s="266" t="str">
        <f>IFERROR(__xludf.DUMMYFUNCTION("IF(ISBLANK(A989),"""",IFERROR(IF(OR(Q989=""GPB"",Q989=""ZAR""),IF(Q989=Dashboard!$L$1,M989,(M989*GOOGLEFINANCE(""CURRENCY:""&amp;Q989&amp;""""&amp;Dashboard!$L$1&amp;""""))/100),IF(Q989=Dashboard!$L$1,M989,M989*GOOGLEFINANCE(""CURRENCY:""&amp;Q989&amp;""""&amp;Dashboard!$L$1&amp;"""")))"&amp;",M989))"),"")</f>
        <v/>
      </c>
      <c r="T989" s="264" t="str">
        <f t="shared" si="4"/>
        <v/>
      </c>
      <c r="U989" s="264" t="str">
        <f t="shared" si="5"/>
        <v/>
      </c>
      <c r="V989" s="264" t="str">
        <f t="shared" si="6"/>
        <v/>
      </c>
      <c r="W989" s="267" t="str">
        <f t="shared" si="8"/>
        <v/>
      </c>
      <c r="X989" s="264" t="str">
        <f t="shared" si="7"/>
        <v/>
      </c>
    </row>
    <row r="990" ht="15.75" customHeight="1">
      <c r="A990" s="258"/>
      <c r="B990" s="258"/>
      <c r="C990" s="269"/>
      <c r="D990" s="258"/>
      <c r="E990" s="258"/>
      <c r="F990" s="258"/>
      <c r="G990" s="258"/>
      <c r="H990" s="271"/>
      <c r="I990" s="258"/>
      <c r="J990" s="272"/>
      <c r="K990" s="260"/>
      <c r="L990" s="261"/>
      <c r="M990" s="262" t="str">
        <f t="shared" si="1"/>
        <v/>
      </c>
      <c r="N990" s="263" t="str">
        <f t="shared" si="2"/>
        <v/>
      </c>
      <c r="O990" s="264" t="str">
        <f t="shared" si="3"/>
        <v/>
      </c>
      <c r="P990" s="265" t="str">
        <f>IFERROR(__xludf.DUMMYFUNCTION("IF(ISBLANK(A990),"""",IFERROR(IF(H990=""Sell"",VLOOKUP(9^99,FILTER({ROW(P$2:P989),P$2:P989},D$2:D989=D990),2),(VLOOKUP(9^99,FILTER({ROW(P$2:P989),P$2:P989},D$2:D989=D990),2)*VLOOKUP(9^99,FILTER({ROW(O$2:O989),O$2:O989},D$2:D989=D990),2)-N990)/O990),J990))"),"")</f>
        <v/>
      </c>
      <c r="Q990" s="264" t="str">
        <f>IFERROR(__xludf.DUMMYFUNCTION("IFERROR(IF(F990=""Crypto"",B990,(IF(ISBLANK(D990),"""",IF(D990=""Cash"",B990,IF(GOOGLEFINANCE(D990,""CURRENCY"")=""GBX"",""GBP"",GOOGLEFINANCE(D990,""CURRENCY"")))))),B990)"),"")</f>
        <v/>
      </c>
      <c r="R990" s="263" t="str">
        <f>IFERROR(__xludf.DUMMYFUNCTION("IF(ISBLANK(A990),"""",IFERROR(IF(OR(Q990=""GPB"",Q990=""ZAR""),IF(Q990=Dashboard!$L$1,K990,(K990*GOOGLEFINANCE(""CURRENCY:""&amp;Q990&amp;""""&amp;Dashboard!$L$1&amp;""""))/100),IF(Q990=Dashboard!$L$1,K990,K990*GOOGLEFINANCE(""CURRENCY:""&amp;Q990&amp;""""&amp;Dashboard!$L$1&amp;"""")))"&amp;",K990))"),"")</f>
        <v/>
      </c>
      <c r="S990" s="266" t="str">
        <f>IFERROR(__xludf.DUMMYFUNCTION("IF(ISBLANK(A990),"""",IFERROR(IF(OR(Q990=""GPB"",Q990=""ZAR""),IF(Q990=Dashboard!$L$1,M990,(M990*GOOGLEFINANCE(""CURRENCY:""&amp;Q990&amp;""""&amp;Dashboard!$L$1&amp;""""))/100),IF(Q990=Dashboard!$L$1,M990,M990*GOOGLEFINANCE(""CURRENCY:""&amp;Q990&amp;""""&amp;Dashboard!$L$1&amp;"""")))"&amp;",M990))"),"")</f>
        <v/>
      </c>
      <c r="T990" s="264" t="str">
        <f t="shared" si="4"/>
        <v/>
      </c>
      <c r="U990" s="264" t="str">
        <f t="shared" si="5"/>
        <v/>
      </c>
      <c r="V990" s="264" t="str">
        <f t="shared" si="6"/>
        <v/>
      </c>
      <c r="W990" s="267" t="str">
        <f t="shared" si="8"/>
        <v/>
      </c>
      <c r="X990" s="264" t="str">
        <f t="shared" si="7"/>
        <v/>
      </c>
    </row>
    <row r="991" ht="15.75" customHeight="1">
      <c r="A991" s="258"/>
      <c r="B991" s="258"/>
      <c r="C991" s="269"/>
      <c r="D991" s="258"/>
      <c r="E991" s="258"/>
      <c r="F991" s="258"/>
      <c r="G991" s="258"/>
      <c r="H991" s="271"/>
      <c r="I991" s="258"/>
      <c r="J991" s="272"/>
      <c r="K991" s="260"/>
      <c r="L991" s="261"/>
      <c r="M991" s="262" t="str">
        <f t="shared" si="1"/>
        <v/>
      </c>
      <c r="N991" s="263" t="str">
        <f t="shared" si="2"/>
        <v/>
      </c>
      <c r="O991" s="264" t="str">
        <f t="shared" si="3"/>
        <v/>
      </c>
      <c r="P991" s="265" t="str">
        <f>IFERROR(__xludf.DUMMYFUNCTION("IF(ISBLANK(A991),"""",IFERROR(IF(H991=""Sell"",VLOOKUP(9^99,FILTER({ROW(P$2:P990),P$2:P990},D$2:D990=D991),2),(VLOOKUP(9^99,FILTER({ROW(P$2:P990),P$2:P990},D$2:D990=D991),2)*VLOOKUP(9^99,FILTER({ROW(O$2:O990),O$2:O990},D$2:D990=D991),2)-N991)/O991),J991))"),"")</f>
        <v/>
      </c>
      <c r="Q991" s="264" t="str">
        <f>IFERROR(__xludf.DUMMYFUNCTION("IFERROR(IF(F991=""Crypto"",B991,(IF(ISBLANK(D991),"""",IF(D991=""Cash"",B991,IF(GOOGLEFINANCE(D991,""CURRENCY"")=""GBX"",""GBP"",GOOGLEFINANCE(D991,""CURRENCY"")))))),B991)"),"")</f>
        <v/>
      </c>
      <c r="R991" s="263" t="str">
        <f>IFERROR(__xludf.DUMMYFUNCTION("IF(ISBLANK(A991),"""",IFERROR(IF(OR(Q991=""GPB"",Q991=""ZAR""),IF(Q991=Dashboard!$L$1,K991,(K991*GOOGLEFINANCE(""CURRENCY:""&amp;Q991&amp;""""&amp;Dashboard!$L$1&amp;""""))/100),IF(Q991=Dashboard!$L$1,K991,K991*GOOGLEFINANCE(""CURRENCY:""&amp;Q991&amp;""""&amp;Dashboard!$L$1&amp;"""")))"&amp;",K991))"),"")</f>
        <v/>
      </c>
      <c r="S991" s="266" t="str">
        <f>IFERROR(__xludf.DUMMYFUNCTION("IF(ISBLANK(A991),"""",IFERROR(IF(OR(Q991=""GPB"",Q991=""ZAR""),IF(Q991=Dashboard!$L$1,M991,(M991*GOOGLEFINANCE(""CURRENCY:""&amp;Q991&amp;""""&amp;Dashboard!$L$1&amp;""""))/100),IF(Q991=Dashboard!$L$1,M991,M991*GOOGLEFINANCE(""CURRENCY:""&amp;Q991&amp;""""&amp;Dashboard!$L$1&amp;"""")))"&amp;",M991))"),"")</f>
        <v/>
      </c>
      <c r="T991" s="264" t="str">
        <f t="shared" si="4"/>
        <v/>
      </c>
      <c r="U991" s="264" t="str">
        <f t="shared" si="5"/>
        <v/>
      </c>
      <c r="V991" s="264" t="str">
        <f t="shared" si="6"/>
        <v/>
      </c>
      <c r="W991" s="267" t="str">
        <f t="shared" si="8"/>
        <v/>
      </c>
      <c r="X991" s="264" t="str">
        <f t="shared" si="7"/>
        <v/>
      </c>
    </row>
    <row r="992" ht="15.75" customHeight="1">
      <c r="A992" s="258"/>
      <c r="B992" s="258"/>
      <c r="C992" s="269"/>
      <c r="D992" s="258"/>
      <c r="E992" s="258"/>
      <c r="F992" s="258"/>
      <c r="G992" s="258"/>
      <c r="H992" s="271"/>
      <c r="I992" s="258"/>
      <c r="J992" s="272"/>
      <c r="K992" s="260"/>
      <c r="L992" s="261"/>
      <c r="M992" s="262" t="str">
        <f t="shared" si="1"/>
        <v/>
      </c>
      <c r="N992" s="263" t="str">
        <f t="shared" si="2"/>
        <v/>
      </c>
      <c r="O992" s="264" t="str">
        <f t="shared" si="3"/>
        <v/>
      </c>
      <c r="P992" s="265" t="str">
        <f>IFERROR(__xludf.DUMMYFUNCTION("IF(ISBLANK(A992),"""",IFERROR(IF(H992=""Sell"",VLOOKUP(9^99,FILTER({ROW(P$2:P991),P$2:P991},D$2:D991=D992),2),(VLOOKUP(9^99,FILTER({ROW(P$2:P991),P$2:P991},D$2:D991=D992),2)*VLOOKUP(9^99,FILTER({ROW(O$2:O991),O$2:O991},D$2:D991=D992),2)-N992)/O992),J992))"),"")</f>
        <v/>
      </c>
      <c r="Q992" s="264" t="str">
        <f>IFERROR(__xludf.DUMMYFUNCTION("IFERROR(IF(F992=""Crypto"",B992,(IF(ISBLANK(D992),"""",IF(D992=""Cash"",B992,IF(GOOGLEFINANCE(D992,""CURRENCY"")=""GBX"",""GBP"",GOOGLEFINANCE(D992,""CURRENCY"")))))),B992)"),"")</f>
        <v/>
      </c>
      <c r="R992" s="263" t="str">
        <f>IFERROR(__xludf.DUMMYFUNCTION("IF(ISBLANK(A992),"""",IFERROR(IF(OR(Q992=""GPB"",Q992=""ZAR""),IF(Q992=Dashboard!$L$1,K992,(K992*GOOGLEFINANCE(""CURRENCY:""&amp;Q992&amp;""""&amp;Dashboard!$L$1&amp;""""))/100),IF(Q992=Dashboard!$L$1,K992,K992*GOOGLEFINANCE(""CURRENCY:""&amp;Q992&amp;""""&amp;Dashboard!$L$1&amp;"""")))"&amp;",K992))"),"")</f>
        <v/>
      </c>
      <c r="S992" s="266" t="str">
        <f>IFERROR(__xludf.DUMMYFUNCTION("IF(ISBLANK(A992),"""",IFERROR(IF(OR(Q992=""GPB"",Q992=""ZAR""),IF(Q992=Dashboard!$L$1,M992,(M992*GOOGLEFINANCE(""CURRENCY:""&amp;Q992&amp;""""&amp;Dashboard!$L$1&amp;""""))/100),IF(Q992=Dashboard!$L$1,M992,M992*GOOGLEFINANCE(""CURRENCY:""&amp;Q992&amp;""""&amp;Dashboard!$L$1&amp;"""")))"&amp;",M992))"),"")</f>
        <v/>
      </c>
      <c r="T992" s="264" t="str">
        <f t="shared" si="4"/>
        <v/>
      </c>
      <c r="U992" s="264" t="str">
        <f t="shared" si="5"/>
        <v/>
      </c>
      <c r="V992" s="264" t="str">
        <f t="shared" si="6"/>
        <v/>
      </c>
      <c r="W992" s="267" t="str">
        <f t="shared" si="8"/>
        <v/>
      </c>
      <c r="X992" s="264" t="str">
        <f t="shared" si="7"/>
        <v/>
      </c>
    </row>
    <row r="993" ht="15.75" customHeight="1">
      <c r="A993" s="258"/>
      <c r="B993" s="258"/>
      <c r="C993" s="269"/>
      <c r="D993" s="258"/>
      <c r="E993" s="258"/>
      <c r="F993" s="258"/>
      <c r="G993" s="258"/>
      <c r="H993" s="271"/>
      <c r="I993" s="258"/>
      <c r="J993" s="272"/>
      <c r="K993" s="260"/>
      <c r="L993" s="261"/>
      <c r="M993" s="262" t="str">
        <f t="shared" si="1"/>
        <v/>
      </c>
      <c r="N993" s="263" t="str">
        <f t="shared" si="2"/>
        <v/>
      </c>
      <c r="O993" s="264" t="str">
        <f t="shared" si="3"/>
        <v/>
      </c>
      <c r="P993" s="265" t="str">
        <f>IFERROR(__xludf.DUMMYFUNCTION("IF(ISBLANK(A993),"""",IFERROR(IF(H993=""Sell"",VLOOKUP(9^99,FILTER({ROW(P$2:P992),P$2:P992},D$2:D992=D993),2),(VLOOKUP(9^99,FILTER({ROW(P$2:P992),P$2:P992},D$2:D992=D993),2)*VLOOKUP(9^99,FILTER({ROW(O$2:O992),O$2:O992},D$2:D992=D993),2)-N993)/O993),J993))"),"")</f>
        <v/>
      </c>
      <c r="Q993" s="264" t="str">
        <f>IFERROR(__xludf.DUMMYFUNCTION("IFERROR(IF(F993=""Crypto"",B993,(IF(ISBLANK(D993),"""",IF(D993=""Cash"",B993,IF(GOOGLEFINANCE(D993,""CURRENCY"")=""GBX"",""GBP"",GOOGLEFINANCE(D993,""CURRENCY"")))))),B993)"),"")</f>
        <v/>
      </c>
      <c r="R993" s="263" t="str">
        <f>IFERROR(__xludf.DUMMYFUNCTION("IF(ISBLANK(A993),"""",IFERROR(IF(OR(Q993=""GPB"",Q993=""ZAR""),IF(Q993=Dashboard!$L$1,K993,(K993*GOOGLEFINANCE(""CURRENCY:""&amp;Q993&amp;""""&amp;Dashboard!$L$1&amp;""""))/100),IF(Q993=Dashboard!$L$1,K993,K993*GOOGLEFINANCE(""CURRENCY:""&amp;Q993&amp;""""&amp;Dashboard!$L$1&amp;"""")))"&amp;",K993))"),"")</f>
        <v/>
      </c>
      <c r="S993" s="266" t="str">
        <f>IFERROR(__xludf.DUMMYFUNCTION("IF(ISBLANK(A993),"""",IFERROR(IF(OR(Q993=""GPB"",Q993=""ZAR""),IF(Q993=Dashboard!$L$1,M993,(M993*GOOGLEFINANCE(""CURRENCY:""&amp;Q993&amp;""""&amp;Dashboard!$L$1&amp;""""))/100),IF(Q993=Dashboard!$L$1,M993,M993*GOOGLEFINANCE(""CURRENCY:""&amp;Q993&amp;""""&amp;Dashboard!$L$1&amp;"""")))"&amp;",M993))"),"")</f>
        <v/>
      </c>
      <c r="T993" s="264" t="str">
        <f t="shared" si="4"/>
        <v/>
      </c>
      <c r="U993" s="264" t="str">
        <f t="shared" si="5"/>
        <v/>
      </c>
      <c r="V993" s="264" t="str">
        <f t="shared" si="6"/>
        <v/>
      </c>
      <c r="W993" s="267" t="str">
        <f t="shared" si="8"/>
        <v/>
      </c>
      <c r="X993" s="264" t="str">
        <f t="shared" si="7"/>
        <v/>
      </c>
    </row>
    <row r="994" ht="15.75" customHeight="1">
      <c r="A994" s="258"/>
      <c r="B994" s="258"/>
      <c r="C994" s="269"/>
      <c r="D994" s="258"/>
      <c r="E994" s="258"/>
      <c r="F994" s="258"/>
      <c r="G994" s="258"/>
      <c r="H994" s="271"/>
      <c r="I994" s="258"/>
      <c r="J994" s="272"/>
      <c r="K994" s="260"/>
      <c r="L994" s="261"/>
      <c r="M994" s="262" t="str">
        <f t="shared" si="1"/>
        <v/>
      </c>
      <c r="N994" s="263" t="str">
        <f t="shared" si="2"/>
        <v/>
      </c>
      <c r="O994" s="264" t="str">
        <f t="shared" si="3"/>
        <v/>
      </c>
      <c r="P994" s="265" t="str">
        <f>IFERROR(__xludf.DUMMYFUNCTION("IF(ISBLANK(A994),"""",IFERROR(IF(H994=""Sell"",VLOOKUP(9^99,FILTER({ROW(P$2:P993),P$2:P993},D$2:D993=D994),2),(VLOOKUP(9^99,FILTER({ROW(P$2:P993),P$2:P993},D$2:D993=D994),2)*VLOOKUP(9^99,FILTER({ROW(O$2:O993),O$2:O993},D$2:D993=D994),2)-N994)/O994),J994))"),"")</f>
        <v/>
      </c>
      <c r="Q994" s="264" t="str">
        <f>IFERROR(__xludf.DUMMYFUNCTION("IFERROR(IF(F994=""Crypto"",B994,(IF(ISBLANK(D994),"""",IF(D994=""Cash"",B994,IF(GOOGLEFINANCE(D994,""CURRENCY"")=""GBX"",""GBP"",GOOGLEFINANCE(D994,""CURRENCY"")))))),B994)"),"")</f>
        <v/>
      </c>
      <c r="R994" s="263" t="str">
        <f>IFERROR(__xludf.DUMMYFUNCTION("IF(ISBLANK(A994),"""",IFERROR(IF(OR(Q994=""GPB"",Q994=""ZAR""),IF(Q994=Dashboard!$L$1,K994,(K994*GOOGLEFINANCE(""CURRENCY:""&amp;Q994&amp;""""&amp;Dashboard!$L$1&amp;""""))/100),IF(Q994=Dashboard!$L$1,K994,K994*GOOGLEFINANCE(""CURRENCY:""&amp;Q994&amp;""""&amp;Dashboard!$L$1&amp;"""")))"&amp;",K994))"),"")</f>
        <v/>
      </c>
      <c r="S994" s="266" t="str">
        <f>IFERROR(__xludf.DUMMYFUNCTION("IF(ISBLANK(A994),"""",IFERROR(IF(OR(Q994=""GPB"",Q994=""ZAR""),IF(Q994=Dashboard!$L$1,M994,(M994*GOOGLEFINANCE(""CURRENCY:""&amp;Q994&amp;""""&amp;Dashboard!$L$1&amp;""""))/100),IF(Q994=Dashboard!$L$1,M994,M994*GOOGLEFINANCE(""CURRENCY:""&amp;Q994&amp;""""&amp;Dashboard!$L$1&amp;"""")))"&amp;",M994))"),"")</f>
        <v/>
      </c>
      <c r="T994" s="264" t="str">
        <f t="shared" si="4"/>
        <v/>
      </c>
      <c r="U994" s="264" t="str">
        <f t="shared" si="5"/>
        <v/>
      </c>
      <c r="V994" s="264" t="str">
        <f t="shared" si="6"/>
        <v/>
      </c>
      <c r="W994" s="267" t="str">
        <f t="shared" si="8"/>
        <v/>
      </c>
      <c r="X994" s="264" t="str">
        <f t="shared" si="7"/>
        <v/>
      </c>
    </row>
    <row r="995" ht="15.75" customHeight="1">
      <c r="A995" s="258"/>
      <c r="B995" s="258"/>
      <c r="C995" s="269"/>
      <c r="D995" s="258"/>
      <c r="E995" s="258"/>
      <c r="F995" s="258"/>
      <c r="G995" s="258"/>
      <c r="H995" s="271"/>
      <c r="I995" s="258"/>
      <c r="J995" s="272"/>
      <c r="K995" s="260"/>
      <c r="L995" s="261"/>
      <c r="M995" s="262" t="str">
        <f t="shared" si="1"/>
        <v/>
      </c>
      <c r="N995" s="263" t="str">
        <f t="shared" si="2"/>
        <v/>
      </c>
      <c r="O995" s="264" t="str">
        <f t="shared" si="3"/>
        <v/>
      </c>
      <c r="P995" s="265" t="str">
        <f>IFERROR(__xludf.DUMMYFUNCTION("IF(ISBLANK(A995),"""",IFERROR(IF(H995=""Sell"",VLOOKUP(9^99,FILTER({ROW(P$2:P994),P$2:P994},D$2:D994=D995),2),(VLOOKUP(9^99,FILTER({ROW(P$2:P994),P$2:P994},D$2:D994=D995),2)*VLOOKUP(9^99,FILTER({ROW(O$2:O994),O$2:O994},D$2:D994=D995),2)-N995)/O995),J995))"),"")</f>
        <v/>
      </c>
      <c r="Q995" s="264" t="str">
        <f>IFERROR(__xludf.DUMMYFUNCTION("IFERROR(IF(F995=""Crypto"",B995,(IF(ISBLANK(D995),"""",IF(D995=""Cash"",B995,IF(GOOGLEFINANCE(D995,""CURRENCY"")=""GBX"",""GBP"",GOOGLEFINANCE(D995,""CURRENCY"")))))),B995)"),"")</f>
        <v/>
      </c>
      <c r="R995" s="263" t="str">
        <f>IFERROR(__xludf.DUMMYFUNCTION("IF(ISBLANK(A995),"""",IFERROR(IF(OR(Q995=""GPB"",Q995=""ZAR""),IF(Q995=Dashboard!$L$1,K995,(K995*GOOGLEFINANCE(""CURRENCY:""&amp;Q995&amp;""""&amp;Dashboard!$L$1&amp;""""))/100),IF(Q995=Dashboard!$L$1,K995,K995*GOOGLEFINANCE(""CURRENCY:""&amp;Q995&amp;""""&amp;Dashboard!$L$1&amp;"""")))"&amp;",K995))"),"")</f>
        <v/>
      </c>
      <c r="S995" s="266" t="str">
        <f>IFERROR(__xludf.DUMMYFUNCTION("IF(ISBLANK(A995),"""",IFERROR(IF(OR(Q995=""GPB"",Q995=""ZAR""),IF(Q995=Dashboard!$L$1,M995,(M995*GOOGLEFINANCE(""CURRENCY:""&amp;Q995&amp;""""&amp;Dashboard!$L$1&amp;""""))/100),IF(Q995=Dashboard!$L$1,M995,M995*GOOGLEFINANCE(""CURRENCY:""&amp;Q995&amp;""""&amp;Dashboard!$L$1&amp;"""")))"&amp;",M995))"),"")</f>
        <v/>
      </c>
      <c r="T995" s="264" t="str">
        <f t="shared" si="4"/>
        <v/>
      </c>
      <c r="U995" s="264" t="str">
        <f t="shared" si="5"/>
        <v/>
      </c>
      <c r="V995" s="264" t="str">
        <f t="shared" si="6"/>
        <v/>
      </c>
      <c r="W995" s="267" t="str">
        <f t="shared" si="8"/>
        <v/>
      </c>
      <c r="X995" s="264" t="str">
        <f t="shared" si="7"/>
        <v/>
      </c>
    </row>
    <row r="996" ht="15.75" customHeight="1">
      <c r="A996" s="258"/>
      <c r="B996" s="258"/>
      <c r="C996" s="269"/>
      <c r="D996" s="258"/>
      <c r="E996" s="258"/>
      <c r="F996" s="258"/>
      <c r="G996" s="258"/>
      <c r="H996" s="271"/>
      <c r="I996" s="258"/>
      <c r="J996" s="272"/>
      <c r="K996" s="260"/>
      <c r="L996" s="261"/>
      <c r="M996" s="262" t="str">
        <f t="shared" si="1"/>
        <v/>
      </c>
      <c r="N996" s="263" t="str">
        <f t="shared" si="2"/>
        <v/>
      </c>
      <c r="O996" s="264" t="str">
        <f t="shared" si="3"/>
        <v/>
      </c>
      <c r="P996" s="265" t="str">
        <f>IFERROR(__xludf.DUMMYFUNCTION("IF(ISBLANK(A996),"""",IFERROR(IF(H996=""Sell"",VLOOKUP(9^99,FILTER({ROW(P$2:P995),P$2:P995},D$2:D995=D996),2),(VLOOKUP(9^99,FILTER({ROW(P$2:P995),P$2:P995},D$2:D995=D996),2)*VLOOKUP(9^99,FILTER({ROW(O$2:O995),O$2:O995},D$2:D995=D996),2)-N996)/O996),J996))"),"")</f>
        <v/>
      </c>
      <c r="Q996" s="264" t="str">
        <f>IFERROR(__xludf.DUMMYFUNCTION("IFERROR(IF(F996=""Crypto"",B996,(IF(ISBLANK(D996),"""",IF(D996=""Cash"",B996,IF(GOOGLEFINANCE(D996,""CURRENCY"")=""GBX"",""GBP"",GOOGLEFINANCE(D996,""CURRENCY"")))))),B996)"),"")</f>
        <v/>
      </c>
      <c r="R996" s="263" t="str">
        <f>IFERROR(__xludf.DUMMYFUNCTION("IF(ISBLANK(A996),"""",IFERROR(IF(OR(Q996=""GPB"",Q996=""ZAR""),IF(Q996=Dashboard!$L$1,K996,(K996*GOOGLEFINANCE(""CURRENCY:""&amp;Q996&amp;""""&amp;Dashboard!$L$1&amp;""""))/100),IF(Q996=Dashboard!$L$1,K996,K996*GOOGLEFINANCE(""CURRENCY:""&amp;Q996&amp;""""&amp;Dashboard!$L$1&amp;"""")))"&amp;",K996))"),"")</f>
        <v/>
      </c>
      <c r="S996" s="266" t="str">
        <f>IFERROR(__xludf.DUMMYFUNCTION("IF(ISBLANK(A996),"""",IFERROR(IF(OR(Q996=""GPB"",Q996=""ZAR""),IF(Q996=Dashboard!$L$1,M996,(M996*GOOGLEFINANCE(""CURRENCY:""&amp;Q996&amp;""""&amp;Dashboard!$L$1&amp;""""))/100),IF(Q996=Dashboard!$L$1,M996,M996*GOOGLEFINANCE(""CURRENCY:""&amp;Q996&amp;""""&amp;Dashboard!$L$1&amp;"""")))"&amp;",M996))"),"")</f>
        <v/>
      </c>
      <c r="T996" s="264" t="str">
        <f t="shared" si="4"/>
        <v/>
      </c>
      <c r="U996" s="264" t="str">
        <f t="shared" si="5"/>
        <v/>
      </c>
      <c r="V996" s="264" t="str">
        <f t="shared" si="6"/>
        <v/>
      </c>
      <c r="W996" s="267" t="str">
        <f t="shared" si="8"/>
        <v/>
      </c>
      <c r="X996" s="264" t="str">
        <f t="shared" si="7"/>
        <v/>
      </c>
    </row>
    <row r="997" ht="15.75" customHeight="1">
      <c r="A997" s="258"/>
      <c r="B997" s="258"/>
      <c r="C997" s="269"/>
      <c r="D997" s="258"/>
      <c r="E997" s="258"/>
      <c r="F997" s="258"/>
      <c r="G997" s="258"/>
      <c r="H997" s="271"/>
      <c r="I997" s="258"/>
      <c r="J997" s="272"/>
      <c r="K997" s="260"/>
      <c r="L997" s="261"/>
      <c r="M997" s="262" t="str">
        <f t="shared" si="1"/>
        <v/>
      </c>
      <c r="N997" s="263" t="str">
        <f t="shared" si="2"/>
        <v/>
      </c>
      <c r="O997" s="264" t="str">
        <f t="shared" si="3"/>
        <v/>
      </c>
      <c r="P997" s="265" t="str">
        <f>IFERROR(__xludf.DUMMYFUNCTION("IF(ISBLANK(A997),"""",IFERROR(IF(H997=""Sell"",VLOOKUP(9^99,FILTER({ROW(P$2:P996),P$2:P996},D$2:D996=D997),2),(VLOOKUP(9^99,FILTER({ROW(P$2:P996),P$2:P996},D$2:D996=D997),2)*VLOOKUP(9^99,FILTER({ROW(O$2:O996),O$2:O996},D$2:D996=D997),2)-N997)/O997),J997))"),"")</f>
        <v/>
      </c>
      <c r="Q997" s="264" t="str">
        <f>IFERROR(__xludf.DUMMYFUNCTION("IFERROR(IF(F997=""Crypto"",B997,(IF(ISBLANK(D997),"""",IF(D997=""Cash"",B997,IF(GOOGLEFINANCE(D997,""CURRENCY"")=""GBX"",""GBP"",GOOGLEFINANCE(D997,""CURRENCY"")))))),B997)"),"")</f>
        <v/>
      </c>
      <c r="R997" s="263" t="str">
        <f>IFERROR(__xludf.DUMMYFUNCTION("IF(ISBLANK(A997),"""",IFERROR(IF(OR(Q997=""GPB"",Q997=""ZAR""),IF(Q997=Dashboard!$L$1,K997,(K997*GOOGLEFINANCE(""CURRENCY:""&amp;Q997&amp;""""&amp;Dashboard!$L$1&amp;""""))/100),IF(Q997=Dashboard!$L$1,K997,K997*GOOGLEFINANCE(""CURRENCY:""&amp;Q997&amp;""""&amp;Dashboard!$L$1&amp;"""")))"&amp;",K997))"),"")</f>
        <v/>
      </c>
      <c r="S997" s="266" t="str">
        <f>IFERROR(__xludf.DUMMYFUNCTION("IF(ISBLANK(A997),"""",IFERROR(IF(OR(Q997=""GPB"",Q997=""ZAR""),IF(Q997=Dashboard!$L$1,M997,(M997*GOOGLEFINANCE(""CURRENCY:""&amp;Q997&amp;""""&amp;Dashboard!$L$1&amp;""""))/100),IF(Q997=Dashboard!$L$1,M997,M997*GOOGLEFINANCE(""CURRENCY:""&amp;Q997&amp;""""&amp;Dashboard!$L$1&amp;"""")))"&amp;",M997))"),"")</f>
        <v/>
      </c>
      <c r="T997" s="264" t="str">
        <f t="shared" si="4"/>
        <v/>
      </c>
      <c r="U997" s="264" t="str">
        <f t="shared" si="5"/>
        <v/>
      </c>
      <c r="V997" s="264" t="str">
        <f t="shared" si="6"/>
        <v/>
      </c>
      <c r="W997" s="267" t="str">
        <f t="shared" si="8"/>
        <v/>
      </c>
      <c r="X997" s="264" t="str">
        <f t="shared" si="7"/>
        <v/>
      </c>
    </row>
    <row r="998" ht="15.75" customHeight="1">
      <c r="A998" s="258"/>
      <c r="B998" s="258"/>
      <c r="C998" s="269"/>
      <c r="D998" s="258"/>
      <c r="E998" s="258"/>
      <c r="F998" s="258"/>
      <c r="G998" s="258"/>
      <c r="H998" s="271"/>
      <c r="I998" s="258"/>
      <c r="J998" s="272"/>
      <c r="K998" s="260"/>
      <c r="L998" s="261"/>
      <c r="M998" s="262" t="str">
        <f t="shared" si="1"/>
        <v/>
      </c>
      <c r="N998" s="263" t="str">
        <f t="shared" si="2"/>
        <v/>
      </c>
      <c r="O998" s="264" t="str">
        <f t="shared" si="3"/>
        <v/>
      </c>
      <c r="P998" s="265" t="str">
        <f>IFERROR(__xludf.DUMMYFUNCTION("IF(ISBLANK(A998),"""",IFERROR(IF(H998=""Sell"",VLOOKUP(9^99,FILTER({ROW(P$2:P997),P$2:P997},D$2:D997=D998),2),(VLOOKUP(9^99,FILTER({ROW(P$2:P997),P$2:P997},D$2:D997=D998),2)*VLOOKUP(9^99,FILTER({ROW(O$2:O997),O$2:O997},D$2:D997=D998),2)-N998)/O998),J998))"),"")</f>
        <v/>
      </c>
      <c r="Q998" s="264" t="str">
        <f>IFERROR(__xludf.DUMMYFUNCTION("IFERROR(IF(F998=""Crypto"",B998,(IF(ISBLANK(D998),"""",IF(D998=""Cash"",B998,IF(GOOGLEFINANCE(D998,""CURRENCY"")=""GBX"",""GBP"",GOOGLEFINANCE(D998,""CURRENCY"")))))),B998)"),"")</f>
        <v/>
      </c>
      <c r="R998" s="263" t="str">
        <f>IFERROR(__xludf.DUMMYFUNCTION("IF(ISBLANK(A998),"""",IFERROR(IF(OR(Q998=""GPB"",Q998=""ZAR""),IF(Q998=Dashboard!$L$1,K998,(K998*GOOGLEFINANCE(""CURRENCY:""&amp;Q998&amp;""""&amp;Dashboard!$L$1&amp;""""))/100),IF(Q998=Dashboard!$L$1,K998,K998*GOOGLEFINANCE(""CURRENCY:""&amp;Q998&amp;""""&amp;Dashboard!$L$1&amp;"""")))"&amp;",K998))"),"")</f>
        <v/>
      </c>
      <c r="S998" s="266" t="str">
        <f>IFERROR(__xludf.DUMMYFUNCTION("IF(ISBLANK(A998),"""",IFERROR(IF(OR(Q998=""GPB"",Q998=""ZAR""),IF(Q998=Dashboard!$L$1,M998,(M998*GOOGLEFINANCE(""CURRENCY:""&amp;Q998&amp;""""&amp;Dashboard!$L$1&amp;""""))/100),IF(Q998=Dashboard!$L$1,M998,M998*GOOGLEFINANCE(""CURRENCY:""&amp;Q998&amp;""""&amp;Dashboard!$L$1&amp;"""")))"&amp;",M998))"),"")</f>
        <v/>
      </c>
      <c r="T998" s="264" t="str">
        <f t="shared" si="4"/>
        <v/>
      </c>
      <c r="U998" s="264" t="str">
        <f t="shared" si="5"/>
        <v/>
      </c>
      <c r="V998" s="264" t="str">
        <f t="shared" si="6"/>
        <v/>
      </c>
      <c r="W998" s="267" t="str">
        <f t="shared" si="8"/>
        <v/>
      </c>
      <c r="X998" s="264" t="str">
        <f t="shared" si="7"/>
        <v/>
      </c>
    </row>
    <row r="999" ht="15.75" customHeight="1">
      <c r="A999" s="258"/>
      <c r="B999" s="258"/>
      <c r="C999" s="269"/>
      <c r="D999" s="258"/>
      <c r="E999" s="258"/>
      <c r="F999" s="258"/>
      <c r="G999" s="258"/>
      <c r="H999" s="271"/>
      <c r="I999" s="258"/>
      <c r="J999" s="272"/>
      <c r="K999" s="260"/>
      <c r="L999" s="261"/>
      <c r="M999" s="262" t="str">
        <f t="shared" si="1"/>
        <v/>
      </c>
      <c r="N999" s="263" t="str">
        <f t="shared" si="2"/>
        <v/>
      </c>
      <c r="O999" s="264" t="str">
        <f t="shared" si="3"/>
        <v/>
      </c>
      <c r="P999" s="265" t="str">
        <f>IFERROR(__xludf.DUMMYFUNCTION("IF(ISBLANK(A999),"""",IFERROR(IF(H999=""Sell"",VLOOKUP(9^99,FILTER({ROW(P$2:P998),P$2:P998},D$2:D998=D999),2),(VLOOKUP(9^99,FILTER({ROW(P$2:P998),P$2:P998},D$2:D998=D999),2)*VLOOKUP(9^99,FILTER({ROW(O$2:O998),O$2:O998},D$2:D998=D999),2)-N999)/O999),J999))"),"")</f>
        <v/>
      </c>
      <c r="Q999" s="264" t="str">
        <f>IFERROR(__xludf.DUMMYFUNCTION("IFERROR(IF(F999=""Crypto"",B999,(IF(ISBLANK(D999),"""",IF(D999=""Cash"",B999,IF(GOOGLEFINANCE(D999,""CURRENCY"")=""GBX"",""GBP"",GOOGLEFINANCE(D999,""CURRENCY"")))))),B999)"),"")</f>
        <v/>
      </c>
      <c r="R999" s="263" t="str">
        <f>IFERROR(__xludf.DUMMYFUNCTION("IF(ISBLANK(A999),"""",IFERROR(IF(OR(Q999=""GPB"",Q999=""ZAR""),IF(Q999=Dashboard!$L$1,K999,(K999*GOOGLEFINANCE(""CURRENCY:""&amp;Q999&amp;""""&amp;Dashboard!$L$1&amp;""""))/100),IF(Q999=Dashboard!$L$1,K999,K999*GOOGLEFINANCE(""CURRENCY:""&amp;Q999&amp;""""&amp;Dashboard!$L$1&amp;"""")))"&amp;",K999))"),"")</f>
        <v/>
      </c>
      <c r="S999" s="266" t="str">
        <f>IFERROR(__xludf.DUMMYFUNCTION("IF(ISBLANK(A999),"""",IFERROR(IF(OR(Q999=""GPB"",Q999=""ZAR""),IF(Q999=Dashboard!$L$1,M999,(M999*GOOGLEFINANCE(""CURRENCY:""&amp;Q999&amp;""""&amp;Dashboard!$L$1&amp;""""))/100),IF(Q999=Dashboard!$L$1,M999,M999*GOOGLEFINANCE(""CURRENCY:""&amp;Q999&amp;""""&amp;Dashboard!$L$1&amp;"""")))"&amp;",M999))"),"")</f>
        <v/>
      </c>
      <c r="T999" s="264" t="str">
        <f t="shared" si="4"/>
        <v/>
      </c>
      <c r="U999" s="264" t="str">
        <f t="shared" si="5"/>
        <v/>
      </c>
      <c r="V999" s="264" t="str">
        <f t="shared" si="6"/>
        <v/>
      </c>
      <c r="W999" s="267" t="str">
        <f t="shared" si="8"/>
        <v/>
      </c>
      <c r="X999" s="264" t="str">
        <f t="shared" si="7"/>
        <v/>
      </c>
    </row>
    <row r="1000" ht="15.75" customHeight="1">
      <c r="A1000" s="258"/>
      <c r="B1000" s="258"/>
      <c r="C1000" s="269"/>
      <c r="D1000" s="258"/>
      <c r="E1000" s="258"/>
      <c r="F1000" s="258"/>
      <c r="G1000" s="258"/>
      <c r="H1000" s="271"/>
      <c r="I1000" s="258"/>
      <c r="J1000" s="272"/>
      <c r="K1000" s="260"/>
      <c r="L1000" s="261"/>
      <c r="M1000" s="262" t="str">
        <f t="shared" si="1"/>
        <v/>
      </c>
      <c r="N1000" s="263" t="str">
        <f t="shared" si="2"/>
        <v/>
      </c>
      <c r="O1000" s="264" t="str">
        <f t="shared" si="3"/>
        <v/>
      </c>
      <c r="P1000" s="265" t="str">
        <f>IFERROR(__xludf.DUMMYFUNCTION("IF(ISBLANK(A1000),"""",IFERROR(IF(H1000=""Sell"",VLOOKUP(9^99,FILTER({ROW(P$2:P999),P$2:P999},D$2:D999=D1000),2),(VLOOKUP(9^99,FILTER({ROW(P$2:P999),P$2:P999},D$2:D999=D1000),2)*VLOOKUP(9^99,FILTER({ROW(O$2:O999),O$2:O999},D$2:D999=D1000),2)-N1000)/O1000)"&amp;",J1000))"),"")</f>
        <v/>
      </c>
      <c r="Q1000" s="264" t="str">
        <f>IFERROR(__xludf.DUMMYFUNCTION("IFERROR(IF(F1000=""Crypto"",B1000,(IF(ISBLANK(D1000),"""",IF(D1000=""Cash"",B1000,IF(GOOGLEFINANCE(D1000,""CURRENCY"")=""GBX"",""GBP"",GOOGLEFINANCE(D1000,""CURRENCY"")))))),B1000)"),"")</f>
        <v/>
      </c>
      <c r="R1000" s="263" t="str">
        <f>IFERROR(__xludf.DUMMYFUNCTION("IF(ISBLANK(A1000),"""",IFERROR(IF(OR(Q1000=""GPB"",Q1000=""ZAR""),IF(Q1000=Dashboard!$L$1,K1000,(K1000*GOOGLEFINANCE(""CURRENCY:""&amp;Q1000&amp;""""&amp;Dashboard!$L$1&amp;""""))/100),IF(Q1000=Dashboard!$L$1,K1000,K1000*GOOGLEFINANCE(""CURRENCY:""&amp;Q1000&amp;""""&amp;Dashboard!$"&amp;"L$1&amp;""""))),K1000))"),"")</f>
        <v/>
      </c>
      <c r="S1000" s="266" t="str">
        <f>IFERROR(__xludf.DUMMYFUNCTION("IF(ISBLANK(A1000),"""",IFERROR(IF(OR(Q1000=""GPB"",Q1000=""ZAR""),IF(Q1000=Dashboard!$L$1,M1000,(M1000*GOOGLEFINANCE(""CURRENCY:""&amp;Q1000&amp;""""&amp;Dashboard!$L$1&amp;""""))/100),IF(Q1000=Dashboard!$L$1,M1000,M1000*GOOGLEFINANCE(""CURRENCY:""&amp;Q1000&amp;""""&amp;Dashboard!$"&amp;"L$1&amp;""""))),M1000))"),"")</f>
        <v/>
      </c>
      <c r="T1000" s="264" t="str">
        <f t="shared" si="4"/>
        <v/>
      </c>
      <c r="U1000" s="264" t="str">
        <f t="shared" si="5"/>
        <v/>
      </c>
      <c r="V1000" s="264" t="str">
        <f t="shared" si="6"/>
        <v/>
      </c>
      <c r="W1000" s="267" t="str">
        <f t="shared" si="8"/>
        <v/>
      </c>
      <c r="X1000" s="264" t="str">
        <f t="shared" si="7"/>
        <v/>
      </c>
    </row>
    <row r="1001" ht="15.75" customHeight="1">
      <c r="A1001" s="258"/>
      <c r="B1001" s="258"/>
      <c r="C1001" s="269"/>
      <c r="D1001" s="258"/>
      <c r="E1001" s="258"/>
      <c r="F1001" s="258"/>
      <c r="G1001" s="258"/>
      <c r="H1001" s="271"/>
      <c r="I1001" s="258"/>
      <c r="J1001" s="272"/>
      <c r="K1001" s="260"/>
      <c r="L1001" s="261"/>
      <c r="M1001" s="262" t="str">
        <f t="shared" si="1"/>
        <v/>
      </c>
      <c r="N1001" s="263" t="str">
        <f t="shared" si="2"/>
        <v/>
      </c>
      <c r="O1001" s="264" t="str">
        <f t="shared" si="3"/>
        <v/>
      </c>
      <c r="P1001" s="265" t="str">
        <f>IFERROR(__xludf.DUMMYFUNCTION("IF(ISBLANK(A1001),"""",IFERROR(IF(H1001=""Sell"",VLOOKUP(9^99,FILTER({ROW(P$2:P1000),P$2:P1000},D$2:D1000=D1001),2),(VLOOKUP(9^99,FILTER({ROW(P$2:P1000),P$2:P1000},D$2:D1000=D1001),2)*VLOOKUP(9^99,FILTER({ROW(O$2:O1000),O$2:O1000},D$2:D1000=D1001),2)-N100"&amp;"1)/O1001),J1001))"),"")</f>
        <v/>
      </c>
      <c r="Q1001" s="264" t="str">
        <f>IFERROR(__xludf.DUMMYFUNCTION("IFERROR(IF(F1001=""Crypto"",B1001,(IF(ISBLANK(D1001),"""",IF(D1001=""Cash"",B1001,IF(GOOGLEFINANCE(D1001,""CURRENCY"")=""GBX"",""GBP"",GOOGLEFINANCE(D1001,""CURRENCY"")))))),B1001)"),"")</f>
        <v/>
      </c>
      <c r="R1001" s="263" t="str">
        <f>IFERROR(__xludf.DUMMYFUNCTION("IF(ISBLANK(A1001),"""",IFERROR(IF(OR(Q1001=""GPB"",Q1001=""ZAR""),IF(Q1001=Dashboard!$L$1,K1001,(K1001*GOOGLEFINANCE(""CURRENCY:""&amp;Q1001&amp;""""&amp;Dashboard!$L$1&amp;""""))/100),IF(Q1001=Dashboard!$L$1,K1001,K1001*GOOGLEFINANCE(""CURRENCY:""&amp;Q1001&amp;""""&amp;Dashboard!$"&amp;"L$1&amp;""""))),K1001))"),"")</f>
        <v/>
      </c>
      <c r="S1001" s="266" t="str">
        <f>IFERROR(__xludf.DUMMYFUNCTION("IF(ISBLANK(A1001),"""",IFERROR(IF(OR(Q1001=""GPB"",Q1001=""ZAR""),IF(Q1001=Dashboard!$L$1,M1001,(M1001*GOOGLEFINANCE(""CURRENCY:""&amp;Q1001&amp;""""&amp;Dashboard!$L$1&amp;""""))/100),IF(Q1001=Dashboard!$L$1,M1001,M1001*GOOGLEFINANCE(""CURRENCY:""&amp;Q1001&amp;""""&amp;Dashboard!$"&amp;"L$1&amp;""""))),M1001))"),"")</f>
        <v/>
      </c>
      <c r="T1001" s="264" t="str">
        <f t="shared" si="4"/>
        <v/>
      </c>
      <c r="U1001" s="264" t="str">
        <f t="shared" si="5"/>
        <v/>
      </c>
      <c r="V1001" s="264" t="str">
        <f t="shared" si="6"/>
        <v/>
      </c>
      <c r="W1001" s="267" t="str">
        <f t="shared" si="8"/>
        <v/>
      </c>
      <c r="X1001" s="264" t="str">
        <f t="shared" si="7"/>
        <v/>
      </c>
    </row>
    <row r="1002" ht="15.75" customHeight="1">
      <c r="A1002" s="258"/>
      <c r="B1002" s="258"/>
      <c r="C1002" s="269"/>
      <c r="D1002" s="258"/>
      <c r="E1002" s="258"/>
      <c r="F1002" s="258"/>
      <c r="G1002" s="258"/>
      <c r="H1002" s="271"/>
      <c r="I1002" s="258"/>
      <c r="J1002" s="272"/>
      <c r="K1002" s="260"/>
      <c r="L1002" s="261"/>
      <c r="M1002" s="262" t="str">
        <f t="shared" si="1"/>
        <v/>
      </c>
      <c r="N1002" s="263" t="str">
        <f t="shared" si="2"/>
        <v/>
      </c>
      <c r="O1002" s="264" t="str">
        <f t="shared" si="3"/>
        <v/>
      </c>
      <c r="P1002" s="265" t="str">
        <f>IFERROR(__xludf.DUMMYFUNCTION("IF(ISBLANK(A1002),"""",IFERROR(IF(H1002=""Sell"",VLOOKUP(9^99,FILTER({ROW(P$2:P1001),P$2:P1001},D$2:D1001=D1002),2),(VLOOKUP(9^99,FILTER({ROW(P$2:P1001),P$2:P1001},D$2:D1001=D1002),2)*VLOOKUP(9^99,FILTER({ROW(O$2:O1001),O$2:O1001},D$2:D1001=D1002),2)-N100"&amp;"2)/O1002),J1002))"),"")</f>
        <v/>
      </c>
      <c r="Q1002" s="264" t="str">
        <f>IFERROR(__xludf.DUMMYFUNCTION("IFERROR(IF(F1002=""Crypto"",B1002,(IF(ISBLANK(D1002),"""",IF(D1002=""Cash"",B1002,IF(GOOGLEFINANCE(D1002,""CURRENCY"")=""GBX"",""GBP"",GOOGLEFINANCE(D1002,""CURRENCY"")))))),B1002)"),"")</f>
        <v/>
      </c>
      <c r="R1002" s="263" t="str">
        <f>IFERROR(__xludf.DUMMYFUNCTION("IF(ISBLANK(A1002),"""",IFERROR(IF(OR(Q1002=""GPB"",Q1002=""ZAR""),IF(Q1002=Dashboard!$L$1,K1002,(K1002*GOOGLEFINANCE(""CURRENCY:""&amp;Q1002&amp;""""&amp;Dashboard!$L$1&amp;""""))/100),IF(Q1002=Dashboard!$L$1,K1002,K1002*GOOGLEFINANCE(""CURRENCY:""&amp;Q1002&amp;""""&amp;Dashboard!$"&amp;"L$1&amp;""""))),K1002))"),"")</f>
        <v/>
      </c>
      <c r="S1002" s="266" t="str">
        <f>IFERROR(__xludf.DUMMYFUNCTION("IF(ISBLANK(A1002),"""",IFERROR(IF(OR(Q1002=""GPB"",Q1002=""ZAR""),IF(Q1002=Dashboard!$L$1,M1002,(M1002*GOOGLEFINANCE(""CURRENCY:""&amp;Q1002&amp;""""&amp;Dashboard!$L$1&amp;""""))/100),IF(Q1002=Dashboard!$L$1,M1002,M1002*GOOGLEFINANCE(""CURRENCY:""&amp;Q1002&amp;""""&amp;Dashboard!$"&amp;"L$1&amp;""""))),M1002))"),"")</f>
        <v/>
      </c>
      <c r="T1002" s="264" t="str">
        <f t="shared" si="4"/>
        <v/>
      </c>
      <c r="U1002" s="264" t="str">
        <f t="shared" si="5"/>
        <v/>
      </c>
      <c r="V1002" s="264" t="str">
        <f t="shared" si="6"/>
        <v/>
      </c>
      <c r="W1002" s="267" t="str">
        <f t="shared" si="8"/>
        <v/>
      </c>
      <c r="X1002" s="264" t="str">
        <f t="shared" si="7"/>
        <v/>
      </c>
    </row>
    <row r="1003" ht="15.75" customHeight="1">
      <c r="A1003" s="258"/>
      <c r="B1003" s="258"/>
      <c r="C1003" s="269"/>
      <c r="D1003" s="258"/>
      <c r="E1003" s="258"/>
      <c r="F1003" s="258"/>
      <c r="G1003" s="258"/>
      <c r="H1003" s="271"/>
      <c r="I1003" s="258"/>
      <c r="J1003" s="272"/>
      <c r="K1003" s="260"/>
      <c r="L1003" s="261"/>
      <c r="M1003" s="262" t="str">
        <f t="shared" si="1"/>
        <v/>
      </c>
      <c r="N1003" s="263" t="str">
        <f t="shared" si="2"/>
        <v/>
      </c>
      <c r="O1003" s="264" t="str">
        <f t="shared" si="3"/>
        <v/>
      </c>
      <c r="P1003" s="265" t="str">
        <f>IFERROR(__xludf.DUMMYFUNCTION("IF(ISBLANK(A1003),"""",IFERROR(IF(H1003=""Sell"",VLOOKUP(9^99,FILTER({ROW(P$2:P1002),P$2:P1002},D$2:D1002=D1003),2),(VLOOKUP(9^99,FILTER({ROW(P$2:P1002),P$2:P1002},D$2:D1002=D1003),2)*VLOOKUP(9^99,FILTER({ROW(O$2:O1002),O$2:O1002},D$2:D1002=D1003),2)-N100"&amp;"3)/O1003),J1003))"),"")</f>
        <v/>
      </c>
      <c r="Q1003" s="264" t="str">
        <f>IFERROR(__xludf.DUMMYFUNCTION("IFERROR(IF(F1003=""Crypto"",B1003,(IF(ISBLANK(D1003),"""",IF(D1003=""Cash"",B1003,IF(GOOGLEFINANCE(D1003,""CURRENCY"")=""GBX"",""GBP"",GOOGLEFINANCE(D1003,""CURRENCY"")))))),B1003)"),"")</f>
        <v/>
      </c>
      <c r="R1003" s="263" t="str">
        <f>IFERROR(__xludf.DUMMYFUNCTION("IF(ISBLANK(A1003),"""",IFERROR(IF(OR(Q1003=""GPB"",Q1003=""ZAR""),IF(Q1003=Dashboard!$L$1,K1003,(K1003*GOOGLEFINANCE(""CURRENCY:""&amp;Q1003&amp;""""&amp;Dashboard!$L$1&amp;""""))/100),IF(Q1003=Dashboard!$L$1,K1003,K1003*GOOGLEFINANCE(""CURRENCY:""&amp;Q1003&amp;""""&amp;Dashboard!$"&amp;"L$1&amp;""""))),K1003))"),"")</f>
        <v/>
      </c>
      <c r="S1003" s="266" t="str">
        <f>IFERROR(__xludf.DUMMYFUNCTION("IF(ISBLANK(A1003),"""",IFERROR(IF(OR(Q1003=""GPB"",Q1003=""ZAR""),IF(Q1003=Dashboard!$L$1,M1003,(M1003*GOOGLEFINANCE(""CURRENCY:""&amp;Q1003&amp;""""&amp;Dashboard!$L$1&amp;""""))/100),IF(Q1003=Dashboard!$L$1,M1003,M1003*GOOGLEFINANCE(""CURRENCY:""&amp;Q1003&amp;""""&amp;Dashboard!$"&amp;"L$1&amp;""""))),M1003))"),"")</f>
        <v/>
      </c>
      <c r="T1003" s="264" t="str">
        <f t="shared" si="4"/>
        <v/>
      </c>
      <c r="U1003" s="264" t="str">
        <f t="shared" si="5"/>
        <v/>
      </c>
      <c r="V1003" s="264" t="str">
        <f t="shared" si="6"/>
        <v/>
      </c>
      <c r="W1003" s="267" t="str">
        <f t="shared" si="8"/>
        <v/>
      </c>
      <c r="X1003" s="264" t="str">
        <f t="shared" si="7"/>
        <v/>
      </c>
    </row>
    <row r="1004" ht="15.75" customHeight="1">
      <c r="A1004" s="258"/>
      <c r="B1004" s="258"/>
      <c r="C1004" s="269"/>
      <c r="D1004" s="258"/>
      <c r="E1004" s="258"/>
      <c r="F1004" s="258"/>
      <c r="G1004" s="258"/>
      <c r="H1004" s="271"/>
      <c r="I1004" s="258"/>
      <c r="J1004" s="272"/>
      <c r="K1004" s="260"/>
      <c r="L1004" s="261"/>
      <c r="M1004" s="262" t="str">
        <f t="shared" si="1"/>
        <v/>
      </c>
      <c r="N1004" s="263" t="str">
        <f t="shared" si="2"/>
        <v/>
      </c>
      <c r="O1004" s="264" t="str">
        <f t="shared" si="3"/>
        <v/>
      </c>
      <c r="P1004" s="265" t="str">
        <f>IFERROR(__xludf.DUMMYFUNCTION("IF(ISBLANK(A1004),"""",IFERROR(IF(H1004=""Sell"",VLOOKUP(9^99,FILTER({ROW(P$2:P1003),P$2:P1003},D$2:D1003=D1004),2),(VLOOKUP(9^99,FILTER({ROW(P$2:P1003),P$2:P1003},D$2:D1003=D1004),2)*VLOOKUP(9^99,FILTER({ROW(O$2:O1003),O$2:O1003},D$2:D1003=D1004),2)-N100"&amp;"4)/O1004),J1004))"),"")</f>
        <v/>
      </c>
      <c r="Q1004" s="264" t="str">
        <f>IFERROR(__xludf.DUMMYFUNCTION("IFERROR(IF(F1004=""Crypto"",B1004,(IF(ISBLANK(D1004),"""",IF(D1004=""Cash"",B1004,IF(GOOGLEFINANCE(D1004,""CURRENCY"")=""GBX"",""GBP"",GOOGLEFINANCE(D1004,""CURRENCY"")))))),B1004)"),"")</f>
        <v/>
      </c>
      <c r="R1004" s="263" t="str">
        <f>IFERROR(__xludf.DUMMYFUNCTION("IF(ISBLANK(A1004),"""",IFERROR(IF(OR(Q1004=""GPB"",Q1004=""ZAR""),IF(Q1004=Dashboard!$L$1,K1004,(K1004*GOOGLEFINANCE(""CURRENCY:""&amp;Q1004&amp;""""&amp;Dashboard!$L$1&amp;""""))/100),IF(Q1004=Dashboard!$L$1,K1004,K1004*GOOGLEFINANCE(""CURRENCY:""&amp;Q1004&amp;""""&amp;Dashboard!$"&amp;"L$1&amp;""""))),K1004))"),"")</f>
        <v/>
      </c>
      <c r="S1004" s="266" t="str">
        <f>IFERROR(__xludf.DUMMYFUNCTION("IF(ISBLANK(A1004),"""",IFERROR(IF(OR(Q1004=""GPB"",Q1004=""ZAR""),IF(Q1004=Dashboard!$L$1,M1004,(M1004*GOOGLEFINANCE(""CURRENCY:""&amp;Q1004&amp;""""&amp;Dashboard!$L$1&amp;""""))/100),IF(Q1004=Dashboard!$L$1,M1004,M1004*GOOGLEFINANCE(""CURRENCY:""&amp;Q1004&amp;""""&amp;Dashboard!$"&amp;"L$1&amp;""""))),M1004))"),"")</f>
        <v/>
      </c>
      <c r="T1004" s="264" t="str">
        <f t="shared" si="4"/>
        <v/>
      </c>
      <c r="U1004" s="264" t="str">
        <f t="shared" si="5"/>
        <v/>
      </c>
      <c r="V1004" s="264" t="str">
        <f t="shared" si="6"/>
        <v/>
      </c>
      <c r="W1004" s="267" t="str">
        <f t="shared" si="8"/>
        <v/>
      </c>
      <c r="X1004" s="264" t="str">
        <f t="shared" si="7"/>
        <v/>
      </c>
    </row>
    <row r="1005" ht="15.75" customHeight="1">
      <c r="A1005" s="258"/>
      <c r="B1005" s="258"/>
      <c r="C1005" s="269"/>
      <c r="D1005" s="258"/>
      <c r="E1005" s="258"/>
      <c r="F1005" s="258"/>
      <c r="G1005" s="258"/>
      <c r="H1005" s="271"/>
      <c r="I1005" s="258"/>
      <c r="J1005" s="272"/>
      <c r="K1005" s="260"/>
      <c r="L1005" s="261"/>
      <c r="M1005" s="262" t="str">
        <f t="shared" si="1"/>
        <v/>
      </c>
      <c r="N1005" s="263" t="str">
        <f t="shared" si="2"/>
        <v/>
      </c>
      <c r="O1005" s="264" t="str">
        <f t="shared" si="3"/>
        <v/>
      </c>
      <c r="P1005" s="265" t="str">
        <f>IFERROR(__xludf.DUMMYFUNCTION("IF(ISBLANK(A1005),"""",IFERROR(IF(H1005=""Sell"",VLOOKUP(9^99,FILTER({ROW(P$2:P1004),P$2:P1004},D$2:D1004=D1005),2),(VLOOKUP(9^99,FILTER({ROW(P$2:P1004),P$2:P1004},D$2:D1004=D1005),2)*VLOOKUP(9^99,FILTER({ROW(O$2:O1004),O$2:O1004},D$2:D1004=D1005),2)-N100"&amp;"5)/O1005),J1005))"),"")</f>
        <v/>
      </c>
      <c r="Q1005" s="264" t="str">
        <f>IFERROR(__xludf.DUMMYFUNCTION("IFERROR(IF(F1005=""Crypto"",B1005,(IF(ISBLANK(D1005),"""",IF(D1005=""Cash"",B1005,IF(GOOGLEFINANCE(D1005,""CURRENCY"")=""GBX"",""GBP"",GOOGLEFINANCE(D1005,""CURRENCY"")))))),B1005)"),"")</f>
        <v/>
      </c>
      <c r="R1005" s="263" t="str">
        <f>IFERROR(__xludf.DUMMYFUNCTION("IF(ISBLANK(A1005),"""",IFERROR(IF(OR(Q1005=""GPB"",Q1005=""ZAR""),IF(Q1005=Dashboard!$L$1,K1005,(K1005*GOOGLEFINANCE(""CURRENCY:""&amp;Q1005&amp;""""&amp;Dashboard!$L$1&amp;""""))/100),IF(Q1005=Dashboard!$L$1,K1005,K1005*GOOGLEFINANCE(""CURRENCY:""&amp;Q1005&amp;""""&amp;Dashboard!$"&amp;"L$1&amp;""""))),K1005))"),"")</f>
        <v/>
      </c>
      <c r="S1005" s="266" t="str">
        <f>IFERROR(__xludf.DUMMYFUNCTION("IF(ISBLANK(A1005),"""",IFERROR(IF(OR(Q1005=""GPB"",Q1005=""ZAR""),IF(Q1005=Dashboard!$L$1,M1005,(M1005*GOOGLEFINANCE(""CURRENCY:""&amp;Q1005&amp;""""&amp;Dashboard!$L$1&amp;""""))/100),IF(Q1005=Dashboard!$L$1,M1005,M1005*GOOGLEFINANCE(""CURRENCY:""&amp;Q1005&amp;""""&amp;Dashboard!$"&amp;"L$1&amp;""""))),M1005))"),"")</f>
        <v/>
      </c>
      <c r="T1005" s="264" t="str">
        <f t="shared" si="4"/>
        <v/>
      </c>
      <c r="U1005" s="264" t="str">
        <f t="shared" si="5"/>
        <v/>
      </c>
      <c r="V1005" s="264" t="str">
        <f t="shared" si="6"/>
        <v/>
      </c>
      <c r="W1005" s="267" t="str">
        <f t="shared" si="8"/>
        <v/>
      </c>
      <c r="X1005" s="264" t="str">
        <f t="shared" si="7"/>
        <v/>
      </c>
    </row>
    <row r="1006" ht="15.75" customHeight="1">
      <c r="A1006" s="258"/>
      <c r="B1006" s="258"/>
      <c r="C1006" s="269"/>
      <c r="D1006" s="258"/>
      <c r="E1006" s="258"/>
      <c r="F1006" s="258"/>
      <c r="G1006" s="258"/>
      <c r="H1006" s="271"/>
      <c r="I1006" s="258"/>
      <c r="J1006" s="272"/>
      <c r="K1006" s="260"/>
      <c r="L1006" s="261"/>
      <c r="M1006" s="262" t="str">
        <f t="shared" si="1"/>
        <v/>
      </c>
      <c r="N1006" s="263" t="str">
        <f t="shared" si="2"/>
        <v/>
      </c>
      <c r="O1006" s="264" t="str">
        <f t="shared" si="3"/>
        <v/>
      </c>
      <c r="P1006" s="265" t="str">
        <f>IFERROR(__xludf.DUMMYFUNCTION("IF(ISBLANK(A1006),"""",IFERROR(IF(H1006=""Sell"",VLOOKUP(9^99,FILTER({ROW(P$2:P1005),P$2:P1005},D$2:D1005=D1006),2),(VLOOKUP(9^99,FILTER({ROW(P$2:P1005),P$2:P1005},D$2:D1005=D1006),2)*VLOOKUP(9^99,FILTER({ROW(O$2:O1005),O$2:O1005},D$2:D1005=D1006),2)-N100"&amp;"6)/O1006),J1006))"),"")</f>
        <v/>
      </c>
      <c r="Q1006" s="264" t="str">
        <f>IFERROR(__xludf.DUMMYFUNCTION("IFERROR(IF(F1006=""Crypto"",B1006,(IF(ISBLANK(D1006),"""",IF(D1006=""Cash"",B1006,IF(GOOGLEFINANCE(D1006,""CURRENCY"")=""GBX"",""GBP"",GOOGLEFINANCE(D1006,""CURRENCY"")))))),B1006)"),"")</f>
        <v/>
      </c>
      <c r="R1006" s="263" t="str">
        <f>IFERROR(__xludf.DUMMYFUNCTION("IF(ISBLANK(A1006),"""",IFERROR(IF(OR(Q1006=""GPB"",Q1006=""ZAR""),IF(Q1006=Dashboard!$L$1,K1006,(K1006*GOOGLEFINANCE(""CURRENCY:""&amp;Q1006&amp;""""&amp;Dashboard!$L$1&amp;""""))/100),IF(Q1006=Dashboard!$L$1,K1006,K1006*GOOGLEFINANCE(""CURRENCY:""&amp;Q1006&amp;""""&amp;Dashboard!$"&amp;"L$1&amp;""""))),K1006))"),"")</f>
        <v/>
      </c>
      <c r="S1006" s="266" t="str">
        <f>IFERROR(__xludf.DUMMYFUNCTION("IF(ISBLANK(A1006),"""",IFERROR(IF(OR(Q1006=""GPB"",Q1006=""ZAR""),IF(Q1006=Dashboard!$L$1,M1006,(M1006*GOOGLEFINANCE(""CURRENCY:""&amp;Q1006&amp;""""&amp;Dashboard!$L$1&amp;""""))/100),IF(Q1006=Dashboard!$L$1,M1006,M1006*GOOGLEFINANCE(""CURRENCY:""&amp;Q1006&amp;""""&amp;Dashboard!$"&amp;"L$1&amp;""""))),M1006))"),"")</f>
        <v/>
      </c>
      <c r="T1006" s="264" t="str">
        <f t="shared" si="4"/>
        <v/>
      </c>
      <c r="U1006" s="264" t="str">
        <f t="shared" si="5"/>
        <v/>
      </c>
      <c r="V1006" s="264" t="str">
        <f t="shared" si="6"/>
        <v/>
      </c>
      <c r="W1006" s="267" t="str">
        <f t="shared" si="8"/>
        <v/>
      </c>
      <c r="X1006" s="264" t="str">
        <f t="shared" si="7"/>
        <v/>
      </c>
    </row>
    <row r="1007" ht="15.75" customHeight="1">
      <c r="A1007" s="258"/>
      <c r="B1007" s="258"/>
      <c r="C1007" s="269"/>
      <c r="D1007" s="258"/>
      <c r="E1007" s="258"/>
      <c r="F1007" s="258"/>
      <c r="G1007" s="258"/>
      <c r="H1007" s="271"/>
      <c r="I1007" s="258"/>
      <c r="J1007" s="272"/>
      <c r="K1007" s="260"/>
      <c r="L1007" s="261"/>
      <c r="M1007" s="262" t="str">
        <f t="shared" si="1"/>
        <v/>
      </c>
      <c r="N1007" s="263" t="str">
        <f t="shared" si="2"/>
        <v/>
      </c>
      <c r="O1007" s="264" t="str">
        <f t="shared" si="3"/>
        <v/>
      </c>
      <c r="P1007" s="265" t="str">
        <f>IFERROR(__xludf.DUMMYFUNCTION("IF(ISBLANK(A1007),"""",IFERROR(IF(H1007=""Sell"",VLOOKUP(9^99,FILTER({ROW(P$2:P1006),P$2:P1006},D$2:D1006=D1007),2),(VLOOKUP(9^99,FILTER({ROW(P$2:P1006),P$2:P1006},D$2:D1006=D1007),2)*VLOOKUP(9^99,FILTER({ROW(O$2:O1006),O$2:O1006},D$2:D1006=D1007),2)-N100"&amp;"7)/O1007),J1007))"),"")</f>
        <v/>
      </c>
      <c r="Q1007" s="264" t="str">
        <f>IFERROR(__xludf.DUMMYFUNCTION("IFERROR(IF(F1007=""Crypto"",B1007,(IF(ISBLANK(D1007),"""",IF(D1007=""Cash"",B1007,IF(GOOGLEFINANCE(D1007,""CURRENCY"")=""GBX"",""GBP"",GOOGLEFINANCE(D1007,""CURRENCY"")))))),B1007)"),"")</f>
        <v/>
      </c>
      <c r="R1007" s="263" t="str">
        <f>IFERROR(__xludf.DUMMYFUNCTION("IF(ISBLANK(A1007),"""",IFERROR(IF(OR(Q1007=""GPB"",Q1007=""ZAR""),IF(Q1007=Dashboard!$L$1,K1007,(K1007*GOOGLEFINANCE(""CURRENCY:""&amp;Q1007&amp;""""&amp;Dashboard!$L$1&amp;""""))/100),IF(Q1007=Dashboard!$L$1,K1007,K1007*GOOGLEFINANCE(""CURRENCY:""&amp;Q1007&amp;""""&amp;Dashboard!$"&amp;"L$1&amp;""""))),K1007))"),"")</f>
        <v/>
      </c>
      <c r="S1007" s="266" t="str">
        <f>IFERROR(__xludf.DUMMYFUNCTION("IF(ISBLANK(A1007),"""",IFERROR(IF(OR(Q1007=""GPB"",Q1007=""ZAR""),IF(Q1007=Dashboard!$L$1,M1007,(M1007*GOOGLEFINANCE(""CURRENCY:""&amp;Q1007&amp;""""&amp;Dashboard!$L$1&amp;""""))/100),IF(Q1007=Dashboard!$L$1,M1007,M1007*GOOGLEFINANCE(""CURRENCY:""&amp;Q1007&amp;""""&amp;Dashboard!$"&amp;"L$1&amp;""""))),M1007))"),"")</f>
        <v/>
      </c>
      <c r="T1007" s="264" t="str">
        <f t="shared" si="4"/>
        <v/>
      </c>
      <c r="U1007" s="264" t="str">
        <f t="shared" si="5"/>
        <v/>
      </c>
      <c r="V1007" s="264" t="str">
        <f t="shared" si="6"/>
        <v/>
      </c>
      <c r="W1007" s="267" t="str">
        <f t="shared" si="8"/>
        <v/>
      </c>
      <c r="X1007" s="264" t="str">
        <f t="shared" si="7"/>
        <v/>
      </c>
    </row>
    <row r="1008" ht="15.75" customHeight="1">
      <c r="A1008" s="258"/>
      <c r="B1008" s="258"/>
      <c r="C1008" s="269"/>
      <c r="D1008" s="258"/>
      <c r="E1008" s="258"/>
      <c r="F1008" s="258"/>
      <c r="G1008" s="258"/>
      <c r="H1008" s="271"/>
      <c r="I1008" s="258"/>
      <c r="J1008" s="272"/>
      <c r="K1008" s="260"/>
      <c r="L1008" s="261"/>
      <c r="M1008" s="262" t="str">
        <f t="shared" si="1"/>
        <v/>
      </c>
      <c r="N1008" s="263" t="str">
        <f t="shared" si="2"/>
        <v/>
      </c>
      <c r="O1008" s="264" t="str">
        <f t="shared" si="3"/>
        <v/>
      </c>
      <c r="P1008" s="265" t="str">
        <f>IFERROR(__xludf.DUMMYFUNCTION("IF(ISBLANK(A1008),"""",IFERROR(IF(H1008=""Sell"",VLOOKUP(9^99,FILTER({ROW(P$2:P1007),P$2:P1007},D$2:D1007=D1008),2),(VLOOKUP(9^99,FILTER({ROW(P$2:P1007),P$2:P1007},D$2:D1007=D1008),2)*VLOOKUP(9^99,FILTER({ROW(O$2:O1007),O$2:O1007},D$2:D1007=D1008),2)-N100"&amp;"8)/O1008),J1008))"),"")</f>
        <v/>
      </c>
      <c r="Q1008" s="264" t="str">
        <f>IFERROR(__xludf.DUMMYFUNCTION("IFERROR(IF(F1008=""Crypto"",B1008,(IF(ISBLANK(D1008),"""",IF(D1008=""Cash"",B1008,IF(GOOGLEFINANCE(D1008,""CURRENCY"")=""GBX"",""GBP"",GOOGLEFINANCE(D1008,""CURRENCY"")))))),B1008)"),"")</f>
        <v/>
      </c>
      <c r="R1008" s="263" t="str">
        <f>IFERROR(__xludf.DUMMYFUNCTION("IF(ISBLANK(A1008),"""",IFERROR(IF(OR(Q1008=""GPB"",Q1008=""ZAR""),IF(Q1008=Dashboard!$L$1,K1008,(K1008*GOOGLEFINANCE(""CURRENCY:""&amp;Q1008&amp;""""&amp;Dashboard!$L$1&amp;""""))/100),IF(Q1008=Dashboard!$L$1,K1008,K1008*GOOGLEFINANCE(""CURRENCY:""&amp;Q1008&amp;""""&amp;Dashboard!$"&amp;"L$1&amp;""""))),K1008))"),"")</f>
        <v/>
      </c>
      <c r="S1008" s="266" t="str">
        <f>IFERROR(__xludf.DUMMYFUNCTION("IF(ISBLANK(A1008),"""",IFERROR(IF(OR(Q1008=""GPB"",Q1008=""ZAR""),IF(Q1008=Dashboard!$L$1,M1008,(M1008*GOOGLEFINANCE(""CURRENCY:""&amp;Q1008&amp;""""&amp;Dashboard!$L$1&amp;""""))/100),IF(Q1008=Dashboard!$L$1,M1008,M1008*GOOGLEFINANCE(""CURRENCY:""&amp;Q1008&amp;""""&amp;Dashboard!$"&amp;"L$1&amp;""""))),M1008))"),"")</f>
        <v/>
      </c>
      <c r="T1008" s="264" t="str">
        <f t="shared" si="4"/>
        <v/>
      </c>
      <c r="U1008" s="264" t="str">
        <f t="shared" si="5"/>
        <v/>
      </c>
      <c r="V1008" s="264" t="str">
        <f t="shared" si="6"/>
        <v/>
      </c>
      <c r="W1008" s="267" t="str">
        <f t="shared" si="8"/>
        <v/>
      </c>
      <c r="X1008" s="264" t="str">
        <f t="shared" si="7"/>
        <v/>
      </c>
    </row>
    <row r="1009" ht="15.75" customHeight="1">
      <c r="A1009" s="258"/>
      <c r="B1009" s="258"/>
      <c r="C1009" s="269"/>
      <c r="D1009" s="258"/>
      <c r="E1009" s="258"/>
      <c r="F1009" s="258"/>
      <c r="G1009" s="258"/>
      <c r="H1009" s="271"/>
      <c r="I1009" s="258"/>
      <c r="J1009" s="272"/>
      <c r="K1009" s="260"/>
      <c r="L1009" s="261"/>
      <c r="M1009" s="262" t="str">
        <f t="shared" si="1"/>
        <v/>
      </c>
      <c r="N1009" s="263" t="str">
        <f t="shared" si="2"/>
        <v/>
      </c>
      <c r="O1009" s="264" t="str">
        <f t="shared" si="3"/>
        <v/>
      </c>
      <c r="P1009" s="265" t="str">
        <f>IFERROR(__xludf.DUMMYFUNCTION("IF(ISBLANK(A1009),"""",IFERROR(IF(H1009=""Sell"",VLOOKUP(9^99,FILTER({ROW(P$2:P1008),P$2:P1008},D$2:D1008=D1009),2),(VLOOKUP(9^99,FILTER({ROW(P$2:P1008),P$2:P1008},D$2:D1008=D1009),2)*VLOOKUP(9^99,FILTER({ROW(O$2:O1008),O$2:O1008},D$2:D1008=D1009),2)-N100"&amp;"9)/O1009),J1009))"),"")</f>
        <v/>
      </c>
      <c r="Q1009" s="264" t="str">
        <f>IFERROR(__xludf.DUMMYFUNCTION("IFERROR(IF(F1009=""Crypto"",B1009,(IF(ISBLANK(D1009),"""",IF(D1009=""Cash"",B1009,IF(GOOGLEFINANCE(D1009,""CURRENCY"")=""GBX"",""GBP"",GOOGLEFINANCE(D1009,""CURRENCY"")))))),B1009)"),"")</f>
        <v/>
      </c>
      <c r="R1009" s="263" t="str">
        <f>IFERROR(__xludf.DUMMYFUNCTION("IF(ISBLANK(A1009),"""",IFERROR(IF(OR(Q1009=""GPB"",Q1009=""ZAR""),IF(Q1009=Dashboard!$L$1,K1009,(K1009*GOOGLEFINANCE(""CURRENCY:""&amp;Q1009&amp;""""&amp;Dashboard!$L$1&amp;""""))/100),IF(Q1009=Dashboard!$L$1,K1009,K1009*GOOGLEFINANCE(""CURRENCY:""&amp;Q1009&amp;""""&amp;Dashboard!$"&amp;"L$1&amp;""""))),K1009))"),"")</f>
        <v/>
      </c>
      <c r="S1009" s="266" t="str">
        <f>IFERROR(__xludf.DUMMYFUNCTION("IF(ISBLANK(A1009),"""",IFERROR(IF(OR(Q1009=""GPB"",Q1009=""ZAR""),IF(Q1009=Dashboard!$L$1,M1009,(M1009*GOOGLEFINANCE(""CURRENCY:""&amp;Q1009&amp;""""&amp;Dashboard!$L$1&amp;""""))/100),IF(Q1009=Dashboard!$L$1,M1009,M1009*GOOGLEFINANCE(""CURRENCY:""&amp;Q1009&amp;""""&amp;Dashboard!$"&amp;"L$1&amp;""""))),M1009))"),"")</f>
        <v/>
      </c>
      <c r="T1009" s="264" t="str">
        <f t="shared" si="4"/>
        <v/>
      </c>
      <c r="U1009" s="264" t="str">
        <f t="shared" si="5"/>
        <v/>
      </c>
      <c r="V1009" s="264" t="str">
        <f t="shared" si="6"/>
        <v/>
      </c>
      <c r="W1009" s="267" t="str">
        <f t="shared" si="8"/>
        <v/>
      </c>
      <c r="X1009" s="264" t="str">
        <f t="shared" si="7"/>
        <v/>
      </c>
    </row>
    <row r="1010" ht="15.75" customHeight="1">
      <c r="A1010" s="258"/>
      <c r="B1010" s="258"/>
      <c r="C1010" s="269"/>
      <c r="D1010" s="258"/>
      <c r="E1010" s="258"/>
      <c r="F1010" s="258"/>
      <c r="G1010" s="258"/>
      <c r="H1010" s="271"/>
      <c r="I1010" s="258"/>
      <c r="J1010" s="272"/>
      <c r="K1010" s="260"/>
      <c r="L1010" s="261"/>
      <c r="M1010" s="262" t="str">
        <f t="shared" si="1"/>
        <v/>
      </c>
      <c r="N1010" s="263" t="str">
        <f t="shared" si="2"/>
        <v/>
      </c>
      <c r="O1010" s="264" t="str">
        <f t="shared" si="3"/>
        <v/>
      </c>
      <c r="P1010" s="265" t="str">
        <f>IFERROR(__xludf.DUMMYFUNCTION("IF(ISBLANK(A1010),"""",IFERROR(IF(H1010=""Sell"",VLOOKUP(9^99,FILTER({ROW(P$2:P1009),P$2:P1009},D$2:D1009=D1010),2),(VLOOKUP(9^99,FILTER({ROW(P$2:P1009),P$2:P1009},D$2:D1009=D1010),2)*VLOOKUP(9^99,FILTER({ROW(O$2:O1009),O$2:O1009},D$2:D1009=D1010),2)-N101"&amp;"0)/O1010),J1010))"),"")</f>
        <v/>
      </c>
      <c r="Q1010" s="264" t="str">
        <f>IFERROR(__xludf.DUMMYFUNCTION("IFERROR(IF(F1010=""Crypto"",B1010,(IF(ISBLANK(D1010),"""",IF(D1010=""Cash"",B1010,IF(GOOGLEFINANCE(D1010,""CURRENCY"")=""GBX"",""GBP"",GOOGLEFINANCE(D1010,""CURRENCY"")))))),B1010)"),"")</f>
        <v/>
      </c>
      <c r="R1010" s="263" t="str">
        <f>IFERROR(__xludf.DUMMYFUNCTION("IF(ISBLANK(A1010),"""",IFERROR(IF(OR(Q1010=""GPB"",Q1010=""ZAR""),IF(Q1010=Dashboard!$L$1,K1010,(K1010*GOOGLEFINANCE(""CURRENCY:""&amp;Q1010&amp;""""&amp;Dashboard!$L$1&amp;""""))/100),IF(Q1010=Dashboard!$L$1,K1010,K1010*GOOGLEFINANCE(""CURRENCY:""&amp;Q1010&amp;""""&amp;Dashboard!$"&amp;"L$1&amp;""""))),K1010))"),"")</f>
        <v/>
      </c>
      <c r="S1010" s="266" t="str">
        <f>IFERROR(__xludf.DUMMYFUNCTION("IF(ISBLANK(A1010),"""",IFERROR(IF(OR(Q1010=""GPB"",Q1010=""ZAR""),IF(Q1010=Dashboard!$L$1,M1010,(M1010*GOOGLEFINANCE(""CURRENCY:""&amp;Q1010&amp;""""&amp;Dashboard!$L$1&amp;""""))/100),IF(Q1010=Dashboard!$L$1,M1010,M1010*GOOGLEFINANCE(""CURRENCY:""&amp;Q1010&amp;""""&amp;Dashboard!$"&amp;"L$1&amp;""""))),M1010))"),"")</f>
        <v/>
      </c>
      <c r="T1010" s="264" t="str">
        <f t="shared" si="4"/>
        <v/>
      </c>
      <c r="U1010" s="264" t="str">
        <f t="shared" si="5"/>
        <v/>
      </c>
      <c r="V1010" s="264" t="str">
        <f t="shared" si="6"/>
        <v/>
      </c>
      <c r="W1010" s="267" t="str">
        <f t="shared" si="8"/>
        <v/>
      </c>
      <c r="X1010" s="264" t="str">
        <f t="shared" si="7"/>
        <v/>
      </c>
    </row>
    <row r="1011" ht="15.75" customHeight="1">
      <c r="A1011" s="258"/>
      <c r="B1011" s="258"/>
      <c r="C1011" s="269"/>
      <c r="D1011" s="258"/>
      <c r="E1011" s="258"/>
      <c r="F1011" s="258"/>
      <c r="G1011" s="258"/>
      <c r="H1011" s="271"/>
      <c r="I1011" s="258"/>
      <c r="J1011" s="272"/>
      <c r="K1011" s="260"/>
      <c r="L1011" s="261"/>
      <c r="M1011" s="262" t="str">
        <f t="shared" si="1"/>
        <v/>
      </c>
      <c r="N1011" s="263" t="str">
        <f t="shared" si="2"/>
        <v/>
      </c>
      <c r="O1011" s="264" t="str">
        <f t="shared" si="3"/>
        <v/>
      </c>
      <c r="P1011" s="265" t="str">
        <f>IFERROR(__xludf.DUMMYFUNCTION("IF(ISBLANK(A1011),"""",IFERROR(IF(H1011=""Sell"",VLOOKUP(9^99,FILTER({ROW(P$2:P1010),P$2:P1010},D$2:D1010=D1011),2),(VLOOKUP(9^99,FILTER({ROW(P$2:P1010),P$2:P1010},D$2:D1010=D1011),2)*VLOOKUP(9^99,FILTER({ROW(O$2:O1010),O$2:O1010},D$2:D1010=D1011),2)-N101"&amp;"1)/O1011),J1011))"),"")</f>
        <v/>
      </c>
      <c r="Q1011" s="264" t="str">
        <f>IFERROR(__xludf.DUMMYFUNCTION("IFERROR(IF(F1011=""Crypto"",B1011,(IF(ISBLANK(D1011),"""",IF(D1011=""Cash"",B1011,IF(GOOGLEFINANCE(D1011,""CURRENCY"")=""GBX"",""GBP"",GOOGLEFINANCE(D1011,""CURRENCY"")))))),B1011)"),"")</f>
        <v/>
      </c>
      <c r="R1011" s="263" t="str">
        <f>IFERROR(__xludf.DUMMYFUNCTION("IF(ISBLANK(A1011),"""",IFERROR(IF(OR(Q1011=""GPB"",Q1011=""ZAR""),IF(Q1011=Dashboard!$L$1,K1011,(K1011*GOOGLEFINANCE(""CURRENCY:""&amp;Q1011&amp;""""&amp;Dashboard!$L$1&amp;""""))/100),IF(Q1011=Dashboard!$L$1,K1011,K1011*GOOGLEFINANCE(""CURRENCY:""&amp;Q1011&amp;""""&amp;Dashboard!$"&amp;"L$1&amp;""""))),K1011))"),"")</f>
        <v/>
      </c>
      <c r="S1011" s="266" t="str">
        <f>IFERROR(__xludf.DUMMYFUNCTION("IF(ISBLANK(A1011),"""",IFERROR(IF(OR(Q1011=""GPB"",Q1011=""ZAR""),IF(Q1011=Dashboard!$L$1,M1011,(M1011*GOOGLEFINANCE(""CURRENCY:""&amp;Q1011&amp;""""&amp;Dashboard!$L$1&amp;""""))/100),IF(Q1011=Dashboard!$L$1,M1011,M1011*GOOGLEFINANCE(""CURRENCY:""&amp;Q1011&amp;""""&amp;Dashboard!$"&amp;"L$1&amp;""""))),M1011))"),"")</f>
        <v/>
      </c>
      <c r="T1011" s="264" t="str">
        <f t="shared" si="4"/>
        <v/>
      </c>
      <c r="U1011" s="264" t="str">
        <f t="shared" si="5"/>
        <v/>
      </c>
      <c r="V1011" s="264" t="str">
        <f t="shared" si="6"/>
        <v/>
      </c>
      <c r="W1011" s="267" t="str">
        <f t="shared" si="8"/>
        <v/>
      </c>
      <c r="X1011" s="264" t="str">
        <f t="shared" si="7"/>
        <v/>
      </c>
    </row>
    <row r="1012" ht="15.75" customHeight="1">
      <c r="A1012" s="258"/>
      <c r="B1012" s="258"/>
      <c r="C1012" s="269"/>
      <c r="D1012" s="258"/>
      <c r="E1012" s="258"/>
      <c r="F1012" s="258"/>
      <c r="G1012" s="258"/>
      <c r="H1012" s="271"/>
      <c r="I1012" s="258"/>
      <c r="J1012" s="272"/>
      <c r="K1012" s="260"/>
      <c r="L1012" s="261"/>
      <c r="M1012" s="262" t="str">
        <f t="shared" si="1"/>
        <v/>
      </c>
      <c r="N1012" s="263" t="str">
        <f t="shared" si="2"/>
        <v/>
      </c>
      <c r="O1012" s="264" t="str">
        <f t="shared" si="3"/>
        <v/>
      </c>
      <c r="P1012" s="265" t="str">
        <f>IFERROR(__xludf.DUMMYFUNCTION("IF(ISBLANK(A1012),"""",IFERROR(IF(H1012=""Sell"",VLOOKUP(9^99,FILTER({ROW(P$2:P1011),P$2:P1011},D$2:D1011=D1012),2),(VLOOKUP(9^99,FILTER({ROW(P$2:P1011),P$2:P1011},D$2:D1011=D1012),2)*VLOOKUP(9^99,FILTER({ROW(O$2:O1011),O$2:O1011},D$2:D1011=D1012),2)-N101"&amp;"2)/O1012),J1012))"),"")</f>
        <v/>
      </c>
      <c r="Q1012" s="264" t="str">
        <f>IFERROR(__xludf.DUMMYFUNCTION("IFERROR(IF(F1012=""Crypto"",B1012,(IF(ISBLANK(D1012),"""",IF(D1012=""Cash"",B1012,IF(GOOGLEFINANCE(D1012,""CURRENCY"")=""GBX"",""GBP"",GOOGLEFINANCE(D1012,""CURRENCY"")))))),B1012)"),"")</f>
        <v/>
      </c>
      <c r="R1012" s="263" t="str">
        <f>IFERROR(__xludf.DUMMYFUNCTION("IF(ISBLANK(A1012),"""",IFERROR(IF(OR(Q1012=""GPB"",Q1012=""ZAR""),IF(Q1012=Dashboard!$L$1,K1012,(K1012*GOOGLEFINANCE(""CURRENCY:""&amp;Q1012&amp;""""&amp;Dashboard!$L$1&amp;""""))/100),IF(Q1012=Dashboard!$L$1,K1012,K1012*GOOGLEFINANCE(""CURRENCY:""&amp;Q1012&amp;""""&amp;Dashboard!$"&amp;"L$1&amp;""""))),K1012))"),"")</f>
        <v/>
      </c>
      <c r="S1012" s="266" t="str">
        <f>IFERROR(__xludf.DUMMYFUNCTION("IF(ISBLANK(A1012),"""",IFERROR(IF(OR(Q1012=""GPB"",Q1012=""ZAR""),IF(Q1012=Dashboard!$L$1,M1012,(M1012*GOOGLEFINANCE(""CURRENCY:""&amp;Q1012&amp;""""&amp;Dashboard!$L$1&amp;""""))/100),IF(Q1012=Dashboard!$L$1,M1012,M1012*GOOGLEFINANCE(""CURRENCY:""&amp;Q1012&amp;""""&amp;Dashboard!$"&amp;"L$1&amp;""""))),M1012))"),"")</f>
        <v/>
      </c>
      <c r="T1012" s="264" t="str">
        <f t="shared" si="4"/>
        <v/>
      </c>
      <c r="U1012" s="264" t="str">
        <f t="shared" si="5"/>
        <v/>
      </c>
      <c r="V1012" s="264" t="str">
        <f t="shared" si="6"/>
        <v/>
      </c>
      <c r="W1012" s="267" t="str">
        <f t="shared" si="8"/>
        <v/>
      </c>
      <c r="X1012" s="264" t="str">
        <f t="shared" si="7"/>
        <v/>
      </c>
    </row>
    <row r="1013" ht="15.75" customHeight="1">
      <c r="A1013" s="258"/>
      <c r="B1013" s="258"/>
      <c r="C1013" s="269"/>
      <c r="D1013" s="258"/>
      <c r="E1013" s="258"/>
      <c r="F1013" s="258"/>
      <c r="G1013" s="258"/>
      <c r="H1013" s="271"/>
      <c r="I1013" s="258"/>
      <c r="J1013" s="272"/>
      <c r="K1013" s="260"/>
      <c r="L1013" s="261"/>
      <c r="M1013" s="262" t="str">
        <f t="shared" si="1"/>
        <v/>
      </c>
      <c r="N1013" s="263" t="str">
        <f t="shared" si="2"/>
        <v/>
      </c>
      <c r="O1013" s="264" t="str">
        <f t="shared" si="3"/>
        <v/>
      </c>
      <c r="P1013" s="265" t="str">
        <f>IFERROR(__xludf.DUMMYFUNCTION("IF(ISBLANK(A1013),"""",IFERROR(IF(H1013=""Sell"",VLOOKUP(9^99,FILTER({ROW(P$2:P1012),P$2:P1012},D$2:D1012=D1013),2),(VLOOKUP(9^99,FILTER({ROW(P$2:P1012),P$2:P1012},D$2:D1012=D1013),2)*VLOOKUP(9^99,FILTER({ROW(O$2:O1012),O$2:O1012},D$2:D1012=D1013),2)-N101"&amp;"3)/O1013),J1013))"),"")</f>
        <v/>
      </c>
      <c r="Q1013" s="264" t="str">
        <f>IFERROR(__xludf.DUMMYFUNCTION("IFERROR(IF(F1013=""Crypto"",B1013,(IF(ISBLANK(D1013),"""",IF(D1013=""Cash"",B1013,IF(GOOGLEFINANCE(D1013,""CURRENCY"")=""GBX"",""GBP"",GOOGLEFINANCE(D1013,""CURRENCY"")))))),B1013)"),"")</f>
        <v/>
      </c>
      <c r="R1013" s="263" t="str">
        <f>IFERROR(__xludf.DUMMYFUNCTION("IF(ISBLANK(A1013),"""",IFERROR(IF(OR(Q1013=""GPB"",Q1013=""ZAR""),IF(Q1013=Dashboard!$L$1,K1013,(K1013*GOOGLEFINANCE(""CURRENCY:""&amp;Q1013&amp;""""&amp;Dashboard!$L$1&amp;""""))/100),IF(Q1013=Dashboard!$L$1,K1013,K1013*GOOGLEFINANCE(""CURRENCY:""&amp;Q1013&amp;""""&amp;Dashboard!$"&amp;"L$1&amp;""""))),K1013))"),"")</f>
        <v/>
      </c>
      <c r="S1013" s="266" t="str">
        <f>IFERROR(__xludf.DUMMYFUNCTION("IF(ISBLANK(A1013),"""",IFERROR(IF(OR(Q1013=""GPB"",Q1013=""ZAR""),IF(Q1013=Dashboard!$L$1,M1013,(M1013*GOOGLEFINANCE(""CURRENCY:""&amp;Q1013&amp;""""&amp;Dashboard!$L$1&amp;""""))/100),IF(Q1013=Dashboard!$L$1,M1013,M1013*GOOGLEFINANCE(""CURRENCY:""&amp;Q1013&amp;""""&amp;Dashboard!$"&amp;"L$1&amp;""""))),M1013))"),"")</f>
        <v/>
      </c>
      <c r="T1013" s="264" t="str">
        <f t="shared" si="4"/>
        <v/>
      </c>
      <c r="U1013" s="264" t="str">
        <f t="shared" si="5"/>
        <v/>
      </c>
      <c r="V1013" s="264" t="str">
        <f t="shared" si="6"/>
        <v/>
      </c>
      <c r="W1013" s="267" t="str">
        <f t="shared" si="8"/>
        <v/>
      </c>
      <c r="X1013" s="264" t="str">
        <f t="shared" si="7"/>
        <v/>
      </c>
    </row>
    <row r="1014" ht="15.75" customHeight="1">
      <c r="A1014" s="258"/>
      <c r="B1014" s="258"/>
      <c r="C1014" s="269"/>
      <c r="D1014" s="258"/>
      <c r="E1014" s="258"/>
      <c r="F1014" s="258"/>
      <c r="G1014" s="258"/>
      <c r="H1014" s="271"/>
      <c r="I1014" s="258"/>
      <c r="J1014" s="272"/>
      <c r="K1014" s="260"/>
      <c r="L1014" s="261"/>
      <c r="M1014" s="262" t="str">
        <f t="shared" si="1"/>
        <v/>
      </c>
      <c r="N1014" s="263" t="str">
        <f t="shared" si="2"/>
        <v/>
      </c>
      <c r="O1014" s="264" t="str">
        <f t="shared" si="3"/>
        <v/>
      </c>
      <c r="P1014" s="265" t="str">
        <f>IFERROR(__xludf.DUMMYFUNCTION("IF(ISBLANK(A1014),"""",IFERROR(IF(H1014=""Sell"",VLOOKUP(9^99,FILTER({ROW(P$2:P1013),P$2:P1013},D$2:D1013=D1014),2),(VLOOKUP(9^99,FILTER({ROW(P$2:P1013),P$2:P1013},D$2:D1013=D1014),2)*VLOOKUP(9^99,FILTER({ROW(O$2:O1013),O$2:O1013},D$2:D1013=D1014),2)-N101"&amp;"4)/O1014),J1014))"),"")</f>
        <v/>
      </c>
      <c r="Q1014" s="264" t="str">
        <f>IFERROR(__xludf.DUMMYFUNCTION("IFERROR(IF(F1014=""Crypto"",B1014,(IF(ISBLANK(D1014),"""",IF(D1014=""Cash"",B1014,IF(GOOGLEFINANCE(D1014,""CURRENCY"")=""GBX"",""GBP"",GOOGLEFINANCE(D1014,""CURRENCY"")))))),B1014)"),"")</f>
        <v/>
      </c>
      <c r="R1014" s="263" t="str">
        <f>IFERROR(__xludf.DUMMYFUNCTION("IF(ISBLANK(A1014),"""",IFERROR(IF(OR(Q1014=""GPB"",Q1014=""ZAR""),IF(Q1014=Dashboard!$L$1,K1014,(K1014*GOOGLEFINANCE(""CURRENCY:""&amp;Q1014&amp;""""&amp;Dashboard!$L$1&amp;""""))/100),IF(Q1014=Dashboard!$L$1,K1014,K1014*GOOGLEFINANCE(""CURRENCY:""&amp;Q1014&amp;""""&amp;Dashboard!$"&amp;"L$1&amp;""""))),K1014))"),"")</f>
        <v/>
      </c>
      <c r="S1014" s="266" t="str">
        <f>IFERROR(__xludf.DUMMYFUNCTION("IF(ISBLANK(A1014),"""",IFERROR(IF(OR(Q1014=""GPB"",Q1014=""ZAR""),IF(Q1014=Dashboard!$L$1,M1014,(M1014*GOOGLEFINANCE(""CURRENCY:""&amp;Q1014&amp;""""&amp;Dashboard!$L$1&amp;""""))/100),IF(Q1014=Dashboard!$L$1,M1014,M1014*GOOGLEFINANCE(""CURRENCY:""&amp;Q1014&amp;""""&amp;Dashboard!$"&amp;"L$1&amp;""""))),M1014))"),"")</f>
        <v/>
      </c>
      <c r="T1014" s="264" t="str">
        <f t="shared" si="4"/>
        <v/>
      </c>
      <c r="U1014" s="264" t="str">
        <f t="shared" si="5"/>
        <v/>
      </c>
      <c r="V1014" s="264" t="str">
        <f t="shared" si="6"/>
        <v/>
      </c>
      <c r="W1014" s="267" t="str">
        <f t="shared" si="8"/>
        <v/>
      </c>
      <c r="X1014" s="264" t="str">
        <f t="shared" si="7"/>
        <v/>
      </c>
    </row>
    <row r="1015" ht="15.75" customHeight="1">
      <c r="A1015" s="258"/>
      <c r="B1015" s="258"/>
      <c r="C1015" s="269"/>
      <c r="D1015" s="258"/>
      <c r="E1015" s="258"/>
      <c r="F1015" s="258"/>
      <c r="G1015" s="258"/>
      <c r="H1015" s="271"/>
      <c r="I1015" s="258"/>
      <c r="J1015" s="272"/>
      <c r="K1015" s="260"/>
      <c r="L1015" s="261"/>
      <c r="M1015" s="262" t="str">
        <f t="shared" si="1"/>
        <v/>
      </c>
      <c r="N1015" s="263" t="str">
        <f t="shared" si="2"/>
        <v/>
      </c>
      <c r="O1015" s="264" t="str">
        <f t="shared" si="3"/>
        <v/>
      </c>
      <c r="P1015" s="265" t="str">
        <f>IFERROR(__xludf.DUMMYFUNCTION("IF(ISBLANK(A1015),"""",IFERROR(IF(H1015=""Sell"",VLOOKUP(9^99,FILTER({ROW(P$2:P1014),P$2:P1014},D$2:D1014=D1015),2),(VLOOKUP(9^99,FILTER({ROW(P$2:P1014),P$2:P1014},D$2:D1014=D1015),2)*VLOOKUP(9^99,FILTER({ROW(O$2:O1014),O$2:O1014},D$2:D1014=D1015),2)-N101"&amp;"5)/O1015),J1015))"),"")</f>
        <v/>
      </c>
      <c r="Q1015" s="264" t="str">
        <f>IFERROR(__xludf.DUMMYFUNCTION("IFERROR(IF(F1015=""Crypto"",B1015,(IF(ISBLANK(D1015),"""",IF(D1015=""Cash"",B1015,IF(GOOGLEFINANCE(D1015,""CURRENCY"")=""GBX"",""GBP"",GOOGLEFINANCE(D1015,""CURRENCY"")))))),B1015)"),"")</f>
        <v/>
      </c>
      <c r="R1015" s="263" t="str">
        <f>IFERROR(__xludf.DUMMYFUNCTION("IF(ISBLANK(A1015),"""",IFERROR(IF(OR(Q1015=""GPB"",Q1015=""ZAR""),IF(Q1015=Dashboard!$L$1,K1015,(K1015*GOOGLEFINANCE(""CURRENCY:""&amp;Q1015&amp;""""&amp;Dashboard!$L$1&amp;""""))/100),IF(Q1015=Dashboard!$L$1,K1015,K1015*GOOGLEFINANCE(""CURRENCY:""&amp;Q1015&amp;""""&amp;Dashboard!$"&amp;"L$1&amp;""""))),K1015))"),"")</f>
        <v/>
      </c>
      <c r="S1015" s="266" t="str">
        <f>IFERROR(__xludf.DUMMYFUNCTION("IF(ISBLANK(A1015),"""",IFERROR(IF(OR(Q1015=""GPB"",Q1015=""ZAR""),IF(Q1015=Dashboard!$L$1,M1015,(M1015*GOOGLEFINANCE(""CURRENCY:""&amp;Q1015&amp;""""&amp;Dashboard!$L$1&amp;""""))/100),IF(Q1015=Dashboard!$L$1,M1015,M1015*GOOGLEFINANCE(""CURRENCY:""&amp;Q1015&amp;""""&amp;Dashboard!$"&amp;"L$1&amp;""""))),M1015))"),"")</f>
        <v/>
      </c>
      <c r="T1015" s="264" t="str">
        <f t="shared" si="4"/>
        <v/>
      </c>
      <c r="U1015" s="264" t="str">
        <f t="shared" si="5"/>
        <v/>
      </c>
      <c r="V1015" s="264" t="str">
        <f t="shared" si="6"/>
        <v/>
      </c>
      <c r="W1015" s="267" t="str">
        <f t="shared" si="8"/>
        <v/>
      </c>
      <c r="X1015" s="264" t="str">
        <f t="shared" si="7"/>
        <v/>
      </c>
    </row>
    <row r="1016" ht="15.75" customHeight="1">
      <c r="A1016" s="258"/>
      <c r="B1016" s="258"/>
      <c r="C1016" s="269"/>
      <c r="D1016" s="258"/>
      <c r="E1016" s="258"/>
      <c r="F1016" s="258"/>
      <c r="G1016" s="258"/>
      <c r="H1016" s="271"/>
      <c r="I1016" s="258"/>
      <c r="J1016" s="272"/>
      <c r="K1016" s="260"/>
      <c r="L1016" s="261"/>
      <c r="M1016" s="262" t="str">
        <f t="shared" si="1"/>
        <v/>
      </c>
      <c r="N1016" s="263" t="str">
        <f t="shared" si="2"/>
        <v/>
      </c>
      <c r="O1016" s="264" t="str">
        <f t="shared" si="3"/>
        <v/>
      </c>
      <c r="P1016" s="265" t="str">
        <f>IFERROR(__xludf.DUMMYFUNCTION("IF(ISBLANK(A1016),"""",IFERROR(IF(H1016=""Sell"",VLOOKUP(9^99,FILTER({ROW(P$2:P1015),P$2:P1015},D$2:D1015=D1016),2),(VLOOKUP(9^99,FILTER({ROW(P$2:P1015),P$2:P1015},D$2:D1015=D1016),2)*VLOOKUP(9^99,FILTER({ROW(O$2:O1015),O$2:O1015},D$2:D1015=D1016),2)-N101"&amp;"6)/O1016),J1016))"),"")</f>
        <v/>
      </c>
      <c r="Q1016" s="264" t="str">
        <f>IFERROR(__xludf.DUMMYFUNCTION("IFERROR(IF(F1016=""Crypto"",B1016,(IF(ISBLANK(D1016),"""",IF(D1016=""Cash"",B1016,IF(GOOGLEFINANCE(D1016,""CURRENCY"")=""GBX"",""GBP"",GOOGLEFINANCE(D1016,""CURRENCY"")))))),B1016)"),"")</f>
        <v/>
      </c>
      <c r="R1016" s="263" t="str">
        <f>IFERROR(__xludf.DUMMYFUNCTION("IF(ISBLANK(A1016),"""",IFERROR(IF(OR(Q1016=""GPB"",Q1016=""ZAR""),IF(Q1016=Dashboard!$L$1,K1016,(K1016*GOOGLEFINANCE(""CURRENCY:""&amp;Q1016&amp;""""&amp;Dashboard!$L$1&amp;""""))/100),IF(Q1016=Dashboard!$L$1,K1016,K1016*GOOGLEFINANCE(""CURRENCY:""&amp;Q1016&amp;""""&amp;Dashboard!$"&amp;"L$1&amp;""""))),K1016))"),"")</f>
        <v/>
      </c>
      <c r="S1016" s="266" t="str">
        <f>IFERROR(__xludf.DUMMYFUNCTION("IF(ISBLANK(A1016),"""",IFERROR(IF(OR(Q1016=""GPB"",Q1016=""ZAR""),IF(Q1016=Dashboard!$L$1,M1016,(M1016*GOOGLEFINANCE(""CURRENCY:""&amp;Q1016&amp;""""&amp;Dashboard!$L$1&amp;""""))/100),IF(Q1016=Dashboard!$L$1,M1016,M1016*GOOGLEFINANCE(""CURRENCY:""&amp;Q1016&amp;""""&amp;Dashboard!$"&amp;"L$1&amp;""""))),M1016))"),"")</f>
        <v/>
      </c>
      <c r="T1016" s="264" t="str">
        <f t="shared" si="4"/>
        <v/>
      </c>
      <c r="U1016" s="264" t="str">
        <f t="shared" si="5"/>
        <v/>
      </c>
      <c r="V1016" s="264" t="str">
        <f t="shared" si="6"/>
        <v/>
      </c>
      <c r="W1016" s="267" t="str">
        <f t="shared" si="8"/>
        <v/>
      </c>
      <c r="X1016" s="264" t="str">
        <f t="shared" si="7"/>
        <v/>
      </c>
    </row>
    <row r="1017" ht="15.75" customHeight="1">
      <c r="A1017" s="258"/>
      <c r="B1017" s="258"/>
      <c r="C1017" s="269"/>
      <c r="D1017" s="258"/>
      <c r="E1017" s="258"/>
      <c r="F1017" s="258"/>
      <c r="G1017" s="258"/>
      <c r="H1017" s="271"/>
      <c r="I1017" s="258"/>
      <c r="J1017" s="272"/>
      <c r="K1017" s="260"/>
      <c r="L1017" s="261"/>
      <c r="M1017" s="262" t="str">
        <f t="shared" si="1"/>
        <v/>
      </c>
      <c r="N1017" s="263" t="str">
        <f t="shared" si="2"/>
        <v/>
      </c>
      <c r="O1017" s="264" t="str">
        <f t="shared" si="3"/>
        <v/>
      </c>
      <c r="P1017" s="265" t="str">
        <f>IFERROR(__xludf.DUMMYFUNCTION("IF(ISBLANK(A1017),"""",IFERROR(IF(H1017=""Sell"",VLOOKUP(9^99,FILTER({ROW(P$2:P1016),P$2:P1016},D$2:D1016=D1017),2),(VLOOKUP(9^99,FILTER({ROW(P$2:P1016),P$2:P1016},D$2:D1016=D1017),2)*VLOOKUP(9^99,FILTER({ROW(O$2:O1016),O$2:O1016},D$2:D1016=D1017),2)-N101"&amp;"7)/O1017),J1017))"),"")</f>
        <v/>
      </c>
      <c r="Q1017" s="264" t="str">
        <f>IFERROR(__xludf.DUMMYFUNCTION("IFERROR(IF(F1017=""Crypto"",B1017,(IF(ISBLANK(D1017),"""",IF(D1017=""Cash"",B1017,IF(GOOGLEFINANCE(D1017,""CURRENCY"")=""GBX"",""GBP"",GOOGLEFINANCE(D1017,""CURRENCY"")))))),B1017)"),"")</f>
        <v/>
      </c>
      <c r="R1017" s="263" t="str">
        <f>IFERROR(__xludf.DUMMYFUNCTION("IF(ISBLANK(A1017),"""",IFERROR(IF(OR(Q1017=""GPB"",Q1017=""ZAR""),IF(Q1017=Dashboard!$L$1,K1017,(K1017*GOOGLEFINANCE(""CURRENCY:""&amp;Q1017&amp;""""&amp;Dashboard!$L$1&amp;""""))/100),IF(Q1017=Dashboard!$L$1,K1017,K1017*GOOGLEFINANCE(""CURRENCY:""&amp;Q1017&amp;""""&amp;Dashboard!$"&amp;"L$1&amp;""""))),K1017))"),"")</f>
        <v/>
      </c>
      <c r="S1017" s="266" t="str">
        <f>IFERROR(__xludf.DUMMYFUNCTION("IF(ISBLANK(A1017),"""",IFERROR(IF(OR(Q1017=""GPB"",Q1017=""ZAR""),IF(Q1017=Dashboard!$L$1,M1017,(M1017*GOOGLEFINANCE(""CURRENCY:""&amp;Q1017&amp;""""&amp;Dashboard!$L$1&amp;""""))/100),IF(Q1017=Dashboard!$L$1,M1017,M1017*GOOGLEFINANCE(""CURRENCY:""&amp;Q1017&amp;""""&amp;Dashboard!$"&amp;"L$1&amp;""""))),M1017))"),"")</f>
        <v/>
      </c>
      <c r="T1017" s="264" t="str">
        <f t="shared" si="4"/>
        <v/>
      </c>
      <c r="U1017" s="264" t="str">
        <f t="shared" si="5"/>
        <v/>
      </c>
      <c r="V1017" s="264" t="str">
        <f t="shared" si="6"/>
        <v/>
      </c>
      <c r="W1017" s="267" t="str">
        <f t="shared" si="8"/>
        <v/>
      </c>
      <c r="X1017" s="264" t="str">
        <f t="shared" si="7"/>
        <v/>
      </c>
    </row>
    <row r="1018" ht="15.75" customHeight="1">
      <c r="A1018" s="258"/>
      <c r="B1018" s="258"/>
      <c r="C1018" s="269"/>
      <c r="D1018" s="258"/>
      <c r="E1018" s="258"/>
      <c r="F1018" s="258"/>
      <c r="G1018" s="258"/>
      <c r="H1018" s="271"/>
      <c r="I1018" s="258"/>
      <c r="J1018" s="272"/>
      <c r="K1018" s="260"/>
      <c r="L1018" s="261"/>
      <c r="M1018" s="262" t="str">
        <f t="shared" si="1"/>
        <v/>
      </c>
      <c r="N1018" s="263" t="str">
        <f t="shared" si="2"/>
        <v/>
      </c>
      <c r="O1018" s="264" t="str">
        <f t="shared" si="3"/>
        <v/>
      </c>
      <c r="P1018" s="265" t="str">
        <f>IFERROR(__xludf.DUMMYFUNCTION("IF(ISBLANK(A1018),"""",IFERROR(IF(H1018=""Sell"",VLOOKUP(9^99,FILTER({ROW(P$2:P1017),P$2:P1017},D$2:D1017=D1018),2),(VLOOKUP(9^99,FILTER({ROW(P$2:P1017),P$2:P1017},D$2:D1017=D1018),2)*VLOOKUP(9^99,FILTER({ROW(O$2:O1017),O$2:O1017},D$2:D1017=D1018),2)-N101"&amp;"8)/O1018),J1018))"),"")</f>
        <v/>
      </c>
      <c r="Q1018" s="264" t="str">
        <f>IFERROR(__xludf.DUMMYFUNCTION("IFERROR(IF(F1018=""Crypto"",B1018,(IF(ISBLANK(D1018),"""",IF(D1018=""Cash"",B1018,IF(GOOGLEFINANCE(D1018,""CURRENCY"")=""GBX"",""GBP"",GOOGLEFINANCE(D1018,""CURRENCY"")))))),B1018)"),"")</f>
        <v/>
      </c>
      <c r="R1018" s="263" t="str">
        <f>IFERROR(__xludf.DUMMYFUNCTION("IF(ISBLANK(A1018),"""",IFERROR(IF(OR(Q1018=""GPB"",Q1018=""ZAR""),IF(Q1018=Dashboard!$L$1,K1018,(K1018*GOOGLEFINANCE(""CURRENCY:""&amp;Q1018&amp;""""&amp;Dashboard!$L$1&amp;""""))/100),IF(Q1018=Dashboard!$L$1,K1018,K1018*GOOGLEFINANCE(""CURRENCY:""&amp;Q1018&amp;""""&amp;Dashboard!$"&amp;"L$1&amp;""""))),K1018))"),"")</f>
        <v/>
      </c>
      <c r="S1018" s="266" t="str">
        <f>IFERROR(__xludf.DUMMYFUNCTION("IF(ISBLANK(A1018),"""",IFERROR(IF(OR(Q1018=""GPB"",Q1018=""ZAR""),IF(Q1018=Dashboard!$L$1,M1018,(M1018*GOOGLEFINANCE(""CURRENCY:""&amp;Q1018&amp;""""&amp;Dashboard!$L$1&amp;""""))/100),IF(Q1018=Dashboard!$L$1,M1018,M1018*GOOGLEFINANCE(""CURRENCY:""&amp;Q1018&amp;""""&amp;Dashboard!$"&amp;"L$1&amp;""""))),M1018))"),"")</f>
        <v/>
      </c>
      <c r="T1018" s="264" t="str">
        <f t="shared" si="4"/>
        <v/>
      </c>
      <c r="U1018" s="264" t="str">
        <f t="shared" si="5"/>
        <v/>
      </c>
      <c r="V1018" s="264" t="str">
        <f t="shared" si="6"/>
        <v/>
      </c>
      <c r="W1018" s="267" t="str">
        <f t="shared" si="8"/>
        <v/>
      </c>
      <c r="X1018" s="264" t="str">
        <f t="shared" si="7"/>
        <v/>
      </c>
    </row>
    <row r="1019" ht="15.75" customHeight="1">
      <c r="A1019" s="258"/>
      <c r="B1019" s="258"/>
      <c r="C1019" s="269"/>
      <c r="D1019" s="258"/>
      <c r="E1019" s="258"/>
      <c r="F1019" s="258"/>
      <c r="G1019" s="258"/>
      <c r="H1019" s="271"/>
      <c r="I1019" s="258"/>
      <c r="J1019" s="272"/>
      <c r="K1019" s="260"/>
      <c r="L1019" s="261"/>
      <c r="M1019" s="262" t="str">
        <f t="shared" si="1"/>
        <v/>
      </c>
      <c r="N1019" s="263" t="str">
        <f t="shared" si="2"/>
        <v/>
      </c>
      <c r="O1019" s="264" t="str">
        <f t="shared" si="3"/>
        <v/>
      </c>
      <c r="P1019" s="265" t="str">
        <f>IFERROR(__xludf.DUMMYFUNCTION("IF(ISBLANK(A1019),"""",IFERROR(IF(H1019=""Sell"",VLOOKUP(9^99,FILTER({ROW(P$2:P1018),P$2:P1018},D$2:D1018=D1019),2),(VLOOKUP(9^99,FILTER({ROW(P$2:P1018),P$2:P1018},D$2:D1018=D1019),2)*VLOOKUP(9^99,FILTER({ROW(O$2:O1018),O$2:O1018},D$2:D1018=D1019),2)-N101"&amp;"9)/O1019),J1019))"),"")</f>
        <v/>
      </c>
      <c r="Q1019" s="264" t="str">
        <f>IFERROR(__xludf.DUMMYFUNCTION("IFERROR(IF(F1019=""Crypto"",B1019,(IF(ISBLANK(D1019),"""",IF(D1019=""Cash"",B1019,IF(GOOGLEFINANCE(D1019,""CURRENCY"")=""GBX"",""GBP"",GOOGLEFINANCE(D1019,""CURRENCY"")))))),B1019)"),"")</f>
        <v/>
      </c>
      <c r="R1019" s="263" t="str">
        <f>IFERROR(__xludf.DUMMYFUNCTION("IF(ISBLANK(A1019),"""",IFERROR(IF(OR(Q1019=""GPB"",Q1019=""ZAR""),IF(Q1019=Dashboard!$L$1,K1019,(K1019*GOOGLEFINANCE(""CURRENCY:""&amp;Q1019&amp;""""&amp;Dashboard!$L$1&amp;""""))/100),IF(Q1019=Dashboard!$L$1,K1019,K1019*GOOGLEFINANCE(""CURRENCY:""&amp;Q1019&amp;""""&amp;Dashboard!$"&amp;"L$1&amp;""""))),K1019))"),"")</f>
        <v/>
      </c>
      <c r="S1019" s="266" t="str">
        <f>IFERROR(__xludf.DUMMYFUNCTION("IF(ISBLANK(A1019),"""",IFERROR(IF(OR(Q1019=""GPB"",Q1019=""ZAR""),IF(Q1019=Dashboard!$L$1,M1019,(M1019*GOOGLEFINANCE(""CURRENCY:""&amp;Q1019&amp;""""&amp;Dashboard!$L$1&amp;""""))/100),IF(Q1019=Dashboard!$L$1,M1019,M1019*GOOGLEFINANCE(""CURRENCY:""&amp;Q1019&amp;""""&amp;Dashboard!$"&amp;"L$1&amp;""""))),M1019))"),"")</f>
        <v/>
      </c>
      <c r="T1019" s="264" t="str">
        <f t="shared" si="4"/>
        <v/>
      </c>
      <c r="U1019" s="264" t="str">
        <f t="shared" si="5"/>
        <v/>
      </c>
      <c r="V1019" s="264" t="str">
        <f t="shared" si="6"/>
        <v/>
      </c>
      <c r="W1019" s="267" t="str">
        <f t="shared" si="8"/>
        <v/>
      </c>
      <c r="X1019" s="264" t="str">
        <f t="shared" si="7"/>
        <v/>
      </c>
    </row>
    <row r="1020" ht="15.75" customHeight="1">
      <c r="A1020" s="258"/>
      <c r="B1020" s="258"/>
      <c r="C1020" s="269"/>
      <c r="D1020" s="258"/>
      <c r="E1020" s="258"/>
      <c r="F1020" s="258"/>
      <c r="G1020" s="258"/>
      <c r="H1020" s="271"/>
      <c r="I1020" s="258"/>
      <c r="J1020" s="272"/>
      <c r="K1020" s="260"/>
      <c r="L1020" s="261"/>
      <c r="M1020" s="262" t="str">
        <f t="shared" si="1"/>
        <v/>
      </c>
      <c r="N1020" s="263" t="str">
        <f t="shared" si="2"/>
        <v/>
      </c>
      <c r="O1020" s="264" t="str">
        <f t="shared" si="3"/>
        <v/>
      </c>
      <c r="P1020" s="265" t="str">
        <f>IFERROR(__xludf.DUMMYFUNCTION("IF(ISBLANK(A1020),"""",IFERROR(IF(H1020=""Sell"",VLOOKUP(9^99,FILTER({ROW(P$2:P1019),P$2:P1019},D$2:D1019=D1020),2),(VLOOKUP(9^99,FILTER({ROW(P$2:P1019),P$2:P1019},D$2:D1019=D1020),2)*VLOOKUP(9^99,FILTER({ROW(O$2:O1019),O$2:O1019},D$2:D1019=D1020),2)-N102"&amp;"0)/O1020),J1020))"),"")</f>
        <v/>
      </c>
      <c r="Q1020" s="264" t="str">
        <f>IFERROR(__xludf.DUMMYFUNCTION("IFERROR(IF(F1020=""Crypto"",B1020,(IF(ISBLANK(D1020),"""",IF(D1020=""Cash"",B1020,IF(GOOGLEFINANCE(D1020,""CURRENCY"")=""GBX"",""GBP"",GOOGLEFINANCE(D1020,""CURRENCY"")))))),B1020)"),"")</f>
        <v/>
      </c>
      <c r="R1020" s="263" t="str">
        <f>IFERROR(__xludf.DUMMYFUNCTION("IF(ISBLANK(A1020),"""",IFERROR(IF(OR(Q1020=""GPB"",Q1020=""ZAR""),IF(Q1020=Dashboard!$L$1,K1020,(K1020*GOOGLEFINANCE(""CURRENCY:""&amp;Q1020&amp;""""&amp;Dashboard!$L$1&amp;""""))/100),IF(Q1020=Dashboard!$L$1,K1020,K1020*GOOGLEFINANCE(""CURRENCY:""&amp;Q1020&amp;""""&amp;Dashboard!$"&amp;"L$1&amp;""""))),K1020))"),"")</f>
        <v/>
      </c>
      <c r="S1020" s="266" t="str">
        <f>IFERROR(__xludf.DUMMYFUNCTION("IF(ISBLANK(A1020),"""",IFERROR(IF(OR(Q1020=""GPB"",Q1020=""ZAR""),IF(Q1020=Dashboard!$L$1,M1020,(M1020*GOOGLEFINANCE(""CURRENCY:""&amp;Q1020&amp;""""&amp;Dashboard!$L$1&amp;""""))/100),IF(Q1020=Dashboard!$L$1,M1020,M1020*GOOGLEFINANCE(""CURRENCY:""&amp;Q1020&amp;""""&amp;Dashboard!$"&amp;"L$1&amp;""""))),M1020))"),"")</f>
        <v/>
      </c>
      <c r="T1020" s="264" t="str">
        <f t="shared" si="4"/>
        <v/>
      </c>
      <c r="U1020" s="264" t="str">
        <f t="shared" si="5"/>
        <v/>
      </c>
      <c r="V1020" s="264" t="str">
        <f t="shared" si="6"/>
        <v/>
      </c>
      <c r="W1020" s="267" t="str">
        <f t="shared" si="8"/>
        <v/>
      </c>
      <c r="X1020" s="264" t="str">
        <f t="shared" si="7"/>
        <v/>
      </c>
    </row>
    <row r="1021" ht="15.75" customHeight="1">
      <c r="A1021" s="258"/>
      <c r="B1021" s="258"/>
      <c r="C1021" s="269"/>
      <c r="D1021" s="258"/>
      <c r="E1021" s="258"/>
      <c r="F1021" s="258"/>
      <c r="G1021" s="258"/>
      <c r="H1021" s="271"/>
      <c r="I1021" s="258"/>
      <c r="J1021" s="272"/>
      <c r="K1021" s="260"/>
      <c r="L1021" s="261"/>
      <c r="M1021" s="262" t="str">
        <f t="shared" si="1"/>
        <v/>
      </c>
      <c r="N1021" s="263" t="str">
        <f t="shared" si="2"/>
        <v/>
      </c>
      <c r="O1021" s="264" t="str">
        <f t="shared" si="3"/>
        <v/>
      </c>
      <c r="P1021" s="265" t="str">
        <f>IFERROR(__xludf.DUMMYFUNCTION("IF(ISBLANK(A1021),"""",IFERROR(IF(H1021=""Sell"",VLOOKUP(9^99,FILTER({ROW(P$2:P1020),P$2:P1020},D$2:D1020=D1021),2),(VLOOKUP(9^99,FILTER({ROW(P$2:P1020),P$2:P1020},D$2:D1020=D1021),2)*VLOOKUP(9^99,FILTER({ROW(O$2:O1020),O$2:O1020},D$2:D1020=D1021),2)-N102"&amp;"1)/O1021),J1021))"),"")</f>
        <v/>
      </c>
      <c r="Q1021" s="264" t="str">
        <f>IFERROR(__xludf.DUMMYFUNCTION("IFERROR(IF(F1021=""Crypto"",B1021,(IF(ISBLANK(D1021),"""",IF(D1021=""Cash"",B1021,IF(GOOGLEFINANCE(D1021,""CURRENCY"")=""GBX"",""GBP"",GOOGLEFINANCE(D1021,""CURRENCY"")))))),B1021)"),"")</f>
        <v/>
      </c>
      <c r="R1021" s="263" t="str">
        <f>IFERROR(__xludf.DUMMYFUNCTION("IF(ISBLANK(A1021),"""",IFERROR(IF(OR(Q1021=""GPB"",Q1021=""ZAR""),IF(Q1021=Dashboard!$L$1,K1021,(K1021*GOOGLEFINANCE(""CURRENCY:""&amp;Q1021&amp;""""&amp;Dashboard!$L$1&amp;""""))/100),IF(Q1021=Dashboard!$L$1,K1021,K1021*GOOGLEFINANCE(""CURRENCY:""&amp;Q1021&amp;""""&amp;Dashboard!$"&amp;"L$1&amp;""""))),K1021))"),"")</f>
        <v/>
      </c>
      <c r="S1021" s="266" t="str">
        <f>IFERROR(__xludf.DUMMYFUNCTION("IF(ISBLANK(A1021),"""",IFERROR(IF(OR(Q1021=""GPB"",Q1021=""ZAR""),IF(Q1021=Dashboard!$L$1,M1021,(M1021*GOOGLEFINANCE(""CURRENCY:""&amp;Q1021&amp;""""&amp;Dashboard!$L$1&amp;""""))/100),IF(Q1021=Dashboard!$L$1,M1021,M1021*GOOGLEFINANCE(""CURRENCY:""&amp;Q1021&amp;""""&amp;Dashboard!$"&amp;"L$1&amp;""""))),M1021))"),"")</f>
        <v/>
      </c>
      <c r="T1021" s="264" t="str">
        <f t="shared" si="4"/>
        <v/>
      </c>
      <c r="U1021" s="264" t="str">
        <f t="shared" si="5"/>
        <v/>
      </c>
      <c r="V1021" s="264" t="str">
        <f t="shared" si="6"/>
        <v/>
      </c>
      <c r="W1021" s="267" t="str">
        <f t="shared" si="8"/>
        <v/>
      </c>
      <c r="X1021" s="264" t="str">
        <f t="shared" si="7"/>
        <v/>
      </c>
    </row>
    <row r="1022" ht="15.75" customHeight="1">
      <c r="A1022" s="258"/>
      <c r="B1022" s="258"/>
      <c r="C1022" s="269"/>
      <c r="D1022" s="258"/>
      <c r="E1022" s="258"/>
      <c r="F1022" s="258"/>
      <c r="G1022" s="258"/>
      <c r="H1022" s="271"/>
      <c r="I1022" s="258"/>
      <c r="J1022" s="272"/>
      <c r="K1022" s="260"/>
      <c r="L1022" s="261"/>
      <c r="M1022" s="262" t="str">
        <f t="shared" si="1"/>
        <v/>
      </c>
      <c r="N1022" s="263" t="str">
        <f t="shared" si="2"/>
        <v/>
      </c>
      <c r="O1022" s="264" t="str">
        <f t="shared" si="3"/>
        <v/>
      </c>
      <c r="P1022" s="265" t="str">
        <f>IFERROR(__xludf.DUMMYFUNCTION("IF(ISBLANK(A1022),"""",IFERROR(IF(H1022=""Sell"",VLOOKUP(9^99,FILTER({ROW(P$2:P1021),P$2:P1021},D$2:D1021=D1022),2),(VLOOKUP(9^99,FILTER({ROW(P$2:P1021),P$2:P1021},D$2:D1021=D1022),2)*VLOOKUP(9^99,FILTER({ROW(O$2:O1021),O$2:O1021},D$2:D1021=D1022),2)-N102"&amp;"2)/O1022),J1022))"),"")</f>
        <v/>
      </c>
      <c r="Q1022" s="264" t="str">
        <f>IFERROR(__xludf.DUMMYFUNCTION("IFERROR(IF(F1022=""Crypto"",B1022,(IF(ISBLANK(D1022),"""",IF(D1022=""Cash"",B1022,IF(GOOGLEFINANCE(D1022,""CURRENCY"")=""GBX"",""GBP"",GOOGLEFINANCE(D1022,""CURRENCY"")))))),B1022)"),"")</f>
        <v/>
      </c>
      <c r="R1022" s="263" t="str">
        <f>IFERROR(__xludf.DUMMYFUNCTION("IF(ISBLANK(A1022),"""",IFERROR(IF(OR(Q1022=""GPB"",Q1022=""ZAR""),IF(Q1022=Dashboard!$L$1,K1022,(K1022*GOOGLEFINANCE(""CURRENCY:""&amp;Q1022&amp;""""&amp;Dashboard!$L$1&amp;""""))/100),IF(Q1022=Dashboard!$L$1,K1022,K1022*GOOGLEFINANCE(""CURRENCY:""&amp;Q1022&amp;""""&amp;Dashboard!$"&amp;"L$1&amp;""""))),K1022))"),"")</f>
        <v/>
      </c>
      <c r="S1022" s="266" t="str">
        <f>IFERROR(__xludf.DUMMYFUNCTION("IF(ISBLANK(A1022),"""",IFERROR(IF(OR(Q1022=""GPB"",Q1022=""ZAR""),IF(Q1022=Dashboard!$L$1,M1022,(M1022*GOOGLEFINANCE(""CURRENCY:""&amp;Q1022&amp;""""&amp;Dashboard!$L$1&amp;""""))/100),IF(Q1022=Dashboard!$L$1,M1022,M1022*GOOGLEFINANCE(""CURRENCY:""&amp;Q1022&amp;""""&amp;Dashboard!$"&amp;"L$1&amp;""""))),M1022))"),"")</f>
        <v/>
      </c>
      <c r="T1022" s="264" t="str">
        <f t="shared" si="4"/>
        <v/>
      </c>
      <c r="U1022" s="264" t="str">
        <f t="shared" si="5"/>
        <v/>
      </c>
      <c r="V1022" s="264" t="str">
        <f t="shared" si="6"/>
        <v/>
      </c>
      <c r="W1022" s="267" t="str">
        <f t="shared" si="8"/>
        <v/>
      </c>
      <c r="X1022" s="264" t="str">
        <f t="shared" si="7"/>
        <v/>
      </c>
    </row>
    <row r="1023" ht="15.75" customHeight="1">
      <c r="A1023" s="258"/>
      <c r="B1023" s="258"/>
      <c r="C1023" s="269"/>
      <c r="D1023" s="258"/>
      <c r="E1023" s="258"/>
      <c r="F1023" s="258"/>
      <c r="G1023" s="258"/>
      <c r="H1023" s="271"/>
      <c r="I1023" s="258"/>
      <c r="J1023" s="272"/>
      <c r="K1023" s="260"/>
      <c r="L1023" s="261"/>
      <c r="M1023" s="262" t="str">
        <f t="shared" si="1"/>
        <v/>
      </c>
      <c r="N1023" s="263" t="str">
        <f t="shared" si="2"/>
        <v/>
      </c>
      <c r="O1023" s="264" t="str">
        <f t="shared" si="3"/>
        <v/>
      </c>
      <c r="P1023" s="265" t="str">
        <f>IFERROR(__xludf.DUMMYFUNCTION("IF(ISBLANK(A1023),"""",IFERROR(IF(H1023=""Sell"",VLOOKUP(9^99,FILTER({ROW(P$2:P1022),P$2:P1022},D$2:D1022=D1023),2),(VLOOKUP(9^99,FILTER({ROW(P$2:P1022),P$2:P1022},D$2:D1022=D1023),2)*VLOOKUP(9^99,FILTER({ROW(O$2:O1022),O$2:O1022},D$2:D1022=D1023),2)-N102"&amp;"3)/O1023),J1023))"),"")</f>
        <v/>
      </c>
      <c r="Q1023" s="264" t="str">
        <f>IFERROR(__xludf.DUMMYFUNCTION("IFERROR(IF(F1023=""Crypto"",B1023,(IF(ISBLANK(D1023),"""",IF(D1023=""Cash"",B1023,IF(GOOGLEFINANCE(D1023,""CURRENCY"")=""GBX"",""GBP"",GOOGLEFINANCE(D1023,""CURRENCY"")))))),B1023)"),"")</f>
        <v/>
      </c>
      <c r="R1023" s="263" t="str">
        <f>IFERROR(__xludf.DUMMYFUNCTION("IF(ISBLANK(A1023),"""",IFERROR(IF(OR(Q1023=""GPB"",Q1023=""ZAR""),IF(Q1023=Dashboard!$L$1,K1023,(K1023*GOOGLEFINANCE(""CURRENCY:""&amp;Q1023&amp;""""&amp;Dashboard!$L$1&amp;""""))/100),IF(Q1023=Dashboard!$L$1,K1023,K1023*GOOGLEFINANCE(""CURRENCY:""&amp;Q1023&amp;""""&amp;Dashboard!$"&amp;"L$1&amp;""""))),K1023))"),"")</f>
        <v/>
      </c>
      <c r="S1023" s="266" t="str">
        <f>IFERROR(__xludf.DUMMYFUNCTION("IF(ISBLANK(A1023),"""",IFERROR(IF(OR(Q1023=""GPB"",Q1023=""ZAR""),IF(Q1023=Dashboard!$L$1,M1023,(M1023*GOOGLEFINANCE(""CURRENCY:""&amp;Q1023&amp;""""&amp;Dashboard!$L$1&amp;""""))/100),IF(Q1023=Dashboard!$L$1,M1023,M1023*GOOGLEFINANCE(""CURRENCY:""&amp;Q1023&amp;""""&amp;Dashboard!$"&amp;"L$1&amp;""""))),M1023))"),"")</f>
        <v/>
      </c>
      <c r="T1023" s="264" t="str">
        <f t="shared" si="4"/>
        <v/>
      </c>
      <c r="U1023" s="264" t="str">
        <f t="shared" si="5"/>
        <v/>
      </c>
      <c r="V1023" s="264" t="str">
        <f t="shared" si="6"/>
        <v/>
      </c>
      <c r="W1023" s="267" t="str">
        <f t="shared" si="8"/>
        <v/>
      </c>
      <c r="X1023" s="264" t="str">
        <f t="shared" si="7"/>
        <v/>
      </c>
    </row>
    <row r="1024" ht="15.75" customHeight="1">
      <c r="A1024" s="258"/>
      <c r="B1024" s="258"/>
      <c r="C1024" s="269"/>
      <c r="D1024" s="258"/>
      <c r="E1024" s="258"/>
      <c r="F1024" s="258"/>
      <c r="G1024" s="258"/>
      <c r="H1024" s="271"/>
      <c r="I1024" s="258"/>
      <c r="J1024" s="272"/>
      <c r="K1024" s="260"/>
      <c r="L1024" s="261"/>
      <c r="M1024" s="262" t="str">
        <f t="shared" si="1"/>
        <v/>
      </c>
      <c r="N1024" s="263" t="str">
        <f t="shared" si="2"/>
        <v/>
      </c>
      <c r="O1024" s="264" t="str">
        <f t="shared" si="3"/>
        <v/>
      </c>
      <c r="P1024" s="265" t="str">
        <f>IFERROR(__xludf.DUMMYFUNCTION("IF(ISBLANK(A1024),"""",IFERROR(IF(H1024=""Sell"",VLOOKUP(9^99,FILTER({ROW(P$2:P1023),P$2:P1023},D$2:D1023=D1024),2),(VLOOKUP(9^99,FILTER({ROW(P$2:P1023),P$2:P1023},D$2:D1023=D1024),2)*VLOOKUP(9^99,FILTER({ROW(O$2:O1023),O$2:O1023},D$2:D1023=D1024),2)-N102"&amp;"4)/O1024),J1024))"),"")</f>
        <v/>
      </c>
      <c r="Q1024" s="264" t="str">
        <f>IFERROR(__xludf.DUMMYFUNCTION("IFERROR(IF(F1024=""Crypto"",B1024,(IF(ISBLANK(D1024),"""",IF(D1024=""Cash"",B1024,IF(GOOGLEFINANCE(D1024,""CURRENCY"")=""GBX"",""GBP"",GOOGLEFINANCE(D1024,""CURRENCY"")))))),B1024)"),"")</f>
        <v/>
      </c>
      <c r="R1024" s="263" t="str">
        <f>IFERROR(__xludf.DUMMYFUNCTION("IF(ISBLANK(A1024),"""",IFERROR(IF(OR(Q1024=""GPB"",Q1024=""ZAR""),IF(Q1024=Dashboard!$L$1,K1024,(K1024*GOOGLEFINANCE(""CURRENCY:""&amp;Q1024&amp;""""&amp;Dashboard!$L$1&amp;""""))/100),IF(Q1024=Dashboard!$L$1,K1024,K1024*GOOGLEFINANCE(""CURRENCY:""&amp;Q1024&amp;""""&amp;Dashboard!$"&amp;"L$1&amp;""""))),K1024))"),"")</f>
        <v/>
      </c>
      <c r="S1024" s="266" t="str">
        <f>IFERROR(__xludf.DUMMYFUNCTION("IF(ISBLANK(A1024),"""",IFERROR(IF(OR(Q1024=""GPB"",Q1024=""ZAR""),IF(Q1024=Dashboard!$L$1,M1024,(M1024*GOOGLEFINANCE(""CURRENCY:""&amp;Q1024&amp;""""&amp;Dashboard!$L$1&amp;""""))/100),IF(Q1024=Dashboard!$L$1,M1024,M1024*GOOGLEFINANCE(""CURRENCY:""&amp;Q1024&amp;""""&amp;Dashboard!$"&amp;"L$1&amp;""""))),M1024))"),"")</f>
        <v/>
      </c>
      <c r="T1024" s="264" t="str">
        <f t="shared" si="4"/>
        <v/>
      </c>
      <c r="U1024" s="264" t="str">
        <f t="shared" si="5"/>
        <v/>
      </c>
      <c r="V1024" s="264" t="str">
        <f t="shared" si="6"/>
        <v/>
      </c>
      <c r="W1024" s="267" t="str">
        <f t="shared" si="8"/>
        <v/>
      </c>
      <c r="X1024" s="264" t="str">
        <f t="shared" si="7"/>
        <v/>
      </c>
    </row>
    <row r="1025" ht="15.75" customHeight="1">
      <c r="A1025" s="258"/>
      <c r="B1025" s="258"/>
      <c r="C1025" s="269"/>
      <c r="D1025" s="258"/>
      <c r="E1025" s="258"/>
      <c r="F1025" s="258"/>
      <c r="G1025" s="258"/>
      <c r="H1025" s="271"/>
      <c r="I1025" s="258"/>
      <c r="J1025" s="272"/>
      <c r="K1025" s="260"/>
      <c r="L1025" s="261"/>
      <c r="M1025" s="262" t="str">
        <f t="shared" si="1"/>
        <v/>
      </c>
      <c r="N1025" s="263" t="str">
        <f t="shared" si="2"/>
        <v/>
      </c>
      <c r="O1025" s="264" t="str">
        <f t="shared" si="3"/>
        <v/>
      </c>
      <c r="P1025" s="265" t="str">
        <f>IFERROR(__xludf.DUMMYFUNCTION("IF(ISBLANK(A1025),"""",IFERROR(IF(H1025=""Sell"",VLOOKUP(9^99,FILTER({ROW(P$2:P1024),P$2:P1024},D$2:D1024=D1025),2),(VLOOKUP(9^99,FILTER({ROW(P$2:P1024),P$2:P1024},D$2:D1024=D1025),2)*VLOOKUP(9^99,FILTER({ROW(O$2:O1024),O$2:O1024},D$2:D1024=D1025),2)-N102"&amp;"5)/O1025),J1025))"),"")</f>
        <v/>
      </c>
      <c r="Q1025" s="264" t="str">
        <f>IFERROR(__xludf.DUMMYFUNCTION("IFERROR(IF(F1025=""Crypto"",B1025,(IF(ISBLANK(D1025),"""",IF(D1025=""Cash"",B1025,IF(GOOGLEFINANCE(D1025,""CURRENCY"")=""GBX"",""GBP"",GOOGLEFINANCE(D1025,""CURRENCY"")))))),B1025)"),"")</f>
        <v/>
      </c>
      <c r="R1025" s="263" t="str">
        <f>IFERROR(__xludf.DUMMYFUNCTION("IF(ISBLANK(A1025),"""",IFERROR(IF(OR(Q1025=""GPB"",Q1025=""ZAR""),IF(Q1025=Dashboard!$L$1,K1025,(K1025*GOOGLEFINANCE(""CURRENCY:""&amp;Q1025&amp;""""&amp;Dashboard!$L$1&amp;""""))/100),IF(Q1025=Dashboard!$L$1,K1025,K1025*GOOGLEFINANCE(""CURRENCY:""&amp;Q1025&amp;""""&amp;Dashboard!$"&amp;"L$1&amp;""""))),K1025))"),"")</f>
        <v/>
      </c>
      <c r="S1025" s="266" t="str">
        <f>IFERROR(__xludf.DUMMYFUNCTION("IF(ISBLANK(A1025),"""",IFERROR(IF(OR(Q1025=""GPB"",Q1025=""ZAR""),IF(Q1025=Dashboard!$L$1,M1025,(M1025*GOOGLEFINANCE(""CURRENCY:""&amp;Q1025&amp;""""&amp;Dashboard!$L$1&amp;""""))/100),IF(Q1025=Dashboard!$L$1,M1025,M1025*GOOGLEFINANCE(""CURRENCY:""&amp;Q1025&amp;""""&amp;Dashboard!$"&amp;"L$1&amp;""""))),M1025))"),"")</f>
        <v/>
      </c>
      <c r="T1025" s="264" t="str">
        <f t="shared" si="4"/>
        <v/>
      </c>
      <c r="U1025" s="264" t="str">
        <f t="shared" si="5"/>
        <v/>
      </c>
      <c r="V1025" s="264" t="str">
        <f t="shared" si="6"/>
        <v/>
      </c>
      <c r="W1025" s="267" t="str">
        <f t="shared" si="8"/>
        <v/>
      </c>
      <c r="X1025" s="264" t="str">
        <f t="shared" si="7"/>
        <v/>
      </c>
    </row>
    <row r="1026" ht="15.75" customHeight="1">
      <c r="A1026" s="258"/>
      <c r="B1026" s="258"/>
      <c r="C1026" s="269"/>
      <c r="D1026" s="258"/>
      <c r="E1026" s="258"/>
      <c r="F1026" s="258"/>
      <c r="G1026" s="258"/>
      <c r="H1026" s="271"/>
      <c r="I1026" s="258"/>
      <c r="J1026" s="272"/>
      <c r="K1026" s="260"/>
      <c r="L1026" s="261"/>
      <c r="M1026" s="262" t="str">
        <f t="shared" si="1"/>
        <v/>
      </c>
      <c r="N1026" s="263" t="str">
        <f t="shared" si="2"/>
        <v/>
      </c>
      <c r="O1026" s="264" t="str">
        <f t="shared" si="3"/>
        <v/>
      </c>
      <c r="P1026" s="265" t="str">
        <f>IFERROR(__xludf.DUMMYFUNCTION("IF(ISBLANK(A1026),"""",IFERROR(IF(H1026=""Sell"",VLOOKUP(9^99,FILTER({ROW(P$2:P1025),P$2:P1025},D$2:D1025=D1026),2),(VLOOKUP(9^99,FILTER({ROW(P$2:P1025),P$2:P1025},D$2:D1025=D1026),2)*VLOOKUP(9^99,FILTER({ROW(O$2:O1025),O$2:O1025},D$2:D1025=D1026),2)-N102"&amp;"6)/O1026),J1026))"),"")</f>
        <v/>
      </c>
      <c r="Q1026" s="264" t="str">
        <f>IFERROR(__xludf.DUMMYFUNCTION("IFERROR(IF(F1026=""Crypto"",B1026,(IF(ISBLANK(D1026),"""",IF(D1026=""Cash"",B1026,IF(GOOGLEFINANCE(D1026,""CURRENCY"")=""GBX"",""GBP"",GOOGLEFINANCE(D1026,""CURRENCY"")))))),B1026)"),"")</f>
        <v/>
      </c>
      <c r="R1026" s="263" t="str">
        <f>IFERROR(__xludf.DUMMYFUNCTION("IF(ISBLANK(A1026),"""",IFERROR(IF(OR(Q1026=""GPB"",Q1026=""ZAR""),IF(Q1026=Dashboard!$L$1,K1026,(K1026*GOOGLEFINANCE(""CURRENCY:""&amp;Q1026&amp;""""&amp;Dashboard!$L$1&amp;""""))/100),IF(Q1026=Dashboard!$L$1,K1026,K1026*GOOGLEFINANCE(""CURRENCY:""&amp;Q1026&amp;""""&amp;Dashboard!$"&amp;"L$1&amp;""""))),K1026))"),"")</f>
        <v/>
      </c>
      <c r="S1026" s="266" t="str">
        <f>IFERROR(__xludf.DUMMYFUNCTION("IF(ISBLANK(A1026),"""",IFERROR(IF(OR(Q1026=""GPB"",Q1026=""ZAR""),IF(Q1026=Dashboard!$L$1,M1026,(M1026*GOOGLEFINANCE(""CURRENCY:""&amp;Q1026&amp;""""&amp;Dashboard!$L$1&amp;""""))/100),IF(Q1026=Dashboard!$L$1,M1026,M1026*GOOGLEFINANCE(""CURRENCY:""&amp;Q1026&amp;""""&amp;Dashboard!$"&amp;"L$1&amp;""""))),M1026))"),"")</f>
        <v/>
      </c>
      <c r="T1026" s="264" t="str">
        <f t="shared" si="4"/>
        <v/>
      </c>
      <c r="U1026" s="264" t="str">
        <f t="shared" si="5"/>
        <v/>
      </c>
      <c r="V1026" s="264" t="str">
        <f t="shared" si="6"/>
        <v/>
      </c>
      <c r="W1026" s="267" t="str">
        <f t="shared" si="8"/>
        <v/>
      </c>
      <c r="X1026" s="264" t="str">
        <f t="shared" si="7"/>
        <v/>
      </c>
    </row>
    <row r="1027" ht="15.75" customHeight="1">
      <c r="A1027" s="258"/>
      <c r="B1027" s="258"/>
      <c r="C1027" s="269"/>
      <c r="D1027" s="258"/>
      <c r="E1027" s="258"/>
      <c r="F1027" s="258"/>
      <c r="G1027" s="258"/>
      <c r="H1027" s="271"/>
      <c r="I1027" s="258"/>
      <c r="J1027" s="272"/>
      <c r="K1027" s="260"/>
      <c r="L1027" s="261"/>
      <c r="M1027" s="262" t="str">
        <f t="shared" si="1"/>
        <v/>
      </c>
      <c r="N1027" s="263" t="str">
        <f t="shared" si="2"/>
        <v/>
      </c>
      <c r="O1027" s="264" t="str">
        <f t="shared" si="3"/>
        <v/>
      </c>
      <c r="P1027" s="265" t="str">
        <f>IFERROR(__xludf.DUMMYFUNCTION("IF(ISBLANK(A1027),"""",IFERROR(IF(H1027=""Sell"",VLOOKUP(9^99,FILTER({ROW(P$2:P1026),P$2:P1026},D$2:D1026=D1027),2),(VLOOKUP(9^99,FILTER({ROW(P$2:P1026),P$2:P1026},D$2:D1026=D1027),2)*VLOOKUP(9^99,FILTER({ROW(O$2:O1026),O$2:O1026},D$2:D1026=D1027),2)-N102"&amp;"7)/O1027),J1027))"),"")</f>
        <v/>
      </c>
      <c r="Q1027" s="264" t="str">
        <f>IFERROR(__xludf.DUMMYFUNCTION("IFERROR(IF(F1027=""Crypto"",B1027,(IF(ISBLANK(D1027),"""",IF(D1027=""Cash"",B1027,IF(GOOGLEFINANCE(D1027,""CURRENCY"")=""GBX"",""GBP"",GOOGLEFINANCE(D1027,""CURRENCY"")))))),B1027)"),"")</f>
        <v/>
      </c>
      <c r="R1027" s="263" t="str">
        <f>IFERROR(__xludf.DUMMYFUNCTION("IF(ISBLANK(A1027),"""",IFERROR(IF(OR(Q1027=""GPB"",Q1027=""ZAR""),IF(Q1027=Dashboard!$L$1,K1027,(K1027*GOOGLEFINANCE(""CURRENCY:""&amp;Q1027&amp;""""&amp;Dashboard!$L$1&amp;""""))/100),IF(Q1027=Dashboard!$L$1,K1027,K1027*GOOGLEFINANCE(""CURRENCY:""&amp;Q1027&amp;""""&amp;Dashboard!$"&amp;"L$1&amp;""""))),K1027))"),"")</f>
        <v/>
      </c>
      <c r="S1027" s="266" t="str">
        <f>IFERROR(__xludf.DUMMYFUNCTION("IF(ISBLANK(A1027),"""",IFERROR(IF(OR(Q1027=""GPB"",Q1027=""ZAR""),IF(Q1027=Dashboard!$L$1,M1027,(M1027*GOOGLEFINANCE(""CURRENCY:""&amp;Q1027&amp;""""&amp;Dashboard!$L$1&amp;""""))/100),IF(Q1027=Dashboard!$L$1,M1027,M1027*GOOGLEFINANCE(""CURRENCY:""&amp;Q1027&amp;""""&amp;Dashboard!$"&amp;"L$1&amp;""""))),M1027))"),"")</f>
        <v/>
      </c>
      <c r="T1027" s="264" t="str">
        <f t="shared" si="4"/>
        <v/>
      </c>
      <c r="U1027" s="264" t="str">
        <f t="shared" si="5"/>
        <v/>
      </c>
      <c r="V1027" s="264" t="str">
        <f t="shared" si="6"/>
        <v/>
      </c>
      <c r="W1027" s="267" t="str">
        <f t="shared" si="8"/>
        <v/>
      </c>
      <c r="X1027" s="264" t="str">
        <f t="shared" si="7"/>
        <v/>
      </c>
    </row>
    <row r="1028" ht="15.75" customHeight="1">
      <c r="A1028" s="258"/>
      <c r="B1028" s="258"/>
      <c r="C1028" s="269"/>
      <c r="D1028" s="258"/>
      <c r="E1028" s="258"/>
      <c r="F1028" s="258"/>
      <c r="G1028" s="258"/>
      <c r="H1028" s="271"/>
      <c r="I1028" s="258"/>
      <c r="J1028" s="272"/>
      <c r="K1028" s="260"/>
      <c r="L1028" s="261"/>
      <c r="M1028" s="262" t="str">
        <f t="shared" si="1"/>
        <v/>
      </c>
      <c r="N1028" s="263" t="str">
        <f t="shared" si="2"/>
        <v/>
      </c>
      <c r="O1028" s="264" t="str">
        <f t="shared" si="3"/>
        <v/>
      </c>
      <c r="P1028" s="265" t="str">
        <f>IFERROR(__xludf.DUMMYFUNCTION("IF(ISBLANK(A1028),"""",IFERROR(IF(H1028=""Sell"",VLOOKUP(9^99,FILTER({ROW(P$2:P1027),P$2:P1027},D$2:D1027=D1028),2),(VLOOKUP(9^99,FILTER({ROW(P$2:P1027),P$2:P1027},D$2:D1027=D1028),2)*VLOOKUP(9^99,FILTER({ROW(O$2:O1027),O$2:O1027},D$2:D1027=D1028),2)-N102"&amp;"8)/O1028),J1028))"),"")</f>
        <v/>
      </c>
      <c r="Q1028" s="264" t="str">
        <f>IFERROR(__xludf.DUMMYFUNCTION("IFERROR(IF(F1028=""Crypto"",B1028,(IF(ISBLANK(D1028),"""",IF(D1028=""Cash"",B1028,IF(GOOGLEFINANCE(D1028,""CURRENCY"")=""GBX"",""GBP"",GOOGLEFINANCE(D1028,""CURRENCY"")))))),B1028)"),"")</f>
        <v/>
      </c>
      <c r="R1028" s="263" t="str">
        <f>IFERROR(__xludf.DUMMYFUNCTION("IF(ISBLANK(A1028),"""",IFERROR(IF(OR(Q1028=""GPB"",Q1028=""ZAR""),IF(Q1028=Dashboard!$L$1,K1028,(K1028*GOOGLEFINANCE(""CURRENCY:""&amp;Q1028&amp;""""&amp;Dashboard!$L$1&amp;""""))/100),IF(Q1028=Dashboard!$L$1,K1028,K1028*GOOGLEFINANCE(""CURRENCY:""&amp;Q1028&amp;""""&amp;Dashboard!$"&amp;"L$1&amp;""""))),K1028))"),"")</f>
        <v/>
      </c>
      <c r="S1028" s="266" t="str">
        <f>IFERROR(__xludf.DUMMYFUNCTION("IF(ISBLANK(A1028),"""",IFERROR(IF(OR(Q1028=""GPB"",Q1028=""ZAR""),IF(Q1028=Dashboard!$L$1,M1028,(M1028*GOOGLEFINANCE(""CURRENCY:""&amp;Q1028&amp;""""&amp;Dashboard!$L$1&amp;""""))/100),IF(Q1028=Dashboard!$L$1,M1028,M1028*GOOGLEFINANCE(""CURRENCY:""&amp;Q1028&amp;""""&amp;Dashboard!$"&amp;"L$1&amp;""""))),M1028))"),"")</f>
        <v/>
      </c>
      <c r="T1028" s="264" t="str">
        <f t="shared" si="4"/>
        <v/>
      </c>
      <c r="U1028" s="264" t="str">
        <f t="shared" si="5"/>
        <v/>
      </c>
      <c r="V1028" s="264" t="str">
        <f t="shared" si="6"/>
        <v/>
      </c>
      <c r="W1028" s="267" t="str">
        <f t="shared" si="8"/>
        <v/>
      </c>
      <c r="X1028" s="264" t="str">
        <f t="shared" si="7"/>
        <v/>
      </c>
    </row>
    <row r="1029" ht="15.75" customHeight="1">
      <c r="A1029" s="258"/>
      <c r="B1029" s="258"/>
      <c r="C1029" s="269"/>
      <c r="D1029" s="258"/>
      <c r="E1029" s="258"/>
      <c r="F1029" s="258"/>
      <c r="G1029" s="258"/>
      <c r="H1029" s="271"/>
      <c r="I1029" s="258"/>
      <c r="J1029" s="272"/>
      <c r="K1029" s="260"/>
      <c r="L1029" s="261"/>
      <c r="M1029" s="262" t="str">
        <f t="shared" si="1"/>
        <v/>
      </c>
      <c r="N1029" s="263" t="str">
        <f t="shared" si="2"/>
        <v/>
      </c>
      <c r="O1029" s="264" t="str">
        <f t="shared" si="3"/>
        <v/>
      </c>
      <c r="P1029" s="265" t="str">
        <f>IFERROR(__xludf.DUMMYFUNCTION("IF(ISBLANK(A1029),"""",IFERROR(IF(H1029=""Sell"",VLOOKUP(9^99,FILTER({ROW(P$2:P1028),P$2:P1028},D$2:D1028=D1029),2),(VLOOKUP(9^99,FILTER({ROW(P$2:P1028),P$2:P1028},D$2:D1028=D1029),2)*VLOOKUP(9^99,FILTER({ROW(O$2:O1028),O$2:O1028},D$2:D1028=D1029),2)-N102"&amp;"9)/O1029),J1029))"),"")</f>
        <v/>
      </c>
      <c r="Q1029" s="264" t="str">
        <f>IFERROR(__xludf.DUMMYFUNCTION("IFERROR(IF(F1029=""Crypto"",B1029,(IF(ISBLANK(D1029),"""",IF(D1029=""Cash"",B1029,IF(GOOGLEFINANCE(D1029,""CURRENCY"")=""GBX"",""GBP"",GOOGLEFINANCE(D1029,""CURRENCY"")))))),B1029)"),"")</f>
        <v/>
      </c>
      <c r="R1029" s="263" t="str">
        <f>IFERROR(__xludf.DUMMYFUNCTION("IF(ISBLANK(A1029),"""",IFERROR(IF(OR(Q1029=""GPB"",Q1029=""ZAR""),IF(Q1029=Dashboard!$L$1,K1029,(K1029*GOOGLEFINANCE(""CURRENCY:""&amp;Q1029&amp;""""&amp;Dashboard!$L$1&amp;""""))/100),IF(Q1029=Dashboard!$L$1,K1029,K1029*GOOGLEFINANCE(""CURRENCY:""&amp;Q1029&amp;""""&amp;Dashboard!$"&amp;"L$1&amp;""""))),K1029))"),"")</f>
        <v/>
      </c>
      <c r="S1029" s="266" t="str">
        <f>IFERROR(__xludf.DUMMYFUNCTION("IF(ISBLANK(A1029),"""",IFERROR(IF(OR(Q1029=""GPB"",Q1029=""ZAR""),IF(Q1029=Dashboard!$L$1,M1029,(M1029*GOOGLEFINANCE(""CURRENCY:""&amp;Q1029&amp;""""&amp;Dashboard!$L$1&amp;""""))/100),IF(Q1029=Dashboard!$L$1,M1029,M1029*GOOGLEFINANCE(""CURRENCY:""&amp;Q1029&amp;""""&amp;Dashboard!$"&amp;"L$1&amp;""""))),M1029))"),"")</f>
        <v/>
      </c>
      <c r="T1029" s="264" t="str">
        <f t="shared" si="4"/>
        <v/>
      </c>
      <c r="U1029" s="264" t="str">
        <f t="shared" si="5"/>
        <v/>
      </c>
      <c r="V1029" s="264" t="str">
        <f t="shared" si="6"/>
        <v/>
      </c>
      <c r="W1029" s="267" t="str">
        <f t="shared" si="8"/>
        <v/>
      </c>
      <c r="X1029" s="264" t="str">
        <f t="shared" si="7"/>
        <v/>
      </c>
    </row>
    <row r="1030" ht="15.75" customHeight="1">
      <c r="A1030" s="258"/>
      <c r="B1030" s="258"/>
      <c r="C1030" s="269"/>
      <c r="D1030" s="258"/>
      <c r="E1030" s="258"/>
      <c r="F1030" s="258"/>
      <c r="G1030" s="258"/>
      <c r="H1030" s="271"/>
      <c r="I1030" s="258"/>
      <c r="J1030" s="272"/>
      <c r="K1030" s="260"/>
      <c r="L1030" s="261"/>
      <c r="M1030" s="262" t="str">
        <f t="shared" si="1"/>
        <v/>
      </c>
      <c r="N1030" s="263" t="str">
        <f t="shared" si="2"/>
        <v/>
      </c>
      <c r="O1030" s="264" t="str">
        <f t="shared" si="3"/>
        <v/>
      </c>
      <c r="P1030" s="265" t="str">
        <f>IFERROR(__xludf.DUMMYFUNCTION("IF(ISBLANK(A1030),"""",IFERROR(IF(H1030=""Sell"",VLOOKUP(9^99,FILTER({ROW(P$2:P1029),P$2:P1029},D$2:D1029=D1030),2),(VLOOKUP(9^99,FILTER({ROW(P$2:P1029),P$2:P1029},D$2:D1029=D1030),2)*VLOOKUP(9^99,FILTER({ROW(O$2:O1029),O$2:O1029},D$2:D1029=D1030),2)-N103"&amp;"0)/O1030),J1030))"),"")</f>
        <v/>
      </c>
      <c r="Q1030" s="264" t="str">
        <f>IFERROR(__xludf.DUMMYFUNCTION("IFERROR(IF(F1030=""Crypto"",B1030,(IF(ISBLANK(D1030),"""",IF(D1030=""Cash"",B1030,IF(GOOGLEFINANCE(D1030,""CURRENCY"")=""GBX"",""GBP"",GOOGLEFINANCE(D1030,""CURRENCY"")))))),B1030)"),"")</f>
        <v/>
      </c>
      <c r="R1030" s="263" t="str">
        <f>IFERROR(__xludf.DUMMYFUNCTION("IF(ISBLANK(A1030),"""",IFERROR(IF(OR(Q1030=""GPB"",Q1030=""ZAR""),IF(Q1030=Dashboard!$L$1,K1030,(K1030*GOOGLEFINANCE(""CURRENCY:""&amp;Q1030&amp;""""&amp;Dashboard!$L$1&amp;""""))/100),IF(Q1030=Dashboard!$L$1,K1030,K1030*GOOGLEFINANCE(""CURRENCY:""&amp;Q1030&amp;""""&amp;Dashboard!$"&amp;"L$1&amp;""""))),K1030))"),"")</f>
        <v/>
      </c>
      <c r="S1030" s="266" t="str">
        <f>IFERROR(__xludf.DUMMYFUNCTION("IF(ISBLANK(A1030),"""",IFERROR(IF(OR(Q1030=""GPB"",Q1030=""ZAR""),IF(Q1030=Dashboard!$L$1,M1030,(M1030*GOOGLEFINANCE(""CURRENCY:""&amp;Q1030&amp;""""&amp;Dashboard!$L$1&amp;""""))/100),IF(Q1030=Dashboard!$L$1,M1030,M1030*GOOGLEFINANCE(""CURRENCY:""&amp;Q1030&amp;""""&amp;Dashboard!$"&amp;"L$1&amp;""""))),M1030))"),"")</f>
        <v/>
      </c>
      <c r="T1030" s="264" t="str">
        <f t="shared" si="4"/>
        <v/>
      </c>
      <c r="U1030" s="264" t="str">
        <f t="shared" si="5"/>
        <v/>
      </c>
      <c r="V1030" s="264" t="str">
        <f t="shared" si="6"/>
        <v/>
      </c>
      <c r="W1030" s="267" t="str">
        <f t="shared" si="8"/>
        <v/>
      </c>
      <c r="X1030" s="264" t="str">
        <f t="shared" si="7"/>
        <v/>
      </c>
    </row>
    <row r="1031" ht="15.75" customHeight="1">
      <c r="A1031" s="258"/>
      <c r="B1031" s="258"/>
      <c r="C1031" s="269"/>
      <c r="D1031" s="258"/>
      <c r="E1031" s="258"/>
      <c r="F1031" s="258"/>
      <c r="G1031" s="258"/>
      <c r="H1031" s="271"/>
      <c r="I1031" s="258"/>
      <c r="J1031" s="272"/>
      <c r="K1031" s="260"/>
      <c r="L1031" s="261"/>
      <c r="M1031" s="262" t="str">
        <f t="shared" si="1"/>
        <v/>
      </c>
      <c r="N1031" s="263" t="str">
        <f t="shared" si="2"/>
        <v/>
      </c>
      <c r="O1031" s="264" t="str">
        <f t="shared" si="3"/>
        <v/>
      </c>
      <c r="P1031" s="265" t="str">
        <f>IFERROR(__xludf.DUMMYFUNCTION("IF(ISBLANK(A1031),"""",IFERROR(IF(H1031=""Sell"",VLOOKUP(9^99,FILTER({ROW(P$2:P1030),P$2:P1030},D$2:D1030=D1031),2),(VLOOKUP(9^99,FILTER({ROW(P$2:P1030),P$2:P1030},D$2:D1030=D1031),2)*VLOOKUP(9^99,FILTER({ROW(O$2:O1030),O$2:O1030},D$2:D1030=D1031),2)-N103"&amp;"1)/O1031),J1031))"),"")</f>
        <v/>
      </c>
      <c r="Q1031" s="264" t="str">
        <f>IFERROR(__xludf.DUMMYFUNCTION("IFERROR(IF(F1031=""Crypto"",B1031,(IF(ISBLANK(D1031),"""",IF(D1031=""Cash"",B1031,IF(GOOGLEFINANCE(D1031,""CURRENCY"")=""GBX"",""GBP"",GOOGLEFINANCE(D1031,""CURRENCY"")))))),B1031)"),"")</f>
        <v/>
      </c>
      <c r="R1031" s="263" t="str">
        <f>IFERROR(__xludf.DUMMYFUNCTION("IF(ISBLANK(A1031),"""",IFERROR(IF(OR(Q1031=""GPB"",Q1031=""ZAR""),IF(Q1031=Dashboard!$L$1,K1031,(K1031*GOOGLEFINANCE(""CURRENCY:""&amp;Q1031&amp;""""&amp;Dashboard!$L$1&amp;""""))/100),IF(Q1031=Dashboard!$L$1,K1031,K1031*GOOGLEFINANCE(""CURRENCY:""&amp;Q1031&amp;""""&amp;Dashboard!$"&amp;"L$1&amp;""""))),K1031))"),"")</f>
        <v/>
      </c>
      <c r="S1031" s="266" t="str">
        <f>IFERROR(__xludf.DUMMYFUNCTION("IF(ISBLANK(A1031),"""",IFERROR(IF(OR(Q1031=""GPB"",Q1031=""ZAR""),IF(Q1031=Dashboard!$L$1,M1031,(M1031*GOOGLEFINANCE(""CURRENCY:""&amp;Q1031&amp;""""&amp;Dashboard!$L$1&amp;""""))/100),IF(Q1031=Dashboard!$L$1,M1031,M1031*GOOGLEFINANCE(""CURRENCY:""&amp;Q1031&amp;""""&amp;Dashboard!$"&amp;"L$1&amp;""""))),M1031))"),"")</f>
        <v/>
      </c>
      <c r="T1031" s="264" t="str">
        <f t="shared" si="4"/>
        <v/>
      </c>
      <c r="U1031" s="264" t="str">
        <f t="shared" si="5"/>
        <v/>
      </c>
      <c r="V1031" s="264" t="str">
        <f t="shared" si="6"/>
        <v/>
      </c>
      <c r="W1031" s="267" t="str">
        <f t="shared" si="8"/>
        <v/>
      </c>
      <c r="X1031" s="264" t="str">
        <f t="shared" si="7"/>
        <v/>
      </c>
    </row>
    <row r="1032" ht="15.75" customHeight="1">
      <c r="A1032" s="258"/>
      <c r="B1032" s="258"/>
      <c r="C1032" s="269"/>
      <c r="D1032" s="258"/>
      <c r="E1032" s="258"/>
      <c r="F1032" s="258"/>
      <c r="G1032" s="258"/>
      <c r="H1032" s="271"/>
      <c r="I1032" s="258"/>
      <c r="J1032" s="272"/>
      <c r="K1032" s="260"/>
      <c r="L1032" s="261"/>
      <c r="M1032" s="262" t="str">
        <f t="shared" si="1"/>
        <v/>
      </c>
      <c r="N1032" s="263" t="str">
        <f t="shared" si="2"/>
        <v/>
      </c>
      <c r="O1032" s="264" t="str">
        <f t="shared" si="3"/>
        <v/>
      </c>
      <c r="P1032" s="265" t="str">
        <f>IFERROR(__xludf.DUMMYFUNCTION("IF(ISBLANK(A1032),"""",IFERROR(IF(H1032=""Sell"",VLOOKUP(9^99,FILTER({ROW(P$2:P1031),P$2:P1031},D$2:D1031=D1032),2),(VLOOKUP(9^99,FILTER({ROW(P$2:P1031),P$2:P1031},D$2:D1031=D1032),2)*VLOOKUP(9^99,FILTER({ROW(O$2:O1031),O$2:O1031},D$2:D1031=D1032),2)-N103"&amp;"2)/O1032),J1032))"),"")</f>
        <v/>
      </c>
      <c r="Q1032" s="264" t="str">
        <f>IFERROR(__xludf.DUMMYFUNCTION("IFERROR(IF(F1032=""Crypto"",B1032,(IF(ISBLANK(D1032),"""",IF(D1032=""Cash"",B1032,IF(GOOGLEFINANCE(D1032,""CURRENCY"")=""GBX"",""GBP"",GOOGLEFINANCE(D1032,""CURRENCY"")))))),B1032)"),"")</f>
        <v/>
      </c>
      <c r="R1032" s="263" t="str">
        <f>IFERROR(__xludf.DUMMYFUNCTION("IF(ISBLANK(A1032),"""",IFERROR(IF(OR(Q1032=""GPB"",Q1032=""ZAR""),IF(Q1032=Dashboard!$L$1,K1032,(K1032*GOOGLEFINANCE(""CURRENCY:""&amp;Q1032&amp;""""&amp;Dashboard!$L$1&amp;""""))/100),IF(Q1032=Dashboard!$L$1,K1032,K1032*GOOGLEFINANCE(""CURRENCY:""&amp;Q1032&amp;""""&amp;Dashboard!$"&amp;"L$1&amp;""""))),K1032))"),"")</f>
        <v/>
      </c>
      <c r="S1032" s="266" t="str">
        <f>IFERROR(__xludf.DUMMYFUNCTION("IF(ISBLANK(A1032),"""",IFERROR(IF(OR(Q1032=""GPB"",Q1032=""ZAR""),IF(Q1032=Dashboard!$L$1,M1032,(M1032*GOOGLEFINANCE(""CURRENCY:""&amp;Q1032&amp;""""&amp;Dashboard!$L$1&amp;""""))/100),IF(Q1032=Dashboard!$L$1,M1032,M1032*GOOGLEFINANCE(""CURRENCY:""&amp;Q1032&amp;""""&amp;Dashboard!$"&amp;"L$1&amp;""""))),M1032))"),"")</f>
        <v/>
      </c>
      <c r="T1032" s="264" t="str">
        <f t="shared" si="4"/>
        <v/>
      </c>
      <c r="U1032" s="264" t="str">
        <f t="shared" si="5"/>
        <v/>
      </c>
      <c r="V1032" s="264" t="str">
        <f t="shared" si="6"/>
        <v/>
      </c>
      <c r="W1032" s="267" t="str">
        <f t="shared" si="8"/>
        <v/>
      </c>
      <c r="X1032" s="264" t="str">
        <f t="shared" si="7"/>
        <v/>
      </c>
    </row>
    <row r="1033" ht="15.75" customHeight="1">
      <c r="A1033" s="258"/>
      <c r="B1033" s="258"/>
      <c r="C1033" s="269"/>
      <c r="D1033" s="258"/>
      <c r="E1033" s="258"/>
      <c r="F1033" s="258"/>
      <c r="G1033" s="258"/>
      <c r="H1033" s="271"/>
      <c r="I1033" s="258"/>
      <c r="J1033" s="272"/>
      <c r="K1033" s="260"/>
      <c r="L1033" s="261"/>
      <c r="M1033" s="262" t="str">
        <f t="shared" si="1"/>
        <v/>
      </c>
      <c r="N1033" s="263" t="str">
        <f t="shared" si="2"/>
        <v/>
      </c>
      <c r="O1033" s="264" t="str">
        <f t="shared" si="3"/>
        <v/>
      </c>
      <c r="P1033" s="265" t="str">
        <f>IFERROR(__xludf.DUMMYFUNCTION("IF(ISBLANK(A1033),"""",IFERROR(IF(H1033=""Sell"",VLOOKUP(9^99,FILTER({ROW(P$2:P1032),P$2:P1032},D$2:D1032=D1033),2),(VLOOKUP(9^99,FILTER({ROW(P$2:P1032),P$2:P1032},D$2:D1032=D1033),2)*VLOOKUP(9^99,FILTER({ROW(O$2:O1032),O$2:O1032},D$2:D1032=D1033),2)-N103"&amp;"3)/O1033),J1033))"),"")</f>
        <v/>
      </c>
      <c r="Q1033" s="264" t="str">
        <f>IFERROR(__xludf.DUMMYFUNCTION("IFERROR(IF(F1033=""Crypto"",B1033,(IF(ISBLANK(D1033),"""",IF(D1033=""Cash"",B1033,IF(GOOGLEFINANCE(D1033,""CURRENCY"")=""GBX"",""GBP"",GOOGLEFINANCE(D1033,""CURRENCY"")))))),B1033)"),"")</f>
        <v/>
      </c>
      <c r="R1033" s="263" t="str">
        <f>IFERROR(__xludf.DUMMYFUNCTION("IF(ISBLANK(A1033),"""",IFERROR(IF(OR(Q1033=""GPB"",Q1033=""ZAR""),IF(Q1033=Dashboard!$L$1,K1033,(K1033*GOOGLEFINANCE(""CURRENCY:""&amp;Q1033&amp;""""&amp;Dashboard!$L$1&amp;""""))/100),IF(Q1033=Dashboard!$L$1,K1033,K1033*GOOGLEFINANCE(""CURRENCY:""&amp;Q1033&amp;""""&amp;Dashboard!$"&amp;"L$1&amp;""""))),K1033))"),"")</f>
        <v/>
      </c>
      <c r="S1033" s="266" t="str">
        <f>IFERROR(__xludf.DUMMYFUNCTION("IF(ISBLANK(A1033),"""",IFERROR(IF(OR(Q1033=""GPB"",Q1033=""ZAR""),IF(Q1033=Dashboard!$L$1,M1033,(M1033*GOOGLEFINANCE(""CURRENCY:""&amp;Q1033&amp;""""&amp;Dashboard!$L$1&amp;""""))/100),IF(Q1033=Dashboard!$L$1,M1033,M1033*GOOGLEFINANCE(""CURRENCY:""&amp;Q1033&amp;""""&amp;Dashboard!$"&amp;"L$1&amp;""""))),M1033))"),"")</f>
        <v/>
      </c>
      <c r="T1033" s="264" t="str">
        <f t="shared" si="4"/>
        <v/>
      </c>
      <c r="U1033" s="264" t="str">
        <f t="shared" si="5"/>
        <v/>
      </c>
      <c r="V1033" s="264" t="str">
        <f t="shared" si="6"/>
        <v/>
      </c>
      <c r="W1033" s="267" t="str">
        <f t="shared" si="8"/>
        <v/>
      </c>
      <c r="X1033" s="264" t="str">
        <f t="shared" si="7"/>
        <v/>
      </c>
    </row>
    <row r="1034" ht="15.75" customHeight="1">
      <c r="A1034" s="258"/>
      <c r="B1034" s="258"/>
      <c r="C1034" s="269"/>
      <c r="D1034" s="258"/>
      <c r="E1034" s="258"/>
      <c r="F1034" s="258"/>
      <c r="G1034" s="258"/>
      <c r="H1034" s="271"/>
      <c r="I1034" s="258"/>
      <c r="J1034" s="272"/>
      <c r="K1034" s="260"/>
      <c r="L1034" s="261"/>
      <c r="M1034" s="262" t="str">
        <f t="shared" si="1"/>
        <v/>
      </c>
      <c r="N1034" s="263" t="str">
        <f t="shared" si="2"/>
        <v/>
      </c>
      <c r="O1034" s="264" t="str">
        <f t="shared" si="3"/>
        <v/>
      </c>
      <c r="P1034" s="265" t="str">
        <f>IFERROR(__xludf.DUMMYFUNCTION("IF(ISBLANK(A1034),"""",IFERROR(IF(H1034=""Sell"",VLOOKUP(9^99,FILTER({ROW(P$2:P1033),P$2:P1033},D$2:D1033=D1034),2),(VLOOKUP(9^99,FILTER({ROW(P$2:P1033),P$2:P1033},D$2:D1033=D1034),2)*VLOOKUP(9^99,FILTER({ROW(O$2:O1033),O$2:O1033},D$2:D1033=D1034),2)-N103"&amp;"4)/O1034),J1034))"),"")</f>
        <v/>
      </c>
      <c r="Q1034" s="264" t="str">
        <f>IFERROR(__xludf.DUMMYFUNCTION("IFERROR(IF(F1034=""Crypto"",B1034,(IF(ISBLANK(D1034),"""",IF(D1034=""Cash"",B1034,IF(GOOGLEFINANCE(D1034,""CURRENCY"")=""GBX"",""GBP"",GOOGLEFINANCE(D1034,""CURRENCY"")))))),B1034)"),"")</f>
        <v/>
      </c>
      <c r="R1034" s="263" t="str">
        <f>IFERROR(__xludf.DUMMYFUNCTION("IF(ISBLANK(A1034),"""",IFERROR(IF(OR(Q1034=""GPB"",Q1034=""ZAR""),IF(Q1034=Dashboard!$L$1,K1034,(K1034*GOOGLEFINANCE(""CURRENCY:""&amp;Q1034&amp;""""&amp;Dashboard!$L$1&amp;""""))/100),IF(Q1034=Dashboard!$L$1,K1034,K1034*GOOGLEFINANCE(""CURRENCY:""&amp;Q1034&amp;""""&amp;Dashboard!$"&amp;"L$1&amp;""""))),K1034))"),"")</f>
        <v/>
      </c>
      <c r="S1034" s="266" t="str">
        <f>IFERROR(__xludf.DUMMYFUNCTION("IF(ISBLANK(A1034),"""",IFERROR(IF(OR(Q1034=""GPB"",Q1034=""ZAR""),IF(Q1034=Dashboard!$L$1,M1034,(M1034*GOOGLEFINANCE(""CURRENCY:""&amp;Q1034&amp;""""&amp;Dashboard!$L$1&amp;""""))/100),IF(Q1034=Dashboard!$L$1,M1034,M1034*GOOGLEFINANCE(""CURRENCY:""&amp;Q1034&amp;""""&amp;Dashboard!$"&amp;"L$1&amp;""""))),M1034))"),"")</f>
        <v/>
      </c>
      <c r="T1034" s="264" t="str">
        <f t="shared" si="4"/>
        <v/>
      </c>
      <c r="U1034" s="264" t="str">
        <f t="shared" si="5"/>
        <v/>
      </c>
      <c r="V1034" s="264" t="str">
        <f t="shared" si="6"/>
        <v/>
      </c>
      <c r="W1034" s="267" t="str">
        <f t="shared" si="8"/>
        <v/>
      </c>
      <c r="X1034" s="264" t="str">
        <f t="shared" si="7"/>
        <v/>
      </c>
    </row>
    <row r="1035" ht="15.75" customHeight="1">
      <c r="A1035" s="258"/>
      <c r="B1035" s="258"/>
      <c r="C1035" s="269"/>
      <c r="D1035" s="258"/>
      <c r="E1035" s="258"/>
      <c r="F1035" s="258"/>
      <c r="G1035" s="258"/>
      <c r="H1035" s="271"/>
      <c r="I1035" s="258"/>
      <c r="J1035" s="272"/>
      <c r="K1035" s="260"/>
      <c r="L1035" s="261"/>
      <c r="M1035" s="262" t="str">
        <f t="shared" si="1"/>
        <v/>
      </c>
      <c r="N1035" s="263" t="str">
        <f t="shared" si="2"/>
        <v/>
      </c>
      <c r="O1035" s="264" t="str">
        <f t="shared" si="3"/>
        <v/>
      </c>
      <c r="P1035" s="265" t="str">
        <f>IFERROR(__xludf.DUMMYFUNCTION("IF(ISBLANK(A1035),"""",IFERROR(IF(H1035=""Sell"",VLOOKUP(9^99,FILTER({ROW(P$2:P1034),P$2:P1034},D$2:D1034=D1035),2),(VLOOKUP(9^99,FILTER({ROW(P$2:P1034),P$2:P1034},D$2:D1034=D1035),2)*VLOOKUP(9^99,FILTER({ROW(O$2:O1034),O$2:O1034},D$2:D1034=D1035),2)-N103"&amp;"5)/O1035),J1035))"),"")</f>
        <v/>
      </c>
      <c r="Q1035" s="264" t="str">
        <f>IFERROR(__xludf.DUMMYFUNCTION("IFERROR(IF(F1035=""Crypto"",B1035,(IF(ISBLANK(D1035),"""",IF(D1035=""Cash"",B1035,IF(GOOGLEFINANCE(D1035,""CURRENCY"")=""GBX"",""GBP"",GOOGLEFINANCE(D1035,""CURRENCY"")))))),B1035)"),"")</f>
        <v/>
      </c>
      <c r="R1035" s="263" t="str">
        <f>IFERROR(__xludf.DUMMYFUNCTION("IF(ISBLANK(A1035),"""",IFERROR(IF(OR(Q1035=""GPB"",Q1035=""ZAR""),IF(Q1035=Dashboard!$L$1,K1035,(K1035*GOOGLEFINANCE(""CURRENCY:""&amp;Q1035&amp;""""&amp;Dashboard!$L$1&amp;""""))/100),IF(Q1035=Dashboard!$L$1,K1035,K1035*GOOGLEFINANCE(""CURRENCY:""&amp;Q1035&amp;""""&amp;Dashboard!$"&amp;"L$1&amp;""""))),K1035))"),"")</f>
        <v/>
      </c>
      <c r="S1035" s="266" t="str">
        <f>IFERROR(__xludf.DUMMYFUNCTION("IF(ISBLANK(A1035),"""",IFERROR(IF(OR(Q1035=""GPB"",Q1035=""ZAR""),IF(Q1035=Dashboard!$L$1,M1035,(M1035*GOOGLEFINANCE(""CURRENCY:""&amp;Q1035&amp;""""&amp;Dashboard!$L$1&amp;""""))/100),IF(Q1035=Dashboard!$L$1,M1035,M1035*GOOGLEFINANCE(""CURRENCY:""&amp;Q1035&amp;""""&amp;Dashboard!$"&amp;"L$1&amp;""""))),M1035))"),"")</f>
        <v/>
      </c>
      <c r="T1035" s="264" t="str">
        <f t="shared" si="4"/>
        <v/>
      </c>
      <c r="U1035" s="264" t="str">
        <f t="shared" si="5"/>
        <v/>
      </c>
      <c r="V1035" s="264" t="str">
        <f t="shared" si="6"/>
        <v/>
      </c>
      <c r="W1035" s="267" t="str">
        <f t="shared" si="8"/>
        <v/>
      </c>
      <c r="X1035" s="264" t="str">
        <f t="shared" si="7"/>
        <v/>
      </c>
    </row>
    <row r="1036" ht="15.75" customHeight="1">
      <c r="A1036" s="258"/>
      <c r="B1036" s="258"/>
      <c r="C1036" s="269"/>
      <c r="D1036" s="258"/>
      <c r="E1036" s="258"/>
      <c r="F1036" s="258"/>
      <c r="G1036" s="258"/>
      <c r="H1036" s="271"/>
      <c r="I1036" s="258"/>
      <c r="J1036" s="272"/>
      <c r="K1036" s="260"/>
      <c r="L1036" s="261"/>
      <c r="M1036" s="262" t="str">
        <f t="shared" si="1"/>
        <v/>
      </c>
      <c r="N1036" s="263" t="str">
        <f t="shared" si="2"/>
        <v/>
      </c>
      <c r="O1036" s="264" t="str">
        <f t="shared" si="3"/>
        <v/>
      </c>
      <c r="P1036" s="265" t="str">
        <f>IFERROR(__xludf.DUMMYFUNCTION("IF(ISBLANK(A1036),"""",IFERROR(IF(H1036=""Sell"",VLOOKUP(9^99,FILTER({ROW(P$2:P1035),P$2:P1035},D$2:D1035=D1036),2),(VLOOKUP(9^99,FILTER({ROW(P$2:P1035),P$2:P1035},D$2:D1035=D1036),2)*VLOOKUP(9^99,FILTER({ROW(O$2:O1035),O$2:O1035},D$2:D1035=D1036),2)-N103"&amp;"6)/O1036),J1036))"),"")</f>
        <v/>
      </c>
      <c r="Q1036" s="264" t="str">
        <f>IFERROR(__xludf.DUMMYFUNCTION("IFERROR(IF(F1036=""Crypto"",B1036,(IF(ISBLANK(D1036),"""",IF(D1036=""Cash"",B1036,IF(GOOGLEFINANCE(D1036,""CURRENCY"")=""GBX"",""GBP"",GOOGLEFINANCE(D1036,""CURRENCY"")))))),B1036)"),"")</f>
        <v/>
      </c>
      <c r="R1036" s="263" t="str">
        <f>IFERROR(__xludf.DUMMYFUNCTION("IF(ISBLANK(A1036),"""",IFERROR(IF(OR(Q1036=""GPB"",Q1036=""ZAR""),IF(Q1036=Dashboard!$L$1,K1036,(K1036*GOOGLEFINANCE(""CURRENCY:""&amp;Q1036&amp;""""&amp;Dashboard!$L$1&amp;""""))/100),IF(Q1036=Dashboard!$L$1,K1036,K1036*GOOGLEFINANCE(""CURRENCY:""&amp;Q1036&amp;""""&amp;Dashboard!$"&amp;"L$1&amp;""""))),K1036))"),"")</f>
        <v/>
      </c>
      <c r="S1036" s="266" t="str">
        <f>IFERROR(__xludf.DUMMYFUNCTION("IF(ISBLANK(A1036),"""",IFERROR(IF(OR(Q1036=""GPB"",Q1036=""ZAR""),IF(Q1036=Dashboard!$L$1,M1036,(M1036*GOOGLEFINANCE(""CURRENCY:""&amp;Q1036&amp;""""&amp;Dashboard!$L$1&amp;""""))/100),IF(Q1036=Dashboard!$L$1,M1036,M1036*GOOGLEFINANCE(""CURRENCY:""&amp;Q1036&amp;""""&amp;Dashboard!$"&amp;"L$1&amp;""""))),M1036))"),"")</f>
        <v/>
      </c>
      <c r="T1036" s="264" t="str">
        <f t="shared" si="4"/>
        <v/>
      </c>
      <c r="U1036" s="264" t="str">
        <f t="shared" si="5"/>
        <v/>
      </c>
      <c r="V1036" s="264" t="str">
        <f t="shared" si="6"/>
        <v/>
      </c>
      <c r="W1036" s="267" t="str">
        <f t="shared" si="8"/>
        <v/>
      </c>
      <c r="X1036" s="264" t="str">
        <f t="shared" si="7"/>
        <v/>
      </c>
    </row>
    <row r="1037" ht="15.75" customHeight="1">
      <c r="A1037" s="258"/>
      <c r="B1037" s="258"/>
      <c r="C1037" s="269"/>
      <c r="D1037" s="258"/>
      <c r="E1037" s="258"/>
      <c r="F1037" s="258"/>
      <c r="G1037" s="258"/>
      <c r="H1037" s="271"/>
      <c r="I1037" s="258"/>
      <c r="J1037" s="272"/>
      <c r="K1037" s="260"/>
      <c r="L1037" s="261"/>
      <c r="M1037" s="262" t="str">
        <f t="shared" si="1"/>
        <v/>
      </c>
      <c r="N1037" s="263" t="str">
        <f t="shared" si="2"/>
        <v/>
      </c>
      <c r="O1037" s="264" t="str">
        <f t="shared" si="3"/>
        <v/>
      </c>
      <c r="P1037" s="265" t="str">
        <f>IFERROR(__xludf.DUMMYFUNCTION("IF(ISBLANK(A1037),"""",IFERROR(IF(H1037=""Sell"",VLOOKUP(9^99,FILTER({ROW(P$2:P1036),P$2:P1036},D$2:D1036=D1037),2),(VLOOKUP(9^99,FILTER({ROW(P$2:P1036),P$2:P1036},D$2:D1036=D1037),2)*VLOOKUP(9^99,FILTER({ROW(O$2:O1036),O$2:O1036},D$2:D1036=D1037),2)-N103"&amp;"7)/O1037),J1037))"),"")</f>
        <v/>
      </c>
      <c r="Q1037" s="264" t="str">
        <f>IFERROR(__xludf.DUMMYFUNCTION("IFERROR(IF(F1037=""Crypto"",B1037,(IF(ISBLANK(D1037),"""",IF(D1037=""Cash"",B1037,IF(GOOGLEFINANCE(D1037,""CURRENCY"")=""GBX"",""GBP"",GOOGLEFINANCE(D1037,""CURRENCY"")))))),B1037)"),"")</f>
        <v/>
      </c>
      <c r="R1037" s="263" t="str">
        <f>IFERROR(__xludf.DUMMYFUNCTION("IF(ISBLANK(A1037),"""",IFERROR(IF(OR(Q1037=""GPB"",Q1037=""ZAR""),IF(Q1037=Dashboard!$L$1,K1037,(K1037*GOOGLEFINANCE(""CURRENCY:""&amp;Q1037&amp;""""&amp;Dashboard!$L$1&amp;""""))/100),IF(Q1037=Dashboard!$L$1,K1037,K1037*GOOGLEFINANCE(""CURRENCY:""&amp;Q1037&amp;""""&amp;Dashboard!$"&amp;"L$1&amp;""""))),K1037))"),"")</f>
        <v/>
      </c>
      <c r="S1037" s="266" t="str">
        <f>IFERROR(__xludf.DUMMYFUNCTION("IF(ISBLANK(A1037),"""",IFERROR(IF(OR(Q1037=""GPB"",Q1037=""ZAR""),IF(Q1037=Dashboard!$L$1,M1037,(M1037*GOOGLEFINANCE(""CURRENCY:""&amp;Q1037&amp;""""&amp;Dashboard!$L$1&amp;""""))/100),IF(Q1037=Dashboard!$L$1,M1037,M1037*GOOGLEFINANCE(""CURRENCY:""&amp;Q1037&amp;""""&amp;Dashboard!$"&amp;"L$1&amp;""""))),M1037))"),"")</f>
        <v/>
      </c>
      <c r="T1037" s="264" t="str">
        <f t="shared" si="4"/>
        <v/>
      </c>
      <c r="U1037" s="264" t="str">
        <f t="shared" si="5"/>
        <v/>
      </c>
      <c r="V1037" s="264" t="str">
        <f t="shared" si="6"/>
        <v/>
      </c>
      <c r="W1037" s="267" t="str">
        <f t="shared" si="8"/>
        <v/>
      </c>
      <c r="X1037" s="264" t="str">
        <f t="shared" si="7"/>
        <v/>
      </c>
    </row>
    <row r="1038" ht="15.75" customHeight="1">
      <c r="A1038" s="258"/>
      <c r="B1038" s="258"/>
      <c r="C1038" s="269"/>
      <c r="D1038" s="258"/>
      <c r="E1038" s="258"/>
      <c r="F1038" s="258"/>
      <c r="G1038" s="258"/>
      <c r="H1038" s="271"/>
      <c r="I1038" s="258"/>
      <c r="J1038" s="272"/>
      <c r="K1038" s="260"/>
      <c r="L1038" s="261"/>
      <c r="M1038" s="262" t="str">
        <f t="shared" si="1"/>
        <v/>
      </c>
      <c r="N1038" s="263" t="str">
        <f t="shared" si="2"/>
        <v/>
      </c>
      <c r="O1038" s="264" t="str">
        <f t="shared" si="3"/>
        <v/>
      </c>
      <c r="P1038" s="265" t="str">
        <f>IFERROR(__xludf.DUMMYFUNCTION("IF(ISBLANK(A1038),"""",IFERROR(IF(H1038=""Sell"",VLOOKUP(9^99,FILTER({ROW(P$2:P1037),P$2:P1037},D$2:D1037=D1038),2),(VLOOKUP(9^99,FILTER({ROW(P$2:P1037),P$2:P1037},D$2:D1037=D1038),2)*VLOOKUP(9^99,FILTER({ROW(O$2:O1037),O$2:O1037},D$2:D1037=D1038),2)-N103"&amp;"8)/O1038),J1038))"),"")</f>
        <v/>
      </c>
      <c r="Q1038" s="264" t="str">
        <f>IFERROR(__xludf.DUMMYFUNCTION("IFERROR(IF(F1038=""Crypto"",B1038,(IF(ISBLANK(D1038),"""",IF(D1038=""Cash"",B1038,IF(GOOGLEFINANCE(D1038,""CURRENCY"")=""GBX"",""GBP"",GOOGLEFINANCE(D1038,""CURRENCY"")))))),B1038)"),"")</f>
        <v/>
      </c>
      <c r="R1038" s="263" t="str">
        <f>IFERROR(__xludf.DUMMYFUNCTION("IF(ISBLANK(A1038),"""",IFERROR(IF(OR(Q1038=""GPB"",Q1038=""ZAR""),IF(Q1038=Dashboard!$L$1,K1038,(K1038*GOOGLEFINANCE(""CURRENCY:""&amp;Q1038&amp;""""&amp;Dashboard!$L$1&amp;""""))/100),IF(Q1038=Dashboard!$L$1,K1038,K1038*GOOGLEFINANCE(""CURRENCY:""&amp;Q1038&amp;""""&amp;Dashboard!$"&amp;"L$1&amp;""""))),K1038))"),"")</f>
        <v/>
      </c>
      <c r="S1038" s="266" t="str">
        <f>IFERROR(__xludf.DUMMYFUNCTION("IF(ISBLANK(A1038),"""",IFERROR(IF(OR(Q1038=""GPB"",Q1038=""ZAR""),IF(Q1038=Dashboard!$L$1,M1038,(M1038*GOOGLEFINANCE(""CURRENCY:""&amp;Q1038&amp;""""&amp;Dashboard!$L$1&amp;""""))/100),IF(Q1038=Dashboard!$L$1,M1038,M1038*GOOGLEFINANCE(""CURRENCY:""&amp;Q1038&amp;""""&amp;Dashboard!$"&amp;"L$1&amp;""""))),M1038))"),"")</f>
        <v/>
      </c>
      <c r="T1038" s="264" t="str">
        <f t="shared" si="4"/>
        <v/>
      </c>
      <c r="U1038" s="264" t="str">
        <f t="shared" si="5"/>
        <v/>
      </c>
      <c r="V1038" s="264" t="str">
        <f t="shared" si="6"/>
        <v/>
      </c>
      <c r="W1038" s="267" t="str">
        <f t="shared" si="8"/>
        <v/>
      </c>
      <c r="X1038" s="264" t="str">
        <f t="shared" si="7"/>
        <v/>
      </c>
    </row>
    <row r="1039" ht="15.75" customHeight="1">
      <c r="A1039" s="258"/>
      <c r="B1039" s="258"/>
      <c r="C1039" s="269"/>
      <c r="D1039" s="258"/>
      <c r="E1039" s="258"/>
      <c r="F1039" s="258"/>
      <c r="G1039" s="258"/>
      <c r="H1039" s="271"/>
      <c r="I1039" s="258"/>
      <c r="J1039" s="272"/>
      <c r="K1039" s="260"/>
      <c r="L1039" s="261"/>
      <c r="M1039" s="262" t="str">
        <f t="shared" si="1"/>
        <v/>
      </c>
      <c r="N1039" s="263" t="str">
        <f t="shared" si="2"/>
        <v/>
      </c>
      <c r="O1039" s="264" t="str">
        <f t="shared" si="3"/>
        <v/>
      </c>
      <c r="P1039" s="265" t="str">
        <f>IFERROR(__xludf.DUMMYFUNCTION("IF(ISBLANK(A1039),"""",IFERROR(IF(H1039=""Sell"",VLOOKUP(9^99,FILTER({ROW(P$2:P1038),P$2:P1038},D$2:D1038=D1039),2),(VLOOKUP(9^99,FILTER({ROW(P$2:P1038),P$2:P1038},D$2:D1038=D1039),2)*VLOOKUP(9^99,FILTER({ROW(O$2:O1038),O$2:O1038},D$2:D1038=D1039),2)-N103"&amp;"9)/O1039),J1039))"),"")</f>
        <v/>
      </c>
      <c r="Q1039" s="264" t="str">
        <f>IFERROR(__xludf.DUMMYFUNCTION("IFERROR(IF(F1039=""Crypto"",B1039,(IF(ISBLANK(D1039),"""",IF(D1039=""Cash"",B1039,IF(GOOGLEFINANCE(D1039,""CURRENCY"")=""GBX"",""GBP"",GOOGLEFINANCE(D1039,""CURRENCY"")))))),B1039)"),"")</f>
        <v/>
      </c>
      <c r="R1039" s="263" t="str">
        <f>IFERROR(__xludf.DUMMYFUNCTION("IF(ISBLANK(A1039),"""",IFERROR(IF(OR(Q1039=""GPB"",Q1039=""ZAR""),IF(Q1039=Dashboard!$L$1,K1039,(K1039*GOOGLEFINANCE(""CURRENCY:""&amp;Q1039&amp;""""&amp;Dashboard!$L$1&amp;""""))/100),IF(Q1039=Dashboard!$L$1,K1039,K1039*GOOGLEFINANCE(""CURRENCY:""&amp;Q1039&amp;""""&amp;Dashboard!$"&amp;"L$1&amp;""""))),K1039))"),"")</f>
        <v/>
      </c>
      <c r="S1039" s="266" t="str">
        <f>IFERROR(__xludf.DUMMYFUNCTION("IF(ISBLANK(A1039),"""",IFERROR(IF(OR(Q1039=""GPB"",Q1039=""ZAR""),IF(Q1039=Dashboard!$L$1,M1039,(M1039*GOOGLEFINANCE(""CURRENCY:""&amp;Q1039&amp;""""&amp;Dashboard!$L$1&amp;""""))/100),IF(Q1039=Dashboard!$L$1,M1039,M1039*GOOGLEFINANCE(""CURRENCY:""&amp;Q1039&amp;""""&amp;Dashboard!$"&amp;"L$1&amp;""""))),M1039))"),"")</f>
        <v/>
      </c>
      <c r="T1039" s="264" t="str">
        <f t="shared" si="4"/>
        <v/>
      </c>
      <c r="U1039" s="264" t="str">
        <f t="shared" si="5"/>
        <v/>
      </c>
      <c r="V1039" s="264" t="str">
        <f t="shared" si="6"/>
        <v/>
      </c>
      <c r="W1039" s="267" t="str">
        <f t="shared" si="8"/>
        <v/>
      </c>
      <c r="X1039" s="264" t="str">
        <f t="shared" si="7"/>
        <v/>
      </c>
    </row>
    <row r="1040" ht="15.75" customHeight="1">
      <c r="A1040" s="258"/>
      <c r="B1040" s="258"/>
      <c r="C1040" s="269"/>
      <c r="D1040" s="258"/>
      <c r="E1040" s="258"/>
      <c r="F1040" s="258"/>
      <c r="G1040" s="258"/>
      <c r="H1040" s="271"/>
      <c r="I1040" s="258"/>
      <c r="J1040" s="272"/>
      <c r="K1040" s="260"/>
      <c r="L1040" s="261"/>
      <c r="M1040" s="262" t="str">
        <f t="shared" si="1"/>
        <v/>
      </c>
      <c r="N1040" s="263" t="str">
        <f t="shared" si="2"/>
        <v/>
      </c>
      <c r="O1040" s="264" t="str">
        <f t="shared" si="3"/>
        <v/>
      </c>
      <c r="P1040" s="265" t="str">
        <f>IFERROR(__xludf.DUMMYFUNCTION("IF(ISBLANK(A1040),"""",IFERROR(IF(H1040=""Sell"",VLOOKUP(9^99,FILTER({ROW(P$2:P1039),P$2:P1039},D$2:D1039=D1040),2),(VLOOKUP(9^99,FILTER({ROW(P$2:P1039),P$2:P1039},D$2:D1039=D1040),2)*VLOOKUP(9^99,FILTER({ROW(O$2:O1039),O$2:O1039},D$2:D1039=D1040),2)-N104"&amp;"0)/O1040),J1040))"),"")</f>
        <v/>
      </c>
      <c r="Q1040" s="264" t="str">
        <f>IFERROR(__xludf.DUMMYFUNCTION("IFERROR(IF(F1040=""Crypto"",B1040,(IF(ISBLANK(D1040),"""",IF(D1040=""Cash"",B1040,IF(GOOGLEFINANCE(D1040,""CURRENCY"")=""GBX"",""GBP"",GOOGLEFINANCE(D1040,""CURRENCY"")))))),B1040)"),"")</f>
        <v/>
      </c>
      <c r="R1040" s="263" t="str">
        <f>IFERROR(__xludf.DUMMYFUNCTION("IF(ISBLANK(A1040),"""",IFERROR(IF(OR(Q1040=""GPB"",Q1040=""ZAR""),IF(Q1040=Dashboard!$L$1,K1040,(K1040*GOOGLEFINANCE(""CURRENCY:""&amp;Q1040&amp;""""&amp;Dashboard!$L$1&amp;""""))/100),IF(Q1040=Dashboard!$L$1,K1040,K1040*GOOGLEFINANCE(""CURRENCY:""&amp;Q1040&amp;""""&amp;Dashboard!$"&amp;"L$1&amp;""""))),K1040))"),"")</f>
        <v/>
      </c>
      <c r="S1040" s="266" t="str">
        <f>IFERROR(__xludf.DUMMYFUNCTION("IF(ISBLANK(A1040),"""",IFERROR(IF(OR(Q1040=""GPB"",Q1040=""ZAR""),IF(Q1040=Dashboard!$L$1,M1040,(M1040*GOOGLEFINANCE(""CURRENCY:""&amp;Q1040&amp;""""&amp;Dashboard!$L$1&amp;""""))/100),IF(Q1040=Dashboard!$L$1,M1040,M1040*GOOGLEFINANCE(""CURRENCY:""&amp;Q1040&amp;""""&amp;Dashboard!$"&amp;"L$1&amp;""""))),M1040))"),"")</f>
        <v/>
      </c>
      <c r="T1040" s="264" t="str">
        <f t="shared" si="4"/>
        <v/>
      </c>
      <c r="U1040" s="264" t="str">
        <f t="shared" si="5"/>
        <v/>
      </c>
      <c r="V1040" s="264" t="str">
        <f t="shared" si="6"/>
        <v/>
      </c>
      <c r="W1040" s="267" t="str">
        <f t="shared" si="8"/>
        <v/>
      </c>
      <c r="X1040" s="264" t="str">
        <f t="shared" si="7"/>
        <v/>
      </c>
    </row>
    <row r="1041" ht="15.75" customHeight="1">
      <c r="A1041" s="258"/>
      <c r="B1041" s="258"/>
      <c r="C1041" s="269"/>
      <c r="D1041" s="258"/>
      <c r="E1041" s="258"/>
      <c r="F1041" s="258"/>
      <c r="G1041" s="258"/>
      <c r="H1041" s="271"/>
      <c r="I1041" s="258"/>
      <c r="J1041" s="272"/>
      <c r="K1041" s="260"/>
      <c r="L1041" s="261"/>
      <c r="M1041" s="262" t="str">
        <f t="shared" si="1"/>
        <v/>
      </c>
      <c r="N1041" s="263" t="str">
        <f t="shared" si="2"/>
        <v/>
      </c>
      <c r="O1041" s="264" t="str">
        <f t="shared" si="3"/>
        <v/>
      </c>
      <c r="P1041" s="265" t="str">
        <f>IFERROR(__xludf.DUMMYFUNCTION("IF(ISBLANK(A1041),"""",IFERROR(IF(H1041=""Sell"",VLOOKUP(9^99,FILTER({ROW(P$2:P1040),P$2:P1040},D$2:D1040=D1041),2),(VLOOKUP(9^99,FILTER({ROW(P$2:P1040),P$2:P1040},D$2:D1040=D1041),2)*VLOOKUP(9^99,FILTER({ROW(O$2:O1040),O$2:O1040},D$2:D1040=D1041),2)-N104"&amp;"1)/O1041),J1041))"),"")</f>
        <v/>
      </c>
      <c r="Q1041" s="264" t="str">
        <f>IFERROR(__xludf.DUMMYFUNCTION("IFERROR(IF(F1041=""Crypto"",B1041,(IF(ISBLANK(D1041),"""",IF(D1041=""Cash"",B1041,IF(GOOGLEFINANCE(D1041,""CURRENCY"")=""GBX"",""GBP"",GOOGLEFINANCE(D1041,""CURRENCY"")))))),B1041)"),"")</f>
        <v/>
      </c>
      <c r="R1041" s="263" t="str">
        <f>IFERROR(__xludf.DUMMYFUNCTION("IF(ISBLANK(A1041),"""",IFERROR(IF(OR(Q1041=""GPB"",Q1041=""ZAR""),IF(Q1041=Dashboard!$L$1,K1041,(K1041*GOOGLEFINANCE(""CURRENCY:""&amp;Q1041&amp;""""&amp;Dashboard!$L$1&amp;""""))/100),IF(Q1041=Dashboard!$L$1,K1041,K1041*GOOGLEFINANCE(""CURRENCY:""&amp;Q1041&amp;""""&amp;Dashboard!$"&amp;"L$1&amp;""""))),K1041))"),"")</f>
        <v/>
      </c>
      <c r="S1041" s="266" t="str">
        <f>IFERROR(__xludf.DUMMYFUNCTION("IF(ISBLANK(A1041),"""",IFERROR(IF(OR(Q1041=""GPB"",Q1041=""ZAR""),IF(Q1041=Dashboard!$L$1,M1041,(M1041*GOOGLEFINANCE(""CURRENCY:""&amp;Q1041&amp;""""&amp;Dashboard!$L$1&amp;""""))/100),IF(Q1041=Dashboard!$L$1,M1041,M1041*GOOGLEFINANCE(""CURRENCY:""&amp;Q1041&amp;""""&amp;Dashboard!$"&amp;"L$1&amp;""""))),M1041))"),"")</f>
        <v/>
      </c>
      <c r="T1041" s="264" t="str">
        <f t="shared" si="4"/>
        <v/>
      </c>
      <c r="U1041" s="264" t="str">
        <f t="shared" si="5"/>
        <v/>
      </c>
      <c r="V1041" s="264" t="str">
        <f t="shared" si="6"/>
        <v/>
      </c>
      <c r="W1041" s="267" t="str">
        <f t="shared" si="8"/>
        <v/>
      </c>
      <c r="X1041" s="264" t="str">
        <f t="shared" si="7"/>
        <v/>
      </c>
    </row>
    <row r="1042" ht="15.75" customHeight="1">
      <c r="A1042" s="258"/>
      <c r="B1042" s="258"/>
      <c r="C1042" s="269"/>
      <c r="D1042" s="258"/>
      <c r="E1042" s="258"/>
      <c r="F1042" s="258"/>
      <c r="G1042" s="258"/>
      <c r="H1042" s="271"/>
      <c r="I1042" s="258"/>
      <c r="J1042" s="272"/>
      <c r="K1042" s="260"/>
      <c r="L1042" s="261"/>
      <c r="M1042" s="262" t="str">
        <f t="shared" si="1"/>
        <v/>
      </c>
      <c r="N1042" s="263" t="str">
        <f t="shared" si="2"/>
        <v/>
      </c>
      <c r="O1042" s="264" t="str">
        <f t="shared" si="3"/>
        <v/>
      </c>
      <c r="P1042" s="265" t="str">
        <f>IFERROR(__xludf.DUMMYFUNCTION("IF(ISBLANK(A1042),"""",IFERROR(IF(H1042=""Sell"",VLOOKUP(9^99,FILTER({ROW(P$2:P1041),P$2:P1041},D$2:D1041=D1042),2),(VLOOKUP(9^99,FILTER({ROW(P$2:P1041),P$2:P1041},D$2:D1041=D1042),2)*VLOOKUP(9^99,FILTER({ROW(O$2:O1041),O$2:O1041},D$2:D1041=D1042),2)-N104"&amp;"2)/O1042),J1042))"),"")</f>
        <v/>
      </c>
      <c r="Q1042" s="264" t="str">
        <f>IFERROR(__xludf.DUMMYFUNCTION("IFERROR(IF(F1042=""Crypto"",B1042,(IF(ISBLANK(D1042),"""",IF(D1042=""Cash"",B1042,IF(GOOGLEFINANCE(D1042,""CURRENCY"")=""GBX"",""GBP"",GOOGLEFINANCE(D1042,""CURRENCY"")))))),B1042)"),"")</f>
        <v/>
      </c>
      <c r="R1042" s="263" t="str">
        <f>IFERROR(__xludf.DUMMYFUNCTION("IF(ISBLANK(A1042),"""",IFERROR(IF(OR(Q1042=""GPB"",Q1042=""ZAR""),IF(Q1042=Dashboard!$L$1,K1042,(K1042*GOOGLEFINANCE(""CURRENCY:""&amp;Q1042&amp;""""&amp;Dashboard!$L$1&amp;""""))/100),IF(Q1042=Dashboard!$L$1,K1042,K1042*GOOGLEFINANCE(""CURRENCY:""&amp;Q1042&amp;""""&amp;Dashboard!$"&amp;"L$1&amp;""""))),K1042))"),"")</f>
        <v/>
      </c>
      <c r="S1042" s="266" t="str">
        <f>IFERROR(__xludf.DUMMYFUNCTION("IF(ISBLANK(A1042),"""",IFERROR(IF(OR(Q1042=""GPB"",Q1042=""ZAR""),IF(Q1042=Dashboard!$L$1,M1042,(M1042*GOOGLEFINANCE(""CURRENCY:""&amp;Q1042&amp;""""&amp;Dashboard!$L$1&amp;""""))/100),IF(Q1042=Dashboard!$L$1,M1042,M1042*GOOGLEFINANCE(""CURRENCY:""&amp;Q1042&amp;""""&amp;Dashboard!$"&amp;"L$1&amp;""""))),M1042))"),"")</f>
        <v/>
      </c>
      <c r="T1042" s="264" t="str">
        <f t="shared" si="4"/>
        <v/>
      </c>
      <c r="U1042" s="264" t="str">
        <f t="shared" si="5"/>
        <v/>
      </c>
      <c r="V1042" s="264" t="str">
        <f t="shared" si="6"/>
        <v/>
      </c>
      <c r="W1042" s="267" t="str">
        <f t="shared" si="8"/>
        <v/>
      </c>
      <c r="X1042" s="264" t="str">
        <f t="shared" si="7"/>
        <v/>
      </c>
    </row>
    <row r="1043" ht="15.75" customHeight="1">
      <c r="A1043" s="258"/>
      <c r="B1043" s="258"/>
      <c r="C1043" s="269"/>
      <c r="D1043" s="258"/>
      <c r="E1043" s="258"/>
      <c r="F1043" s="258"/>
      <c r="G1043" s="258"/>
      <c r="H1043" s="271"/>
      <c r="I1043" s="258"/>
      <c r="J1043" s="272"/>
      <c r="K1043" s="260"/>
      <c r="L1043" s="261"/>
      <c r="M1043" s="262" t="str">
        <f t="shared" si="1"/>
        <v/>
      </c>
      <c r="N1043" s="263" t="str">
        <f t="shared" si="2"/>
        <v/>
      </c>
      <c r="O1043" s="264" t="str">
        <f t="shared" si="3"/>
        <v/>
      </c>
      <c r="P1043" s="265" t="str">
        <f>IFERROR(__xludf.DUMMYFUNCTION("IF(ISBLANK(A1043),"""",IFERROR(IF(H1043=""Sell"",VLOOKUP(9^99,FILTER({ROW(P$2:P1042),P$2:P1042},D$2:D1042=D1043),2),(VLOOKUP(9^99,FILTER({ROW(P$2:P1042),P$2:P1042},D$2:D1042=D1043),2)*VLOOKUP(9^99,FILTER({ROW(O$2:O1042),O$2:O1042},D$2:D1042=D1043),2)-N104"&amp;"3)/O1043),J1043))"),"")</f>
        <v/>
      </c>
      <c r="Q1043" s="264" t="str">
        <f>IFERROR(__xludf.DUMMYFUNCTION("IFERROR(IF(F1043=""Crypto"",B1043,(IF(ISBLANK(D1043),"""",IF(D1043=""Cash"",B1043,IF(GOOGLEFINANCE(D1043,""CURRENCY"")=""GBX"",""GBP"",GOOGLEFINANCE(D1043,""CURRENCY"")))))),B1043)"),"")</f>
        <v/>
      </c>
      <c r="R1043" s="263" t="str">
        <f>IFERROR(__xludf.DUMMYFUNCTION("IF(ISBLANK(A1043),"""",IFERROR(IF(OR(Q1043=""GPB"",Q1043=""ZAR""),IF(Q1043=Dashboard!$L$1,K1043,(K1043*GOOGLEFINANCE(""CURRENCY:""&amp;Q1043&amp;""""&amp;Dashboard!$L$1&amp;""""))/100),IF(Q1043=Dashboard!$L$1,K1043,K1043*GOOGLEFINANCE(""CURRENCY:""&amp;Q1043&amp;""""&amp;Dashboard!$"&amp;"L$1&amp;""""))),K1043))"),"")</f>
        <v/>
      </c>
      <c r="S1043" s="266" t="str">
        <f>IFERROR(__xludf.DUMMYFUNCTION("IF(ISBLANK(A1043),"""",IFERROR(IF(OR(Q1043=""GPB"",Q1043=""ZAR""),IF(Q1043=Dashboard!$L$1,M1043,(M1043*GOOGLEFINANCE(""CURRENCY:""&amp;Q1043&amp;""""&amp;Dashboard!$L$1&amp;""""))/100),IF(Q1043=Dashboard!$L$1,M1043,M1043*GOOGLEFINANCE(""CURRENCY:""&amp;Q1043&amp;""""&amp;Dashboard!$"&amp;"L$1&amp;""""))),M1043))"),"")</f>
        <v/>
      </c>
      <c r="T1043" s="264" t="str">
        <f t="shared" si="4"/>
        <v/>
      </c>
      <c r="U1043" s="264" t="str">
        <f t="shared" si="5"/>
        <v/>
      </c>
      <c r="V1043" s="264" t="str">
        <f t="shared" si="6"/>
        <v/>
      </c>
      <c r="W1043" s="267" t="str">
        <f t="shared" si="8"/>
        <v/>
      </c>
      <c r="X1043" s="264" t="str">
        <f t="shared" si="7"/>
        <v/>
      </c>
    </row>
    <row r="1044" ht="15.75" customHeight="1">
      <c r="A1044" s="258"/>
      <c r="B1044" s="258"/>
      <c r="C1044" s="269"/>
      <c r="D1044" s="258"/>
      <c r="E1044" s="258"/>
      <c r="F1044" s="258"/>
      <c r="G1044" s="258"/>
      <c r="H1044" s="271"/>
      <c r="I1044" s="258"/>
      <c r="J1044" s="272"/>
      <c r="K1044" s="260"/>
      <c r="L1044" s="261"/>
      <c r="M1044" s="262" t="str">
        <f t="shared" si="1"/>
        <v/>
      </c>
      <c r="N1044" s="263" t="str">
        <f t="shared" si="2"/>
        <v/>
      </c>
      <c r="O1044" s="264" t="str">
        <f t="shared" si="3"/>
        <v/>
      </c>
      <c r="P1044" s="265" t="str">
        <f>IFERROR(__xludf.DUMMYFUNCTION("IF(ISBLANK(A1044),"""",IFERROR(IF(H1044=""Sell"",VLOOKUP(9^99,FILTER({ROW(P$2:P1043),P$2:P1043},D$2:D1043=D1044),2),(VLOOKUP(9^99,FILTER({ROW(P$2:P1043),P$2:P1043},D$2:D1043=D1044),2)*VLOOKUP(9^99,FILTER({ROW(O$2:O1043),O$2:O1043},D$2:D1043=D1044),2)-N104"&amp;"4)/O1044),J1044))"),"")</f>
        <v/>
      </c>
      <c r="Q1044" s="264" t="str">
        <f>IFERROR(__xludf.DUMMYFUNCTION("IFERROR(IF(F1044=""Crypto"",B1044,(IF(ISBLANK(D1044),"""",IF(D1044=""Cash"",B1044,IF(GOOGLEFINANCE(D1044,""CURRENCY"")=""GBX"",""GBP"",GOOGLEFINANCE(D1044,""CURRENCY"")))))),B1044)"),"")</f>
        <v/>
      </c>
      <c r="R1044" s="263" t="str">
        <f>IFERROR(__xludf.DUMMYFUNCTION("IF(ISBLANK(A1044),"""",IFERROR(IF(OR(Q1044=""GPB"",Q1044=""ZAR""),IF(Q1044=Dashboard!$L$1,K1044,(K1044*GOOGLEFINANCE(""CURRENCY:""&amp;Q1044&amp;""""&amp;Dashboard!$L$1&amp;""""))/100),IF(Q1044=Dashboard!$L$1,K1044,K1044*GOOGLEFINANCE(""CURRENCY:""&amp;Q1044&amp;""""&amp;Dashboard!$"&amp;"L$1&amp;""""))),K1044))"),"")</f>
        <v/>
      </c>
      <c r="S1044" s="266" t="str">
        <f>IFERROR(__xludf.DUMMYFUNCTION("IF(ISBLANK(A1044),"""",IFERROR(IF(OR(Q1044=""GPB"",Q1044=""ZAR""),IF(Q1044=Dashboard!$L$1,M1044,(M1044*GOOGLEFINANCE(""CURRENCY:""&amp;Q1044&amp;""""&amp;Dashboard!$L$1&amp;""""))/100),IF(Q1044=Dashboard!$L$1,M1044,M1044*GOOGLEFINANCE(""CURRENCY:""&amp;Q1044&amp;""""&amp;Dashboard!$"&amp;"L$1&amp;""""))),M1044))"),"")</f>
        <v/>
      </c>
      <c r="T1044" s="264" t="str">
        <f t="shared" si="4"/>
        <v/>
      </c>
      <c r="U1044" s="264" t="str">
        <f t="shared" si="5"/>
        <v/>
      </c>
      <c r="V1044" s="264" t="str">
        <f t="shared" si="6"/>
        <v/>
      </c>
      <c r="W1044" s="267" t="str">
        <f t="shared" si="8"/>
        <v/>
      </c>
      <c r="X1044" s="264" t="str">
        <f t="shared" si="7"/>
        <v/>
      </c>
    </row>
    <row r="1045" ht="15.75" customHeight="1">
      <c r="A1045" s="258"/>
      <c r="B1045" s="258"/>
      <c r="C1045" s="269"/>
      <c r="D1045" s="258"/>
      <c r="E1045" s="258"/>
      <c r="F1045" s="258"/>
      <c r="G1045" s="258"/>
      <c r="H1045" s="271"/>
      <c r="I1045" s="258"/>
      <c r="J1045" s="272"/>
      <c r="K1045" s="260"/>
      <c r="L1045" s="261"/>
      <c r="M1045" s="262" t="str">
        <f t="shared" si="1"/>
        <v/>
      </c>
      <c r="N1045" s="263" t="str">
        <f t="shared" si="2"/>
        <v/>
      </c>
      <c r="O1045" s="264" t="str">
        <f t="shared" si="3"/>
        <v/>
      </c>
      <c r="P1045" s="265" t="str">
        <f>IFERROR(__xludf.DUMMYFUNCTION("IF(ISBLANK(A1045),"""",IFERROR(IF(H1045=""Sell"",VLOOKUP(9^99,FILTER({ROW(P$2:P1044),P$2:P1044},D$2:D1044=D1045),2),(VLOOKUP(9^99,FILTER({ROW(P$2:P1044),P$2:P1044},D$2:D1044=D1045),2)*VLOOKUP(9^99,FILTER({ROW(O$2:O1044),O$2:O1044},D$2:D1044=D1045),2)-N104"&amp;"5)/O1045),J1045))"),"")</f>
        <v/>
      </c>
      <c r="Q1045" s="264" t="str">
        <f>IFERROR(__xludf.DUMMYFUNCTION("IFERROR(IF(F1045=""Crypto"",B1045,(IF(ISBLANK(D1045),"""",IF(D1045=""Cash"",B1045,IF(GOOGLEFINANCE(D1045,""CURRENCY"")=""GBX"",""GBP"",GOOGLEFINANCE(D1045,""CURRENCY"")))))),B1045)"),"")</f>
        <v/>
      </c>
      <c r="R1045" s="263" t="str">
        <f>IFERROR(__xludf.DUMMYFUNCTION("IF(ISBLANK(A1045),"""",IFERROR(IF(OR(Q1045=""GPB"",Q1045=""ZAR""),IF(Q1045=Dashboard!$L$1,K1045,(K1045*GOOGLEFINANCE(""CURRENCY:""&amp;Q1045&amp;""""&amp;Dashboard!$L$1&amp;""""))/100),IF(Q1045=Dashboard!$L$1,K1045,K1045*GOOGLEFINANCE(""CURRENCY:""&amp;Q1045&amp;""""&amp;Dashboard!$"&amp;"L$1&amp;""""))),K1045))"),"")</f>
        <v/>
      </c>
      <c r="S1045" s="266" t="str">
        <f>IFERROR(__xludf.DUMMYFUNCTION("IF(ISBLANK(A1045),"""",IFERROR(IF(OR(Q1045=""GPB"",Q1045=""ZAR""),IF(Q1045=Dashboard!$L$1,M1045,(M1045*GOOGLEFINANCE(""CURRENCY:""&amp;Q1045&amp;""""&amp;Dashboard!$L$1&amp;""""))/100),IF(Q1045=Dashboard!$L$1,M1045,M1045*GOOGLEFINANCE(""CURRENCY:""&amp;Q1045&amp;""""&amp;Dashboard!$"&amp;"L$1&amp;""""))),M1045))"),"")</f>
        <v/>
      </c>
      <c r="T1045" s="264" t="str">
        <f t="shared" si="4"/>
        <v/>
      </c>
      <c r="U1045" s="264" t="str">
        <f t="shared" si="5"/>
        <v/>
      </c>
      <c r="V1045" s="264" t="str">
        <f t="shared" si="6"/>
        <v/>
      </c>
      <c r="W1045" s="267" t="str">
        <f t="shared" si="8"/>
        <v/>
      </c>
      <c r="X1045" s="264" t="str">
        <f t="shared" si="7"/>
        <v/>
      </c>
    </row>
    <row r="1046" ht="15.75" customHeight="1">
      <c r="A1046" s="258"/>
      <c r="B1046" s="258"/>
      <c r="C1046" s="269"/>
      <c r="D1046" s="258"/>
      <c r="E1046" s="258"/>
      <c r="F1046" s="258"/>
      <c r="G1046" s="258"/>
      <c r="H1046" s="271"/>
      <c r="I1046" s="258"/>
      <c r="J1046" s="272"/>
      <c r="K1046" s="260"/>
      <c r="L1046" s="261"/>
      <c r="M1046" s="262" t="str">
        <f t="shared" si="1"/>
        <v/>
      </c>
      <c r="N1046" s="263" t="str">
        <f t="shared" si="2"/>
        <v/>
      </c>
      <c r="O1046" s="264" t="str">
        <f t="shared" si="3"/>
        <v/>
      </c>
      <c r="P1046" s="265" t="str">
        <f>IFERROR(__xludf.DUMMYFUNCTION("IF(ISBLANK(A1046),"""",IFERROR(IF(H1046=""Sell"",VLOOKUP(9^99,FILTER({ROW(P$2:P1045),P$2:P1045},D$2:D1045=D1046),2),(VLOOKUP(9^99,FILTER({ROW(P$2:P1045),P$2:P1045},D$2:D1045=D1046),2)*VLOOKUP(9^99,FILTER({ROW(O$2:O1045),O$2:O1045},D$2:D1045=D1046),2)-N104"&amp;"6)/O1046),J1046))"),"")</f>
        <v/>
      </c>
      <c r="Q1046" s="264" t="str">
        <f>IFERROR(__xludf.DUMMYFUNCTION("IFERROR(IF(F1046=""Crypto"",B1046,(IF(ISBLANK(D1046),"""",IF(D1046=""Cash"",B1046,IF(GOOGLEFINANCE(D1046,""CURRENCY"")=""GBX"",""GBP"",GOOGLEFINANCE(D1046,""CURRENCY"")))))),B1046)"),"")</f>
        <v/>
      </c>
      <c r="R1046" s="263" t="str">
        <f>IFERROR(__xludf.DUMMYFUNCTION("IF(ISBLANK(A1046),"""",IFERROR(IF(OR(Q1046=""GPB"",Q1046=""ZAR""),IF(Q1046=Dashboard!$L$1,K1046,(K1046*GOOGLEFINANCE(""CURRENCY:""&amp;Q1046&amp;""""&amp;Dashboard!$L$1&amp;""""))/100),IF(Q1046=Dashboard!$L$1,K1046,K1046*GOOGLEFINANCE(""CURRENCY:""&amp;Q1046&amp;""""&amp;Dashboard!$"&amp;"L$1&amp;""""))),K1046))"),"")</f>
        <v/>
      </c>
      <c r="S1046" s="266" t="str">
        <f>IFERROR(__xludf.DUMMYFUNCTION("IF(ISBLANK(A1046),"""",IFERROR(IF(OR(Q1046=""GPB"",Q1046=""ZAR""),IF(Q1046=Dashboard!$L$1,M1046,(M1046*GOOGLEFINANCE(""CURRENCY:""&amp;Q1046&amp;""""&amp;Dashboard!$L$1&amp;""""))/100),IF(Q1046=Dashboard!$L$1,M1046,M1046*GOOGLEFINANCE(""CURRENCY:""&amp;Q1046&amp;""""&amp;Dashboard!$"&amp;"L$1&amp;""""))),M1046))"),"")</f>
        <v/>
      </c>
      <c r="T1046" s="264" t="str">
        <f t="shared" si="4"/>
        <v/>
      </c>
      <c r="U1046" s="264" t="str">
        <f t="shared" si="5"/>
        <v/>
      </c>
      <c r="V1046" s="264" t="str">
        <f t="shared" si="6"/>
        <v/>
      </c>
      <c r="W1046" s="267" t="str">
        <f t="shared" si="8"/>
        <v/>
      </c>
      <c r="X1046" s="264" t="str">
        <f t="shared" si="7"/>
        <v/>
      </c>
    </row>
    <row r="1047" ht="15.75" customHeight="1">
      <c r="A1047" s="258"/>
      <c r="B1047" s="258"/>
      <c r="C1047" s="269"/>
      <c r="D1047" s="258"/>
      <c r="E1047" s="258"/>
      <c r="F1047" s="258"/>
      <c r="G1047" s="258"/>
      <c r="H1047" s="271"/>
      <c r="I1047" s="258"/>
      <c r="J1047" s="272"/>
      <c r="K1047" s="260"/>
      <c r="L1047" s="261"/>
      <c r="M1047" s="262" t="str">
        <f t="shared" si="1"/>
        <v/>
      </c>
      <c r="N1047" s="263" t="str">
        <f t="shared" si="2"/>
        <v/>
      </c>
      <c r="O1047" s="264" t="str">
        <f t="shared" si="3"/>
        <v/>
      </c>
      <c r="P1047" s="265" t="str">
        <f>IFERROR(__xludf.DUMMYFUNCTION("IF(ISBLANK(A1047),"""",IFERROR(IF(H1047=""Sell"",VLOOKUP(9^99,FILTER({ROW(P$2:P1046),P$2:P1046},D$2:D1046=D1047),2),(VLOOKUP(9^99,FILTER({ROW(P$2:P1046),P$2:P1046},D$2:D1046=D1047),2)*VLOOKUP(9^99,FILTER({ROW(O$2:O1046),O$2:O1046},D$2:D1046=D1047),2)-N104"&amp;"7)/O1047),J1047))"),"")</f>
        <v/>
      </c>
      <c r="Q1047" s="264" t="str">
        <f>IFERROR(__xludf.DUMMYFUNCTION("IFERROR(IF(F1047=""Crypto"",B1047,(IF(ISBLANK(D1047),"""",IF(D1047=""Cash"",B1047,IF(GOOGLEFINANCE(D1047,""CURRENCY"")=""GBX"",""GBP"",GOOGLEFINANCE(D1047,""CURRENCY"")))))),B1047)"),"")</f>
        <v/>
      </c>
      <c r="R1047" s="263" t="str">
        <f>IFERROR(__xludf.DUMMYFUNCTION("IF(ISBLANK(A1047),"""",IFERROR(IF(OR(Q1047=""GPB"",Q1047=""ZAR""),IF(Q1047=Dashboard!$L$1,K1047,(K1047*GOOGLEFINANCE(""CURRENCY:""&amp;Q1047&amp;""""&amp;Dashboard!$L$1&amp;""""))/100),IF(Q1047=Dashboard!$L$1,K1047,K1047*GOOGLEFINANCE(""CURRENCY:""&amp;Q1047&amp;""""&amp;Dashboard!$"&amp;"L$1&amp;""""))),K1047))"),"")</f>
        <v/>
      </c>
      <c r="S1047" s="266" t="str">
        <f>IFERROR(__xludf.DUMMYFUNCTION("IF(ISBLANK(A1047),"""",IFERROR(IF(OR(Q1047=""GPB"",Q1047=""ZAR""),IF(Q1047=Dashboard!$L$1,M1047,(M1047*GOOGLEFINANCE(""CURRENCY:""&amp;Q1047&amp;""""&amp;Dashboard!$L$1&amp;""""))/100),IF(Q1047=Dashboard!$L$1,M1047,M1047*GOOGLEFINANCE(""CURRENCY:""&amp;Q1047&amp;""""&amp;Dashboard!$"&amp;"L$1&amp;""""))),M1047))"),"")</f>
        <v/>
      </c>
      <c r="T1047" s="264" t="str">
        <f t="shared" si="4"/>
        <v/>
      </c>
      <c r="U1047" s="264" t="str">
        <f t="shared" si="5"/>
        <v/>
      </c>
      <c r="V1047" s="264" t="str">
        <f t="shared" si="6"/>
        <v/>
      </c>
      <c r="W1047" s="267" t="str">
        <f t="shared" si="8"/>
        <v/>
      </c>
      <c r="X1047" s="264" t="str">
        <f t="shared" si="7"/>
        <v/>
      </c>
    </row>
    <row r="1048" ht="15.75" customHeight="1">
      <c r="A1048" s="258"/>
      <c r="B1048" s="258"/>
      <c r="C1048" s="269"/>
      <c r="D1048" s="258"/>
      <c r="E1048" s="258"/>
      <c r="F1048" s="258"/>
      <c r="G1048" s="258"/>
      <c r="H1048" s="271"/>
      <c r="I1048" s="258"/>
      <c r="J1048" s="272"/>
      <c r="K1048" s="260"/>
      <c r="L1048" s="261"/>
      <c r="M1048" s="262" t="str">
        <f t="shared" si="1"/>
        <v/>
      </c>
      <c r="N1048" s="263" t="str">
        <f t="shared" si="2"/>
        <v/>
      </c>
      <c r="O1048" s="264" t="str">
        <f t="shared" si="3"/>
        <v/>
      </c>
      <c r="P1048" s="265" t="str">
        <f>IFERROR(__xludf.DUMMYFUNCTION("IF(ISBLANK(A1048),"""",IFERROR(IF(H1048=""Sell"",VLOOKUP(9^99,FILTER({ROW(P$2:P1047),P$2:P1047},D$2:D1047=D1048),2),(VLOOKUP(9^99,FILTER({ROW(P$2:P1047),P$2:P1047},D$2:D1047=D1048),2)*VLOOKUP(9^99,FILTER({ROW(O$2:O1047),O$2:O1047},D$2:D1047=D1048),2)-N104"&amp;"8)/O1048),J1048))"),"")</f>
        <v/>
      </c>
      <c r="Q1048" s="264" t="str">
        <f>IFERROR(__xludf.DUMMYFUNCTION("IFERROR(IF(F1048=""Crypto"",B1048,(IF(ISBLANK(D1048),"""",IF(D1048=""Cash"",B1048,IF(GOOGLEFINANCE(D1048,""CURRENCY"")=""GBX"",""GBP"",GOOGLEFINANCE(D1048,""CURRENCY"")))))),B1048)"),"")</f>
        <v/>
      </c>
      <c r="R1048" s="263" t="str">
        <f>IFERROR(__xludf.DUMMYFUNCTION("IF(ISBLANK(A1048),"""",IFERROR(IF(OR(Q1048=""GPB"",Q1048=""ZAR""),IF(Q1048=Dashboard!$L$1,K1048,(K1048*GOOGLEFINANCE(""CURRENCY:""&amp;Q1048&amp;""""&amp;Dashboard!$L$1&amp;""""))/100),IF(Q1048=Dashboard!$L$1,K1048,K1048*GOOGLEFINANCE(""CURRENCY:""&amp;Q1048&amp;""""&amp;Dashboard!$"&amp;"L$1&amp;""""))),K1048))"),"")</f>
        <v/>
      </c>
      <c r="S1048" s="266" t="str">
        <f>IFERROR(__xludf.DUMMYFUNCTION("IF(ISBLANK(A1048),"""",IFERROR(IF(OR(Q1048=""GPB"",Q1048=""ZAR""),IF(Q1048=Dashboard!$L$1,M1048,(M1048*GOOGLEFINANCE(""CURRENCY:""&amp;Q1048&amp;""""&amp;Dashboard!$L$1&amp;""""))/100),IF(Q1048=Dashboard!$L$1,M1048,M1048*GOOGLEFINANCE(""CURRENCY:""&amp;Q1048&amp;""""&amp;Dashboard!$"&amp;"L$1&amp;""""))),M1048))"),"")</f>
        <v/>
      </c>
      <c r="T1048" s="264" t="str">
        <f t="shared" si="4"/>
        <v/>
      </c>
      <c r="U1048" s="264" t="str">
        <f t="shared" si="5"/>
        <v/>
      </c>
      <c r="V1048" s="264" t="str">
        <f t="shared" si="6"/>
        <v/>
      </c>
      <c r="W1048" s="267" t="str">
        <f t="shared" si="8"/>
        <v/>
      </c>
      <c r="X1048" s="264" t="str">
        <f t="shared" si="7"/>
        <v/>
      </c>
    </row>
    <row r="1049" ht="15.75" customHeight="1">
      <c r="A1049" s="258"/>
      <c r="B1049" s="258"/>
      <c r="C1049" s="269"/>
      <c r="D1049" s="258"/>
      <c r="E1049" s="258"/>
      <c r="F1049" s="258"/>
      <c r="G1049" s="258"/>
      <c r="H1049" s="271"/>
      <c r="I1049" s="258"/>
      <c r="J1049" s="272"/>
      <c r="K1049" s="260"/>
      <c r="L1049" s="261"/>
      <c r="M1049" s="262" t="str">
        <f t="shared" si="1"/>
        <v/>
      </c>
      <c r="N1049" s="263" t="str">
        <f t="shared" si="2"/>
        <v/>
      </c>
      <c r="O1049" s="264" t="str">
        <f t="shared" si="3"/>
        <v/>
      </c>
      <c r="P1049" s="265" t="str">
        <f>IFERROR(__xludf.DUMMYFUNCTION("IF(ISBLANK(A1049),"""",IFERROR(IF(H1049=""Sell"",VLOOKUP(9^99,FILTER({ROW(P$2:P1048),P$2:P1048},D$2:D1048=D1049),2),(VLOOKUP(9^99,FILTER({ROW(P$2:P1048),P$2:P1048},D$2:D1048=D1049),2)*VLOOKUP(9^99,FILTER({ROW(O$2:O1048),O$2:O1048},D$2:D1048=D1049),2)-N104"&amp;"9)/O1049),J1049))"),"")</f>
        <v/>
      </c>
      <c r="Q1049" s="264" t="str">
        <f>IFERROR(__xludf.DUMMYFUNCTION("IFERROR(IF(F1049=""Crypto"",B1049,(IF(ISBLANK(D1049),"""",IF(D1049=""Cash"",B1049,IF(GOOGLEFINANCE(D1049,""CURRENCY"")=""GBX"",""GBP"",GOOGLEFINANCE(D1049,""CURRENCY"")))))),B1049)"),"")</f>
        <v/>
      </c>
      <c r="R1049" s="263" t="str">
        <f>IFERROR(__xludf.DUMMYFUNCTION("IF(ISBLANK(A1049),"""",IFERROR(IF(OR(Q1049=""GPB"",Q1049=""ZAR""),IF(Q1049=Dashboard!$L$1,K1049,(K1049*GOOGLEFINANCE(""CURRENCY:""&amp;Q1049&amp;""""&amp;Dashboard!$L$1&amp;""""))/100),IF(Q1049=Dashboard!$L$1,K1049,K1049*GOOGLEFINANCE(""CURRENCY:""&amp;Q1049&amp;""""&amp;Dashboard!$"&amp;"L$1&amp;""""))),K1049))"),"")</f>
        <v/>
      </c>
      <c r="S1049" s="266" t="str">
        <f>IFERROR(__xludf.DUMMYFUNCTION("IF(ISBLANK(A1049),"""",IFERROR(IF(OR(Q1049=""GPB"",Q1049=""ZAR""),IF(Q1049=Dashboard!$L$1,M1049,(M1049*GOOGLEFINANCE(""CURRENCY:""&amp;Q1049&amp;""""&amp;Dashboard!$L$1&amp;""""))/100),IF(Q1049=Dashboard!$L$1,M1049,M1049*GOOGLEFINANCE(""CURRENCY:""&amp;Q1049&amp;""""&amp;Dashboard!$"&amp;"L$1&amp;""""))),M1049))"),"")</f>
        <v/>
      </c>
      <c r="T1049" s="264" t="str">
        <f t="shared" si="4"/>
        <v/>
      </c>
      <c r="U1049" s="264" t="str">
        <f t="shared" si="5"/>
        <v/>
      </c>
      <c r="V1049" s="264" t="str">
        <f t="shared" si="6"/>
        <v/>
      </c>
      <c r="W1049" s="267" t="str">
        <f t="shared" si="8"/>
        <v/>
      </c>
      <c r="X1049" s="264" t="str">
        <f t="shared" si="7"/>
        <v/>
      </c>
    </row>
    <row r="1050" ht="15.75" customHeight="1">
      <c r="A1050" s="258"/>
      <c r="B1050" s="258"/>
      <c r="C1050" s="269"/>
      <c r="D1050" s="258"/>
      <c r="E1050" s="258"/>
      <c r="F1050" s="258"/>
      <c r="G1050" s="258"/>
      <c r="H1050" s="271"/>
      <c r="I1050" s="258"/>
      <c r="J1050" s="272"/>
      <c r="K1050" s="260"/>
      <c r="L1050" s="261"/>
      <c r="M1050" s="262" t="str">
        <f t="shared" si="1"/>
        <v/>
      </c>
      <c r="N1050" s="263" t="str">
        <f t="shared" si="2"/>
        <v/>
      </c>
      <c r="O1050" s="264" t="str">
        <f t="shared" si="3"/>
        <v/>
      </c>
      <c r="P1050" s="265" t="str">
        <f>IFERROR(__xludf.DUMMYFUNCTION("IF(ISBLANK(A1050),"""",IFERROR(IF(H1050=""Sell"",VLOOKUP(9^99,FILTER({ROW(P$2:P1049),P$2:P1049},D$2:D1049=D1050),2),(VLOOKUP(9^99,FILTER({ROW(P$2:P1049),P$2:P1049},D$2:D1049=D1050),2)*VLOOKUP(9^99,FILTER({ROW(O$2:O1049),O$2:O1049},D$2:D1049=D1050),2)-N105"&amp;"0)/O1050),J1050))"),"")</f>
        <v/>
      </c>
      <c r="Q1050" s="264" t="str">
        <f>IFERROR(__xludf.DUMMYFUNCTION("IFERROR(IF(F1050=""Crypto"",B1050,(IF(ISBLANK(D1050),"""",IF(D1050=""Cash"",B1050,IF(GOOGLEFINANCE(D1050,""CURRENCY"")=""GBX"",""GBP"",GOOGLEFINANCE(D1050,""CURRENCY"")))))),B1050)"),"")</f>
        <v/>
      </c>
      <c r="R1050" s="263" t="str">
        <f>IFERROR(__xludf.DUMMYFUNCTION("IF(ISBLANK(A1050),"""",IFERROR(IF(OR(Q1050=""GPB"",Q1050=""ZAR""),IF(Q1050=Dashboard!$L$1,K1050,(K1050*GOOGLEFINANCE(""CURRENCY:""&amp;Q1050&amp;""""&amp;Dashboard!$L$1&amp;""""))/100),IF(Q1050=Dashboard!$L$1,K1050,K1050*GOOGLEFINANCE(""CURRENCY:""&amp;Q1050&amp;""""&amp;Dashboard!$"&amp;"L$1&amp;""""))),K1050))"),"")</f>
        <v/>
      </c>
      <c r="S1050" s="266" t="str">
        <f>IFERROR(__xludf.DUMMYFUNCTION("IF(ISBLANK(A1050),"""",IFERROR(IF(OR(Q1050=""GPB"",Q1050=""ZAR""),IF(Q1050=Dashboard!$L$1,M1050,(M1050*GOOGLEFINANCE(""CURRENCY:""&amp;Q1050&amp;""""&amp;Dashboard!$L$1&amp;""""))/100),IF(Q1050=Dashboard!$L$1,M1050,M1050*GOOGLEFINANCE(""CURRENCY:""&amp;Q1050&amp;""""&amp;Dashboard!$"&amp;"L$1&amp;""""))),M1050))"),"")</f>
        <v/>
      </c>
      <c r="T1050" s="264" t="str">
        <f t="shared" si="4"/>
        <v/>
      </c>
      <c r="U1050" s="264" t="str">
        <f t="shared" si="5"/>
        <v/>
      </c>
      <c r="V1050" s="264" t="str">
        <f t="shared" si="6"/>
        <v/>
      </c>
      <c r="W1050" s="267" t="str">
        <f t="shared" si="8"/>
        <v/>
      </c>
      <c r="X1050" s="264" t="str">
        <f t="shared" si="7"/>
        <v/>
      </c>
    </row>
    <row r="1051" ht="15.75" customHeight="1">
      <c r="A1051" s="258"/>
      <c r="B1051" s="258"/>
      <c r="C1051" s="269"/>
      <c r="D1051" s="258"/>
      <c r="E1051" s="258"/>
      <c r="F1051" s="258"/>
      <c r="G1051" s="258"/>
      <c r="H1051" s="271"/>
      <c r="I1051" s="258"/>
      <c r="J1051" s="272"/>
      <c r="K1051" s="260"/>
      <c r="L1051" s="261"/>
      <c r="M1051" s="262" t="str">
        <f t="shared" si="1"/>
        <v/>
      </c>
      <c r="N1051" s="263" t="str">
        <f t="shared" si="2"/>
        <v/>
      </c>
      <c r="O1051" s="264" t="str">
        <f t="shared" si="3"/>
        <v/>
      </c>
      <c r="P1051" s="265" t="str">
        <f>IFERROR(__xludf.DUMMYFUNCTION("IF(ISBLANK(A1051),"""",IFERROR(IF(H1051=""Sell"",VLOOKUP(9^99,FILTER({ROW(P$2:P1050),P$2:P1050},D$2:D1050=D1051),2),(VLOOKUP(9^99,FILTER({ROW(P$2:P1050),P$2:P1050},D$2:D1050=D1051),2)*VLOOKUP(9^99,FILTER({ROW(O$2:O1050),O$2:O1050},D$2:D1050=D1051),2)-N105"&amp;"1)/O1051),J1051))"),"")</f>
        <v/>
      </c>
      <c r="Q1051" s="264" t="str">
        <f>IFERROR(__xludf.DUMMYFUNCTION("IFERROR(IF(F1051=""Crypto"",B1051,(IF(ISBLANK(D1051),"""",IF(D1051=""Cash"",B1051,IF(GOOGLEFINANCE(D1051,""CURRENCY"")=""GBX"",""GBP"",GOOGLEFINANCE(D1051,""CURRENCY"")))))),B1051)"),"")</f>
        <v/>
      </c>
      <c r="R1051" s="263" t="str">
        <f>IFERROR(__xludf.DUMMYFUNCTION("IF(ISBLANK(A1051),"""",IFERROR(IF(OR(Q1051=""GPB"",Q1051=""ZAR""),IF(Q1051=Dashboard!$L$1,K1051,(K1051*GOOGLEFINANCE(""CURRENCY:""&amp;Q1051&amp;""""&amp;Dashboard!$L$1&amp;""""))/100),IF(Q1051=Dashboard!$L$1,K1051,K1051*GOOGLEFINANCE(""CURRENCY:""&amp;Q1051&amp;""""&amp;Dashboard!$"&amp;"L$1&amp;""""))),K1051))"),"")</f>
        <v/>
      </c>
      <c r="S1051" s="266" t="str">
        <f>IFERROR(__xludf.DUMMYFUNCTION("IF(ISBLANK(A1051),"""",IFERROR(IF(OR(Q1051=""GPB"",Q1051=""ZAR""),IF(Q1051=Dashboard!$L$1,M1051,(M1051*GOOGLEFINANCE(""CURRENCY:""&amp;Q1051&amp;""""&amp;Dashboard!$L$1&amp;""""))/100),IF(Q1051=Dashboard!$L$1,M1051,M1051*GOOGLEFINANCE(""CURRENCY:""&amp;Q1051&amp;""""&amp;Dashboard!$"&amp;"L$1&amp;""""))),M1051))"),"")</f>
        <v/>
      </c>
      <c r="T1051" s="264" t="str">
        <f t="shared" si="4"/>
        <v/>
      </c>
      <c r="U1051" s="264" t="str">
        <f t="shared" si="5"/>
        <v/>
      </c>
      <c r="V1051" s="264" t="str">
        <f t="shared" si="6"/>
        <v/>
      </c>
      <c r="W1051" s="267" t="str">
        <f t="shared" si="8"/>
        <v/>
      </c>
      <c r="X1051" s="264" t="str">
        <f t="shared" si="7"/>
        <v/>
      </c>
    </row>
    <row r="1052" ht="15.75" customHeight="1">
      <c r="A1052" s="258"/>
      <c r="B1052" s="258"/>
      <c r="C1052" s="269"/>
      <c r="D1052" s="258"/>
      <c r="E1052" s="258"/>
      <c r="F1052" s="258"/>
      <c r="G1052" s="258"/>
      <c r="H1052" s="271"/>
      <c r="I1052" s="258"/>
      <c r="J1052" s="272"/>
      <c r="K1052" s="260"/>
      <c r="L1052" s="261"/>
      <c r="M1052" s="262" t="str">
        <f t="shared" si="1"/>
        <v/>
      </c>
      <c r="N1052" s="263" t="str">
        <f t="shared" si="2"/>
        <v/>
      </c>
      <c r="O1052" s="264" t="str">
        <f t="shared" si="3"/>
        <v/>
      </c>
      <c r="P1052" s="265" t="str">
        <f>IFERROR(__xludf.DUMMYFUNCTION("IF(ISBLANK(A1052),"""",IFERROR(IF(H1052=""Sell"",VLOOKUP(9^99,FILTER({ROW(P$2:P1051),P$2:P1051},D$2:D1051=D1052),2),(VLOOKUP(9^99,FILTER({ROW(P$2:P1051),P$2:P1051},D$2:D1051=D1052),2)*VLOOKUP(9^99,FILTER({ROW(O$2:O1051),O$2:O1051},D$2:D1051=D1052),2)-N105"&amp;"2)/O1052),J1052))"),"")</f>
        <v/>
      </c>
      <c r="Q1052" s="264" t="str">
        <f>IFERROR(__xludf.DUMMYFUNCTION("IFERROR(IF(F1052=""Crypto"",B1052,(IF(ISBLANK(D1052),"""",IF(D1052=""Cash"",B1052,IF(GOOGLEFINANCE(D1052,""CURRENCY"")=""GBX"",""GBP"",GOOGLEFINANCE(D1052,""CURRENCY"")))))),B1052)"),"")</f>
        <v/>
      </c>
      <c r="R1052" s="263" t="str">
        <f>IFERROR(__xludf.DUMMYFUNCTION("IF(ISBLANK(A1052),"""",IFERROR(IF(OR(Q1052=""GPB"",Q1052=""ZAR""),IF(Q1052=Dashboard!$L$1,K1052,(K1052*GOOGLEFINANCE(""CURRENCY:""&amp;Q1052&amp;""""&amp;Dashboard!$L$1&amp;""""))/100),IF(Q1052=Dashboard!$L$1,K1052,K1052*GOOGLEFINANCE(""CURRENCY:""&amp;Q1052&amp;""""&amp;Dashboard!$"&amp;"L$1&amp;""""))),K1052))"),"")</f>
        <v/>
      </c>
      <c r="S1052" s="266" t="str">
        <f>IFERROR(__xludf.DUMMYFUNCTION("IF(ISBLANK(A1052),"""",IFERROR(IF(OR(Q1052=""GPB"",Q1052=""ZAR""),IF(Q1052=Dashboard!$L$1,M1052,(M1052*GOOGLEFINANCE(""CURRENCY:""&amp;Q1052&amp;""""&amp;Dashboard!$L$1&amp;""""))/100),IF(Q1052=Dashboard!$L$1,M1052,M1052*GOOGLEFINANCE(""CURRENCY:""&amp;Q1052&amp;""""&amp;Dashboard!$"&amp;"L$1&amp;""""))),M1052))"),"")</f>
        <v/>
      </c>
      <c r="T1052" s="264" t="str">
        <f t="shared" si="4"/>
        <v/>
      </c>
      <c r="U1052" s="264" t="str">
        <f t="shared" si="5"/>
        <v/>
      </c>
      <c r="V1052" s="264" t="str">
        <f t="shared" si="6"/>
        <v/>
      </c>
      <c r="W1052" s="267" t="str">
        <f t="shared" si="8"/>
        <v/>
      </c>
      <c r="X1052" s="264" t="str">
        <f t="shared" si="7"/>
        <v/>
      </c>
    </row>
    <row r="1053" ht="15.75" customHeight="1">
      <c r="A1053" s="258"/>
      <c r="B1053" s="258"/>
      <c r="C1053" s="269"/>
      <c r="D1053" s="258"/>
      <c r="E1053" s="258"/>
      <c r="F1053" s="258"/>
      <c r="G1053" s="258"/>
      <c r="H1053" s="271"/>
      <c r="I1053" s="258"/>
      <c r="J1053" s="272"/>
      <c r="K1053" s="260"/>
      <c r="L1053" s="261"/>
      <c r="M1053" s="262" t="str">
        <f t="shared" si="1"/>
        <v/>
      </c>
      <c r="N1053" s="263" t="str">
        <f t="shared" si="2"/>
        <v/>
      </c>
      <c r="O1053" s="264" t="str">
        <f t="shared" si="3"/>
        <v/>
      </c>
      <c r="P1053" s="265" t="str">
        <f>IFERROR(__xludf.DUMMYFUNCTION("IF(ISBLANK(A1053),"""",IFERROR(IF(H1053=""Sell"",VLOOKUP(9^99,FILTER({ROW(P$2:P1052),P$2:P1052},D$2:D1052=D1053),2),(VLOOKUP(9^99,FILTER({ROW(P$2:P1052),P$2:P1052},D$2:D1052=D1053),2)*VLOOKUP(9^99,FILTER({ROW(O$2:O1052),O$2:O1052},D$2:D1052=D1053),2)-N105"&amp;"3)/O1053),J1053))"),"")</f>
        <v/>
      </c>
      <c r="Q1053" s="264" t="str">
        <f>IFERROR(__xludf.DUMMYFUNCTION("IFERROR(IF(F1053=""Crypto"",B1053,(IF(ISBLANK(D1053),"""",IF(D1053=""Cash"",B1053,IF(GOOGLEFINANCE(D1053,""CURRENCY"")=""GBX"",""GBP"",GOOGLEFINANCE(D1053,""CURRENCY"")))))),B1053)"),"")</f>
        <v/>
      </c>
      <c r="R1053" s="263" t="str">
        <f>IFERROR(__xludf.DUMMYFUNCTION("IF(ISBLANK(A1053),"""",IFERROR(IF(OR(Q1053=""GPB"",Q1053=""ZAR""),IF(Q1053=Dashboard!$L$1,K1053,(K1053*GOOGLEFINANCE(""CURRENCY:""&amp;Q1053&amp;""""&amp;Dashboard!$L$1&amp;""""))/100),IF(Q1053=Dashboard!$L$1,K1053,K1053*GOOGLEFINANCE(""CURRENCY:""&amp;Q1053&amp;""""&amp;Dashboard!$"&amp;"L$1&amp;""""))),K1053))"),"")</f>
        <v/>
      </c>
      <c r="S1053" s="266" t="str">
        <f>IFERROR(__xludf.DUMMYFUNCTION("IF(ISBLANK(A1053),"""",IFERROR(IF(OR(Q1053=""GPB"",Q1053=""ZAR""),IF(Q1053=Dashboard!$L$1,M1053,(M1053*GOOGLEFINANCE(""CURRENCY:""&amp;Q1053&amp;""""&amp;Dashboard!$L$1&amp;""""))/100),IF(Q1053=Dashboard!$L$1,M1053,M1053*GOOGLEFINANCE(""CURRENCY:""&amp;Q1053&amp;""""&amp;Dashboard!$"&amp;"L$1&amp;""""))),M1053))"),"")</f>
        <v/>
      </c>
      <c r="T1053" s="264" t="str">
        <f t="shared" si="4"/>
        <v/>
      </c>
      <c r="U1053" s="264" t="str">
        <f t="shared" si="5"/>
        <v/>
      </c>
      <c r="V1053" s="264" t="str">
        <f t="shared" si="6"/>
        <v/>
      </c>
      <c r="W1053" s="267" t="str">
        <f t="shared" si="8"/>
        <v/>
      </c>
      <c r="X1053" s="264" t="str">
        <f t="shared" si="7"/>
        <v/>
      </c>
    </row>
    <row r="1054" ht="15.75" customHeight="1">
      <c r="A1054" s="258"/>
      <c r="B1054" s="258"/>
      <c r="C1054" s="269"/>
      <c r="D1054" s="258"/>
      <c r="E1054" s="258"/>
      <c r="F1054" s="258"/>
      <c r="G1054" s="258"/>
      <c r="H1054" s="271"/>
      <c r="I1054" s="258"/>
      <c r="J1054" s="272"/>
      <c r="K1054" s="260"/>
      <c r="L1054" s="261"/>
      <c r="M1054" s="262" t="str">
        <f t="shared" si="1"/>
        <v/>
      </c>
      <c r="N1054" s="263" t="str">
        <f t="shared" si="2"/>
        <v/>
      </c>
      <c r="O1054" s="264" t="str">
        <f t="shared" si="3"/>
        <v/>
      </c>
      <c r="P1054" s="265" t="str">
        <f>IFERROR(__xludf.DUMMYFUNCTION("IF(ISBLANK(A1054),"""",IFERROR(IF(H1054=""Sell"",VLOOKUP(9^99,FILTER({ROW(P$2:P1053),P$2:P1053},D$2:D1053=D1054),2),(VLOOKUP(9^99,FILTER({ROW(P$2:P1053),P$2:P1053},D$2:D1053=D1054),2)*VLOOKUP(9^99,FILTER({ROW(O$2:O1053),O$2:O1053},D$2:D1053=D1054),2)-N105"&amp;"4)/O1054),J1054))"),"")</f>
        <v/>
      </c>
      <c r="Q1054" s="264" t="str">
        <f>IFERROR(__xludf.DUMMYFUNCTION("IFERROR(IF(F1054=""Crypto"",B1054,(IF(ISBLANK(D1054),"""",IF(D1054=""Cash"",B1054,IF(GOOGLEFINANCE(D1054,""CURRENCY"")=""GBX"",""GBP"",GOOGLEFINANCE(D1054,""CURRENCY"")))))),B1054)"),"")</f>
        <v/>
      </c>
      <c r="R1054" s="263" t="str">
        <f>IFERROR(__xludf.DUMMYFUNCTION("IF(ISBLANK(A1054),"""",IFERROR(IF(OR(Q1054=""GPB"",Q1054=""ZAR""),IF(Q1054=Dashboard!$L$1,K1054,(K1054*GOOGLEFINANCE(""CURRENCY:""&amp;Q1054&amp;""""&amp;Dashboard!$L$1&amp;""""))/100),IF(Q1054=Dashboard!$L$1,K1054,K1054*GOOGLEFINANCE(""CURRENCY:""&amp;Q1054&amp;""""&amp;Dashboard!$"&amp;"L$1&amp;""""))),K1054))"),"")</f>
        <v/>
      </c>
      <c r="S1054" s="266" t="str">
        <f>IFERROR(__xludf.DUMMYFUNCTION("IF(ISBLANK(A1054),"""",IFERROR(IF(OR(Q1054=""GPB"",Q1054=""ZAR""),IF(Q1054=Dashboard!$L$1,M1054,(M1054*GOOGLEFINANCE(""CURRENCY:""&amp;Q1054&amp;""""&amp;Dashboard!$L$1&amp;""""))/100),IF(Q1054=Dashboard!$L$1,M1054,M1054*GOOGLEFINANCE(""CURRENCY:""&amp;Q1054&amp;""""&amp;Dashboard!$"&amp;"L$1&amp;""""))),M1054))"),"")</f>
        <v/>
      </c>
      <c r="T1054" s="264" t="str">
        <f t="shared" si="4"/>
        <v/>
      </c>
      <c r="U1054" s="264" t="str">
        <f t="shared" si="5"/>
        <v/>
      </c>
      <c r="V1054" s="264" t="str">
        <f t="shared" si="6"/>
        <v/>
      </c>
      <c r="W1054" s="267" t="str">
        <f t="shared" si="8"/>
        <v/>
      </c>
      <c r="X1054" s="264" t="str">
        <f t="shared" si="7"/>
        <v/>
      </c>
    </row>
    <row r="1055" ht="15.75" customHeight="1">
      <c r="A1055" s="258"/>
      <c r="B1055" s="258"/>
      <c r="C1055" s="269"/>
      <c r="D1055" s="258"/>
      <c r="E1055" s="258"/>
      <c r="F1055" s="258"/>
      <c r="G1055" s="258"/>
      <c r="H1055" s="271"/>
      <c r="I1055" s="258"/>
      <c r="J1055" s="272"/>
      <c r="K1055" s="260"/>
      <c r="L1055" s="261"/>
      <c r="M1055" s="262" t="str">
        <f t="shared" si="1"/>
        <v/>
      </c>
      <c r="N1055" s="263" t="str">
        <f t="shared" si="2"/>
        <v/>
      </c>
      <c r="O1055" s="264" t="str">
        <f t="shared" si="3"/>
        <v/>
      </c>
      <c r="P1055" s="265" t="str">
        <f>IFERROR(__xludf.DUMMYFUNCTION("IF(ISBLANK(A1055),"""",IFERROR(IF(H1055=""Sell"",VLOOKUP(9^99,FILTER({ROW(P$2:P1054),P$2:P1054},D$2:D1054=D1055),2),(VLOOKUP(9^99,FILTER({ROW(P$2:P1054),P$2:P1054},D$2:D1054=D1055),2)*VLOOKUP(9^99,FILTER({ROW(O$2:O1054),O$2:O1054},D$2:D1054=D1055),2)-N105"&amp;"5)/O1055),J1055))"),"")</f>
        <v/>
      </c>
      <c r="Q1055" s="264" t="str">
        <f>IFERROR(__xludf.DUMMYFUNCTION("IFERROR(IF(F1055=""Crypto"",B1055,(IF(ISBLANK(D1055),"""",IF(D1055=""Cash"",B1055,IF(GOOGLEFINANCE(D1055,""CURRENCY"")=""GBX"",""GBP"",GOOGLEFINANCE(D1055,""CURRENCY"")))))),B1055)"),"")</f>
        <v/>
      </c>
      <c r="R1055" s="263" t="str">
        <f>IFERROR(__xludf.DUMMYFUNCTION("IF(ISBLANK(A1055),"""",IFERROR(IF(OR(Q1055=""GPB"",Q1055=""ZAR""),IF(Q1055=Dashboard!$L$1,K1055,(K1055*GOOGLEFINANCE(""CURRENCY:""&amp;Q1055&amp;""""&amp;Dashboard!$L$1&amp;""""))/100),IF(Q1055=Dashboard!$L$1,K1055,K1055*GOOGLEFINANCE(""CURRENCY:""&amp;Q1055&amp;""""&amp;Dashboard!$"&amp;"L$1&amp;""""))),K1055))"),"")</f>
        <v/>
      </c>
      <c r="S1055" s="266" t="str">
        <f>IFERROR(__xludf.DUMMYFUNCTION("IF(ISBLANK(A1055),"""",IFERROR(IF(OR(Q1055=""GPB"",Q1055=""ZAR""),IF(Q1055=Dashboard!$L$1,M1055,(M1055*GOOGLEFINANCE(""CURRENCY:""&amp;Q1055&amp;""""&amp;Dashboard!$L$1&amp;""""))/100),IF(Q1055=Dashboard!$L$1,M1055,M1055*GOOGLEFINANCE(""CURRENCY:""&amp;Q1055&amp;""""&amp;Dashboard!$"&amp;"L$1&amp;""""))),M1055))"),"")</f>
        <v/>
      </c>
      <c r="T1055" s="264" t="str">
        <f t="shared" si="4"/>
        <v/>
      </c>
      <c r="U1055" s="264" t="str">
        <f t="shared" si="5"/>
        <v/>
      </c>
      <c r="V1055" s="264" t="str">
        <f t="shared" si="6"/>
        <v/>
      </c>
      <c r="W1055" s="267" t="str">
        <f t="shared" si="8"/>
        <v/>
      </c>
      <c r="X1055" s="264" t="str">
        <f t="shared" si="7"/>
        <v/>
      </c>
    </row>
    <row r="1056" ht="15.75" customHeight="1">
      <c r="A1056" s="258"/>
      <c r="B1056" s="258"/>
      <c r="C1056" s="269"/>
      <c r="D1056" s="258"/>
      <c r="E1056" s="258"/>
      <c r="F1056" s="258"/>
      <c r="G1056" s="258"/>
      <c r="H1056" s="271"/>
      <c r="I1056" s="258"/>
      <c r="J1056" s="272"/>
      <c r="K1056" s="260"/>
      <c r="L1056" s="261"/>
      <c r="M1056" s="262" t="str">
        <f t="shared" si="1"/>
        <v/>
      </c>
      <c r="N1056" s="263" t="str">
        <f t="shared" si="2"/>
        <v/>
      </c>
      <c r="O1056" s="264" t="str">
        <f t="shared" si="3"/>
        <v/>
      </c>
      <c r="P1056" s="265" t="str">
        <f>IFERROR(__xludf.DUMMYFUNCTION("IF(ISBLANK(A1056),"""",IFERROR(IF(H1056=""Sell"",VLOOKUP(9^99,FILTER({ROW(P$2:P1055),P$2:P1055},D$2:D1055=D1056),2),(VLOOKUP(9^99,FILTER({ROW(P$2:P1055),P$2:P1055},D$2:D1055=D1056),2)*VLOOKUP(9^99,FILTER({ROW(O$2:O1055),O$2:O1055},D$2:D1055=D1056),2)-N105"&amp;"6)/O1056),J1056))"),"")</f>
        <v/>
      </c>
      <c r="Q1056" s="264" t="str">
        <f>IFERROR(__xludf.DUMMYFUNCTION("IFERROR(IF(F1056=""Crypto"",B1056,(IF(ISBLANK(D1056),"""",IF(D1056=""Cash"",B1056,IF(GOOGLEFINANCE(D1056,""CURRENCY"")=""GBX"",""GBP"",GOOGLEFINANCE(D1056,""CURRENCY"")))))),B1056)"),"")</f>
        <v/>
      </c>
      <c r="R1056" s="263" t="str">
        <f>IFERROR(__xludf.DUMMYFUNCTION("IF(ISBLANK(A1056),"""",IFERROR(IF(OR(Q1056=""GPB"",Q1056=""ZAR""),IF(Q1056=Dashboard!$L$1,K1056,(K1056*GOOGLEFINANCE(""CURRENCY:""&amp;Q1056&amp;""""&amp;Dashboard!$L$1&amp;""""))/100),IF(Q1056=Dashboard!$L$1,K1056,K1056*GOOGLEFINANCE(""CURRENCY:""&amp;Q1056&amp;""""&amp;Dashboard!$"&amp;"L$1&amp;""""))),K1056))"),"")</f>
        <v/>
      </c>
      <c r="S1056" s="266" t="str">
        <f>IFERROR(__xludf.DUMMYFUNCTION("IF(ISBLANK(A1056),"""",IFERROR(IF(OR(Q1056=""GPB"",Q1056=""ZAR""),IF(Q1056=Dashboard!$L$1,M1056,(M1056*GOOGLEFINANCE(""CURRENCY:""&amp;Q1056&amp;""""&amp;Dashboard!$L$1&amp;""""))/100),IF(Q1056=Dashboard!$L$1,M1056,M1056*GOOGLEFINANCE(""CURRENCY:""&amp;Q1056&amp;""""&amp;Dashboard!$"&amp;"L$1&amp;""""))),M1056))"),"")</f>
        <v/>
      </c>
      <c r="T1056" s="264" t="str">
        <f t="shared" si="4"/>
        <v/>
      </c>
      <c r="U1056" s="264" t="str">
        <f t="shared" si="5"/>
        <v/>
      </c>
      <c r="V1056" s="264" t="str">
        <f t="shared" si="6"/>
        <v/>
      </c>
      <c r="W1056" s="267" t="str">
        <f t="shared" si="8"/>
        <v/>
      </c>
      <c r="X1056" s="264" t="str">
        <f t="shared" si="7"/>
        <v/>
      </c>
    </row>
    <row r="1057" ht="15.75" customHeight="1">
      <c r="A1057" s="258"/>
      <c r="B1057" s="258"/>
      <c r="C1057" s="269"/>
      <c r="D1057" s="258"/>
      <c r="E1057" s="258"/>
      <c r="F1057" s="258"/>
      <c r="G1057" s="258"/>
      <c r="H1057" s="271"/>
      <c r="I1057" s="258"/>
      <c r="J1057" s="272"/>
      <c r="K1057" s="260"/>
      <c r="L1057" s="261"/>
      <c r="M1057" s="262" t="str">
        <f t="shared" si="1"/>
        <v/>
      </c>
      <c r="N1057" s="263" t="str">
        <f t="shared" si="2"/>
        <v/>
      </c>
      <c r="O1057" s="264" t="str">
        <f t="shared" si="3"/>
        <v/>
      </c>
      <c r="P1057" s="265" t="str">
        <f>IFERROR(__xludf.DUMMYFUNCTION("IF(ISBLANK(A1057),"""",IFERROR(IF(H1057=""Sell"",VLOOKUP(9^99,FILTER({ROW(P$2:P1056),P$2:P1056},D$2:D1056=D1057),2),(VLOOKUP(9^99,FILTER({ROW(P$2:P1056),P$2:P1056},D$2:D1056=D1057),2)*VLOOKUP(9^99,FILTER({ROW(O$2:O1056),O$2:O1056},D$2:D1056=D1057),2)-N105"&amp;"7)/O1057),J1057))"),"")</f>
        <v/>
      </c>
      <c r="Q1057" s="264" t="str">
        <f>IFERROR(__xludf.DUMMYFUNCTION("IFERROR(IF(F1057=""Crypto"",B1057,(IF(ISBLANK(D1057),"""",IF(D1057=""Cash"",B1057,IF(GOOGLEFINANCE(D1057,""CURRENCY"")=""GBX"",""GBP"",GOOGLEFINANCE(D1057,""CURRENCY"")))))),B1057)"),"")</f>
        <v/>
      </c>
      <c r="R1057" s="263" t="str">
        <f>IFERROR(__xludf.DUMMYFUNCTION("IF(ISBLANK(A1057),"""",IFERROR(IF(OR(Q1057=""GPB"",Q1057=""ZAR""),IF(Q1057=Dashboard!$L$1,K1057,(K1057*GOOGLEFINANCE(""CURRENCY:""&amp;Q1057&amp;""""&amp;Dashboard!$L$1&amp;""""))/100),IF(Q1057=Dashboard!$L$1,K1057,K1057*GOOGLEFINANCE(""CURRENCY:""&amp;Q1057&amp;""""&amp;Dashboard!$"&amp;"L$1&amp;""""))),K1057))"),"")</f>
        <v/>
      </c>
      <c r="S1057" s="266" t="str">
        <f>IFERROR(__xludf.DUMMYFUNCTION("IF(ISBLANK(A1057),"""",IFERROR(IF(OR(Q1057=""GPB"",Q1057=""ZAR""),IF(Q1057=Dashboard!$L$1,M1057,(M1057*GOOGLEFINANCE(""CURRENCY:""&amp;Q1057&amp;""""&amp;Dashboard!$L$1&amp;""""))/100),IF(Q1057=Dashboard!$L$1,M1057,M1057*GOOGLEFINANCE(""CURRENCY:""&amp;Q1057&amp;""""&amp;Dashboard!$"&amp;"L$1&amp;""""))),M1057))"),"")</f>
        <v/>
      </c>
      <c r="T1057" s="264" t="str">
        <f t="shared" si="4"/>
        <v/>
      </c>
      <c r="U1057" s="264" t="str">
        <f t="shared" si="5"/>
        <v/>
      </c>
      <c r="V1057" s="264" t="str">
        <f t="shared" si="6"/>
        <v/>
      </c>
      <c r="W1057" s="267" t="str">
        <f t="shared" si="8"/>
        <v/>
      </c>
      <c r="X1057" s="264" t="str">
        <f t="shared" si="7"/>
        <v/>
      </c>
    </row>
    <row r="1058" ht="15.75" customHeight="1">
      <c r="A1058" s="258"/>
      <c r="B1058" s="258"/>
      <c r="C1058" s="269"/>
      <c r="D1058" s="258"/>
      <c r="E1058" s="258"/>
      <c r="F1058" s="258"/>
      <c r="G1058" s="258"/>
      <c r="H1058" s="271"/>
      <c r="I1058" s="258"/>
      <c r="J1058" s="272"/>
      <c r="K1058" s="260"/>
      <c r="L1058" s="261"/>
      <c r="M1058" s="262" t="str">
        <f t="shared" si="1"/>
        <v/>
      </c>
      <c r="N1058" s="263" t="str">
        <f t="shared" si="2"/>
        <v/>
      </c>
      <c r="O1058" s="264" t="str">
        <f t="shared" si="3"/>
        <v/>
      </c>
      <c r="P1058" s="265" t="str">
        <f>IFERROR(__xludf.DUMMYFUNCTION("IF(ISBLANK(A1058),"""",IFERROR(IF(H1058=""Sell"",VLOOKUP(9^99,FILTER({ROW(P$2:P1057),P$2:P1057},D$2:D1057=D1058),2),(VLOOKUP(9^99,FILTER({ROW(P$2:P1057),P$2:P1057},D$2:D1057=D1058),2)*VLOOKUP(9^99,FILTER({ROW(O$2:O1057),O$2:O1057},D$2:D1057=D1058),2)-N105"&amp;"8)/O1058),J1058))"),"")</f>
        <v/>
      </c>
      <c r="Q1058" s="264" t="str">
        <f>IFERROR(__xludf.DUMMYFUNCTION("IFERROR(IF(F1058=""Crypto"",B1058,(IF(ISBLANK(D1058),"""",IF(D1058=""Cash"",B1058,IF(GOOGLEFINANCE(D1058,""CURRENCY"")=""GBX"",""GBP"",GOOGLEFINANCE(D1058,""CURRENCY"")))))),B1058)"),"")</f>
        <v/>
      </c>
      <c r="R1058" s="263" t="str">
        <f>IFERROR(__xludf.DUMMYFUNCTION("IF(ISBLANK(A1058),"""",IFERROR(IF(OR(Q1058=""GPB"",Q1058=""ZAR""),IF(Q1058=Dashboard!$L$1,K1058,(K1058*GOOGLEFINANCE(""CURRENCY:""&amp;Q1058&amp;""""&amp;Dashboard!$L$1&amp;""""))/100),IF(Q1058=Dashboard!$L$1,K1058,K1058*GOOGLEFINANCE(""CURRENCY:""&amp;Q1058&amp;""""&amp;Dashboard!$"&amp;"L$1&amp;""""))),K1058))"),"")</f>
        <v/>
      </c>
      <c r="S1058" s="266" t="str">
        <f>IFERROR(__xludf.DUMMYFUNCTION("IF(ISBLANK(A1058),"""",IFERROR(IF(OR(Q1058=""GPB"",Q1058=""ZAR""),IF(Q1058=Dashboard!$L$1,M1058,(M1058*GOOGLEFINANCE(""CURRENCY:""&amp;Q1058&amp;""""&amp;Dashboard!$L$1&amp;""""))/100),IF(Q1058=Dashboard!$L$1,M1058,M1058*GOOGLEFINANCE(""CURRENCY:""&amp;Q1058&amp;""""&amp;Dashboard!$"&amp;"L$1&amp;""""))),M1058))"),"")</f>
        <v/>
      </c>
      <c r="T1058" s="264" t="str">
        <f t="shared" si="4"/>
        <v/>
      </c>
      <c r="U1058" s="264" t="str">
        <f t="shared" si="5"/>
        <v/>
      </c>
      <c r="V1058" s="264" t="str">
        <f t="shared" si="6"/>
        <v/>
      </c>
      <c r="W1058" s="267" t="str">
        <f t="shared" si="8"/>
        <v/>
      </c>
      <c r="X1058" s="264" t="str">
        <f t="shared" si="7"/>
        <v/>
      </c>
    </row>
    <row r="1059" ht="15.75" customHeight="1">
      <c r="A1059" s="258"/>
      <c r="B1059" s="258"/>
      <c r="C1059" s="269"/>
      <c r="D1059" s="258"/>
      <c r="E1059" s="258"/>
      <c r="F1059" s="258"/>
      <c r="G1059" s="258"/>
      <c r="H1059" s="271"/>
      <c r="I1059" s="258"/>
      <c r="J1059" s="272"/>
      <c r="K1059" s="260"/>
      <c r="L1059" s="261"/>
      <c r="M1059" s="262" t="str">
        <f t="shared" si="1"/>
        <v/>
      </c>
      <c r="N1059" s="263" t="str">
        <f t="shared" si="2"/>
        <v/>
      </c>
      <c r="O1059" s="264" t="str">
        <f t="shared" si="3"/>
        <v/>
      </c>
      <c r="P1059" s="265" t="str">
        <f>IFERROR(__xludf.DUMMYFUNCTION("IF(ISBLANK(A1059),"""",IFERROR(IF(H1059=""Sell"",VLOOKUP(9^99,FILTER({ROW(P$2:P1058),P$2:P1058},D$2:D1058=D1059),2),(VLOOKUP(9^99,FILTER({ROW(P$2:P1058),P$2:P1058},D$2:D1058=D1059),2)*VLOOKUP(9^99,FILTER({ROW(O$2:O1058),O$2:O1058},D$2:D1058=D1059),2)-N105"&amp;"9)/O1059),J1059))"),"")</f>
        <v/>
      </c>
      <c r="Q1059" s="264" t="str">
        <f>IFERROR(__xludf.DUMMYFUNCTION("IFERROR(IF(F1059=""Crypto"",B1059,(IF(ISBLANK(D1059),"""",IF(D1059=""Cash"",B1059,IF(GOOGLEFINANCE(D1059,""CURRENCY"")=""GBX"",""GBP"",GOOGLEFINANCE(D1059,""CURRENCY"")))))),B1059)"),"")</f>
        <v/>
      </c>
      <c r="R1059" s="263" t="str">
        <f>IFERROR(__xludf.DUMMYFUNCTION("IF(ISBLANK(A1059),"""",IFERROR(IF(OR(Q1059=""GPB"",Q1059=""ZAR""),IF(Q1059=Dashboard!$L$1,K1059,(K1059*GOOGLEFINANCE(""CURRENCY:""&amp;Q1059&amp;""""&amp;Dashboard!$L$1&amp;""""))/100),IF(Q1059=Dashboard!$L$1,K1059,K1059*GOOGLEFINANCE(""CURRENCY:""&amp;Q1059&amp;""""&amp;Dashboard!$"&amp;"L$1&amp;""""))),K1059))"),"")</f>
        <v/>
      </c>
      <c r="S1059" s="266" t="str">
        <f>IFERROR(__xludf.DUMMYFUNCTION("IF(ISBLANK(A1059),"""",IFERROR(IF(OR(Q1059=""GPB"",Q1059=""ZAR""),IF(Q1059=Dashboard!$L$1,M1059,(M1059*GOOGLEFINANCE(""CURRENCY:""&amp;Q1059&amp;""""&amp;Dashboard!$L$1&amp;""""))/100),IF(Q1059=Dashboard!$L$1,M1059,M1059*GOOGLEFINANCE(""CURRENCY:""&amp;Q1059&amp;""""&amp;Dashboard!$"&amp;"L$1&amp;""""))),M1059))"),"")</f>
        <v/>
      </c>
      <c r="T1059" s="264" t="str">
        <f t="shared" si="4"/>
        <v/>
      </c>
      <c r="U1059" s="264" t="str">
        <f t="shared" si="5"/>
        <v/>
      </c>
      <c r="V1059" s="264" t="str">
        <f t="shared" si="6"/>
        <v/>
      </c>
      <c r="W1059" s="267" t="str">
        <f t="shared" si="8"/>
        <v/>
      </c>
      <c r="X1059" s="264" t="str">
        <f t="shared" si="7"/>
        <v/>
      </c>
    </row>
    <row r="1060" ht="15.75" customHeight="1">
      <c r="A1060" s="258"/>
      <c r="B1060" s="258"/>
      <c r="C1060" s="269"/>
      <c r="D1060" s="258"/>
      <c r="E1060" s="258"/>
      <c r="F1060" s="258"/>
      <c r="G1060" s="258"/>
      <c r="H1060" s="271"/>
      <c r="I1060" s="258"/>
      <c r="J1060" s="272"/>
      <c r="K1060" s="260"/>
      <c r="L1060" s="261"/>
      <c r="M1060" s="262" t="str">
        <f t="shared" si="1"/>
        <v/>
      </c>
      <c r="N1060" s="263" t="str">
        <f t="shared" si="2"/>
        <v/>
      </c>
      <c r="O1060" s="264" t="str">
        <f t="shared" si="3"/>
        <v/>
      </c>
      <c r="P1060" s="265" t="str">
        <f>IFERROR(__xludf.DUMMYFUNCTION("IF(ISBLANK(A1060),"""",IFERROR(IF(H1060=""Sell"",VLOOKUP(9^99,FILTER({ROW(P$2:P1059),P$2:P1059},D$2:D1059=D1060),2),(VLOOKUP(9^99,FILTER({ROW(P$2:P1059),P$2:P1059},D$2:D1059=D1060),2)*VLOOKUP(9^99,FILTER({ROW(O$2:O1059),O$2:O1059},D$2:D1059=D1060),2)-N106"&amp;"0)/O1060),J1060))"),"")</f>
        <v/>
      </c>
      <c r="Q1060" s="264" t="str">
        <f>IFERROR(__xludf.DUMMYFUNCTION("IFERROR(IF(F1060=""Crypto"",B1060,(IF(ISBLANK(D1060),"""",IF(D1060=""Cash"",B1060,IF(GOOGLEFINANCE(D1060,""CURRENCY"")=""GBX"",""GBP"",GOOGLEFINANCE(D1060,""CURRENCY"")))))),B1060)"),"")</f>
        <v/>
      </c>
      <c r="R1060" s="263" t="str">
        <f>IFERROR(__xludf.DUMMYFUNCTION("IF(ISBLANK(A1060),"""",IFERROR(IF(OR(Q1060=""GPB"",Q1060=""ZAR""),IF(Q1060=Dashboard!$L$1,K1060,(K1060*GOOGLEFINANCE(""CURRENCY:""&amp;Q1060&amp;""""&amp;Dashboard!$L$1&amp;""""))/100),IF(Q1060=Dashboard!$L$1,K1060,K1060*GOOGLEFINANCE(""CURRENCY:""&amp;Q1060&amp;""""&amp;Dashboard!$"&amp;"L$1&amp;""""))),K1060))"),"")</f>
        <v/>
      </c>
      <c r="S1060" s="266" t="str">
        <f>IFERROR(__xludf.DUMMYFUNCTION("IF(ISBLANK(A1060),"""",IFERROR(IF(OR(Q1060=""GPB"",Q1060=""ZAR""),IF(Q1060=Dashboard!$L$1,M1060,(M1060*GOOGLEFINANCE(""CURRENCY:""&amp;Q1060&amp;""""&amp;Dashboard!$L$1&amp;""""))/100),IF(Q1060=Dashboard!$L$1,M1060,M1060*GOOGLEFINANCE(""CURRENCY:""&amp;Q1060&amp;""""&amp;Dashboard!$"&amp;"L$1&amp;""""))),M1060))"),"")</f>
        <v/>
      </c>
      <c r="T1060" s="264" t="str">
        <f t="shared" si="4"/>
        <v/>
      </c>
      <c r="U1060" s="264" t="str">
        <f t="shared" si="5"/>
        <v/>
      </c>
      <c r="V1060" s="264" t="str">
        <f t="shared" si="6"/>
        <v/>
      </c>
      <c r="W1060" s="267" t="str">
        <f t="shared" si="8"/>
        <v/>
      </c>
      <c r="X1060" s="264" t="str">
        <f t="shared" si="7"/>
        <v/>
      </c>
    </row>
    <row r="1061" ht="15.75" customHeight="1">
      <c r="A1061" s="258"/>
      <c r="B1061" s="258"/>
      <c r="C1061" s="269"/>
      <c r="D1061" s="258"/>
      <c r="E1061" s="258"/>
      <c r="F1061" s="258"/>
      <c r="G1061" s="258"/>
      <c r="H1061" s="271"/>
      <c r="I1061" s="258"/>
      <c r="J1061" s="272"/>
      <c r="K1061" s="260"/>
      <c r="L1061" s="261"/>
      <c r="M1061" s="262" t="str">
        <f t="shared" si="1"/>
        <v/>
      </c>
      <c r="N1061" s="263" t="str">
        <f t="shared" si="2"/>
        <v/>
      </c>
      <c r="O1061" s="264" t="str">
        <f t="shared" si="3"/>
        <v/>
      </c>
      <c r="P1061" s="265" t="str">
        <f>IFERROR(__xludf.DUMMYFUNCTION("IF(ISBLANK(A1061),"""",IFERROR(IF(H1061=""Sell"",VLOOKUP(9^99,FILTER({ROW(P$2:P1060),P$2:P1060},D$2:D1060=D1061),2),(VLOOKUP(9^99,FILTER({ROW(P$2:P1060),P$2:P1060},D$2:D1060=D1061),2)*VLOOKUP(9^99,FILTER({ROW(O$2:O1060),O$2:O1060},D$2:D1060=D1061),2)-N106"&amp;"1)/O1061),J1061))"),"")</f>
        <v/>
      </c>
      <c r="Q1061" s="264" t="str">
        <f>IFERROR(__xludf.DUMMYFUNCTION("IFERROR(IF(F1061=""Crypto"",B1061,(IF(ISBLANK(D1061),"""",IF(D1061=""Cash"",B1061,IF(GOOGLEFINANCE(D1061,""CURRENCY"")=""GBX"",""GBP"",GOOGLEFINANCE(D1061,""CURRENCY"")))))),B1061)"),"")</f>
        <v/>
      </c>
      <c r="R1061" s="263" t="str">
        <f>IFERROR(__xludf.DUMMYFUNCTION("IF(ISBLANK(A1061),"""",IFERROR(IF(OR(Q1061=""GPB"",Q1061=""ZAR""),IF(Q1061=Dashboard!$L$1,K1061,(K1061*GOOGLEFINANCE(""CURRENCY:""&amp;Q1061&amp;""""&amp;Dashboard!$L$1&amp;""""))/100),IF(Q1061=Dashboard!$L$1,K1061,K1061*GOOGLEFINANCE(""CURRENCY:""&amp;Q1061&amp;""""&amp;Dashboard!$"&amp;"L$1&amp;""""))),K1061))"),"")</f>
        <v/>
      </c>
      <c r="S1061" s="266" t="str">
        <f>IFERROR(__xludf.DUMMYFUNCTION("IF(ISBLANK(A1061),"""",IFERROR(IF(OR(Q1061=""GPB"",Q1061=""ZAR""),IF(Q1061=Dashboard!$L$1,M1061,(M1061*GOOGLEFINANCE(""CURRENCY:""&amp;Q1061&amp;""""&amp;Dashboard!$L$1&amp;""""))/100),IF(Q1061=Dashboard!$L$1,M1061,M1061*GOOGLEFINANCE(""CURRENCY:""&amp;Q1061&amp;""""&amp;Dashboard!$"&amp;"L$1&amp;""""))),M1061))"),"")</f>
        <v/>
      </c>
      <c r="T1061" s="264" t="str">
        <f t="shared" si="4"/>
        <v/>
      </c>
      <c r="U1061" s="264" t="str">
        <f t="shared" si="5"/>
        <v/>
      </c>
      <c r="V1061" s="264" t="str">
        <f t="shared" si="6"/>
        <v/>
      </c>
      <c r="W1061" s="267" t="str">
        <f t="shared" si="8"/>
        <v/>
      </c>
      <c r="X1061" s="264" t="str">
        <f t="shared" si="7"/>
        <v/>
      </c>
    </row>
    <row r="1062" ht="15.75" customHeight="1">
      <c r="A1062" s="258"/>
      <c r="B1062" s="258"/>
      <c r="C1062" s="269"/>
      <c r="D1062" s="258"/>
      <c r="E1062" s="258"/>
      <c r="F1062" s="258"/>
      <c r="G1062" s="258"/>
      <c r="H1062" s="271"/>
      <c r="I1062" s="258"/>
      <c r="J1062" s="272"/>
      <c r="K1062" s="260"/>
      <c r="L1062" s="261"/>
      <c r="M1062" s="262" t="str">
        <f t="shared" si="1"/>
        <v/>
      </c>
      <c r="N1062" s="263" t="str">
        <f t="shared" si="2"/>
        <v/>
      </c>
      <c r="O1062" s="264" t="str">
        <f t="shared" si="3"/>
        <v/>
      </c>
      <c r="P1062" s="265" t="str">
        <f>IFERROR(__xludf.DUMMYFUNCTION("IF(ISBLANK(A1062),"""",IFERROR(IF(H1062=""Sell"",VLOOKUP(9^99,FILTER({ROW(P$2:P1061),P$2:P1061},D$2:D1061=D1062),2),(VLOOKUP(9^99,FILTER({ROW(P$2:P1061),P$2:P1061},D$2:D1061=D1062),2)*VLOOKUP(9^99,FILTER({ROW(O$2:O1061),O$2:O1061},D$2:D1061=D1062),2)-N106"&amp;"2)/O1062),J1062))"),"")</f>
        <v/>
      </c>
      <c r="Q1062" s="264" t="str">
        <f>IFERROR(__xludf.DUMMYFUNCTION("IFERROR(IF(F1062=""Crypto"",B1062,(IF(ISBLANK(D1062),"""",IF(D1062=""Cash"",B1062,IF(GOOGLEFINANCE(D1062,""CURRENCY"")=""GBX"",""GBP"",GOOGLEFINANCE(D1062,""CURRENCY"")))))),B1062)"),"")</f>
        <v/>
      </c>
      <c r="R1062" s="263" t="str">
        <f>IFERROR(__xludf.DUMMYFUNCTION("IF(ISBLANK(A1062),"""",IFERROR(IF(OR(Q1062=""GPB"",Q1062=""ZAR""),IF(Q1062=Dashboard!$L$1,K1062,(K1062*GOOGLEFINANCE(""CURRENCY:""&amp;Q1062&amp;""""&amp;Dashboard!$L$1&amp;""""))/100),IF(Q1062=Dashboard!$L$1,K1062,K1062*GOOGLEFINANCE(""CURRENCY:""&amp;Q1062&amp;""""&amp;Dashboard!$"&amp;"L$1&amp;""""))),K1062))"),"")</f>
        <v/>
      </c>
      <c r="S1062" s="266" t="str">
        <f>IFERROR(__xludf.DUMMYFUNCTION("IF(ISBLANK(A1062),"""",IFERROR(IF(OR(Q1062=""GPB"",Q1062=""ZAR""),IF(Q1062=Dashboard!$L$1,M1062,(M1062*GOOGLEFINANCE(""CURRENCY:""&amp;Q1062&amp;""""&amp;Dashboard!$L$1&amp;""""))/100),IF(Q1062=Dashboard!$L$1,M1062,M1062*GOOGLEFINANCE(""CURRENCY:""&amp;Q1062&amp;""""&amp;Dashboard!$"&amp;"L$1&amp;""""))),M1062))"),"")</f>
        <v/>
      </c>
      <c r="T1062" s="264" t="str">
        <f t="shared" si="4"/>
        <v/>
      </c>
      <c r="U1062" s="264" t="str">
        <f t="shared" si="5"/>
        <v/>
      </c>
      <c r="V1062" s="264" t="str">
        <f t="shared" si="6"/>
        <v/>
      </c>
      <c r="W1062" s="267" t="str">
        <f t="shared" si="8"/>
        <v/>
      </c>
      <c r="X1062" s="264" t="str">
        <f t="shared" si="7"/>
        <v/>
      </c>
    </row>
    <row r="1063" ht="15.75" customHeight="1">
      <c r="A1063" s="258"/>
      <c r="B1063" s="258"/>
      <c r="C1063" s="269"/>
      <c r="D1063" s="258"/>
      <c r="E1063" s="258"/>
      <c r="F1063" s="258"/>
      <c r="G1063" s="258"/>
      <c r="H1063" s="271"/>
      <c r="I1063" s="258"/>
      <c r="J1063" s="272"/>
      <c r="K1063" s="260"/>
      <c r="L1063" s="261"/>
      <c r="M1063" s="262" t="str">
        <f t="shared" si="1"/>
        <v/>
      </c>
      <c r="N1063" s="263" t="str">
        <f t="shared" si="2"/>
        <v/>
      </c>
      <c r="O1063" s="264" t="str">
        <f t="shared" si="3"/>
        <v/>
      </c>
      <c r="P1063" s="265" t="str">
        <f>IFERROR(__xludf.DUMMYFUNCTION("IF(ISBLANK(A1063),"""",IFERROR(IF(H1063=""Sell"",VLOOKUP(9^99,FILTER({ROW(P$2:P1062),P$2:P1062},D$2:D1062=D1063),2),(VLOOKUP(9^99,FILTER({ROW(P$2:P1062),P$2:P1062},D$2:D1062=D1063),2)*VLOOKUP(9^99,FILTER({ROW(O$2:O1062),O$2:O1062},D$2:D1062=D1063),2)-N106"&amp;"3)/O1063),J1063))"),"")</f>
        <v/>
      </c>
      <c r="Q1063" s="264" t="str">
        <f>IFERROR(__xludf.DUMMYFUNCTION("IFERROR(IF(F1063=""Crypto"",B1063,(IF(ISBLANK(D1063),"""",IF(D1063=""Cash"",B1063,IF(GOOGLEFINANCE(D1063,""CURRENCY"")=""GBX"",""GBP"",GOOGLEFINANCE(D1063,""CURRENCY"")))))),B1063)"),"")</f>
        <v/>
      </c>
      <c r="R1063" s="263" t="str">
        <f>IFERROR(__xludf.DUMMYFUNCTION("IF(ISBLANK(A1063),"""",IFERROR(IF(OR(Q1063=""GPB"",Q1063=""ZAR""),IF(Q1063=Dashboard!$L$1,K1063,(K1063*GOOGLEFINANCE(""CURRENCY:""&amp;Q1063&amp;""""&amp;Dashboard!$L$1&amp;""""))/100),IF(Q1063=Dashboard!$L$1,K1063,K1063*GOOGLEFINANCE(""CURRENCY:""&amp;Q1063&amp;""""&amp;Dashboard!$"&amp;"L$1&amp;""""))),K1063))"),"")</f>
        <v/>
      </c>
      <c r="S1063" s="266" t="str">
        <f>IFERROR(__xludf.DUMMYFUNCTION("IF(ISBLANK(A1063),"""",IFERROR(IF(OR(Q1063=""GPB"",Q1063=""ZAR""),IF(Q1063=Dashboard!$L$1,M1063,(M1063*GOOGLEFINANCE(""CURRENCY:""&amp;Q1063&amp;""""&amp;Dashboard!$L$1&amp;""""))/100),IF(Q1063=Dashboard!$L$1,M1063,M1063*GOOGLEFINANCE(""CURRENCY:""&amp;Q1063&amp;""""&amp;Dashboard!$"&amp;"L$1&amp;""""))),M1063))"),"")</f>
        <v/>
      </c>
      <c r="T1063" s="264" t="str">
        <f t="shared" si="4"/>
        <v/>
      </c>
      <c r="U1063" s="264" t="str">
        <f t="shared" si="5"/>
        <v/>
      </c>
      <c r="V1063" s="264" t="str">
        <f t="shared" si="6"/>
        <v/>
      </c>
      <c r="W1063" s="267" t="str">
        <f t="shared" si="8"/>
        <v/>
      </c>
      <c r="X1063" s="264" t="str">
        <f t="shared" si="7"/>
        <v/>
      </c>
    </row>
    <row r="1064" ht="15.75" customHeight="1">
      <c r="A1064" s="258"/>
      <c r="B1064" s="258"/>
      <c r="C1064" s="269"/>
      <c r="D1064" s="258"/>
      <c r="E1064" s="258"/>
      <c r="F1064" s="258"/>
      <c r="G1064" s="258"/>
      <c r="H1064" s="271"/>
      <c r="I1064" s="258"/>
      <c r="J1064" s="272"/>
      <c r="K1064" s="260"/>
      <c r="L1064" s="261"/>
      <c r="M1064" s="262" t="str">
        <f t="shared" si="1"/>
        <v/>
      </c>
      <c r="N1064" s="263" t="str">
        <f t="shared" si="2"/>
        <v/>
      </c>
      <c r="O1064" s="264" t="str">
        <f t="shared" si="3"/>
        <v/>
      </c>
      <c r="P1064" s="265" t="str">
        <f>IFERROR(__xludf.DUMMYFUNCTION("IF(ISBLANK(A1064),"""",IFERROR(IF(H1064=""Sell"",VLOOKUP(9^99,FILTER({ROW(P$2:P1063),P$2:P1063},D$2:D1063=D1064),2),(VLOOKUP(9^99,FILTER({ROW(P$2:P1063),P$2:P1063},D$2:D1063=D1064),2)*VLOOKUP(9^99,FILTER({ROW(O$2:O1063),O$2:O1063},D$2:D1063=D1064),2)-N106"&amp;"4)/O1064),J1064))"),"")</f>
        <v/>
      </c>
      <c r="Q1064" s="264" t="str">
        <f>IFERROR(__xludf.DUMMYFUNCTION("IFERROR(IF(F1064=""Crypto"",B1064,(IF(ISBLANK(D1064),"""",IF(D1064=""Cash"",B1064,IF(GOOGLEFINANCE(D1064,""CURRENCY"")=""GBX"",""GBP"",GOOGLEFINANCE(D1064,""CURRENCY"")))))),B1064)"),"")</f>
        <v/>
      </c>
      <c r="R1064" s="263" t="str">
        <f>IFERROR(__xludf.DUMMYFUNCTION("IF(ISBLANK(A1064),"""",IFERROR(IF(OR(Q1064=""GPB"",Q1064=""ZAR""),IF(Q1064=Dashboard!$L$1,K1064,(K1064*GOOGLEFINANCE(""CURRENCY:""&amp;Q1064&amp;""""&amp;Dashboard!$L$1&amp;""""))/100),IF(Q1064=Dashboard!$L$1,K1064,K1064*GOOGLEFINANCE(""CURRENCY:""&amp;Q1064&amp;""""&amp;Dashboard!$"&amp;"L$1&amp;""""))),K1064))"),"")</f>
        <v/>
      </c>
      <c r="S1064" s="266" t="str">
        <f>IFERROR(__xludf.DUMMYFUNCTION("IF(ISBLANK(A1064),"""",IFERROR(IF(OR(Q1064=""GPB"",Q1064=""ZAR""),IF(Q1064=Dashboard!$L$1,M1064,(M1064*GOOGLEFINANCE(""CURRENCY:""&amp;Q1064&amp;""""&amp;Dashboard!$L$1&amp;""""))/100),IF(Q1064=Dashboard!$L$1,M1064,M1064*GOOGLEFINANCE(""CURRENCY:""&amp;Q1064&amp;""""&amp;Dashboard!$"&amp;"L$1&amp;""""))),M1064))"),"")</f>
        <v/>
      </c>
      <c r="T1064" s="264" t="str">
        <f t="shared" si="4"/>
        <v/>
      </c>
      <c r="U1064" s="264" t="str">
        <f t="shared" si="5"/>
        <v/>
      </c>
      <c r="V1064" s="264" t="str">
        <f t="shared" si="6"/>
        <v/>
      </c>
      <c r="W1064" s="267" t="str">
        <f t="shared" si="8"/>
        <v/>
      </c>
      <c r="X1064" s="264" t="str">
        <f t="shared" si="7"/>
        <v/>
      </c>
    </row>
    <row r="1065" ht="15.75" customHeight="1">
      <c r="A1065" s="258"/>
      <c r="B1065" s="258"/>
      <c r="C1065" s="269"/>
      <c r="D1065" s="258"/>
      <c r="E1065" s="258"/>
      <c r="F1065" s="258"/>
      <c r="G1065" s="258"/>
      <c r="H1065" s="271"/>
      <c r="I1065" s="258"/>
      <c r="J1065" s="272"/>
      <c r="K1065" s="260"/>
      <c r="L1065" s="261"/>
      <c r="M1065" s="262" t="str">
        <f t="shared" si="1"/>
        <v/>
      </c>
      <c r="N1065" s="263" t="str">
        <f t="shared" si="2"/>
        <v/>
      </c>
      <c r="O1065" s="264" t="str">
        <f t="shared" si="3"/>
        <v/>
      </c>
      <c r="P1065" s="265" t="str">
        <f>IFERROR(__xludf.DUMMYFUNCTION("IF(ISBLANK(A1065),"""",IFERROR(IF(H1065=""Sell"",VLOOKUP(9^99,FILTER({ROW(P$2:P1064),P$2:P1064},D$2:D1064=D1065),2),(VLOOKUP(9^99,FILTER({ROW(P$2:P1064),P$2:P1064},D$2:D1064=D1065),2)*VLOOKUP(9^99,FILTER({ROW(O$2:O1064),O$2:O1064},D$2:D1064=D1065),2)-N106"&amp;"5)/O1065),J1065))"),"")</f>
        <v/>
      </c>
      <c r="Q1065" s="264" t="str">
        <f>IFERROR(__xludf.DUMMYFUNCTION("IFERROR(IF(F1065=""Crypto"",B1065,(IF(ISBLANK(D1065),"""",IF(D1065=""Cash"",B1065,IF(GOOGLEFINANCE(D1065,""CURRENCY"")=""GBX"",""GBP"",GOOGLEFINANCE(D1065,""CURRENCY"")))))),B1065)"),"")</f>
        <v/>
      </c>
      <c r="R1065" s="263" t="str">
        <f>IFERROR(__xludf.DUMMYFUNCTION("IF(ISBLANK(A1065),"""",IFERROR(IF(OR(Q1065=""GPB"",Q1065=""ZAR""),IF(Q1065=Dashboard!$L$1,K1065,(K1065*GOOGLEFINANCE(""CURRENCY:""&amp;Q1065&amp;""""&amp;Dashboard!$L$1&amp;""""))/100),IF(Q1065=Dashboard!$L$1,K1065,K1065*GOOGLEFINANCE(""CURRENCY:""&amp;Q1065&amp;""""&amp;Dashboard!$"&amp;"L$1&amp;""""))),K1065))"),"")</f>
        <v/>
      </c>
      <c r="S1065" s="266" t="str">
        <f>IFERROR(__xludf.DUMMYFUNCTION("IF(ISBLANK(A1065),"""",IFERROR(IF(OR(Q1065=""GPB"",Q1065=""ZAR""),IF(Q1065=Dashboard!$L$1,M1065,(M1065*GOOGLEFINANCE(""CURRENCY:""&amp;Q1065&amp;""""&amp;Dashboard!$L$1&amp;""""))/100),IF(Q1065=Dashboard!$L$1,M1065,M1065*GOOGLEFINANCE(""CURRENCY:""&amp;Q1065&amp;""""&amp;Dashboard!$"&amp;"L$1&amp;""""))),M1065))"),"")</f>
        <v/>
      </c>
      <c r="T1065" s="264" t="str">
        <f t="shared" si="4"/>
        <v/>
      </c>
      <c r="U1065" s="264" t="str">
        <f t="shared" si="5"/>
        <v/>
      </c>
      <c r="V1065" s="264" t="str">
        <f t="shared" si="6"/>
        <v/>
      </c>
      <c r="W1065" s="267" t="str">
        <f t="shared" si="8"/>
        <v/>
      </c>
      <c r="X1065" s="264" t="str">
        <f t="shared" si="7"/>
        <v/>
      </c>
    </row>
    <row r="1066" ht="15.75" customHeight="1">
      <c r="A1066" s="258"/>
      <c r="B1066" s="258"/>
      <c r="C1066" s="269"/>
      <c r="D1066" s="258"/>
      <c r="E1066" s="258"/>
      <c r="F1066" s="258"/>
      <c r="G1066" s="258"/>
      <c r="H1066" s="271"/>
      <c r="I1066" s="258"/>
      <c r="J1066" s="272"/>
      <c r="K1066" s="260"/>
      <c r="L1066" s="261"/>
      <c r="M1066" s="262" t="str">
        <f t="shared" si="1"/>
        <v/>
      </c>
      <c r="N1066" s="263" t="str">
        <f t="shared" si="2"/>
        <v/>
      </c>
      <c r="O1066" s="264" t="str">
        <f t="shared" si="3"/>
        <v/>
      </c>
      <c r="P1066" s="265" t="str">
        <f>IFERROR(__xludf.DUMMYFUNCTION("IF(ISBLANK(A1066),"""",IFERROR(IF(H1066=""Sell"",VLOOKUP(9^99,FILTER({ROW(P$2:P1065),P$2:P1065},D$2:D1065=D1066),2),(VLOOKUP(9^99,FILTER({ROW(P$2:P1065),P$2:P1065},D$2:D1065=D1066),2)*VLOOKUP(9^99,FILTER({ROW(O$2:O1065),O$2:O1065},D$2:D1065=D1066),2)-N106"&amp;"6)/O1066),J1066))"),"")</f>
        <v/>
      </c>
      <c r="Q1066" s="264" t="str">
        <f>IFERROR(__xludf.DUMMYFUNCTION("IFERROR(IF(F1066=""Crypto"",B1066,(IF(ISBLANK(D1066),"""",IF(D1066=""Cash"",B1066,IF(GOOGLEFINANCE(D1066,""CURRENCY"")=""GBX"",""GBP"",GOOGLEFINANCE(D1066,""CURRENCY"")))))),B1066)"),"")</f>
        <v/>
      </c>
      <c r="R1066" s="263" t="str">
        <f>IFERROR(__xludf.DUMMYFUNCTION("IF(ISBLANK(A1066),"""",IFERROR(IF(OR(Q1066=""GPB"",Q1066=""ZAR""),IF(Q1066=Dashboard!$L$1,K1066,(K1066*GOOGLEFINANCE(""CURRENCY:""&amp;Q1066&amp;""""&amp;Dashboard!$L$1&amp;""""))/100),IF(Q1066=Dashboard!$L$1,K1066,K1066*GOOGLEFINANCE(""CURRENCY:""&amp;Q1066&amp;""""&amp;Dashboard!$"&amp;"L$1&amp;""""))),K1066))"),"")</f>
        <v/>
      </c>
      <c r="S1066" s="266" t="str">
        <f>IFERROR(__xludf.DUMMYFUNCTION("IF(ISBLANK(A1066),"""",IFERROR(IF(OR(Q1066=""GPB"",Q1066=""ZAR""),IF(Q1066=Dashboard!$L$1,M1066,(M1066*GOOGLEFINANCE(""CURRENCY:""&amp;Q1066&amp;""""&amp;Dashboard!$L$1&amp;""""))/100),IF(Q1066=Dashboard!$L$1,M1066,M1066*GOOGLEFINANCE(""CURRENCY:""&amp;Q1066&amp;""""&amp;Dashboard!$"&amp;"L$1&amp;""""))),M1066))"),"")</f>
        <v/>
      </c>
      <c r="T1066" s="264" t="str">
        <f t="shared" si="4"/>
        <v/>
      </c>
      <c r="U1066" s="264" t="str">
        <f t="shared" si="5"/>
        <v/>
      </c>
      <c r="V1066" s="264" t="str">
        <f t="shared" si="6"/>
        <v/>
      </c>
      <c r="W1066" s="267" t="str">
        <f t="shared" si="8"/>
        <v/>
      </c>
      <c r="X1066" s="264" t="str">
        <f t="shared" si="7"/>
        <v/>
      </c>
    </row>
    <row r="1067" ht="15.75" customHeight="1">
      <c r="A1067" s="258"/>
      <c r="B1067" s="258"/>
      <c r="C1067" s="269"/>
      <c r="D1067" s="258"/>
      <c r="E1067" s="258"/>
      <c r="F1067" s="258"/>
      <c r="G1067" s="258"/>
      <c r="H1067" s="271"/>
      <c r="I1067" s="258"/>
      <c r="J1067" s="272"/>
      <c r="K1067" s="260"/>
      <c r="L1067" s="261"/>
      <c r="M1067" s="262" t="str">
        <f t="shared" si="1"/>
        <v/>
      </c>
      <c r="N1067" s="263" t="str">
        <f t="shared" si="2"/>
        <v/>
      </c>
      <c r="O1067" s="264" t="str">
        <f t="shared" si="3"/>
        <v/>
      </c>
      <c r="P1067" s="265" t="str">
        <f>IFERROR(__xludf.DUMMYFUNCTION("IF(ISBLANK(A1067),"""",IFERROR(IF(H1067=""Sell"",VLOOKUP(9^99,FILTER({ROW(P$2:P1066),P$2:P1066},D$2:D1066=D1067),2),(VLOOKUP(9^99,FILTER({ROW(P$2:P1066),P$2:P1066},D$2:D1066=D1067),2)*VLOOKUP(9^99,FILTER({ROW(O$2:O1066),O$2:O1066},D$2:D1066=D1067),2)-N106"&amp;"7)/O1067),J1067))"),"")</f>
        <v/>
      </c>
      <c r="Q1067" s="264" t="str">
        <f>IFERROR(__xludf.DUMMYFUNCTION("IFERROR(IF(F1067=""Crypto"",B1067,(IF(ISBLANK(D1067),"""",IF(D1067=""Cash"",B1067,IF(GOOGLEFINANCE(D1067,""CURRENCY"")=""GBX"",""GBP"",GOOGLEFINANCE(D1067,""CURRENCY"")))))),B1067)"),"")</f>
        <v/>
      </c>
      <c r="R1067" s="263" t="str">
        <f>IFERROR(__xludf.DUMMYFUNCTION("IF(ISBLANK(A1067),"""",IFERROR(IF(OR(Q1067=""GPB"",Q1067=""ZAR""),IF(Q1067=Dashboard!$L$1,K1067,(K1067*GOOGLEFINANCE(""CURRENCY:""&amp;Q1067&amp;""""&amp;Dashboard!$L$1&amp;""""))/100),IF(Q1067=Dashboard!$L$1,K1067,K1067*GOOGLEFINANCE(""CURRENCY:""&amp;Q1067&amp;""""&amp;Dashboard!$"&amp;"L$1&amp;""""))),K1067))"),"")</f>
        <v/>
      </c>
      <c r="S1067" s="266" t="str">
        <f>IFERROR(__xludf.DUMMYFUNCTION("IF(ISBLANK(A1067),"""",IFERROR(IF(OR(Q1067=""GPB"",Q1067=""ZAR""),IF(Q1067=Dashboard!$L$1,M1067,(M1067*GOOGLEFINANCE(""CURRENCY:""&amp;Q1067&amp;""""&amp;Dashboard!$L$1&amp;""""))/100),IF(Q1067=Dashboard!$L$1,M1067,M1067*GOOGLEFINANCE(""CURRENCY:""&amp;Q1067&amp;""""&amp;Dashboard!$"&amp;"L$1&amp;""""))),M1067))"),"")</f>
        <v/>
      </c>
      <c r="T1067" s="264" t="str">
        <f t="shared" si="4"/>
        <v/>
      </c>
      <c r="U1067" s="264" t="str">
        <f t="shared" si="5"/>
        <v/>
      </c>
      <c r="V1067" s="264" t="str">
        <f t="shared" si="6"/>
        <v/>
      </c>
      <c r="W1067" s="267" t="str">
        <f t="shared" si="8"/>
        <v/>
      </c>
      <c r="X1067" s="264" t="str">
        <f t="shared" si="7"/>
        <v/>
      </c>
    </row>
    <row r="1068" ht="15.75" customHeight="1">
      <c r="A1068" s="258"/>
      <c r="B1068" s="258"/>
      <c r="C1068" s="269"/>
      <c r="D1068" s="258"/>
      <c r="E1068" s="258"/>
      <c r="F1068" s="258"/>
      <c r="G1068" s="258"/>
      <c r="H1068" s="271"/>
      <c r="I1068" s="258"/>
      <c r="J1068" s="272"/>
      <c r="K1068" s="260"/>
      <c r="L1068" s="261"/>
      <c r="M1068" s="262" t="str">
        <f t="shared" si="1"/>
        <v/>
      </c>
      <c r="N1068" s="263" t="str">
        <f t="shared" si="2"/>
        <v/>
      </c>
      <c r="O1068" s="264" t="str">
        <f t="shared" si="3"/>
        <v/>
      </c>
      <c r="P1068" s="265" t="str">
        <f>IFERROR(__xludf.DUMMYFUNCTION("IF(ISBLANK(A1068),"""",IFERROR(IF(H1068=""Sell"",VLOOKUP(9^99,FILTER({ROW(P$2:P1067),P$2:P1067},D$2:D1067=D1068),2),(VLOOKUP(9^99,FILTER({ROW(P$2:P1067),P$2:P1067},D$2:D1067=D1068),2)*VLOOKUP(9^99,FILTER({ROW(O$2:O1067),O$2:O1067},D$2:D1067=D1068),2)-N106"&amp;"8)/O1068),J1068))"),"")</f>
        <v/>
      </c>
      <c r="Q1068" s="264" t="str">
        <f>IFERROR(__xludf.DUMMYFUNCTION("IFERROR(IF(F1068=""Crypto"",B1068,(IF(ISBLANK(D1068),"""",IF(D1068=""Cash"",B1068,IF(GOOGLEFINANCE(D1068,""CURRENCY"")=""GBX"",""GBP"",GOOGLEFINANCE(D1068,""CURRENCY"")))))),B1068)"),"")</f>
        <v/>
      </c>
      <c r="R1068" s="263" t="str">
        <f>IFERROR(__xludf.DUMMYFUNCTION("IF(ISBLANK(A1068),"""",IFERROR(IF(OR(Q1068=""GPB"",Q1068=""ZAR""),IF(Q1068=Dashboard!$L$1,K1068,(K1068*GOOGLEFINANCE(""CURRENCY:""&amp;Q1068&amp;""""&amp;Dashboard!$L$1&amp;""""))/100),IF(Q1068=Dashboard!$L$1,K1068,K1068*GOOGLEFINANCE(""CURRENCY:""&amp;Q1068&amp;""""&amp;Dashboard!$"&amp;"L$1&amp;""""))),K1068))"),"")</f>
        <v/>
      </c>
      <c r="S1068" s="266" t="str">
        <f>IFERROR(__xludf.DUMMYFUNCTION("IF(ISBLANK(A1068),"""",IFERROR(IF(OR(Q1068=""GPB"",Q1068=""ZAR""),IF(Q1068=Dashboard!$L$1,M1068,(M1068*GOOGLEFINANCE(""CURRENCY:""&amp;Q1068&amp;""""&amp;Dashboard!$L$1&amp;""""))/100),IF(Q1068=Dashboard!$L$1,M1068,M1068*GOOGLEFINANCE(""CURRENCY:""&amp;Q1068&amp;""""&amp;Dashboard!$"&amp;"L$1&amp;""""))),M1068))"),"")</f>
        <v/>
      </c>
      <c r="T1068" s="264" t="str">
        <f t="shared" si="4"/>
        <v/>
      </c>
      <c r="U1068" s="264" t="str">
        <f t="shared" si="5"/>
        <v/>
      </c>
      <c r="V1068" s="264" t="str">
        <f t="shared" si="6"/>
        <v/>
      </c>
      <c r="W1068" s="267" t="str">
        <f t="shared" si="8"/>
        <v/>
      </c>
      <c r="X1068" s="264" t="str">
        <f t="shared" si="7"/>
        <v/>
      </c>
    </row>
    <row r="1069" ht="15.75" customHeight="1">
      <c r="A1069" s="258"/>
      <c r="B1069" s="258"/>
      <c r="C1069" s="269"/>
      <c r="D1069" s="258"/>
      <c r="E1069" s="258"/>
      <c r="F1069" s="258"/>
      <c r="G1069" s="258"/>
      <c r="H1069" s="271"/>
      <c r="I1069" s="258"/>
      <c r="J1069" s="272"/>
      <c r="K1069" s="260"/>
      <c r="L1069" s="261"/>
      <c r="M1069" s="262" t="str">
        <f t="shared" si="1"/>
        <v/>
      </c>
      <c r="N1069" s="263" t="str">
        <f t="shared" si="2"/>
        <v/>
      </c>
      <c r="O1069" s="264" t="str">
        <f t="shared" si="3"/>
        <v/>
      </c>
      <c r="P1069" s="265" t="str">
        <f>IFERROR(__xludf.DUMMYFUNCTION("IF(ISBLANK(A1069),"""",IFERROR(IF(H1069=""Sell"",VLOOKUP(9^99,FILTER({ROW(P$2:P1068),P$2:P1068},D$2:D1068=D1069),2),(VLOOKUP(9^99,FILTER({ROW(P$2:P1068),P$2:P1068},D$2:D1068=D1069),2)*VLOOKUP(9^99,FILTER({ROW(O$2:O1068),O$2:O1068},D$2:D1068=D1069),2)-N106"&amp;"9)/O1069),J1069))"),"")</f>
        <v/>
      </c>
      <c r="Q1069" s="264" t="str">
        <f>IFERROR(__xludf.DUMMYFUNCTION("IFERROR(IF(F1069=""Crypto"",B1069,(IF(ISBLANK(D1069),"""",IF(D1069=""Cash"",B1069,IF(GOOGLEFINANCE(D1069,""CURRENCY"")=""GBX"",""GBP"",GOOGLEFINANCE(D1069,""CURRENCY"")))))),B1069)"),"")</f>
        <v/>
      </c>
      <c r="R1069" s="263" t="str">
        <f>IFERROR(__xludf.DUMMYFUNCTION("IF(ISBLANK(A1069),"""",IFERROR(IF(OR(Q1069=""GPB"",Q1069=""ZAR""),IF(Q1069=Dashboard!$L$1,K1069,(K1069*GOOGLEFINANCE(""CURRENCY:""&amp;Q1069&amp;""""&amp;Dashboard!$L$1&amp;""""))/100),IF(Q1069=Dashboard!$L$1,K1069,K1069*GOOGLEFINANCE(""CURRENCY:""&amp;Q1069&amp;""""&amp;Dashboard!$"&amp;"L$1&amp;""""))),K1069))"),"")</f>
        <v/>
      </c>
      <c r="S1069" s="266" t="str">
        <f>IFERROR(__xludf.DUMMYFUNCTION("IF(ISBLANK(A1069),"""",IFERROR(IF(OR(Q1069=""GPB"",Q1069=""ZAR""),IF(Q1069=Dashboard!$L$1,M1069,(M1069*GOOGLEFINANCE(""CURRENCY:""&amp;Q1069&amp;""""&amp;Dashboard!$L$1&amp;""""))/100),IF(Q1069=Dashboard!$L$1,M1069,M1069*GOOGLEFINANCE(""CURRENCY:""&amp;Q1069&amp;""""&amp;Dashboard!$"&amp;"L$1&amp;""""))),M1069))"),"")</f>
        <v/>
      </c>
      <c r="T1069" s="264" t="str">
        <f t="shared" si="4"/>
        <v/>
      </c>
      <c r="U1069" s="264" t="str">
        <f t="shared" si="5"/>
        <v/>
      </c>
      <c r="V1069" s="264" t="str">
        <f t="shared" si="6"/>
        <v/>
      </c>
      <c r="W1069" s="267" t="str">
        <f t="shared" si="8"/>
        <v/>
      </c>
      <c r="X1069" s="264" t="str">
        <f t="shared" si="7"/>
        <v/>
      </c>
    </row>
    <row r="1070" ht="15.75" customHeight="1">
      <c r="A1070" s="258"/>
      <c r="B1070" s="258"/>
      <c r="C1070" s="269"/>
      <c r="D1070" s="258"/>
      <c r="E1070" s="258"/>
      <c r="F1070" s="258"/>
      <c r="G1070" s="258"/>
      <c r="H1070" s="271"/>
      <c r="I1070" s="258"/>
      <c r="J1070" s="272"/>
      <c r="K1070" s="260"/>
      <c r="L1070" s="261"/>
      <c r="M1070" s="262" t="str">
        <f t="shared" si="1"/>
        <v/>
      </c>
      <c r="N1070" s="263" t="str">
        <f t="shared" si="2"/>
        <v/>
      </c>
      <c r="O1070" s="264" t="str">
        <f t="shared" si="3"/>
        <v/>
      </c>
      <c r="P1070" s="265" t="str">
        <f>IFERROR(__xludf.DUMMYFUNCTION("IF(ISBLANK(A1070),"""",IFERROR(IF(H1070=""Sell"",VLOOKUP(9^99,FILTER({ROW(P$2:P1069),P$2:P1069},D$2:D1069=D1070),2),(VLOOKUP(9^99,FILTER({ROW(P$2:P1069),P$2:P1069},D$2:D1069=D1070),2)*VLOOKUP(9^99,FILTER({ROW(O$2:O1069),O$2:O1069},D$2:D1069=D1070),2)-N107"&amp;"0)/O1070),J1070))"),"")</f>
        <v/>
      </c>
      <c r="Q1070" s="264" t="str">
        <f>IFERROR(__xludf.DUMMYFUNCTION("IFERROR(IF(F1070=""Crypto"",B1070,(IF(ISBLANK(D1070),"""",IF(D1070=""Cash"",B1070,IF(GOOGLEFINANCE(D1070,""CURRENCY"")=""GBX"",""GBP"",GOOGLEFINANCE(D1070,""CURRENCY"")))))),B1070)"),"")</f>
        <v/>
      </c>
      <c r="R1070" s="263" t="str">
        <f>IFERROR(__xludf.DUMMYFUNCTION("IF(ISBLANK(A1070),"""",IFERROR(IF(OR(Q1070=""GPB"",Q1070=""ZAR""),IF(Q1070=Dashboard!$L$1,K1070,(K1070*GOOGLEFINANCE(""CURRENCY:""&amp;Q1070&amp;""""&amp;Dashboard!$L$1&amp;""""))/100),IF(Q1070=Dashboard!$L$1,K1070,K1070*GOOGLEFINANCE(""CURRENCY:""&amp;Q1070&amp;""""&amp;Dashboard!$"&amp;"L$1&amp;""""))),K1070))"),"")</f>
        <v/>
      </c>
      <c r="S1070" s="266" t="str">
        <f>IFERROR(__xludf.DUMMYFUNCTION("IF(ISBLANK(A1070),"""",IFERROR(IF(OR(Q1070=""GPB"",Q1070=""ZAR""),IF(Q1070=Dashboard!$L$1,M1070,(M1070*GOOGLEFINANCE(""CURRENCY:""&amp;Q1070&amp;""""&amp;Dashboard!$L$1&amp;""""))/100),IF(Q1070=Dashboard!$L$1,M1070,M1070*GOOGLEFINANCE(""CURRENCY:""&amp;Q1070&amp;""""&amp;Dashboard!$"&amp;"L$1&amp;""""))),M1070))"),"")</f>
        <v/>
      </c>
      <c r="T1070" s="264" t="str">
        <f t="shared" si="4"/>
        <v/>
      </c>
      <c r="U1070" s="264" t="str">
        <f t="shared" si="5"/>
        <v/>
      </c>
      <c r="V1070" s="264" t="str">
        <f t="shared" si="6"/>
        <v/>
      </c>
      <c r="W1070" s="267" t="str">
        <f t="shared" si="8"/>
        <v/>
      </c>
      <c r="X1070" s="264" t="str">
        <f t="shared" si="7"/>
        <v/>
      </c>
    </row>
    <row r="1071" ht="15.75" customHeight="1">
      <c r="A1071" s="258"/>
      <c r="B1071" s="258"/>
      <c r="C1071" s="269"/>
      <c r="D1071" s="258"/>
      <c r="E1071" s="258"/>
      <c r="F1071" s="258"/>
      <c r="G1071" s="258"/>
      <c r="H1071" s="271"/>
      <c r="I1071" s="258"/>
      <c r="J1071" s="272"/>
      <c r="K1071" s="260"/>
      <c r="L1071" s="261"/>
      <c r="M1071" s="262" t="str">
        <f t="shared" si="1"/>
        <v/>
      </c>
      <c r="N1071" s="263" t="str">
        <f t="shared" si="2"/>
        <v/>
      </c>
      <c r="O1071" s="264" t="str">
        <f t="shared" si="3"/>
        <v/>
      </c>
      <c r="P1071" s="265" t="str">
        <f>IFERROR(__xludf.DUMMYFUNCTION("IF(ISBLANK(A1071),"""",IFERROR(IF(H1071=""Sell"",VLOOKUP(9^99,FILTER({ROW(P$2:P1070),P$2:P1070},D$2:D1070=D1071),2),(VLOOKUP(9^99,FILTER({ROW(P$2:P1070),P$2:P1070},D$2:D1070=D1071),2)*VLOOKUP(9^99,FILTER({ROW(O$2:O1070),O$2:O1070},D$2:D1070=D1071),2)-N107"&amp;"1)/O1071),J1071))"),"")</f>
        <v/>
      </c>
      <c r="Q1071" s="264" t="str">
        <f>IFERROR(__xludf.DUMMYFUNCTION("IFERROR(IF(F1071=""Crypto"",B1071,(IF(ISBLANK(D1071),"""",IF(D1071=""Cash"",B1071,IF(GOOGLEFINANCE(D1071,""CURRENCY"")=""GBX"",""GBP"",GOOGLEFINANCE(D1071,""CURRENCY"")))))),B1071)"),"")</f>
        <v/>
      </c>
      <c r="R1071" s="263" t="str">
        <f>IFERROR(__xludf.DUMMYFUNCTION("IF(ISBLANK(A1071),"""",IFERROR(IF(OR(Q1071=""GPB"",Q1071=""ZAR""),IF(Q1071=Dashboard!$L$1,K1071,(K1071*GOOGLEFINANCE(""CURRENCY:""&amp;Q1071&amp;""""&amp;Dashboard!$L$1&amp;""""))/100),IF(Q1071=Dashboard!$L$1,K1071,K1071*GOOGLEFINANCE(""CURRENCY:""&amp;Q1071&amp;""""&amp;Dashboard!$"&amp;"L$1&amp;""""))),K1071))"),"")</f>
        <v/>
      </c>
      <c r="S1071" s="266" t="str">
        <f>IFERROR(__xludf.DUMMYFUNCTION("IF(ISBLANK(A1071),"""",IFERROR(IF(OR(Q1071=""GPB"",Q1071=""ZAR""),IF(Q1071=Dashboard!$L$1,M1071,(M1071*GOOGLEFINANCE(""CURRENCY:""&amp;Q1071&amp;""""&amp;Dashboard!$L$1&amp;""""))/100),IF(Q1071=Dashboard!$L$1,M1071,M1071*GOOGLEFINANCE(""CURRENCY:""&amp;Q1071&amp;""""&amp;Dashboard!$"&amp;"L$1&amp;""""))),M1071))"),"")</f>
        <v/>
      </c>
      <c r="T1071" s="264" t="str">
        <f t="shared" si="4"/>
        <v/>
      </c>
      <c r="U1071" s="264" t="str">
        <f t="shared" si="5"/>
        <v/>
      </c>
      <c r="V1071" s="264" t="str">
        <f t="shared" si="6"/>
        <v/>
      </c>
      <c r="W1071" s="267" t="str">
        <f t="shared" si="8"/>
        <v/>
      </c>
      <c r="X1071" s="264" t="str">
        <f t="shared" si="7"/>
        <v/>
      </c>
    </row>
    <row r="1072" ht="15.75" customHeight="1">
      <c r="A1072" s="258"/>
      <c r="B1072" s="258"/>
      <c r="C1072" s="269"/>
      <c r="D1072" s="258"/>
      <c r="E1072" s="258"/>
      <c r="F1072" s="258"/>
      <c r="G1072" s="258"/>
      <c r="H1072" s="271"/>
      <c r="I1072" s="258"/>
      <c r="J1072" s="272"/>
      <c r="K1072" s="260"/>
      <c r="L1072" s="261"/>
      <c r="M1072" s="262" t="str">
        <f t="shared" si="1"/>
        <v/>
      </c>
      <c r="N1072" s="263" t="str">
        <f t="shared" si="2"/>
        <v/>
      </c>
      <c r="O1072" s="264" t="str">
        <f t="shared" si="3"/>
        <v/>
      </c>
      <c r="P1072" s="265" t="str">
        <f>IFERROR(__xludf.DUMMYFUNCTION("IF(ISBLANK(A1072),"""",IFERROR(IF(H1072=""Sell"",VLOOKUP(9^99,FILTER({ROW(P$2:P1071),P$2:P1071},D$2:D1071=D1072),2),(VLOOKUP(9^99,FILTER({ROW(P$2:P1071),P$2:P1071},D$2:D1071=D1072),2)*VLOOKUP(9^99,FILTER({ROW(O$2:O1071),O$2:O1071},D$2:D1071=D1072),2)-N107"&amp;"2)/O1072),J1072))"),"")</f>
        <v/>
      </c>
      <c r="Q1072" s="264" t="str">
        <f>IFERROR(__xludf.DUMMYFUNCTION("IFERROR(IF(F1072=""Crypto"",B1072,(IF(ISBLANK(D1072),"""",IF(D1072=""Cash"",B1072,IF(GOOGLEFINANCE(D1072,""CURRENCY"")=""GBX"",""GBP"",GOOGLEFINANCE(D1072,""CURRENCY"")))))),B1072)"),"")</f>
        <v/>
      </c>
      <c r="R1072" s="263" t="str">
        <f>IFERROR(__xludf.DUMMYFUNCTION("IF(ISBLANK(A1072),"""",IFERROR(IF(OR(Q1072=""GPB"",Q1072=""ZAR""),IF(Q1072=Dashboard!$L$1,K1072,(K1072*GOOGLEFINANCE(""CURRENCY:""&amp;Q1072&amp;""""&amp;Dashboard!$L$1&amp;""""))/100),IF(Q1072=Dashboard!$L$1,K1072,K1072*GOOGLEFINANCE(""CURRENCY:""&amp;Q1072&amp;""""&amp;Dashboard!$"&amp;"L$1&amp;""""))),K1072))"),"")</f>
        <v/>
      </c>
      <c r="S1072" s="266" t="str">
        <f>IFERROR(__xludf.DUMMYFUNCTION("IF(ISBLANK(A1072),"""",IFERROR(IF(OR(Q1072=""GPB"",Q1072=""ZAR""),IF(Q1072=Dashboard!$L$1,M1072,(M1072*GOOGLEFINANCE(""CURRENCY:""&amp;Q1072&amp;""""&amp;Dashboard!$L$1&amp;""""))/100),IF(Q1072=Dashboard!$L$1,M1072,M1072*GOOGLEFINANCE(""CURRENCY:""&amp;Q1072&amp;""""&amp;Dashboard!$"&amp;"L$1&amp;""""))),M1072))"),"")</f>
        <v/>
      </c>
      <c r="T1072" s="264" t="str">
        <f t="shared" si="4"/>
        <v/>
      </c>
      <c r="U1072" s="264" t="str">
        <f t="shared" si="5"/>
        <v/>
      </c>
      <c r="V1072" s="264" t="str">
        <f t="shared" si="6"/>
        <v/>
      </c>
      <c r="W1072" s="267" t="str">
        <f t="shared" si="8"/>
        <v/>
      </c>
      <c r="X1072" s="264" t="str">
        <f t="shared" si="7"/>
        <v/>
      </c>
    </row>
    <row r="1073" ht="15.75" customHeight="1">
      <c r="A1073" s="258"/>
      <c r="B1073" s="258"/>
      <c r="C1073" s="269"/>
      <c r="D1073" s="258"/>
      <c r="E1073" s="258"/>
      <c r="F1073" s="258"/>
      <c r="G1073" s="258"/>
      <c r="H1073" s="271"/>
      <c r="I1073" s="258"/>
      <c r="J1073" s="272"/>
      <c r="K1073" s="260"/>
      <c r="L1073" s="261"/>
      <c r="M1073" s="262" t="str">
        <f t="shared" si="1"/>
        <v/>
      </c>
      <c r="N1073" s="263" t="str">
        <f t="shared" si="2"/>
        <v/>
      </c>
      <c r="O1073" s="264" t="str">
        <f t="shared" si="3"/>
        <v/>
      </c>
      <c r="P1073" s="265" t="str">
        <f>IFERROR(__xludf.DUMMYFUNCTION("IF(ISBLANK(A1073),"""",IFERROR(IF(H1073=""Sell"",VLOOKUP(9^99,FILTER({ROW(P$2:P1072),P$2:P1072},D$2:D1072=D1073),2),(VLOOKUP(9^99,FILTER({ROW(P$2:P1072),P$2:P1072},D$2:D1072=D1073),2)*VLOOKUP(9^99,FILTER({ROW(O$2:O1072),O$2:O1072},D$2:D1072=D1073),2)-N107"&amp;"3)/O1073),J1073))"),"")</f>
        <v/>
      </c>
      <c r="Q1073" s="264" t="str">
        <f>IFERROR(__xludf.DUMMYFUNCTION("IFERROR(IF(F1073=""Crypto"",B1073,(IF(ISBLANK(D1073),"""",IF(D1073=""Cash"",B1073,IF(GOOGLEFINANCE(D1073,""CURRENCY"")=""GBX"",""GBP"",GOOGLEFINANCE(D1073,""CURRENCY"")))))),B1073)"),"")</f>
        <v/>
      </c>
      <c r="R1073" s="263" t="str">
        <f>IFERROR(__xludf.DUMMYFUNCTION("IF(ISBLANK(A1073),"""",IFERROR(IF(OR(Q1073=""GPB"",Q1073=""ZAR""),IF(Q1073=Dashboard!$L$1,K1073,(K1073*GOOGLEFINANCE(""CURRENCY:""&amp;Q1073&amp;""""&amp;Dashboard!$L$1&amp;""""))/100),IF(Q1073=Dashboard!$L$1,K1073,K1073*GOOGLEFINANCE(""CURRENCY:""&amp;Q1073&amp;""""&amp;Dashboard!$"&amp;"L$1&amp;""""))),K1073))"),"")</f>
        <v/>
      </c>
      <c r="S1073" s="266" t="str">
        <f>IFERROR(__xludf.DUMMYFUNCTION("IF(ISBLANK(A1073),"""",IFERROR(IF(OR(Q1073=""GPB"",Q1073=""ZAR""),IF(Q1073=Dashboard!$L$1,M1073,(M1073*GOOGLEFINANCE(""CURRENCY:""&amp;Q1073&amp;""""&amp;Dashboard!$L$1&amp;""""))/100),IF(Q1073=Dashboard!$L$1,M1073,M1073*GOOGLEFINANCE(""CURRENCY:""&amp;Q1073&amp;""""&amp;Dashboard!$"&amp;"L$1&amp;""""))),M1073))"),"")</f>
        <v/>
      </c>
      <c r="T1073" s="264" t="str">
        <f t="shared" si="4"/>
        <v/>
      </c>
      <c r="U1073" s="264" t="str">
        <f t="shared" si="5"/>
        <v/>
      </c>
      <c r="V1073" s="264" t="str">
        <f t="shared" si="6"/>
        <v/>
      </c>
      <c r="W1073" s="267" t="str">
        <f t="shared" si="8"/>
        <v/>
      </c>
      <c r="X1073" s="264" t="str">
        <f t="shared" si="7"/>
        <v/>
      </c>
    </row>
    <row r="1074" ht="15.75" customHeight="1">
      <c r="A1074" s="258"/>
      <c r="B1074" s="258"/>
      <c r="C1074" s="269"/>
      <c r="D1074" s="258"/>
      <c r="E1074" s="258"/>
      <c r="F1074" s="258"/>
      <c r="G1074" s="258"/>
      <c r="H1074" s="271"/>
      <c r="I1074" s="258"/>
      <c r="J1074" s="272"/>
      <c r="K1074" s="260"/>
      <c r="L1074" s="261"/>
      <c r="M1074" s="262" t="str">
        <f t="shared" si="1"/>
        <v/>
      </c>
      <c r="N1074" s="263" t="str">
        <f t="shared" si="2"/>
        <v/>
      </c>
      <c r="O1074" s="264" t="str">
        <f t="shared" si="3"/>
        <v/>
      </c>
      <c r="P1074" s="265" t="str">
        <f>IFERROR(__xludf.DUMMYFUNCTION("IF(ISBLANK(A1074),"""",IFERROR(IF(H1074=""Sell"",VLOOKUP(9^99,FILTER({ROW(P$2:P1073),P$2:P1073},D$2:D1073=D1074),2),(VLOOKUP(9^99,FILTER({ROW(P$2:P1073),P$2:P1073},D$2:D1073=D1074),2)*VLOOKUP(9^99,FILTER({ROW(O$2:O1073),O$2:O1073},D$2:D1073=D1074),2)-N107"&amp;"4)/O1074),J1074))"),"")</f>
        <v/>
      </c>
      <c r="Q1074" s="264" t="str">
        <f>IFERROR(__xludf.DUMMYFUNCTION("IFERROR(IF(F1074=""Crypto"",B1074,(IF(ISBLANK(D1074),"""",IF(D1074=""Cash"",B1074,IF(GOOGLEFINANCE(D1074,""CURRENCY"")=""GBX"",""GBP"",GOOGLEFINANCE(D1074,""CURRENCY"")))))),B1074)"),"")</f>
        <v/>
      </c>
      <c r="R1074" s="263" t="str">
        <f>IFERROR(__xludf.DUMMYFUNCTION("IF(ISBLANK(A1074),"""",IFERROR(IF(OR(Q1074=""GPB"",Q1074=""ZAR""),IF(Q1074=Dashboard!$L$1,K1074,(K1074*GOOGLEFINANCE(""CURRENCY:""&amp;Q1074&amp;""""&amp;Dashboard!$L$1&amp;""""))/100),IF(Q1074=Dashboard!$L$1,K1074,K1074*GOOGLEFINANCE(""CURRENCY:""&amp;Q1074&amp;""""&amp;Dashboard!$"&amp;"L$1&amp;""""))),K1074))"),"")</f>
        <v/>
      </c>
      <c r="S1074" s="266" t="str">
        <f>IFERROR(__xludf.DUMMYFUNCTION("IF(ISBLANK(A1074),"""",IFERROR(IF(OR(Q1074=""GPB"",Q1074=""ZAR""),IF(Q1074=Dashboard!$L$1,M1074,(M1074*GOOGLEFINANCE(""CURRENCY:""&amp;Q1074&amp;""""&amp;Dashboard!$L$1&amp;""""))/100),IF(Q1074=Dashboard!$L$1,M1074,M1074*GOOGLEFINANCE(""CURRENCY:""&amp;Q1074&amp;""""&amp;Dashboard!$"&amp;"L$1&amp;""""))),M1074))"),"")</f>
        <v/>
      </c>
      <c r="T1074" s="264" t="str">
        <f t="shared" si="4"/>
        <v/>
      </c>
      <c r="U1074" s="264" t="str">
        <f t="shared" si="5"/>
        <v/>
      </c>
      <c r="V1074" s="264" t="str">
        <f t="shared" si="6"/>
        <v/>
      </c>
      <c r="W1074" s="267" t="str">
        <f t="shared" si="8"/>
        <v/>
      </c>
      <c r="X1074" s="264" t="str">
        <f t="shared" si="7"/>
        <v/>
      </c>
    </row>
    <row r="1075" ht="15.75" customHeight="1">
      <c r="A1075" s="258"/>
      <c r="B1075" s="258"/>
      <c r="C1075" s="269"/>
      <c r="D1075" s="258"/>
      <c r="E1075" s="258"/>
      <c r="F1075" s="258"/>
      <c r="G1075" s="258"/>
      <c r="H1075" s="271"/>
      <c r="I1075" s="258"/>
      <c r="J1075" s="272"/>
      <c r="K1075" s="260"/>
      <c r="L1075" s="261"/>
      <c r="M1075" s="262" t="str">
        <f t="shared" si="1"/>
        <v/>
      </c>
      <c r="N1075" s="263" t="str">
        <f t="shared" si="2"/>
        <v/>
      </c>
      <c r="O1075" s="264" t="str">
        <f t="shared" si="3"/>
        <v/>
      </c>
      <c r="P1075" s="265" t="str">
        <f>IFERROR(__xludf.DUMMYFUNCTION("IF(ISBLANK(A1075),"""",IFERROR(IF(H1075=""Sell"",VLOOKUP(9^99,FILTER({ROW(P$2:P1074),P$2:P1074},D$2:D1074=D1075),2),(VLOOKUP(9^99,FILTER({ROW(P$2:P1074),P$2:P1074},D$2:D1074=D1075),2)*VLOOKUP(9^99,FILTER({ROW(O$2:O1074),O$2:O1074},D$2:D1074=D1075),2)-N107"&amp;"5)/O1075),J1075))"),"")</f>
        <v/>
      </c>
      <c r="Q1075" s="264" t="str">
        <f>IFERROR(__xludf.DUMMYFUNCTION("IFERROR(IF(F1075=""Crypto"",B1075,(IF(ISBLANK(D1075),"""",IF(D1075=""Cash"",B1075,IF(GOOGLEFINANCE(D1075,""CURRENCY"")=""GBX"",""GBP"",GOOGLEFINANCE(D1075,""CURRENCY"")))))),B1075)"),"")</f>
        <v/>
      </c>
      <c r="R1075" s="263" t="str">
        <f>IFERROR(__xludf.DUMMYFUNCTION("IF(ISBLANK(A1075),"""",IFERROR(IF(OR(Q1075=""GPB"",Q1075=""ZAR""),IF(Q1075=Dashboard!$L$1,K1075,(K1075*GOOGLEFINANCE(""CURRENCY:""&amp;Q1075&amp;""""&amp;Dashboard!$L$1&amp;""""))/100),IF(Q1075=Dashboard!$L$1,K1075,K1075*GOOGLEFINANCE(""CURRENCY:""&amp;Q1075&amp;""""&amp;Dashboard!$"&amp;"L$1&amp;""""))),K1075))"),"")</f>
        <v/>
      </c>
      <c r="S1075" s="266" t="str">
        <f>IFERROR(__xludf.DUMMYFUNCTION("IF(ISBLANK(A1075),"""",IFERROR(IF(OR(Q1075=""GPB"",Q1075=""ZAR""),IF(Q1075=Dashboard!$L$1,M1075,(M1075*GOOGLEFINANCE(""CURRENCY:""&amp;Q1075&amp;""""&amp;Dashboard!$L$1&amp;""""))/100),IF(Q1075=Dashboard!$L$1,M1075,M1075*GOOGLEFINANCE(""CURRENCY:""&amp;Q1075&amp;""""&amp;Dashboard!$"&amp;"L$1&amp;""""))),M1075))"),"")</f>
        <v/>
      </c>
      <c r="T1075" s="264" t="str">
        <f t="shared" si="4"/>
        <v/>
      </c>
      <c r="U1075" s="264" t="str">
        <f t="shared" si="5"/>
        <v/>
      </c>
      <c r="V1075" s="264" t="str">
        <f t="shared" si="6"/>
        <v/>
      </c>
      <c r="W1075" s="267" t="str">
        <f t="shared" si="8"/>
        <v/>
      </c>
      <c r="X1075" s="264" t="str">
        <f t="shared" si="7"/>
        <v/>
      </c>
    </row>
    <row r="1076" ht="15.75" customHeight="1">
      <c r="A1076" s="258"/>
      <c r="B1076" s="258"/>
      <c r="C1076" s="269"/>
      <c r="D1076" s="258"/>
      <c r="E1076" s="258"/>
      <c r="F1076" s="258"/>
      <c r="G1076" s="258"/>
      <c r="H1076" s="271"/>
      <c r="I1076" s="258"/>
      <c r="J1076" s="272"/>
      <c r="K1076" s="260"/>
      <c r="L1076" s="261"/>
      <c r="M1076" s="262" t="str">
        <f t="shared" si="1"/>
        <v/>
      </c>
      <c r="N1076" s="263" t="str">
        <f t="shared" si="2"/>
        <v/>
      </c>
      <c r="O1076" s="264" t="str">
        <f t="shared" si="3"/>
        <v/>
      </c>
      <c r="P1076" s="265" t="str">
        <f>IFERROR(__xludf.DUMMYFUNCTION("IF(ISBLANK(A1076),"""",IFERROR(IF(H1076=""Sell"",VLOOKUP(9^99,FILTER({ROW(P$2:P1075),P$2:P1075},D$2:D1075=D1076),2),(VLOOKUP(9^99,FILTER({ROW(P$2:P1075),P$2:P1075},D$2:D1075=D1076),2)*VLOOKUP(9^99,FILTER({ROW(O$2:O1075),O$2:O1075},D$2:D1075=D1076),2)-N107"&amp;"6)/O1076),J1076))"),"")</f>
        <v/>
      </c>
      <c r="Q1076" s="264" t="str">
        <f>IFERROR(__xludf.DUMMYFUNCTION("IFERROR(IF(F1076=""Crypto"",B1076,(IF(ISBLANK(D1076),"""",IF(D1076=""Cash"",B1076,IF(GOOGLEFINANCE(D1076,""CURRENCY"")=""GBX"",""GBP"",GOOGLEFINANCE(D1076,""CURRENCY"")))))),B1076)"),"")</f>
        <v/>
      </c>
      <c r="R1076" s="263" t="str">
        <f>IFERROR(__xludf.DUMMYFUNCTION("IF(ISBLANK(A1076),"""",IFERROR(IF(OR(Q1076=""GPB"",Q1076=""ZAR""),IF(Q1076=Dashboard!$L$1,K1076,(K1076*GOOGLEFINANCE(""CURRENCY:""&amp;Q1076&amp;""""&amp;Dashboard!$L$1&amp;""""))/100),IF(Q1076=Dashboard!$L$1,K1076,K1076*GOOGLEFINANCE(""CURRENCY:""&amp;Q1076&amp;""""&amp;Dashboard!$"&amp;"L$1&amp;""""))),K1076))"),"")</f>
        <v/>
      </c>
      <c r="S1076" s="266" t="str">
        <f>IFERROR(__xludf.DUMMYFUNCTION("IF(ISBLANK(A1076),"""",IFERROR(IF(OR(Q1076=""GPB"",Q1076=""ZAR""),IF(Q1076=Dashboard!$L$1,M1076,(M1076*GOOGLEFINANCE(""CURRENCY:""&amp;Q1076&amp;""""&amp;Dashboard!$L$1&amp;""""))/100),IF(Q1076=Dashboard!$L$1,M1076,M1076*GOOGLEFINANCE(""CURRENCY:""&amp;Q1076&amp;""""&amp;Dashboard!$"&amp;"L$1&amp;""""))),M1076))"),"")</f>
        <v/>
      </c>
      <c r="T1076" s="264" t="str">
        <f t="shared" si="4"/>
        <v/>
      </c>
      <c r="U1076" s="264" t="str">
        <f t="shared" si="5"/>
        <v/>
      </c>
      <c r="V1076" s="264" t="str">
        <f t="shared" si="6"/>
        <v/>
      </c>
      <c r="W1076" s="267" t="str">
        <f t="shared" si="8"/>
        <v/>
      </c>
      <c r="X1076" s="264" t="str">
        <f t="shared" si="7"/>
        <v/>
      </c>
    </row>
    <row r="1077" ht="15.75" customHeight="1">
      <c r="A1077" s="258"/>
      <c r="B1077" s="258"/>
      <c r="C1077" s="269"/>
      <c r="D1077" s="258"/>
      <c r="E1077" s="258"/>
      <c r="F1077" s="258"/>
      <c r="G1077" s="258"/>
      <c r="H1077" s="271"/>
      <c r="I1077" s="258"/>
      <c r="J1077" s="272"/>
      <c r="K1077" s="260"/>
      <c r="L1077" s="261"/>
      <c r="M1077" s="262" t="str">
        <f t="shared" si="1"/>
        <v/>
      </c>
      <c r="N1077" s="263" t="str">
        <f t="shared" si="2"/>
        <v/>
      </c>
      <c r="O1077" s="264" t="str">
        <f t="shared" si="3"/>
        <v/>
      </c>
      <c r="P1077" s="265" t="str">
        <f>IFERROR(__xludf.DUMMYFUNCTION("IF(ISBLANK(A1077),"""",IFERROR(IF(H1077=""Sell"",VLOOKUP(9^99,FILTER({ROW(P$2:P1076),P$2:P1076},D$2:D1076=D1077),2),(VLOOKUP(9^99,FILTER({ROW(P$2:P1076),P$2:P1076},D$2:D1076=D1077),2)*VLOOKUP(9^99,FILTER({ROW(O$2:O1076),O$2:O1076},D$2:D1076=D1077),2)-N107"&amp;"7)/O1077),J1077))"),"")</f>
        <v/>
      </c>
      <c r="Q1077" s="264" t="str">
        <f>IFERROR(__xludf.DUMMYFUNCTION("IFERROR(IF(F1077=""Crypto"",B1077,(IF(ISBLANK(D1077),"""",IF(D1077=""Cash"",B1077,IF(GOOGLEFINANCE(D1077,""CURRENCY"")=""GBX"",""GBP"",GOOGLEFINANCE(D1077,""CURRENCY"")))))),B1077)"),"")</f>
        <v/>
      </c>
      <c r="R1077" s="263" t="str">
        <f>IFERROR(__xludf.DUMMYFUNCTION("IF(ISBLANK(A1077),"""",IFERROR(IF(OR(Q1077=""GPB"",Q1077=""ZAR""),IF(Q1077=Dashboard!$L$1,K1077,(K1077*GOOGLEFINANCE(""CURRENCY:""&amp;Q1077&amp;""""&amp;Dashboard!$L$1&amp;""""))/100),IF(Q1077=Dashboard!$L$1,K1077,K1077*GOOGLEFINANCE(""CURRENCY:""&amp;Q1077&amp;""""&amp;Dashboard!$"&amp;"L$1&amp;""""))),K1077))"),"")</f>
        <v/>
      </c>
      <c r="S1077" s="266" t="str">
        <f>IFERROR(__xludf.DUMMYFUNCTION("IF(ISBLANK(A1077),"""",IFERROR(IF(OR(Q1077=""GPB"",Q1077=""ZAR""),IF(Q1077=Dashboard!$L$1,M1077,(M1077*GOOGLEFINANCE(""CURRENCY:""&amp;Q1077&amp;""""&amp;Dashboard!$L$1&amp;""""))/100),IF(Q1077=Dashboard!$L$1,M1077,M1077*GOOGLEFINANCE(""CURRENCY:""&amp;Q1077&amp;""""&amp;Dashboard!$"&amp;"L$1&amp;""""))),M1077))"),"")</f>
        <v/>
      </c>
      <c r="T1077" s="264" t="str">
        <f t="shared" si="4"/>
        <v/>
      </c>
      <c r="U1077" s="264" t="str">
        <f t="shared" si="5"/>
        <v/>
      </c>
      <c r="V1077" s="264" t="str">
        <f t="shared" si="6"/>
        <v/>
      </c>
      <c r="W1077" s="267" t="str">
        <f t="shared" si="8"/>
        <v/>
      </c>
      <c r="X1077" s="264" t="str">
        <f t="shared" si="7"/>
        <v/>
      </c>
    </row>
    <row r="1078" ht="15.75" customHeight="1">
      <c r="A1078" s="258"/>
      <c r="B1078" s="258"/>
      <c r="C1078" s="269"/>
      <c r="D1078" s="258"/>
      <c r="E1078" s="258"/>
      <c r="F1078" s="258"/>
      <c r="G1078" s="258"/>
      <c r="H1078" s="271"/>
      <c r="I1078" s="258"/>
      <c r="J1078" s="272"/>
      <c r="K1078" s="260"/>
      <c r="L1078" s="261"/>
      <c r="M1078" s="262" t="str">
        <f t="shared" si="1"/>
        <v/>
      </c>
      <c r="N1078" s="263" t="str">
        <f t="shared" si="2"/>
        <v/>
      </c>
      <c r="O1078" s="264" t="str">
        <f t="shared" si="3"/>
        <v/>
      </c>
      <c r="P1078" s="265" t="str">
        <f>IFERROR(__xludf.DUMMYFUNCTION("IF(ISBLANK(A1078),"""",IFERROR(IF(H1078=""Sell"",VLOOKUP(9^99,FILTER({ROW(P$2:P1077),P$2:P1077},D$2:D1077=D1078),2),(VLOOKUP(9^99,FILTER({ROW(P$2:P1077),P$2:P1077},D$2:D1077=D1078),2)*VLOOKUP(9^99,FILTER({ROW(O$2:O1077),O$2:O1077},D$2:D1077=D1078),2)-N107"&amp;"8)/O1078),J1078))"),"")</f>
        <v/>
      </c>
      <c r="Q1078" s="264" t="str">
        <f>IFERROR(__xludf.DUMMYFUNCTION("IFERROR(IF(F1078=""Crypto"",B1078,(IF(ISBLANK(D1078),"""",IF(D1078=""Cash"",B1078,IF(GOOGLEFINANCE(D1078,""CURRENCY"")=""GBX"",""GBP"",GOOGLEFINANCE(D1078,""CURRENCY"")))))),B1078)"),"")</f>
        <v/>
      </c>
      <c r="R1078" s="263" t="str">
        <f>IFERROR(__xludf.DUMMYFUNCTION("IF(ISBLANK(A1078),"""",IFERROR(IF(OR(Q1078=""GPB"",Q1078=""ZAR""),IF(Q1078=Dashboard!$L$1,K1078,(K1078*GOOGLEFINANCE(""CURRENCY:""&amp;Q1078&amp;""""&amp;Dashboard!$L$1&amp;""""))/100),IF(Q1078=Dashboard!$L$1,K1078,K1078*GOOGLEFINANCE(""CURRENCY:""&amp;Q1078&amp;""""&amp;Dashboard!$"&amp;"L$1&amp;""""))),K1078))"),"")</f>
        <v/>
      </c>
      <c r="S1078" s="266" t="str">
        <f>IFERROR(__xludf.DUMMYFUNCTION("IF(ISBLANK(A1078),"""",IFERROR(IF(OR(Q1078=""GPB"",Q1078=""ZAR""),IF(Q1078=Dashboard!$L$1,M1078,(M1078*GOOGLEFINANCE(""CURRENCY:""&amp;Q1078&amp;""""&amp;Dashboard!$L$1&amp;""""))/100),IF(Q1078=Dashboard!$L$1,M1078,M1078*GOOGLEFINANCE(""CURRENCY:""&amp;Q1078&amp;""""&amp;Dashboard!$"&amp;"L$1&amp;""""))),M1078))"),"")</f>
        <v/>
      </c>
      <c r="T1078" s="264" t="str">
        <f t="shared" si="4"/>
        <v/>
      </c>
      <c r="U1078" s="264" t="str">
        <f t="shared" si="5"/>
        <v/>
      </c>
      <c r="V1078" s="264" t="str">
        <f t="shared" si="6"/>
        <v/>
      </c>
      <c r="W1078" s="267" t="str">
        <f t="shared" si="8"/>
        <v/>
      </c>
      <c r="X1078" s="264" t="str">
        <f t="shared" si="7"/>
        <v/>
      </c>
    </row>
    <row r="1079" ht="15.75" customHeight="1">
      <c r="A1079" s="258"/>
      <c r="B1079" s="258"/>
      <c r="C1079" s="269"/>
      <c r="D1079" s="258"/>
      <c r="E1079" s="258"/>
      <c r="F1079" s="258"/>
      <c r="G1079" s="258"/>
      <c r="H1079" s="271"/>
      <c r="I1079" s="258"/>
      <c r="J1079" s="272"/>
      <c r="K1079" s="260"/>
      <c r="L1079" s="261"/>
      <c r="M1079" s="262" t="str">
        <f t="shared" si="1"/>
        <v/>
      </c>
      <c r="N1079" s="263" t="str">
        <f t="shared" si="2"/>
        <v/>
      </c>
      <c r="O1079" s="264" t="str">
        <f t="shared" si="3"/>
        <v/>
      </c>
      <c r="P1079" s="265" t="str">
        <f>IFERROR(__xludf.DUMMYFUNCTION("IF(ISBLANK(A1079),"""",IFERROR(IF(H1079=""Sell"",VLOOKUP(9^99,FILTER({ROW(P$2:P1078),P$2:P1078},D$2:D1078=D1079),2),(VLOOKUP(9^99,FILTER({ROW(P$2:P1078),P$2:P1078},D$2:D1078=D1079),2)*VLOOKUP(9^99,FILTER({ROW(O$2:O1078),O$2:O1078},D$2:D1078=D1079),2)-N107"&amp;"9)/O1079),J1079))"),"")</f>
        <v/>
      </c>
      <c r="Q1079" s="264" t="str">
        <f>IFERROR(__xludf.DUMMYFUNCTION("IFERROR(IF(F1079=""Crypto"",B1079,(IF(ISBLANK(D1079),"""",IF(D1079=""Cash"",B1079,IF(GOOGLEFINANCE(D1079,""CURRENCY"")=""GBX"",""GBP"",GOOGLEFINANCE(D1079,""CURRENCY"")))))),B1079)"),"")</f>
        <v/>
      </c>
      <c r="R1079" s="263" t="str">
        <f>IFERROR(__xludf.DUMMYFUNCTION("IF(ISBLANK(A1079),"""",IFERROR(IF(OR(Q1079=""GPB"",Q1079=""ZAR""),IF(Q1079=Dashboard!$L$1,K1079,(K1079*GOOGLEFINANCE(""CURRENCY:""&amp;Q1079&amp;""""&amp;Dashboard!$L$1&amp;""""))/100),IF(Q1079=Dashboard!$L$1,K1079,K1079*GOOGLEFINANCE(""CURRENCY:""&amp;Q1079&amp;""""&amp;Dashboard!$"&amp;"L$1&amp;""""))),K1079))"),"")</f>
        <v/>
      </c>
      <c r="S1079" s="266" t="str">
        <f>IFERROR(__xludf.DUMMYFUNCTION("IF(ISBLANK(A1079),"""",IFERROR(IF(OR(Q1079=""GPB"",Q1079=""ZAR""),IF(Q1079=Dashboard!$L$1,M1079,(M1079*GOOGLEFINANCE(""CURRENCY:""&amp;Q1079&amp;""""&amp;Dashboard!$L$1&amp;""""))/100),IF(Q1079=Dashboard!$L$1,M1079,M1079*GOOGLEFINANCE(""CURRENCY:""&amp;Q1079&amp;""""&amp;Dashboard!$"&amp;"L$1&amp;""""))),M1079))"),"")</f>
        <v/>
      </c>
      <c r="T1079" s="264" t="str">
        <f t="shared" si="4"/>
        <v/>
      </c>
      <c r="U1079" s="264" t="str">
        <f t="shared" si="5"/>
        <v/>
      </c>
      <c r="V1079" s="264" t="str">
        <f t="shared" si="6"/>
        <v/>
      </c>
      <c r="W1079" s="267" t="str">
        <f t="shared" si="8"/>
        <v/>
      </c>
      <c r="X1079" s="264" t="str">
        <f t="shared" si="7"/>
        <v/>
      </c>
    </row>
    <row r="1080" ht="15.75" customHeight="1">
      <c r="A1080" s="258"/>
      <c r="B1080" s="258"/>
      <c r="C1080" s="269"/>
      <c r="D1080" s="258"/>
      <c r="E1080" s="258"/>
      <c r="F1080" s="258"/>
      <c r="G1080" s="258"/>
      <c r="H1080" s="271"/>
      <c r="I1080" s="258"/>
      <c r="J1080" s="272"/>
      <c r="K1080" s="260"/>
      <c r="L1080" s="261"/>
      <c r="M1080" s="262" t="str">
        <f t="shared" si="1"/>
        <v/>
      </c>
      <c r="N1080" s="263" t="str">
        <f t="shared" si="2"/>
        <v/>
      </c>
      <c r="O1080" s="264" t="str">
        <f t="shared" si="3"/>
        <v/>
      </c>
      <c r="P1080" s="265" t="str">
        <f>IFERROR(__xludf.DUMMYFUNCTION("IF(ISBLANK(A1080),"""",IFERROR(IF(H1080=""Sell"",VLOOKUP(9^99,FILTER({ROW(P$2:P1079),P$2:P1079},D$2:D1079=D1080),2),(VLOOKUP(9^99,FILTER({ROW(P$2:P1079),P$2:P1079},D$2:D1079=D1080),2)*VLOOKUP(9^99,FILTER({ROW(O$2:O1079),O$2:O1079},D$2:D1079=D1080),2)-N108"&amp;"0)/O1080),J1080))"),"")</f>
        <v/>
      </c>
      <c r="Q1080" s="264" t="str">
        <f>IFERROR(__xludf.DUMMYFUNCTION("IFERROR(IF(F1080=""Crypto"",B1080,(IF(ISBLANK(D1080),"""",IF(D1080=""Cash"",B1080,IF(GOOGLEFINANCE(D1080,""CURRENCY"")=""GBX"",""GBP"",GOOGLEFINANCE(D1080,""CURRENCY"")))))),B1080)"),"")</f>
        <v/>
      </c>
      <c r="R1080" s="263" t="str">
        <f>IFERROR(__xludf.DUMMYFUNCTION("IF(ISBLANK(A1080),"""",IFERROR(IF(OR(Q1080=""GPB"",Q1080=""ZAR""),IF(Q1080=Dashboard!$L$1,K1080,(K1080*GOOGLEFINANCE(""CURRENCY:""&amp;Q1080&amp;""""&amp;Dashboard!$L$1&amp;""""))/100),IF(Q1080=Dashboard!$L$1,K1080,K1080*GOOGLEFINANCE(""CURRENCY:""&amp;Q1080&amp;""""&amp;Dashboard!$"&amp;"L$1&amp;""""))),K1080))"),"")</f>
        <v/>
      </c>
      <c r="S1080" s="266" t="str">
        <f>IFERROR(__xludf.DUMMYFUNCTION("IF(ISBLANK(A1080),"""",IFERROR(IF(OR(Q1080=""GPB"",Q1080=""ZAR""),IF(Q1080=Dashboard!$L$1,M1080,(M1080*GOOGLEFINANCE(""CURRENCY:""&amp;Q1080&amp;""""&amp;Dashboard!$L$1&amp;""""))/100),IF(Q1080=Dashboard!$L$1,M1080,M1080*GOOGLEFINANCE(""CURRENCY:""&amp;Q1080&amp;""""&amp;Dashboard!$"&amp;"L$1&amp;""""))),M1080))"),"")</f>
        <v/>
      </c>
      <c r="T1080" s="264" t="str">
        <f t="shared" si="4"/>
        <v/>
      </c>
      <c r="U1080" s="264" t="str">
        <f t="shared" si="5"/>
        <v/>
      </c>
      <c r="V1080" s="264" t="str">
        <f t="shared" si="6"/>
        <v/>
      </c>
      <c r="W1080" s="267" t="str">
        <f t="shared" si="8"/>
        <v/>
      </c>
      <c r="X1080" s="264" t="str">
        <f t="shared" si="7"/>
        <v/>
      </c>
    </row>
    <row r="1081" ht="15.75" customHeight="1">
      <c r="A1081" s="258"/>
      <c r="B1081" s="258"/>
      <c r="C1081" s="269"/>
      <c r="D1081" s="258"/>
      <c r="E1081" s="258"/>
      <c r="F1081" s="258"/>
      <c r="G1081" s="258"/>
      <c r="H1081" s="271"/>
      <c r="I1081" s="258"/>
      <c r="J1081" s="272"/>
      <c r="K1081" s="260"/>
      <c r="L1081" s="261"/>
      <c r="M1081" s="262" t="str">
        <f t="shared" si="1"/>
        <v/>
      </c>
      <c r="N1081" s="263" t="str">
        <f t="shared" si="2"/>
        <v/>
      </c>
      <c r="O1081" s="264" t="str">
        <f t="shared" si="3"/>
        <v/>
      </c>
      <c r="P1081" s="265" t="str">
        <f>IFERROR(__xludf.DUMMYFUNCTION("IF(ISBLANK(A1081),"""",IFERROR(IF(H1081=""Sell"",VLOOKUP(9^99,FILTER({ROW(P$2:P1080),P$2:P1080},D$2:D1080=D1081),2),(VLOOKUP(9^99,FILTER({ROW(P$2:P1080),P$2:P1080},D$2:D1080=D1081),2)*VLOOKUP(9^99,FILTER({ROW(O$2:O1080),O$2:O1080},D$2:D1080=D1081),2)-N108"&amp;"1)/O1081),J1081))"),"")</f>
        <v/>
      </c>
      <c r="Q1081" s="264" t="str">
        <f>IFERROR(__xludf.DUMMYFUNCTION("IFERROR(IF(F1081=""Crypto"",B1081,(IF(ISBLANK(D1081),"""",IF(D1081=""Cash"",B1081,IF(GOOGLEFINANCE(D1081,""CURRENCY"")=""GBX"",""GBP"",GOOGLEFINANCE(D1081,""CURRENCY"")))))),B1081)"),"")</f>
        <v/>
      </c>
      <c r="R1081" s="263" t="str">
        <f>IFERROR(__xludf.DUMMYFUNCTION("IF(ISBLANK(A1081),"""",IFERROR(IF(OR(Q1081=""GPB"",Q1081=""ZAR""),IF(Q1081=Dashboard!$L$1,K1081,(K1081*GOOGLEFINANCE(""CURRENCY:""&amp;Q1081&amp;""""&amp;Dashboard!$L$1&amp;""""))/100),IF(Q1081=Dashboard!$L$1,K1081,K1081*GOOGLEFINANCE(""CURRENCY:""&amp;Q1081&amp;""""&amp;Dashboard!$"&amp;"L$1&amp;""""))),K1081))"),"")</f>
        <v/>
      </c>
      <c r="S1081" s="266" t="str">
        <f>IFERROR(__xludf.DUMMYFUNCTION("IF(ISBLANK(A1081),"""",IFERROR(IF(OR(Q1081=""GPB"",Q1081=""ZAR""),IF(Q1081=Dashboard!$L$1,M1081,(M1081*GOOGLEFINANCE(""CURRENCY:""&amp;Q1081&amp;""""&amp;Dashboard!$L$1&amp;""""))/100),IF(Q1081=Dashboard!$L$1,M1081,M1081*GOOGLEFINANCE(""CURRENCY:""&amp;Q1081&amp;""""&amp;Dashboard!$"&amp;"L$1&amp;""""))),M1081))"),"")</f>
        <v/>
      </c>
      <c r="T1081" s="264" t="str">
        <f t="shared" si="4"/>
        <v/>
      </c>
      <c r="U1081" s="264" t="str">
        <f t="shared" si="5"/>
        <v/>
      </c>
      <c r="V1081" s="264" t="str">
        <f t="shared" si="6"/>
        <v/>
      </c>
      <c r="W1081" s="267" t="str">
        <f t="shared" si="8"/>
        <v/>
      </c>
      <c r="X1081" s="264" t="str">
        <f t="shared" si="7"/>
        <v/>
      </c>
    </row>
    <row r="1082" ht="15.75" customHeight="1">
      <c r="A1082" s="258"/>
      <c r="B1082" s="258"/>
      <c r="C1082" s="269"/>
      <c r="D1082" s="258"/>
      <c r="E1082" s="258"/>
      <c r="F1082" s="258"/>
      <c r="G1082" s="258"/>
      <c r="H1082" s="271"/>
      <c r="I1082" s="258"/>
      <c r="J1082" s="272"/>
      <c r="K1082" s="260"/>
      <c r="L1082" s="261"/>
      <c r="M1082" s="262" t="str">
        <f t="shared" si="1"/>
        <v/>
      </c>
      <c r="N1082" s="263" t="str">
        <f t="shared" si="2"/>
        <v/>
      </c>
      <c r="O1082" s="264" t="str">
        <f t="shared" si="3"/>
        <v/>
      </c>
      <c r="P1082" s="265" t="str">
        <f>IFERROR(__xludf.DUMMYFUNCTION("IF(ISBLANK(A1082),"""",IFERROR(IF(H1082=""Sell"",VLOOKUP(9^99,FILTER({ROW(P$2:P1081),P$2:P1081},D$2:D1081=D1082),2),(VLOOKUP(9^99,FILTER({ROW(P$2:P1081),P$2:P1081},D$2:D1081=D1082),2)*VLOOKUP(9^99,FILTER({ROW(O$2:O1081),O$2:O1081},D$2:D1081=D1082),2)-N108"&amp;"2)/O1082),J1082))"),"")</f>
        <v/>
      </c>
      <c r="Q1082" s="264" t="str">
        <f>IFERROR(__xludf.DUMMYFUNCTION("IFERROR(IF(F1082=""Crypto"",B1082,(IF(ISBLANK(D1082),"""",IF(D1082=""Cash"",B1082,IF(GOOGLEFINANCE(D1082,""CURRENCY"")=""GBX"",""GBP"",GOOGLEFINANCE(D1082,""CURRENCY"")))))),B1082)"),"")</f>
        <v/>
      </c>
      <c r="R1082" s="263" t="str">
        <f>IFERROR(__xludf.DUMMYFUNCTION("IF(ISBLANK(A1082),"""",IFERROR(IF(OR(Q1082=""GPB"",Q1082=""ZAR""),IF(Q1082=Dashboard!$L$1,K1082,(K1082*GOOGLEFINANCE(""CURRENCY:""&amp;Q1082&amp;""""&amp;Dashboard!$L$1&amp;""""))/100),IF(Q1082=Dashboard!$L$1,K1082,K1082*GOOGLEFINANCE(""CURRENCY:""&amp;Q1082&amp;""""&amp;Dashboard!$"&amp;"L$1&amp;""""))),K1082))"),"")</f>
        <v/>
      </c>
      <c r="S1082" s="266" t="str">
        <f>IFERROR(__xludf.DUMMYFUNCTION("IF(ISBLANK(A1082),"""",IFERROR(IF(OR(Q1082=""GPB"",Q1082=""ZAR""),IF(Q1082=Dashboard!$L$1,M1082,(M1082*GOOGLEFINANCE(""CURRENCY:""&amp;Q1082&amp;""""&amp;Dashboard!$L$1&amp;""""))/100),IF(Q1082=Dashboard!$L$1,M1082,M1082*GOOGLEFINANCE(""CURRENCY:""&amp;Q1082&amp;""""&amp;Dashboard!$"&amp;"L$1&amp;""""))),M1082))"),"")</f>
        <v/>
      </c>
      <c r="T1082" s="264" t="str">
        <f t="shared" si="4"/>
        <v/>
      </c>
      <c r="U1082" s="264" t="str">
        <f t="shared" si="5"/>
        <v/>
      </c>
      <c r="V1082" s="264" t="str">
        <f t="shared" si="6"/>
        <v/>
      </c>
      <c r="W1082" s="267" t="str">
        <f t="shared" si="8"/>
        <v/>
      </c>
      <c r="X1082" s="264" t="str">
        <f t="shared" si="7"/>
        <v/>
      </c>
    </row>
    <row r="1083" ht="15.75" customHeight="1">
      <c r="A1083" s="258"/>
      <c r="B1083" s="258"/>
      <c r="C1083" s="269"/>
      <c r="D1083" s="258"/>
      <c r="E1083" s="258"/>
      <c r="F1083" s="258"/>
      <c r="G1083" s="258"/>
      <c r="H1083" s="271"/>
      <c r="I1083" s="258"/>
      <c r="J1083" s="272"/>
      <c r="K1083" s="260"/>
      <c r="L1083" s="261"/>
      <c r="M1083" s="262" t="str">
        <f t="shared" si="1"/>
        <v/>
      </c>
      <c r="N1083" s="263" t="str">
        <f t="shared" si="2"/>
        <v/>
      </c>
      <c r="O1083" s="264" t="str">
        <f t="shared" si="3"/>
        <v/>
      </c>
      <c r="P1083" s="265" t="str">
        <f>IFERROR(__xludf.DUMMYFUNCTION("IF(ISBLANK(A1083),"""",IFERROR(IF(H1083=""Sell"",VLOOKUP(9^99,FILTER({ROW(P$2:P1082),P$2:P1082},D$2:D1082=D1083),2),(VLOOKUP(9^99,FILTER({ROW(P$2:P1082),P$2:P1082},D$2:D1082=D1083),2)*VLOOKUP(9^99,FILTER({ROW(O$2:O1082),O$2:O1082},D$2:D1082=D1083),2)-N108"&amp;"3)/O1083),J1083))"),"")</f>
        <v/>
      </c>
      <c r="Q1083" s="264" t="str">
        <f>IFERROR(__xludf.DUMMYFUNCTION("IFERROR(IF(F1083=""Crypto"",B1083,(IF(ISBLANK(D1083),"""",IF(D1083=""Cash"",B1083,IF(GOOGLEFINANCE(D1083,""CURRENCY"")=""GBX"",""GBP"",GOOGLEFINANCE(D1083,""CURRENCY"")))))),B1083)"),"")</f>
        <v/>
      </c>
      <c r="R1083" s="263" t="str">
        <f>IFERROR(__xludf.DUMMYFUNCTION("IF(ISBLANK(A1083),"""",IFERROR(IF(OR(Q1083=""GPB"",Q1083=""ZAR""),IF(Q1083=Dashboard!$L$1,K1083,(K1083*GOOGLEFINANCE(""CURRENCY:""&amp;Q1083&amp;""""&amp;Dashboard!$L$1&amp;""""))/100),IF(Q1083=Dashboard!$L$1,K1083,K1083*GOOGLEFINANCE(""CURRENCY:""&amp;Q1083&amp;""""&amp;Dashboard!$"&amp;"L$1&amp;""""))),K1083))"),"")</f>
        <v/>
      </c>
      <c r="S1083" s="266" t="str">
        <f>IFERROR(__xludf.DUMMYFUNCTION("IF(ISBLANK(A1083),"""",IFERROR(IF(OR(Q1083=""GPB"",Q1083=""ZAR""),IF(Q1083=Dashboard!$L$1,M1083,(M1083*GOOGLEFINANCE(""CURRENCY:""&amp;Q1083&amp;""""&amp;Dashboard!$L$1&amp;""""))/100),IF(Q1083=Dashboard!$L$1,M1083,M1083*GOOGLEFINANCE(""CURRENCY:""&amp;Q1083&amp;""""&amp;Dashboard!$"&amp;"L$1&amp;""""))),M1083))"),"")</f>
        <v/>
      </c>
      <c r="T1083" s="264" t="str">
        <f t="shared" si="4"/>
        <v/>
      </c>
      <c r="U1083" s="264" t="str">
        <f t="shared" si="5"/>
        <v/>
      </c>
      <c r="V1083" s="264" t="str">
        <f t="shared" si="6"/>
        <v/>
      </c>
      <c r="W1083" s="267" t="str">
        <f t="shared" si="8"/>
        <v/>
      </c>
      <c r="X1083" s="264" t="str">
        <f t="shared" si="7"/>
        <v/>
      </c>
    </row>
    <row r="1084" ht="15.75" customHeight="1">
      <c r="A1084" s="258"/>
      <c r="B1084" s="258"/>
      <c r="C1084" s="269"/>
      <c r="D1084" s="258"/>
      <c r="E1084" s="258"/>
      <c r="F1084" s="258"/>
      <c r="G1084" s="258"/>
      <c r="H1084" s="271"/>
      <c r="I1084" s="258"/>
      <c r="J1084" s="272"/>
      <c r="K1084" s="260"/>
      <c r="L1084" s="261"/>
      <c r="M1084" s="262" t="str">
        <f t="shared" si="1"/>
        <v/>
      </c>
      <c r="N1084" s="263" t="str">
        <f t="shared" si="2"/>
        <v/>
      </c>
      <c r="O1084" s="264" t="str">
        <f t="shared" si="3"/>
        <v/>
      </c>
      <c r="P1084" s="265" t="str">
        <f>IFERROR(__xludf.DUMMYFUNCTION("IF(ISBLANK(A1084),"""",IFERROR(IF(H1084=""Sell"",VLOOKUP(9^99,FILTER({ROW(P$2:P1083),P$2:P1083},D$2:D1083=D1084),2),(VLOOKUP(9^99,FILTER({ROW(P$2:P1083),P$2:P1083},D$2:D1083=D1084),2)*VLOOKUP(9^99,FILTER({ROW(O$2:O1083),O$2:O1083},D$2:D1083=D1084),2)-N108"&amp;"4)/O1084),J1084))"),"")</f>
        <v/>
      </c>
      <c r="Q1084" s="264" t="str">
        <f>IFERROR(__xludf.DUMMYFUNCTION("IFERROR(IF(F1084=""Crypto"",B1084,(IF(ISBLANK(D1084),"""",IF(D1084=""Cash"",B1084,IF(GOOGLEFINANCE(D1084,""CURRENCY"")=""GBX"",""GBP"",GOOGLEFINANCE(D1084,""CURRENCY"")))))),B1084)"),"")</f>
        <v/>
      </c>
      <c r="R1084" s="263" t="str">
        <f>IFERROR(__xludf.DUMMYFUNCTION("IF(ISBLANK(A1084),"""",IFERROR(IF(OR(Q1084=""GPB"",Q1084=""ZAR""),IF(Q1084=Dashboard!$L$1,K1084,(K1084*GOOGLEFINANCE(""CURRENCY:""&amp;Q1084&amp;""""&amp;Dashboard!$L$1&amp;""""))/100),IF(Q1084=Dashboard!$L$1,K1084,K1084*GOOGLEFINANCE(""CURRENCY:""&amp;Q1084&amp;""""&amp;Dashboard!$"&amp;"L$1&amp;""""))),K1084))"),"")</f>
        <v/>
      </c>
      <c r="S1084" s="266" t="str">
        <f>IFERROR(__xludf.DUMMYFUNCTION("IF(ISBLANK(A1084),"""",IFERROR(IF(OR(Q1084=""GPB"",Q1084=""ZAR""),IF(Q1084=Dashboard!$L$1,M1084,(M1084*GOOGLEFINANCE(""CURRENCY:""&amp;Q1084&amp;""""&amp;Dashboard!$L$1&amp;""""))/100),IF(Q1084=Dashboard!$L$1,M1084,M1084*GOOGLEFINANCE(""CURRENCY:""&amp;Q1084&amp;""""&amp;Dashboard!$"&amp;"L$1&amp;""""))),M1084))"),"")</f>
        <v/>
      </c>
      <c r="T1084" s="264" t="str">
        <f t="shared" si="4"/>
        <v/>
      </c>
      <c r="U1084" s="264" t="str">
        <f t="shared" si="5"/>
        <v/>
      </c>
      <c r="V1084" s="264" t="str">
        <f t="shared" si="6"/>
        <v/>
      </c>
      <c r="W1084" s="267" t="str">
        <f t="shared" si="8"/>
        <v/>
      </c>
      <c r="X1084" s="264" t="str">
        <f t="shared" si="7"/>
        <v/>
      </c>
    </row>
    <row r="1085" ht="15.75" customHeight="1">
      <c r="A1085" s="258"/>
      <c r="B1085" s="258"/>
      <c r="C1085" s="269"/>
      <c r="D1085" s="258"/>
      <c r="E1085" s="258"/>
      <c r="F1085" s="258"/>
      <c r="G1085" s="258"/>
      <c r="H1085" s="271"/>
      <c r="I1085" s="258"/>
      <c r="J1085" s="272"/>
      <c r="K1085" s="260"/>
      <c r="L1085" s="261"/>
      <c r="M1085" s="262" t="str">
        <f t="shared" si="1"/>
        <v/>
      </c>
      <c r="N1085" s="263" t="str">
        <f t="shared" si="2"/>
        <v/>
      </c>
      <c r="O1085" s="264" t="str">
        <f t="shared" si="3"/>
        <v/>
      </c>
      <c r="P1085" s="265" t="str">
        <f>IFERROR(__xludf.DUMMYFUNCTION("IF(ISBLANK(A1085),"""",IFERROR(IF(H1085=""Sell"",VLOOKUP(9^99,FILTER({ROW(P$2:P1084),P$2:P1084},D$2:D1084=D1085),2),(VLOOKUP(9^99,FILTER({ROW(P$2:P1084),P$2:P1084},D$2:D1084=D1085),2)*VLOOKUP(9^99,FILTER({ROW(O$2:O1084),O$2:O1084},D$2:D1084=D1085),2)-N108"&amp;"5)/O1085),J1085))"),"")</f>
        <v/>
      </c>
      <c r="Q1085" s="264" t="str">
        <f>IFERROR(__xludf.DUMMYFUNCTION("IFERROR(IF(F1085=""Crypto"",B1085,(IF(ISBLANK(D1085),"""",IF(D1085=""Cash"",B1085,IF(GOOGLEFINANCE(D1085,""CURRENCY"")=""GBX"",""GBP"",GOOGLEFINANCE(D1085,""CURRENCY"")))))),B1085)"),"")</f>
        <v/>
      </c>
      <c r="R1085" s="263" t="str">
        <f>IFERROR(__xludf.DUMMYFUNCTION("IF(ISBLANK(A1085),"""",IFERROR(IF(OR(Q1085=""GPB"",Q1085=""ZAR""),IF(Q1085=Dashboard!$L$1,K1085,(K1085*GOOGLEFINANCE(""CURRENCY:""&amp;Q1085&amp;""""&amp;Dashboard!$L$1&amp;""""))/100),IF(Q1085=Dashboard!$L$1,K1085,K1085*GOOGLEFINANCE(""CURRENCY:""&amp;Q1085&amp;""""&amp;Dashboard!$"&amp;"L$1&amp;""""))),K1085))"),"")</f>
        <v/>
      </c>
      <c r="S1085" s="266" t="str">
        <f>IFERROR(__xludf.DUMMYFUNCTION("IF(ISBLANK(A1085),"""",IFERROR(IF(OR(Q1085=""GPB"",Q1085=""ZAR""),IF(Q1085=Dashboard!$L$1,M1085,(M1085*GOOGLEFINANCE(""CURRENCY:""&amp;Q1085&amp;""""&amp;Dashboard!$L$1&amp;""""))/100),IF(Q1085=Dashboard!$L$1,M1085,M1085*GOOGLEFINANCE(""CURRENCY:""&amp;Q1085&amp;""""&amp;Dashboard!$"&amp;"L$1&amp;""""))),M1085))"),"")</f>
        <v/>
      </c>
      <c r="T1085" s="264" t="str">
        <f t="shared" si="4"/>
        <v/>
      </c>
      <c r="U1085" s="264" t="str">
        <f t="shared" si="5"/>
        <v/>
      </c>
      <c r="V1085" s="264" t="str">
        <f t="shared" si="6"/>
        <v/>
      </c>
      <c r="W1085" s="267" t="str">
        <f t="shared" si="8"/>
        <v/>
      </c>
      <c r="X1085" s="264" t="str">
        <f t="shared" si="7"/>
        <v/>
      </c>
    </row>
    <row r="1086" ht="15.75" customHeight="1">
      <c r="A1086" s="258"/>
      <c r="B1086" s="258"/>
      <c r="C1086" s="269"/>
      <c r="D1086" s="258"/>
      <c r="E1086" s="258"/>
      <c r="F1086" s="258"/>
      <c r="G1086" s="258"/>
      <c r="H1086" s="271"/>
      <c r="I1086" s="258"/>
      <c r="J1086" s="272"/>
      <c r="K1086" s="260"/>
      <c r="L1086" s="261"/>
      <c r="M1086" s="262" t="str">
        <f t="shared" si="1"/>
        <v/>
      </c>
      <c r="N1086" s="263" t="str">
        <f t="shared" si="2"/>
        <v/>
      </c>
      <c r="O1086" s="264" t="str">
        <f t="shared" si="3"/>
        <v/>
      </c>
      <c r="P1086" s="265" t="str">
        <f>IFERROR(__xludf.DUMMYFUNCTION("IF(ISBLANK(A1086),"""",IFERROR(IF(H1086=""Sell"",VLOOKUP(9^99,FILTER({ROW(P$2:P1085),P$2:P1085},D$2:D1085=D1086),2),(VLOOKUP(9^99,FILTER({ROW(P$2:P1085),P$2:P1085},D$2:D1085=D1086),2)*VLOOKUP(9^99,FILTER({ROW(O$2:O1085),O$2:O1085},D$2:D1085=D1086),2)-N108"&amp;"6)/O1086),J1086))"),"")</f>
        <v/>
      </c>
      <c r="Q1086" s="264" t="str">
        <f>IFERROR(__xludf.DUMMYFUNCTION("IFERROR(IF(F1086=""Crypto"",B1086,(IF(ISBLANK(D1086),"""",IF(D1086=""Cash"",B1086,IF(GOOGLEFINANCE(D1086,""CURRENCY"")=""GBX"",""GBP"",GOOGLEFINANCE(D1086,""CURRENCY"")))))),B1086)"),"")</f>
        <v/>
      </c>
      <c r="R1086" s="263" t="str">
        <f>IFERROR(__xludf.DUMMYFUNCTION("IF(ISBLANK(A1086),"""",IFERROR(IF(OR(Q1086=""GPB"",Q1086=""ZAR""),IF(Q1086=Dashboard!$L$1,K1086,(K1086*GOOGLEFINANCE(""CURRENCY:""&amp;Q1086&amp;""""&amp;Dashboard!$L$1&amp;""""))/100),IF(Q1086=Dashboard!$L$1,K1086,K1086*GOOGLEFINANCE(""CURRENCY:""&amp;Q1086&amp;""""&amp;Dashboard!$"&amp;"L$1&amp;""""))),K1086))"),"")</f>
        <v/>
      </c>
      <c r="S1086" s="266" t="str">
        <f>IFERROR(__xludf.DUMMYFUNCTION("IF(ISBLANK(A1086),"""",IFERROR(IF(OR(Q1086=""GPB"",Q1086=""ZAR""),IF(Q1086=Dashboard!$L$1,M1086,(M1086*GOOGLEFINANCE(""CURRENCY:""&amp;Q1086&amp;""""&amp;Dashboard!$L$1&amp;""""))/100),IF(Q1086=Dashboard!$L$1,M1086,M1086*GOOGLEFINANCE(""CURRENCY:""&amp;Q1086&amp;""""&amp;Dashboard!$"&amp;"L$1&amp;""""))),M1086))"),"")</f>
        <v/>
      </c>
      <c r="T1086" s="264" t="str">
        <f t="shared" si="4"/>
        <v/>
      </c>
      <c r="U1086" s="264" t="str">
        <f t="shared" si="5"/>
        <v/>
      </c>
      <c r="V1086" s="264" t="str">
        <f t="shared" si="6"/>
        <v/>
      </c>
      <c r="W1086" s="267" t="str">
        <f t="shared" si="8"/>
        <v/>
      </c>
      <c r="X1086" s="264" t="str">
        <f t="shared" si="7"/>
        <v/>
      </c>
    </row>
    <row r="1087" ht="15.75" customHeight="1">
      <c r="A1087" s="258"/>
      <c r="B1087" s="258"/>
      <c r="C1087" s="269"/>
      <c r="D1087" s="258"/>
      <c r="E1087" s="258"/>
      <c r="F1087" s="258"/>
      <c r="G1087" s="258"/>
      <c r="H1087" s="271"/>
      <c r="I1087" s="258"/>
      <c r="J1087" s="272"/>
      <c r="K1087" s="260"/>
      <c r="L1087" s="261"/>
      <c r="M1087" s="262" t="str">
        <f t="shared" si="1"/>
        <v/>
      </c>
      <c r="N1087" s="263" t="str">
        <f t="shared" si="2"/>
        <v/>
      </c>
      <c r="O1087" s="264" t="str">
        <f t="shared" si="3"/>
        <v/>
      </c>
      <c r="P1087" s="265" t="str">
        <f>IFERROR(__xludf.DUMMYFUNCTION("IF(ISBLANK(A1087),"""",IFERROR(IF(H1087=""Sell"",VLOOKUP(9^99,FILTER({ROW(P$2:P1086),P$2:P1086},D$2:D1086=D1087),2),(VLOOKUP(9^99,FILTER({ROW(P$2:P1086),P$2:P1086},D$2:D1086=D1087),2)*VLOOKUP(9^99,FILTER({ROW(O$2:O1086),O$2:O1086},D$2:D1086=D1087),2)-N108"&amp;"7)/O1087),J1087))"),"")</f>
        <v/>
      </c>
      <c r="Q1087" s="264" t="str">
        <f>IFERROR(__xludf.DUMMYFUNCTION("IFERROR(IF(F1087=""Crypto"",B1087,(IF(ISBLANK(D1087),"""",IF(D1087=""Cash"",B1087,IF(GOOGLEFINANCE(D1087,""CURRENCY"")=""GBX"",""GBP"",GOOGLEFINANCE(D1087,""CURRENCY"")))))),B1087)"),"")</f>
        <v/>
      </c>
      <c r="R1087" s="263" t="str">
        <f>IFERROR(__xludf.DUMMYFUNCTION("IF(ISBLANK(A1087),"""",IFERROR(IF(OR(Q1087=""GPB"",Q1087=""ZAR""),IF(Q1087=Dashboard!$L$1,K1087,(K1087*GOOGLEFINANCE(""CURRENCY:""&amp;Q1087&amp;""""&amp;Dashboard!$L$1&amp;""""))/100),IF(Q1087=Dashboard!$L$1,K1087,K1087*GOOGLEFINANCE(""CURRENCY:""&amp;Q1087&amp;""""&amp;Dashboard!$"&amp;"L$1&amp;""""))),K1087))"),"")</f>
        <v/>
      </c>
      <c r="S1087" s="266" t="str">
        <f>IFERROR(__xludf.DUMMYFUNCTION("IF(ISBLANK(A1087),"""",IFERROR(IF(OR(Q1087=""GPB"",Q1087=""ZAR""),IF(Q1087=Dashboard!$L$1,M1087,(M1087*GOOGLEFINANCE(""CURRENCY:""&amp;Q1087&amp;""""&amp;Dashboard!$L$1&amp;""""))/100),IF(Q1087=Dashboard!$L$1,M1087,M1087*GOOGLEFINANCE(""CURRENCY:""&amp;Q1087&amp;""""&amp;Dashboard!$"&amp;"L$1&amp;""""))),M1087))"),"")</f>
        <v/>
      </c>
      <c r="T1087" s="264" t="str">
        <f t="shared" si="4"/>
        <v/>
      </c>
      <c r="U1087" s="264" t="str">
        <f t="shared" si="5"/>
        <v/>
      </c>
      <c r="V1087" s="264" t="str">
        <f t="shared" si="6"/>
        <v/>
      </c>
      <c r="W1087" s="267" t="str">
        <f t="shared" si="8"/>
        <v/>
      </c>
      <c r="X1087" s="264" t="str">
        <f t="shared" si="7"/>
        <v/>
      </c>
    </row>
    <row r="1088" ht="15.75" customHeight="1">
      <c r="A1088" s="258"/>
      <c r="B1088" s="258"/>
      <c r="C1088" s="269"/>
      <c r="D1088" s="258"/>
      <c r="E1088" s="258"/>
      <c r="F1088" s="258"/>
      <c r="G1088" s="258"/>
      <c r="H1088" s="271"/>
      <c r="I1088" s="258"/>
      <c r="J1088" s="272"/>
      <c r="K1088" s="260"/>
      <c r="L1088" s="261"/>
      <c r="M1088" s="262" t="str">
        <f t="shared" si="1"/>
        <v/>
      </c>
      <c r="N1088" s="263" t="str">
        <f t="shared" si="2"/>
        <v/>
      </c>
      <c r="O1088" s="264" t="str">
        <f t="shared" si="3"/>
        <v/>
      </c>
      <c r="P1088" s="265" t="str">
        <f>IFERROR(__xludf.DUMMYFUNCTION("IF(ISBLANK(A1088),"""",IFERROR(IF(H1088=""Sell"",VLOOKUP(9^99,FILTER({ROW(P$2:P1087),P$2:P1087},D$2:D1087=D1088),2),(VLOOKUP(9^99,FILTER({ROW(P$2:P1087),P$2:P1087},D$2:D1087=D1088),2)*VLOOKUP(9^99,FILTER({ROW(O$2:O1087),O$2:O1087},D$2:D1087=D1088),2)-N108"&amp;"8)/O1088),J1088))"),"")</f>
        <v/>
      </c>
      <c r="Q1088" s="264" t="str">
        <f>IFERROR(__xludf.DUMMYFUNCTION("IFERROR(IF(F1088=""Crypto"",B1088,(IF(ISBLANK(D1088),"""",IF(D1088=""Cash"",B1088,IF(GOOGLEFINANCE(D1088,""CURRENCY"")=""GBX"",""GBP"",GOOGLEFINANCE(D1088,""CURRENCY"")))))),B1088)"),"")</f>
        <v/>
      </c>
      <c r="R1088" s="263" t="str">
        <f>IFERROR(__xludf.DUMMYFUNCTION("IF(ISBLANK(A1088),"""",IFERROR(IF(OR(Q1088=""GPB"",Q1088=""ZAR""),IF(Q1088=Dashboard!$L$1,K1088,(K1088*GOOGLEFINANCE(""CURRENCY:""&amp;Q1088&amp;""""&amp;Dashboard!$L$1&amp;""""))/100),IF(Q1088=Dashboard!$L$1,K1088,K1088*GOOGLEFINANCE(""CURRENCY:""&amp;Q1088&amp;""""&amp;Dashboard!$"&amp;"L$1&amp;""""))),K1088))"),"")</f>
        <v/>
      </c>
      <c r="S1088" s="266" t="str">
        <f>IFERROR(__xludf.DUMMYFUNCTION("IF(ISBLANK(A1088),"""",IFERROR(IF(OR(Q1088=""GPB"",Q1088=""ZAR""),IF(Q1088=Dashboard!$L$1,M1088,(M1088*GOOGLEFINANCE(""CURRENCY:""&amp;Q1088&amp;""""&amp;Dashboard!$L$1&amp;""""))/100),IF(Q1088=Dashboard!$L$1,M1088,M1088*GOOGLEFINANCE(""CURRENCY:""&amp;Q1088&amp;""""&amp;Dashboard!$"&amp;"L$1&amp;""""))),M1088))"),"")</f>
        <v/>
      </c>
      <c r="T1088" s="264" t="str">
        <f t="shared" si="4"/>
        <v/>
      </c>
      <c r="U1088" s="264" t="str">
        <f t="shared" si="5"/>
        <v/>
      </c>
      <c r="V1088" s="264" t="str">
        <f t="shared" si="6"/>
        <v/>
      </c>
      <c r="W1088" s="267" t="str">
        <f t="shared" si="8"/>
        <v/>
      </c>
      <c r="X1088" s="264" t="str">
        <f t="shared" si="7"/>
        <v/>
      </c>
    </row>
    <row r="1089" ht="15.75" customHeight="1">
      <c r="A1089" s="258"/>
      <c r="B1089" s="258"/>
      <c r="C1089" s="269"/>
      <c r="D1089" s="258"/>
      <c r="E1089" s="258"/>
      <c r="F1089" s="258"/>
      <c r="G1089" s="258"/>
      <c r="H1089" s="271"/>
      <c r="I1089" s="258"/>
      <c r="J1089" s="272"/>
      <c r="K1089" s="260"/>
      <c r="L1089" s="261"/>
      <c r="M1089" s="262" t="str">
        <f t="shared" si="1"/>
        <v/>
      </c>
      <c r="N1089" s="263" t="str">
        <f t="shared" si="2"/>
        <v/>
      </c>
      <c r="O1089" s="264" t="str">
        <f t="shared" si="3"/>
        <v/>
      </c>
      <c r="P1089" s="265" t="str">
        <f>IFERROR(__xludf.DUMMYFUNCTION("IF(ISBLANK(A1089),"""",IFERROR(IF(H1089=""Sell"",VLOOKUP(9^99,FILTER({ROW(P$2:P1088),P$2:P1088},D$2:D1088=D1089),2),(VLOOKUP(9^99,FILTER({ROW(P$2:P1088),P$2:P1088},D$2:D1088=D1089),2)*VLOOKUP(9^99,FILTER({ROW(O$2:O1088),O$2:O1088},D$2:D1088=D1089),2)-N108"&amp;"9)/O1089),J1089))"),"")</f>
        <v/>
      </c>
      <c r="Q1089" s="264" t="str">
        <f>IFERROR(__xludf.DUMMYFUNCTION("IFERROR(IF(F1089=""Crypto"",B1089,(IF(ISBLANK(D1089),"""",IF(D1089=""Cash"",B1089,IF(GOOGLEFINANCE(D1089,""CURRENCY"")=""GBX"",""GBP"",GOOGLEFINANCE(D1089,""CURRENCY"")))))),B1089)"),"")</f>
        <v/>
      </c>
      <c r="R1089" s="263" t="str">
        <f>IFERROR(__xludf.DUMMYFUNCTION("IF(ISBLANK(A1089),"""",IFERROR(IF(OR(Q1089=""GPB"",Q1089=""ZAR""),IF(Q1089=Dashboard!$L$1,K1089,(K1089*GOOGLEFINANCE(""CURRENCY:""&amp;Q1089&amp;""""&amp;Dashboard!$L$1&amp;""""))/100),IF(Q1089=Dashboard!$L$1,K1089,K1089*GOOGLEFINANCE(""CURRENCY:""&amp;Q1089&amp;""""&amp;Dashboard!$"&amp;"L$1&amp;""""))),K1089))"),"")</f>
        <v/>
      </c>
      <c r="S1089" s="266" t="str">
        <f>IFERROR(__xludf.DUMMYFUNCTION("IF(ISBLANK(A1089),"""",IFERROR(IF(OR(Q1089=""GPB"",Q1089=""ZAR""),IF(Q1089=Dashboard!$L$1,M1089,(M1089*GOOGLEFINANCE(""CURRENCY:""&amp;Q1089&amp;""""&amp;Dashboard!$L$1&amp;""""))/100),IF(Q1089=Dashboard!$L$1,M1089,M1089*GOOGLEFINANCE(""CURRENCY:""&amp;Q1089&amp;""""&amp;Dashboard!$"&amp;"L$1&amp;""""))),M1089))"),"")</f>
        <v/>
      </c>
      <c r="T1089" s="264" t="str">
        <f t="shared" si="4"/>
        <v/>
      </c>
      <c r="U1089" s="264" t="str">
        <f t="shared" si="5"/>
        <v/>
      </c>
      <c r="V1089" s="264" t="str">
        <f t="shared" si="6"/>
        <v/>
      </c>
      <c r="W1089" s="267" t="str">
        <f t="shared" si="8"/>
        <v/>
      </c>
      <c r="X1089" s="264" t="str">
        <f t="shared" si="7"/>
        <v/>
      </c>
    </row>
    <row r="1090" ht="15.75" customHeight="1">
      <c r="A1090" s="258"/>
      <c r="B1090" s="258"/>
      <c r="C1090" s="269"/>
      <c r="D1090" s="258"/>
      <c r="E1090" s="258"/>
      <c r="F1090" s="258"/>
      <c r="G1090" s="258"/>
      <c r="H1090" s="271"/>
      <c r="I1090" s="258"/>
      <c r="J1090" s="272"/>
      <c r="K1090" s="260"/>
      <c r="L1090" s="261"/>
      <c r="M1090" s="262" t="str">
        <f t="shared" si="1"/>
        <v/>
      </c>
      <c r="N1090" s="263" t="str">
        <f t="shared" si="2"/>
        <v/>
      </c>
      <c r="O1090" s="264" t="str">
        <f t="shared" si="3"/>
        <v/>
      </c>
      <c r="P1090" s="265" t="str">
        <f>IFERROR(__xludf.DUMMYFUNCTION("IF(ISBLANK(A1090),"""",IFERROR(IF(H1090=""Sell"",VLOOKUP(9^99,FILTER({ROW(P$2:P1089),P$2:P1089},D$2:D1089=D1090),2),(VLOOKUP(9^99,FILTER({ROW(P$2:P1089),P$2:P1089},D$2:D1089=D1090),2)*VLOOKUP(9^99,FILTER({ROW(O$2:O1089),O$2:O1089},D$2:D1089=D1090),2)-N109"&amp;"0)/O1090),J1090))"),"")</f>
        <v/>
      </c>
      <c r="Q1090" s="264" t="str">
        <f>IFERROR(__xludf.DUMMYFUNCTION("IFERROR(IF(F1090=""Crypto"",B1090,(IF(ISBLANK(D1090),"""",IF(D1090=""Cash"",B1090,IF(GOOGLEFINANCE(D1090,""CURRENCY"")=""GBX"",""GBP"",GOOGLEFINANCE(D1090,""CURRENCY"")))))),B1090)"),"")</f>
        <v/>
      </c>
      <c r="R1090" s="263" t="str">
        <f>IFERROR(__xludf.DUMMYFUNCTION("IF(ISBLANK(A1090),"""",IFERROR(IF(OR(Q1090=""GPB"",Q1090=""ZAR""),IF(Q1090=Dashboard!$L$1,K1090,(K1090*GOOGLEFINANCE(""CURRENCY:""&amp;Q1090&amp;""""&amp;Dashboard!$L$1&amp;""""))/100),IF(Q1090=Dashboard!$L$1,K1090,K1090*GOOGLEFINANCE(""CURRENCY:""&amp;Q1090&amp;""""&amp;Dashboard!$"&amp;"L$1&amp;""""))),K1090))"),"")</f>
        <v/>
      </c>
      <c r="S1090" s="266" t="str">
        <f>IFERROR(__xludf.DUMMYFUNCTION("IF(ISBLANK(A1090),"""",IFERROR(IF(OR(Q1090=""GPB"",Q1090=""ZAR""),IF(Q1090=Dashboard!$L$1,M1090,(M1090*GOOGLEFINANCE(""CURRENCY:""&amp;Q1090&amp;""""&amp;Dashboard!$L$1&amp;""""))/100),IF(Q1090=Dashboard!$L$1,M1090,M1090*GOOGLEFINANCE(""CURRENCY:""&amp;Q1090&amp;""""&amp;Dashboard!$"&amp;"L$1&amp;""""))),M1090))"),"")</f>
        <v/>
      </c>
      <c r="T1090" s="264" t="str">
        <f t="shared" si="4"/>
        <v/>
      </c>
      <c r="U1090" s="264" t="str">
        <f t="shared" si="5"/>
        <v/>
      </c>
      <c r="V1090" s="264" t="str">
        <f t="shared" si="6"/>
        <v/>
      </c>
      <c r="W1090" s="267" t="str">
        <f t="shared" si="8"/>
        <v/>
      </c>
      <c r="X1090" s="264" t="str">
        <f t="shared" si="7"/>
        <v/>
      </c>
    </row>
    <row r="1091" ht="15.75" customHeight="1">
      <c r="A1091" s="258"/>
      <c r="B1091" s="258"/>
      <c r="C1091" s="269"/>
      <c r="D1091" s="258"/>
      <c r="E1091" s="258"/>
      <c r="F1091" s="258"/>
      <c r="G1091" s="258"/>
      <c r="H1091" s="271"/>
      <c r="I1091" s="258"/>
      <c r="J1091" s="272"/>
      <c r="K1091" s="260"/>
      <c r="L1091" s="261"/>
      <c r="M1091" s="262" t="str">
        <f t="shared" si="1"/>
        <v/>
      </c>
      <c r="N1091" s="263" t="str">
        <f t="shared" si="2"/>
        <v/>
      </c>
      <c r="O1091" s="264" t="str">
        <f t="shared" si="3"/>
        <v/>
      </c>
      <c r="P1091" s="265" t="str">
        <f>IFERROR(__xludf.DUMMYFUNCTION("IF(ISBLANK(A1091),"""",IFERROR(IF(H1091=""Sell"",VLOOKUP(9^99,FILTER({ROW(P$2:P1090),P$2:P1090},D$2:D1090=D1091),2),(VLOOKUP(9^99,FILTER({ROW(P$2:P1090),P$2:P1090},D$2:D1090=D1091),2)*VLOOKUP(9^99,FILTER({ROW(O$2:O1090),O$2:O1090},D$2:D1090=D1091),2)-N109"&amp;"1)/O1091),J1091))"),"")</f>
        <v/>
      </c>
      <c r="Q1091" s="264" t="str">
        <f>IFERROR(__xludf.DUMMYFUNCTION("IFERROR(IF(F1091=""Crypto"",B1091,(IF(ISBLANK(D1091),"""",IF(D1091=""Cash"",B1091,IF(GOOGLEFINANCE(D1091,""CURRENCY"")=""GBX"",""GBP"",GOOGLEFINANCE(D1091,""CURRENCY"")))))),B1091)"),"")</f>
        <v/>
      </c>
      <c r="R1091" s="263" t="str">
        <f>IFERROR(__xludf.DUMMYFUNCTION("IF(ISBLANK(A1091),"""",IFERROR(IF(OR(Q1091=""GPB"",Q1091=""ZAR""),IF(Q1091=Dashboard!$L$1,K1091,(K1091*GOOGLEFINANCE(""CURRENCY:""&amp;Q1091&amp;""""&amp;Dashboard!$L$1&amp;""""))/100),IF(Q1091=Dashboard!$L$1,K1091,K1091*GOOGLEFINANCE(""CURRENCY:""&amp;Q1091&amp;""""&amp;Dashboard!$"&amp;"L$1&amp;""""))),K1091))"),"")</f>
        <v/>
      </c>
      <c r="S1091" s="266" t="str">
        <f>IFERROR(__xludf.DUMMYFUNCTION("IF(ISBLANK(A1091),"""",IFERROR(IF(OR(Q1091=""GPB"",Q1091=""ZAR""),IF(Q1091=Dashboard!$L$1,M1091,(M1091*GOOGLEFINANCE(""CURRENCY:""&amp;Q1091&amp;""""&amp;Dashboard!$L$1&amp;""""))/100),IF(Q1091=Dashboard!$L$1,M1091,M1091*GOOGLEFINANCE(""CURRENCY:""&amp;Q1091&amp;""""&amp;Dashboard!$"&amp;"L$1&amp;""""))),M1091))"),"")</f>
        <v/>
      </c>
      <c r="T1091" s="264" t="str">
        <f t="shared" si="4"/>
        <v/>
      </c>
      <c r="U1091" s="264" t="str">
        <f t="shared" si="5"/>
        <v/>
      </c>
      <c r="V1091" s="264" t="str">
        <f t="shared" si="6"/>
        <v/>
      </c>
      <c r="W1091" s="267" t="str">
        <f t="shared" si="8"/>
        <v/>
      </c>
      <c r="X1091" s="264" t="str">
        <f t="shared" si="7"/>
        <v/>
      </c>
    </row>
    <row r="1092" ht="15.75" customHeight="1">
      <c r="A1092" s="258"/>
      <c r="B1092" s="258"/>
      <c r="C1092" s="269"/>
      <c r="D1092" s="258"/>
      <c r="E1092" s="258"/>
      <c r="F1092" s="258"/>
      <c r="G1092" s="258"/>
      <c r="H1092" s="271"/>
      <c r="I1092" s="258"/>
      <c r="J1092" s="272"/>
      <c r="K1092" s="260"/>
      <c r="L1092" s="261"/>
      <c r="M1092" s="262" t="str">
        <f t="shared" si="1"/>
        <v/>
      </c>
      <c r="N1092" s="263" t="str">
        <f t="shared" si="2"/>
        <v/>
      </c>
      <c r="O1092" s="264" t="str">
        <f t="shared" si="3"/>
        <v/>
      </c>
      <c r="P1092" s="265" t="str">
        <f>IFERROR(__xludf.DUMMYFUNCTION("IF(ISBLANK(A1092),"""",IFERROR(IF(H1092=""Sell"",VLOOKUP(9^99,FILTER({ROW(P$2:P1091),P$2:P1091},D$2:D1091=D1092),2),(VLOOKUP(9^99,FILTER({ROW(P$2:P1091),P$2:P1091},D$2:D1091=D1092),2)*VLOOKUP(9^99,FILTER({ROW(O$2:O1091),O$2:O1091},D$2:D1091=D1092),2)-N109"&amp;"2)/O1092),J1092))"),"")</f>
        <v/>
      </c>
      <c r="Q1092" s="264" t="str">
        <f>IFERROR(__xludf.DUMMYFUNCTION("IFERROR(IF(F1092=""Crypto"",B1092,(IF(ISBLANK(D1092),"""",IF(D1092=""Cash"",B1092,IF(GOOGLEFINANCE(D1092,""CURRENCY"")=""GBX"",""GBP"",GOOGLEFINANCE(D1092,""CURRENCY"")))))),B1092)"),"")</f>
        <v/>
      </c>
      <c r="R1092" s="263" t="str">
        <f>IFERROR(__xludf.DUMMYFUNCTION("IF(ISBLANK(A1092),"""",IFERROR(IF(OR(Q1092=""GPB"",Q1092=""ZAR""),IF(Q1092=Dashboard!$L$1,K1092,(K1092*GOOGLEFINANCE(""CURRENCY:""&amp;Q1092&amp;""""&amp;Dashboard!$L$1&amp;""""))/100),IF(Q1092=Dashboard!$L$1,K1092,K1092*GOOGLEFINANCE(""CURRENCY:""&amp;Q1092&amp;""""&amp;Dashboard!$"&amp;"L$1&amp;""""))),K1092))"),"")</f>
        <v/>
      </c>
      <c r="S1092" s="266" t="str">
        <f>IFERROR(__xludf.DUMMYFUNCTION("IF(ISBLANK(A1092),"""",IFERROR(IF(OR(Q1092=""GPB"",Q1092=""ZAR""),IF(Q1092=Dashboard!$L$1,M1092,(M1092*GOOGLEFINANCE(""CURRENCY:""&amp;Q1092&amp;""""&amp;Dashboard!$L$1&amp;""""))/100),IF(Q1092=Dashboard!$L$1,M1092,M1092*GOOGLEFINANCE(""CURRENCY:""&amp;Q1092&amp;""""&amp;Dashboard!$"&amp;"L$1&amp;""""))),M1092))"),"")</f>
        <v/>
      </c>
      <c r="T1092" s="264" t="str">
        <f t="shared" si="4"/>
        <v/>
      </c>
      <c r="U1092" s="264" t="str">
        <f t="shared" si="5"/>
        <v/>
      </c>
      <c r="V1092" s="264" t="str">
        <f t="shared" si="6"/>
        <v/>
      </c>
      <c r="W1092" s="267" t="str">
        <f t="shared" si="8"/>
        <v/>
      </c>
      <c r="X1092" s="264" t="str">
        <f t="shared" si="7"/>
        <v/>
      </c>
    </row>
    <row r="1093" ht="15.75" customHeight="1">
      <c r="A1093" s="258"/>
      <c r="B1093" s="258"/>
      <c r="C1093" s="269"/>
      <c r="D1093" s="258"/>
      <c r="E1093" s="258"/>
      <c r="F1093" s="258"/>
      <c r="G1093" s="258"/>
      <c r="H1093" s="271"/>
      <c r="I1093" s="258"/>
      <c r="J1093" s="272"/>
      <c r="K1093" s="260"/>
      <c r="L1093" s="261"/>
      <c r="M1093" s="262" t="str">
        <f t="shared" si="1"/>
        <v/>
      </c>
      <c r="N1093" s="263" t="str">
        <f t="shared" si="2"/>
        <v/>
      </c>
      <c r="O1093" s="264" t="str">
        <f t="shared" si="3"/>
        <v/>
      </c>
      <c r="P1093" s="265" t="str">
        <f>IFERROR(__xludf.DUMMYFUNCTION("IF(ISBLANK(A1093),"""",IFERROR(IF(H1093=""Sell"",VLOOKUP(9^99,FILTER({ROW(P$2:P1092),P$2:P1092},D$2:D1092=D1093),2),(VLOOKUP(9^99,FILTER({ROW(P$2:P1092),P$2:P1092},D$2:D1092=D1093),2)*VLOOKUP(9^99,FILTER({ROW(O$2:O1092),O$2:O1092},D$2:D1092=D1093),2)-N109"&amp;"3)/O1093),J1093))"),"")</f>
        <v/>
      </c>
      <c r="Q1093" s="264" t="str">
        <f>IFERROR(__xludf.DUMMYFUNCTION("IFERROR(IF(F1093=""Crypto"",B1093,(IF(ISBLANK(D1093),"""",IF(D1093=""Cash"",B1093,IF(GOOGLEFINANCE(D1093,""CURRENCY"")=""GBX"",""GBP"",GOOGLEFINANCE(D1093,""CURRENCY"")))))),B1093)"),"")</f>
        <v/>
      </c>
      <c r="R1093" s="263" t="str">
        <f>IFERROR(__xludf.DUMMYFUNCTION("IF(ISBLANK(A1093),"""",IFERROR(IF(OR(Q1093=""GPB"",Q1093=""ZAR""),IF(Q1093=Dashboard!$L$1,K1093,(K1093*GOOGLEFINANCE(""CURRENCY:""&amp;Q1093&amp;""""&amp;Dashboard!$L$1&amp;""""))/100),IF(Q1093=Dashboard!$L$1,K1093,K1093*GOOGLEFINANCE(""CURRENCY:""&amp;Q1093&amp;""""&amp;Dashboard!$"&amp;"L$1&amp;""""))),K1093))"),"")</f>
        <v/>
      </c>
      <c r="S1093" s="266" t="str">
        <f>IFERROR(__xludf.DUMMYFUNCTION("IF(ISBLANK(A1093),"""",IFERROR(IF(OR(Q1093=""GPB"",Q1093=""ZAR""),IF(Q1093=Dashboard!$L$1,M1093,(M1093*GOOGLEFINANCE(""CURRENCY:""&amp;Q1093&amp;""""&amp;Dashboard!$L$1&amp;""""))/100),IF(Q1093=Dashboard!$L$1,M1093,M1093*GOOGLEFINANCE(""CURRENCY:""&amp;Q1093&amp;""""&amp;Dashboard!$"&amp;"L$1&amp;""""))),M1093))"),"")</f>
        <v/>
      </c>
      <c r="T1093" s="264" t="str">
        <f t="shared" si="4"/>
        <v/>
      </c>
      <c r="U1093" s="264" t="str">
        <f t="shared" si="5"/>
        <v/>
      </c>
      <c r="V1093" s="264" t="str">
        <f t="shared" si="6"/>
        <v/>
      </c>
      <c r="W1093" s="267" t="str">
        <f t="shared" si="8"/>
        <v/>
      </c>
      <c r="X1093" s="264" t="str">
        <f t="shared" si="7"/>
        <v/>
      </c>
    </row>
    <row r="1094" ht="15.75" customHeight="1">
      <c r="A1094" s="258"/>
      <c r="B1094" s="258"/>
      <c r="C1094" s="269"/>
      <c r="D1094" s="258"/>
      <c r="E1094" s="258"/>
      <c r="F1094" s="258"/>
      <c r="G1094" s="258"/>
      <c r="H1094" s="271"/>
      <c r="I1094" s="258"/>
      <c r="J1094" s="272"/>
      <c r="K1094" s="260"/>
      <c r="L1094" s="261"/>
      <c r="M1094" s="262" t="str">
        <f t="shared" si="1"/>
        <v/>
      </c>
      <c r="N1094" s="263" t="str">
        <f t="shared" si="2"/>
        <v/>
      </c>
      <c r="O1094" s="264" t="str">
        <f t="shared" si="3"/>
        <v/>
      </c>
      <c r="P1094" s="265" t="str">
        <f>IFERROR(__xludf.DUMMYFUNCTION("IF(ISBLANK(A1094),"""",IFERROR(IF(H1094=""Sell"",VLOOKUP(9^99,FILTER({ROW(P$2:P1093),P$2:P1093},D$2:D1093=D1094),2),(VLOOKUP(9^99,FILTER({ROW(P$2:P1093),P$2:P1093},D$2:D1093=D1094),2)*VLOOKUP(9^99,FILTER({ROW(O$2:O1093),O$2:O1093},D$2:D1093=D1094),2)-N109"&amp;"4)/O1094),J1094))"),"")</f>
        <v/>
      </c>
      <c r="Q1094" s="264" t="str">
        <f>IFERROR(__xludf.DUMMYFUNCTION("IFERROR(IF(F1094=""Crypto"",B1094,(IF(ISBLANK(D1094),"""",IF(D1094=""Cash"",B1094,IF(GOOGLEFINANCE(D1094,""CURRENCY"")=""GBX"",""GBP"",GOOGLEFINANCE(D1094,""CURRENCY"")))))),B1094)"),"")</f>
        <v/>
      </c>
      <c r="R1094" s="263" t="str">
        <f>IFERROR(__xludf.DUMMYFUNCTION("IF(ISBLANK(A1094),"""",IFERROR(IF(OR(Q1094=""GPB"",Q1094=""ZAR""),IF(Q1094=Dashboard!$L$1,K1094,(K1094*GOOGLEFINANCE(""CURRENCY:""&amp;Q1094&amp;""""&amp;Dashboard!$L$1&amp;""""))/100),IF(Q1094=Dashboard!$L$1,K1094,K1094*GOOGLEFINANCE(""CURRENCY:""&amp;Q1094&amp;""""&amp;Dashboard!$"&amp;"L$1&amp;""""))),K1094))"),"")</f>
        <v/>
      </c>
      <c r="S1094" s="266" t="str">
        <f>IFERROR(__xludf.DUMMYFUNCTION("IF(ISBLANK(A1094),"""",IFERROR(IF(OR(Q1094=""GPB"",Q1094=""ZAR""),IF(Q1094=Dashboard!$L$1,M1094,(M1094*GOOGLEFINANCE(""CURRENCY:""&amp;Q1094&amp;""""&amp;Dashboard!$L$1&amp;""""))/100),IF(Q1094=Dashboard!$L$1,M1094,M1094*GOOGLEFINANCE(""CURRENCY:""&amp;Q1094&amp;""""&amp;Dashboard!$"&amp;"L$1&amp;""""))),M1094))"),"")</f>
        <v/>
      </c>
      <c r="T1094" s="264" t="str">
        <f t="shared" si="4"/>
        <v/>
      </c>
      <c r="U1094" s="264" t="str">
        <f t="shared" si="5"/>
        <v/>
      </c>
      <c r="V1094" s="264" t="str">
        <f t="shared" si="6"/>
        <v/>
      </c>
      <c r="W1094" s="267" t="str">
        <f t="shared" si="8"/>
        <v/>
      </c>
      <c r="X1094" s="264" t="str">
        <f t="shared" si="7"/>
        <v/>
      </c>
    </row>
    <row r="1095" ht="15.75" customHeight="1">
      <c r="A1095" s="258"/>
      <c r="B1095" s="258"/>
      <c r="C1095" s="269"/>
      <c r="D1095" s="258"/>
      <c r="E1095" s="258"/>
      <c r="F1095" s="258"/>
      <c r="G1095" s="258"/>
      <c r="H1095" s="271"/>
      <c r="I1095" s="258"/>
      <c r="J1095" s="272"/>
      <c r="K1095" s="260"/>
      <c r="L1095" s="261"/>
      <c r="M1095" s="262" t="str">
        <f t="shared" si="1"/>
        <v/>
      </c>
      <c r="N1095" s="263" t="str">
        <f t="shared" si="2"/>
        <v/>
      </c>
      <c r="O1095" s="264" t="str">
        <f t="shared" si="3"/>
        <v/>
      </c>
      <c r="P1095" s="265" t="str">
        <f>IFERROR(__xludf.DUMMYFUNCTION("IF(ISBLANK(A1095),"""",IFERROR(IF(H1095=""Sell"",VLOOKUP(9^99,FILTER({ROW(P$2:P1094),P$2:P1094},D$2:D1094=D1095),2),(VLOOKUP(9^99,FILTER({ROW(P$2:P1094),P$2:P1094},D$2:D1094=D1095),2)*VLOOKUP(9^99,FILTER({ROW(O$2:O1094),O$2:O1094},D$2:D1094=D1095),2)-N109"&amp;"5)/O1095),J1095))"),"")</f>
        <v/>
      </c>
      <c r="Q1095" s="264" t="str">
        <f>IFERROR(__xludf.DUMMYFUNCTION("IFERROR(IF(F1095=""Crypto"",B1095,(IF(ISBLANK(D1095),"""",IF(D1095=""Cash"",B1095,IF(GOOGLEFINANCE(D1095,""CURRENCY"")=""GBX"",""GBP"",GOOGLEFINANCE(D1095,""CURRENCY"")))))),B1095)"),"")</f>
        <v/>
      </c>
      <c r="R1095" s="263" t="str">
        <f>IFERROR(__xludf.DUMMYFUNCTION("IF(ISBLANK(A1095),"""",IFERROR(IF(OR(Q1095=""GPB"",Q1095=""ZAR""),IF(Q1095=Dashboard!$L$1,K1095,(K1095*GOOGLEFINANCE(""CURRENCY:""&amp;Q1095&amp;""""&amp;Dashboard!$L$1&amp;""""))/100),IF(Q1095=Dashboard!$L$1,K1095,K1095*GOOGLEFINANCE(""CURRENCY:""&amp;Q1095&amp;""""&amp;Dashboard!$"&amp;"L$1&amp;""""))),K1095))"),"")</f>
        <v/>
      </c>
      <c r="S1095" s="266" t="str">
        <f>IFERROR(__xludf.DUMMYFUNCTION("IF(ISBLANK(A1095),"""",IFERROR(IF(OR(Q1095=""GPB"",Q1095=""ZAR""),IF(Q1095=Dashboard!$L$1,M1095,(M1095*GOOGLEFINANCE(""CURRENCY:""&amp;Q1095&amp;""""&amp;Dashboard!$L$1&amp;""""))/100),IF(Q1095=Dashboard!$L$1,M1095,M1095*GOOGLEFINANCE(""CURRENCY:""&amp;Q1095&amp;""""&amp;Dashboard!$"&amp;"L$1&amp;""""))),M1095))"),"")</f>
        <v/>
      </c>
      <c r="T1095" s="264" t="str">
        <f t="shared" si="4"/>
        <v/>
      </c>
      <c r="U1095" s="264" t="str">
        <f t="shared" si="5"/>
        <v/>
      </c>
      <c r="V1095" s="264" t="str">
        <f t="shared" si="6"/>
        <v/>
      </c>
      <c r="W1095" s="267" t="str">
        <f t="shared" si="8"/>
        <v/>
      </c>
      <c r="X1095" s="264" t="str">
        <f t="shared" si="7"/>
        <v/>
      </c>
    </row>
    <row r="1096" ht="15.75" customHeight="1">
      <c r="A1096" s="258"/>
      <c r="B1096" s="258"/>
      <c r="C1096" s="269"/>
      <c r="D1096" s="258"/>
      <c r="E1096" s="258"/>
      <c r="F1096" s="258"/>
      <c r="G1096" s="258"/>
      <c r="H1096" s="271"/>
      <c r="I1096" s="258"/>
      <c r="J1096" s="272"/>
      <c r="K1096" s="260"/>
      <c r="L1096" s="261"/>
      <c r="M1096" s="262" t="str">
        <f t="shared" si="1"/>
        <v/>
      </c>
      <c r="N1096" s="263" t="str">
        <f t="shared" si="2"/>
        <v/>
      </c>
      <c r="O1096" s="264" t="str">
        <f t="shared" si="3"/>
        <v/>
      </c>
      <c r="P1096" s="265" t="str">
        <f>IFERROR(__xludf.DUMMYFUNCTION("IF(ISBLANK(A1096),"""",IFERROR(IF(H1096=""Sell"",VLOOKUP(9^99,FILTER({ROW(P$2:P1095),P$2:P1095},D$2:D1095=D1096),2),(VLOOKUP(9^99,FILTER({ROW(P$2:P1095),P$2:P1095},D$2:D1095=D1096),2)*VLOOKUP(9^99,FILTER({ROW(O$2:O1095),O$2:O1095},D$2:D1095=D1096),2)-N109"&amp;"6)/O1096),J1096))"),"")</f>
        <v/>
      </c>
      <c r="Q1096" s="264" t="str">
        <f>IFERROR(__xludf.DUMMYFUNCTION("IFERROR(IF(F1096=""Crypto"",B1096,(IF(ISBLANK(D1096),"""",IF(D1096=""Cash"",B1096,IF(GOOGLEFINANCE(D1096,""CURRENCY"")=""GBX"",""GBP"",GOOGLEFINANCE(D1096,""CURRENCY"")))))),B1096)"),"")</f>
        <v/>
      </c>
      <c r="R1096" s="263" t="str">
        <f>IFERROR(__xludf.DUMMYFUNCTION("IF(ISBLANK(A1096),"""",IFERROR(IF(OR(Q1096=""GPB"",Q1096=""ZAR""),IF(Q1096=Dashboard!$L$1,K1096,(K1096*GOOGLEFINANCE(""CURRENCY:""&amp;Q1096&amp;""""&amp;Dashboard!$L$1&amp;""""))/100),IF(Q1096=Dashboard!$L$1,K1096,K1096*GOOGLEFINANCE(""CURRENCY:""&amp;Q1096&amp;""""&amp;Dashboard!$"&amp;"L$1&amp;""""))),K1096))"),"")</f>
        <v/>
      </c>
      <c r="S1096" s="266" t="str">
        <f>IFERROR(__xludf.DUMMYFUNCTION("IF(ISBLANK(A1096),"""",IFERROR(IF(OR(Q1096=""GPB"",Q1096=""ZAR""),IF(Q1096=Dashboard!$L$1,M1096,(M1096*GOOGLEFINANCE(""CURRENCY:""&amp;Q1096&amp;""""&amp;Dashboard!$L$1&amp;""""))/100),IF(Q1096=Dashboard!$L$1,M1096,M1096*GOOGLEFINANCE(""CURRENCY:""&amp;Q1096&amp;""""&amp;Dashboard!$"&amp;"L$1&amp;""""))),M1096))"),"")</f>
        <v/>
      </c>
      <c r="T1096" s="264" t="str">
        <f t="shared" si="4"/>
        <v/>
      </c>
      <c r="U1096" s="264" t="str">
        <f t="shared" si="5"/>
        <v/>
      </c>
      <c r="V1096" s="264" t="str">
        <f t="shared" si="6"/>
        <v/>
      </c>
      <c r="W1096" s="267" t="str">
        <f t="shared" si="8"/>
        <v/>
      </c>
      <c r="X1096" s="264" t="str">
        <f t="shared" si="7"/>
        <v/>
      </c>
    </row>
    <row r="1097" ht="15.75" customHeight="1">
      <c r="A1097" s="258"/>
      <c r="B1097" s="258"/>
      <c r="C1097" s="269"/>
      <c r="D1097" s="258"/>
      <c r="E1097" s="258"/>
      <c r="F1097" s="258"/>
      <c r="G1097" s="258"/>
      <c r="H1097" s="271"/>
      <c r="I1097" s="258"/>
      <c r="J1097" s="272"/>
      <c r="K1097" s="260"/>
      <c r="L1097" s="261"/>
      <c r="M1097" s="262" t="str">
        <f t="shared" si="1"/>
        <v/>
      </c>
      <c r="N1097" s="263" t="str">
        <f t="shared" si="2"/>
        <v/>
      </c>
      <c r="O1097" s="264" t="str">
        <f t="shared" si="3"/>
        <v/>
      </c>
      <c r="P1097" s="265" t="str">
        <f>IFERROR(__xludf.DUMMYFUNCTION("IF(ISBLANK(A1097),"""",IFERROR(IF(H1097=""Sell"",VLOOKUP(9^99,FILTER({ROW(P$2:P1096),P$2:P1096},D$2:D1096=D1097),2),(VLOOKUP(9^99,FILTER({ROW(P$2:P1096),P$2:P1096},D$2:D1096=D1097),2)*VLOOKUP(9^99,FILTER({ROW(O$2:O1096),O$2:O1096},D$2:D1096=D1097),2)-N109"&amp;"7)/O1097),J1097))"),"")</f>
        <v/>
      </c>
      <c r="Q1097" s="264" t="str">
        <f>IFERROR(__xludf.DUMMYFUNCTION("IFERROR(IF(F1097=""Crypto"",B1097,(IF(ISBLANK(D1097),"""",IF(D1097=""Cash"",B1097,IF(GOOGLEFINANCE(D1097,""CURRENCY"")=""GBX"",""GBP"",GOOGLEFINANCE(D1097,""CURRENCY"")))))),B1097)"),"")</f>
        <v/>
      </c>
      <c r="R1097" s="263" t="str">
        <f>IFERROR(__xludf.DUMMYFUNCTION("IF(ISBLANK(A1097),"""",IFERROR(IF(OR(Q1097=""GPB"",Q1097=""ZAR""),IF(Q1097=Dashboard!$L$1,K1097,(K1097*GOOGLEFINANCE(""CURRENCY:""&amp;Q1097&amp;""""&amp;Dashboard!$L$1&amp;""""))/100),IF(Q1097=Dashboard!$L$1,K1097,K1097*GOOGLEFINANCE(""CURRENCY:""&amp;Q1097&amp;""""&amp;Dashboard!$"&amp;"L$1&amp;""""))),K1097))"),"")</f>
        <v/>
      </c>
      <c r="S1097" s="266" t="str">
        <f>IFERROR(__xludf.DUMMYFUNCTION("IF(ISBLANK(A1097),"""",IFERROR(IF(OR(Q1097=""GPB"",Q1097=""ZAR""),IF(Q1097=Dashboard!$L$1,M1097,(M1097*GOOGLEFINANCE(""CURRENCY:""&amp;Q1097&amp;""""&amp;Dashboard!$L$1&amp;""""))/100),IF(Q1097=Dashboard!$L$1,M1097,M1097*GOOGLEFINANCE(""CURRENCY:""&amp;Q1097&amp;""""&amp;Dashboard!$"&amp;"L$1&amp;""""))),M1097))"),"")</f>
        <v/>
      </c>
      <c r="T1097" s="264" t="str">
        <f t="shared" si="4"/>
        <v/>
      </c>
      <c r="U1097" s="264" t="str">
        <f t="shared" si="5"/>
        <v/>
      </c>
      <c r="V1097" s="264" t="str">
        <f t="shared" si="6"/>
        <v/>
      </c>
      <c r="W1097" s="267" t="str">
        <f t="shared" si="8"/>
        <v/>
      </c>
      <c r="X1097" s="264" t="str">
        <f t="shared" si="7"/>
        <v/>
      </c>
    </row>
    <row r="1098" ht="15.75" customHeight="1">
      <c r="A1098" s="258"/>
      <c r="B1098" s="258"/>
      <c r="C1098" s="269"/>
      <c r="D1098" s="258"/>
      <c r="E1098" s="258"/>
      <c r="F1098" s="258"/>
      <c r="G1098" s="258"/>
      <c r="H1098" s="271"/>
      <c r="I1098" s="258"/>
      <c r="J1098" s="272"/>
      <c r="K1098" s="260"/>
      <c r="L1098" s="261"/>
      <c r="M1098" s="262" t="str">
        <f t="shared" si="1"/>
        <v/>
      </c>
      <c r="N1098" s="263" t="str">
        <f t="shared" si="2"/>
        <v/>
      </c>
      <c r="O1098" s="264" t="str">
        <f t="shared" si="3"/>
        <v/>
      </c>
      <c r="P1098" s="265" t="str">
        <f>IFERROR(__xludf.DUMMYFUNCTION("IF(ISBLANK(A1098),"""",IFERROR(IF(H1098=""Sell"",VLOOKUP(9^99,FILTER({ROW(P$2:P1097),P$2:P1097},D$2:D1097=D1098),2),(VLOOKUP(9^99,FILTER({ROW(P$2:P1097),P$2:P1097},D$2:D1097=D1098),2)*VLOOKUP(9^99,FILTER({ROW(O$2:O1097),O$2:O1097},D$2:D1097=D1098),2)-N109"&amp;"8)/O1098),J1098))"),"")</f>
        <v/>
      </c>
      <c r="Q1098" s="264" t="str">
        <f>IFERROR(__xludf.DUMMYFUNCTION("IFERROR(IF(F1098=""Crypto"",B1098,(IF(ISBLANK(D1098),"""",IF(D1098=""Cash"",B1098,IF(GOOGLEFINANCE(D1098,""CURRENCY"")=""GBX"",""GBP"",GOOGLEFINANCE(D1098,""CURRENCY"")))))),B1098)"),"")</f>
        <v/>
      </c>
      <c r="R1098" s="263" t="str">
        <f>IFERROR(__xludf.DUMMYFUNCTION("IF(ISBLANK(A1098),"""",IFERROR(IF(OR(Q1098=""GPB"",Q1098=""ZAR""),IF(Q1098=Dashboard!$L$1,K1098,(K1098*GOOGLEFINANCE(""CURRENCY:""&amp;Q1098&amp;""""&amp;Dashboard!$L$1&amp;""""))/100),IF(Q1098=Dashboard!$L$1,K1098,K1098*GOOGLEFINANCE(""CURRENCY:""&amp;Q1098&amp;""""&amp;Dashboard!$"&amp;"L$1&amp;""""))),K1098))"),"")</f>
        <v/>
      </c>
      <c r="S1098" s="266" t="str">
        <f>IFERROR(__xludf.DUMMYFUNCTION("IF(ISBLANK(A1098),"""",IFERROR(IF(OR(Q1098=""GPB"",Q1098=""ZAR""),IF(Q1098=Dashboard!$L$1,M1098,(M1098*GOOGLEFINANCE(""CURRENCY:""&amp;Q1098&amp;""""&amp;Dashboard!$L$1&amp;""""))/100),IF(Q1098=Dashboard!$L$1,M1098,M1098*GOOGLEFINANCE(""CURRENCY:""&amp;Q1098&amp;""""&amp;Dashboard!$"&amp;"L$1&amp;""""))),M1098))"),"")</f>
        <v/>
      </c>
      <c r="T1098" s="264" t="str">
        <f t="shared" si="4"/>
        <v/>
      </c>
      <c r="U1098" s="264" t="str">
        <f t="shared" si="5"/>
        <v/>
      </c>
      <c r="V1098" s="264" t="str">
        <f t="shared" si="6"/>
        <v/>
      </c>
      <c r="W1098" s="267" t="str">
        <f t="shared" si="8"/>
        <v/>
      </c>
      <c r="X1098" s="264" t="str">
        <f t="shared" si="7"/>
        <v/>
      </c>
    </row>
    <row r="1099" ht="15.75" customHeight="1">
      <c r="A1099" s="258"/>
      <c r="B1099" s="258"/>
      <c r="C1099" s="269"/>
      <c r="D1099" s="258"/>
      <c r="E1099" s="258"/>
      <c r="F1099" s="258"/>
      <c r="G1099" s="258"/>
      <c r="H1099" s="271"/>
      <c r="I1099" s="258"/>
      <c r="J1099" s="272"/>
      <c r="K1099" s="260"/>
      <c r="L1099" s="261"/>
      <c r="M1099" s="262" t="str">
        <f t="shared" si="1"/>
        <v/>
      </c>
      <c r="N1099" s="263" t="str">
        <f t="shared" si="2"/>
        <v/>
      </c>
      <c r="O1099" s="264" t="str">
        <f t="shared" si="3"/>
        <v/>
      </c>
      <c r="P1099" s="265" t="str">
        <f>IFERROR(__xludf.DUMMYFUNCTION("IF(ISBLANK(A1099),"""",IFERROR(IF(H1099=""Sell"",VLOOKUP(9^99,FILTER({ROW(P$2:P1098),P$2:P1098},D$2:D1098=D1099),2),(VLOOKUP(9^99,FILTER({ROW(P$2:P1098),P$2:P1098},D$2:D1098=D1099),2)*VLOOKUP(9^99,FILTER({ROW(O$2:O1098),O$2:O1098},D$2:D1098=D1099),2)-N109"&amp;"9)/O1099),J1099))"),"")</f>
        <v/>
      </c>
      <c r="Q1099" s="264" t="str">
        <f>IFERROR(__xludf.DUMMYFUNCTION("IFERROR(IF(F1099=""Crypto"",B1099,(IF(ISBLANK(D1099),"""",IF(D1099=""Cash"",B1099,IF(GOOGLEFINANCE(D1099,""CURRENCY"")=""GBX"",""GBP"",GOOGLEFINANCE(D1099,""CURRENCY"")))))),B1099)"),"")</f>
        <v/>
      </c>
      <c r="R1099" s="263" t="str">
        <f>IFERROR(__xludf.DUMMYFUNCTION("IF(ISBLANK(A1099),"""",IFERROR(IF(OR(Q1099=""GPB"",Q1099=""ZAR""),IF(Q1099=Dashboard!$L$1,K1099,(K1099*GOOGLEFINANCE(""CURRENCY:""&amp;Q1099&amp;""""&amp;Dashboard!$L$1&amp;""""))/100),IF(Q1099=Dashboard!$L$1,K1099,K1099*GOOGLEFINANCE(""CURRENCY:""&amp;Q1099&amp;""""&amp;Dashboard!$"&amp;"L$1&amp;""""))),K1099))"),"")</f>
        <v/>
      </c>
      <c r="S1099" s="266" t="str">
        <f>IFERROR(__xludf.DUMMYFUNCTION("IF(ISBLANK(A1099),"""",IFERROR(IF(OR(Q1099=""GPB"",Q1099=""ZAR""),IF(Q1099=Dashboard!$L$1,M1099,(M1099*GOOGLEFINANCE(""CURRENCY:""&amp;Q1099&amp;""""&amp;Dashboard!$L$1&amp;""""))/100),IF(Q1099=Dashboard!$L$1,M1099,M1099*GOOGLEFINANCE(""CURRENCY:""&amp;Q1099&amp;""""&amp;Dashboard!$"&amp;"L$1&amp;""""))),M1099))"),"")</f>
        <v/>
      </c>
      <c r="T1099" s="264" t="str">
        <f t="shared" si="4"/>
        <v/>
      </c>
      <c r="U1099" s="264" t="str">
        <f t="shared" si="5"/>
        <v/>
      </c>
      <c r="V1099" s="264" t="str">
        <f t="shared" si="6"/>
        <v/>
      </c>
      <c r="W1099" s="267" t="str">
        <f t="shared" si="8"/>
        <v/>
      </c>
      <c r="X1099" s="264" t="str">
        <f t="shared" si="7"/>
        <v/>
      </c>
    </row>
    <row r="1100" ht="15.75" customHeight="1">
      <c r="A1100" s="258"/>
      <c r="B1100" s="258"/>
      <c r="C1100" s="269"/>
      <c r="D1100" s="258"/>
      <c r="E1100" s="258"/>
      <c r="F1100" s="258"/>
      <c r="G1100" s="258"/>
      <c r="H1100" s="271"/>
      <c r="I1100" s="258"/>
      <c r="J1100" s="272"/>
      <c r="K1100" s="260"/>
      <c r="L1100" s="261"/>
      <c r="M1100" s="262" t="str">
        <f t="shared" si="1"/>
        <v/>
      </c>
      <c r="N1100" s="263" t="str">
        <f t="shared" si="2"/>
        <v/>
      </c>
      <c r="O1100" s="264" t="str">
        <f t="shared" si="3"/>
        <v/>
      </c>
      <c r="P1100" s="265" t="str">
        <f>IFERROR(__xludf.DUMMYFUNCTION("IF(ISBLANK(A1100),"""",IFERROR(IF(H1100=""Sell"",VLOOKUP(9^99,FILTER({ROW(P$2:P1099),P$2:P1099},D$2:D1099=D1100),2),(VLOOKUP(9^99,FILTER({ROW(P$2:P1099),P$2:P1099},D$2:D1099=D1100),2)*VLOOKUP(9^99,FILTER({ROW(O$2:O1099),O$2:O1099},D$2:D1099=D1100),2)-N110"&amp;"0)/O1100),J1100))"),"")</f>
        <v/>
      </c>
      <c r="Q1100" s="264" t="str">
        <f>IFERROR(__xludf.DUMMYFUNCTION("IFERROR(IF(F1100=""Crypto"",B1100,(IF(ISBLANK(D1100),"""",IF(D1100=""Cash"",B1100,IF(GOOGLEFINANCE(D1100,""CURRENCY"")=""GBX"",""GBP"",GOOGLEFINANCE(D1100,""CURRENCY"")))))),B1100)"),"")</f>
        <v/>
      </c>
      <c r="R1100" s="263" t="str">
        <f>IFERROR(__xludf.DUMMYFUNCTION("IF(ISBLANK(A1100),"""",IFERROR(IF(OR(Q1100=""GPB"",Q1100=""ZAR""),IF(Q1100=Dashboard!$L$1,K1100,(K1100*GOOGLEFINANCE(""CURRENCY:""&amp;Q1100&amp;""""&amp;Dashboard!$L$1&amp;""""))/100),IF(Q1100=Dashboard!$L$1,K1100,K1100*GOOGLEFINANCE(""CURRENCY:""&amp;Q1100&amp;""""&amp;Dashboard!$"&amp;"L$1&amp;""""))),K1100))"),"")</f>
        <v/>
      </c>
      <c r="S1100" s="266" t="str">
        <f>IFERROR(__xludf.DUMMYFUNCTION("IF(ISBLANK(A1100),"""",IFERROR(IF(OR(Q1100=""GPB"",Q1100=""ZAR""),IF(Q1100=Dashboard!$L$1,M1100,(M1100*GOOGLEFINANCE(""CURRENCY:""&amp;Q1100&amp;""""&amp;Dashboard!$L$1&amp;""""))/100),IF(Q1100=Dashboard!$L$1,M1100,M1100*GOOGLEFINANCE(""CURRENCY:""&amp;Q1100&amp;""""&amp;Dashboard!$"&amp;"L$1&amp;""""))),M1100))"),"")</f>
        <v/>
      </c>
      <c r="T1100" s="264" t="str">
        <f t="shared" si="4"/>
        <v/>
      </c>
      <c r="U1100" s="264" t="str">
        <f t="shared" si="5"/>
        <v/>
      </c>
      <c r="V1100" s="264" t="str">
        <f t="shared" si="6"/>
        <v/>
      </c>
      <c r="W1100" s="267" t="str">
        <f t="shared" si="8"/>
        <v/>
      </c>
      <c r="X1100" s="264" t="str">
        <f t="shared" si="7"/>
        <v/>
      </c>
    </row>
    <row r="1101" ht="15.75" customHeight="1">
      <c r="A1101" s="258"/>
      <c r="B1101" s="258"/>
      <c r="C1101" s="269"/>
      <c r="D1101" s="258"/>
      <c r="E1101" s="258"/>
      <c r="F1101" s="258"/>
      <c r="G1101" s="258"/>
      <c r="H1101" s="271"/>
      <c r="I1101" s="258"/>
      <c r="J1101" s="272"/>
      <c r="K1101" s="260"/>
      <c r="L1101" s="261"/>
      <c r="M1101" s="262" t="str">
        <f t="shared" si="1"/>
        <v/>
      </c>
      <c r="N1101" s="263" t="str">
        <f t="shared" si="2"/>
        <v/>
      </c>
      <c r="O1101" s="264" t="str">
        <f t="shared" si="3"/>
        <v/>
      </c>
      <c r="P1101" s="265" t="str">
        <f>IFERROR(__xludf.DUMMYFUNCTION("IF(ISBLANK(A1101),"""",IFERROR(IF(H1101=""Sell"",VLOOKUP(9^99,FILTER({ROW(P$2:P1100),P$2:P1100},D$2:D1100=D1101),2),(VLOOKUP(9^99,FILTER({ROW(P$2:P1100),P$2:P1100},D$2:D1100=D1101),2)*VLOOKUP(9^99,FILTER({ROW(O$2:O1100),O$2:O1100},D$2:D1100=D1101),2)-N110"&amp;"1)/O1101),J1101))"),"")</f>
        <v/>
      </c>
      <c r="Q1101" s="264" t="str">
        <f>IFERROR(__xludf.DUMMYFUNCTION("IFERROR(IF(F1101=""Crypto"",B1101,(IF(ISBLANK(D1101),"""",IF(D1101=""Cash"",B1101,IF(GOOGLEFINANCE(D1101,""CURRENCY"")=""GBX"",""GBP"",GOOGLEFINANCE(D1101,""CURRENCY"")))))),B1101)"),"")</f>
        <v/>
      </c>
      <c r="R1101" s="263" t="str">
        <f>IFERROR(__xludf.DUMMYFUNCTION("IF(ISBLANK(A1101),"""",IFERROR(IF(OR(Q1101=""GPB"",Q1101=""ZAR""),IF(Q1101=Dashboard!$L$1,K1101,(K1101*GOOGLEFINANCE(""CURRENCY:""&amp;Q1101&amp;""""&amp;Dashboard!$L$1&amp;""""))/100),IF(Q1101=Dashboard!$L$1,K1101,K1101*GOOGLEFINANCE(""CURRENCY:""&amp;Q1101&amp;""""&amp;Dashboard!$"&amp;"L$1&amp;""""))),K1101))"),"")</f>
        <v/>
      </c>
      <c r="S1101" s="266" t="str">
        <f>IFERROR(__xludf.DUMMYFUNCTION("IF(ISBLANK(A1101),"""",IFERROR(IF(OR(Q1101=""GPB"",Q1101=""ZAR""),IF(Q1101=Dashboard!$L$1,M1101,(M1101*GOOGLEFINANCE(""CURRENCY:""&amp;Q1101&amp;""""&amp;Dashboard!$L$1&amp;""""))/100),IF(Q1101=Dashboard!$L$1,M1101,M1101*GOOGLEFINANCE(""CURRENCY:""&amp;Q1101&amp;""""&amp;Dashboard!$"&amp;"L$1&amp;""""))),M1101))"),"")</f>
        <v/>
      </c>
      <c r="T1101" s="264" t="str">
        <f t="shared" si="4"/>
        <v/>
      </c>
      <c r="U1101" s="264" t="str">
        <f t="shared" si="5"/>
        <v/>
      </c>
      <c r="V1101" s="264" t="str">
        <f t="shared" si="6"/>
        <v/>
      </c>
      <c r="W1101" s="267" t="str">
        <f t="shared" si="8"/>
        <v/>
      </c>
      <c r="X1101" s="264" t="str">
        <f t="shared" si="7"/>
        <v/>
      </c>
    </row>
    <row r="1102" ht="15.75" customHeight="1">
      <c r="A1102" s="258"/>
      <c r="B1102" s="258"/>
      <c r="C1102" s="269"/>
      <c r="D1102" s="258"/>
      <c r="E1102" s="258"/>
      <c r="F1102" s="258"/>
      <c r="G1102" s="258"/>
      <c r="H1102" s="271"/>
      <c r="I1102" s="258"/>
      <c r="J1102" s="272"/>
      <c r="K1102" s="260"/>
      <c r="L1102" s="261"/>
      <c r="M1102" s="262" t="str">
        <f t="shared" si="1"/>
        <v/>
      </c>
      <c r="N1102" s="263" t="str">
        <f t="shared" si="2"/>
        <v/>
      </c>
      <c r="O1102" s="264" t="str">
        <f t="shared" si="3"/>
        <v/>
      </c>
      <c r="P1102" s="265" t="str">
        <f>IFERROR(__xludf.DUMMYFUNCTION("IF(ISBLANK(A1102),"""",IFERROR(IF(H1102=""Sell"",VLOOKUP(9^99,FILTER({ROW(P$2:P1101),P$2:P1101},D$2:D1101=D1102),2),(VLOOKUP(9^99,FILTER({ROW(P$2:P1101),P$2:P1101},D$2:D1101=D1102),2)*VLOOKUP(9^99,FILTER({ROW(O$2:O1101),O$2:O1101},D$2:D1101=D1102),2)-N110"&amp;"2)/O1102),J1102))"),"")</f>
        <v/>
      </c>
      <c r="Q1102" s="264" t="str">
        <f>IFERROR(__xludf.DUMMYFUNCTION("IFERROR(IF(F1102=""Crypto"",B1102,(IF(ISBLANK(D1102),"""",IF(D1102=""Cash"",B1102,IF(GOOGLEFINANCE(D1102,""CURRENCY"")=""GBX"",""GBP"",GOOGLEFINANCE(D1102,""CURRENCY"")))))),B1102)"),"")</f>
        <v/>
      </c>
      <c r="R1102" s="263" t="str">
        <f>IFERROR(__xludf.DUMMYFUNCTION("IF(ISBLANK(A1102),"""",IFERROR(IF(OR(Q1102=""GPB"",Q1102=""ZAR""),IF(Q1102=Dashboard!$L$1,K1102,(K1102*GOOGLEFINANCE(""CURRENCY:""&amp;Q1102&amp;""""&amp;Dashboard!$L$1&amp;""""))/100),IF(Q1102=Dashboard!$L$1,K1102,K1102*GOOGLEFINANCE(""CURRENCY:""&amp;Q1102&amp;""""&amp;Dashboard!$"&amp;"L$1&amp;""""))),K1102))"),"")</f>
        <v/>
      </c>
      <c r="S1102" s="266" t="str">
        <f>IFERROR(__xludf.DUMMYFUNCTION("IF(ISBLANK(A1102),"""",IFERROR(IF(OR(Q1102=""GPB"",Q1102=""ZAR""),IF(Q1102=Dashboard!$L$1,M1102,(M1102*GOOGLEFINANCE(""CURRENCY:""&amp;Q1102&amp;""""&amp;Dashboard!$L$1&amp;""""))/100),IF(Q1102=Dashboard!$L$1,M1102,M1102*GOOGLEFINANCE(""CURRENCY:""&amp;Q1102&amp;""""&amp;Dashboard!$"&amp;"L$1&amp;""""))),M1102))"),"")</f>
        <v/>
      </c>
      <c r="T1102" s="264" t="str">
        <f t="shared" si="4"/>
        <v/>
      </c>
      <c r="U1102" s="264" t="str">
        <f t="shared" si="5"/>
        <v/>
      </c>
      <c r="V1102" s="264" t="str">
        <f t="shared" si="6"/>
        <v/>
      </c>
      <c r="W1102" s="267" t="str">
        <f t="shared" si="8"/>
        <v/>
      </c>
      <c r="X1102" s="264" t="str">
        <f t="shared" si="7"/>
        <v/>
      </c>
    </row>
    <row r="1103" ht="15.75" customHeight="1">
      <c r="A1103" s="258"/>
      <c r="B1103" s="258"/>
      <c r="C1103" s="269"/>
      <c r="D1103" s="258"/>
      <c r="E1103" s="258"/>
      <c r="F1103" s="258"/>
      <c r="G1103" s="258"/>
      <c r="H1103" s="271"/>
      <c r="I1103" s="258"/>
      <c r="J1103" s="272"/>
      <c r="K1103" s="260"/>
      <c r="L1103" s="261"/>
      <c r="M1103" s="262" t="str">
        <f t="shared" si="1"/>
        <v/>
      </c>
      <c r="N1103" s="263" t="str">
        <f t="shared" si="2"/>
        <v/>
      </c>
      <c r="O1103" s="264" t="str">
        <f t="shared" si="3"/>
        <v/>
      </c>
      <c r="P1103" s="265" t="str">
        <f>IFERROR(__xludf.DUMMYFUNCTION("IF(ISBLANK(A1103),"""",IFERROR(IF(H1103=""Sell"",VLOOKUP(9^99,FILTER({ROW(P$2:P1102),P$2:P1102},D$2:D1102=D1103),2),(VLOOKUP(9^99,FILTER({ROW(P$2:P1102),P$2:P1102},D$2:D1102=D1103),2)*VLOOKUP(9^99,FILTER({ROW(O$2:O1102),O$2:O1102},D$2:D1102=D1103),2)-N110"&amp;"3)/O1103),J1103))"),"")</f>
        <v/>
      </c>
      <c r="Q1103" s="264" t="str">
        <f>IFERROR(__xludf.DUMMYFUNCTION("IFERROR(IF(F1103=""Crypto"",B1103,(IF(ISBLANK(D1103),"""",IF(D1103=""Cash"",B1103,IF(GOOGLEFINANCE(D1103,""CURRENCY"")=""GBX"",""GBP"",GOOGLEFINANCE(D1103,""CURRENCY"")))))),B1103)"),"")</f>
        <v/>
      </c>
      <c r="R1103" s="263" t="str">
        <f>IFERROR(__xludf.DUMMYFUNCTION("IF(ISBLANK(A1103),"""",IFERROR(IF(OR(Q1103=""GPB"",Q1103=""ZAR""),IF(Q1103=Dashboard!$L$1,K1103,(K1103*GOOGLEFINANCE(""CURRENCY:""&amp;Q1103&amp;""""&amp;Dashboard!$L$1&amp;""""))/100),IF(Q1103=Dashboard!$L$1,K1103,K1103*GOOGLEFINANCE(""CURRENCY:""&amp;Q1103&amp;""""&amp;Dashboard!$"&amp;"L$1&amp;""""))),K1103))"),"")</f>
        <v/>
      </c>
      <c r="S1103" s="266" t="str">
        <f>IFERROR(__xludf.DUMMYFUNCTION("IF(ISBLANK(A1103),"""",IFERROR(IF(OR(Q1103=""GPB"",Q1103=""ZAR""),IF(Q1103=Dashboard!$L$1,M1103,(M1103*GOOGLEFINANCE(""CURRENCY:""&amp;Q1103&amp;""""&amp;Dashboard!$L$1&amp;""""))/100),IF(Q1103=Dashboard!$L$1,M1103,M1103*GOOGLEFINANCE(""CURRENCY:""&amp;Q1103&amp;""""&amp;Dashboard!$"&amp;"L$1&amp;""""))),M1103))"),"")</f>
        <v/>
      </c>
      <c r="T1103" s="264" t="str">
        <f t="shared" si="4"/>
        <v/>
      </c>
      <c r="U1103" s="264" t="str">
        <f t="shared" si="5"/>
        <v/>
      </c>
      <c r="V1103" s="264" t="str">
        <f t="shared" si="6"/>
        <v/>
      </c>
      <c r="W1103" s="267" t="str">
        <f t="shared" si="8"/>
        <v/>
      </c>
      <c r="X1103" s="264" t="str">
        <f t="shared" si="7"/>
        <v/>
      </c>
    </row>
    <row r="1104" ht="15.75" customHeight="1">
      <c r="A1104" s="258"/>
      <c r="B1104" s="258"/>
      <c r="C1104" s="269"/>
      <c r="D1104" s="258"/>
      <c r="E1104" s="258"/>
      <c r="F1104" s="258"/>
      <c r="G1104" s="258"/>
      <c r="H1104" s="271"/>
      <c r="I1104" s="258"/>
      <c r="J1104" s="272"/>
      <c r="K1104" s="260"/>
      <c r="L1104" s="261"/>
      <c r="M1104" s="262" t="str">
        <f t="shared" si="1"/>
        <v/>
      </c>
      <c r="N1104" s="263" t="str">
        <f t="shared" si="2"/>
        <v/>
      </c>
      <c r="O1104" s="264" t="str">
        <f t="shared" si="3"/>
        <v/>
      </c>
      <c r="P1104" s="265" t="str">
        <f>IFERROR(__xludf.DUMMYFUNCTION("IF(ISBLANK(A1104),"""",IFERROR(IF(H1104=""Sell"",VLOOKUP(9^99,FILTER({ROW(P$2:P1103),P$2:P1103},D$2:D1103=D1104),2),(VLOOKUP(9^99,FILTER({ROW(P$2:P1103),P$2:P1103},D$2:D1103=D1104),2)*VLOOKUP(9^99,FILTER({ROW(O$2:O1103),O$2:O1103},D$2:D1103=D1104),2)-N110"&amp;"4)/O1104),J1104))"),"")</f>
        <v/>
      </c>
      <c r="Q1104" s="264" t="str">
        <f>IFERROR(__xludf.DUMMYFUNCTION("IFERROR(IF(F1104=""Crypto"",B1104,(IF(ISBLANK(D1104),"""",IF(D1104=""Cash"",B1104,IF(GOOGLEFINANCE(D1104,""CURRENCY"")=""GBX"",""GBP"",GOOGLEFINANCE(D1104,""CURRENCY"")))))),B1104)"),"")</f>
        <v/>
      </c>
      <c r="R1104" s="263" t="str">
        <f>IFERROR(__xludf.DUMMYFUNCTION("IF(ISBLANK(A1104),"""",IFERROR(IF(OR(Q1104=""GPB"",Q1104=""ZAR""),IF(Q1104=Dashboard!$L$1,K1104,(K1104*GOOGLEFINANCE(""CURRENCY:""&amp;Q1104&amp;""""&amp;Dashboard!$L$1&amp;""""))/100),IF(Q1104=Dashboard!$L$1,K1104,K1104*GOOGLEFINANCE(""CURRENCY:""&amp;Q1104&amp;""""&amp;Dashboard!$"&amp;"L$1&amp;""""))),K1104))"),"")</f>
        <v/>
      </c>
      <c r="S1104" s="266" t="str">
        <f>IFERROR(__xludf.DUMMYFUNCTION("IF(ISBLANK(A1104),"""",IFERROR(IF(OR(Q1104=""GPB"",Q1104=""ZAR""),IF(Q1104=Dashboard!$L$1,M1104,(M1104*GOOGLEFINANCE(""CURRENCY:""&amp;Q1104&amp;""""&amp;Dashboard!$L$1&amp;""""))/100),IF(Q1104=Dashboard!$L$1,M1104,M1104*GOOGLEFINANCE(""CURRENCY:""&amp;Q1104&amp;""""&amp;Dashboard!$"&amp;"L$1&amp;""""))),M1104))"),"")</f>
        <v/>
      </c>
      <c r="T1104" s="264" t="str">
        <f t="shared" si="4"/>
        <v/>
      </c>
      <c r="U1104" s="264" t="str">
        <f t="shared" si="5"/>
        <v/>
      </c>
      <c r="V1104" s="264" t="str">
        <f t="shared" si="6"/>
        <v/>
      </c>
      <c r="W1104" s="267" t="str">
        <f t="shared" si="8"/>
        <v/>
      </c>
      <c r="X1104" s="264" t="str">
        <f t="shared" si="7"/>
        <v/>
      </c>
    </row>
    <row r="1105" ht="15.75" customHeight="1">
      <c r="A1105" s="258"/>
      <c r="B1105" s="258"/>
      <c r="C1105" s="269"/>
      <c r="D1105" s="258"/>
      <c r="E1105" s="258"/>
      <c r="F1105" s="258"/>
      <c r="G1105" s="258"/>
      <c r="H1105" s="271"/>
      <c r="I1105" s="258"/>
      <c r="J1105" s="272"/>
      <c r="K1105" s="260"/>
      <c r="L1105" s="261"/>
      <c r="M1105" s="262" t="str">
        <f t="shared" si="1"/>
        <v/>
      </c>
      <c r="N1105" s="263" t="str">
        <f t="shared" si="2"/>
        <v/>
      </c>
      <c r="O1105" s="264" t="str">
        <f t="shared" si="3"/>
        <v/>
      </c>
      <c r="P1105" s="265" t="str">
        <f>IFERROR(__xludf.DUMMYFUNCTION("IF(ISBLANK(A1105),"""",IFERROR(IF(H1105=""Sell"",VLOOKUP(9^99,FILTER({ROW(P$2:P1104),P$2:P1104},D$2:D1104=D1105),2),(VLOOKUP(9^99,FILTER({ROW(P$2:P1104),P$2:P1104},D$2:D1104=D1105),2)*VLOOKUP(9^99,FILTER({ROW(O$2:O1104),O$2:O1104},D$2:D1104=D1105),2)-N110"&amp;"5)/O1105),J1105))"),"")</f>
        <v/>
      </c>
      <c r="Q1105" s="264" t="str">
        <f>IFERROR(__xludf.DUMMYFUNCTION("IFERROR(IF(F1105=""Crypto"",B1105,(IF(ISBLANK(D1105),"""",IF(D1105=""Cash"",B1105,IF(GOOGLEFINANCE(D1105,""CURRENCY"")=""GBX"",""GBP"",GOOGLEFINANCE(D1105,""CURRENCY"")))))),B1105)"),"")</f>
        <v/>
      </c>
      <c r="R1105" s="263" t="str">
        <f>IFERROR(__xludf.DUMMYFUNCTION("IF(ISBLANK(A1105),"""",IFERROR(IF(OR(Q1105=""GPB"",Q1105=""ZAR""),IF(Q1105=Dashboard!$L$1,K1105,(K1105*GOOGLEFINANCE(""CURRENCY:""&amp;Q1105&amp;""""&amp;Dashboard!$L$1&amp;""""))/100),IF(Q1105=Dashboard!$L$1,K1105,K1105*GOOGLEFINANCE(""CURRENCY:""&amp;Q1105&amp;""""&amp;Dashboard!$"&amp;"L$1&amp;""""))),K1105))"),"")</f>
        <v/>
      </c>
      <c r="S1105" s="266" t="str">
        <f>IFERROR(__xludf.DUMMYFUNCTION("IF(ISBLANK(A1105),"""",IFERROR(IF(OR(Q1105=""GPB"",Q1105=""ZAR""),IF(Q1105=Dashboard!$L$1,M1105,(M1105*GOOGLEFINANCE(""CURRENCY:""&amp;Q1105&amp;""""&amp;Dashboard!$L$1&amp;""""))/100),IF(Q1105=Dashboard!$L$1,M1105,M1105*GOOGLEFINANCE(""CURRENCY:""&amp;Q1105&amp;""""&amp;Dashboard!$"&amp;"L$1&amp;""""))),M1105))"),"")</f>
        <v/>
      </c>
      <c r="T1105" s="264" t="str">
        <f t="shared" si="4"/>
        <v/>
      </c>
      <c r="U1105" s="264" t="str">
        <f t="shared" si="5"/>
        <v/>
      </c>
      <c r="V1105" s="264" t="str">
        <f t="shared" si="6"/>
        <v/>
      </c>
      <c r="W1105" s="267" t="str">
        <f t="shared" si="8"/>
        <v/>
      </c>
      <c r="X1105" s="264" t="str">
        <f t="shared" si="7"/>
        <v/>
      </c>
    </row>
    <row r="1106" ht="15.75" customHeight="1">
      <c r="A1106" s="258"/>
      <c r="B1106" s="258"/>
      <c r="C1106" s="269"/>
      <c r="D1106" s="258"/>
      <c r="E1106" s="258"/>
      <c r="F1106" s="258"/>
      <c r="G1106" s="258"/>
      <c r="H1106" s="271"/>
      <c r="I1106" s="258"/>
      <c r="J1106" s="272"/>
      <c r="K1106" s="260"/>
      <c r="L1106" s="261"/>
      <c r="M1106" s="262" t="str">
        <f t="shared" si="1"/>
        <v/>
      </c>
      <c r="N1106" s="263" t="str">
        <f t="shared" si="2"/>
        <v/>
      </c>
      <c r="O1106" s="264" t="str">
        <f t="shared" si="3"/>
        <v/>
      </c>
      <c r="P1106" s="265" t="str">
        <f>IFERROR(__xludf.DUMMYFUNCTION("IF(ISBLANK(A1106),"""",IFERROR(IF(H1106=""Sell"",VLOOKUP(9^99,FILTER({ROW(P$2:P1105),P$2:P1105},D$2:D1105=D1106),2),(VLOOKUP(9^99,FILTER({ROW(P$2:P1105),P$2:P1105},D$2:D1105=D1106),2)*VLOOKUP(9^99,FILTER({ROW(O$2:O1105),O$2:O1105},D$2:D1105=D1106),2)-N110"&amp;"6)/O1106),J1106))"),"")</f>
        <v/>
      </c>
      <c r="Q1106" s="264" t="str">
        <f>IFERROR(__xludf.DUMMYFUNCTION("IFERROR(IF(F1106=""Crypto"",B1106,(IF(ISBLANK(D1106),"""",IF(D1106=""Cash"",B1106,IF(GOOGLEFINANCE(D1106,""CURRENCY"")=""GBX"",""GBP"",GOOGLEFINANCE(D1106,""CURRENCY"")))))),B1106)"),"")</f>
        <v/>
      </c>
      <c r="R1106" s="263" t="str">
        <f>IFERROR(__xludf.DUMMYFUNCTION("IF(ISBLANK(A1106),"""",IFERROR(IF(OR(Q1106=""GPB"",Q1106=""ZAR""),IF(Q1106=Dashboard!$L$1,K1106,(K1106*GOOGLEFINANCE(""CURRENCY:""&amp;Q1106&amp;""""&amp;Dashboard!$L$1&amp;""""))/100),IF(Q1106=Dashboard!$L$1,K1106,K1106*GOOGLEFINANCE(""CURRENCY:""&amp;Q1106&amp;""""&amp;Dashboard!$"&amp;"L$1&amp;""""))),K1106))"),"")</f>
        <v/>
      </c>
      <c r="S1106" s="266" t="str">
        <f>IFERROR(__xludf.DUMMYFUNCTION("IF(ISBLANK(A1106),"""",IFERROR(IF(OR(Q1106=""GPB"",Q1106=""ZAR""),IF(Q1106=Dashboard!$L$1,M1106,(M1106*GOOGLEFINANCE(""CURRENCY:""&amp;Q1106&amp;""""&amp;Dashboard!$L$1&amp;""""))/100),IF(Q1106=Dashboard!$L$1,M1106,M1106*GOOGLEFINANCE(""CURRENCY:""&amp;Q1106&amp;""""&amp;Dashboard!$"&amp;"L$1&amp;""""))),M1106))"),"")</f>
        <v/>
      </c>
      <c r="T1106" s="264" t="str">
        <f t="shared" si="4"/>
        <v/>
      </c>
      <c r="U1106" s="264" t="str">
        <f t="shared" si="5"/>
        <v/>
      </c>
      <c r="V1106" s="264" t="str">
        <f t="shared" si="6"/>
        <v/>
      </c>
      <c r="W1106" s="267" t="str">
        <f t="shared" si="8"/>
        <v/>
      </c>
      <c r="X1106" s="264" t="str">
        <f t="shared" si="7"/>
        <v/>
      </c>
    </row>
    <row r="1107" ht="15.75" customHeight="1">
      <c r="A1107" s="258"/>
      <c r="B1107" s="258"/>
      <c r="C1107" s="269"/>
      <c r="D1107" s="258"/>
      <c r="E1107" s="258"/>
      <c r="F1107" s="258"/>
      <c r="G1107" s="258"/>
      <c r="H1107" s="271"/>
      <c r="I1107" s="258"/>
      <c r="J1107" s="272"/>
      <c r="K1107" s="260"/>
      <c r="L1107" s="261"/>
      <c r="M1107" s="262" t="str">
        <f t="shared" si="1"/>
        <v/>
      </c>
      <c r="N1107" s="263" t="str">
        <f t="shared" si="2"/>
        <v/>
      </c>
      <c r="O1107" s="264" t="str">
        <f t="shared" si="3"/>
        <v/>
      </c>
      <c r="P1107" s="265" t="str">
        <f>IFERROR(__xludf.DUMMYFUNCTION("IF(ISBLANK(A1107),"""",IFERROR(IF(H1107=""Sell"",VLOOKUP(9^99,FILTER({ROW(P$2:P1106),P$2:P1106},D$2:D1106=D1107),2),(VLOOKUP(9^99,FILTER({ROW(P$2:P1106),P$2:P1106},D$2:D1106=D1107),2)*VLOOKUP(9^99,FILTER({ROW(O$2:O1106),O$2:O1106},D$2:D1106=D1107),2)-N110"&amp;"7)/O1107),J1107))"),"")</f>
        <v/>
      </c>
      <c r="Q1107" s="264" t="str">
        <f>IFERROR(__xludf.DUMMYFUNCTION("IFERROR(IF(F1107=""Crypto"",B1107,(IF(ISBLANK(D1107),"""",IF(D1107=""Cash"",B1107,IF(GOOGLEFINANCE(D1107,""CURRENCY"")=""GBX"",""GBP"",GOOGLEFINANCE(D1107,""CURRENCY"")))))),B1107)"),"")</f>
        <v/>
      </c>
      <c r="R1107" s="263" t="str">
        <f>IFERROR(__xludf.DUMMYFUNCTION("IF(ISBLANK(A1107),"""",IFERROR(IF(OR(Q1107=""GPB"",Q1107=""ZAR""),IF(Q1107=Dashboard!$L$1,K1107,(K1107*GOOGLEFINANCE(""CURRENCY:""&amp;Q1107&amp;""""&amp;Dashboard!$L$1&amp;""""))/100),IF(Q1107=Dashboard!$L$1,K1107,K1107*GOOGLEFINANCE(""CURRENCY:""&amp;Q1107&amp;""""&amp;Dashboard!$"&amp;"L$1&amp;""""))),K1107))"),"")</f>
        <v/>
      </c>
      <c r="S1107" s="266" t="str">
        <f>IFERROR(__xludf.DUMMYFUNCTION("IF(ISBLANK(A1107),"""",IFERROR(IF(OR(Q1107=""GPB"",Q1107=""ZAR""),IF(Q1107=Dashboard!$L$1,M1107,(M1107*GOOGLEFINANCE(""CURRENCY:""&amp;Q1107&amp;""""&amp;Dashboard!$L$1&amp;""""))/100),IF(Q1107=Dashboard!$L$1,M1107,M1107*GOOGLEFINANCE(""CURRENCY:""&amp;Q1107&amp;""""&amp;Dashboard!$"&amp;"L$1&amp;""""))),M1107))"),"")</f>
        <v/>
      </c>
      <c r="T1107" s="264" t="str">
        <f t="shared" si="4"/>
        <v/>
      </c>
      <c r="U1107" s="264" t="str">
        <f t="shared" si="5"/>
        <v/>
      </c>
      <c r="V1107" s="264" t="str">
        <f t="shared" si="6"/>
        <v/>
      </c>
      <c r="W1107" s="267" t="str">
        <f t="shared" si="8"/>
        <v/>
      </c>
      <c r="X1107" s="264" t="str">
        <f t="shared" si="7"/>
        <v/>
      </c>
    </row>
    <row r="1108" ht="15.75" customHeight="1">
      <c r="A1108" s="258"/>
      <c r="B1108" s="258"/>
      <c r="C1108" s="269"/>
      <c r="D1108" s="258"/>
      <c r="E1108" s="258"/>
      <c r="F1108" s="258"/>
      <c r="G1108" s="258"/>
      <c r="H1108" s="271"/>
      <c r="I1108" s="258"/>
      <c r="J1108" s="272"/>
      <c r="K1108" s="260"/>
      <c r="L1108" s="261"/>
      <c r="M1108" s="262" t="str">
        <f t="shared" si="1"/>
        <v/>
      </c>
      <c r="N1108" s="263" t="str">
        <f t="shared" si="2"/>
        <v/>
      </c>
      <c r="O1108" s="264" t="str">
        <f t="shared" si="3"/>
        <v/>
      </c>
      <c r="P1108" s="265" t="str">
        <f>IFERROR(__xludf.DUMMYFUNCTION("IF(ISBLANK(A1108),"""",IFERROR(IF(H1108=""Sell"",VLOOKUP(9^99,FILTER({ROW(P$2:P1107),P$2:P1107},D$2:D1107=D1108),2),(VLOOKUP(9^99,FILTER({ROW(P$2:P1107),P$2:P1107},D$2:D1107=D1108),2)*VLOOKUP(9^99,FILTER({ROW(O$2:O1107),O$2:O1107},D$2:D1107=D1108),2)-N110"&amp;"8)/O1108),J1108))"),"")</f>
        <v/>
      </c>
      <c r="Q1108" s="264" t="str">
        <f>IFERROR(__xludf.DUMMYFUNCTION("IFERROR(IF(F1108=""Crypto"",B1108,(IF(ISBLANK(D1108),"""",IF(D1108=""Cash"",B1108,IF(GOOGLEFINANCE(D1108,""CURRENCY"")=""GBX"",""GBP"",GOOGLEFINANCE(D1108,""CURRENCY"")))))),B1108)"),"")</f>
        <v/>
      </c>
      <c r="R1108" s="263" t="str">
        <f>IFERROR(__xludf.DUMMYFUNCTION("IF(ISBLANK(A1108),"""",IFERROR(IF(OR(Q1108=""GPB"",Q1108=""ZAR""),IF(Q1108=Dashboard!$L$1,K1108,(K1108*GOOGLEFINANCE(""CURRENCY:""&amp;Q1108&amp;""""&amp;Dashboard!$L$1&amp;""""))/100),IF(Q1108=Dashboard!$L$1,K1108,K1108*GOOGLEFINANCE(""CURRENCY:""&amp;Q1108&amp;""""&amp;Dashboard!$"&amp;"L$1&amp;""""))),K1108))"),"")</f>
        <v/>
      </c>
      <c r="S1108" s="266" t="str">
        <f>IFERROR(__xludf.DUMMYFUNCTION("IF(ISBLANK(A1108),"""",IFERROR(IF(OR(Q1108=""GPB"",Q1108=""ZAR""),IF(Q1108=Dashboard!$L$1,M1108,(M1108*GOOGLEFINANCE(""CURRENCY:""&amp;Q1108&amp;""""&amp;Dashboard!$L$1&amp;""""))/100),IF(Q1108=Dashboard!$L$1,M1108,M1108*GOOGLEFINANCE(""CURRENCY:""&amp;Q1108&amp;""""&amp;Dashboard!$"&amp;"L$1&amp;""""))),M1108))"),"")</f>
        <v/>
      </c>
      <c r="T1108" s="264" t="str">
        <f t="shared" si="4"/>
        <v/>
      </c>
      <c r="U1108" s="264" t="str">
        <f t="shared" si="5"/>
        <v/>
      </c>
      <c r="V1108" s="264" t="str">
        <f t="shared" si="6"/>
        <v/>
      </c>
      <c r="W1108" s="267" t="str">
        <f t="shared" si="8"/>
        <v/>
      </c>
      <c r="X1108" s="264" t="str">
        <f t="shared" si="7"/>
        <v/>
      </c>
    </row>
    <row r="1109" ht="15.75" customHeight="1">
      <c r="A1109" s="258"/>
      <c r="B1109" s="258"/>
      <c r="C1109" s="269"/>
      <c r="D1109" s="258"/>
      <c r="E1109" s="258"/>
      <c r="F1109" s="258"/>
      <c r="G1109" s="258"/>
      <c r="H1109" s="271"/>
      <c r="I1109" s="258"/>
      <c r="J1109" s="272"/>
      <c r="K1109" s="260"/>
      <c r="L1109" s="261"/>
      <c r="M1109" s="262" t="str">
        <f t="shared" si="1"/>
        <v/>
      </c>
      <c r="N1109" s="263" t="str">
        <f t="shared" si="2"/>
        <v/>
      </c>
      <c r="O1109" s="264" t="str">
        <f t="shared" si="3"/>
        <v/>
      </c>
      <c r="P1109" s="265" t="str">
        <f>IFERROR(__xludf.DUMMYFUNCTION("IF(ISBLANK(A1109),"""",IFERROR(IF(H1109=""Sell"",VLOOKUP(9^99,FILTER({ROW(P$2:P1108),P$2:P1108},D$2:D1108=D1109),2),(VLOOKUP(9^99,FILTER({ROW(P$2:P1108),P$2:P1108},D$2:D1108=D1109),2)*VLOOKUP(9^99,FILTER({ROW(O$2:O1108),O$2:O1108},D$2:D1108=D1109),2)-N110"&amp;"9)/O1109),J1109))"),"")</f>
        <v/>
      </c>
      <c r="Q1109" s="264" t="str">
        <f>IFERROR(__xludf.DUMMYFUNCTION("IFERROR(IF(F1109=""Crypto"",B1109,(IF(ISBLANK(D1109),"""",IF(D1109=""Cash"",B1109,IF(GOOGLEFINANCE(D1109,""CURRENCY"")=""GBX"",""GBP"",GOOGLEFINANCE(D1109,""CURRENCY"")))))),B1109)"),"")</f>
        <v/>
      </c>
      <c r="R1109" s="263" t="str">
        <f>IFERROR(__xludf.DUMMYFUNCTION("IF(ISBLANK(A1109),"""",IFERROR(IF(OR(Q1109=""GPB"",Q1109=""ZAR""),IF(Q1109=Dashboard!$L$1,K1109,(K1109*GOOGLEFINANCE(""CURRENCY:""&amp;Q1109&amp;""""&amp;Dashboard!$L$1&amp;""""))/100),IF(Q1109=Dashboard!$L$1,K1109,K1109*GOOGLEFINANCE(""CURRENCY:""&amp;Q1109&amp;""""&amp;Dashboard!$"&amp;"L$1&amp;""""))),K1109))"),"")</f>
        <v/>
      </c>
      <c r="S1109" s="266" t="str">
        <f>IFERROR(__xludf.DUMMYFUNCTION("IF(ISBLANK(A1109),"""",IFERROR(IF(OR(Q1109=""GPB"",Q1109=""ZAR""),IF(Q1109=Dashboard!$L$1,M1109,(M1109*GOOGLEFINANCE(""CURRENCY:""&amp;Q1109&amp;""""&amp;Dashboard!$L$1&amp;""""))/100),IF(Q1109=Dashboard!$L$1,M1109,M1109*GOOGLEFINANCE(""CURRENCY:""&amp;Q1109&amp;""""&amp;Dashboard!$"&amp;"L$1&amp;""""))),M1109))"),"")</f>
        <v/>
      </c>
      <c r="T1109" s="264" t="str">
        <f t="shared" si="4"/>
        <v/>
      </c>
      <c r="U1109" s="264" t="str">
        <f t="shared" si="5"/>
        <v/>
      </c>
      <c r="V1109" s="264" t="str">
        <f t="shared" si="6"/>
        <v/>
      </c>
      <c r="W1109" s="267" t="str">
        <f t="shared" si="8"/>
        <v/>
      </c>
      <c r="X1109" s="264" t="str">
        <f t="shared" si="7"/>
        <v/>
      </c>
    </row>
    <row r="1110" ht="15.75" customHeight="1">
      <c r="A1110" s="258"/>
      <c r="B1110" s="258"/>
      <c r="C1110" s="269"/>
      <c r="D1110" s="258"/>
      <c r="E1110" s="258"/>
      <c r="F1110" s="258"/>
      <c r="G1110" s="258"/>
      <c r="H1110" s="271"/>
      <c r="I1110" s="258"/>
      <c r="J1110" s="272"/>
      <c r="K1110" s="260"/>
      <c r="L1110" s="261"/>
      <c r="M1110" s="262" t="str">
        <f t="shared" si="1"/>
        <v/>
      </c>
      <c r="N1110" s="263" t="str">
        <f t="shared" si="2"/>
        <v/>
      </c>
      <c r="O1110" s="264" t="str">
        <f t="shared" si="3"/>
        <v/>
      </c>
      <c r="P1110" s="265" t="str">
        <f>IFERROR(__xludf.DUMMYFUNCTION("IF(ISBLANK(A1110),"""",IFERROR(IF(H1110=""Sell"",VLOOKUP(9^99,FILTER({ROW(P$2:P1109),P$2:P1109},D$2:D1109=D1110),2),(VLOOKUP(9^99,FILTER({ROW(P$2:P1109),P$2:P1109},D$2:D1109=D1110),2)*VLOOKUP(9^99,FILTER({ROW(O$2:O1109),O$2:O1109},D$2:D1109=D1110),2)-N111"&amp;"0)/O1110),J1110))"),"")</f>
        <v/>
      </c>
      <c r="Q1110" s="264" t="str">
        <f>IFERROR(__xludf.DUMMYFUNCTION("IFERROR(IF(F1110=""Crypto"",B1110,(IF(ISBLANK(D1110),"""",IF(D1110=""Cash"",B1110,IF(GOOGLEFINANCE(D1110,""CURRENCY"")=""GBX"",""GBP"",GOOGLEFINANCE(D1110,""CURRENCY"")))))),B1110)"),"")</f>
        <v/>
      </c>
      <c r="R1110" s="263" t="str">
        <f>IFERROR(__xludf.DUMMYFUNCTION("IF(ISBLANK(A1110),"""",IFERROR(IF(OR(Q1110=""GPB"",Q1110=""ZAR""),IF(Q1110=Dashboard!$L$1,K1110,(K1110*GOOGLEFINANCE(""CURRENCY:""&amp;Q1110&amp;""""&amp;Dashboard!$L$1&amp;""""))/100),IF(Q1110=Dashboard!$L$1,K1110,K1110*GOOGLEFINANCE(""CURRENCY:""&amp;Q1110&amp;""""&amp;Dashboard!$"&amp;"L$1&amp;""""))),K1110))"),"")</f>
        <v/>
      </c>
      <c r="S1110" s="266" t="str">
        <f>IFERROR(__xludf.DUMMYFUNCTION("IF(ISBLANK(A1110),"""",IFERROR(IF(OR(Q1110=""GPB"",Q1110=""ZAR""),IF(Q1110=Dashboard!$L$1,M1110,(M1110*GOOGLEFINANCE(""CURRENCY:""&amp;Q1110&amp;""""&amp;Dashboard!$L$1&amp;""""))/100),IF(Q1110=Dashboard!$L$1,M1110,M1110*GOOGLEFINANCE(""CURRENCY:""&amp;Q1110&amp;""""&amp;Dashboard!$"&amp;"L$1&amp;""""))),M1110))"),"")</f>
        <v/>
      </c>
      <c r="T1110" s="264" t="str">
        <f t="shared" si="4"/>
        <v/>
      </c>
      <c r="U1110" s="264" t="str">
        <f t="shared" si="5"/>
        <v/>
      </c>
      <c r="V1110" s="264" t="str">
        <f t="shared" si="6"/>
        <v/>
      </c>
      <c r="W1110" s="267" t="str">
        <f t="shared" si="8"/>
        <v/>
      </c>
      <c r="X1110" s="264" t="str">
        <f t="shared" si="7"/>
        <v/>
      </c>
    </row>
    <row r="1111" ht="15.75" customHeight="1">
      <c r="A1111" s="258"/>
      <c r="B1111" s="258"/>
      <c r="C1111" s="269"/>
      <c r="D1111" s="258"/>
      <c r="E1111" s="258"/>
      <c r="F1111" s="258"/>
      <c r="G1111" s="258"/>
      <c r="H1111" s="271"/>
      <c r="I1111" s="258"/>
      <c r="J1111" s="272"/>
      <c r="K1111" s="260"/>
      <c r="L1111" s="261"/>
      <c r="M1111" s="262" t="str">
        <f t="shared" si="1"/>
        <v/>
      </c>
      <c r="N1111" s="263" t="str">
        <f t="shared" si="2"/>
        <v/>
      </c>
      <c r="O1111" s="264" t="str">
        <f t="shared" si="3"/>
        <v/>
      </c>
      <c r="P1111" s="265" t="str">
        <f>IFERROR(__xludf.DUMMYFUNCTION("IF(ISBLANK(A1111),"""",IFERROR(IF(H1111=""Sell"",VLOOKUP(9^99,FILTER({ROW(P$2:P1110),P$2:P1110},D$2:D1110=D1111),2),(VLOOKUP(9^99,FILTER({ROW(P$2:P1110),P$2:P1110},D$2:D1110=D1111),2)*VLOOKUP(9^99,FILTER({ROW(O$2:O1110),O$2:O1110},D$2:D1110=D1111),2)-N111"&amp;"1)/O1111),J1111))"),"")</f>
        <v/>
      </c>
      <c r="Q1111" s="264" t="str">
        <f>IFERROR(__xludf.DUMMYFUNCTION("IFERROR(IF(F1111=""Crypto"",B1111,(IF(ISBLANK(D1111),"""",IF(D1111=""Cash"",B1111,IF(GOOGLEFINANCE(D1111,""CURRENCY"")=""GBX"",""GBP"",GOOGLEFINANCE(D1111,""CURRENCY"")))))),B1111)"),"")</f>
        <v/>
      </c>
      <c r="R1111" s="263" t="str">
        <f>IFERROR(__xludf.DUMMYFUNCTION("IF(ISBLANK(A1111),"""",IFERROR(IF(OR(Q1111=""GPB"",Q1111=""ZAR""),IF(Q1111=Dashboard!$L$1,K1111,(K1111*GOOGLEFINANCE(""CURRENCY:""&amp;Q1111&amp;""""&amp;Dashboard!$L$1&amp;""""))/100),IF(Q1111=Dashboard!$L$1,K1111,K1111*GOOGLEFINANCE(""CURRENCY:""&amp;Q1111&amp;""""&amp;Dashboard!$"&amp;"L$1&amp;""""))),K1111))"),"")</f>
        <v/>
      </c>
      <c r="S1111" s="266" t="str">
        <f>IFERROR(__xludf.DUMMYFUNCTION("IF(ISBLANK(A1111),"""",IFERROR(IF(OR(Q1111=""GPB"",Q1111=""ZAR""),IF(Q1111=Dashboard!$L$1,M1111,(M1111*GOOGLEFINANCE(""CURRENCY:""&amp;Q1111&amp;""""&amp;Dashboard!$L$1&amp;""""))/100),IF(Q1111=Dashboard!$L$1,M1111,M1111*GOOGLEFINANCE(""CURRENCY:""&amp;Q1111&amp;""""&amp;Dashboard!$"&amp;"L$1&amp;""""))),M1111))"),"")</f>
        <v/>
      </c>
      <c r="T1111" s="264" t="str">
        <f t="shared" si="4"/>
        <v/>
      </c>
      <c r="U1111" s="264" t="str">
        <f t="shared" si="5"/>
        <v/>
      </c>
      <c r="V1111" s="264" t="str">
        <f t="shared" si="6"/>
        <v/>
      </c>
      <c r="W1111" s="267" t="str">
        <f t="shared" si="8"/>
        <v/>
      </c>
      <c r="X1111" s="264" t="str">
        <f t="shared" si="7"/>
        <v/>
      </c>
    </row>
    <row r="1112" ht="15.75" customHeight="1">
      <c r="A1112" s="258"/>
      <c r="B1112" s="258"/>
      <c r="C1112" s="269"/>
      <c r="D1112" s="258"/>
      <c r="E1112" s="258"/>
      <c r="F1112" s="258"/>
      <c r="G1112" s="258"/>
      <c r="H1112" s="271"/>
      <c r="I1112" s="258"/>
      <c r="J1112" s="272"/>
      <c r="K1112" s="260"/>
      <c r="L1112" s="261"/>
      <c r="M1112" s="262" t="str">
        <f t="shared" si="1"/>
        <v/>
      </c>
      <c r="N1112" s="263" t="str">
        <f t="shared" si="2"/>
        <v/>
      </c>
      <c r="O1112" s="264" t="str">
        <f t="shared" si="3"/>
        <v/>
      </c>
      <c r="P1112" s="265" t="str">
        <f>IFERROR(__xludf.DUMMYFUNCTION("IF(ISBLANK(A1112),"""",IFERROR(IF(H1112=""Sell"",VLOOKUP(9^99,FILTER({ROW(P$2:P1111),P$2:P1111},D$2:D1111=D1112),2),(VLOOKUP(9^99,FILTER({ROW(P$2:P1111),P$2:P1111},D$2:D1111=D1112),2)*VLOOKUP(9^99,FILTER({ROW(O$2:O1111),O$2:O1111},D$2:D1111=D1112),2)-N111"&amp;"2)/O1112),J1112))"),"")</f>
        <v/>
      </c>
      <c r="Q1112" s="264" t="str">
        <f>IFERROR(__xludf.DUMMYFUNCTION("IFERROR(IF(F1112=""Crypto"",B1112,(IF(ISBLANK(D1112),"""",IF(D1112=""Cash"",B1112,IF(GOOGLEFINANCE(D1112,""CURRENCY"")=""GBX"",""GBP"",GOOGLEFINANCE(D1112,""CURRENCY"")))))),B1112)"),"")</f>
        <v/>
      </c>
      <c r="R1112" s="263" t="str">
        <f>IFERROR(__xludf.DUMMYFUNCTION("IF(ISBLANK(A1112),"""",IFERROR(IF(OR(Q1112=""GPB"",Q1112=""ZAR""),IF(Q1112=Dashboard!$L$1,K1112,(K1112*GOOGLEFINANCE(""CURRENCY:""&amp;Q1112&amp;""""&amp;Dashboard!$L$1&amp;""""))/100),IF(Q1112=Dashboard!$L$1,K1112,K1112*GOOGLEFINANCE(""CURRENCY:""&amp;Q1112&amp;""""&amp;Dashboard!$"&amp;"L$1&amp;""""))),K1112))"),"")</f>
        <v/>
      </c>
      <c r="S1112" s="266" t="str">
        <f>IFERROR(__xludf.DUMMYFUNCTION("IF(ISBLANK(A1112),"""",IFERROR(IF(OR(Q1112=""GPB"",Q1112=""ZAR""),IF(Q1112=Dashboard!$L$1,M1112,(M1112*GOOGLEFINANCE(""CURRENCY:""&amp;Q1112&amp;""""&amp;Dashboard!$L$1&amp;""""))/100),IF(Q1112=Dashboard!$L$1,M1112,M1112*GOOGLEFINANCE(""CURRENCY:""&amp;Q1112&amp;""""&amp;Dashboard!$"&amp;"L$1&amp;""""))),M1112))"),"")</f>
        <v/>
      </c>
      <c r="T1112" s="264" t="str">
        <f t="shared" si="4"/>
        <v/>
      </c>
      <c r="U1112" s="264" t="str">
        <f t="shared" si="5"/>
        <v/>
      </c>
      <c r="V1112" s="264" t="str">
        <f t="shared" si="6"/>
        <v/>
      </c>
      <c r="W1112" s="267" t="str">
        <f t="shared" si="8"/>
        <v/>
      </c>
      <c r="X1112" s="264" t="str">
        <f t="shared" si="7"/>
        <v/>
      </c>
    </row>
    <row r="1113" ht="15.75" customHeight="1">
      <c r="A1113" s="258"/>
      <c r="B1113" s="258"/>
      <c r="C1113" s="269"/>
      <c r="D1113" s="258"/>
      <c r="E1113" s="258"/>
      <c r="F1113" s="258"/>
      <c r="G1113" s="258"/>
      <c r="H1113" s="271"/>
      <c r="I1113" s="258"/>
      <c r="J1113" s="272"/>
      <c r="K1113" s="260"/>
      <c r="L1113" s="261"/>
      <c r="M1113" s="262" t="str">
        <f t="shared" si="1"/>
        <v/>
      </c>
      <c r="N1113" s="263" t="str">
        <f t="shared" si="2"/>
        <v/>
      </c>
      <c r="O1113" s="264" t="str">
        <f t="shared" si="3"/>
        <v/>
      </c>
      <c r="P1113" s="265" t="str">
        <f>IFERROR(__xludf.DUMMYFUNCTION("IF(ISBLANK(A1113),"""",IFERROR(IF(H1113=""Sell"",VLOOKUP(9^99,FILTER({ROW(P$2:P1112),P$2:P1112},D$2:D1112=D1113),2),(VLOOKUP(9^99,FILTER({ROW(P$2:P1112),P$2:P1112},D$2:D1112=D1113),2)*VLOOKUP(9^99,FILTER({ROW(O$2:O1112),O$2:O1112},D$2:D1112=D1113),2)-N111"&amp;"3)/O1113),J1113))"),"")</f>
        <v/>
      </c>
      <c r="Q1113" s="264" t="str">
        <f>IFERROR(__xludf.DUMMYFUNCTION("IFERROR(IF(F1113=""Crypto"",B1113,(IF(ISBLANK(D1113),"""",IF(D1113=""Cash"",B1113,IF(GOOGLEFINANCE(D1113,""CURRENCY"")=""GBX"",""GBP"",GOOGLEFINANCE(D1113,""CURRENCY"")))))),B1113)"),"")</f>
        <v/>
      </c>
      <c r="R1113" s="263" t="str">
        <f>IFERROR(__xludf.DUMMYFUNCTION("IF(ISBLANK(A1113),"""",IFERROR(IF(OR(Q1113=""GPB"",Q1113=""ZAR""),IF(Q1113=Dashboard!$L$1,K1113,(K1113*GOOGLEFINANCE(""CURRENCY:""&amp;Q1113&amp;""""&amp;Dashboard!$L$1&amp;""""))/100),IF(Q1113=Dashboard!$L$1,K1113,K1113*GOOGLEFINANCE(""CURRENCY:""&amp;Q1113&amp;""""&amp;Dashboard!$"&amp;"L$1&amp;""""))),K1113))"),"")</f>
        <v/>
      </c>
      <c r="S1113" s="266" t="str">
        <f>IFERROR(__xludf.DUMMYFUNCTION("IF(ISBLANK(A1113),"""",IFERROR(IF(OR(Q1113=""GPB"",Q1113=""ZAR""),IF(Q1113=Dashboard!$L$1,M1113,(M1113*GOOGLEFINANCE(""CURRENCY:""&amp;Q1113&amp;""""&amp;Dashboard!$L$1&amp;""""))/100),IF(Q1113=Dashboard!$L$1,M1113,M1113*GOOGLEFINANCE(""CURRENCY:""&amp;Q1113&amp;""""&amp;Dashboard!$"&amp;"L$1&amp;""""))),M1113))"),"")</f>
        <v/>
      </c>
      <c r="T1113" s="264" t="str">
        <f t="shared" si="4"/>
        <v/>
      </c>
      <c r="U1113" s="264" t="str">
        <f t="shared" si="5"/>
        <v/>
      </c>
      <c r="V1113" s="264" t="str">
        <f t="shared" si="6"/>
        <v/>
      </c>
      <c r="W1113" s="267" t="str">
        <f t="shared" si="8"/>
        <v/>
      </c>
      <c r="X1113" s="264" t="str">
        <f t="shared" si="7"/>
        <v/>
      </c>
    </row>
    <row r="1114" ht="15.75" customHeight="1">
      <c r="A1114" s="258"/>
      <c r="B1114" s="258"/>
      <c r="C1114" s="269"/>
      <c r="D1114" s="258"/>
      <c r="E1114" s="258"/>
      <c r="F1114" s="258"/>
      <c r="G1114" s="258"/>
      <c r="H1114" s="271"/>
      <c r="I1114" s="258"/>
      <c r="J1114" s="272"/>
      <c r="K1114" s="260"/>
      <c r="L1114" s="261"/>
      <c r="M1114" s="262" t="str">
        <f t="shared" si="1"/>
        <v/>
      </c>
      <c r="N1114" s="263" t="str">
        <f t="shared" si="2"/>
        <v/>
      </c>
      <c r="O1114" s="264" t="str">
        <f t="shared" si="3"/>
        <v/>
      </c>
      <c r="P1114" s="265" t="str">
        <f>IFERROR(__xludf.DUMMYFUNCTION("IF(ISBLANK(A1114),"""",IFERROR(IF(H1114=""Sell"",VLOOKUP(9^99,FILTER({ROW(P$2:P1113),P$2:P1113},D$2:D1113=D1114),2),(VLOOKUP(9^99,FILTER({ROW(P$2:P1113),P$2:P1113},D$2:D1113=D1114),2)*VLOOKUP(9^99,FILTER({ROW(O$2:O1113),O$2:O1113},D$2:D1113=D1114),2)-N111"&amp;"4)/O1114),J1114))"),"")</f>
        <v/>
      </c>
      <c r="Q1114" s="264" t="str">
        <f>IFERROR(__xludf.DUMMYFUNCTION("IFERROR(IF(F1114=""Crypto"",B1114,(IF(ISBLANK(D1114),"""",IF(D1114=""Cash"",B1114,IF(GOOGLEFINANCE(D1114,""CURRENCY"")=""GBX"",""GBP"",GOOGLEFINANCE(D1114,""CURRENCY"")))))),B1114)"),"")</f>
        <v/>
      </c>
      <c r="R1114" s="263" t="str">
        <f>IFERROR(__xludf.DUMMYFUNCTION("IF(ISBLANK(A1114),"""",IFERROR(IF(OR(Q1114=""GPB"",Q1114=""ZAR""),IF(Q1114=Dashboard!$L$1,K1114,(K1114*GOOGLEFINANCE(""CURRENCY:""&amp;Q1114&amp;""""&amp;Dashboard!$L$1&amp;""""))/100),IF(Q1114=Dashboard!$L$1,K1114,K1114*GOOGLEFINANCE(""CURRENCY:""&amp;Q1114&amp;""""&amp;Dashboard!$"&amp;"L$1&amp;""""))),K1114))"),"")</f>
        <v/>
      </c>
      <c r="S1114" s="266" t="str">
        <f>IFERROR(__xludf.DUMMYFUNCTION("IF(ISBLANK(A1114),"""",IFERROR(IF(OR(Q1114=""GPB"",Q1114=""ZAR""),IF(Q1114=Dashboard!$L$1,M1114,(M1114*GOOGLEFINANCE(""CURRENCY:""&amp;Q1114&amp;""""&amp;Dashboard!$L$1&amp;""""))/100),IF(Q1114=Dashboard!$L$1,M1114,M1114*GOOGLEFINANCE(""CURRENCY:""&amp;Q1114&amp;""""&amp;Dashboard!$"&amp;"L$1&amp;""""))),M1114))"),"")</f>
        <v/>
      </c>
      <c r="T1114" s="264" t="str">
        <f t="shared" si="4"/>
        <v/>
      </c>
      <c r="U1114" s="264" t="str">
        <f t="shared" si="5"/>
        <v/>
      </c>
      <c r="V1114" s="264" t="str">
        <f t="shared" si="6"/>
        <v/>
      </c>
      <c r="W1114" s="267" t="str">
        <f t="shared" si="8"/>
        <v/>
      </c>
      <c r="X1114" s="264" t="str">
        <f t="shared" si="7"/>
        <v/>
      </c>
    </row>
    <row r="1115" ht="15.75" customHeight="1">
      <c r="A1115" s="258"/>
      <c r="B1115" s="258"/>
      <c r="C1115" s="269"/>
      <c r="D1115" s="258"/>
      <c r="E1115" s="258"/>
      <c r="F1115" s="258"/>
      <c r="G1115" s="258"/>
      <c r="H1115" s="271"/>
      <c r="I1115" s="258"/>
      <c r="J1115" s="272"/>
      <c r="K1115" s="260"/>
      <c r="L1115" s="261"/>
      <c r="M1115" s="262" t="str">
        <f t="shared" si="1"/>
        <v/>
      </c>
      <c r="N1115" s="263" t="str">
        <f t="shared" si="2"/>
        <v/>
      </c>
      <c r="O1115" s="264" t="str">
        <f t="shared" si="3"/>
        <v/>
      </c>
      <c r="P1115" s="265" t="str">
        <f>IFERROR(__xludf.DUMMYFUNCTION("IF(ISBLANK(A1115),"""",IFERROR(IF(H1115=""Sell"",VLOOKUP(9^99,FILTER({ROW(P$2:P1114),P$2:P1114},D$2:D1114=D1115),2),(VLOOKUP(9^99,FILTER({ROW(P$2:P1114),P$2:P1114},D$2:D1114=D1115),2)*VLOOKUP(9^99,FILTER({ROW(O$2:O1114),O$2:O1114},D$2:D1114=D1115),2)-N111"&amp;"5)/O1115),J1115))"),"")</f>
        <v/>
      </c>
      <c r="Q1115" s="264" t="str">
        <f>IFERROR(__xludf.DUMMYFUNCTION("IFERROR(IF(F1115=""Crypto"",B1115,(IF(ISBLANK(D1115),"""",IF(D1115=""Cash"",B1115,IF(GOOGLEFINANCE(D1115,""CURRENCY"")=""GBX"",""GBP"",GOOGLEFINANCE(D1115,""CURRENCY"")))))),B1115)"),"")</f>
        <v/>
      </c>
      <c r="R1115" s="263" t="str">
        <f>IFERROR(__xludf.DUMMYFUNCTION("IF(ISBLANK(A1115),"""",IFERROR(IF(OR(Q1115=""GPB"",Q1115=""ZAR""),IF(Q1115=Dashboard!$L$1,K1115,(K1115*GOOGLEFINANCE(""CURRENCY:""&amp;Q1115&amp;""""&amp;Dashboard!$L$1&amp;""""))/100),IF(Q1115=Dashboard!$L$1,K1115,K1115*GOOGLEFINANCE(""CURRENCY:""&amp;Q1115&amp;""""&amp;Dashboard!$"&amp;"L$1&amp;""""))),K1115))"),"")</f>
        <v/>
      </c>
      <c r="S1115" s="266" t="str">
        <f>IFERROR(__xludf.DUMMYFUNCTION("IF(ISBLANK(A1115),"""",IFERROR(IF(OR(Q1115=""GPB"",Q1115=""ZAR""),IF(Q1115=Dashboard!$L$1,M1115,(M1115*GOOGLEFINANCE(""CURRENCY:""&amp;Q1115&amp;""""&amp;Dashboard!$L$1&amp;""""))/100),IF(Q1115=Dashboard!$L$1,M1115,M1115*GOOGLEFINANCE(""CURRENCY:""&amp;Q1115&amp;""""&amp;Dashboard!$"&amp;"L$1&amp;""""))),M1115))"),"")</f>
        <v/>
      </c>
      <c r="T1115" s="264" t="str">
        <f t="shared" si="4"/>
        <v/>
      </c>
      <c r="U1115" s="264" t="str">
        <f t="shared" si="5"/>
        <v/>
      </c>
      <c r="V1115" s="264" t="str">
        <f t="shared" si="6"/>
        <v/>
      </c>
      <c r="W1115" s="267" t="str">
        <f t="shared" si="8"/>
        <v/>
      </c>
      <c r="X1115" s="264" t="str">
        <f t="shared" si="7"/>
        <v/>
      </c>
    </row>
    <row r="1116" ht="15.75" customHeight="1">
      <c r="A1116" s="258"/>
      <c r="B1116" s="258"/>
      <c r="C1116" s="269"/>
      <c r="D1116" s="258"/>
      <c r="E1116" s="258"/>
      <c r="F1116" s="258"/>
      <c r="G1116" s="258"/>
      <c r="H1116" s="271"/>
      <c r="I1116" s="258"/>
      <c r="J1116" s="272"/>
      <c r="K1116" s="260"/>
      <c r="L1116" s="261"/>
      <c r="M1116" s="262" t="str">
        <f t="shared" si="1"/>
        <v/>
      </c>
      <c r="N1116" s="263" t="str">
        <f t="shared" si="2"/>
        <v/>
      </c>
      <c r="O1116" s="264" t="str">
        <f t="shared" si="3"/>
        <v/>
      </c>
      <c r="P1116" s="265" t="str">
        <f>IFERROR(__xludf.DUMMYFUNCTION("IF(ISBLANK(A1116),"""",IFERROR(IF(H1116=""Sell"",VLOOKUP(9^99,FILTER({ROW(P$2:P1115),P$2:P1115},D$2:D1115=D1116),2),(VLOOKUP(9^99,FILTER({ROW(P$2:P1115),P$2:P1115},D$2:D1115=D1116),2)*VLOOKUP(9^99,FILTER({ROW(O$2:O1115),O$2:O1115},D$2:D1115=D1116),2)-N111"&amp;"6)/O1116),J1116))"),"")</f>
        <v/>
      </c>
      <c r="Q1116" s="264" t="str">
        <f>IFERROR(__xludf.DUMMYFUNCTION("IFERROR(IF(F1116=""Crypto"",B1116,(IF(ISBLANK(D1116),"""",IF(D1116=""Cash"",B1116,IF(GOOGLEFINANCE(D1116,""CURRENCY"")=""GBX"",""GBP"",GOOGLEFINANCE(D1116,""CURRENCY"")))))),B1116)"),"")</f>
        <v/>
      </c>
      <c r="R1116" s="263" t="str">
        <f>IFERROR(__xludf.DUMMYFUNCTION("IF(ISBLANK(A1116),"""",IFERROR(IF(OR(Q1116=""GPB"",Q1116=""ZAR""),IF(Q1116=Dashboard!$L$1,K1116,(K1116*GOOGLEFINANCE(""CURRENCY:""&amp;Q1116&amp;""""&amp;Dashboard!$L$1&amp;""""))/100),IF(Q1116=Dashboard!$L$1,K1116,K1116*GOOGLEFINANCE(""CURRENCY:""&amp;Q1116&amp;""""&amp;Dashboard!$"&amp;"L$1&amp;""""))),K1116))"),"")</f>
        <v/>
      </c>
      <c r="S1116" s="266" t="str">
        <f>IFERROR(__xludf.DUMMYFUNCTION("IF(ISBLANK(A1116),"""",IFERROR(IF(OR(Q1116=""GPB"",Q1116=""ZAR""),IF(Q1116=Dashboard!$L$1,M1116,(M1116*GOOGLEFINANCE(""CURRENCY:""&amp;Q1116&amp;""""&amp;Dashboard!$L$1&amp;""""))/100),IF(Q1116=Dashboard!$L$1,M1116,M1116*GOOGLEFINANCE(""CURRENCY:""&amp;Q1116&amp;""""&amp;Dashboard!$"&amp;"L$1&amp;""""))),M1116))"),"")</f>
        <v/>
      </c>
      <c r="T1116" s="264" t="str">
        <f t="shared" si="4"/>
        <v/>
      </c>
      <c r="U1116" s="264" t="str">
        <f t="shared" si="5"/>
        <v/>
      </c>
      <c r="V1116" s="264" t="str">
        <f t="shared" si="6"/>
        <v/>
      </c>
      <c r="W1116" s="267" t="str">
        <f t="shared" si="8"/>
        <v/>
      </c>
      <c r="X1116" s="264" t="str">
        <f t="shared" si="7"/>
        <v/>
      </c>
    </row>
    <row r="1117" ht="15.75" customHeight="1">
      <c r="A1117" s="258"/>
      <c r="B1117" s="258"/>
      <c r="C1117" s="269"/>
      <c r="D1117" s="258"/>
      <c r="E1117" s="258"/>
      <c r="F1117" s="258"/>
      <c r="G1117" s="258"/>
      <c r="H1117" s="271"/>
      <c r="I1117" s="258"/>
      <c r="J1117" s="272"/>
      <c r="K1117" s="260"/>
      <c r="L1117" s="261"/>
      <c r="M1117" s="262" t="str">
        <f t="shared" si="1"/>
        <v/>
      </c>
      <c r="N1117" s="263" t="str">
        <f t="shared" si="2"/>
        <v/>
      </c>
      <c r="O1117" s="264" t="str">
        <f t="shared" si="3"/>
        <v/>
      </c>
      <c r="P1117" s="265" t="str">
        <f>IFERROR(__xludf.DUMMYFUNCTION("IF(ISBLANK(A1117),"""",IFERROR(IF(H1117=""Sell"",VLOOKUP(9^99,FILTER({ROW(P$2:P1116),P$2:P1116},D$2:D1116=D1117),2),(VLOOKUP(9^99,FILTER({ROW(P$2:P1116),P$2:P1116},D$2:D1116=D1117),2)*VLOOKUP(9^99,FILTER({ROW(O$2:O1116),O$2:O1116},D$2:D1116=D1117),2)-N111"&amp;"7)/O1117),J1117))"),"")</f>
        <v/>
      </c>
      <c r="Q1117" s="264" t="str">
        <f>IFERROR(__xludf.DUMMYFUNCTION("IFERROR(IF(F1117=""Crypto"",B1117,(IF(ISBLANK(D1117),"""",IF(D1117=""Cash"",B1117,IF(GOOGLEFINANCE(D1117,""CURRENCY"")=""GBX"",""GBP"",GOOGLEFINANCE(D1117,""CURRENCY"")))))),B1117)"),"")</f>
        <v/>
      </c>
      <c r="R1117" s="263" t="str">
        <f>IFERROR(__xludf.DUMMYFUNCTION("IF(ISBLANK(A1117),"""",IFERROR(IF(OR(Q1117=""GPB"",Q1117=""ZAR""),IF(Q1117=Dashboard!$L$1,K1117,(K1117*GOOGLEFINANCE(""CURRENCY:""&amp;Q1117&amp;""""&amp;Dashboard!$L$1&amp;""""))/100),IF(Q1117=Dashboard!$L$1,K1117,K1117*GOOGLEFINANCE(""CURRENCY:""&amp;Q1117&amp;""""&amp;Dashboard!$"&amp;"L$1&amp;""""))),K1117))"),"")</f>
        <v/>
      </c>
      <c r="S1117" s="266" t="str">
        <f>IFERROR(__xludf.DUMMYFUNCTION("IF(ISBLANK(A1117),"""",IFERROR(IF(OR(Q1117=""GPB"",Q1117=""ZAR""),IF(Q1117=Dashboard!$L$1,M1117,(M1117*GOOGLEFINANCE(""CURRENCY:""&amp;Q1117&amp;""""&amp;Dashboard!$L$1&amp;""""))/100),IF(Q1117=Dashboard!$L$1,M1117,M1117*GOOGLEFINANCE(""CURRENCY:""&amp;Q1117&amp;""""&amp;Dashboard!$"&amp;"L$1&amp;""""))),M1117))"),"")</f>
        <v/>
      </c>
      <c r="T1117" s="264" t="str">
        <f t="shared" si="4"/>
        <v/>
      </c>
      <c r="U1117" s="264" t="str">
        <f t="shared" si="5"/>
        <v/>
      </c>
      <c r="V1117" s="264" t="str">
        <f t="shared" si="6"/>
        <v/>
      </c>
      <c r="W1117" s="267" t="str">
        <f t="shared" si="8"/>
        <v/>
      </c>
      <c r="X1117" s="264" t="str">
        <f t="shared" si="7"/>
        <v/>
      </c>
    </row>
    <row r="1118" ht="15.75" customHeight="1">
      <c r="A1118" s="258"/>
      <c r="B1118" s="258"/>
      <c r="C1118" s="269"/>
      <c r="D1118" s="258"/>
      <c r="E1118" s="258"/>
      <c r="F1118" s="258"/>
      <c r="G1118" s="258"/>
      <c r="H1118" s="271"/>
      <c r="I1118" s="258"/>
      <c r="J1118" s="272"/>
      <c r="K1118" s="260"/>
      <c r="L1118" s="261"/>
      <c r="M1118" s="262" t="str">
        <f t="shared" si="1"/>
        <v/>
      </c>
      <c r="N1118" s="263" t="str">
        <f t="shared" si="2"/>
        <v/>
      </c>
      <c r="O1118" s="264" t="str">
        <f t="shared" si="3"/>
        <v/>
      </c>
      <c r="P1118" s="265" t="str">
        <f>IFERROR(__xludf.DUMMYFUNCTION("IF(ISBLANK(A1118),"""",IFERROR(IF(H1118=""Sell"",VLOOKUP(9^99,FILTER({ROW(P$2:P1117),P$2:P1117},D$2:D1117=D1118),2),(VLOOKUP(9^99,FILTER({ROW(P$2:P1117),P$2:P1117},D$2:D1117=D1118),2)*VLOOKUP(9^99,FILTER({ROW(O$2:O1117),O$2:O1117},D$2:D1117=D1118),2)-N111"&amp;"8)/O1118),J1118))"),"")</f>
        <v/>
      </c>
      <c r="Q1118" s="264" t="str">
        <f>IFERROR(__xludf.DUMMYFUNCTION("IFERROR(IF(F1118=""Crypto"",B1118,(IF(ISBLANK(D1118),"""",IF(D1118=""Cash"",B1118,IF(GOOGLEFINANCE(D1118,""CURRENCY"")=""GBX"",""GBP"",GOOGLEFINANCE(D1118,""CURRENCY"")))))),B1118)"),"")</f>
        <v/>
      </c>
      <c r="R1118" s="263" t="str">
        <f>IFERROR(__xludf.DUMMYFUNCTION("IF(ISBLANK(A1118),"""",IFERROR(IF(OR(Q1118=""GPB"",Q1118=""ZAR""),IF(Q1118=Dashboard!$L$1,K1118,(K1118*GOOGLEFINANCE(""CURRENCY:""&amp;Q1118&amp;""""&amp;Dashboard!$L$1&amp;""""))/100),IF(Q1118=Dashboard!$L$1,K1118,K1118*GOOGLEFINANCE(""CURRENCY:""&amp;Q1118&amp;""""&amp;Dashboard!$"&amp;"L$1&amp;""""))),K1118))"),"")</f>
        <v/>
      </c>
      <c r="S1118" s="266" t="str">
        <f>IFERROR(__xludf.DUMMYFUNCTION("IF(ISBLANK(A1118),"""",IFERROR(IF(OR(Q1118=""GPB"",Q1118=""ZAR""),IF(Q1118=Dashboard!$L$1,M1118,(M1118*GOOGLEFINANCE(""CURRENCY:""&amp;Q1118&amp;""""&amp;Dashboard!$L$1&amp;""""))/100),IF(Q1118=Dashboard!$L$1,M1118,M1118*GOOGLEFINANCE(""CURRENCY:""&amp;Q1118&amp;""""&amp;Dashboard!$"&amp;"L$1&amp;""""))),M1118))"),"")</f>
        <v/>
      </c>
      <c r="T1118" s="264" t="str">
        <f t="shared" si="4"/>
        <v/>
      </c>
      <c r="U1118" s="264" t="str">
        <f t="shared" si="5"/>
        <v/>
      </c>
      <c r="V1118" s="264" t="str">
        <f t="shared" si="6"/>
        <v/>
      </c>
      <c r="W1118" s="267" t="str">
        <f t="shared" si="8"/>
        <v/>
      </c>
      <c r="X1118" s="264" t="str">
        <f t="shared" si="7"/>
        <v/>
      </c>
    </row>
    <row r="1119" ht="15.75" customHeight="1">
      <c r="A1119" s="258"/>
      <c r="B1119" s="258"/>
      <c r="C1119" s="269"/>
      <c r="D1119" s="258"/>
      <c r="E1119" s="258"/>
      <c r="F1119" s="258"/>
      <c r="G1119" s="258"/>
      <c r="H1119" s="271"/>
      <c r="I1119" s="258"/>
      <c r="J1119" s="272"/>
      <c r="K1119" s="260"/>
      <c r="L1119" s="261"/>
      <c r="M1119" s="262" t="str">
        <f t="shared" si="1"/>
        <v/>
      </c>
      <c r="N1119" s="263" t="str">
        <f t="shared" si="2"/>
        <v/>
      </c>
      <c r="O1119" s="264" t="str">
        <f t="shared" si="3"/>
        <v/>
      </c>
      <c r="P1119" s="265" t="str">
        <f>IFERROR(__xludf.DUMMYFUNCTION("IF(ISBLANK(A1119),"""",IFERROR(IF(H1119=""Sell"",VLOOKUP(9^99,FILTER({ROW(P$2:P1118),P$2:P1118},D$2:D1118=D1119),2),(VLOOKUP(9^99,FILTER({ROW(P$2:P1118),P$2:P1118},D$2:D1118=D1119),2)*VLOOKUP(9^99,FILTER({ROW(O$2:O1118),O$2:O1118},D$2:D1118=D1119),2)-N111"&amp;"9)/O1119),J1119))"),"")</f>
        <v/>
      </c>
      <c r="Q1119" s="264" t="str">
        <f>IFERROR(__xludf.DUMMYFUNCTION("IFERROR(IF(F1119=""Crypto"",B1119,(IF(ISBLANK(D1119),"""",IF(D1119=""Cash"",B1119,IF(GOOGLEFINANCE(D1119,""CURRENCY"")=""GBX"",""GBP"",GOOGLEFINANCE(D1119,""CURRENCY"")))))),B1119)"),"")</f>
        <v/>
      </c>
      <c r="R1119" s="263" t="str">
        <f>IFERROR(__xludf.DUMMYFUNCTION("IF(ISBLANK(A1119),"""",IFERROR(IF(OR(Q1119=""GPB"",Q1119=""ZAR""),IF(Q1119=Dashboard!$L$1,K1119,(K1119*GOOGLEFINANCE(""CURRENCY:""&amp;Q1119&amp;""""&amp;Dashboard!$L$1&amp;""""))/100),IF(Q1119=Dashboard!$L$1,K1119,K1119*GOOGLEFINANCE(""CURRENCY:""&amp;Q1119&amp;""""&amp;Dashboard!$"&amp;"L$1&amp;""""))),K1119))"),"")</f>
        <v/>
      </c>
      <c r="S1119" s="266" t="str">
        <f>IFERROR(__xludf.DUMMYFUNCTION("IF(ISBLANK(A1119),"""",IFERROR(IF(OR(Q1119=""GPB"",Q1119=""ZAR""),IF(Q1119=Dashboard!$L$1,M1119,(M1119*GOOGLEFINANCE(""CURRENCY:""&amp;Q1119&amp;""""&amp;Dashboard!$L$1&amp;""""))/100),IF(Q1119=Dashboard!$L$1,M1119,M1119*GOOGLEFINANCE(""CURRENCY:""&amp;Q1119&amp;""""&amp;Dashboard!$"&amp;"L$1&amp;""""))),M1119))"),"")</f>
        <v/>
      </c>
      <c r="T1119" s="264" t="str">
        <f t="shared" si="4"/>
        <v/>
      </c>
      <c r="U1119" s="264" t="str">
        <f t="shared" si="5"/>
        <v/>
      </c>
      <c r="V1119" s="264" t="str">
        <f t="shared" si="6"/>
        <v/>
      </c>
      <c r="W1119" s="267" t="str">
        <f t="shared" si="8"/>
        <v/>
      </c>
      <c r="X1119" s="264" t="str">
        <f t="shared" si="7"/>
        <v/>
      </c>
    </row>
    <row r="1120" ht="15.75" customHeight="1">
      <c r="A1120" s="258"/>
      <c r="B1120" s="258"/>
      <c r="C1120" s="269"/>
      <c r="D1120" s="258"/>
      <c r="E1120" s="258"/>
      <c r="F1120" s="258"/>
      <c r="G1120" s="258"/>
      <c r="H1120" s="271"/>
      <c r="I1120" s="258"/>
      <c r="J1120" s="272"/>
      <c r="K1120" s="260"/>
      <c r="L1120" s="261"/>
      <c r="M1120" s="262" t="str">
        <f t="shared" si="1"/>
        <v/>
      </c>
      <c r="N1120" s="263" t="str">
        <f t="shared" si="2"/>
        <v/>
      </c>
      <c r="O1120" s="264" t="str">
        <f t="shared" si="3"/>
        <v/>
      </c>
      <c r="P1120" s="265" t="str">
        <f>IFERROR(__xludf.DUMMYFUNCTION("IF(ISBLANK(A1120),"""",IFERROR(IF(H1120=""Sell"",VLOOKUP(9^99,FILTER({ROW(P$2:P1119),P$2:P1119},D$2:D1119=D1120),2),(VLOOKUP(9^99,FILTER({ROW(P$2:P1119),P$2:P1119},D$2:D1119=D1120),2)*VLOOKUP(9^99,FILTER({ROW(O$2:O1119),O$2:O1119},D$2:D1119=D1120),2)-N112"&amp;"0)/O1120),J1120))"),"")</f>
        <v/>
      </c>
      <c r="Q1120" s="264" t="str">
        <f>IFERROR(__xludf.DUMMYFUNCTION("IFERROR(IF(F1120=""Crypto"",B1120,(IF(ISBLANK(D1120),"""",IF(D1120=""Cash"",B1120,IF(GOOGLEFINANCE(D1120,""CURRENCY"")=""GBX"",""GBP"",GOOGLEFINANCE(D1120,""CURRENCY"")))))),B1120)"),"")</f>
        <v/>
      </c>
      <c r="R1120" s="263" t="str">
        <f>IFERROR(__xludf.DUMMYFUNCTION("IF(ISBLANK(A1120),"""",IFERROR(IF(OR(Q1120=""GPB"",Q1120=""ZAR""),IF(Q1120=Dashboard!$L$1,K1120,(K1120*GOOGLEFINANCE(""CURRENCY:""&amp;Q1120&amp;""""&amp;Dashboard!$L$1&amp;""""))/100),IF(Q1120=Dashboard!$L$1,K1120,K1120*GOOGLEFINANCE(""CURRENCY:""&amp;Q1120&amp;""""&amp;Dashboard!$"&amp;"L$1&amp;""""))),K1120))"),"")</f>
        <v/>
      </c>
      <c r="S1120" s="266" t="str">
        <f>IFERROR(__xludf.DUMMYFUNCTION("IF(ISBLANK(A1120),"""",IFERROR(IF(OR(Q1120=""GPB"",Q1120=""ZAR""),IF(Q1120=Dashboard!$L$1,M1120,(M1120*GOOGLEFINANCE(""CURRENCY:""&amp;Q1120&amp;""""&amp;Dashboard!$L$1&amp;""""))/100),IF(Q1120=Dashboard!$L$1,M1120,M1120*GOOGLEFINANCE(""CURRENCY:""&amp;Q1120&amp;""""&amp;Dashboard!$"&amp;"L$1&amp;""""))),M1120))"),"")</f>
        <v/>
      </c>
      <c r="T1120" s="264" t="str">
        <f t="shared" si="4"/>
        <v/>
      </c>
      <c r="U1120" s="264" t="str">
        <f t="shared" si="5"/>
        <v/>
      </c>
      <c r="V1120" s="264" t="str">
        <f t="shared" si="6"/>
        <v/>
      </c>
      <c r="W1120" s="267" t="str">
        <f t="shared" si="8"/>
        <v/>
      </c>
      <c r="X1120" s="264" t="str">
        <f t="shared" si="7"/>
        <v/>
      </c>
    </row>
    <row r="1121" ht="15.75" customHeight="1">
      <c r="A1121" s="258"/>
      <c r="B1121" s="258"/>
      <c r="C1121" s="269"/>
      <c r="D1121" s="258"/>
      <c r="E1121" s="258"/>
      <c r="F1121" s="258"/>
      <c r="G1121" s="258"/>
      <c r="H1121" s="271"/>
      <c r="I1121" s="258"/>
      <c r="J1121" s="272"/>
      <c r="K1121" s="260"/>
      <c r="L1121" s="261"/>
      <c r="M1121" s="262" t="str">
        <f t="shared" si="1"/>
        <v/>
      </c>
      <c r="N1121" s="263" t="str">
        <f t="shared" si="2"/>
        <v/>
      </c>
      <c r="O1121" s="264" t="str">
        <f t="shared" si="3"/>
        <v/>
      </c>
      <c r="P1121" s="265" t="str">
        <f>IFERROR(__xludf.DUMMYFUNCTION("IF(ISBLANK(A1121),"""",IFERROR(IF(H1121=""Sell"",VLOOKUP(9^99,FILTER({ROW(P$2:P1120),P$2:P1120},D$2:D1120=D1121),2),(VLOOKUP(9^99,FILTER({ROW(P$2:P1120),P$2:P1120},D$2:D1120=D1121),2)*VLOOKUP(9^99,FILTER({ROW(O$2:O1120),O$2:O1120},D$2:D1120=D1121),2)-N112"&amp;"1)/O1121),J1121))"),"")</f>
        <v/>
      </c>
      <c r="Q1121" s="264" t="str">
        <f>IFERROR(__xludf.DUMMYFUNCTION("IFERROR(IF(F1121=""Crypto"",B1121,(IF(ISBLANK(D1121),"""",IF(D1121=""Cash"",B1121,IF(GOOGLEFINANCE(D1121,""CURRENCY"")=""GBX"",""GBP"",GOOGLEFINANCE(D1121,""CURRENCY"")))))),B1121)"),"")</f>
        <v/>
      </c>
      <c r="R1121" s="263" t="str">
        <f>IFERROR(__xludf.DUMMYFUNCTION("IF(ISBLANK(A1121),"""",IFERROR(IF(OR(Q1121=""GPB"",Q1121=""ZAR""),IF(Q1121=Dashboard!$L$1,K1121,(K1121*GOOGLEFINANCE(""CURRENCY:""&amp;Q1121&amp;""""&amp;Dashboard!$L$1&amp;""""))/100),IF(Q1121=Dashboard!$L$1,K1121,K1121*GOOGLEFINANCE(""CURRENCY:""&amp;Q1121&amp;""""&amp;Dashboard!$"&amp;"L$1&amp;""""))),K1121))"),"")</f>
        <v/>
      </c>
      <c r="S1121" s="266" t="str">
        <f>IFERROR(__xludf.DUMMYFUNCTION("IF(ISBLANK(A1121),"""",IFERROR(IF(OR(Q1121=""GPB"",Q1121=""ZAR""),IF(Q1121=Dashboard!$L$1,M1121,(M1121*GOOGLEFINANCE(""CURRENCY:""&amp;Q1121&amp;""""&amp;Dashboard!$L$1&amp;""""))/100),IF(Q1121=Dashboard!$L$1,M1121,M1121*GOOGLEFINANCE(""CURRENCY:""&amp;Q1121&amp;""""&amp;Dashboard!$"&amp;"L$1&amp;""""))),M1121))"),"")</f>
        <v/>
      </c>
      <c r="T1121" s="264" t="str">
        <f t="shared" si="4"/>
        <v/>
      </c>
      <c r="U1121" s="264" t="str">
        <f t="shared" si="5"/>
        <v/>
      </c>
      <c r="V1121" s="264" t="str">
        <f t="shared" si="6"/>
        <v/>
      </c>
      <c r="W1121" s="267" t="str">
        <f t="shared" si="8"/>
        <v/>
      </c>
      <c r="X1121" s="264" t="str">
        <f t="shared" si="7"/>
        <v/>
      </c>
    </row>
    <row r="1122" ht="15.75" customHeight="1">
      <c r="A1122" s="258"/>
      <c r="B1122" s="258"/>
      <c r="C1122" s="269"/>
      <c r="D1122" s="258"/>
      <c r="E1122" s="258"/>
      <c r="F1122" s="258"/>
      <c r="G1122" s="258"/>
      <c r="H1122" s="271"/>
      <c r="I1122" s="258"/>
      <c r="J1122" s="272"/>
      <c r="K1122" s="260"/>
      <c r="L1122" s="261"/>
      <c r="M1122" s="262" t="str">
        <f t="shared" si="1"/>
        <v/>
      </c>
      <c r="N1122" s="263" t="str">
        <f t="shared" si="2"/>
        <v/>
      </c>
      <c r="O1122" s="264" t="str">
        <f t="shared" si="3"/>
        <v/>
      </c>
      <c r="P1122" s="265" t="str">
        <f>IFERROR(__xludf.DUMMYFUNCTION("IF(ISBLANK(A1122),"""",IFERROR(IF(H1122=""Sell"",VLOOKUP(9^99,FILTER({ROW(P$2:P1121),P$2:P1121},D$2:D1121=D1122),2),(VLOOKUP(9^99,FILTER({ROW(P$2:P1121),P$2:P1121},D$2:D1121=D1122),2)*VLOOKUP(9^99,FILTER({ROW(O$2:O1121),O$2:O1121},D$2:D1121=D1122),2)-N112"&amp;"2)/O1122),J1122))"),"")</f>
        <v/>
      </c>
      <c r="Q1122" s="264" t="str">
        <f>IFERROR(__xludf.DUMMYFUNCTION("IFERROR(IF(F1122=""Crypto"",B1122,(IF(ISBLANK(D1122),"""",IF(D1122=""Cash"",B1122,IF(GOOGLEFINANCE(D1122,""CURRENCY"")=""GBX"",""GBP"",GOOGLEFINANCE(D1122,""CURRENCY"")))))),B1122)"),"")</f>
        <v/>
      </c>
      <c r="R1122" s="263" t="str">
        <f>IFERROR(__xludf.DUMMYFUNCTION("IF(ISBLANK(A1122),"""",IFERROR(IF(OR(Q1122=""GPB"",Q1122=""ZAR""),IF(Q1122=Dashboard!$L$1,K1122,(K1122*GOOGLEFINANCE(""CURRENCY:""&amp;Q1122&amp;""""&amp;Dashboard!$L$1&amp;""""))/100),IF(Q1122=Dashboard!$L$1,K1122,K1122*GOOGLEFINANCE(""CURRENCY:""&amp;Q1122&amp;""""&amp;Dashboard!$"&amp;"L$1&amp;""""))),K1122))"),"")</f>
        <v/>
      </c>
      <c r="S1122" s="266" t="str">
        <f>IFERROR(__xludf.DUMMYFUNCTION("IF(ISBLANK(A1122),"""",IFERROR(IF(OR(Q1122=""GPB"",Q1122=""ZAR""),IF(Q1122=Dashboard!$L$1,M1122,(M1122*GOOGLEFINANCE(""CURRENCY:""&amp;Q1122&amp;""""&amp;Dashboard!$L$1&amp;""""))/100),IF(Q1122=Dashboard!$L$1,M1122,M1122*GOOGLEFINANCE(""CURRENCY:""&amp;Q1122&amp;""""&amp;Dashboard!$"&amp;"L$1&amp;""""))),M1122))"),"")</f>
        <v/>
      </c>
      <c r="T1122" s="264" t="str">
        <f t="shared" si="4"/>
        <v/>
      </c>
      <c r="U1122" s="264" t="str">
        <f t="shared" si="5"/>
        <v/>
      </c>
      <c r="V1122" s="264" t="str">
        <f t="shared" si="6"/>
        <v/>
      </c>
      <c r="W1122" s="267" t="str">
        <f t="shared" si="8"/>
        <v/>
      </c>
      <c r="X1122" s="264" t="str">
        <f t="shared" si="7"/>
        <v/>
      </c>
    </row>
    <row r="1123" ht="15.75" customHeight="1">
      <c r="A1123" s="258"/>
      <c r="B1123" s="258"/>
      <c r="C1123" s="269"/>
      <c r="D1123" s="258"/>
      <c r="E1123" s="258"/>
      <c r="F1123" s="258"/>
      <c r="G1123" s="258"/>
      <c r="H1123" s="271"/>
      <c r="I1123" s="258"/>
      <c r="J1123" s="272"/>
      <c r="K1123" s="260"/>
      <c r="L1123" s="261"/>
      <c r="M1123" s="262" t="str">
        <f t="shared" si="1"/>
        <v/>
      </c>
      <c r="N1123" s="263" t="str">
        <f t="shared" si="2"/>
        <v/>
      </c>
      <c r="O1123" s="264" t="str">
        <f t="shared" si="3"/>
        <v/>
      </c>
      <c r="P1123" s="265" t="str">
        <f>IFERROR(__xludf.DUMMYFUNCTION("IF(ISBLANK(A1123),"""",IFERROR(IF(H1123=""Sell"",VLOOKUP(9^99,FILTER({ROW(P$2:P1122),P$2:P1122},D$2:D1122=D1123),2),(VLOOKUP(9^99,FILTER({ROW(P$2:P1122),P$2:P1122},D$2:D1122=D1123),2)*VLOOKUP(9^99,FILTER({ROW(O$2:O1122),O$2:O1122},D$2:D1122=D1123),2)-N112"&amp;"3)/O1123),J1123))"),"")</f>
        <v/>
      </c>
      <c r="Q1123" s="264" t="str">
        <f>IFERROR(__xludf.DUMMYFUNCTION("IFERROR(IF(F1123=""Crypto"",B1123,(IF(ISBLANK(D1123),"""",IF(D1123=""Cash"",B1123,IF(GOOGLEFINANCE(D1123,""CURRENCY"")=""GBX"",""GBP"",GOOGLEFINANCE(D1123,""CURRENCY"")))))),B1123)"),"")</f>
        <v/>
      </c>
      <c r="R1123" s="263" t="str">
        <f>IFERROR(__xludf.DUMMYFUNCTION("IF(ISBLANK(A1123),"""",IFERROR(IF(OR(Q1123=""GPB"",Q1123=""ZAR""),IF(Q1123=Dashboard!$L$1,K1123,(K1123*GOOGLEFINANCE(""CURRENCY:""&amp;Q1123&amp;""""&amp;Dashboard!$L$1&amp;""""))/100),IF(Q1123=Dashboard!$L$1,K1123,K1123*GOOGLEFINANCE(""CURRENCY:""&amp;Q1123&amp;""""&amp;Dashboard!$"&amp;"L$1&amp;""""))),K1123))"),"")</f>
        <v/>
      </c>
      <c r="S1123" s="266" t="str">
        <f>IFERROR(__xludf.DUMMYFUNCTION("IF(ISBLANK(A1123),"""",IFERROR(IF(OR(Q1123=""GPB"",Q1123=""ZAR""),IF(Q1123=Dashboard!$L$1,M1123,(M1123*GOOGLEFINANCE(""CURRENCY:""&amp;Q1123&amp;""""&amp;Dashboard!$L$1&amp;""""))/100),IF(Q1123=Dashboard!$L$1,M1123,M1123*GOOGLEFINANCE(""CURRENCY:""&amp;Q1123&amp;""""&amp;Dashboard!$"&amp;"L$1&amp;""""))),M1123))"),"")</f>
        <v/>
      </c>
      <c r="T1123" s="264" t="str">
        <f t="shared" si="4"/>
        <v/>
      </c>
      <c r="U1123" s="264" t="str">
        <f t="shared" si="5"/>
        <v/>
      </c>
      <c r="V1123" s="264" t="str">
        <f t="shared" si="6"/>
        <v/>
      </c>
      <c r="W1123" s="267" t="str">
        <f t="shared" si="8"/>
        <v/>
      </c>
      <c r="X1123" s="264" t="str">
        <f t="shared" si="7"/>
        <v/>
      </c>
    </row>
    <row r="1124" ht="15.75" customHeight="1">
      <c r="A1124" s="258"/>
      <c r="B1124" s="258"/>
      <c r="C1124" s="269"/>
      <c r="D1124" s="258"/>
      <c r="E1124" s="258"/>
      <c r="F1124" s="258"/>
      <c r="G1124" s="258"/>
      <c r="H1124" s="271"/>
      <c r="I1124" s="258"/>
      <c r="J1124" s="272"/>
      <c r="K1124" s="260"/>
      <c r="L1124" s="261"/>
      <c r="M1124" s="262" t="str">
        <f t="shared" si="1"/>
        <v/>
      </c>
      <c r="N1124" s="263" t="str">
        <f t="shared" si="2"/>
        <v/>
      </c>
      <c r="O1124" s="264" t="str">
        <f t="shared" si="3"/>
        <v/>
      </c>
      <c r="P1124" s="265" t="str">
        <f>IFERROR(__xludf.DUMMYFUNCTION("IF(ISBLANK(A1124),"""",IFERROR(IF(H1124=""Sell"",VLOOKUP(9^99,FILTER({ROW(P$2:P1123),P$2:P1123},D$2:D1123=D1124),2),(VLOOKUP(9^99,FILTER({ROW(P$2:P1123),P$2:P1123},D$2:D1123=D1124),2)*VLOOKUP(9^99,FILTER({ROW(O$2:O1123),O$2:O1123},D$2:D1123=D1124),2)-N112"&amp;"4)/O1124),J1124))"),"")</f>
        <v/>
      </c>
      <c r="Q1124" s="264" t="str">
        <f>IFERROR(__xludf.DUMMYFUNCTION("IFERROR(IF(F1124=""Crypto"",B1124,(IF(ISBLANK(D1124),"""",IF(D1124=""Cash"",B1124,IF(GOOGLEFINANCE(D1124,""CURRENCY"")=""GBX"",""GBP"",GOOGLEFINANCE(D1124,""CURRENCY"")))))),B1124)"),"")</f>
        <v/>
      </c>
      <c r="R1124" s="263" t="str">
        <f>IFERROR(__xludf.DUMMYFUNCTION("IF(ISBLANK(A1124),"""",IFERROR(IF(OR(Q1124=""GPB"",Q1124=""ZAR""),IF(Q1124=Dashboard!$L$1,K1124,(K1124*GOOGLEFINANCE(""CURRENCY:""&amp;Q1124&amp;""""&amp;Dashboard!$L$1&amp;""""))/100),IF(Q1124=Dashboard!$L$1,K1124,K1124*GOOGLEFINANCE(""CURRENCY:""&amp;Q1124&amp;""""&amp;Dashboard!$"&amp;"L$1&amp;""""))),K1124))"),"")</f>
        <v/>
      </c>
      <c r="S1124" s="266" t="str">
        <f>IFERROR(__xludf.DUMMYFUNCTION("IF(ISBLANK(A1124),"""",IFERROR(IF(OR(Q1124=""GPB"",Q1124=""ZAR""),IF(Q1124=Dashboard!$L$1,M1124,(M1124*GOOGLEFINANCE(""CURRENCY:""&amp;Q1124&amp;""""&amp;Dashboard!$L$1&amp;""""))/100),IF(Q1124=Dashboard!$L$1,M1124,M1124*GOOGLEFINANCE(""CURRENCY:""&amp;Q1124&amp;""""&amp;Dashboard!$"&amp;"L$1&amp;""""))),M1124))"),"")</f>
        <v/>
      </c>
      <c r="T1124" s="264" t="str">
        <f t="shared" si="4"/>
        <v/>
      </c>
      <c r="U1124" s="264" t="str">
        <f t="shared" si="5"/>
        <v/>
      </c>
      <c r="V1124" s="264" t="str">
        <f t="shared" si="6"/>
        <v/>
      </c>
      <c r="W1124" s="267" t="str">
        <f t="shared" si="8"/>
        <v/>
      </c>
      <c r="X1124" s="264" t="str">
        <f t="shared" si="7"/>
        <v/>
      </c>
    </row>
    <row r="1125" ht="15.75" customHeight="1">
      <c r="A1125" s="258"/>
      <c r="B1125" s="258"/>
      <c r="C1125" s="269"/>
      <c r="D1125" s="258"/>
      <c r="E1125" s="258"/>
      <c r="F1125" s="258"/>
      <c r="G1125" s="258"/>
      <c r="H1125" s="271"/>
      <c r="I1125" s="258"/>
      <c r="J1125" s="272"/>
      <c r="K1125" s="260"/>
      <c r="L1125" s="261"/>
      <c r="M1125" s="262" t="str">
        <f t="shared" si="1"/>
        <v/>
      </c>
      <c r="N1125" s="263" t="str">
        <f t="shared" si="2"/>
        <v/>
      </c>
      <c r="O1125" s="264" t="str">
        <f t="shared" si="3"/>
        <v/>
      </c>
      <c r="P1125" s="265" t="str">
        <f>IFERROR(__xludf.DUMMYFUNCTION("IF(ISBLANK(A1125),"""",IFERROR(IF(H1125=""Sell"",VLOOKUP(9^99,FILTER({ROW(P$2:P1124),P$2:P1124},D$2:D1124=D1125),2),(VLOOKUP(9^99,FILTER({ROW(P$2:P1124),P$2:P1124},D$2:D1124=D1125),2)*VLOOKUP(9^99,FILTER({ROW(O$2:O1124),O$2:O1124},D$2:D1124=D1125),2)-N112"&amp;"5)/O1125),J1125))"),"")</f>
        <v/>
      </c>
      <c r="Q1125" s="264" t="str">
        <f>IFERROR(__xludf.DUMMYFUNCTION("IFERROR(IF(F1125=""Crypto"",B1125,(IF(ISBLANK(D1125),"""",IF(D1125=""Cash"",B1125,IF(GOOGLEFINANCE(D1125,""CURRENCY"")=""GBX"",""GBP"",GOOGLEFINANCE(D1125,""CURRENCY"")))))),B1125)"),"")</f>
        <v/>
      </c>
      <c r="R1125" s="263" t="str">
        <f>IFERROR(__xludf.DUMMYFUNCTION("IF(ISBLANK(A1125),"""",IFERROR(IF(OR(Q1125=""GPB"",Q1125=""ZAR""),IF(Q1125=Dashboard!$L$1,K1125,(K1125*GOOGLEFINANCE(""CURRENCY:""&amp;Q1125&amp;""""&amp;Dashboard!$L$1&amp;""""))/100),IF(Q1125=Dashboard!$L$1,K1125,K1125*GOOGLEFINANCE(""CURRENCY:""&amp;Q1125&amp;""""&amp;Dashboard!$"&amp;"L$1&amp;""""))),K1125))"),"")</f>
        <v/>
      </c>
      <c r="S1125" s="266" t="str">
        <f>IFERROR(__xludf.DUMMYFUNCTION("IF(ISBLANK(A1125),"""",IFERROR(IF(OR(Q1125=""GPB"",Q1125=""ZAR""),IF(Q1125=Dashboard!$L$1,M1125,(M1125*GOOGLEFINANCE(""CURRENCY:""&amp;Q1125&amp;""""&amp;Dashboard!$L$1&amp;""""))/100),IF(Q1125=Dashboard!$L$1,M1125,M1125*GOOGLEFINANCE(""CURRENCY:""&amp;Q1125&amp;""""&amp;Dashboard!$"&amp;"L$1&amp;""""))),M1125))"),"")</f>
        <v/>
      </c>
      <c r="T1125" s="264" t="str">
        <f t="shared" si="4"/>
        <v/>
      </c>
      <c r="U1125" s="264" t="str">
        <f t="shared" si="5"/>
        <v/>
      </c>
      <c r="V1125" s="264" t="str">
        <f t="shared" si="6"/>
        <v/>
      </c>
      <c r="W1125" s="267" t="str">
        <f t="shared" si="8"/>
        <v/>
      </c>
      <c r="X1125" s="264" t="str">
        <f t="shared" si="7"/>
        <v/>
      </c>
    </row>
    <row r="1126" ht="15.75" customHeight="1">
      <c r="A1126" s="258"/>
      <c r="B1126" s="258"/>
      <c r="C1126" s="269"/>
      <c r="D1126" s="258"/>
      <c r="E1126" s="258"/>
      <c r="F1126" s="258"/>
      <c r="G1126" s="258"/>
      <c r="H1126" s="271"/>
      <c r="I1126" s="258"/>
      <c r="J1126" s="272"/>
      <c r="K1126" s="260"/>
      <c r="L1126" s="261"/>
      <c r="M1126" s="262" t="str">
        <f t="shared" si="1"/>
        <v/>
      </c>
      <c r="N1126" s="263" t="str">
        <f t="shared" si="2"/>
        <v/>
      </c>
      <c r="O1126" s="264" t="str">
        <f t="shared" si="3"/>
        <v/>
      </c>
      <c r="P1126" s="265" t="str">
        <f>IFERROR(__xludf.DUMMYFUNCTION("IF(ISBLANK(A1126),"""",IFERROR(IF(H1126=""Sell"",VLOOKUP(9^99,FILTER({ROW(P$2:P1125),P$2:P1125},D$2:D1125=D1126),2),(VLOOKUP(9^99,FILTER({ROW(P$2:P1125),P$2:P1125},D$2:D1125=D1126),2)*VLOOKUP(9^99,FILTER({ROW(O$2:O1125),O$2:O1125},D$2:D1125=D1126),2)-N112"&amp;"6)/O1126),J1126))"),"")</f>
        <v/>
      </c>
      <c r="Q1126" s="264" t="str">
        <f>IFERROR(__xludf.DUMMYFUNCTION("IFERROR(IF(F1126=""Crypto"",B1126,(IF(ISBLANK(D1126),"""",IF(D1126=""Cash"",B1126,IF(GOOGLEFINANCE(D1126,""CURRENCY"")=""GBX"",""GBP"",GOOGLEFINANCE(D1126,""CURRENCY"")))))),B1126)"),"")</f>
        <v/>
      </c>
      <c r="R1126" s="263" t="str">
        <f>IFERROR(__xludf.DUMMYFUNCTION("IF(ISBLANK(A1126),"""",IFERROR(IF(OR(Q1126=""GPB"",Q1126=""ZAR""),IF(Q1126=Dashboard!$L$1,K1126,(K1126*GOOGLEFINANCE(""CURRENCY:""&amp;Q1126&amp;""""&amp;Dashboard!$L$1&amp;""""))/100),IF(Q1126=Dashboard!$L$1,K1126,K1126*GOOGLEFINANCE(""CURRENCY:""&amp;Q1126&amp;""""&amp;Dashboard!$"&amp;"L$1&amp;""""))),K1126))"),"")</f>
        <v/>
      </c>
      <c r="S1126" s="266" t="str">
        <f>IFERROR(__xludf.DUMMYFUNCTION("IF(ISBLANK(A1126),"""",IFERROR(IF(OR(Q1126=""GPB"",Q1126=""ZAR""),IF(Q1126=Dashboard!$L$1,M1126,(M1126*GOOGLEFINANCE(""CURRENCY:""&amp;Q1126&amp;""""&amp;Dashboard!$L$1&amp;""""))/100),IF(Q1126=Dashboard!$L$1,M1126,M1126*GOOGLEFINANCE(""CURRENCY:""&amp;Q1126&amp;""""&amp;Dashboard!$"&amp;"L$1&amp;""""))),M1126))"),"")</f>
        <v/>
      </c>
      <c r="T1126" s="264" t="str">
        <f t="shared" si="4"/>
        <v/>
      </c>
      <c r="U1126" s="264" t="str">
        <f t="shared" si="5"/>
        <v/>
      </c>
      <c r="V1126" s="264" t="str">
        <f t="shared" si="6"/>
        <v/>
      </c>
      <c r="W1126" s="267" t="str">
        <f t="shared" si="8"/>
        <v/>
      </c>
      <c r="X1126" s="264" t="str">
        <f t="shared" si="7"/>
        <v/>
      </c>
    </row>
    <row r="1127" ht="15.75" customHeight="1">
      <c r="A1127" s="258"/>
      <c r="B1127" s="258"/>
      <c r="C1127" s="269"/>
      <c r="D1127" s="258"/>
      <c r="E1127" s="258"/>
      <c r="F1127" s="258"/>
      <c r="G1127" s="258"/>
      <c r="H1127" s="271"/>
      <c r="I1127" s="258"/>
      <c r="J1127" s="272"/>
      <c r="K1127" s="260"/>
      <c r="L1127" s="261"/>
      <c r="M1127" s="262" t="str">
        <f t="shared" si="1"/>
        <v/>
      </c>
      <c r="N1127" s="263" t="str">
        <f t="shared" si="2"/>
        <v/>
      </c>
      <c r="O1127" s="264" t="str">
        <f t="shared" si="3"/>
        <v/>
      </c>
      <c r="P1127" s="265" t="str">
        <f>IFERROR(__xludf.DUMMYFUNCTION("IF(ISBLANK(A1127),"""",IFERROR(IF(H1127=""Sell"",VLOOKUP(9^99,FILTER({ROW(P$2:P1126),P$2:P1126},D$2:D1126=D1127),2),(VLOOKUP(9^99,FILTER({ROW(P$2:P1126),P$2:P1126},D$2:D1126=D1127),2)*VLOOKUP(9^99,FILTER({ROW(O$2:O1126),O$2:O1126},D$2:D1126=D1127),2)-N112"&amp;"7)/O1127),J1127))"),"")</f>
        <v/>
      </c>
      <c r="Q1127" s="264" t="str">
        <f>IFERROR(__xludf.DUMMYFUNCTION("IFERROR(IF(F1127=""Crypto"",B1127,(IF(ISBLANK(D1127),"""",IF(D1127=""Cash"",B1127,IF(GOOGLEFINANCE(D1127,""CURRENCY"")=""GBX"",""GBP"",GOOGLEFINANCE(D1127,""CURRENCY"")))))),B1127)"),"")</f>
        <v/>
      </c>
      <c r="R1127" s="263" t="str">
        <f>IFERROR(__xludf.DUMMYFUNCTION("IF(ISBLANK(A1127),"""",IFERROR(IF(OR(Q1127=""GPB"",Q1127=""ZAR""),IF(Q1127=Dashboard!$L$1,K1127,(K1127*GOOGLEFINANCE(""CURRENCY:""&amp;Q1127&amp;""""&amp;Dashboard!$L$1&amp;""""))/100),IF(Q1127=Dashboard!$L$1,K1127,K1127*GOOGLEFINANCE(""CURRENCY:""&amp;Q1127&amp;""""&amp;Dashboard!$"&amp;"L$1&amp;""""))),K1127))"),"")</f>
        <v/>
      </c>
      <c r="S1127" s="266" t="str">
        <f>IFERROR(__xludf.DUMMYFUNCTION("IF(ISBLANK(A1127),"""",IFERROR(IF(OR(Q1127=""GPB"",Q1127=""ZAR""),IF(Q1127=Dashboard!$L$1,M1127,(M1127*GOOGLEFINANCE(""CURRENCY:""&amp;Q1127&amp;""""&amp;Dashboard!$L$1&amp;""""))/100),IF(Q1127=Dashboard!$L$1,M1127,M1127*GOOGLEFINANCE(""CURRENCY:""&amp;Q1127&amp;""""&amp;Dashboard!$"&amp;"L$1&amp;""""))),M1127))"),"")</f>
        <v/>
      </c>
      <c r="T1127" s="264" t="str">
        <f t="shared" si="4"/>
        <v/>
      </c>
      <c r="U1127" s="264" t="str">
        <f t="shared" si="5"/>
        <v/>
      </c>
      <c r="V1127" s="264" t="str">
        <f t="shared" si="6"/>
        <v/>
      </c>
      <c r="W1127" s="267" t="str">
        <f t="shared" si="8"/>
        <v/>
      </c>
      <c r="X1127" s="264" t="str">
        <f t="shared" si="7"/>
        <v/>
      </c>
    </row>
    <row r="1128" ht="15.75" customHeight="1">
      <c r="A1128" s="258"/>
      <c r="B1128" s="258"/>
      <c r="C1128" s="269"/>
      <c r="D1128" s="258"/>
      <c r="E1128" s="258"/>
      <c r="F1128" s="258"/>
      <c r="G1128" s="258"/>
      <c r="H1128" s="271"/>
      <c r="I1128" s="258"/>
      <c r="J1128" s="272"/>
      <c r="K1128" s="260"/>
      <c r="L1128" s="261"/>
      <c r="M1128" s="262" t="str">
        <f t="shared" si="1"/>
        <v/>
      </c>
      <c r="N1128" s="263" t="str">
        <f t="shared" si="2"/>
        <v/>
      </c>
      <c r="O1128" s="264" t="str">
        <f t="shared" si="3"/>
        <v/>
      </c>
      <c r="P1128" s="265" t="str">
        <f>IFERROR(__xludf.DUMMYFUNCTION("IF(ISBLANK(A1128),"""",IFERROR(IF(H1128=""Sell"",VLOOKUP(9^99,FILTER({ROW(P$2:P1127),P$2:P1127},D$2:D1127=D1128),2),(VLOOKUP(9^99,FILTER({ROW(P$2:P1127),P$2:P1127},D$2:D1127=D1128),2)*VLOOKUP(9^99,FILTER({ROW(O$2:O1127),O$2:O1127},D$2:D1127=D1128),2)-N112"&amp;"8)/O1128),J1128))"),"")</f>
        <v/>
      </c>
      <c r="Q1128" s="264" t="str">
        <f>IFERROR(__xludf.DUMMYFUNCTION("IFERROR(IF(F1128=""Crypto"",B1128,(IF(ISBLANK(D1128),"""",IF(D1128=""Cash"",B1128,IF(GOOGLEFINANCE(D1128,""CURRENCY"")=""GBX"",""GBP"",GOOGLEFINANCE(D1128,""CURRENCY"")))))),B1128)"),"")</f>
        <v/>
      </c>
      <c r="R1128" s="263" t="str">
        <f>IFERROR(__xludf.DUMMYFUNCTION("IF(ISBLANK(A1128),"""",IFERROR(IF(OR(Q1128=""GPB"",Q1128=""ZAR""),IF(Q1128=Dashboard!$L$1,K1128,(K1128*GOOGLEFINANCE(""CURRENCY:""&amp;Q1128&amp;""""&amp;Dashboard!$L$1&amp;""""))/100),IF(Q1128=Dashboard!$L$1,K1128,K1128*GOOGLEFINANCE(""CURRENCY:""&amp;Q1128&amp;""""&amp;Dashboard!$"&amp;"L$1&amp;""""))),K1128))"),"")</f>
        <v/>
      </c>
      <c r="S1128" s="266" t="str">
        <f>IFERROR(__xludf.DUMMYFUNCTION("IF(ISBLANK(A1128),"""",IFERROR(IF(OR(Q1128=""GPB"",Q1128=""ZAR""),IF(Q1128=Dashboard!$L$1,M1128,(M1128*GOOGLEFINANCE(""CURRENCY:""&amp;Q1128&amp;""""&amp;Dashboard!$L$1&amp;""""))/100),IF(Q1128=Dashboard!$L$1,M1128,M1128*GOOGLEFINANCE(""CURRENCY:""&amp;Q1128&amp;""""&amp;Dashboard!$"&amp;"L$1&amp;""""))),M1128))"),"")</f>
        <v/>
      </c>
      <c r="T1128" s="264" t="str">
        <f t="shared" si="4"/>
        <v/>
      </c>
      <c r="U1128" s="264" t="str">
        <f t="shared" si="5"/>
        <v/>
      </c>
      <c r="V1128" s="264" t="str">
        <f t="shared" si="6"/>
        <v/>
      </c>
      <c r="W1128" s="267" t="str">
        <f t="shared" si="8"/>
        <v/>
      </c>
      <c r="X1128" s="264" t="str">
        <f t="shared" si="7"/>
        <v/>
      </c>
    </row>
    <row r="1129" ht="15.75" customHeight="1">
      <c r="A1129" s="258"/>
      <c r="B1129" s="258"/>
      <c r="C1129" s="269"/>
      <c r="D1129" s="258"/>
      <c r="E1129" s="258"/>
      <c r="F1129" s="258"/>
      <c r="G1129" s="258"/>
      <c r="H1129" s="271"/>
      <c r="I1129" s="258"/>
      <c r="J1129" s="272"/>
      <c r="K1129" s="260"/>
      <c r="L1129" s="261"/>
      <c r="M1129" s="262" t="str">
        <f t="shared" si="1"/>
        <v/>
      </c>
      <c r="N1129" s="263" t="str">
        <f t="shared" si="2"/>
        <v/>
      </c>
      <c r="O1129" s="264" t="str">
        <f t="shared" si="3"/>
        <v/>
      </c>
      <c r="P1129" s="265" t="str">
        <f>IFERROR(__xludf.DUMMYFUNCTION("IF(ISBLANK(A1129),"""",IFERROR(IF(H1129=""Sell"",VLOOKUP(9^99,FILTER({ROW(P$2:P1128),P$2:P1128},D$2:D1128=D1129),2),(VLOOKUP(9^99,FILTER({ROW(P$2:P1128),P$2:P1128},D$2:D1128=D1129),2)*VLOOKUP(9^99,FILTER({ROW(O$2:O1128),O$2:O1128},D$2:D1128=D1129),2)-N112"&amp;"9)/O1129),J1129))"),"")</f>
        <v/>
      </c>
      <c r="Q1129" s="264" t="str">
        <f>IFERROR(__xludf.DUMMYFUNCTION("IFERROR(IF(F1129=""Crypto"",B1129,(IF(ISBLANK(D1129),"""",IF(D1129=""Cash"",B1129,IF(GOOGLEFINANCE(D1129,""CURRENCY"")=""GBX"",""GBP"",GOOGLEFINANCE(D1129,""CURRENCY"")))))),B1129)"),"")</f>
        <v/>
      </c>
      <c r="R1129" s="263" t="str">
        <f>IFERROR(__xludf.DUMMYFUNCTION("IF(ISBLANK(A1129),"""",IFERROR(IF(OR(Q1129=""GPB"",Q1129=""ZAR""),IF(Q1129=Dashboard!$L$1,K1129,(K1129*GOOGLEFINANCE(""CURRENCY:""&amp;Q1129&amp;""""&amp;Dashboard!$L$1&amp;""""))/100),IF(Q1129=Dashboard!$L$1,K1129,K1129*GOOGLEFINANCE(""CURRENCY:""&amp;Q1129&amp;""""&amp;Dashboard!$"&amp;"L$1&amp;""""))),K1129))"),"")</f>
        <v/>
      </c>
      <c r="S1129" s="266" t="str">
        <f>IFERROR(__xludf.DUMMYFUNCTION("IF(ISBLANK(A1129),"""",IFERROR(IF(OR(Q1129=""GPB"",Q1129=""ZAR""),IF(Q1129=Dashboard!$L$1,M1129,(M1129*GOOGLEFINANCE(""CURRENCY:""&amp;Q1129&amp;""""&amp;Dashboard!$L$1&amp;""""))/100),IF(Q1129=Dashboard!$L$1,M1129,M1129*GOOGLEFINANCE(""CURRENCY:""&amp;Q1129&amp;""""&amp;Dashboard!$"&amp;"L$1&amp;""""))),M1129))"),"")</f>
        <v/>
      </c>
      <c r="T1129" s="264" t="str">
        <f t="shared" si="4"/>
        <v/>
      </c>
      <c r="U1129" s="264" t="str">
        <f t="shared" si="5"/>
        <v/>
      </c>
      <c r="V1129" s="264" t="str">
        <f t="shared" si="6"/>
        <v/>
      </c>
      <c r="W1129" s="267" t="str">
        <f t="shared" si="8"/>
        <v/>
      </c>
      <c r="X1129" s="264" t="str">
        <f t="shared" si="7"/>
        <v/>
      </c>
    </row>
    <row r="1130" ht="15.75" customHeight="1">
      <c r="A1130" s="258"/>
      <c r="B1130" s="258"/>
      <c r="C1130" s="269"/>
      <c r="D1130" s="258"/>
      <c r="E1130" s="258"/>
      <c r="F1130" s="258"/>
      <c r="G1130" s="258"/>
      <c r="H1130" s="271"/>
      <c r="I1130" s="258"/>
      <c r="J1130" s="272"/>
      <c r="K1130" s="260"/>
      <c r="L1130" s="261"/>
      <c r="M1130" s="262" t="str">
        <f t="shared" si="1"/>
        <v/>
      </c>
      <c r="N1130" s="263" t="str">
        <f t="shared" si="2"/>
        <v/>
      </c>
      <c r="O1130" s="264" t="str">
        <f t="shared" si="3"/>
        <v/>
      </c>
      <c r="P1130" s="265" t="str">
        <f>IFERROR(__xludf.DUMMYFUNCTION("IF(ISBLANK(A1130),"""",IFERROR(IF(H1130=""Sell"",VLOOKUP(9^99,FILTER({ROW(P$2:P1129),P$2:P1129},D$2:D1129=D1130),2),(VLOOKUP(9^99,FILTER({ROW(P$2:P1129),P$2:P1129},D$2:D1129=D1130),2)*VLOOKUP(9^99,FILTER({ROW(O$2:O1129),O$2:O1129},D$2:D1129=D1130),2)-N113"&amp;"0)/O1130),J1130))"),"")</f>
        <v/>
      </c>
      <c r="Q1130" s="264" t="str">
        <f>IFERROR(__xludf.DUMMYFUNCTION("IFERROR(IF(F1130=""Crypto"",B1130,(IF(ISBLANK(D1130),"""",IF(D1130=""Cash"",B1130,IF(GOOGLEFINANCE(D1130,""CURRENCY"")=""GBX"",""GBP"",GOOGLEFINANCE(D1130,""CURRENCY"")))))),B1130)"),"")</f>
        <v/>
      </c>
      <c r="R1130" s="263" t="str">
        <f>IFERROR(__xludf.DUMMYFUNCTION("IF(ISBLANK(A1130),"""",IFERROR(IF(OR(Q1130=""GPB"",Q1130=""ZAR""),IF(Q1130=Dashboard!$L$1,K1130,(K1130*GOOGLEFINANCE(""CURRENCY:""&amp;Q1130&amp;""""&amp;Dashboard!$L$1&amp;""""))/100),IF(Q1130=Dashboard!$L$1,K1130,K1130*GOOGLEFINANCE(""CURRENCY:""&amp;Q1130&amp;""""&amp;Dashboard!$"&amp;"L$1&amp;""""))),K1130))"),"")</f>
        <v/>
      </c>
      <c r="S1130" s="266" t="str">
        <f>IFERROR(__xludf.DUMMYFUNCTION("IF(ISBLANK(A1130),"""",IFERROR(IF(OR(Q1130=""GPB"",Q1130=""ZAR""),IF(Q1130=Dashboard!$L$1,M1130,(M1130*GOOGLEFINANCE(""CURRENCY:""&amp;Q1130&amp;""""&amp;Dashboard!$L$1&amp;""""))/100),IF(Q1130=Dashboard!$L$1,M1130,M1130*GOOGLEFINANCE(""CURRENCY:""&amp;Q1130&amp;""""&amp;Dashboard!$"&amp;"L$1&amp;""""))),M1130))"),"")</f>
        <v/>
      </c>
      <c r="T1130" s="264" t="str">
        <f t="shared" si="4"/>
        <v/>
      </c>
      <c r="U1130" s="264" t="str">
        <f t="shared" si="5"/>
        <v/>
      </c>
      <c r="V1130" s="264" t="str">
        <f t="shared" si="6"/>
        <v/>
      </c>
      <c r="W1130" s="267" t="str">
        <f t="shared" si="8"/>
        <v/>
      </c>
      <c r="X1130" s="264" t="str">
        <f t="shared" si="7"/>
        <v/>
      </c>
    </row>
    <row r="1131" ht="15.75" customHeight="1">
      <c r="A1131" s="258"/>
      <c r="B1131" s="258"/>
      <c r="C1131" s="269"/>
      <c r="D1131" s="258"/>
      <c r="E1131" s="258"/>
      <c r="F1131" s="258"/>
      <c r="G1131" s="258"/>
      <c r="H1131" s="271"/>
      <c r="I1131" s="258"/>
      <c r="J1131" s="272"/>
      <c r="K1131" s="260"/>
      <c r="L1131" s="261"/>
      <c r="M1131" s="262" t="str">
        <f t="shared" si="1"/>
        <v/>
      </c>
      <c r="N1131" s="263" t="str">
        <f t="shared" si="2"/>
        <v/>
      </c>
      <c r="O1131" s="264" t="str">
        <f t="shared" si="3"/>
        <v/>
      </c>
      <c r="P1131" s="265" t="str">
        <f>IFERROR(__xludf.DUMMYFUNCTION("IF(ISBLANK(A1131),"""",IFERROR(IF(H1131=""Sell"",VLOOKUP(9^99,FILTER({ROW(P$2:P1130),P$2:P1130},D$2:D1130=D1131),2),(VLOOKUP(9^99,FILTER({ROW(P$2:P1130),P$2:P1130},D$2:D1130=D1131),2)*VLOOKUP(9^99,FILTER({ROW(O$2:O1130),O$2:O1130},D$2:D1130=D1131),2)-N113"&amp;"1)/O1131),J1131))"),"")</f>
        <v/>
      </c>
      <c r="Q1131" s="264" t="str">
        <f>IFERROR(__xludf.DUMMYFUNCTION("IFERROR(IF(F1131=""Crypto"",B1131,(IF(ISBLANK(D1131),"""",IF(D1131=""Cash"",B1131,IF(GOOGLEFINANCE(D1131,""CURRENCY"")=""GBX"",""GBP"",GOOGLEFINANCE(D1131,""CURRENCY"")))))),B1131)"),"")</f>
        <v/>
      </c>
      <c r="R1131" s="263" t="str">
        <f>IFERROR(__xludf.DUMMYFUNCTION("IF(ISBLANK(A1131),"""",IFERROR(IF(OR(Q1131=""GPB"",Q1131=""ZAR""),IF(Q1131=Dashboard!$L$1,K1131,(K1131*GOOGLEFINANCE(""CURRENCY:""&amp;Q1131&amp;""""&amp;Dashboard!$L$1&amp;""""))/100),IF(Q1131=Dashboard!$L$1,K1131,K1131*GOOGLEFINANCE(""CURRENCY:""&amp;Q1131&amp;""""&amp;Dashboard!$"&amp;"L$1&amp;""""))),K1131))"),"")</f>
        <v/>
      </c>
      <c r="S1131" s="266" t="str">
        <f>IFERROR(__xludf.DUMMYFUNCTION("IF(ISBLANK(A1131),"""",IFERROR(IF(OR(Q1131=""GPB"",Q1131=""ZAR""),IF(Q1131=Dashboard!$L$1,M1131,(M1131*GOOGLEFINANCE(""CURRENCY:""&amp;Q1131&amp;""""&amp;Dashboard!$L$1&amp;""""))/100),IF(Q1131=Dashboard!$L$1,M1131,M1131*GOOGLEFINANCE(""CURRENCY:""&amp;Q1131&amp;""""&amp;Dashboard!$"&amp;"L$1&amp;""""))),M1131))"),"")</f>
        <v/>
      </c>
      <c r="T1131" s="264" t="str">
        <f t="shared" si="4"/>
        <v/>
      </c>
      <c r="U1131" s="264" t="str">
        <f t="shared" si="5"/>
        <v/>
      </c>
      <c r="V1131" s="264" t="str">
        <f t="shared" si="6"/>
        <v/>
      </c>
      <c r="W1131" s="267" t="str">
        <f t="shared" si="8"/>
        <v/>
      </c>
      <c r="X1131" s="264" t="str">
        <f t="shared" si="7"/>
        <v/>
      </c>
    </row>
    <row r="1132" ht="15.75" customHeight="1">
      <c r="A1132" s="258"/>
      <c r="B1132" s="258"/>
      <c r="C1132" s="269"/>
      <c r="D1132" s="258"/>
      <c r="E1132" s="258"/>
      <c r="F1132" s="258"/>
      <c r="G1132" s="258"/>
      <c r="H1132" s="271"/>
      <c r="I1132" s="258"/>
      <c r="J1132" s="272"/>
      <c r="K1132" s="260"/>
      <c r="L1132" s="261"/>
      <c r="M1132" s="262" t="str">
        <f t="shared" si="1"/>
        <v/>
      </c>
      <c r="N1132" s="263" t="str">
        <f t="shared" si="2"/>
        <v/>
      </c>
      <c r="O1132" s="264" t="str">
        <f t="shared" si="3"/>
        <v/>
      </c>
      <c r="P1132" s="265" t="str">
        <f>IFERROR(__xludf.DUMMYFUNCTION("IF(ISBLANK(A1132),"""",IFERROR(IF(H1132=""Sell"",VLOOKUP(9^99,FILTER({ROW(P$2:P1131),P$2:P1131},D$2:D1131=D1132),2),(VLOOKUP(9^99,FILTER({ROW(P$2:P1131),P$2:P1131},D$2:D1131=D1132),2)*VLOOKUP(9^99,FILTER({ROW(O$2:O1131),O$2:O1131},D$2:D1131=D1132),2)-N113"&amp;"2)/O1132),J1132))"),"")</f>
        <v/>
      </c>
      <c r="Q1132" s="264" t="str">
        <f>IFERROR(__xludf.DUMMYFUNCTION("IFERROR(IF(F1132=""Crypto"",B1132,(IF(ISBLANK(D1132),"""",IF(D1132=""Cash"",B1132,IF(GOOGLEFINANCE(D1132,""CURRENCY"")=""GBX"",""GBP"",GOOGLEFINANCE(D1132,""CURRENCY"")))))),B1132)"),"")</f>
        <v/>
      </c>
      <c r="R1132" s="263" t="str">
        <f>IFERROR(__xludf.DUMMYFUNCTION("IF(ISBLANK(A1132),"""",IFERROR(IF(OR(Q1132=""GPB"",Q1132=""ZAR""),IF(Q1132=Dashboard!$L$1,K1132,(K1132*GOOGLEFINANCE(""CURRENCY:""&amp;Q1132&amp;""""&amp;Dashboard!$L$1&amp;""""))/100),IF(Q1132=Dashboard!$L$1,K1132,K1132*GOOGLEFINANCE(""CURRENCY:""&amp;Q1132&amp;""""&amp;Dashboard!$"&amp;"L$1&amp;""""))),K1132))"),"")</f>
        <v/>
      </c>
      <c r="S1132" s="266" t="str">
        <f>IFERROR(__xludf.DUMMYFUNCTION("IF(ISBLANK(A1132),"""",IFERROR(IF(OR(Q1132=""GPB"",Q1132=""ZAR""),IF(Q1132=Dashboard!$L$1,M1132,(M1132*GOOGLEFINANCE(""CURRENCY:""&amp;Q1132&amp;""""&amp;Dashboard!$L$1&amp;""""))/100),IF(Q1132=Dashboard!$L$1,M1132,M1132*GOOGLEFINANCE(""CURRENCY:""&amp;Q1132&amp;""""&amp;Dashboard!$"&amp;"L$1&amp;""""))),M1132))"),"")</f>
        <v/>
      </c>
      <c r="T1132" s="264" t="str">
        <f t="shared" si="4"/>
        <v/>
      </c>
      <c r="U1132" s="264" t="str">
        <f t="shared" si="5"/>
        <v/>
      </c>
      <c r="V1132" s="264" t="str">
        <f t="shared" si="6"/>
        <v/>
      </c>
      <c r="W1132" s="267" t="str">
        <f t="shared" si="8"/>
        <v/>
      </c>
      <c r="X1132" s="264" t="str">
        <f t="shared" si="7"/>
        <v/>
      </c>
    </row>
    <row r="1133" ht="15.75" customHeight="1">
      <c r="A1133" s="258"/>
      <c r="B1133" s="258"/>
      <c r="C1133" s="269"/>
      <c r="D1133" s="258"/>
      <c r="E1133" s="258"/>
      <c r="F1133" s="258"/>
      <c r="G1133" s="258"/>
      <c r="H1133" s="271"/>
      <c r="I1133" s="258"/>
      <c r="J1133" s="272"/>
      <c r="K1133" s="260"/>
      <c r="L1133" s="261"/>
      <c r="M1133" s="262" t="str">
        <f t="shared" si="1"/>
        <v/>
      </c>
      <c r="N1133" s="263" t="str">
        <f t="shared" si="2"/>
        <v/>
      </c>
      <c r="O1133" s="264" t="str">
        <f t="shared" si="3"/>
        <v/>
      </c>
      <c r="P1133" s="265" t="str">
        <f>IFERROR(__xludf.DUMMYFUNCTION("IF(ISBLANK(A1133),"""",IFERROR(IF(H1133=""Sell"",VLOOKUP(9^99,FILTER({ROW(P$2:P1132),P$2:P1132},D$2:D1132=D1133),2),(VLOOKUP(9^99,FILTER({ROW(P$2:P1132),P$2:P1132},D$2:D1132=D1133),2)*VLOOKUP(9^99,FILTER({ROW(O$2:O1132),O$2:O1132},D$2:D1132=D1133),2)-N113"&amp;"3)/O1133),J1133))"),"")</f>
        <v/>
      </c>
      <c r="Q1133" s="264" t="str">
        <f>IFERROR(__xludf.DUMMYFUNCTION("IFERROR(IF(F1133=""Crypto"",B1133,(IF(ISBLANK(D1133),"""",IF(D1133=""Cash"",B1133,IF(GOOGLEFINANCE(D1133,""CURRENCY"")=""GBX"",""GBP"",GOOGLEFINANCE(D1133,""CURRENCY"")))))),B1133)"),"")</f>
        <v/>
      </c>
      <c r="R1133" s="263" t="str">
        <f>IFERROR(__xludf.DUMMYFUNCTION("IF(ISBLANK(A1133),"""",IFERROR(IF(OR(Q1133=""GPB"",Q1133=""ZAR""),IF(Q1133=Dashboard!$L$1,K1133,(K1133*GOOGLEFINANCE(""CURRENCY:""&amp;Q1133&amp;""""&amp;Dashboard!$L$1&amp;""""))/100),IF(Q1133=Dashboard!$L$1,K1133,K1133*GOOGLEFINANCE(""CURRENCY:""&amp;Q1133&amp;""""&amp;Dashboard!$"&amp;"L$1&amp;""""))),K1133))"),"")</f>
        <v/>
      </c>
      <c r="S1133" s="266" t="str">
        <f>IFERROR(__xludf.DUMMYFUNCTION("IF(ISBLANK(A1133),"""",IFERROR(IF(OR(Q1133=""GPB"",Q1133=""ZAR""),IF(Q1133=Dashboard!$L$1,M1133,(M1133*GOOGLEFINANCE(""CURRENCY:""&amp;Q1133&amp;""""&amp;Dashboard!$L$1&amp;""""))/100),IF(Q1133=Dashboard!$L$1,M1133,M1133*GOOGLEFINANCE(""CURRENCY:""&amp;Q1133&amp;""""&amp;Dashboard!$"&amp;"L$1&amp;""""))),M1133))"),"")</f>
        <v/>
      </c>
      <c r="T1133" s="264" t="str">
        <f t="shared" si="4"/>
        <v/>
      </c>
      <c r="U1133" s="264" t="str">
        <f t="shared" si="5"/>
        <v/>
      </c>
      <c r="V1133" s="264" t="str">
        <f t="shared" si="6"/>
        <v/>
      </c>
      <c r="W1133" s="267" t="str">
        <f t="shared" si="8"/>
        <v/>
      </c>
      <c r="X1133" s="264" t="str">
        <f t="shared" si="7"/>
        <v/>
      </c>
    </row>
    <row r="1134" ht="15.75" customHeight="1">
      <c r="A1134" s="258"/>
      <c r="B1134" s="258"/>
      <c r="C1134" s="269"/>
      <c r="D1134" s="258"/>
      <c r="E1134" s="258"/>
      <c r="F1134" s="258"/>
      <c r="G1134" s="258"/>
      <c r="H1134" s="271"/>
      <c r="I1134" s="258"/>
      <c r="J1134" s="272"/>
      <c r="K1134" s="260"/>
      <c r="L1134" s="261"/>
      <c r="M1134" s="262" t="str">
        <f t="shared" si="1"/>
        <v/>
      </c>
      <c r="N1134" s="263" t="str">
        <f t="shared" si="2"/>
        <v/>
      </c>
      <c r="O1134" s="264" t="str">
        <f t="shared" si="3"/>
        <v/>
      </c>
      <c r="P1134" s="265" t="str">
        <f>IFERROR(__xludf.DUMMYFUNCTION("IF(ISBLANK(A1134),"""",IFERROR(IF(H1134=""Sell"",VLOOKUP(9^99,FILTER({ROW(P$2:P1133),P$2:P1133},D$2:D1133=D1134),2),(VLOOKUP(9^99,FILTER({ROW(P$2:P1133),P$2:P1133},D$2:D1133=D1134),2)*VLOOKUP(9^99,FILTER({ROW(O$2:O1133),O$2:O1133},D$2:D1133=D1134),2)-N113"&amp;"4)/O1134),J1134))"),"")</f>
        <v/>
      </c>
      <c r="Q1134" s="264" t="str">
        <f>IFERROR(__xludf.DUMMYFUNCTION("IFERROR(IF(F1134=""Crypto"",B1134,(IF(ISBLANK(D1134),"""",IF(D1134=""Cash"",B1134,IF(GOOGLEFINANCE(D1134,""CURRENCY"")=""GBX"",""GBP"",GOOGLEFINANCE(D1134,""CURRENCY"")))))),B1134)"),"")</f>
        <v/>
      </c>
      <c r="R1134" s="263" t="str">
        <f>IFERROR(__xludf.DUMMYFUNCTION("IF(ISBLANK(A1134),"""",IFERROR(IF(OR(Q1134=""GPB"",Q1134=""ZAR""),IF(Q1134=Dashboard!$L$1,K1134,(K1134*GOOGLEFINANCE(""CURRENCY:""&amp;Q1134&amp;""""&amp;Dashboard!$L$1&amp;""""))/100),IF(Q1134=Dashboard!$L$1,K1134,K1134*GOOGLEFINANCE(""CURRENCY:""&amp;Q1134&amp;""""&amp;Dashboard!$"&amp;"L$1&amp;""""))),K1134))"),"")</f>
        <v/>
      </c>
      <c r="S1134" s="266" t="str">
        <f>IFERROR(__xludf.DUMMYFUNCTION("IF(ISBLANK(A1134),"""",IFERROR(IF(OR(Q1134=""GPB"",Q1134=""ZAR""),IF(Q1134=Dashboard!$L$1,M1134,(M1134*GOOGLEFINANCE(""CURRENCY:""&amp;Q1134&amp;""""&amp;Dashboard!$L$1&amp;""""))/100),IF(Q1134=Dashboard!$L$1,M1134,M1134*GOOGLEFINANCE(""CURRENCY:""&amp;Q1134&amp;""""&amp;Dashboard!$"&amp;"L$1&amp;""""))),M1134))"),"")</f>
        <v/>
      </c>
      <c r="T1134" s="264" t="str">
        <f t="shared" si="4"/>
        <v/>
      </c>
      <c r="U1134" s="264" t="str">
        <f t="shared" si="5"/>
        <v/>
      </c>
      <c r="V1134" s="264" t="str">
        <f t="shared" si="6"/>
        <v/>
      </c>
      <c r="W1134" s="267" t="str">
        <f t="shared" si="8"/>
        <v/>
      </c>
      <c r="X1134" s="264" t="str">
        <f t="shared" si="7"/>
        <v/>
      </c>
    </row>
    <row r="1135" ht="15.75" customHeight="1">
      <c r="A1135" s="258"/>
      <c r="B1135" s="258"/>
      <c r="C1135" s="269"/>
      <c r="D1135" s="258"/>
      <c r="E1135" s="258"/>
      <c r="F1135" s="258"/>
      <c r="G1135" s="258"/>
      <c r="H1135" s="271"/>
      <c r="I1135" s="258"/>
      <c r="J1135" s="272"/>
      <c r="K1135" s="260"/>
      <c r="L1135" s="261"/>
      <c r="M1135" s="262" t="str">
        <f t="shared" si="1"/>
        <v/>
      </c>
      <c r="N1135" s="263" t="str">
        <f t="shared" si="2"/>
        <v/>
      </c>
      <c r="O1135" s="264" t="str">
        <f t="shared" si="3"/>
        <v/>
      </c>
      <c r="P1135" s="265" t="str">
        <f>IFERROR(__xludf.DUMMYFUNCTION("IF(ISBLANK(A1135),"""",IFERROR(IF(H1135=""Sell"",VLOOKUP(9^99,FILTER({ROW(P$2:P1134),P$2:P1134},D$2:D1134=D1135),2),(VLOOKUP(9^99,FILTER({ROW(P$2:P1134),P$2:P1134},D$2:D1134=D1135),2)*VLOOKUP(9^99,FILTER({ROW(O$2:O1134),O$2:O1134},D$2:D1134=D1135),2)-N113"&amp;"5)/O1135),J1135))"),"")</f>
        <v/>
      </c>
      <c r="Q1135" s="264" t="str">
        <f>IFERROR(__xludf.DUMMYFUNCTION("IFERROR(IF(F1135=""Crypto"",B1135,(IF(ISBLANK(D1135),"""",IF(D1135=""Cash"",B1135,IF(GOOGLEFINANCE(D1135,""CURRENCY"")=""GBX"",""GBP"",GOOGLEFINANCE(D1135,""CURRENCY"")))))),B1135)"),"")</f>
        <v/>
      </c>
      <c r="R1135" s="263" t="str">
        <f>IFERROR(__xludf.DUMMYFUNCTION("IF(ISBLANK(A1135),"""",IFERROR(IF(OR(Q1135=""GPB"",Q1135=""ZAR""),IF(Q1135=Dashboard!$L$1,K1135,(K1135*GOOGLEFINANCE(""CURRENCY:""&amp;Q1135&amp;""""&amp;Dashboard!$L$1&amp;""""))/100),IF(Q1135=Dashboard!$L$1,K1135,K1135*GOOGLEFINANCE(""CURRENCY:""&amp;Q1135&amp;""""&amp;Dashboard!$"&amp;"L$1&amp;""""))),K1135))"),"")</f>
        <v/>
      </c>
      <c r="S1135" s="266" t="str">
        <f>IFERROR(__xludf.DUMMYFUNCTION("IF(ISBLANK(A1135),"""",IFERROR(IF(OR(Q1135=""GPB"",Q1135=""ZAR""),IF(Q1135=Dashboard!$L$1,M1135,(M1135*GOOGLEFINANCE(""CURRENCY:""&amp;Q1135&amp;""""&amp;Dashboard!$L$1&amp;""""))/100),IF(Q1135=Dashboard!$L$1,M1135,M1135*GOOGLEFINANCE(""CURRENCY:""&amp;Q1135&amp;""""&amp;Dashboard!$"&amp;"L$1&amp;""""))),M1135))"),"")</f>
        <v/>
      </c>
      <c r="T1135" s="264" t="str">
        <f t="shared" si="4"/>
        <v/>
      </c>
      <c r="U1135" s="264" t="str">
        <f t="shared" si="5"/>
        <v/>
      </c>
      <c r="V1135" s="264" t="str">
        <f t="shared" si="6"/>
        <v/>
      </c>
      <c r="W1135" s="267" t="str">
        <f t="shared" si="8"/>
        <v/>
      </c>
      <c r="X1135" s="264" t="str">
        <f t="shared" si="7"/>
        <v/>
      </c>
    </row>
    <row r="1136" ht="15.75" customHeight="1">
      <c r="A1136" s="258"/>
      <c r="B1136" s="258"/>
      <c r="C1136" s="269"/>
      <c r="D1136" s="258"/>
      <c r="E1136" s="258"/>
      <c r="F1136" s="258"/>
      <c r="G1136" s="258"/>
      <c r="H1136" s="271"/>
      <c r="I1136" s="258"/>
      <c r="J1136" s="272"/>
      <c r="K1136" s="260"/>
      <c r="L1136" s="261"/>
      <c r="M1136" s="262" t="str">
        <f t="shared" si="1"/>
        <v/>
      </c>
      <c r="N1136" s="263" t="str">
        <f t="shared" si="2"/>
        <v/>
      </c>
      <c r="O1136" s="264" t="str">
        <f t="shared" si="3"/>
        <v/>
      </c>
      <c r="P1136" s="265" t="str">
        <f>IFERROR(__xludf.DUMMYFUNCTION("IF(ISBLANK(A1136),"""",IFERROR(IF(H1136=""Sell"",VLOOKUP(9^99,FILTER({ROW(P$2:P1135),P$2:P1135},D$2:D1135=D1136),2),(VLOOKUP(9^99,FILTER({ROW(P$2:P1135),P$2:P1135},D$2:D1135=D1136),2)*VLOOKUP(9^99,FILTER({ROW(O$2:O1135),O$2:O1135},D$2:D1135=D1136),2)-N113"&amp;"6)/O1136),J1136))"),"")</f>
        <v/>
      </c>
      <c r="Q1136" s="264" t="str">
        <f>IFERROR(__xludf.DUMMYFUNCTION("IFERROR(IF(F1136=""Crypto"",B1136,(IF(ISBLANK(D1136),"""",IF(D1136=""Cash"",B1136,IF(GOOGLEFINANCE(D1136,""CURRENCY"")=""GBX"",""GBP"",GOOGLEFINANCE(D1136,""CURRENCY"")))))),B1136)"),"")</f>
        <v/>
      </c>
      <c r="R1136" s="263" t="str">
        <f>IFERROR(__xludf.DUMMYFUNCTION("IF(ISBLANK(A1136),"""",IFERROR(IF(OR(Q1136=""GPB"",Q1136=""ZAR""),IF(Q1136=Dashboard!$L$1,K1136,(K1136*GOOGLEFINANCE(""CURRENCY:""&amp;Q1136&amp;""""&amp;Dashboard!$L$1&amp;""""))/100),IF(Q1136=Dashboard!$L$1,K1136,K1136*GOOGLEFINANCE(""CURRENCY:""&amp;Q1136&amp;""""&amp;Dashboard!$"&amp;"L$1&amp;""""))),K1136))"),"")</f>
        <v/>
      </c>
      <c r="S1136" s="266" t="str">
        <f>IFERROR(__xludf.DUMMYFUNCTION("IF(ISBLANK(A1136),"""",IFERROR(IF(OR(Q1136=""GPB"",Q1136=""ZAR""),IF(Q1136=Dashboard!$L$1,M1136,(M1136*GOOGLEFINANCE(""CURRENCY:""&amp;Q1136&amp;""""&amp;Dashboard!$L$1&amp;""""))/100),IF(Q1136=Dashboard!$L$1,M1136,M1136*GOOGLEFINANCE(""CURRENCY:""&amp;Q1136&amp;""""&amp;Dashboard!$"&amp;"L$1&amp;""""))),M1136))"),"")</f>
        <v/>
      </c>
      <c r="T1136" s="264" t="str">
        <f t="shared" si="4"/>
        <v/>
      </c>
      <c r="U1136" s="264" t="str">
        <f t="shared" si="5"/>
        <v/>
      </c>
      <c r="V1136" s="264" t="str">
        <f t="shared" si="6"/>
        <v/>
      </c>
      <c r="W1136" s="267" t="str">
        <f t="shared" si="8"/>
        <v/>
      </c>
      <c r="X1136" s="264" t="str">
        <f t="shared" si="7"/>
        <v/>
      </c>
    </row>
    <row r="1137" ht="15.75" customHeight="1">
      <c r="A1137" s="258"/>
      <c r="B1137" s="258"/>
      <c r="C1137" s="269"/>
      <c r="D1137" s="258"/>
      <c r="E1137" s="258"/>
      <c r="F1137" s="258"/>
      <c r="G1137" s="258"/>
      <c r="H1137" s="271"/>
      <c r="I1137" s="258"/>
      <c r="J1137" s="272"/>
      <c r="K1137" s="260"/>
      <c r="L1137" s="261"/>
      <c r="M1137" s="262" t="str">
        <f t="shared" si="1"/>
        <v/>
      </c>
      <c r="N1137" s="263" t="str">
        <f t="shared" si="2"/>
        <v/>
      </c>
      <c r="O1137" s="264" t="str">
        <f t="shared" si="3"/>
        <v/>
      </c>
      <c r="P1137" s="265" t="str">
        <f>IFERROR(__xludf.DUMMYFUNCTION("IF(ISBLANK(A1137),"""",IFERROR(IF(H1137=""Sell"",VLOOKUP(9^99,FILTER({ROW(P$2:P1136),P$2:P1136},D$2:D1136=D1137),2),(VLOOKUP(9^99,FILTER({ROW(P$2:P1136),P$2:P1136},D$2:D1136=D1137),2)*VLOOKUP(9^99,FILTER({ROW(O$2:O1136),O$2:O1136},D$2:D1136=D1137),2)-N113"&amp;"7)/O1137),J1137))"),"")</f>
        <v/>
      </c>
      <c r="Q1137" s="264" t="str">
        <f>IFERROR(__xludf.DUMMYFUNCTION("IFERROR(IF(F1137=""Crypto"",B1137,(IF(ISBLANK(D1137),"""",IF(D1137=""Cash"",B1137,IF(GOOGLEFINANCE(D1137,""CURRENCY"")=""GBX"",""GBP"",GOOGLEFINANCE(D1137,""CURRENCY"")))))),B1137)"),"")</f>
        <v/>
      </c>
      <c r="R1137" s="263" t="str">
        <f>IFERROR(__xludf.DUMMYFUNCTION("IF(ISBLANK(A1137),"""",IFERROR(IF(OR(Q1137=""GPB"",Q1137=""ZAR""),IF(Q1137=Dashboard!$L$1,K1137,(K1137*GOOGLEFINANCE(""CURRENCY:""&amp;Q1137&amp;""""&amp;Dashboard!$L$1&amp;""""))/100),IF(Q1137=Dashboard!$L$1,K1137,K1137*GOOGLEFINANCE(""CURRENCY:""&amp;Q1137&amp;""""&amp;Dashboard!$"&amp;"L$1&amp;""""))),K1137))"),"")</f>
        <v/>
      </c>
      <c r="S1137" s="266" t="str">
        <f>IFERROR(__xludf.DUMMYFUNCTION("IF(ISBLANK(A1137),"""",IFERROR(IF(OR(Q1137=""GPB"",Q1137=""ZAR""),IF(Q1137=Dashboard!$L$1,M1137,(M1137*GOOGLEFINANCE(""CURRENCY:""&amp;Q1137&amp;""""&amp;Dashboard!$L$1&amp;""""))/100),IF(Q1137=Dashboard!$L$1,M1137,M1137*GOOGLEFINANCE(""CURRENCY:""&amp;Q1137&amp;""""&amp;Dashboard!$"&amp;"L$1&amp;""""))),M1137))"),"")</f>
        <v/>
      </c>
      <c r="T1137" s="264" t="str">
        <f t="shared" si="4"/>
        <v/>
      </c>
      <c r="U1137" s="264" t="str">
        <f t="shared" si="5"/>
        <v/>
      </c>
      <c r="V1137" s="264" t="str">
        <f t="shared" si="6"/>
        <v/>
      </c>
      <c r="W1137" s="267" t="str">
        <f t="shared" si="8"/>
        <v/>
      </c>
      <c r="X1137" s="264" t="str">
        <f t="shared" si="7"/>
        <v/>
      </c>
    </row>
    <row r="1138" ht="15.75" customHeight="1">
      <c r="A1138" s="258"/>
      <c r="B1138" s="258"/>
      <c r="C1138" s="269"/>
      <c r="D1138" s="258"/>
      <c r="E1138" s="258"/>
      <c r="F1138" s="258"/>
      <c r="G1138" s="258"/>
      <c r="H1138" s="271"/>
      <c r="I1138" s="258"/>
      <c r="J1138" s="272"/>
      <c r="K1138" s="260"/>
      <c r="L1138" s="261"/>
      <c r="M1138" s="262" t="str">
        <f t="shared" si="1"/>
        <v/>
      </c>
      <c r="N1138" s="263" t="str">
        <f t="shared" si="2"/>
        <v/>
      </c>
      <c r="O1138" s="264" t="str">
        <f t="shared" si="3"/>
        <v/>
      </c>
      <c r="P1138" s="265" t="str">
        <f>IFERROR(__xludf.DUMMYFUNCTION("IF(ISBLANK(A1138),"""",IFERROR(IF(H1138=""Sell"",VLOOKUP(9^99,FILTER({ROW(P$2:P1137),P$2:P1137},D$2:D1137=D1138),2),(VLOOKUP(9^99,FILTER({ROW(P$2:P1137),P$2:P1137},D$2:D1137=D1138),2)*VLOOKUP(9^99,FILTER({ROW(O$2:O1137),O$2:O1137},D$2:D1137=D1138),2)-N113"&amp;"8)/O1138),J1138))"),"")</f>
        <v/>
      </c>
      <c r="Q1138" s="264" t="str">
        <f>IFERROR(__xludf.DUMMYFUNCTION("IFERROR(IF(F1138=""Crypto"",B1138,(IF(ISBLANK(D1138),"""",IF(D1138=""Cash"",B1138,IF(GOOGLEFINANCE(D1138,""CURRENCY"")=""GBX"",""GBP"",GOOGLEFINANCE(D1138,""CURRENCY"")))))),B1138)"),"")</f>
        <v/>
      </c>
      <c r="R1138" s="263" t="str">
        <f>IFERROR(__xludf.DUMMYFUNCTION("IF(ISBLANK(A1138),"""",IFERROR(IF(OR(Q1138=""GPB"",Q1138=""ZAR""),IF(Q1138=Dashboard!$L$1,K1138,(K1138*GOOGLEFINANCE(""CURRENCY:""&amp;Q1138&amp;""""&amp;Dashboard!$L$1&amp;""""))/100),IF(Q1138=Dashboard!$L$1,K1138,K1138*GOOGLEFINANCE(""CURRENCY:""&amp;Q1138&amp;""""&amp;Dashboard!$"&amp;"L$1&amp;""""))),K1138))"),"")</f>
        <v/>
      </c>
      <c r="S1138" s="266" t="str">
        <f>IFERROR(__xludf.DUMMYFUNCTION("IF(ISBLANK(A1138),"""",IFERROR(IF(OR(Q1138=""GPB"",Q1138=""ZAR""),IF(Q1138=Dashboard!$L$1,M1138,(M1138*GOOGLEFINANCE(""CURRENCY:""&amp;Q1138&amp;""""&amp;Dashboard!$L$1&amp;""""))/100),IF(Q1138=Dashboard!$L$1,M1138,M1138*GOOGLEFINANCE(""CURRENCY:""&amp;Q1138&amp;""""&amp;Dashboard!$"&amp;"L$1&amp;""""))),M1138))"),"")</f>
        <v/>
      </c>
      <c r="T1138" s="264" t="str">
        <f t="shared" si="4"/>
        <v/>
      </c>
      <c r="U1138" s="264" t="str">
        <f t="shared" si="5"/>
        <v/>
      </c>
      <c r="V1138" s="264" t="str">
        <f t="shared" si="6"/>
        <v/>
      </c>
      <c r="W1138" s="267" t="str">
        <f t="shared" si="8"/>
        <v/>
      </c>
      <c r="X1138" s="264" t="str">
        <f t="shared" si="7"/>
        <v/>
      </c>
    </row>
    <row r="1139" ht="15.75" customHeight="1">
      <c r="A1139" s="258"/>
      <c r="B1139" s="258"/>
      <c r="C1139" s="269"/>
      <c r="D1139" s="258"/>
      <c r="E1139" s="258"/>
      <c r="F1139" s="258"/>
      <c r="G1139" s="258"/>
      <c r="H1139" s="271"/>
      <c r="I1139" s="258"/>
      <c r="J1139" s="272"/>
      <c r="K1139" s="260"/>
      <c r="L1139" s="261"/>
      <c r="M1139" s="262" t="str">
        <f t="shared" si="1"/>
        <v/>
      </c>
      <c r="N1139" s="263" t="str">
        <f t="shared" si="2"/>
        <v/>
      </c>
      <c r="O1139" s="264" t="str">
        <f t="shared" si="3"/>
        <v/>
      </c>
      <c r="P1139" s="265" t="str">
        <f>IFERROR(__xludf.DUMMYFUNCTION("IF(ISBLANK(A1139),"""",IFERROR(IF(H1139=""Sell"",VLOOKUP(9^99,FILTER({ROW(P$2:P1138),P$2:P1138},D$2:D1138=D1139),2),(VLOOKUP(9^99,FILTER({ROW(P$2:P1138),P$2:P1138},D$2:D1138=D1139),2)*VLOOKUP(9^99,FILTER({ROW(O$2:O1138),O$2:O1138},D$2:D1138=D1139),2)-N113"&amp;"9)/O1139),J1139))"),"")</f>
        <v/>
      </c>
      <c r="Q1139" s="264" t="str">
        <f>IFERROR(__xludf.DUMMYFUNCTION("IFERROR(IF(F1139=""Crypto"",B1139,(IF(ISBLANK(D1139),"""",IF(D1139=""Cash"",B1139,IF(GOOGLEFINANCE(D1139,""CURRENCY"")=""GBX"",""GBP"",GOOGLEFINANCE(D1139,""CURRENCY"")))))),B1139)"),"")</f>
        <v/>
      </c>
      <c r="R1139" s="263" t="str">
        <f>IFERROR(__xludf.DUMMYFUNCTION("IF(ISBLANK(A1139),"""",IFERROR(IF(OR(Q1139=""GPB"",Q1139=""ZAR""),IF(Q1139=Dashboard!$L$1,K1139,(K1139*GOOGLEFINANCE(""CURRENCY:""&amp;Q1139&amp;""""&amp;Dashboard!$L$1&amp;""""))/100),IF(Q1139=Dashboard!$L$1,K1139,K1139*GOOGLEFINANCE(""CURRENCY:""&amp;Q1139&amp;""""&amp;Dashboard!$"&amp;"L$1&amp;""""))),K1139))"),"")</f>
        <v/>
      </c>
      <c r="S1139" s="266" t="str">
        <f>IFERROR(__xludf.DUMMYFUNCTION("IF(ISBLANK(A1139),"""",IFERROR(IF(OR(Q1139=""GPB"",Q1139=""ZAR""),IF(Q1139=Dashboard!$L$1,M1139,(M1139*GOOGLEFINANCE(""CURRENCY:""&amp;Q1139&amp;""""&amp;Dashboard!$L$1&amp;""""))/100),IF(Q1139=Dashboard!$L$1,M1139,M1139*GOOGLEFINANCE(""CURRENCY:""&amp;Q1139&amp;""""&amp;Dashboard!$"&amp;"L$1&amp;""""))),M1139))"),"")</f>
        <v/>
      </c>
      <c r="T1139" s="264" t="str">
        <f t="shared" si="4"/>
        <v/>
      </c>
      <c r="U1139" s="264" t="str">
        <f t="shared" si="5"/>
        <v/>
      </c>
      <c r="V1139" s="264" t="str">
        <f t="shared" si="6"/>
        <v/>
      </c>
      <c r="W1139" s="267" t="str">
        <f t="shared" si="8"/>
        <v/>
      </c>
      <c r="X1139" s="264" t="str">
        <f t="shared" si="7"/>
        <v/>
      </c>
    </row>
    <row r="1140" ht="15.75" customHeight="1">
      <c r="A1140" s="258"/>
      <c r="B1140" s="258"/>
      <c r="C1140" s="269"/>
      <c r="D1140" s="258"/>
      <c r="E1140" s="258"/>
      <c r="F1140" s="258"/>
      <c r="G1140" s="258"/>
      <c r="H1140" s="271"/>
      <c r="I1140" s="258"/>
      <c r="J1140" s="272"/>
      <c r="K1140" s="260"/>
      <c r="L1140" s="261"/>
      <c r="M1140" s="262" t="str">
        <f t="shared" si="1"/>
        <v/>
      </c>
      <c r="N1140" s="263" t="str">
        <f t="shared" si="2"/>
        <v/>
      </c>
      <c r="O1140" s="264" t="str">
        <f t="shared" si="3"/>
        <v/>
      </c>
      <c r="P1140" s="265" t="str">
        <f>IFERROR(__xludf.DUMMYFUNCTION("IF(ISBLANK(A1140),"""",IFERROR(IF(H1140=""Sell"",VLOOKUP(9^99,FILTER({ROW(P$2:P1139),P$2:P1139},D$2:D1139=D1140),2),(VLOOKUP(9^99,FILTER({ROW(P$2:P1139),P$2:P1139},D$2:D1139=D1140),2)*VLOOKUP(9^99,FILTER({ROW(O$2:O1139),O$2:O1139},D$2:D1139=D1140),2)-N114"&amp;"0)/O1140),J1140))"),"")</f>
        <v/>
      </c>
      <c r="Q1140" s="264" t="str">
        <f>IFERROR(__xludf.DUMMYFUNCTION("IFERROR(IF(F1140=""Crypto"",B1140,(IF(ISBLANK(D1140),"""",IF(D1140=""Cash"",B1140,IF(GOOGLEFINANCE(D1140,""CURRENCY"")=""GBX"",""GBP"",GOOGLEFINANCE(D1140,""CURRENCY"")))))),B1140)"),"")</f>
        <v/>
      </c>
      <c r="R1140" s="263" t="str">
        <f>IFERROR(__xludf.DUMMYFUNCTION("IF(ISBLANK(A1140),"""",IFERROR(IF(OR(Q1140=""GPB"",Q1140=""ZAR""),IF(Q1140=Dashboard!$L$1,K1140,(K1140*GOOGLEFINANCE(""CURRENCY:""&amp;Q1140&amp;""""&amp;Dashboard!$L$1&amp;""""))/100),IF(Q1140=Dashboard!$L$1,K1140,K1140*GOOGLEFINANCE(""CURRENCY:""&amp;Q1140&amp;""""&amp;Dashboard!$"&amp;"L$1&amp;""""))),K1140))"),"")</f>
        <v/>
      </c>
      <c r="S1140" s="266" t="str">
        <f>IFERROR(__xludf.DUMMYFUNCTION("IF(ISBLANK(A1140),"""",IFERROR(IF(OR(Q1140=""GPB"",Q1140=""ZAR""),IF(Q1140=Dashboard!$L$1,M1140,(M1140*GOOGLEFINANCE(""CURRENCY:""&amp;Q1140&amp;""""&amp;Dashboard!$L$1&amp;""""))/100),IF(Q1140=Dashboard!$L$1,M1140,M1140*GOOGLEFINANCE(""CURRENCY:""&amp;Q1140&amp;""""&amp;Dashboard!$"&amp;"L$1&amp;""""))),M1140))"),"")</f>
        <v/>
      </c>
      <c r="T1140" s="264" t="str">
        <f t="shared" si="4"/>
        <v/>
      </c>
      <c r="U1140" s="264" t="str">
        <f t="shared" si="5"/>
        <v/>
      </c>
      <c r="V1140" s="264" t="str">
        <f t="shared" si="6"/>
        <v/>
      </c>
      <c r="W1140" s="267" t="str">
        <f t="shared" si="8"/>
        <v/>
      </c>
      <c r="X1140" s="264" t="str">
        <f t="shared" si="7"/>
        <v/>
      </c>
    </row>
    <row r="1141" ht="15.75" customHeight="1">
      <c r="A1141" s="258"/>
      <c r="B1141" s="258"/>
      <c r="C1141" s="269"/>
      <c r="D1141" s="258"/>
      <c r="E1141" s="258"/>
      <c r="F1141" s="258"/>
      <c r="G1141" s="258"/>
      <c r="H1141" s="271"/>
      <c r="I1141" s="258"/>
      <c r="J1141" s="272"/>
      <c r="K1141" s="260"/>
      <c r="L1141" s="261"/>
      <c r="M1141" s="262" t="str">
        <f t="shared" si="1"/>
        <v/>
      </c>
      <c r="N1141" s="263" t="str">
        <f t="shared" si="2"/>
        <v/>
      </c>
      <c r="O1141" s="264" t="str">
        <f t="shared" si="3"/>
        <v/>
      </c>
      <c r="P1141" s="265" t="str">
        <f>IFERROR(__xludf.DUMMYFUNCTION("IF(ISBLANK(A1141),"""",IFERROR(IF(H1141=""Sell"",VLOOKUP(9^99,FILTER({ROW(P$2:P1140),P$2:P1140},D$2:D1140=D1141),2),(VLOOKUP(9^99,FILTER({ROW(P$2:P1140),P$2:P1140},D$2:D1140=D1141),2)*VLOOKUP(9^99,FILTER({ROW(O$2:O1140),O$2:O1140},D$2:D1140=D1141),2)-N114"&amp;"1)/O1141),J1141))"),"")</f>
        <v/>
      </c>
      <c r="Q1141" s="264" t="str">
        <f>IFERROR(__xludf.DUMMYFUNCTION("IFERROR(IF(F1141=""Crypto"",B1141,(IF(ISBLANK(D1141),"""",IF(D1141=""Cash"",B1141,IF(GOOGLEFINANCE(D1141,""CURRENCY"")=""GBX"",""GBP"",GOOGLEFINANCE(D1141,""CURRENCY"")))))),B1141)"),"")</f>
        <v/>
      </c>
      <c r="R1141" s="263" t="str">
        <f>IFERROR(__xludf.DUMMYFUNCTION("IF(ISBLANK(A1141),"""",IFERROR(IF(OR(Q1141=""GPB"",Q1141=""ZAR""),IF(Q1141=Dashboard!$L$1,K1141,(K1141*GOOGLEFINANCE(""CURRENCY:""&amp;Q1141&amp;""""&amp;Dashboard!$L$1&amp;""""))/100),IF(Q1141=Dashboard!$L$1,K1141,K1141*GOOGLEFINANCE(""CURRENCY:""&amp;Q1141&amp;""""&amp;Dashboard!$"&amp;"L$1&amp;""""))),K1141))"),"")</f>
        <v/>
      </c>
      <c r="S1141" s="266" t="str">
        <f>IFERROR(__xludf.DUMMYFUNCTION("IF(ISBLANK(A1141),"""",IFERROR(IF(OR(Q1141=""GPB"",Q1141=""ZAR""),IF(Q1141=Dashboard!$L$1,M1141,(M1141*GOOGLEFINANCE(""CURRENCY:""&amp;Q1141&amp;""""&amp;Dashboard!$L$1&amp;""""))/100),IF(Q1141=Dashboard!$L$1,M1141,M1141*GOOGLEFINANCE(""CURRENCY:""&amp;Q1141&amp;""""&amp;Dashboard!$"&amp;"L$1&amp;""""))),M1141))"),"")</f>
        <v/>
      </c>
      <c r="T1141" s="264" t="str">
        <f t="shared" si="4"/>
        <v/>
      </c>
      <c r="U1141" s="264" t="str">
        <f t="shared" si="5"/>
        <v/>
      </c>
      <c r="V1141" s="264" t="str">
        <f t="shared" si="6"/>
        <v/>
      </c>
      <c r="W1141" s="267" t="str">
        <f t="shared" si="8"/>
        <v/>
      </c>
      <c r="X1141" s="264" t="str">
        <f t="shared" si="7"/>
        <v/>
      </c>
    </row>
    <row r="1142" ht="15.75" customHeight="1">
      <c r="A1142" s="258"/>
      <c r="B1142" s="258"/>
      <c r="C1142" s="269"/>
      <c r="D1142" s="258"/>
      <c r="E1142" s="258"/>
      <c r="F1142" s="258"/>
      <c r="G1142" s="258"/>
      <c r="H1142" s="271"/>
      <c r="I1142" s="258"/>
      <c r="J1142" s="272"/>
      <c r="K1142" s="260"/>
      <c r="L1142" s="261"/>
      <c r="M1142" s="262" t="str">
        <f t="shared" si="1"/>
        <v/>
      </c>
      <c r="N1142" s="263" t="str">
        <f t="shared" si="2"/>
        <v/>
      </c>
      <c r="O1142" s="264" t="str">
        <f t="shared" si="3"/>
        <v/>
      </c>
      <c r="P1142" s="265" t="str">
        <f>IFERROR(__xludf.DUMMYFUNCTION("IF(ISBLANK(A1142),"""",IFERROR(IF(H1142=""Sell"",VLOOKUP(9^99,FILTER({ROW(P$2:P1141),P$2:P1141},D$2:D1141=D1142),2),(VLOOKUP(9^99,FILTER({ROW(P$2:P1141),P$2:P1141},D$2:D1141=D1142),2)*VLOOKUP(9^99,FILTER({ROW(O$2:O1141),O$2:O1141},D$2:D1141=D1142),2)-N114"&amp;"2)/O1142),J1142))"),"")</f>
        <v/>
      </c>
      <c r="Q1142" s="264" t="str">
        <f>IFERROR(__xludf.DUMMYFUNCTION("IFERROR(IF(F1142=""Crypto"",B1142,(IF(ISBLANK(D1142),"""",IF(D1142=""Cash"",B1142,IF(GOOGLEFINANCE(D1142,""CURRENCY"")=""GBX"",""GBP"",GOOGLEFINANCE(D1142,""CURRENCY"")))))),B1142)"),"")</f>
        <v/>
      </c>
      <c r="R1142" s="263" t="str">
        <f>IFERROR(__xludf.DUMMYFUNCTION("IF(ISBLANK(A1142),"""",IFERROR(IF(OR(Q1142=""GPB"",Q1142=""ZAR""),IF(Q1142=Dashboard!$L$1,K1142,(K1142*GOOGLEFINANCE(""CURRENCY:""&amp;Q1142&amp;""""&amp;Dashboard!$L$1&amp;""""))/100),IF(Q1142=Dashboard!$L$1,K1142,K1142*GOOGLEFINANCE(""CURRENCY:""&amp;Q1142&amp;""""&amp;Dashboard!$"&amp;"L$1&amp;""""))),K1142))"),"")</f>
        <v/>
      </c>
      <c r="S1142" s="266" t="str">
        <f>IFERROR(__xludf.DUMMYFUNCTION("IF(ISBLANK(A1142),"""",IFERROR(IF(OR(Q1142=""GPB"",Q1142=""ZAR""),IF(Q1142=Dashboard!$L$1,M1142,(M1142*GOOGLEFINANCE(""CURRENCY:""&amp;Q1142&amp;""""&amp;Dashboard!$L$1&amp;""""))/100),IF(Q1142=Dashboard!$L$1,M1142,M1142*GOOGLEFINANCE(""CURRENCY:""&amp;Q1142&amp;""""&amp;Dashboard!$"&amp;"L$1&amp;""""))),M1142))"),"")</f>
        <v/>
      </c>
      <c r="T1142" s="264" t="str">
        <f t="shared" si="4"/>
        <v/>
      </c>
      <c r="U1142" s="264" t="str">
        <f t="shared" si="5"/>
        <v/>
      </c>
      <c r="V1142" s="264" t="str">
        <f t="shared" si="6"/>
        <v/>
      </c>
      <c r="W1142" s="267" t="str">
        <f t="shared" si="8"/>
        <v/>
      </c>
      <c r="X1142" s="264" t="str">
        <f t="shared" si="7"/>
        <v/>
      </c>
    </row>
    <row r="1143" ht="15.75" customHeight="1">
      <c r="A1143" s="258"/>
      <c r="B1143" s="258"/>
      <c r="C1143" s="269"/>
      <c r="D1143" s="258"/>
      <c r="E1143" s="258"/>
      <c r="F1143" s="258"/>
      <c r="G1143" s="258"/>
      <c r="H1143" s="271"/>
      <c r="I1143" s="258"/>
      <c r="J1143" s="272"/>
      <c r="K1143" s="260"/>
      <c r="L1143" s="261"/>
      <c r="M1143" s="262" t="str">
        <f t="shared" si="1"/>
        <v/>
      </c>
      <c r="N1143" s="263" t="str">
        <f t="shared" si="2"/>
        <v/>
      </c>
      <c r="O1143" s="264" t="str">
        <f t="shared" si="3"/>
        <v/>
      </c>
      <c r="P1143" s="265" t="str">
        <f>IFERROR(__xludf.DUMMYFUNCTION("IF(ISBLANK(A1143),"""",IFERROR(IF(H1143=""Sell"",VLOOKUP(9^99,FILTER({ROW(P$2:P1142),P$2:P1142},D$2:D1142=D1143),2),(VLOOKUP(9^99,FILTER({ROW(P$2:P1142),P$2:P1142},D$2:D1142=D1143),2)*VLOOKUP(9^99,FILTER({ROW(O$2:O1142),O$2:O1142},D$2:D1142=D1143),2)-N114"&amp;"3)/O1143),J1143))"),"")</f>
        <v/>
      </c>
      <c r="Q1143" s="264" t="str">
        <f>IFERROR(__xludf.DUMMYFUNCTION("IFERROR(IF(F1143=""Crypto"",B1143,(IF(ISBLANK(D1143),"""",IF(D1143=""Cash"",B1143,IF(GOOGLEFINANCE(D1143,""CURRENCY"")=""GBX"",""GBP"",GOOGLEFINANCE(D1143,""CURRENCY"")))))),B1143)"),"")</f>
        <v/>
      </c>
      <c r="R1143" s="263" t="str">
        <f>IFERROR(__xludf.DUMMYFUNCTION("IF(ISBLANK(A1143),"""",IFERROR(IF(OR(Q1143=""GPB"",Q1143=""ZAR""),IF(Q1143=Dashboard!$L$1,K1143,(K1143*GOOGLEFINANCE(""CURRENCY:""&amp;Q1143&amp;""""&amp;Dashboard!$L$1&amp;""""))/100),IF(Q1143=Dashboard!$L$1,K1143,K1143*GOOGLEFINANCE(""CURRENCY:""&amp;Q1143&amp;""""&amp;Dashboard!$"&amp;"L$1&amp;""""))),K1143))"),"")</f>
        <v/>
      </c>
      <c r="S1143" s="266" t="str">
        <f>IFERROR(__xludf.DUMMYFUNCTION("IF(ISBLANK(A1143),"""",IFERROR(IF(OR(Q1143=""GPB"",Q1143=""ZAR""),IF(Q1143=Dashboard!$L$1,M1143,(M1143*GOOGLEFINANCE(""CURRENCY:""&amp;Q1143&amp;""""&amp;Dashboard!$L$1&amp;""""))/100),IF(Q1143=Dashboard!$L$1,M1143,M1143*GOOGLEFINANCE(""CURRENCY:""&amp;Q1143&amp;""""&amp;Dashboard!$"&amp;"L$1&amp;""""))),M1143))"),"")</f>
        <v/>
      </c>
      <c r="T1143" s="264" t="str">
        <f t="shared" si="4"/>
        <v/>
      </c>
      <c r="U1143" s="264" t="str">
        <f t="shared" si="5"/>
        <v/>
      </c>
      <c r="V1143" s="264" t="str">
        <f t="shared" si="6"/>
        <v/>
      </c>
      <c r="W1143" s="267" t="str">
        <f t="shared" si="8"/>
        <v/>
      </c>
      <c r="X1143" s="264" t="str">
        <f t="shared" si="7"/>
        <v/>
      </c>
    </row>
    <row r="1144" ht="15.75" customHeight="1">
      <c r="A1144" s="258"/>
      <c r="B1144" s="258"/>
      <c r="C1144" s="269"/>
      <c r="D1144" s="258"/>
      <c r="E1144" s="258"/>
      <c r="F1144" s="258"/>
      <c r="G1144" s="258"/>
      <c r="H1144" s="271"/>
      <c r="I1144" s="258"/>
      <c r="J1144" s="272"/>
      <c r="K1144" s="260"/>
      <c r="L1144" s="261"/>
      <c r="M1144" s="262" t="str">
        <f t="shared" si="1"/>
        <v/>
      </c>
      <c r="N1144" s="263" t="str">
        <f t="shared" si="2"/>
        <v/>
      </c>
      <c r="O1144" s="264" t="str">
        <f t="shared" si="3"/>
        <v/>
      </c>
      <c r="P1144" s="265" t="str">
        <f>IFERROR(__xludf.DUMMYFUNCTION("IF(ISBLANK(A1144),"""",IFERROR(IF(H1144=""Sell"",VLOOKUP(9^99,FILTER({ROW(P$2:P1143),P$2:P1143},D$2:D1143=D1144),2),(VLOOKUP(9^99,FILTER({ROW(P$2:P1143),P$2:P1143},D$2:D1143=D1144),2)*VLOOKUP(9^99,FILTER({ROW(O$2:O1143),O$2:O1143},D$2:D1143=D1144),2)-N114"&amp;"4)/O1144),J1144))"),"")</f>
        <v/>
      </c>
      <c r="Q1144" s="264" t="str">
        <f>IFERROR(__xludf.DUMMYFUNCTION("IFERROR(IF(F1144=""Crypto"",B1144,(IF(ISBLANK(D1144),"""",IF(D1144=""Cash"",B1144,IF(GOOGLEFINANCE(D1144,""CURRENCY"")=""GBX"",""GBP"",GOOGLEFINANCE(D1144,""CURRENCY"")))))),B1144)"),"")</f>
        <v/>
      </c>
      <c r="R1144" s="263" t="str">
        <f>IFERROR(__xludf.DUMMYFUNCTION("IF(ISBLANK(A1144),"""",IFERROR(IF(OR(Q1144=""GPB"",Q1144=""ZAR""),IF(Q1144=Dashboard!$L$1,K1144,(K1144*GOOGLEFINANCE(""CURRENCY:""&amp;Q1144&amp;""""&amp;Dashboard!$L$1&amp;""""))/100),IF(Q1144=Dashboard!$L$1,K1144,K1144*GOOGLEFINANCE(""CURRENCY:""&amp;Q1144&amp;""""&amp;Dashboard!$"&amp;"L$1&amp;""""))),K1144))"),"")</f>
        <v/>
      </c>
      <c r="S1144" s="266" t="str">
        <f>IFERROR(__xludf.DUMMYFUNCTION("IF(ISBLANK(A1144),"""",IFERROR(IF(OR(Q1144=""GPB"",Q1144=""ZAR""),IF(Q1144=Dashboard!$L$1,M1144,(M1144*GOOGLEFINANCE(""CURRENCY:""&amp;Q1144&amp;""""&amp;Dashboard!$L$1&amp;""""))/100),IF(Q1144=Dashboard!$L$1,M1144,M1144*GOOGLEFINANCE(""CURRENCY:""&amp;Q1144&amp;""""&amp;Dashboard!$"&amp;"L$1&amp;""""))),M1144))"),"")</f>
        <v/>
      </c>
      <c r="T1144" s="264" t="str">
        <f t="shared" si="4"/>
        <v/>
      </c>
      <c r="U1144" s="264" t="str">
        <f t="shared" si="5"/>
        <v/>
      </c>
      <c r="V1144" s="264" t="str">
        <f t="shared" si="6"/>
        <v/>
      </c>
      <c r="W1144" s="267" t="str">
        <f t="shared" si="8"/>
        <v/>
      </c>
      <c r="X1144" s="264" t="str">
        <f t="shared" si="7"/>
        <v/>
      </c>
    </row>
    <row r="1145" ht="15.75" customHeight="1">
      <c r="A1145" s="258"/>
      <c r="B1145" s="258"/>
      <c r="C1145" s="269"/>
      <c r="D1145" s="258"/>
      <c r="E1145" s="258"/>
      <c r="F1145" s="258"/>
      <c r="G1145" s="258"/>
      <c r="H1145" s="271"/>
      <c r="I1145" s="258"/>
      <c r="J1145" s="272"/>
      <c r="K1145" s="260"/>
      <c r="L1145" s="261"/>
      <c r="M1145" s="262" t="str">
        <f t="shared" si="1"/>
        <v/>
      </c>
      <c r="N1145" s="263" t="str">
        <f t="shared" si="2"/>
        <v/>
      </c>
      <c r="O1145" s="264" t="str">
        <f t="shared" si="3"/>
        <v/>
      </c>
      <c r="P1145" s="265" t="str">
        <f>IFERROR(__xludf.DUMMYFUNCTION("IF(ISBLANK(A1145),"""",IFERROR(IF(H1145=""Sell"",VLOOKUP(9^99,FILTER({ROW(P$2:P1144),P$2:P1144},D$2:D1144=D1145),2),(VLOOKUP(9^99,FILTER({ROW(P$2:P1144),P$2:P1144},D$2:D1144=D1145),2)*VLOOKUP(9^99,FILTER({ROW(O$2:O1144),O$2:O1144},D$2:D1144=D1145),2)-N114"&amp;"5)/O1145),J1145))"),"")</f>
        <v/>
      </c>
      <c r="Q1145" s="264" t="str">
        <f>IFERROR(__xludf.DUMMYFUNCTION("IFERROR(IF(F1145=""Crypto"",B1145,(IF(ISBLANK(D1145),"""",IF(D1145=""Cash"",B1145,IF(GOOGLEFINANCE(D1145,""CURRENCY"")=""GBX"",""GBP"",GOOGLEFINANCE(D1145,""CURRENCY"")))))),B1145)"),"")</f>
        <v/>
      </c>
      <c r="R1145" s="263" t="str">
        <f>IFERROR(__xludf.DUMMYFUNCTION("IF(ISBLANK(A1145),"""",IFERROR(IF(OR(Q1145=""GPB"",Q1145=""ZAR""),IF(Q1145=Dashboard!$L$1,K1145,(K1145*GOOGLEFINANCE(""CURRENCY:""&amp;Q1145&amp;""""&amp;Dashboard!$L$1&amp;""""))/100),IF(Q1145=Dashboard!$L$1,K1145,K1145*GOOGLEFINANCE(""CURRENCY:""&amp;Q1145&amp;""""&amp;Dashboard!$"&amp;"L$1&amp;""""))),K1145))"),"")</f>
        <v/>
      </c>
      <c r="S1145" s="266" t="str">
        <f>IFERROR(__xludf.DUMMYFUNCTION("IF(ISBLANK(A1145),"""",IFERROR(IF(OR(Q1145=""GPB"",Q1145=""ZAR""),IF(Q1145=Dashboard!$L$1,M1145,(M1145*GOOGLEFINANCE(""CURRENCY:""&amp;Q1145&amp;""""&amp;Dashboard!$L$1&amp;""""))/100),IF(Q1145=Dashboard!$L$1,M1145,M1145*GOOGLEFINANCE(""CURRENCY:""&amp;Q1145&amp;""""&amp;Dashboard!$"&amp;"L$1&amp;""""))),M1145))"),"")</f>
        <v/>
      </c>
      <c r="T1145" s="264" t="str">
        <f t="shared" si="4"/>
        <v/>
      </c>
      <c r="U1145" s="264" t="str">
        <f t="shared" si="5"/>
        <v/>
      </c>
      <c r="V1145" s="264" t="str">
        <f t="shared" si="6"/>
        <v/>
      </c>
      <c r="W1145" s="267" t="str">
        <f t="shared" si="8"/>
        <v/>
      </c>
      <c r="X1145" s="264" t="str">
        <f t="shared" si="7"/>
        <v/>
      </c>
    </row>
    <row r="1146" ht="15.75" customHeight="1">
      <c r="A1146" s="258"/>
      <c r="B1146" s="258"/>
      <c r="C1146" s="269"/>
      <c r="D1146" s="258"/>
      <c r="E1146" s="258"/>
      <c r="F1146" s="258"/>
      <c r="G1146" s="258"/>
      <c r="H1146" s="271"/>
      <c r="I1146" s="258"/>
      <c r="J1146" s="272"/>
      <c r="K1146" s="260"/>
      <c r="L1146" s="261"/>
      <c r="M1146" s="262" t="str">
        <f t="shared" si="1"/>
        <v/>
      </c>
      <c r="N1146" s="263" t="str">
        <f t="shared" si="2"/>
        <v/>
      </c>
      <c r="O1146" s="264" t="str">
        <f t="shared" si="3"/>
        <v/>
      </c>
      <c r="P1146" s="265" t="str">
        <f>IFERROR(__xludf.DUMMYFUNCTION("IF(ISBLANK(A1146),"""",IFERROR(IF(H1146=""Sell"",VLOOKUP(9^99,FILTER({ROW(P$2:P1145),P$2:P1145},D$2:D1145=D1146),2),(VLOOKUP(9^99,FILTER({ROW(P$2:P1145),P$2:P1145},D$2:D1145=D1146),2)*VLOOKUP(9^99,FILTER({ROW(O$2:O1145),O$2:O1145},D$2:D1145=D1146),2)-N114"&amp;"6)/O1146),J1146))"),"")</f>
        <v/>
      </c>
      <c r="Q1146" s="264" t="str">
        <f>IFERROR(__xludf.DUMMYFUNCTION("IFERROR(IF(F1146=""Crypto"",B1146,(IF(ISBLANK(D1146),"""",IF(D1146=""Cash"",B1146,IF(GOOGLEFINANCE(D1146,""CURRENCY"")=""GBX"",""GBP"",GOOGLEFINANCE(D1146,""CURRENCY"")))))),B1146)"),"")</f>
        <v/>
      </c>
      <c r="R1146" s="263" t="str">
        <f>IFERROR(__xludf.DUMMYFUNCTION("IF(ISBLANK(A1146),"""",IFERROR(IF(OR(Q1146=""GPB"",Q1146=""ZAR""),IF(Q1146=Dashboard!$L$1,K1146,(K1146*GOOGLEFINANCE(""CURRENCY:""&amp;Q1146&amp;""""&amp;Dashboard!$L$1&amp;""""))/100),IF(Q1146=Dashboard!$L$1,K1146,K1146*GOOGLEFINANCE(""CURRENCY:""&amp;Q1146&amp;""""&amp;Dashboard!$"&amp;"L$1&amp;""""))),K1146))"),"")</f>
        <v/>
      </c>
      <c r="S1146" s="266" t="str">
        <f>IFERROR(__xludf.DUMMYFUNCTION("IF(ISBLANK(A1146),"""",IFERROR(IF(OR(Q1146=""GPB"",Q1146=""ZAR""),IF(Q1146=Dashboard!$L$1,M1146,(M1146*GOOGLEFINANCE(""CURRENCY:""&amp;Q1146&amp;""""&amp;Dashboard!$L$1&amp;""""))/100),IF(Q1146=Dashboard!$L$1,M1146,M1146*GOOGLEFINANCE(""CURRENCY:""&amp;Q1146&amp;""""&amp;Dashboard!$"&amp;"L$1&amp;""""))),M1146))"),"")</f>
        <v/>
      </c>
      <c r="T1146" s="264" t="str">
        <f t="shared" si="4"/>
        <v/>
      </c>
      <c r="U1146" s="264" t="str">
        <f t="shared" si="5"/>
        <v/>
      </c>
      <c r="V1146" s="264" t="str">
        <f t="shared" si="6"/>
        <v/>
      </c>
      <c r="W1146" s="267" t="str">
        <f t="shared" si="8"/>
        <v/>
      </c>
      <c r="X1146" s="264" t="str">
        <f t="shared" si="7"/>
        <v/>
      </c>
    </row>
    <row r="1147" ht="15.75" customHeight="1">
      <c r="A1147" s="258"/>
      <c r="B1147" s="258"/>
      <c r="C1147" s="269"/>
      <c r="D1147" s="258"/>
      <c r="E1147" s="258"/>
      <c r="F1147" s="258"/>
      <c r="G1147" s="258"/>
      <c r="H1147" s="271"/>
      <c r="I1147" s="258"/>
      <c r="J1147" s="272"/>
      <c r="K1147" s="260"/>
      <c r="L1147" s="261"/>
      <c r="M1147" s="262" t="str">
        <f t="shared" si="1"/>
        <v/>
      </c>
      <c r="N1147" s="263" t="str">
        <f t="shared" si="2"/>
        <v/>
      </c>
      <c r="O1147" s="264" t="str">
        <f t="shared" si="3"/>
        <v/>
      </c>
      <c r="P1147" s="265" t="str">
        <f>IFERROR(__xludf.DUMMYFUNCTION("IF(ISBLANK(A1147),"""",IFERROR(IF(H1147=""Sell"",VLOOKUP(9^99,FILTER({ROW(P$2:P1146),P$2:P1146},D$2:D1146=D1147),2),(VLOOKUP(9^99,FILTER({ROW(P$2:P1146),P$2:P1146},D$2:D1146=D1147),2)*VLOOKUP(9^99,FILTER({ROW(O$2:O1146),O$2:O1146},D$2:D1146=D1147),2)-N114"&amp;"7)/O1147),J1147))"),"")</f>
        <v/>
      </c>
      <c r="Q1147" s="264" t="str">
        <f>IFERROR(__xludf.DUMMYFUNCTION("IFERROR(IF(F1147=""Crypto"",B1147,(IF(ISBLANK(D1147),"""",IF(D1147=""Cash"",B1147,IF(GOOGLEFINANCE(D1147,""CURRENCY"")=""GBX"",""GBP"",GOOGLEFINANCE(D1147,""CURRENCY"")))))),B1147)"),"")</f>
        <v/>
      </c>
      <c r="R1147" s="263" t="str">
        <f>IFERROR(__xludf.DUMMYFUNCTION("IF(ISBLANK(A1147),"""",IFERROR(IF(OR(Q1147=""GPB"",Q1147=""ZAR""),IF(Q1147=Dashboard!$L$1,K1147,(K1147*GOOGLEFINANCE(""CURRENCY:""&amp;Q1147&amp;""""&amp;Dashboard!$L$1&amp;""""))/100),IF(Q1147=Dashboard!$L$1,K1147,K1147*GOOGLEFINANCE(""CURRENCY:""&amp;Q1147&amp;""""&amp;Dashboard!$"&amp;"L$1&amp;""""))),K1147))"),"")</f>
        <v/>
      </c>
      <c r="S1147" s="266" t="str">
        <f>IFERROR(__xludf.DUMMYFUNCTION("IF(ISBLANK(A1147),"""",IFERROR(IF(OR(Q1147=""GPB"",Q1147=""ZAR""),IF(Q1147=Dashboard!$L$1,M1147,(M1147*GOOGLEFINANCE(""CURRENCY:""&amp;Q1147&amp;""""&amp;Dashboard!$L$1&amp;""""))/100),IF(Q1147=Dashboard!$L$1,M1147,M1147*GOOGLEFINANCE(""CURRENCY:""&amp;Q1147&amp;""""&amp;Dashboard!$"&amp;"L$1&amp;""""))),M1147))"),"")</f>
        <v/>
      </c>
      <c r="T1147" s="264" t="str">
        <f t="shared" si="4"/>
        <v/>
      </c>
      <c r="U1147" s="264" t="str">
        <f t="shared" si="5"/>
        <v/>
      </c>
      <c r="V1147" s="264" t="str">
        <f t="shared" si="6"/>
        <v/>
      </c>
      <c r="W1147" s="267" t="str">
        <f t="shared" si="8"/>
        <v/>
      </c>
      <c r="X1147" s="264" t="str">
        <f t="shared" si="7"/>
        <v/>
      </c>
    </row>
    <row r="1148" ht="15.75" customHeight="1">
      <c r="A1148" s="258"/>
      <c r="B1148" s="258"/>
      <c r="C1148" s="269"/>
      <c r="D1148" s="258"/>
      <c r="E1148" s="258"/>
      <c r="F1148" s="258"/>
      <c r="G1148" s="258"/>
      <c r="H1148" s="271"/>
      <c r="I1148" s="258"/>
      <c r="J1148" s="272"/>
      <c r="K1148" s="260"/>
      <c r="L1148" s="261"/>
      <c r="M1148" s="262" t="str">
        <f t="shared" si="1"/>
        <v/>
      </c>
      <c r="N1148" s="263" t="str">
        <f t="shared" si="2"/>
        <v/>
      </c>
      <c r="O1148" s="264" t="str">
        <f t="shared" si="3"/>
        <v/>
      </c>
      <c r="P1148" s="265" t="str">
        <f>IFERROR(__xludf.DUMMYFUNCTION("IF(ISBLANK(A1148),"""",IFERROR(IF(H1148=""Sell"",VLOOKUP(9^99,FILTER({ROW(P$2:P1147),P$2:P1147},D$2:D1147=D1148),2),(VLOOKUP(9^99,FILTER({ROW(P$2:P1147),P$2:P1147},D$2:D1147=D1148),2)*VLOOKUP(9^99,FILTER({ROW(O$2:O1147),O$2:O1147},D$2:D1147=D1148),2)-N114"&amp;"8)/O1148),J1148))"),"")</f>
        <v/>
      </c>
      <c r="Q1148" s="264" t="str">
        <f>IFERROR(__xludf.DUMMYFUNCTION("IFERROR(IF(F1148=""Crypto"",B1148,(IF(ISBLANK(D1148),"""",IF(D1148=""Cash"",B1148,IF(GOOGLEFINANCE(D1148,""CURRENCY"")=""GBX"",""GBP"",GOOGLEFINANCE(D1148,""CURRENCY"")))))),B1148)"),"")</f>
        <v/>
      </c>
      <c r="R1148" s="263" t="str">
        <f>IFERROR(__xludf.DUMMYFUNCTION("IF(ISBLANK(A1148),"""",IFERROR(IF(OR(Q1148=""GPB"",Q1148=""ZAR""),IF(Q1148=Dashboard!$L$1,K1148,(K1148*GOOGLEFINANCE(""CURRENCY:""&amp;Q1148&amp;""""&amp;Dashboard!$L$1&amp;""""))/100),IF(Q1148=Dashboard!$L$1,K1148,K1148*GOOGLEFINANCE(""CURRENCY:""&amp;Q1148&amp;""""&amp;Dashboard!$"&amp;"L$1&amp;""""))),K1148))"),"")</f>
        <v/>
      </c>
      <c r="S1148" s="266" t="str">
        <f>IFERROR(__xludf.DUMMYFUNCTION("IF(ISBLANK(A1148),"""",IFERROR(IF(OR(Q1148=""GPB"",Q1148=""ZAR""),IF(Q1148=Dashboard!$L$1,M1148,(M1148*GOOGLEFINANCE(""CURRENCY:""&amp;Q1148&amp;""""&amp;Dashboard!$L$1&amp;""""))/100),IF(Q1148=Dashboard!$L$1,M1148,M1148*GOOGLEFINANCE(""CURRENCY:""&amp;Q1148&amp;""""&amp;Dashboard!$"&amp;"L$1&amp;""""))),M1148))"),"")</f>
        <v/>
      </c>
      <c r="T1148" s="264" t="str">
        <f t="shared" si="4"/>
        <v/>
      </c>
      <c r="U1148" s="264" t="str">
        <f t="shared" si="5"/>
        <v/>
      </c>
      <c r="V1148" s="264" t="str">
        <f t="shared" si="6"/>
        <v/>
      </c>
      <c r="W1148" s="267" t="str">
        <f t="shared" si="8"/>
        <v/>
      </c>
      <c r="X1148" s="264" t="str">
        <f t="shared" si="7"/>
        <v/>
      </c>
    </row>
    <row r="1149" ht="15.75" customHeight="1">
      <c r="A1149" s="258"/>
      <c r="B1149" s="258"/>
      <c r="C1149" s="269"/>
      <c r="D1149" s="258"/>
      <c r="E1149" s="258"/>
      <c r="F1149" s="258"/>
      <c r="G1149" s="258"/>
      <c r="H1149" s="271"/>
      <c r="I1149" s="258"/>
      <c r="J1149" s="272"/>
      <c r="K1149" s="260"/>
      <c r="L1149" s="261"/>
      <c r="M1149" s="262" t="str">
        <f t="shared" si="1"/>
        <v/>
      </c>
      <c r="N1149" s="263" t="str">
        <f t="shared" si="2"/>
        <v/>
      </c>
      <c r="O1149" s="264" t="str">
        <f t="shared" si="3"/>
        <v/>
      </c>
      <c r="P1149" s="265" t="str">
        <f>IFERROR(__xludf.DUMMYFUNCTION("IF(ISBLANK(A1149),"""",IFERROR(IF(H1149=""Sell"",VLOOKUP(9^99,FILTER({ROW(P$2:P1148),P$2:P1148},D$2:D1148=D1149),2),(VLOOKUP(9^99,FILTER({ROW(P$2:P1148),P$2:P1148},D$2:D1148=D1149),2)*VLOOKUP(9^99,FILTER({ROW(O$2:O1148),O$2:O1148},D$2:D1148=D1149),2)-N114"&amp;"9)/O1149),J1149))"),"")</f>
        <v/>
      </c>
      <c r="Q1149" s="264" t="str">
        <f>IFERROR(__xludf.DUMMYFUNCTION("IFERROR(IF(F1149=""Crypto"",B1149,(IF(ISBLANK(D1149),"""",IF(D1149=""Cash"",B1149,IF(GOOGLEFINANCE(D1149,""CURRENCY"")=""GBX"",""GBP"",GOOGLEFINANCE(D1149,""CURRENCY"")))))),B1149)"),"")</f>
        <v/>
      </c>
      <c r="R1149" s="263" t="str">
        <f>IFERROR(__xludf.DUMMYFUNCTION("IF(ISBLANK(A1149),"""",IFERROR(IF(OR(Q1149=""GPB"",Q1149=""ZAR""),IF(Q1149=Dashboard!$L$1,K1149,(K1149*GOOGLEFINANCE(""CURRENCY:""&amp;Q1149&amp;""""&amp;Dashboard!$L$1&amp;""""))/100),IF(Q1149=Dashboard!$L$1,K1149,K1149*GOOGLEFINANCE(""CURRENCY:""&amp;Q1149&amp;""""&amp;Dashboard!$"&amp;"L$1&amp;""""))),K1149))"),"")</f>
        <v/>
      </c>
      <c r="S1149" s="266" t="str">
        <f>IFERROR(__xludf.DUMMYFUNCTION("IF(ISBLANK(A1149),"""",IFERROR(IF(OR(Q1149=""GPB"",Q1149=""ZAR""),IF(Q1149=Dashboard!$L$1,M1149,(M1149*GOOGLEFINANCE(""CURRENCY:""&amp;Q1149&amp;""""&amp;Dashboard!$L$1&amp;""""))/100),IF(Q1149=Dashboard!$L$1,M1149,M1149*GOOGLEFINANCE(""CURRENCY:""&amp;Q1149&amp;""""&amp;Dashboard!$"&amp;"L$1&amp;""""))),M1149))"),"")</f>
        <v/>
      </c>
      <c r="T1149" s="264" t="str">
        <f t="shared" si="4"/>
        <v/>
      </c>
      <c r="U1149" s="264" t="str">
        <f t="shared" si="5"/>
        <v/>
      </c>
      <c r="V1149" s="264" t="str">
        <f t="shared" si="6"/>
        <v/>
      </c>
      <c r="W1149" s="267" t="str">
        <f t="shared" si="8"/>
        <v/>
      </c>
      <c r="X1149" s="264" t="str">
        <f t="shared" si="7"/>
        <v/>
      </c>
    </row>
    <row r="1150" ht="15.75" customHeight="1">
      <c r="A1150" s="258"/>
      <c r="B1150" s="258"/>
      <c r="C1150" s="269"/>
      <c r="D1150" s="258"/>
      <c r="E1150" s="258"/>
      <c r="F1150" s="258"/>
      <c r="G1150" s="258"/>
      <c r="H1150" s="271"/>
      <c r="I1150" s="258"/>
      <c r="J1150" s="272"/>
      <c r="K1150" s="260"/>
      <c r="L1150" s="261"/>
      <c r="M1150" s="262" t="str">
        <f t="shared" si="1"/>
        <v/>
      </c>
      <c r="N1150" s="263" t="str">
        <f t="shared" si="2"/>
        <v/>
      </c>
      <c r="O1150" s="264" t="str">
        <f t="shared" si="3"/>
        <v/>
      </c>
      <c r="P1150" s="265" t="str">
        <f>IFERROR(__xludf.DUMMYFUNCTION("IF(ISBLANK(A1150),"""",IFERROR(IF(H1150=""Sell"",VLOOKUP(9^99,FILTER({ROW(P$2:P1149),P$2:P1149},D$2:D1149=D1150),2),(VLOOKUP(9^99,FILTER({ROW(P$2:P1149),P$2:P1149},D$2:D1149=D1150),2)*VLOOKUP(9^99,FILTER({ROW(O$2:O1149),O$2:O1149},D$2:D1149=D1150),2)-N115"&amp;"0)/O1150),J1150))"),"")</f>
        <v/>
      </c>
      <c r="Q1150" s="264" t="str">
        <f>IFERROR(__xludf.DUMMYFUNCTION("IFERROR(IF(F1150=""Crypto"",B1150,(IF(ISBLANK(D1150),"""",IF(D1150=""Cash"",B1150,IF(GOOGLEFINANCE(D1150,""CURRENCY"")=""GBX"",""GBP"",GOOGLEFINANCE(D1150,""CURRENCY"")))))),B1150)"),"")</f>
        <v/>
      </c>
      <c r="R1150" s="263" t="str">
        <f>IFERROR(__xludf.DUMMYFUNCTION("IF(ISBLANK(A1150),"""",IFERROR(IF(OR(Q1150=""GPB"",Q1150=""ZAR""),IF(Q1150=Dashboard!$L$1,K1150,(K1150*GOOGLEFINANCE(""CURRENCY:""&amp;Q1150&amp;""""&amp;Dashboard!$L$1&amp;""""))/100),IF(Q1150=Dashboard!$L$1,K1150,K1150*GOOGLEFINANCE(""CURRENCY:""&amp;Q1150&amp;""""&amp;Dashboard!$"&amp;"L$1&amp;""""))),K1150))"),"")</f>
        <v/>
      </c>
      <c r="S1150" s="266" t="str">
        <f>IFERROR(__xludf.DUMMYFUNCTION("IF(ISBLANK(A1150),"""",IFERROR(IF(OR(Q1150=""GPB"",Q1150=""ZAR""),IF(Q1150=Dashboard!$L$1,M1150,(M1150*GOOGLEFINANCE(""CURRENCY:""&amp;Q1150&amp;""""&amp;Dashboard!$L$1&amp;""""))/100),IF(Q1150=Dashboard!$L$1,M1150,M1150*GOOGLEFINANCE(""CURRENCY:""&amp;Q1150&amp;""""&amp;Dashboard!$"&amp;"L$1&amp;""""))),M1150))"),"")</f>
        <v/>
      </c>
      <c r="T1150" s="264" t="str">
        <f t="shared" si="4"/>
        <v/>
      </c>
      <c r="U1150" s="264" t="str">
        <f t="shared" si="5"/>
        <v/>
      </c>
      <c r="V1150" s="264" t="str">
        <f t="shared" si="6"/>
        <v/>
      </c>
      <c r="W1150" s="267" t="str">
        <f t="shared" si="8"/>
        <v/>
      </c>
      <c r="X1150" s="264" t="str">
        <f t="shared" si="7"/>
        <v/>
      </c>
    </row>
    <row r="1151" ht="15.75" customHeight="1">
      <c r="A1151" s="258"/>
      <c r="B1151" s="258"/>
      <c r="C1151" s="269"/>
      <c r="D1151" s="258"/>
      <c r="E1151" s="258"/>
      <c r="F1151" s="258"/>
      <c r="G1151" s="258"/>
      <c r="H1151" s="271"/>
      <c r="I1151" s="258"/>
      <c r="J1151" s="272"/>
      <c r="K1151" s="260"/>
      <c r="L1151" s="261"/>
      <c r="M1151" s="262" t="str">
        <f t="shared" si="1"/>
        <v/>
      </c>
      <c r="N1151" s="263" t="str">
        <f t="shared" si="2"/>
        <v/>
      </c>
      <c r="O1151" s="264" t="str">
        <f t="shared" si="3"/>
        <v/>
      </c>
      <c r="P1151" s="265" t="str">
        <f>IFERROR(__xludf.DUMMYFUNCTION("IF(ISBLANK(A1151),"""",IFERROR(IF(H1151=""Sell"",VLOOKUP(9^99,FILTER({ROW(P$2:P1150),P$2:P1150},D$2:D1150=D1151),2),(VLOOKUP(9^99,FILTER({ROW(P$2:P1150),P$2:P1150},D$2:D1150=D1151),2)*VLOOKUP(9^99,FILTER({ROW(O$2:O1150),O$2:O1150},D$2:D1150=D1151),2)-N115"&amp;"1)/O1151),J1151))"),"")</f>
        <v/>
      </c>
      <c r="Q1151" s="264" t="str">
        <f>IFERROR(__xludf.DUMMYFUNCTION("IFERROR(IF(F1151=""Crypto"",B1151,(IF(ISBLANK(D1151),"""",IF(D1151=""Cash"",B1151,IF(GOOGLEFINANCE(D1151,""CURRENCY"")=""GBX"",""GBP"",GOOGLEFINANCE(D1151,""CURRENCY"")))))),B1151)"),"")</f>
        <v/>
      </c>
      <c r="R1151" s="263" t="str">
        <f>IFERROR(__xludf.DUMMYFUNCTION("IF(ISBLANK(A1151),"""",IFERROR(IF(OR(Q1151=""GPB"",Q1151=""ZAR""),IF(Q1151=Dashboard!$L$1,K1151,(K1151*GOOGLEFINANCE(""CURRENCY:""&amp;Q1151&amp;""""&amp;Dashboard!$L$1&amp;""""))/100),IF(Q1151=Dashboard!$L$1,K1151,K1151*GOOGLEFINANCE(""CURRENCY:""&amp;Q1151&amp;""""&amp;Dashboard!$"&amp;"L$1&amp;""""))),K1151))"),"")</f>
        <v/>
      </c>
      <c r="S1151" s="266" t="str">
        <f>IFERROR(__xludf.DUMMYFUNCTION("IF(ISBLANK(A1151),"""",IFERROR(IF(OR(Q1151=""GPB"",Q1151=""ZAR""),IF(Q1151=Dashboard!$L$1,M1151,(M1151*GOOGLEFINANCE(""CURRENCY:""&amp;Q1151&amp;""""&amp;Dashboard!$L$1&amp;""""))/100),IF(Q1151=Dashboard!$L$1,M1151,M1151*GOOGLEFINANCE(""CURRENCY:""&amp;Q1151&amp;""""&amp;Dashboard!$"&amp;"L$1&amp;""""))),M1151))"),"")</f>
        <v/>
      </c>
      <c r="T1151" s="264" t="str">
        <f t="shared" si="4"/>
        <v/>
      </c>
      <c r="U1151" s="264" t="str">
        <f t="shared" si="5"/>
        <v/>
      </c>
      <c r="V1151" s="264" t="str">
        <f t="shared" si="6"/>
        <v/>
      </c>
      <c r="W1151" s="267" t="str">
        <f t="shared" si="8"/>
        <v/>
      </c>
      <c r="X1151" s="264" t="str">
        <f t="shared" si="7"/>
        <v/>
      </c>
    </row>
    <row r="1152" ht="15.75" customHeight="1">
      <c r="A1152" s="258"/>
      <c r="B1152" s="258"/>
      <c r="C1152" s="269"/>
      <c r="D1152" s="258"/>
      <c r="E1152" s="258"/>
      <c r="F1152" s="258"/>
      <c r="G1152" s="258"/>
      <c r="H1152" s="271"/>
      <c r="I1152" s="258"/>
      <c r="J1152" s="272"/>
      <c r="K1152" s="260"/>
      <c r="L1152" s="261"/>
      <c r="M1152" s="262" t="str">
        <f t="shared" si="1"/>
        <v/>
      </c>
      <c r="N1152" s="263" t="str">
        <f t="shared" si="2"/>
        <v/>
      </c>
      <c r="O1152" s="264" t="str">
        <f t="shared" si="3"/>
        <v/>
      </c>
      <c r="P1152" s="265" t="str">
        <f>IFERROR(__xludf.DUMMYFUNCTION("IF(ISBLANK(A1152),"""",IFERROR(IF(H1152=""Sell"",VLOOKUP(9^99,FILTER({ROW(P$2:P1151),P$2:P1151},D$2:D1151=D1152),2),(VLOOKUP(9^99,FILTER({ROW(P$2:P1151),P$2:P1151},D$2:D1151=D1152),2)*VLOOKUP(9^99,FILTER({ROW(O$2:O1151),O$2:O1151},D$2:D1151=D1152),2)-N115"&amp;"2)/O1152),J1152))"),"")</f>
        <v/>
      </c>
      <c r="Q1152" s="264" t="str">
        <f>IFERROR(__xludf.DUMMYFUNCTION("IFERROR(IF(F1152=""Crypto"",B1152,(IF(ISBLANK(D1152),"""",IF(D1152=""Cash"",B1152,IF(GOOGLEFINANCE(D1152,""CURRENCY"")=""GBX"",""GBP"",GOOGLEFINANCE(D1152,""CURRENCY"")))))),B1152)"),"")</f>
        <v/>
      </c>
      <c r="R1152" s="263" t="str">
        <f>IFERROR(__xludf.DUMMYFUNCTION("IF(ISBLANK(A1152),"""",IFERROR(IF(OR(Q1152=""GPB"",Q1152=""ZAR""),IF(Q1152=Dashboard!$L$1,K1152,(K1152*GOOGLEFINANCE(""CURRENCY:""&amp;Q1152&amp;""""&amp;Dashboard!$L$1&amp;""""))/100),IF(Q1152=Dashboard!$L$1,K1152,K1152*GOOGLEFINANCE(""CURRENCY:""&amp;Q1152&amp;""""&amp;Dashboard!$"&amp;"L$1&amp;""""))),K1152))"),"")</f>
        <v/>
      </c>
      <c r="S1152" s="266" t="str">
        <f>IFERROR(__xludf.DUMMYFUNCTION("IF(ISBLANK(A1152),"""",IFERROR(IF(OR(Q1152=""GPB"",Q1152=""ZAR""),IF(Q1152=Dashboard!$L$1,M1152,(M1152*GOOGLEFINANCE(""CURRENCY:""&amp;Q1152&amp;""""&amp;Dashboard!$L$1&amp;""""))/100),IF(Q1152=Dashboard!$L$1,M1152,M1152*GOOGLEFINANCE(""CURRENCY:""&amp;Q1152&amp;""""&amp;Dashboard!$"&amp;"L$1&amp;""""))),M1152))"),"")</f>
        <v/>
      </c>
      <c r="T1152" s="264" t="str">
        <f t="shared" si="4"/>
        <v/>
      </c>
      <c r="U1152" s="264" t="str">
        <f t="shared" si="5"/>
        <v/>
      </c>
      <c r="V1152" s="264" t="str">
        <f t="shared" si="6"/>
        <v/>
      </c>
      <c r="W1152" s="267" t="str">
        <f t="shared" si="8"/>
        <v/>
      </c>
      <c r="X1152" s="264" t="str">
        <f t="shared" si="7"/>
        <v/>
      </c>
    </row>
    <row r="1153" ht="15.75" customHeight="1">
      <c r="A1153" s="258"/>
      <c r="B1153" s="258"/>
      <c r="C1153" s="269"/>
      <c r="D1153" s="258"/>
      <c r="E1153" s="258"/>
      <c r="F1153" s="258"/>
      <c r="G1153" s="258"/>
      <c r="H1153" s="271"/>
      <c r="I1153" s="258"/>
      <c r="J1153" s="272"/>
      <c r="K1153" s="260"/>
      <c r="L1153" s="261"/>
      <c r="M1153" s="262" t="str">
        <f t="shared" si="1"/>
        <v/>
      </c>
      <c r="N1153" s="263" t="str">
        <f t="shared" si="2"/>
        <v/>
      </c>
      <c r="O1153" s="264" t="str">
        <f t="shared" si="3"/>
        <v/>
      </c>
      <c r="P1153" s="265" t="str">
        <f>IFERROR(__xludf.DUMMYFUNCTION("IF(ISBLANK(A1153),"""",IFERROR(IF(H1153=""Sell"",VLOOKUP(9^99,FILTER({ROW(P$2:P1152),P$2:P1152},D$2:D1152=D1153),2),(VLOOKUP(9^99,FILTER({ROW(P$2:P1152),P$2:P1152},D$2:D1152=D1153),2)*VLOOKUP(9^99,FILTER({ROW(O$2:O1152),O$2:O1152},D$2:D1152=D1153),2)-N115"&amp;"3)/O1153),J1153))"),"")</f>
        <v/>
      </c>
      <c r="Q1153" s="264" t="str">
        <f>IFERROR(__xludf.DUMMYFUNCTION("IFERROR(IF(F1153=""Crypto"",B1153,(IF(ISBLANK(D1153),"""",IF(D1153=""Cash"",B1153,IF(GOOGLEFINANCE(D1153,""CURRENCY"")=""GBX"",""GBP"",GOOGLEFINANCE(D1153,""CURRENCY"")))))),B1153)"),"")</f>
        <v/>
      </c>
      <c r="R1153" s="263" t="str">
        <f>IFERROR(__xludf.DUMMYFUNCTION("IF(ISBLANK(A1153),"""",IFERROR(IF(OR(Q1153=""GPB"",Q1153=""ZAR""),IF(Q1153=Dashboard!$L$1,K1153,(K1153*GOOGLEFINANCE(""CURRENCY:""&amp;Q1153&amp;""""&amp;Dashboard!$L$1&amp;""""))/100),IF(Q1153=Dashboard!$L$1,K1153,K1153*GOOGLEFINANCE(""CURRENCY:""&amp;Q1153&amp;""""&amp;Dashboard!$"&amp;"L$1&amp;""""))),K1153))"),"")</f>
        <v/>
      </c>
      <c r="S1153" s="266" t="str">
        <f>IFERROR(__xludf.DUMMYFUNCTION("IF(ISBLANK(A1153),"""",IFERROR(IF(OR(Q1153=""GPB"",Q1153=""ZAR""),IF(Q1153=Dashboard!$L$1,M1153,(M1153*GOOGLEFINANCE(""CURRENCY:""&amp;Q1153&amp;""""&amp;Dashboard!$L$1&amp;""""))/100),IF(Q1153=Dashboard!$L$1,M1153,M1153*GOOGLEFINANCE(""CURRENCY:""&amp;Q1153&amp;""""&amp;Dashboard!$"&amp;"L$1&amp;""""))),M1153))"),"")</f>
        <v/>
      </c>
      <c r="T1153" s="264" t="str">
        <f t="shared" si="4"/>
        <v/>
      </c>
      <c r="U1153" s="264" t="str">
        <f t="shared" si="5"/>
        <v/>
      </c>
      <c r="V1153" s="264" t="str">
        <f t="shared" si="6"/>
        <v/>
      </c>
      <c r="W1153" s="267" t="str">
        <f t="shared" si="8"/>
        <v/>
      </c>
      <c r="X1153" s="264" t="str">
        <f t="shared" si="7"/>
        <v/>
      </c>
    </row>
    <row r="1154" ht="15.75" customHeight="1">
      <c r="A1154" s="258"/>
      <c r="B1154" s="258"/>
      <c r="C1154" s="269"/>
      <c r="D1154" s="258"/>
      <c r="E1154" s="258"/>
      <c r="F1154" s="258"/>
      <c r="G1154" s="258"/>
      <c r="H1154" s="271"/>
      <c r="I1154" s="258"/>
      <c r="J1154" s="272"/>
      <c r="K1154" s="260"/>
      <c r="L1154" s="261"/>
      <c r="M1154" s="262" t="str">
        <f t="shared" si="1"/>
        <v/>
      </c>
      <c r="N1154" s="263" t="str">
        <f t="shared" si="2"/>
        <v/>
      </c>
      <c r="O1154" s="264" t="str">
        <f t="shared" si="3"/>
        <v/>
      </c>
      <c r="P1154" s="265" t="str">
        <f>IFERROR(__xludf.DUMMYFUNCTION("IF(ISBLANK(A1154),"""",IFERROR(IF(H1154=""Sell"",VLOOKUP(9^99,FILTER({ROW(P$2:P1153),P$2:P1153},D$2:D1153=D1154),2),(VLOOKUP(9^99,FILTER({ROW(P$2:P1153),P$2:P1153},D$2:D1153=D1154),2)*VLOOKUP(9^99,FILTER({ROW(O$2:O1153),O$2:O1153},D$2:D1153=D1154),2)-N115"&amp;"4)/O1154),J1154))"),"")</f>
        <v/>
      </c>
      <c r="Q1154" s="264" t="str">
        <f>IFERROR(__xludf.DUMMYFUNCTION("IFERROR(IF(F1154=""Crypto"",B1154,(IF(ISBLANK(D1154),"""",IF(D1154=""Cash"",B1154,IF(GOOGLEFINANCE(D1154,""CURRENCY"")=""GBX"",""GBP"",GOOGLEFINANCE(D1154,""CURRENCY"")))))),B1154)"),"")</f>
        <v/>
      </c>
      <c r="R1154" s="263" t="str">
        <f>IFERROR(__xludf.DUMMYFUNCTION("IF(ISBLANK(A1154),"""",IFERROR(IF(OR(Q1154=""GPB"",Q1154=""ZAR""),IF(Q1154=Dashboard!$L$1,K1154,(K1154*GOOGLEFINANCE(""CURRENCY:""&amp;Q1154&amp;""""&amp;Dashboard!$L$1&amp;""""))/100),IF(Q1154=Dashboard!$L$1,K1154,K1154*GOOGLEFINANCE(""CURRENCY:""&amp;Q1154&amp;""""&amp;Dashboard!$"&amp;"L$1&amp;""""))),K1154))"),"")</f>
        <v/>
      </c>
      <c r="S1154" s="266" t="str">
        <f>IFERROR(__xludf.DUMMYFUNCTION("IF(ISBLANK(A1154),"""",IFERROR(IF(OR(Q1154=""GPB"",Q1154=""ZAR""),IF(Q1154=Dashboard!$L$1,M1154,(M1154*GOOGLEFINANCE(""CURRENCY:""&amp;Q1154&amp;""""&amp;Dashboard!$L$1&amp;""""))/100),IF(Q1154=Dashboard!$L$1,M1154,M1154*GOOGLEFINANCE(""CURRENCY:""&amp;Q1154&amp;""""&amp;Dashboard!$"&amp;"L$1&amp;""""))),M1154))"),"")</f>
        <v/>
      </c>
      <c r="T1154" s="264" t="str">
        <f t="shared" si="4"/>
        <v/>
      </c>
      <c r="U1154" s="264" t="str">
        <f t="shared" si="5"/>
        <v/>
      </c>
      <c r="V1154" s="264" t="str">
        <f t="shared" si="6"/>
        <v/>
      </c>
      <c r="W1154" s="267" t="str">
        <f t="shared" si="8"/>
        <v/>
      </c>
      <c r="X1154" s="264" t="str">
        <f t="shared" si="7"/>
        <v/>
      </c>
    </row>
    <row r="1155" ht="15.75" customHeight="1">
      <c r="A1155" s="258"/>
      <c r="B1155" s="258"/>
      <c r="C1155" s="269"/>
      <c r="D1155" s="258"/>
      <c r="E1155" s="258"/>
      <c r="F1155" s="258"/>
      <c r="G1155" s="258"/>
      <c r="H1155" s="271"/>
      <c r="I1155" s="258"/>
      <c r="J1155" s="272"/>
      <c r="K1155" s="260"/>
      <c r="L1155" s="261"/>
      <c r="M1155" s="262" t="str">
        <f t="shared" si="1"/>
        <v/>
      </c>
      <c r="N1155" s="263" t="str">
        <f t="shared" si="2"/>
        <v/>
      </c>
      <c r="O1155" s="264" t="str">
        <f t="shared" si="3"/>
        <v/>
      </c>
      <c r="P1155" s="265" t="str">
        <f>IFERROR(__xludf.DUMMYFUNCTION("IF(ISBLANK(A1155),"""",IFERROR(IF(H1155=""Sell"",VLOOKUP(9^99,FILTER({ROW(P$2:P1154),P$2:P1154},D$2:D1154=D1155),2),(VLOOKUP(9^99,FILTER({ROW(P$2:P1154),P$2:P1154},D$2:D1154=D1155),2)*VLOOKUP(9^99,FILTER({ROW(O$2:O1154),O$2:O1154},D$2:D1154=D1155),2)-N115"&amp;"5)/O1155),J1155))"),"")</f>
        <v/>
      </c>
      <c r="Q1155" s="264" t="str">
        <f>IFERROR(__xludf.DUMMYFUNCTION("IFERROR(IF(F1155=""Crypto"",B1155,(IF(ISBLANK(D1155),"""",IF(D1155=""Cash"",B1155,IF(GOOGLEFINANCE(D1155,""CURRENCY"")=""GBX"",""GBP"",GOOGLEFINANCE(D1155,""CURRENCY"")))))),B1155)"),"")</f>
        <v/>
      </c>
      <c r="R1155" s="263" t="str">
        <f>IFERROR(__xludf.DUMMYFUNCTION("IF(ISBLANK(A1155),"""",IFERROR(IF(OR(Q1155=""GPB"",Q1155=""ZAR""),IF(Q1155=Dashboard!$L$1,K1155,(K1155*GOOGLEFINANCE(""CURRENCY:""&amp;Q1155&amp;""""&amp;Dashboard!$L$1&amp;""""))/100),IF(Q1155=Dashboard!$L$1,K1155,K1155*GOOGLEFINANCE(""CURRENCY:""&amp;Q1155&amp;""""&amp;Dashboard!$"&amp;"L$1&amp;""""))),K1155))"),"")</f>
        <v/>
      </c>
      <c r="S1155" s="266" t="str">
        <f>IFERROR(__xludf.DUMMYFUNCTION("IF(ISBLANK(A1155),"""",IFERROR(IF(OR(Q1155=""GPB"",Q1155=""ZAR""),IF(Q1155=Dashboard!$L$1,M1155,(M1155*GOOGLEFINANCE(""CURRENCY:""&amp;Q1155&amp;""""&amp;Dashboard!$L$1&amp;""""))/100),IF(Q1155=Dashboard!$L$1,M1155,M1155*GOOGLEFINANCE(""CURRENCY:""&amp;Q1155&amp;""""&amp;Dashboard!$"&amp;"L$1&amp;""""))),M1155))"),"")</f>
        <v/>
      </c>
      <c r="T1155" s="264" t="str">
        <f t="shared" si="4"/>
        <v/>
      </c>
      <c r="U1155" s="264" t="str">
        <f t="shared" si="5"/>
        <v/>
      </c>
      <c r="V1155" s="264" t="str">
        <f t="shared" si="6"/>
        <v/>
      </c>
      <c r="W1155" s="267" t="str">
        <f t="shared" si="8"/>
        <v/>
      </c>
      <c r="X1155" s="264" t="str">
        <f t="shared" si="7"/>
        <v/>
      </c>
    </row>
    <row r="1156" ht="15.75" customHeight="1">
      <c r="A1156" s="258"/>
      <c r="B1156" s="258"/>
      <c r="C1156" s="269"/>
      <c r="D1156" s="258"/>
      <c r="E1156" s="258"/>
      <c r="F1156" s="258"/>
      <c r="G1156" s="258"/>
      <c r="H1156" s="271"/>
      <c r="I1156" s="258"/>
      <c r="J1156" s="272"/>
      <c r="K1156" s="260"/>
      <c r="L1156" s="261"/>
      <c r="M1156" s="262" t="str">
        <f t="shared" si="1"/>
        <v/>
      </c>
      <c r="N1156" s="263" t="str">
        <f t="shared" si="2"/>
        <v/>
      </c>
      <c r="O1156" s="264" t="str">
        <f t="shared" si="3"/>
        <v/>
      </c>
      <c r="P1156" s="265" t="str">
        <f>IFERROR(__xludf.DUMMYFUNCTION("IF(ISBLANK(A1156),"""",IFERROR(IF(H1156=""Sell"",VLOOKUP(9^99,FILTER({ROW(P$2:P1155),P$2:P1155},D$2:D1155=D1156),2),(VLOOKUP(9^99,FILTER({ROW(P$2:P1155),P$2:P1155},D$2:D1155=D1156),2)*VLOOKUP(9^99,FILTER({ROW(O$2:O1155),O$2:O1155},D$2:D1155=D1156),2)-N115"&amp;"6)/O1156),J1156))"),"")</f>
        <v/>
      </c>
      <c r="Q1156" s="264" t="str">
        <f>IFERROR(__xludf.DUMMYFUNCTION("IFERROR(IF(F1156=""Crypto"",B1156,(IF(ISBLANK(D1156),"""",IF(D1156=""Cash"",B1156,IF(GOOGLEFINANCE(D1156,""CURRENCY"")=""GBX"",""GBP"",GOOGLEFINANCE(D1156,""CURRENCY"")))))),B1156)"),"")</f>
        <v/>
      </c>
      <c r="R1156" s="263" t="str">
        <f>IFERROR(__xludf.DUMMYFUNCTION("IF(ISBLANK(A1156),"""",IFERROR(IF(OR(Q1156=""GPB"",Q1156=""ZAR""),IF(Q1156=Dashboard!$L$1,K1156,(K1156*GOOGLEFINANCE(""CURRENCY:""&amp;Q1156&amp;""""&amp;Dashboard!$L$1&amp;""""))/100),IF(Q1156=Dashboard!$L$1,K1156,K1156*GOOGLEFINANCE(""CURRENCY:""&amp;Q1156&amp;""""&amp;Dashboard!$"&amp;"L$1&amp;""""))),K1156))"),"")</f>
        <v/>
      </c>
      <c r="S1156" s="266" t="str">
        <f>IFERROR(__xludf.DUMMYFUNCTION("IF(ISBLANK(A1156),"""",IFERROR(IF(OR(Q1156=""GPB"",Q1156=""ZAR""),IF(Q1156=Dashboard!$L$1,M1156,(M1156*GOOGLEFINANCE(""CURRENCY:""&amp;Q1156&amp;""""&amp;Dashboard!$L$1&amp;""""))/100),IF(Q1156=Dashboard!$L$1,M1156,M1156*GOOGLEFINANCE(""CURRENCY:""&amp;Q1156&amp;""""&amp;Dashboard!$"&amp;"L$1&amp;""""))),M1156))"),"")</f>
        <v/>
      </c>
      <c r="T1156" s="264" t="str">
        <f t="shared" si="4"/>
        <v/>
      </c>
      <c r="U1156" s="264" t="str">
        <f t="shared" si="5"/>
        <v/>
      </c>
      <c r="V1156" s="264" t="str">
        <f t="shared" si="6"/>
        <v/>
      </c>
      <c r="W1156" s="267" t="str">
        <f t="shared" si="8"/>
        <v/>
      </c>
      <c r="X1156" s="264" t="str">
        <f t="shared" si="7"/>
        <v/>
      </c>
    </row>
    <row r="1157" ht="15.75" customHeight="1">
      <c r="A1157" s="258"/>
      <c r="B1157" s="258"/>
      <c r="C1157" s="269"/>
      <c r="D1157" s="258"/>
      <c r="E1157" s="258"/>
      <c r="F1157" s="258"/>
      <c r="G1157" s="258"/>
      <c r="H1157" s="271"/>
      <c r="I1157" s="258"/>
      <c r="J1157" s="272"/>
      <c r="K1157" s="260"/>
      <c r="L1157" s="261"/>
      <c r="M1157" s="262" t="str">
        <f t="shared" si="1"/>
        <v/>
      </c>
      <c r="N1157" s="263" t="str">
        <f t="shared" si="2"/>
        <v/>
      </c>
      <c r="O1157" s="264" t="str">
        <f t="shared" si="3"/>
        <v/>
      </c>
      <c r="P1157" s="265" t="str">
        <f>IFERROR(__xludf.DUMMYFUNCTION("IF(ISBLANK(A1157),"""",IFERROR(IF(H1157=""Sell"",VLOOKUP(9^99,FILTER({ROW(P$2:P1156),P$2:P1156},D$2:D1156=D1157),2),(VLOOKUP(9^99,FILTER({ROW(P$2:P1156),P$2:P1156},D$2:D1156=D1157),2)*VLOOKUP(9^99,FILTER({ROW(O$2:O1156),O$2:O1156},D$2:D1156=D1157),2)-N115"&amp;"7)/O1157),J1157))"),"")</f>
        <v/>
      </c>
      <c r="Q1157" s="264" t="str">
        <f>IFERROR(__xludf.DUMMYFUNCTION("IFERROR(IF(F1157=""Crypto"",B1157,(IF(ISBLANK(D1157),"""",IF(D1157=""Cash"",B1157,IF(GOOGLEFINANCE(D1157,""CURRENCY"")=""GBX"",""GBP"",GOOGLEFINANCE(D1157,""CURRENCY"")))))),B1157)"),"")</f>
        <v/>
      </c>
      <c r="R1157" s="263" t="str">
        <f>IFERROR(__xludf.DUMMYFUNCTION("IF(ISBLANK(A1157),"""",IFERROR(IF(OR(Q1157=""GPB"",Q1157=""ZAR""),IF(Q1157=Dashboard!$L$1,K1157,(K1157*GOOGLEFINANCE(""CURRENCY:""&amp;Q1157&amp;""""&amp;Dashboard!$L$1&amp;""""))/100),IF(Q1157=Dashboard!$L$1,K1157,K1157*GOOGLEFINANCE(""CURRENCY:""&amp;Q1157&amp;""""&amp;Dashboard!$"&amp;"L$1&amp;""""))),K1157))"),"")</f>
        <v/>
      </c>
      <c r="S1157" s="266" t="str">
        <f>IFERROR(__xludf.DUMMYFUNCTION("IF(ISBLANK(A1157),"""",IFERROR(IF(OR(Q1157=""GPB"",Q1157=""ZAR""),IF(Q1157=Dashboard!$L$1,M1157,(M1157*GOOGLEFINANCE(""CURRENCY:""&amp;Q1157&amp;""""&amp;Dashboard!$L$1&amp;""""))/100),IF(Q1157=Dashboard!$L$1,M1157,M1157*GOOGLEFINANCE(""CURRENCY:""&amp;Q1157&amp;""""&amp;Dashboard!$"&amp;"L$1&amp;""""))),M1157))"),"")</f>
        <v/>
      </c>
      <c r="T1157" s="264" t="str">
        <f t="shared" si="4"/>
        <v/>
      </c>
      <c r="U1157" s="264" t="str">
        <f t="shared" si="5"/>
        <v/>
      </c>
      <c r="V1157" s="264" t="str">
        <f t="shared" si="6"/>
        <v/>
      </c>
      <c r="W1157" s="267" t="str">
        <f t="shared" si="8"/>
        <v/>
      </c>
      <c r="X1157" s="264" t="str">
        <f t="shared" si="7"/>
        <v/>
      </c>
    </row>
    <row r="1158" ht="15.75" customHeight="1">
      <c r="A1158" s="258"/>
      <c r="B1158" s="258"/>
      <c r="C1158" s="269"/>
      <c r="D1158" s="258"/>
      <c r="E1158" s="258"/>
      <c r="F1158" s="258"/>
      <c r="G1158" s="258"/>
      <c r="H1158" s="271"/>
      <c r="I1158" s="258"/>
      <c r="J1158" s="272"/>
      <c r="K1158" s="260"/>
      <c r="L1158" s="261"/>
      <c r="M1158" s="262" t="str">
        <f t="shared" si="1"/>
        <v/>
      </c>
      <c r="N1158" s="263" t="str">
        <f t="shared" si="2"/>
        <v/>
      </c>
      <c r="O1158" s="264" t="str">
        <f t="shared" si="3"/>
        <v/>
      </c>
      <c r="P1158" s="265" t="str">
        <f>IFERROR(__xludf.DUMMYFUNCTION("IF(ISBLANK(A1158),"""",IFERROR(IF(H1158=""Sell"",VLOOKUP(9^99,FILTER({ROW(P$2:P1157),P$2:P1157},D$2:D1157=D1158),2),(VLOOKUP(9^99,FILTER({ROW(P$2:P1157),P$2:P1157},D$2:D1157=D1158),2)*VLOOKUP(9^99,FILTER({ROW(O$2:O1157),O$2:O1157},D$2:D1157=D1158),2)-N115"&amp;"8)/O1158),J1158))"),"")</f>
        <v/>
      </c>
      <c r="Q1158" s="264" t="str">
        <f>IFERROR(__xludf.DUMMYFUNCTION("IFERROR(IF(F1158=""Crypto"",B1158,(IF(ISBLANK(D1158),"""",IF(D1158=""Cash"",B1158,IF(GOOGLEFINANCE(D1158,""CURRENCY"")=""GBX"",""GBP"",GOOGLEFINANCE(D1158,""CURRENCY"")))))),B1158)"),"")</f>
        <v/>
      </c>
      <c r="R1158" s="263" t="str">
        <f>IFERROR(__xludf.DUMMYFUNCTION("IF(ISBLANK(A1158),"""",IFERROR(IF(OR(Q1158=""GPB"",Q1158=""ZAR""),IF(Q1158=Dashboard!$L$1,K1158,(K1158*GOOGLEFINANCE(""CURRENCY:""&amp;Q1158&amp;""""&amp;Dashboard!$L$1&amp;""""))/100),IF(Q1158=Dashboard!$L$1,K1158,K1158*GOOGLEFINANCE(""CURRENCY:""&amp;Q1158&amp;""""&amp;Dashboard!$"&amp;"L$1&amp;""""))),K1158))"),"")</f>
        <v/>
      </c>
      <c r="S1158" s="266" t="str">
        <f>IFERROR(__xludf.DUMMYFUNCTION("IF(ISBLANK(A1158),"""",IFERROR(IF(OR(Q1158=""GPB"",Q1158=""ZAR""),IF(Q1158=Dashboard!$L$1,M1158,(M1158*GOOGLEFINANCE(""CURRENCY:""&amp;Q1158&amp;""""&amp;Dashboard!$L$1&amp;""""))/100),IF(Q1158=Dashboard!$L$1,M1158,M1158*GOOGLEFINANCE(""CURRENCY:""&amp;Q1158&amp;""""&amp;Dashboard!$"&amp;"L$1&amp;""""))),M1158))"),"")</f>
        <v/>
      </c>
      <c r="T1158" s="264" t="str">
        <f t="shared" si="4"/>
        <v/>
      </c>
      <c r="U1158" s="264" t="str">
        <f t="shared" si="5"/>
        <v/>
      </c>
      <c r="V1158" s="264" t="str">
        <f t="shared" si="6"/>
        <v/>
      </c>
      <c r="W1158" s="267" t="str">
        <f t="shared" si="8"/>
        <v/>
      </c>
      <c r="X1158" s="264" t="str">
        <f t="shared" si="7"/>
        <v/>
      </c>
    </row>
    <row r="1159" ht="15.75" customHeight="1">
      <c r="A1159" s="258"/>
      <c r="B1159" s="258"/>
      <c r="C1159" s="269"/>
      <c r="D1159" s="258"/>
      <c r="E1159" s="258"/>
      <c r="F1159" s="258"/>
      <c r="G1159" s="258"/>
      <c r="H1159" s="271"/>
      <c r="I1159" s="258"/>
      <c r="J1159" s="272"/>
      <c r="K1159" s="260"/>
      <c r="L1159" s="261"/>
      <c r="M1159" s="262" t="str">
        <f t="shared" si="1"/>
        <v/>
      </c>
      <c r="N1159" s="263" t="str">
        <f t="shared" si="2"/>
        <v/>
      </c>
      <c r="O1159" s="264" t="str">
        <f t="shared" si="3"/>
        <v/>
      </c>
      <c r="P1159" s="265" t="str">
        <f>IFERROR(__xludf.DUMMYFUNCTION("IF(ISBLANK(A1159),"""",IFERROR(IF(H1159=""Sell"",VLOOKUP(9^99,FILTER({ROW(P$2:P1158),P$2:P1158},D$2:D1158=D1159),2),(VLOOKUP(9^99,FILTER({ROW(P$2:P1158),P$2:P1158},D$2:D1158=D1159),2)*VLOOKUP(9^99,FILTER({ROW(O$2:O1158),O$2:O1158},D$2:D1158=D1159),2)-N115"&amp;"9)/O1159),J1159))"),"")</f>
        <v/>
      </c>
      <c r="Q1159" s="264" t="str">
        <f>IFERROR(__xludf.DUMMYFUNCTION("IFERROR(IF(F1159=""Crypto"",B1159,(IF(ISBLANK(D1159),"""",IF(D1159=""Cash"",B1159,IF(GOOGLEFINANCE(D1159,""CURRENCY"")=""GBX"",""GBP"",GOOGLEFINANCE(D1159,""CURRENCY"")))))),B1159)"),"")</f>
        <v/>
      </c>
      <c r="R1159" s="263" t="str">
        <f>IFERROR(__xludf.DUMMYFUNCTION("IF(ISBLANK(A1159),"""",IFERROR(IF(OR(Q1159=""GPB"",Q1159=""ZAR""),IF(Q1159=Dashboard!$L$1,K1159,(K1159*GOOGLEFINANCE(""CURRENCY:""&amp;Q1159&amp;""""&amp;Dashboard!$L$1&amp;""""))/100),IF(Q1159=Dashboard!$L$1,K1159,K1159*GOOGLEFINANCE(""CURRENCY:""&amp;Q1159&amp;""""&amp;Dashboard!$"&amp;"L$1&amp;""""))),K1159))"),"")</f>
        <v/>
      </c>
      <c r="S1159" s="266" t="str">
        <f>IFERROR(__xludf.DUMMYFUNCTION("IF(ISBLANK(A1159),"""",IFERROR(IF(OR(Q1159=""GPB"",Q1159=""ZAR""),IF(Q1159=Dashboard!$L$1,M1159,(M1159*GOOGLEFINANCE(""CURRENCY:""&amp;Q1159&amp;""""&amp;Dashboard!$L$1&amp;""""))/100),IF(Q1159=Dashboard!$L$1,M1159,M1159*GOOGLEFINANCE(""CURRENCY:""&amp;Q1159&amp;""""&amp;Dashboard!$"&amp;"L$1&amp;""""))),M1159))"),"")</f>
        <v/>
      </c>
      <c r="T1159" s="264" t="str">
        <f t="shared" si="4"/>
        <v/>
      </c>
      <c r="U1159" s="264" t="str">
        <f t="shared" si="5"/>
        <v/>
      </c>
      <c r="V1159" s="264" t="str">
        <f t="shared" si="6"/>
        <v/>
      </c>
      <c r="W1159" s="267" t="str">
        <f t="shared" si="8"/>
        <v/>
      </c>
      <c r="X1159" s="264" t="str">
        <f t="shared" si="7"/>
        <v/>
      </c>
    </row>
    <row r="1160" ht="15.75" customHeight="1">
      <c r="A1160" s="258"/>
      <c r="B1160" s="258"/>
      <c r="C1160" s="269"/>
      <c r="D1160" s="258"/>
      <c r="E1160" s="258"/>
      <c r="F1160" s="258"/>
      <c r="G1160" s="258"/>
      <c r="H1160" s="271"/>
      <c r="I1160" s="258"/>
      <c r="J1160" s="272"/>
      <c r="K1160" s="260"/>
      <c r="L1160" s="261"/>
      <c r="M1160" s="262" t="str">
        <f t="shared" si="1"/>
        <v/>
      </c>
      <c r="N1160" s="263" t="str">
        <f t="shared" si="2"/>
        <v/>
      </c>
      <c r="O1160" s="264" t="str">
        <f t="shared" si="3"/>
        <v/>
      </c>
      <c r="P1160" s="265" t="str">
        <f>IFERROR(__xludf.DUMMYFUNCTION("IF(ISBLANK(A1160),"""",IFERROR(IF(H1160=""Sell"",VLOOKUP(9^99,FILTER({ROW(P$2:P1159),P$2:P1159},D$2:D1159=D1160),2),(VLOOKUP(9^99,FILTER({ROW(P$2:P1159),P$2:P1159},D$2:D1159=D1160),2)*VLOOKUP(9^99,FILTER({ROW(O$2:O1159),O$2:O1159},D$2:D1159=D1160),2)-N116"&amp;"0)/O1160),J1160))"),"")</f>
        <v/>
      </c>
      <c r="Q1160" s="264" t="str">
        <f>IFERROR(__xludf.DUMMYFUNCTION("IFERROR(IF(F1160=""Crypto"",B1160,(IF(ISBLANK(D1160),"""",IF(D1160=""Cash"",B1160,IF(GOOGLEFINANCE(D1160,""CURRENCY"")=""GBX"",""GBP"",GOOGLEFINANCE(D1160,""CURRENCY"")))))),B1160)"),"")</f>
        <v/>
      </c>
      <c r="R1160" s="263" t="str">
        <f>IFERROR(__xludf.DUMMYFUNCTION("IF(ISBLANK(A1160),"""",IFERROR(IF(OR(Q1160=""GPB"",Q1160=""ZAR""),IF(Q1160=Dashboard!$L$1,K1160,(K1160*GOOGLEFINANCE(""CURRENCY:""&amp;Q1160&amp;""""&amp;Dashboard!$L$1&amp;""""))/100),IF(Q1160=Dashboard!$L$1,K1160,K1160*GOOGLEFINANCE(""CURRENCY:""&amp;Q1160&amp;""""&amp;Dashboard!$"&amp;"L$1&amp;""""))),K1160))"),"")</f>
        <v/>
      </c>
      <c r="S1160" s="266" t="str">
        <f>IFERROR(__xludf.DUMMYFUNCTION("IF(ISBLANK(A1160),"""",IFERROR(IF(OR(Q1160=""GPB"",Q1160=""ZAR""),IF(Q1160=Dashboard!$L$1,M1160,(M1160*GOOGLEFINANCE(""CURRENCY:""&amp;Q1160&amp;""""&amp;Dashboard!$L$1&amp;""""))/100),IF(Q1160=Dashboard!$L$1,M1160,M1160*GOOGLEFINANCE(""CURRENCY:""&amp;Q1160&amp;""""&amp;Dashboard!$"&amp;"L$1&amp;""""))),M1160))"),"")</f>
        <v/>
      </c>
      <c r="T1160" s="264" t="str">
        <f t="shared" si="4"/>
        <v/>
      </c>
      <c r="U1160" s="264" t="str">
        <f t="shared" si="5"/>
        <v/>
      </c>
      <c r="V1160" s="264" t="str">
        <f t="shared" si="6"/>
        <v/>
      </c>
      <c r="W1160" s="267" t="str">
        <f t="shared" si="8"/>
        <v/>
      </c>
      <c r="X1160" s="264" t="str">
        <f t="shared" si="7"/>
        <v/>
      </c>
    </row>
    <row r="1161" ht="15.75" customHeight="1">
      <c r="A1161" s="258"/>
      <c r="B1161" s="258"/>
      <c r="C1161" s="269"/>
      <c r="D1161" s="258"/>
      <c r="E1161" s="258"/>
      <c r="F1161" s="258"/>
      <c r="G1161" s="258"/>
      <c r="H1161" s="271"/>
      <c r="I1161" s="258"/>
      <c r="J1161" s="272"/>
      <c r="K1161" s="260"/>
      <c r="L1161" s="261"/>
      <c r="M1161" s="262" t="str">
        <f t="shared" si="1"/>
        <v/>
      </c>
      <c r="N1161" s="263" t="str">
        <f t="shared" si="2"/>
        <v/>
      </c>
      <c r="O1161" s="264" t="str">
        <f t="shared" si="3"/>
        <v/>
      </c>
      <c r="P1161" s="265" t="str">
        <f>IFERROR(__xludf.DUMMYFUNCTION("IF(ISBLANK(A1161),"""",IFERROR(IF(H1161=""Sell"",VLOOKUP(9^99,FILTER({ROW(P$2:P1160),P$2:P1160},D$2:D1160=D1161),2),(VLOOKUP(9^99,FILTER({ROW(P$2:P1160),P$2:P1160},D$2:D1160=D1161),2)*VLOOKUP(9^99,FILTER({ROW(O$2:O1160),O$2:O1160},D$2:D1160=D1161),2)-N116"&amp;"1)/O1161),J1161))"),"")</f>
        <v/>
      </c>
      <c r="Q1161" s="264" t="str">
        <f>IFERROR(__xludf.DUMMYFUNCTION("IFERROR(IF(F1161=""Crypto"",B1161,(IF(ISBLANK(D1161),"""",IF(D1161=""Cash"",B1161,IF(GOOGLEFINANCE(D1161,""CURRENCY"")=""GBX"",""GBP"",GOOGLEFINANCE(D1161,""CURRENCY"")))))),B1161)"),"")</f>
        <v/>
      </c>
      <c r="R1161" s="263" t="str">
        <f>IFERROR(__xludf.DUMMYFUNCTION("IF(ISBLANK(A1161),"""",IFERROR(IF(OR(Q1161=""GPB"",Q1161=""ZAR""),IF(Q1161=Dashboard!$L$1,K1161,(K1161*GOOGLEFINANCE(""CURRENCY:""&amp;Q1161&amp;""""&amp;Dashboard!$L$1&amp;""""))/100),IF(Q1161=Dashboard!$L$1,K1161,K1161*GOOGLEFINANCE(""CURRENCY:""&amp;Q1161&amp;""""&amp;Dashboard!$"&amp;"L$1&amp;""""))),K1161))"),"")</f>
        <v/>
      </c>
      <c r="S1161" s="266" t="str">
        <f>IFERROR(__xludf.DUMMYFUNCTION("IF(ISBLANK(A1161),"""",IFERROR(IF(OR(Q1161=""GPB"",Q1161=""ZAR""),IF(Q1161=Dashboard!$L$1,M1161,(M1161*GOOGLEFINANCE(""CURRENCY:""&amp;Q1161&amp;""""&amp;Dashboard!$L$1&amp;""""))/100),IF(Q1161=Dashboard!$L$1,M1161,M1161*GOOGLEFINANCE(""CURRENCY:""&amp;Q1161&amp;""""&amp;Dashboard!$"&amp;"L$1&amp;""""))),M1161))"),"")</f>
        <v/>
      </c>
      <c r="T1161" s="264" t="str">
        <f t="shared" si="4"/>
        <v/>
      </c>
      <c r="U1161" s="264" t="str">
        <f t="shared" si="5"/>
        <v/>
      </c>
      <c r="V1161" s="264" t="str">
        <f t="shared" si="6"/>
        <v/>
      </c>
      <c r="W1161" s="267" t="str">
        <f t="shared" si="8"/>
        <v/>
      </c>
      <c r="X1161" s="264" t="str">
        <f t="shared" si="7"/>
        <v/>
      </c>
    </row>
    <row r="1162" ht="15.75" customHeight="1">
      <c r="A1162" s="258"/>
      <c r="B1162" s="258"/>
      <c r="C1162" s="269"/>
      <c r="D1162" s="258"/>
      <c r="E1162" s="258"/>
      <c r="F1162" s="258"/>
      <c r="G1162" s="258"/>
      <c r="H1162" s="271"/>
      <c r="I1162" s="258"/>
      <c r="J1162" s="272"/>
      <c r="K1162" s="260"/>
      <c r="L1162" s="261"/>
      <c r="M1162" s="262" t="str">
        <f t="shared" si="1"/>
        <v/>
      </c>
      <c r="N1162" s="263" t="str">
        <f t="shared" si="2"/>
        <v/>
      </c>
      <c r="O1162" s="264" t="str">
        <f t="shared" si="3"/>
        <v/>
      </c>
      <c r="P1162" s="265" t="str">
        <f>IFERROR(__xludf.DUMMYFUNCTION("IF(ISBLANK(A1162),"""",IFERROR(IF(H1162=""Sell"",VLOOKUP(9^99,FILTER({ROW(P$2:P1161),P$2:P1161},D$2:D1161=D1162),2),(VLOOKUP(9^99,FILTER({ROW(P$2:P1161),P$2:P1161},D$2:D1161=D1162),2)*VLOOKUP(9^99,FILTER({ROW(O$2:O1161),O$2:O1161},D$2:D1161=D1162),2)-N116"&amp;"2)/O1162),J1162))"),"")</f>
        <v/>
      </c>
      <c r="Q1162" s="264" t="str">
        <f>IFERROR(__xludf.DUMMYFUNCTION("IFERROR(IF(F1162=""Crypto"",B1162,(IF(ISBLANK(D1162),"""",IF(D1162=""Cash"",B1162,IF(GOOGLEFINANCE(D1162,""CURRENCY"")=""GBX"",""GBP"",GOOGLEFINANCE(D1162,""CURRENCY"")))))),B1162)"),"")</f>
        <v/>
      </c>
      <c r="R1162" s="263" t="str">
        <f>IFERROR(__xludf.DUMMYFUNCTION("IF(ISBLANK(A1162),"""",IFERROR(IF(OR(Q1162=""GPB"",Q1162=""ZAR""),IF(Q1162=Dashboard!$L$1,K1162,(K1162*GOOGLEFINANCE(""CURRENCY:""&amp;Q1162&amp;""""&amp;Dashboard!$L$1&amp;""""))/100),IF(Q1162=Dashboard!$L$1,K1162,K1162*GOOGLEFINANCE(""CURRENCY:""&amp;Q1162&amp;""""&amp;Dashboard!$"&amp;"L$1&amp;""""))),K1162))"),"")</f>
        <v/>
      </c>
      <c r="S1162" s="266" t="str">
        <f>IFERROR(__xludf.DUMMYFUNCTION("IF(ISBLANK(A1162),"""",IFERROR(IF(OR(Q1162=""GPB"",Q1162=""ZAR""),IF(Q1162=Dashboard!$L$1,M1162,(M1162*GOOGLEFINANCE(""CURRENCY:""&amp;Q1162&amp;""""&amp;Dashboard!$L$1&amp;""""))/100),IF(Q1162=Dashboard!$L$1,M1162,M1162*GOOGLEFINANCE(""CURRENCY:""&amp;Q1162&amp;""""&amp;Dashboard!$"&amp;"L$1&amp;""""))),M1162))"),"")</f>
        <v/>
      </c>
      <c r="T1162" s="264" t="str">
        <f t="shared" si="4"/>
        <v/>
      </c>
      <c r="U1162" s="264" t="str">
        <f t="shared" si="5"/>
        <v/>
      </c>
      <c r="V1162" s="264" t="str">
        <f t="shared" si="6"/>
        <v/>
      </c>
      <c r="W1162" s="267" t="str">
        <f t="shared" si="8"/>
        <v/>
      </c>
      <c r="X1162" s="264" t="str">
        <f t="shared" si="7"/>
        <v/>
      </c>
    </row>
    <row r="1163" ht="15.75" customHeight="1">
      <c r="A1163" s="258"/>
      <c r="B1163" s="258"/>
      <c r="C1163" s="269"/>
      <c r="D1163" s="258"/>
      <c r="E1163" s="258"/>
      <c r="F1163" s="258"/>
      <c r="G1163" s="258"/>
      <c r="H1163" s="271"/>
      <c r="I1163" s="258"/>
      <c r="J1163" s="272"/>
      <c r="K1163" s="260"/>
      <c r="L1163" s="261"/>
      <c r="M1163" s="262" t="str">
        <f t="shared" si="1"/>
        <v/>
      </c>
      <c r="N1163" s="263" t="str">
        <f t="shared" si="2"/>
        <v/>
      </c>
      <c r="O1163" s="264" t="str">
        <f t="shared" si="3"/>
        <v/>
      </c>
      <c r="P1163" s="265" t="str">
        <f>IFERROR(__xludf.DUMMYFUNCTION("IF(ISBLANK(A1163),"""",IFERROR(IF(H1163=""Sell"",VLOOKUP(9^99,FILTER({ROW(P$2:P1162),P$2:P1162},D$2:D1162=D1163),2),(VLOOKUP(9^99,FILTER({ROW(P$2:P1162),P$2:P1162},D$2:D1162=D1163),2)*VLOOKUP(9^99,FILTER({ROW(O$2:O1162),O$2:O1162},D$2:D1162=D1163),2)-N116"&amp;"3)/O1163),J1163))"),"")</f>
        <v/>
      </c>
      <c r="Q1163" s="264" t="str">
        <f>IFERROR(__xludf.DUMMYFUNCTION("IFERROR(IF(F1163=""Crypto"",B1163,(IF(ISBLANK(D1163),"""",IF(D1163=""Cash"",B1163,IF(GOOGLEFINANCE(D1163,""CURRENCY"")=""GBX"",""GBP"",GOOGLEFINANCE(D1163,""CURRENCY"")))))),B1163)"),"")</f>
        <v/>
      </c>
      <c r="R1163" s="263" t="str">
        <f>IFERROR(__xludf.DUMMYFUNCTION("IF(ISBLANK(A1163),"""",IFERROR(IF(OR(Q1163=""GPB"",Q1163=""ZAR""),IF(Q1163=Dashboard!$L$1,K1163,(K1163*GOOGLEFINANCE(""CURRENCY:""&amp;Q1163&amp;""""&amp;Dashboard!$L$1&amp;""""))/100),IF(Q1163=Dashboard!$L$1,K1163,K1163*GOOGLEFINANCE(""CURRENCY:""&amp;Q1163&amp;""""&amp;Dashboard!$"&amp;"L$1&amp;""""))),K1163))"),"")</f>
        <v/>
      </c>
      <c r="S1163" s="266" t="str">
        <f>IFERROR(__xludf.DUMMYFUNCTION("IF(ISBLANK(A1163),"""",IFERROR(IF(OR(Q1163=""GPB"",Q1163=""ZAR""),IF(Q1163=Dashboard!$L$1,M1163,(M1163*GOOGLEFINANCE(""CURRENCY:""&amp;Q1163&amp;""""&amp;Dashboard!$L$1&amp;""""))/100),IF(Q1163=Dashboard!$L$1,M1163,M1163*GOOGLEFINANCE(""CURRENCY:""&amp;Q1163&amp;""""&amp;Dashboard!$"&amp;"L$1&amp;""""))),M1163))"),"")</f>
        <v/>
      </c>
      <c r="T1163" s="264" t="str">
        <f t="shared" si="4"/>
        <v/>
      </c>
      <c r="U1163" s="264" t="str">
        <f t="shared" si="5"/>
        <v/>
      </c>
      <c r="V1163" s="264" t="str">
        <f t="shared" si="6"/>
        <v/>
      </c>
      <c r="W1163" s="267" t="str">
        <f t="shared" si="8"/>
        <v/>
      </c>
      <c r="X1163" s="264" t="str">
        <f t="shared" si="7"/>
        <v/>
      </c>
    </row>
    <row r="1164" ht="15.75" customHeight="1">
      <c r="A1164" s="258"/>
      <c r="B1164" s="258"/>
      <c r="C1164" s="269"/>
      <c r="D1164" s="258"/>
      <c r="E1164" s="258"/>
      <c r="F1164" s="258"/>
      <c r="G1164" s="258"/>
      <c r="H1164" s="271"/>
      <c r="I1164" s="258"/>
      <c r="J1164" s="272"/>
      <c r="K1164" s="260"/>
      <c r="L1164" s="261"/>
      <c r="M1164" s="262" t="str">
        <f t="shared" si="1"/>
        <v/>
      </c>
      <c r="N1164" s="263" t="str">
        <f t="shared" si="2"/>
        <v/>
      </c>
      <c r="O1164" s="264" t="str">
        <f t="shared" si="3"/>
        <v/>
      </c>
      <c r="P1164" s="265" t="str">
        <f>IFERROR(__xludf.DUMMYFUNCTION("IF(ISBLANK(A1164),"""",IFERROR(IF(H1164=""Sell"",VLOOKUP(9^99,FILTER({ROW(P$2:P1163),P$2:P1163},D$2:D1163=D1164),2),(VLOOKUP(9^99,FILTER({ROW(P$2:P1163),P$2:P1163},D$2:D1163=D1164),2)*VLOOKUP(9^99,FILTER({ROW(O$2:O1163),O$2:O1163},D$2:D1163=D1164),2)-N116"&amp;"4)/O1164),J1164))"),"")</f>
        <v/>
      </c>
      <c r="Q1164" s="264" t="str">
        <f>IFERROR(__xludf.DUMMYFUNCTION("IFERROR(IF(F1164=""Crypto"",B1164,(IF(ISBLANK(D1164),"""",IF(D1164=""Cash"",B1164,IF(GOOGLEFINANCE(D1164,""CURRENCY"")=""GBX"",""GBP"",GOOGLEFINANCE(D1164,""CURRENCY"")))))),B1164)"),"")</f>
        <v/>
      </c>
      <c r="R1164" s="263" t="str">
        <f>IFERROR(__xludf.DUMMYFUNCTION("IF(ISBLANK(A1164),"""",IFERROR(IF(OR(Q1164=""GPB"",Q1164=""ZAR""),IF(Q1164=Dashboard!$L$1,K1164,(K1164*GOOGLEFINANCE(""CURRENCY:""&amp;Q1164&amp;""""&amp;Dashboard!$L$1&amp;""""))/100),IF(Q1164=Dashboard!$L$1,K1164,K1164*GOOGLEFINANCE(""CURRENCY:""&amp;Q1164&amp;""""&amp;Dashboard!$"&amp;"L$1&amp;""""))),K1164))"),"")</f>
        <v/>
      </c>
      <c r="S1164" s="266" t="str">
        <f>IFERROR(__xludf.DUMMYFUNCTION("IF(ISBLANK(A1164),"""",IFERROR(IF(OR(Q1164=""GPB"",Q1164=""ZAR""),IF(Q1164=Dashboard!$L$1,M1164,(M1164*GOOGLEFINANCE(""CURRENCY:""&amp;Q1164&amp;""""&amp;Dashboard!$L$1&amp;""""))/100),IF(Q1164=Dashboard!$L$1,M1164,M1164*GOOGLEFINANCE(""CURRENCY:""&amp;Q1164&amp;""""&amp;Dashboard!$"&amp;"L$1&amp;""""))),M1164))"),"")</f>
        <v/>
      </c>
      <c r="T1164" s="264" t="str">
        <f t="shared" si="4"/>
        <v/>
      </c>
      <c r="U1164" s="264" t="str">
        <f t="shared" si="5"/>
        <v/>
      </c>
      <c r="V1164" s="264" t="str">
        <f t="shared" si="6"/>
        <v/>
      </c>
      <c r="W1164" s="267" t="str">
        <f t="shared" si="8"/>
        <v/>
      </c>
      <c r="X1164" s="264" t="str">
        <f t="shared" si="7"/>
        <v/>
      </c>
    </row>
    <row r="1165" ht="15.75" customHeight="1">
      <c r="A1165" s="258"/>
      <c r="B1165" s="258"/>
      <c r="C1165" s="269"/>
      <c r="D1165" s="258"/>
      <c r="E1165" s="258"/>
      <c r="F1165" s="258"/>
      <c r="G1165" s="258"/>
      <c r="H1165" s="271"/>
      <c r="I1165" s="258"/>
      <c r="J1165" s="272"/>
      <c r="K1165" s="260"/>
      <c r="L1165" s="261"/>
      <c r="M1165" s="262" t="str">
        <f t="shared" si="1"/>
        <v/>
      </c>
      <c r="N1165" s="263" t="str">
        <f t="shared" si="2"/>
        <v/>
      </c>
      <c r="O1165" s="264" t="str">
        <f t="shared" si="3"/>
        <v/>
      </c>
      <c r="P1165" s="265" t="str">
        <f>IFERROR(__xludf.DUMMYFUNCTION("IF(ISBLANK(A1165),"""",IFERROR(IF(H1165=""Sell"",VLOOKUP(9^99,FILTER({ROW(P$2:P1164),P$2:P1164},D$2:D1164=D1165),2),(VLOOKUP(9^99,FILTER({ROW(P$2:P1164),P$2:P1164},D$2:D1164=D1165),2)*VLOOKUP(9^99,FILTER({ROW(O$2:O1164),O$2:O1164},D$2:D1164=D1165),2)-N116"&amp;"5)/O1165),J1165))"),"")</f>
        <v/>
      </c>
      <c r="Q1165" s="264" t="str">
        <f>IFERROR(__xludf.DUMMYFUNCTION("IFERROR(IF(F1165=""Crypto"",B1165,(IF(ISBLANK(D1165),"""",IF(D1165=""Cash"",B1165,IF(GOOGLEFINANCE(D1165,""CURRENCY"")=""GBX"",""GBP"",GOOGLEFINANCE(D1165,""CURRENCY"")))))),B1165)"),"")</f>
        <v/>
      </c>
      <c r="R1165" s="263" t="str">
        <f>IFERROR(__xludf.DUMMYFUNCTION("IF(ISBLANK(A1165),"""",IFERROR(IF(OR(Q1165=""GPB"",Q1165=""ZAR""),IF(Q1165=Dashboard!$L$1,K1165,(K1165*GOOGLEFINANCE(""CURRENCY:""&amp;Q1165&amp;""""&amp;Dashboard!$L$1&amp;""""))/100),IF(Q1165=Dashboard!$L$1,K1165,K1165*GOOGLEFINANCE(""CURRENCY:""&amp;Q1165&amp;""""&amp;Dashboard!$"&amp;"L$1&amp;""""))),K1165))"),"")</f>
        <v/>
      </c>
      <c r="S1165" s="266" t="str">
        <f>IFERROR(__xludf.DUMMYFUNCTION("IF(ISBLANK(A1165),"""",IFERROR(IF(OR(Q1165=""GPB"",Q1165=""ZAR""),IF(Q1165=Dashboard!$L$1,M1165,(M1165*GOOGLEFINANCE(""CURRENCY:""&amp;Q1165&amp;""""&amp;Dashboard!$L$1&amp;""""))/100),IF(Q1165=Dashboard!$L$1,M1165,M1165*GOOGLEFINANCE(""CURRENCY:""&amp;Q1165&amp;""""&amp;Dashboard!$"&amp;"L$1&amp;""""))),M1165))"),"")</f>
        <v/>
      </c>
      <c r="T1165" s="264" t="str">
        <f t="shared" si="4"/>
        <v/>
      </c>
      <c r="U1165" s="264" t="str">
        <f t="shared" si="5"/>
        <v/>
      </c>
      <c r="V1165" s="264" t="str">
        <f t="shared" si="6"/>
        <v/>
      </c>
      <c r="W1165" s="267" t="str">
        <f t="shared" si="8"/>
        <v/>
      </c>
      <c r="X1165" s="264" t="str">
        <f t="shared" si="7"/>
        <v/>
      </c>
    </row>
    <row r="1166" ht="15.75" customHeight="1">
      <c r="A1166" s="258"/>
      <c r="B1166" s="258"/>
      <c r="C1166" s="269"/>
      <c r="D1166" s="258"/>
      <c r="E1166" s="258"/>
      <c r="F1166" s="258"/>
      <c r="G1166" s="258"/>
      <c r="H1166" s="271"/>
      <c r="I1166" s="258"/>
      <c r="J1166" s="272"/>
      <c r="K1166" s="260"/>
      <c r="L1166" s="261"/>
      <c r="M1166" s="262" t="str">
        <f t="shared" si="1"/>
        <v/>
      </c>
      <c r="N1166" s="263" t="str">
        <f t="shared" si="2"/>
        <v/>
      </c>
      <c r="O1166" s="264" t="str">
        <f t="shared" si="3"/>
        <v/>
      </c>
      <c r="P1166" s="265" t="str">
        <f>IFERROR(__xludf.DUMMYFUNCTION("IF(ISBLANK(A1166),"""",IFERROR(IF(H1166=""Sell"",VLOOKUP(9^99,FILTER({ROW(P$2:P1165),P$2:P1165},D$2:D1165=D1166),2),(VLOOKUP(9^99,FILTER({ROW(P$2:P1165),P$2:P1165},D$2:D1165=D1166),2)*VLOOKUP(9^99,FILTER({ROW(O$2:O1165),O$2:O1165},D$2:D1165=D1166),2)-N116"&amp;"6)/O1166),J1166))"),"")</f>
        <v/>
      </c>
      <c r="Q1166" s="264" t="str">
        <f>IFERROR(__xludf.DUMMYFUNCTION("IFERROR(IF(F1166=""Crypto"",B1166,(IF(ISBLANK(D1166),"""",IF(D1166=""Cash"",B1166,IF(GOOGLEFINANCE(D1166,""CURRENCY"")=""GBX"",""GBP"",GOOGLEFINANCE(D1166,""CURRENCY"")))))),B1166)"),"")</f>
        <v/>
      </c>
      <c r="R1166" s="263" t="str">
        <f>IFERROR(__xludf.DUMMYFUNCTION("IF(ISBLANK(A1166),"""",IFERROR(IF(OR(Q1166=""GPB"",Q1166=""ZAR""),IF(Q1166=Dashboard!$L$1,K1166,(K1166*GOOGLEFINANCE(""CURRENCY:""&amp;Q1166&amp;""""&amp;Dashboard!$L$1&amp;""""))/100),IF(Q1166=Dashboard!$L$1,K1166,K1166*GOOGLEFINANCE(""CURRENCY:""&amp;Q1166&amp;""""&amp;Dashboard!$"&amp;"L$1&amp;""""))),K1166))"),"")</f>
        <v/>
      </c>
      <c r="S1166" s="266" t="str">
        <f>IFERROR(__xludf.DUMMYFUNCTION("IF(ISBLANK(A1166),"""",IFERROR(IF(OR(Q1166=""GPB"",Q1166=""ZAR""),IF(Q1166=Dashboard!$L$1,M1166,(M1166*GOOGLEFINANCE(""CURRENCY:""&amp;Q1166&amp;""""&amp;Dashboard!$L$1&amp;""""))/100),IF(Q1166=Dashboard!$L$1,M1166,M1166*GOOGLEFINANCE(""CURRENCY:""&amp;Q1166&amp;""""&amp;Dashboard!$"&amp;"L$1&amp;""""))),M1166))"),"")</f>
        <v/>
      </c>
      <c r="T1166" s="264" t="str">
        <f t="shared" si="4"/>
        <v/>
      </c>
      <c r="U1166" s="264" t="str">
        <f t="shared" si="5"/>
        <v/>
      </c>
      <c r="V1166" s="264" t="str">
        <f t="shared" si="6"/>
        <v/>
      </c>
      <c r="W1166" s="267" t="str">
        <f t="shared" si="8"/>
        <v/>
      </c>
      <c r="X1166" s="264" t="str">
        <f t="shared" si="7"/>
        <v/>
      </c>
    </row>
    <row r="1167" ht="15.75" customHeight="1">
      <c r="A1167" s="258"/>
      <c r="B1167" s="258"/>
      <c r="C1167" s="269"/>
      <c r="D1167" s="258"/>
      <c r="E1167" s="258"/>
      <c r="F1167" s="258"/>
      <c r="G1167" s="258"/>
      <c r="H1167" s="271"/>
      <c r="I1167" s="258"/>
      <c r="J1167" s="272"/>
      <c r="K1167" s="260"/>
      <c r="L1167" s="261"/>
      <c r="M1167" s="262" t="str">
        <f t="shared" si="1"/>
        <v/>
      </c>
      <c r="N1167" s="263" t="str">
        <f t="shared" si="2"/>
        <v/>
      </c>
      <c r="O1167" s="264" t="str">
        <f t="shared" si="3"/>
        <v/>
      </c>
      <c r="P1167" s="265" t="str">
        <f>IFERROR(__xludf.DUMMYFUNCTION("IF(ISBLANK(A1167),"""",IFERROR(IF(H1167=""Sell"",VLOOKUP(9^99,FILTER({ROW(P$2:P1166),P$2:P1166},D$2:D1166=D1167),2),(VLOOKUP(9^99,FILTER({ROW(P$2:P1166),P$2:P1166},D$2:D1166=D1167),2)*VLOOKUP(9^99,FILTER({ROW(O$2:O1166),O$2:O1166},D$2:D1166=D1167),2)-N116"&amp;"7)/O1167),J1167))"),"")</f>
        <v/>
      </c>
      <c r="Q1167" s="264" t="str">
        <f>IFERROR(__xludf.DUMMYFUNCTION("IFERROR(IF(F1167=""Crypto"",B1167,(IF(ISBLANK(D1167),"""",IF(D1167=""Cash"",B1167,IF(GOOGLEFINANCE(D1167,""CURRENCY"")=""GBX"",""GBP"",GOOGLEFINANCE(D1167,""CURRENCY"")))))),B1167)"),"")</f>
        <v/>
      </c>
      <c r="R1167" s="263" t="str">
        <f>IFERROR(__xludf.DUMMYFUNCTION("IF(ISBLANK(A1167),"""",IFERROR(IF(OR(Q1167=""GPB"",Q1167=""ZAR""),IF(Q1167=Dashboard!$L$1,K1167,(K1167*GOOGLEFINANCE(""CURRENCY:""&amp;Q1167&amp;""""&amp;Dashboard!$L$1&amp;""""))/100),IF(Q1167=Dashboard!$L$1,K1167,K1167*GOOGLEFINANCE(""CURRENCY:""&amp;Q1167&amp;""""&amp;Dashboard!$"&amp;"L$1&amp;""""))),K1167))"),"")</f>
        <v/>
      </c>
      <c r="S1167" s="266" t="str">
        <f>IFERROR(__xludf.DUMMYFUNCTION("IF(ISBLANK(A1167),"""",IFERROR(IF(OR(Q1167=""GPB"",Q1167=""ZAR""),IF(Q1167=Dashboard!$L$1,M1167,(M1167*GOOGLEFINANCE(""CURRENCY:""&amp;Q1167&amp;""""&amp;Dashboard!$L$1&amp;""""))/100),IF(Q1167=Dashboard!$L$1,M1167,M1167*GOOGLEFINANCE(""CURRENCY:""&amp;Q1167&amp;""""&amp;Dashboard!$"&amp;"L$1&amp;""""))),M1167))"),"")</f>
        <v/>
      </c>
      <c r="T1167" s="264" t="str">
        <f t="shared" si="4"/>
        <v/>
      </c>
      <c r="U1167" s="264" t="str">
        <f t="shared" si="5"/>
        <v/>
      </c>
      <c r="V1167" s="264" t="str">
        <f t="shared" si="6"/>
        <v/>
      </c>
      <c r="W1167" s="267" t="str">
        <f t="shared" si="8"/>
        <v/>
      </c>
      <c r="X1167" s="264" t="str">
        <f t="shared" si="7"/>
        <v/>
      </c>
    </row>
    <row r="1168" ht="15.75" customHeight="1">
      <c r="A1168" s="258"/>
      <c r="B1168" s="258"/>
      <c r="C1168" s="269"/>
      <c r="D1168" s="258"/>
      <c r="E1168" s="258"/>
      <c r="F1168" s="258"/>
      <c r="G1168" s="258"/>
      <c r="H1168" s="271"/>
      <c r="I1168" s="258"/>
      <c r="J1168" s="272"/>
      <c r="K1168" s="260"/>
      <c r="L1168" s="261"/>
      <c r="M1168" s="262" t="str">
        <f t="shared" si="1"/>
        <v/>
      </c>
      <c r="N1168" s="263" t="str">
        <f t="shared" si="2"/>
        <v/>
      </c>
      <c r="O1168" s="264" t="str">
        <f t="shared" si="3"/>
        <v/>
      </c>
      <c r="P1168" s="265" t="str">
        <f>IFERROR(__xludf.DUMMYFUNCTION("IF(ISBLANK(A1168),"""",IFERROR(IF(H1168=""Sell"",VLOOKUP(9^99,FILTER({ROW(P$2:P1167),P$2:P1167},D$2:D1167=D1168),2),(VLOOKUP(9^99,FILTER({ROW(P$2:P1167),P$2:P1167},D$2:D1167=D1168),2)*VLOOKUP(9^99,FILTER({ROW(O$2:O1167),O$2:O1167},D$2:D1167=D1168),2)-N116"&amp;"8)/O1168),J1168))"),"")</f>
        <v/>
      </c>
      <c r="Q1168" s="264" t="str">
        <f>IFERROR(__xludf.DUMMYFUNCTION("IFERROR(IF(F1168=""Crypto"",B1168,(IF(ISBLANK(D1168),"""",IF(D1168=""Cash"",B1168,IF(GOOGLEFINANCE(D1168,""CURRENCY"")=""GBX"",""GBP"",GOOGLEFINANCE(D1168,""CURRENCY"")))))),B1168)"),"")</f>
        <v/>
      </c>
      <c r="R1168" s="263" t="str">
        <f>IFERROR(__xludf.DUMMYFUNCTION("IF(ISBLANK(A1168),"""",IFERROR(IF(OR(Q1168=""GPB"",Q1168=""ZAR""),IF(Q1168=Dashboard!$L$1,K1168,(K1168*GOOGLEFINANCE(""CURRENCY:""&amp;Q1168&amp;""""&amp;Dashboard!$L$1&amp;""""))/100),IF(Q1168=Dashboard!$L$1,K1168,K1168*GOOGLEFINANCE(""CURRENCY:""&amp;Q1168&amp;""""&amp;Dashboard!$"&amp;"L$1&amp;""""))),K1168))"),"")</f>
        <v/>
      </c>
      <c r="S1168" s="266" t="str">
        <f>IFERROR(__xludf.DUMMYFUNCTION("IF(ISBLANK(A1168),"""",IFERROR(IF(OR(Q1168=""GPB"",Q1168=""ZAR""),IF(Q1168=Dashboard!$L$1,M1168,(M1168*GOOGLEFINANCE(""CURRENCY:""&amp;Q1168&amp;""""&amp;Dashboard!$L$1&amp;""""))/100),IF(Q1168=Dashboard!$L$1,M1168,M1168*GOOGLEFINANCE(""CURRENCY:""&amp;Q1168&amp;""""&amp;Dashboard!$"&amp;"L$1&amp;""""))),M1168))"),"")</f>
        <v/>
      </c>
      <c r="T1168" s="264" t="str">
        <f t="shared" si="4"/>
        <v/>
      </c>
      <c r="U1168" s="264" t="str">
        <f t="shared" si="5"/>
        <v/>
      </c>
      <c r="V1168" s="264" t="str">
        <f t="shared" si="6"/>
        <v/>
      </c>
      <c r="W1168" s="267" t="str">
        <f t="shared" si="8"/>
        <v/>
      </c>
      <c r="X1168" s="264" t="str">
        <f t="shared" si="7"/>
        <v/>
      </c>
    </row>
    <row r="1169" ht="15.75" customHeight="1">
      <c r="A1169" s="258"/>
      <c r="B1169" s="258"/>
      <c r="C1169" s="269"/>
      <c r="D1169" s="258"/>
      <c r="E1169" s="258"/>
      <c r="F1169" s="258"/>
      <c r="G1169" s="258"/>
      <c r="H1169" s="271"/>
      <c r="I1169" s="258"/>
      <c r="J1169" s="272"/>
      <c r="K1169" s="260"/>
      <c r="L1169" s="261"/>
      <c r="M1169" s="262" t="str">
        <f t="shared" si="1"/>
        <v/>
      </c>
      <c r="N1169" s="263" t="str">
        <f t="shared" si="2"/>
        <v/>
      </c>
      <c r="O1169" s="264" t="str">
        <f t="shared" si="3"/>
        <v/>
      </c>
      <c r="P1169" s="265" t="str">
        <f>IFERROR(__xludf.DUMMYFUNCTION("IF(ISBLANK(A1169),"""",IFERROR(IF(H1169=""Sell"",VLOOKUP(9^99,FILTER({ROW(P$2:P1168),P$2:P1168},D$2:D1168=D1169),2),(VLOOKUP(9^99,FILTER({ROW(P$2:P1168),P$2:P1168},D$2:D1168=D1169),2)*VLOOKUP(9^99,FILTER({ROW(O$2:O1168),O$2:O1168},D$2:D1168=D1169),2)-N116"&amp;"9)/O1169),J1169))"),"")</f>
        <v/>
      </c>
      <c r="Q1169" s="264" t="str">
        <f>IFERROR(__xludf.DUMMYFUNCTION("IFERROR(IF(F1169=""Crypto"",B1169,(IF(ISBLANK(D1169),"""",IF(D1169=""Cash"",B1169,IF(GOOGLEFINANCE(D1169,""CURRENCY"")=""GBX"",""GBP"",GOOGLEFINANCE(D1169,""CURRENCY"")))))),B1169)"),"")</f>
        <v/>
      </c>
      <c r="R1169" s="263" t="str">
        <f>IFERROR(__xludf.DUMMYFUNCTION("IF(ISBLANK(A1169),"""",IFERROR(IF(OR(Q1169=""GPB"",Q1169=""ZAR""),IF(Q1169=Dashboard!$L$1,K1169,(K1169*GOOGLEFINANCE(""CURRENCY:""&amp;Q1169&amp;""""&amp;Dashboard!$L$1&amp;""""))/100),IF(Q1169=Dashboard!$L$1,K1169,K1169*GOOGLEFINANCE(""CURRENCY:""&amp;Q1169&amp;""""&amp;Dashboard!$"&amp;"L$1&amp;""""))),K1169))"),"")</f>
        <v/>
      </c>
      <c r="S1169" s="266" t="str">
        <f>IFERROR(__xludf.DUMMYFUNCTION("IF(ISBLANK(A1169),"""",IFERROR(IF(OR(Q1169=""GPB"",Q1169=""ZAR""),IF(Q1169=Dashboard!$L$1,M1169,(M1169*GOOGLEFINANCE(""CURRENCY:""&amp;Q1169&amp;""""&amp;Dashboard!$L$1&amp;""""))/100),IF(Q1169=Dashboard!$L$1,M1169,M1169*GOOGLEFINANCE(""CURRENCY:""&amp;Q1169&amp;""""&amp;Dashboard!$"&amp;"L$1&amp;""""))),M1169))"),"")</f>
        <v/>
      </c>
      <c r="T1169" s="264" t="str">
        <f t="shared" si="4"/>
        <v/>
      </c>
      <c r="U1169" s="264" t="str">
        <f t="shared" si="5"/>
        <v/>
      </c>
      <c r="V1169" s="264" t="str">
        <f t="shared" si="6"/>
        <v/>
      </c>
      <c r="W1169" s="267" t="str">
        <f t="shared" si="8"/>
        <v/>
      </c>
      <c r="X1169" s="264" t="str">
        <f t="shared" si="7"/>
        <v/>
      </c>
    </row>
    <row r="1170" ht="15.75" customHeight="1">
      <c r="A1170" s="258"/>
      <c r="B1170" s="258"/>
      <c r="C1170" s="269"/>
      <c r="D1170" s="258"/>
      <c r="E1170" s="258"/>
      <c r="F1170" s="258"/>
      <c r="G1170" s="258"/>
      <c r="H1170" s="271"/>
      <c r="I1170" s="258"/>
      <c r="J1170" s="272"/>
      <c r="K1170" s="260"/>
      <c r="L1170" s="261"/>
      <c r="M1170" s="262" t="str">
        <f t="shared" si="1"/>
        <v/>
      </c>
      <c r="N1170" s="263" t="str">
        <f t="shared" si="2"/>
        <v/>
      </c>
      <c r="O1170" s="264" t="str">
        <f t="shared" si="3"/>
        <v/>
      </c>
      <c r="P1170" s="265" t="str">
        <f>IFERROR(__xludf.DUMMYFUNCTION("IF(ISBLANK(A1170),"""",IFERROR(IF(H1170=""Sell"",VLOOKUP(9^99,FILTER({ROW(P$2:P1169),P$2:P1169},D$2:D1169=D1170),2),(VLOOKUP(9^99,FILTER({ROW(P$2:P1169),P$2:P1169},D$2:D1169=D1170),2)*VLOOKUP(9^99,FILTER({ROW(O$2:O1169),O$2:O1169},D$2:D1169=D1170),2)-N117"&amp;"0)/O1170),J1170))"),"")</f>
        <v/>
      </c>
      <c r="Q1170" s="264" t="str">
        <f>IFERROR(__xludf.DUMMYFUNCTION("IFERROR(IF(F1170=""Crypto"",B1170,(IF(ISBLANK(D1170),"""",IF(D1170=""Cash"",B1170,IF(GOOGLEFINANCE(D1170,""CURRENCY"")=""GBX"",""GBP"",GOOGLEFINANCE(D1170,""CURRENCY"")))))),B1170)"),"")</f>
        <v/>
      </c>
      <c r="R1170" s="263" t="str">
        <f>IFERROR(__xludf.DUMMYFUNCTION("IF(ISBLANK(A1170),"""",IFERROR(IF(OR(Q1170=""GPB"",Q1170=""ZAR""),IF(Q1170=Dashboard!$L$1,K1170,(K1170*GOOGLEFINANCE(""CURRENCY:""&amp;Q1170&amp;""""&amp;Dashboard!$L$1&amp;""""))/100),IF(Q1170=Dashboard!$L$1,K1170,K1170*GOOGLEFINANCE(""CURRENCY:""&amp;Q1170&amp;""""&amp;Dashboard!$"&amp;"L$1&amp;""""))),K1170))"),"")</f>
        <v/>
      </c>
      <c r="S1170" s="266" t="str">
        <f>IFERROR(__xludf.DUMMYFUNCTION("IF(ISBLANK(A1170),"""",IFERROR(IF(OR(Q1170=""GPB"",Q1170=""ZAR""),IF(Q1170=Dashboard!$L$1,M1170,(M1170*GOOGLEFINANCE(""CURRENCY:""&amp;Q1170&amp;""""&amp;Dashboard!$L$1&amp;""""))/100),IF(Q1170=Dashboard!$L$1,M1170,M1170*GOOGLEFINANCE(""CURRENCY:""&amp;Q1170&amp;""""&amp;Dashboard!$"&amp;"L$1&amp;""""))),M1170))"),"")</f>
        <v/>
      </c>
      <c r="T1170" s="264" t="str">
        <f t="shared" si="4"/>
        <v/>
      </c>
      <c r="U1170" s="264" t="str">
        <f t="shared" si="5"/>
        <v/>
      </c>
      <c r="V1170" s="264" t="str">
        <f t="shared" si="6"/>
        <v/>
      </c>
      <c r="W1170" s="267" t="str">
        <f t="shared" si="8"/>
        <v/>
      </c>
      <c r="X1170" s="264" t="str">
        <f t="shared" si="7"/>
        <v/>
      </c>
    </row>
    <row r="1171" ht="15.75" customHeight="1">
      <c r="A1171" s="258"/>
      <c r="B1171" s="258"/>
      <c r="C1171" s="269"/>
      <c r="D1171" s="258"/>
      <c r="E1171" s="258"/>
      <c r="F1171" s="258"/>
      <c r="G1171" s="258"/>
      <c r="H1171" s="271"/>
      <c r="I1171" s="258"/>
      <c r="J1171" s="272"/>
      <c r="K1171" s="260"/>
      <c r="L1171" s="261"/>
      <c r="M1171" s="262" t="str">
        <f t="shared" si="1"/>
        <v/>
      </c>
      <c r="N1171" s="263" t="str">
        <f t="shared" si="2"/>
        <v/>
      </c>
      <c r="O1171" s="264" t="str">
        <f t="shared" si="3"/>
        <v/>
      </c>
      <c r="P1171" s="265" t="str">
        <f>IFERROR(__xludf.DUMMYFUNCTION("IF(ISBLANK(A1171),"""",IFERROR(IF(H1171=""Sell"",VLOOKUP(9^99,FILTER({ROW(P$2:P1170),P$2:P1170},D$2:D1170=D1171),2),(VLOOKUP(9^99,FILTER({ROW(P$2:P1170),P$2:P1170},D$2:D1170=D1171),2)*VLOOKUP(9^99,FILTER({ROW(O$2:O1170),O$2:O1170},D$2:D1170=D1171),2)-N117"&amp;"1)/O1171),J1171))"),"")</f>
        <v/>
      </c>
      <c r="Q1171" s="264" t="str">
        <f>IFERROR(__xludf.DUMMYFUNCTION("IFERROR(IF(F1171=""Crypto"",B1171,(IF(ISBLANK(D1171),"""",IF(D1171=""Cash"",B1171,IF(GOOGLEFINANCE(D1171,""CURRENCY"")=""GBX"",""GBP"",GOOGLEFINANCE(D1171,""CURRENCY"")))))),B1171)"),"")</f>
        <v/>
      </c>
      <c r="R1171" s="263" t="str">
        <f>IFERROR(__xludf.DUMMYFUNCTION("IF(ISBLANK(A1171),"""",IFERROR(IF(OR(Q1171=""GPB"",Q1171=""ZAR""),IF(Q1171=Dashboard!$L$1,K1171,(K1171*GOOGLEFINANCE(""CURRENCY:""&amp;Q1171&amp;""""&amp;Dashboard!$L$1&amp;""""))/100),IF(Q1171=Dashboard!$L$1,K1171,K1171*GOOGLEFINANCE(""CURRENCY:""&amp;Q1171&amp;""""&amp;Dashboard!$"&amp;"L$1&amp;""""))),K1171))"),"")</f>
        <v/>
      </c>
      <c r="S1171" s="266" t="str">
        <f>IFERROR(__xludf.DUMMYFUNCTION("IF(ISBLANK(A1171),"""",IFERROR(IF(OR(Q1171=""GPB"",Q1171=""ZAR""),IF(Q1171=Dashboard!$L$1,M1171,(M1171*GOOGLEFINANCE(""CURRENCY:""&amp;Q1171&amp;""""&amp;Dashboard!$L$1&amp;""""))/100),IF(Q1171=Dashboard!$L$1,M1171,M1171*GOOGLEFINANCE(""CURRENCY:""&amp;Q1171&amp;""""&amp;Dashboard!$"&amp;"L$1&amp;""""))),M1171))"),"")</f>
        <v/>
      </c>
      <c r="T1171" s="264" t="str">
        <f t="shared" si="4"/>
        <v/>
      </c>
      <c r="U1171" s="264" t="str">
        <f t="shared" si="5"/>
        <v/>
      </c>
      <c r="V1171" s="264" t="str">
        <f t="shared" si="6"/>
        <v/>
      </c>
      <c r="W1171" s="267" t="str">
        <f t="shared" si="8"/>
        <v/>
      </c>
      <c r="X1171" s="264" t="str">
        <f t="shared" si="7"/>
        <v/>
      </c>
    </row>
    <row r="1172" ht="15.75" customHeight="1">
      <c r="A1172" s="258"/>
      <c r="B1172" s="258"/>
      <c r="C1172" s="269"/>
      <c r="D1172" s="258"/>
      <c r="E1172" s="258"/>
      <c r="F1172" s="258"/>
      <c r="G1172" s="258"/>
      <c r="H1172" s="271"/>
      <c r="I1172" s="258"/>
      <c r="J1172" s="272"/>
      <c r="K1172" s="260"/>
      <c r="L1172" s="261"/>
      <c r="M1172" s="262" t="str">
        <f t="shared" si="1"/>
        <v/>
      </c>
      <c r="N1172" s="263" t="str">
        <f t="shared" si="2"/>
        <v/>
      </c>
      <c r="O1172" s="264" t="str">
        <f t="shared" si="3"/>
        <v/>
      </c>
      <c r="P1172" s="265" t="str">
        <f>IFERROR(__xludf.DUMMYFUNCTION("IF(ISBLANK(A1172),"""",IFERROR(IF(H1172=""Sell"",VLOOKUP(9^99,FILTER({ROW(P$2:P1171),P$2:P1171},D$2:D1171=D1172),2),(VLOOKUP(9^99,FILTER({ROW(P$2:P1171),P$2:P1171},D$2:D1171=D1172),2)*VLOOKUP(9^99,FILTER({ROW(O$2:O1171),O$2:O1171},D$2:D1171=D1172),2)-N117"&amp;"2)/O1172),J1172))"),"")</f>
        <v/>
      </c>
      <c r="Q1172" s="264" t="str">
        <f>IFERROR(__xludf.DUMMYFUNCTION("IFERROR(IF(F1172=""Crypto"",B1172,(IF(ISBLANK(D1172),"""",IF(D1172=""Cash"",B1172,IF(GOOGLEFINANCE(D1172,""CURRENCY"")=""GBX"",""GBP"",GOOGLEFINANCE(D1172,""CURRENCY"")))))),B1172)"),"")</f>
        <v/>
      </c>
      <c r="R1172" s="263" t="str">
        <f>IFERROR(__xludf.DUMMYFUNCTION("IF(ISBLANK(A1172),"""",IFERROR(IF(OR(Q1172=""GPB"",Q1172=""ZAR""),IF(Q1172=Dashboard!$L$1,K1172,(K1172*GOOGLEFINANCE(""CURRENCY:""&amp;Q1172&amp;""""&amp;Dashboard!$L$1&amp;""""))/100),IF(Q1172=Dashboard!$L$1,K1172,K1172*GOOGLEFINANCE(""CURRENCY:""&amp;Q1172&amp;""""&amp;Dashboard!$"&amp;"L$1&amp;""""))),K1172))"),"")</f>
        <v/>
      </c>
      <c r="S1172" s="266" t="str">
        <f>IFERROR(__xludf.DUMMYFUNCTION("IF(ISBLANK(A1172),"""",IFERROR(IF(OR(Q1172=""GPB"",Q1172=""ZAR""),IF(Q1172=Dashboard!$L$1,M1172,(M1172*GOOGLEFINANCE(""CURRENCY:""&amp;Q1172&amp;""""&amp;Dashboard!$L$1&amp;""""))/100),IF(Q1172=Dashboard!$L$1,M1172,M1172*GOOGLEFINANCE(""CURRENCY:""&amp;Q1172&amp;""""&amp;Dashboard!$"&amp;"L$1&amp;""""))),M1172))"),"")</f>
        <v/>
      </c>
      <c r="T1172" s="264" t="str">
        <f t="shared" si="4"/>
        <v/>
      </c>
      <c r="U1172" s="264" t="str">
        <f t="shared" si="5"/>
        <v/>
      </c>
      <c r="V1172" s="264" t="str">
        <f t="shared" si="6"/>
        <v/>
      </c>
      <c r="W1172" s="267" t="str">
        <f t="shared" si="8"/>
        <v/>
      </c>
      <c r="X1172" s="264" t="str">
        <f t="shared" si="7"/>
        <v/>
      </c>
    </row>
    <row r="1173" ht="15.75" customHeight="1">
      <c r="A1173" s="258"/>
      <c r="B1173" s="258"/>
      <c r="C1173" s="269"/>
      <c r="D1173" s="258"/>
      <c r="E1173" s="258"/>
      <c r="F1173" s="258"/>
      <c r="G1173" s="258"/>
      <c r="H1173" s="271"/>
      <c r="I1173" s="258"/>
      <c r="J1173" s="272"/>
      <c r="K1173" s="260"/>
      <c r="L1173" s="261"/>
      <c r="M1173" s="262" t="str">
        <f t="shared" si="1"/>
        <v/>
      </c>
      <c r="N1173" s="263" t="str">
        <f t="shared" si="2"/>
        <v/>
      </c>
      <c r="O1173" s="264" t="str">
        <f t="shared" si="3"/>
        <v/>
      </c>
      <c r="P1173" s="265" t="str">
        <f>IFERROR(__xludf.DUMMYFUNCTION("IF(ISBLANK(A1173),"""",IFERROR(IF(H1173=""Sell"",VLOOKUP(9^99,FILTER({ROW(P$2:P1172),P$2:P1172},D$2:D1172=D1173),2),(VLOOKUP(9^99,FILTER({ROW(P$2:P1172),P$2:P1172},D$2:D1172=D1173),2)*VLOOKUP(9^99,FILTER({ROW(O$2:O1172),O$2:O1172},D$2:D1172=D1173),2)-N117"&amp;"3)/O1173),J1173))"),"")</f>
        <v/>
      </c>
      <c r="Q1173" s="264" t="str">
        <f>IFERROR(__xludf.DUMMYFUNCTION("IFERROR(IF(F1173=""Crypto"",B1173,(IF(ISBLANK(D1173),"""",IF(D1173=""Cash"",B1173,IF(GOOGLEFINANCE(D1173,""CURRENCY"")=""GBX"",""GBP"",GOOGLEFINANCE(D1173,""CURRENCY"")))))),B1173)"),"")</f>
        <v/>
      </c>
      <c r="R1173" s="263" t="str">
        <f>IFERROR(__xludf.DUMMYFUNCTION("IF(ISBLANK(A1173),"""",IFERROR(IF(OR(Q1173=""GPB"",Q1173=""ZAR""),IF(Q1173=Dashboard!$L$1,K1173,(K1173*GOOGLEFINANCE(""CURRENCY:""&amp;Q1173&amp;""""&amp;Dashboard!$L$1&amp;""""))/100),IF(Q1173=Dashboard!$L$1,K1173,K1173*GOOGLEFINANCE(""CURRENCY:""&amp;Q1173&amp;""""&amp;Dashboard!$"&amp;"L$1&amp;""""))),K1173))"),"")</f>
        <v/>
      </c>
      <c r="S1173" s="266" t="str">
        <f>IFERROR(__xludf.DUMMYFUNCTION("IF(ISBLANK(A1173),"""",IFERROR(IF(OR(Q1173=""GPB"",Q1173=""ZAR""),IF(Q1173=Dashboard!$L$1,M1173,(M1173*GOOGLEFINANCE(""CURRENCY:""&amp;Q1173&amp;""""&amp;Dashboard!$L$1&amp;""""))/100),IF(Q1173=Dashboard!$L$1,M1173,M1173*GOOGLEFINANCE(""CURRENCY:""&amp;Q1173&amp;""""&amp;Dashboard!$"&amp;"L$1&amp;""""))),M1173))"),"")</f>
        <v/>
      </c>
      <c r="T1173" s="264" t="str">
        <f t="shared" si="4"/>
        <v/>
      </c>
      <c r="U1173" s="264" t="str">
        <f t="shared" si="5"/>
        <v/>
      </c>
      <c r="V1173" s="264" t="str">
        <f t="shared" si="6"/>
        <v/>
      </c>
      <c r="W1173" s="267" t="str">
        <f t="shared" si="8"/>
        <v/>
      </c>
      <c r="X1173" s="264" t="str">
        <f t="shared" si="7"/>
        <v/>
      </c>
    </row>
    <row r="1174" ht="15.75" customHeight="1">
      <c r="A1174" s="258"/>
      <c r="B1174" s="258"/>
      <c r="C1174" s="269"/>
      <c r="D1174" s="258"/>
      <c r="E1174" s="258"/>
      <c r="F1174" s="258"/>
      <c r="G1174" s="258"/>
      <c r="H1174" s="271"/>
      <c r="I1174" s="258"/>
      <c r="J1174" s="272"/>
      <c r="K1174" s="260"/>
      <c r="L1174" s="261"/>
      <c r="M1174" s="262" t="str">
        <f t="shared" si="1"/>
        <v/>
      </c>
      <c r="N1174" s="263" t="str">
        <f t="shared" si="2"/>
        <v/>
      </c>
      <c r="O1174" s="264" t="str">
        <f t="shared" si="3"/>
        <v/>
      </c>
      <c r="P1174" s="265" t="str">
        <f>IFERROR(__xludf.DUMMYFUNCTION("IF(ISBLANK(A1174),"""",IFERROR(IF(H1174=""Sell"",VLOOKUP(9^99,FILTER({ROW(P$2:P1173),P$2:P1173},D$2:D1173=D1174),2),(VLOOKUP(9^99,FILTER({ROW(P$2:P1173),P$2:P1173},D$2:D1173=D1174),2)*VLOOKUP(9^99,FILTER({ROW(O$2:O1173),O$2:O1173},D$2:D1173=D1174),2)-N117"&amp;"4)/O1174),J1174))"),"")</f>
        <v/>
      </c>
      <c r="Q1174" s="264" t="str">
        <f>IFERROR(__xludf.DUMMYFUNCTION("IFERROR(IF(F1174=""Crypto"",B1174,(IF(ISBLANK(D1174),"""",IF(D1174=""Cash"",B1174,IF(GOOGLEFINANCE(D1174,""CURRENCY"")=""GBX"",""GBP"",GOOGLEFINANCE(D1174,""CURRENCY"")))))),B1174)"),"")</f>
        <v/>
      </c>
      <c r="R1174" s="263" t="str">
        <f>IFERROR(__xludf.DUMMYFUNCTION("IF(ISBLANK(A1174),"""",IFERROR(IF(OR(Q1174=""GPB"",Q1174=""ZAR""),IF(Q1174=Dashboard!$L$1,K1174,(K1174*GOOGLEFINANCE(""CURRENCY:""&amp;Q1174&amp;""""&amp;Dashboard!$L$1&amp;""""))/100),IF(Q1174=Dashboard!$L$1,K1174,K1174*GOOGLEFINANCE(""CURRENCY:""&amp;Q1174&amp;""""&amp;Dashboard!$"&amp;"L$1&amp;""""))),K1174))"),"")</f>
        <v/>
      </c>
      <c r="S1174" s="266" t="str">
        <f>IFERROR(__xludf.DUMMYFUNCTION("IF(ISBLANK(A1174),"""",IFERROR(IF(OR(Q1174=""GPB"",Q1174=""ZAR""),IF(Q1174=Dashboard!$L$1,M1174,(M1174*GOOGLEFINANCE(""CURRENCY:""&amp;Q1174&amp;""""&amp;Dashboard!$L$1&amp;""""))/100),IF(Q1174=Dashboard!$L$1,M1174,M1174*GOOGLEFINANCE(""CURRENCY:""&amp;Q1174&amp;""""&amp;Dashboard!$"&amp;"L$1&amp;""""))),M1174))"),"")</f>
        <v/>
      </c>
      <c r="T1174" s="264" t="str">
        <f t="shared" si="4"/>
        <v/>
      </c>
      <c r="U1174" s="264" t="str">
        <f t="shared" si="5"/>
        <v/>
      </c>
      <c r="V1174" s="264" t="str">
        <f t="shared" si="6"/>
        <v/>
      </c>
      <c r="W1174" s="267" t="str">
        <f t="shared" si="8"/>
        <v/>
      </c>
      <c r="X1174" s="264" t="str">
        <f t="shared" si="7"/>
        <v/>
      </c>
    </row>
    <row r="1175" ht="15.75" customHeight="1">
      <c r="A1175" s="258"/>
      <c r="B1175" s="258"/>
      <c r="C1175" s="269"/>
      <c r="D1175" s="258"/>
      <c r="E1175" s="258"/>
      <c r="F1175" s="258"/>
      <c r="G1175" s="258"/>
      <c r="H1175" s="271"/>
      <c r="I1175" s="258"/>
      <c r="J1175" s="272"/>
      <c r="K1175" s="260"/>
      <c r="L1175" s="261"/>
      <c r="M1175" s="262" t="str">
        <f t="shared" si="1"/>
        <v/>
      </c>
      <c r="N1175" s="263" t="str">
        <f t="shared" si="2"/>
        <v/>
      </c>
      <c r="O1175" s="264" t="str">
        <f t="shared" si="3"/>
        <v/>
      </c>
      <c r="P1175" s="265" t="str">
        <f>IFERROR(__xludf.DUMMYFUNCTION("IF(ISBLANK(A1175),"""",IFERROR(IF(H1175=""Sell"",VLOOKUP(9^99,FILTER({ROW(P$2:P1174),P$2:P1174},D$2:D1174=D1175),2),(VLOOKUP(9^99,FILTER({ROW(P$2:P1174),P$2:P1174},D$2:D1174=D1175),2)*VLOOKUP(9^99,FILTER({ROW(O$2:O1174),O$2:O1174},D$2:D1174=D1175),2)-N117"&amp;"5)/O1175),J1175))"),"")</f>
        <v/>
      </c>
      <c r="Q1175" s="264" t="str">
        <f>IFERROR(__xludf.DUMMYFUNCTION("IFERROR(IF(F1175=""Crypto"",B1175,(IF(ISBLANK(D1175),"""",IF(D1175=""Cash"",B1175,IF(GOOGLEFINANCE(D1175,""CURRENCY"")=""GBX"",""GBP"",GOOGLEFINANCE(D1175,""CURRENCY"")))))),B1175)"),"")</f>
        <v/>
      </c>
      <c r="R1175" s="263" t="str">
        <f>IFERROR(__xludf.DUMMYFUNCTION("IF(ISBLANK(A1175),"""",IFERROR(IF(OR(Q1175=""GPB"",Q1175=""ZAR""),IF(Q1175=Dashboard!$L$1,K1175,(K1175*GOOGLEFINANCE(""CURRENCY:""&amp;Q1175&amp;""""&amp;Dashboard!$L$1&amp;""""))/100),IF(Q1175=Dashboard!$L$1,K1175,K1175*GOOGLEFINANCE(""CURRENCY:""&amp;Q1175&amp;""""&amp;Dashboard!$"&amp;"L$1&amp;""""))),K1175))"),"")</f>
        <v/>
      </c>
      <c r="S1175" s="266" t="str">
        <f>IFERROR(__xludf.DUMMYFUNCTION("IF(ISBLANK(A1175),"""",IFERROR(IF(OR(Q1175=""GPB"",Q1175=""ZAR""),IF(Q1175=Dashboard!$L$1,M1175,(M1175*GOOGLEFINANCE(""CURRENCY:""&amp;Q1175&amp;""""&amp;Dashboard!$L$1&amp;""""))/100),IF(Q1175=Dashboard!$L$1,M1175,M1175*GOOGLEFINANCE(""CURRENCY:""&amp;Q1175&amp;""""&amp;Dashboard!$"&amp;"L$1&amp;""""))),M1175))"),"")</f>
        <v/>
      </c>
      <c r="T1175" s="264" t="str">
        <f t="shared" si="4"/>
        <v/>
      </c>
      <c r="U1175" s="264" t="str">
        <f t="shared" si="5"/>
        <v/>
      </c>
      <c r="V1175" s="264" t="str">
        <f t="shared" si="6"/>
        <v/>
      </c>
      <c r="W1175" s="267" t="str">
        <f t="shared" si="8"/>
        <v/>
      </c>
      <c r="X1175" s="264" t="str">
        <f t="shared" si="7"/>
        <v/>
      </c>
    </row>
    <row r="1176" ht="15.75" customHeight="1">
      <c r="A1176" s="258"/>
      <c r="B1176" s="258"/>
      <c r="C1176" s="269"/>
      <c r="D1176" s="258"/>
      <c r="E1176" s="258"/>
      <c r="F1176" s="258"/>
      <c r="G1176" s="258"/>
      <c r="H1176" s="271"/>
      <c r="I1176" s="258"/>
      <c r="J1176" s="272"/>
      <c r="K1176" s="260"/>
      <c r="L1176" s="261"/>
      <c r="M1176" s="262" t="str">
        <f t="shared" si="1"/>
        <v/>
      </c>
      <c r="N1176" s="263" t="str">
        <f t="shared" si="2"/>
        <v/>
      </c>
      <c r="O1176" s="264" t="str">
        <f t="shared" si="3"/>
        <v/>
      </c>
      <c r="P1176" s="265" t="str">
        <f>IFERROR(__xludf.DUMMYFUNCTION("IF(ISBLANK(A1176),"""",IFERROR(IF(H1176=""Sell"",VLOOKUP(9^99,FILTER({ROW(P$2:P1175),P$2:P1175},D$2:D1175=D1176),2),(VLOOKUP(9^99,FILTER({ROW(P$2:P1175),P$2:P1175},D$2:D1175=D1176),2)*VLOOKUP(9^99,FILTER({ROW(O$2:O1175),O$2:O1175},D$2:D1175=D1176),2)-N117"&amp;"6)/O1176),J1176))"),"")</f>
        <v/>
      </c>
      <c r="Q1176" s="264" t="str">
        <f>IFERROR(__xludf.DUMMYFUNCTION("IFERROR(IF(F1176=""Crypto"",B1176,(IF(ISBLANK(D1176),"""",IF(D1176=""Cash"",B1176,IF(GOOGLEFINANCE(D1176,""CURRENCY"")=""GBX"",""GBP"",GOOGLEFINANCE(D1176,""CURRENCY"")))))),B1176)"),"")</f>
        <v/>
      </c>
      <c r="R1176" s="263" t="str">
        <f>IFERROR(__xludf.DUMMYFUNCTION("IF(ISBLANK(A1176),"""",IFERROR(IF(OR(Q1176=""GPB"",Q1176=""ZAR""),IF(Q1176=Dashboard!$L$1,K1176,(K1176*GOOGLEFINANCE(""CURRENCY:""&amp;Q1176&amp;""""&amp;Dashboard!$L$1&amp;""""))/100),IF(Q1176=Dashboard!$L$1,K1176,K1176*GOOGLEFINANCE(""CURRENCY:""&amp;Q1176&amp;""""&amp;Dashboard!$"&amp;"L$1&amp;""""))),K1176))"),"")</f>
        <v/>
      </c>
      <c r="S1176" s="266" t="str">
        <f>IFERROR(__xludf.DUMMYFUNCTION("IF(ISBLANK(A1176),"""",IFERROR(IF(OR(Q1176=""GPB"",Q1176=""ZAR""),IF(Q1176=Dashboard!$L$1,M1176,(M1176*GOOGLEFINANCE(""CURRENCY:""&amp;Q1176&amp;""""&amp;Dashboard!$L$1&amp;""""))/100),IF(Q1176=Dashboard!$L$1,M1176,M1176*GOOGLEFINANCE(""CURRENCY:""&amp;Q1176&amp;""""&amp;Dashboard!$"&amp;"L$1&amp;""""))),M1176))"),"")</f>
        <v/>
      </c>
      <c r="T1176" s="264" t="str">
        <f t="shared" si="4"/>
        <v/>
      </c>
      <c r="U1176" s="264" t="str">
        <f t="shared" si="5"/>
        <v/>
      </c>
      <c r="V1176" s="264" t="str">
        <f t="shared" si="6"/>
        <v/>
      </c>
      <c r="W1176" s="267" t="str">
        <f t="shared" si="8"/>
        <v/>
      </c>
      <c r="X1176" s="264" t="str">
        <f t="shared" si="7"/>
        <v/>
      </c>
    </row>
    <row r="1177" ht="15.75" customHeight="1">
      <c r="A1177" s="258"/>
      <c r="B1177" s="258"/>
      <c r="C1177" s="269"/>
      <c r="D1177" s="258"/>
      <c r="E1177" s="258"/>
      <c r="F1177" s="258"/>
      <c r="G1177" s="258"/>
      <c r="H1177" s="271"/>
      <c r="I1177" s="258"/>
      <c r="J1177" s="272"/>
      <c r="K1177" s="260"/>
      <c r="L1177" s="261"/>
      <c r="M1177" s="262" t="str">
        <f t="shared" si="1"/>
        <v/>
      </c>
      <c r="N1177" s="263" t="str">
        <f t="shared" si="2"/>
        <v/>
      </c>
      <c r="O1177" s="264" t="str">
        <f t="shared" si="3"/>
        <v/>
      </c>
      <c r="P1177" s="265" t="str">
        <f>IFERROR(__xludf.DUMMYFUNCTION("IF(ISBLANK(A1177),"""",IFERROR(IF(H1177=""Sell"",VLOOKUP(9^99,FILTER({ROW(P$2:P1176),P$2:P1176},D$2:D1176=D1177),2),(VLOOKUP(9^99,FILTER({ROW(P$2:P1176),P$2:P1176},D$2:D1176=D1177),2)*VLOOKUP(9^99,FILTER({ROW(O$2:O1176),O$2:O1176},D$2:D1176=D1177),2)-N117"&amp;"7)/O1177),J1177))"),"")</f>
        <v/>
      </c>
      <c r="Q1177" s="264" t="str">
        <f>IFERROR(__xludf.DUMMYFUNCTION("IFERROR(IF(F1177=""Crypto"",B1177,(IF(ISBLANK(D1177),"""",IF(D1177=""Cash"",B1177,IF(GOOGLEFINANCE(D1177,""CURRENCY"")=""GBX"",""GBP"",GOOGLEFINANCE(D1177,""CURRENCY"")))))),B1177)"),"")</f>
        <v/>
      </c>
      <c r="R1177" s="263" t="str">
        <f>IFERROR(__xludf.DUMMYFUNCTION("IF(ISBLANK(A1177),"""",IFERROR(IF(OR(Q1177=""GPB"",Q1177=""ZAR""),IF(Q1177=Dashboard!$L$1,K1177,(K1177*GOOGLEFINANCE(""CURRENCY:""&amp;Q1177&amp;""""&amp;Dashboard!$L$1&amp;""""))/100),IF(Q1177=Dashboard!$L$1,K1177,K1177*GOOGLEFINANCE(""CURRENCY:""&amp;Q1177&amp;""""&amp;Dashboard!$"&amp;"L$1&amp;""""))),K1177))"),"")</f>
        <v/>
      </c>
      <c r="S1177" s="266" t="str">
        <f>IFERROR(__xludf.DUMMYFUNCTION("IF(ISBLANK(A1177),"""",IFERROR(IF(OR(Q1177=""GPB"",Q1177=""ZAR""),IF(Q1177=Dashboard!$L$1,M1177,(M1177*GOOGLEFINANCE(""CURRENCY:""&amp;Q1177&amp;""""&amp;Dashboard!$L$1&amp;""""))/100),IF(Q1177=Dashboard!$L$1,M1177,M1177*GOOGLEFINANCE(""CURRENCY:""&amp;Q1177&amp;""""&amp;Dashboard!$"&amp;"L$1&amp;""""))),M1177))"),"")</f>
        <v/>
      </c>
      <c r="T1177" s="264" t="str">
        <f t="shared" si="4"/>
        <v/>
      </c>
      <c r="U1177" s="264" t="str">
        <f t="shared" si="5"/>
        <v/>
      </c>
      <c r="V1177" s="264" t="str">
        <f t="shared" si="6"/>
        <v/>
      </c>
      <c r="W1177" s="267" t="str">
        <f t="shared" si="8"/>
        <v/>
      </c>
      <c r="X1177" s="264" t="str">
        <f t="shared" si="7"/>
        <v/>
      </c>
    </row>
    <row r="1178" ht="15.75" customHeight="1">
      <c r="A1178" s="258"/>
      <c r="B1178" s="258"/>
      <c r="C1178" s="269"/>
      <c r="D1178" s="258"/>
      <c r="E1178" s="258"/>
      <c r="F1178" s="258"/>
      <c r="G1178" s="258"/>
      <c r="H1178" s="271"/>
      <c r="I1178" s="258"/>
      <c r="J1178" s="272"/>
      <c r="K1178" s="260"/>
      <c r="L1178" s="261"/>
      <c r="M1178" s="262" t="str">
        <f t="shared" si="1"/>
        <v/>
      </c>
      <c r="N1178" s="263" t="str">
        <f t="shared" si="2"/>
        <v/>
      </c>
      <c r="O1178" s="264" t="str">
        <f t="shared" si="3"/>
        <v/>
      </c>
      <c r="P1178" s="265" t="str">
        <f>IFERROR(__xludf.DUMMYFUNCTION("IF(ISBLANK(A1178),"""",IFERROR(IF(H1178=""Sell"",VLOOKUP(9^99,FILTER({ROW(P$2:P1177),P$2:P1177},D$2:D1177=D1178),2),(VLOOKUP(9^99,FILTER({ROW(P$2:P1177),P$2:P1177},D$2:D1177=D1178),2)*VLOOKUP(9^99,FILTER({ROW(O$2:O1177),O$2:O1177},D$2:D1177=D1178),2)-N117"&amp;"8)/O1178),J1178))"),"")</f>
        <v/>
      </c>
      <c r="Q1178" s="264" t="str">
        <f>IFERROR(__xludf.DUMMYFUNCTION("IFERROR(IF(F1178=""Crypto"",B1178,(IF(ISBLANK(D1178),"""",IF(D1178=""Cash"",B1178,IF(GOOGLEFINANCE(D1178,""CURRENCY"")=""GBX"",""GBP"",GOOGLEFINANCE(D1178,""CURRENCY"")))))),B1178)"),"")</f>
        <v/>
      </c>
      <c r="R1178" s="263" t="str">
        <f>IFERROR(__xludf.DUMMYFUNCTION("IF(ISBLANK(A1178),"""",IFERROR(IF(OR(Q1178=""GPB"",Q1178=""ZAR""),IF(Q1178=Dashboard!$L$1,K1178,(K1178*GOOGLEFINANCE(""CURRENCY:""&amp;Q1178&amp;""""&amp;Dashboard!$L$1&amp;""""))/100),IF(Q1178=Dashboard!$L$1,K1178,K1178*GOOGLEFINANCE(""CURRENCY:""&amp;Q1178&amp;""""&amp;Dashboard!$"&amp;"L$1&amp;""""))),K1178))"),"")</f>
        <v/>
      </c>
      <c r="S1178" s="266" t="str">
        <f>IFERROR(__xludf.DUMMYFUNCTION("IF(ISBLANK(A1178),"""",IFERROR(IF(OR(Q1178=""GPB"",Q1178=""ZAR""),IF(Q1178=Dashboard!$L$1,M1178,(M1178*GOOGLEFINANCE(""CURRENCY:""&amp;Q1178&amp;""""&amp;Dashboard!$L$1&amp;""""))/100),IF(Q1178=Dashboard!$L$1,M1178,M1178*GOOGLEFINANCE(""CURRENCY:""&amp;Q1178&amp;""""&amp;Dashboard!$"&amp;"L$1&amp;""""))),M1178))"),"")</f>
        <v/>
      </c>
      <c r="T1178" s="264" t="str">
        <f t="shared" si="4"/>
        <v/>
      </c>
      <c r="U1178" s="264" t="str">
        <f t="shared" si="5"/>
        <v/>
      </c>
      <c r="V1178" s="264" t="str">
        <f t="shared" si="6"/>
        <v/>
      </c>
      <c r="W1178" s="267" t="str">
        <f t="shared" si="8"/>
        <v/>
      </c>
      <c r="X1178" s="264" t="str">
        <f t="shared" si="7"/>
        <v/>
      </c>
    </row>
    <row r="1179" ht="15.75" customHeight="1">
      <c r="A1179" s="258"/>
      <c r="B1179" s="258"/>
      <c r="C1179" s="269"/>
      <c r="D1179" s="258"/>
      <c r="E1179" s="258"/>
      <c r="F1179" s="258"/>
      <c r="G1179" s="258"/>
      <c r="H1179" s="271"/>
      <c r="I1179" s="258"/>
      <c r="J1179" s="272"/>
      <c r="K1179" s="260"/>
      <c r="L1179" s="261"/>
      <c r="M1179" s="262" t="str">
        <f t="shared" si="1"/>
        <v/>
      </c>
      <c r="N1179" s="263" t="str">
        <f t="shared" si="2"/>
        <v/>
      </c>
      <c r="O1179" s="264" t="str">
        <f t="shared" si="3"/>
        <v/>
      </c>
      <c r="P1179" s="265" t="str">
        <f>IFERROR(__xludf.DUMMYFUNCTION("IF(ISBLANK(A1179),"""",IFERROR(IF(H1179=""Sell"",VLOOKUP(9^99,FILTER({ROW(P$2:P1178),P$2:P1178},D$2:D1178=D1179),2),(VLOOKUP(9^99,FILTER({ROW(P$2:P1178),P$2:P1178},D$2:D1178=D1179),2)*VLOOKUP(9^99,FILTER({ROW(O$2:O1178),O$2:O1178},D$2:D1178=D1179),2)-N117"&amp;"9)/O1179),J1179))"),"")</f>
        <v/>
      </c>
      <c r="Q1179" s="264" t="str">
        <f>IFERROR(__xludf.DUMMYFUNCTION("IFERROR(IF(F1179=""Crypto"",B1179,(IF(ISBLANK(D1179),"""",IF(D1179=""Cash"",B1179,IF(GOOGLEFINANCE(D1179,""CURRENCY"")=""GBX"",""GBP"",GOOGLEFINANCE(D1179,""CURRENCY"")))))),B1179)"),"")</f>
        <v/>
      </c>
      <c r="R1179" s="263" t="str">
        <f>IFERROR(__xludf.DUMMYFUNCTION("IF(ISBLANK(A1179),"""",IFERROR(IF(OR(Q1179=""GPB"",Q1179=""ZAR""),IF(Q1179=Dashboard!$L$1,K1179,(K1179*GOOGLEFINANCE(""CURRENCY:""&amp;Q1179&amp;""""&amp;Dashboard!$L$1&amp;""""))/100),IF(Q1179=Dashboard!$L$1,K1179,K1179*GOOGLEFINANCE(""CURRENCY:""&amp;Q1179&amp;""""&amp;Dashboard!$"&amp;"L$1&amp;""""))),K1179))"),"")</f>
        <v/>
      </c>
      <c r="S1179" s="266" t="str">
        <f>IFERROR(__xludf.DUMMYFUNCTION("IF(ISBLANK(A1179),"""",IFERROR(IF(OR(Q1179=""GPB"",Q1179=""ZAR""),IF(Q1179=Dashboard!$L$1,M1179,(M1179*GOOGLEFINANCE(""CURRENCY:""&amp;Q1179&amp;""""&amp;Dashboard!$L$1&amp;""""))/100),IF(Q1179=Dashboard!$L$1,M1179,M1179*GOOGLEFINANCE(""CURRENCY:""&amp;Q1179&amp;""""&amp;Dashboard!$"&amp;"L$1&amp;""""))),M1179))"),"")</f>
        <v/>
      </c>
      <c r="T1179" s="264" t="str">
        <f t="shared" si="4"/>
        <v/>
      </c>
      <c r="U1179" s="264" t="str">
        <f t="shared" si="5"/>
        <v/>
      </c>
      <c r="V1179" s="264" t="str">
        <f t="shared" si="6"/>
        <v/>
      </c>
      <c r="W1179" s="267" t="str">
        <f t="shared" si="8"/>
        <v/>
      </c>
      <c r="X1179" s="264" t="str">
        <f t="shared" si="7"/>
        <v/>
      </c>
    </row>
    <row r="1180" ht="15.75" customHeight="1">
      <c r="A1180" s="258"/>
      <c r="B1180" s="258"/>
      <c r="C1180" s="269"/>
      <c r="D1180" s="258"/>
      <c r="E1180" s="258"/>
      <c r="F1180" s="258"/>
      <c r="G1180" s="258"/>
      <c r="H1180" s="271"/>
      <c r="I1180" s="258"/>
      <c r="J1180" s="272"/>
      <c r="K1180" s="260"/>
      <c r="L1180" s="261"/>
      <c r="M1180" s="262" t="str">
        <f t="shared" si="1"/>
        <v/>
      </c>
      <c r="N1180" s="263" t="str">
        <f t="shared" si="2"/>
        <v/>
      </c>
      <c r="O1180" s="264" t="str">
        <f t="shared" si="3"/>
        <v/>
      </c>
      <c r="P1180" s="265" t="str">
        <f>IFERROR(__xludf.DUMMYFUNCTION("IF(ISBLANK(A1180),"""",IFERROR(IF(H1180=""Sell"",VLOOKUP(9^99,FILTER({ROW(P$2:P1179),P$2:P1179},D$2:D1179=D1180),2),(VLOOKUP(9^99,FILTER({ROW(P$2:P1179),P$2:P1179},D$2:D1179=D1180),2)*VLOOKUP(9^99,FILTER({ROW(O$2:O1179),O$2:O1179},D$2:D1179=D1180),2)-N118"&amp;"0)/O1180),J1180))"),"")</f>
        <v/>
      </c>
      <c r="Q1180" s="264" t="str">
        <f>IFERROR(__xludf.DUMMYFUNCTION("IFERROR(IF(F1180=""Crypto"",B1180,(IF(ISBLANK(D1180),"""",IF(D1180=""Cash"",B1180,IF(GOOGLEFINANCE(D1180,""CURRENCY"")=""GBX"",""GBP"",GOOGLEFINANCE(D1180,""CURRENCY"")))))),B1180)"),"")</f>
        <v/>
      </c>
      <c r="R1180" s="263" t="str">
        <f>IFERROR(__xludf.DUMMYFUNCTION("IF(ISBLANK(A1180),"""",IFERROR(IF(OR(Q1180=""GPB"",Q1180=""ZAR""),IF(Q1180=Dashboard!$L$1,K1180,(K1180*GOOGLEFINANCE(""CURRENCY:""&amp;Q1180&amp;""""&amp;Dashboard!$L$1&amp;""""))/100),IF(Q1180=Dashboard!$L$1,K1180,K1180*GOOGLEFINANCE(""CURRENCY:""&amp;Q1180&amp;""""&amp;Dashboard!$"&amp;"L$1&amp;""""))),K1180))"),"")</f>
        <v/>
      </c>
      <c r="S1180" s="266" t="str">
        <f>IFERROR(__xludf.DUMMYFUNCTION("IF(ISBLANK(A1180),"""",IFERROR(IF(OR(Q1180=""GPB"",Q1180=""ZAR""),IF(Q1180=Dashboard!$L$1,M1180,(M1180*GOOGLEFINANCE(""CURRENCY:""&amp;Q1180&amp;""""&amp;Dashboard!$L$1&amp;""""))/100),IF(Q1180=Dashboard!$L$1,M1180,M1180*GOOGLEFINANCE(""CURRENCY:""&amp;Q1180&amp;""""&amp;Dashboard!$"&amp;"L$1&amp;""""))),M1180))"),"")</f>
        <v/>
      </c>
      <c r="T1180" s="264" t="str">
        <f t="shared" si="4"/>
        <v/>
      </c>
      <c r="U1180" s="264" t="str">
        <f t="shared" si="5"/>
        <v/>
      </c>
      <c r="V1180" s="264" t="str">
        <f t="shared" si="6"/>
        <v/>
      </c>
      <c r="W1180" s="267" t="str">
        <f t="shared" si="8"/>
        <v/>
      </c>
      <c r="X1180" s="264" t="str">
        <f t="shared" si="7"/>
        <v/>
      </c>
    </row>
    <row r="1181" ht="15.75" customHeight="1">
      <c r="A1181" s="258"/>
      <c r="B1181" s="258"/>
      <c r="C1181" s="269"/>
      <c r="D1181" s="258"/>
      <c r="E1181" s="258"/>
      <c r="F1181" s="258"/>
      <c r="G1181" s="258"/>
      <c r="H1181" s="271"/>
      <c r="I1181" s="258"/>
      <c r="J1181" s="272"/>
      <c r="K1181" s="260"/>
      <c r="L1181" s="261"/>
      <c r="M1181" s="262" t="str">
        <f t="shared" si="1"/>
        <v/>
      </c>
      <c r="N1181" s="263" t="str">
        <f t="shared" si="2"/>
        <v/>
      </c>
      <c r="O1181" s="264" t="str">
        <f t="shared" si="3"/>
        <v/>
      </c>
      <c r="P1181" s="265" t="str">
        <f>IFERROR(__xludf.DUMMYFUNCTION("IF(ISBLANK(A1181),"""",IFERROR(IF(H1181=""Sell"",VLOOKUP(9^99,FILTER({ROW(P$2:P1180),P$2:P1180},D$2:D1180=D1181),2),(VLOOKUP(9^99,FILTER({ROW(P$2:P1180),P$2:P1180},D$2:D1180=D1181),2)*VLOOKUP(9^99,FILTER({ROW(O$2:O1180),O$2:O1180},D$2:D1180=D1181),2)-N118"&amp;"1)/O1181),J1181))"),"")</f>
        <v/>
      </c>
      <c r="Q1181" s="264" t="str">
        <f>IFERROR(__xludf.DUMMYFUNCTION("IFERROR(IF(F1181=""Crypto"",B1181,(IF(ISBLANK(D1181),"""",IF(D1181=""Cash"",B1181,IF(GOOGLEFINANCE(D1181,""CURRENCY"")=""GBX"",""GBP"",GOOGLEFINANCE(D1181,""CURRENCY"")))))),B1181)"),"")</f>
        <v/>
      </c>
      <c r="R1181" s="263" t="str">
        <f>IFERROR(__xludf.DUMMYFUNCTION("IF(ISBLANK(A1181),"""",IFERROR(IF(OR(Q1181=""GPB"",Q1181=""ZAR""),IF(Q1181=Dashboard!$L$1,K1181,(K1181*GOOGLEFINANCE(""CURRENCY:""&amp;Q1181&amp;""""&amp;Dashboard!$L$1&amp;""""))/100),IF(Q1181=Dashboard!$L$1,K1181,K1181*GOOGLEFINANCE(""CURRENCY:""&amp;Q1181&amp;""""&amp;Dashboard!$"&amp;"L$1&amp;""""))),K1181))"),"")</f>
        <v/>
      </c>
      <c r="S1181" s="266" t="str">
        <f>IFERROR(__xludf.DUMMYFUNCTION("IF(ISBLANK(A1181),"""",IFERROR(IF(OR(Q1181=""GPB"",Q1181=""ZAR""),IF(Q1181=Dashboard!$L$1,M1181,(M1181*GOOGLEFINANCE(""CURRENCY:""&amp;Q1181&amp;""""&amp;Dashboard!$L$1&amp;""""))/100),IF(Q1181=Dashboard!$L$1,M1181,M1181*GOOGLEFINANCE(""CURRENCY:""&amp;Q1181&amp;""""&amp;Dashboard!$"&amp;"L$1&amp;""""))),M1181))"),"")</f>
        <v/>
      </c>
      <c r="T1181" s="264" t="str">
        <f t="shared" si="4"/>
        <v/>
      </c>
      <c r="U1181" s="264" t="str">
        <f t="shared" si="5"/>
        <v/>
      </c>
      <c r="V1181" s="264" t="str">
        <f t="shared" si="6"/>
        <v/>
      </c>
      <c r="W1181" s="267" t="str">
        <f t="shared" si="8"/>
        <v/>
      </c>
      <c r="X1181" s="264" t="str">
        <f t="shared" si="7"/>
        <v/>
      </c>
    </row>
    <row r="1182" ht="15.75" customHeight="1">
      <c r="A1182" s="258"/>
      <c r="B1182" s="258"/>
      <c r="C1182" s="269"/>
      <c r="D1182" s="258"/>
      <c r="E1182" s="258"/>
      <c r="F1182" s="258"/>
      <c r="G1182" s="258"/>
      <c r="H1182" s="271"/>
      <c r="I1182" s="258"/>
      <c r="J1182" s="272"/>
      <c r="K1182" s="260"/>
      <c r="L1182" s="261"/>
      <c r="M1182" s="262" t="str">
        <f t="shared" si="1"/>
        <v/>
      </c>
      <c r="N1182" s="263" t="str">
        <f t="shared" si="2"/>
        <v/>
      </c>
      <c r="O1182" s="264" t="str">
        <f t="shared" si="3"/>
        <v/>
      </c>
      <c r="P1182" s="265" t="str">
        <f>IFERROR(__xludf.DUMMYFUNCTION("IF(ISBLANK(A1182),"""",IFERROR(IF(H1182=""Sell"",VLOOKUP(9^99,FILTER({ROW(P$2:P1181),P$2:P1181},D$2:D1181=D1182),2),(VLOOKUP(9^99,FILTER({ROW(P$2:P1181),P$2:P1181},D$2:D1181=D1182),2)*VLOOKUP(9^99,FILTER({ROW(O$2:O1181),O$2:O1181},D$2:D1181=D1182),2)-N118"&amp;"2)/O1182),J1182))"),"")</f>
        <v/>
      </c>
      <c r="Q1182" s="264" t="str">
        <f>IFERROR(__xludf.DUMMYFUNCTION("IFERROR(IF(F1182=""Crypto"",B1182,(IF(ISBLANK(D1182),"""",IF(D1182=""Cash"",B1182,IF(GOOGLEFINANCE(D1182,""CURRENCY"")=""GBX"",""GBP"",GOOGLEFINANCE(D1182,""CURRENCY"")))))),B1182)"),"")</f>
        <v/>
      </c>
      <c r="R1182" s="263" t="str">
        <f>IFERROR(__xludf.DUMMYFUNCTION("IF(ISBLANK(A1182),"""",IFERROR(IF(OR(Q1182=""GPB"",Q1182=""ZAR""),IF(Q1182=Dashboard!$L$1,K1182,(K1182*GOOGLEFINANCE(""CURRENCY:""&amp;Q1182&amp;""""&amp;Dashboard!$L$1&amp;""""))/100),IF(Q1182=Dashboard!$L$1,K1182,K1182*GOOGLEFINANCE(""CURRENCY:""&amp;Q1182&amp;""""&amp;Dashboard!$"&amp;"L$1&amp;""""))),K1182))"),"")</f>
        <v/>
      </c>
      <c r="S1182" s="266" t="str">
        <f>IFERROR(__xludf.DUMMYFUNCTION("IF(ISBLANK(A1182),"""",IFERROR(IF(OR(Q1182=""GPB"",Q1182=""ZAR""),IF(Q1182=Dashboard!$L$1,M1182,(M1182*GOOGLEFINANCE(""CURRENCY:""&amp;Q1182&amp;""""&amp;Dashboard!$L$1&amp;""""))/100),IF(Q1182=Dashboard!$L$1,M1182,M1182*GOOGLEFINANCE(""CURRENCY:""&amp;Q1182&amp;""""&amp;Dashboard!$"&amp;"L$1&amp;""""))),M1182))"),"")</f>
        <v/>
      </c>
      <c r="T1182" s="264" t="str">
        <f t="shared" si="4"/>
        <v/>
      </c>
      <c r="U1182" s="264" t="str">
        <f t="shared" si="5"/>
        <v/>
      </c>
      <c r="V1182" s="264" t="str">
        <f t="shared" si="6"/>
        <v/>
      </c>
      <c r="W1182" s="267" t="str">
        <f t="shared" si="8"/>
        <v/>
      </c>
      <c r="X1182" s="264" t="str">
        <f t="shared" si="7"/>
        <v/>
      </c>
    </row>
    <row r="1183" ht="15.75" customHeight="1">
      <c r="A1183" s="258"/>
      <c r="B1183" s="258"/>
      <c r="C1183" s="269"/>
      <c r="D1183" s="258"/>
      <c r="E1183" s="258"/>
      <c r="F1183" s="258"/>
      <c r="G1183" s="258"/>
      <c r="H1183" s="271"/>
      <c r="I1183" s="258"/>
      <c r="J1183" s="272"/>
      <c r="K1183" s="260"/>
      <c r="L1183" s="261"/>
      <c r="M1183" s="262" t="str">
        <f t="shared" si="1"/>
        <v/>
      </c>
      <c r="N1183" s="263" t="str">
        <f t="shared" si="2"/>
        <v/>
      </c>
      <c r="O1183" s="264" t="str">
        <f t="shared" si="3"/>
        <v/>
      </c>
      <c r="P1183" s="265" t="str">
        <f>IFERROR(__xludf.DUMMYFUNCTION("IF(ISBLANK(A1183),"""",IFERROR(IF(H1183=""Sell"",VLOOKUP(9^99,FILTER({ROW(P$2:P1182),P$2:P1182},D$2:D1182=D1183),2),(VLOOKUP(9^99,FILTER({ROW(P$2:P1182),P$2:P1182},D$2:D1182=D1183),2)*VLOOKUP(9^99,FILTER({ROW(O$2:O1182),O$2:O1182},D$2:D1182=D1183),2)-N118"&amp;"3)/O1183),J1183))"),"")</f>
        <v/>
      </c>
      <c r="Q1183" s="264" t="str">
        <f>IFERROR(__xludf.DUMMYFUNCTION("IFERROR(IF(F1183=""Crypto"",B1183,(IF(ISBLANK(D1183),"""",IF(D1183=""Cash"",B1183,IF(GOOGLEFINANCE(D1183,""CURRENCY"")=""GBX"",""GBP"",GOOGLEFINANCE(D1183,""CURRENCY"")))))),B1183)"),"")</f>
        <v/>
      </c>
      <c r="R1183" s="263" t="str">
        <f>IFERROR(__xludf.DUMMYFUNCTION("IF(ISBLANK(A1183),"""",IFERROR(IF(OR(Q1183=""GPB"",Q1183=""ZAR""),IF(Q1183=Dashboard!$L$1,K1183,(K1183*GOOGLEFINANCE(""CURRENCY:""&amp;Q1183&amp;""""&amp;Dashboard!$L$1&amp;""""))/100),IF(Q1183=Dashboard!$L$1,K1183,K1183*GOOGLEFINANCE(""CURRENCY:""&amp;Q1183&amp;""""&amp;Dashboard!$"&amp;"L$1&amp;""""))),K1183))"),"")</f>
        <v/>
      </c>
      <c r="S1183" s="266" t="str">
        <f>IFERROR(__xludf.DUMMYFUNCTION("IF(ISBLANK(A1183),"""",IFERROR(IF(OR(Q1183=""GPB"",Q1183=""ZAR""),IF(Q1183=Dashboard!$L$1,M1183,(M1183*GOOGLEFINANCE(""CURRENCY:""&amp;Q1183&amp;""""&amp;Dashboard!$L$1&amp;""""))/100),IF(Q1183=Dashboard!$L$1,M1183,M1183*GOOGLEFINANCE(""CURRENCY:""&amp;Q1183&amp;""""&amp;Dashboard!$"&amp;"L$1&amp;""""))),M1183))"),"")</f>
        <v/>
      </c>
      <c r="T1183" s="264" t="str">
        <f t="shared" si="4"/>
        <v/>
      </c>
      <c r="U1183" s="264" t="str">
        <f t="shared" si="5"/>
        <v/>
      </c>
      <c r="V1183" s="264" t="str">
        <f t="shared" si="6"/>
        <v/>
      </c>
      <c r="W1183" s="267" t="str">
        <f t="shared" si="8"/>
        <v/>
      </c>
      <c r="X1183" s="264" t="str">
        <f t="shared" si="7"/>
        <v/>
      </c>
    </row>
    <row r="1184" ht="15.75" customHeight="1">
      <c r="A1184" s="258"/>
      <c r="B1184" s="258"/>
      <c r="C1184" s="269"/>
      <c r="D1184" s="258"/>
      <c r="E1184" s="258"/>
      <c r="F1184" s="258"/>
      <c r="G1184" s="258"/>
      <c r="H1184" s="271"/>
      <c r="I1184" s="258"/>
      <c r="J1184" s="272"/>
      <c r="K1184" s="260"/>
      <c r="L1184" s="261"/>
      <c r="M1184" s="262" t="str">
        <f t="shared" si="1"/>
        <v/>
      </c>
      <c r="N1184" s="263" t="str">
        <f t="shared" si="2"/>
        <v/>
      </c>
      <c r="O1184" s="264" t="str">
        <f t="shared" si="3"/>
        <v/>
      </c>
      <c r="P1184" s="265" t="str">
        <f>IFERROR(__xludf.DUMMYFUNCTION("IF(ISBLANK(A1184),"""",IFERROR(IF(H1184=""Sell"",VLOOKUP(9^99,FILTER({ROW(P$2:P1183),P$2:P1183},D$2:D1183=D1184),2),(VLOOKUP(9^99,FILTER({ROW(P$2:P1183),P$2:P1183},D$2:D1183=D1184),2)*VLOOKUP(9^99,FILTER({ROW(O$2:O1183),O$2:O1183},D$2:D1183=D1184),2)-N118"&amp;"4)/O1184),J1184))"),"")</f>
        <v/>
      </c>
      <c r="Q1184" s="264" t="str">
        <f>IFERROR(__xludf.DUMMYFUNCTION("IFERROR(IF(F1184=""Crypto"",B1184,(IF(ISBLANK(D1184),"""",IF(D1184=""Cash"",B1184,IF(GOOGLEFINANCE(D1184,""CURRENCY"")=""GBX"",""GBP"",GOOGLEFINANCE(D1184,""CURRENCY"")))))),B1184)"),"")</f>
        <v/>
      </c>
      <c r="R1184" s="263" t="str">
        <f>IFERROR(__xludf.DUMMYFUNCTION("IF(ISBLANK(A1184),"""",IFERROR(IF(OR(Q1184=""GPB"",Q1184=""ZAR""),IF(Q1184=Dashboard!$L$1,K1184,(K1184*GOOGLEFINANCE(""CURRENCY:""&amp;Q1184&amp;""""&amp;Dashboard!$L$1&amp;""""))/100),IF(Q1184=Dashboard!$L$1,K1184,K1184*GOOGLEFINANCE(""CURRENCY:""&amp;Q1184&amp;""""&amp;Dashboard!$"&amp;"L$1&amp;""""))),K1184))"),"")</f>
        <v/>
      </c>
      <c r="S1184" s="266" t="str">
        <f>IFERROR(__xludf.DUMMYFUNCTION("IF(ISBLANK(A1184),"""",IFERROR(IF(OR(Q1184=""GPB"",Q1184=""ZAR""),IF(Q1184=Dashboard!$L$1,M1184,(M1184*GOOGLEFINANCE(""CURRENCY:""&amp;Q1184&amp;""""&amp;Dashboard!$L$1&amp;""""))/100),IF(Q1184=Dashboard!$L$1,M1184,M1184*GOOGLEFINANCE(""CURRENCY:""&amp;Q1184&amp;""""&amp;Dashboard!$"&amp;"L$1&amp;""""))),M1184))"),"")</f>
        <v/>
      </c>
      <c r="T1184" s="264" t="str">
        <f t="shared" si="4"/>
        <v/>
      </c>
      <c r="U1184" s="264" t="str">
        <f t="shared" si="5"/>
        <v/>
      </c>
      <c r="V1184" s="264" t="str">
        <f t="shared" si="6"/>
        <v/>
      </c>
      <c r="W1184" s="267" t="str">
        <f t="shared" si="8"/>
        <v/>
      </c>
      <c r="X1184" s="264" t="str">
        <f t="shared" si="7"/>
        <v/>
      </c>
    </row>
    <row r="1185" ht="15.75" customHeight="1">
      <c r="A1185" s="258"/>
      <c r="B1185" s="258"/>
      <c r="C1185" s="269"/>
      <c r="D1185" s="258"/>
      <c r="E1185" s="258"/>
      <c r="F1185" s="258"/>
      <c r="G1185" s="258"/>
      <c r="H1185" s="271"/>
      <c r="I1185" s="258"/>
      <c r="J1185" s="272"/>
      <c r="K1185" s="260"/>
      <c r="L1185" s="261"/>
      <c r="M1185" s="262" t="str">
        <f t="shared" si="1"/>
        <v/>
      </c>
      <c r="N1185" s="263" t="str">
        <f t="shared" si="2"/>
        <v/>
      </c>
      <c r="O1185" s="264" t="str">
        <f t="shared" si="3"/>
        <v/>
      </c>
      <c r="P1185" s="265" t="str">
        <f>IFERROR(__xludf.DUMMYFUNCTION("IF(ISBLANK(A1185),"""",IFERROR(IF(H1185=""Sell"",VLOOKUP(9^99,FILTER({ROW(P$2:P1184),P$2:P1184},D$2:D1184=D1185),2),(VLOOKUP(9^99,FILTER({ROW(P$2:P1184),P$2:P1184},D$2:D1184=D1185),2)*VLOOKUP(9^99,FILTER({ROW(O$2:O1184),O$2:O1184},D$2:D1184=D1185),2)-N118"&amp;"5)/O1185),J1185))"),"")</f>
        <v/>
      </c>
      <c r="Q1185" s="264" t="str">
        <f>IFERROR(__xludf.DUMMYFUNCTION("IFERROR(IF(F1185=""Crypto"",B1185,(IF(ISBLANK(D1185),"""",IF(D1185=""Cash"",B1185,IF(GOOGLEFINANCE(D1185,""CURRENCY"")=""GBX"",""GBP"",GOOGLEFINANCE(D1185,""CURRENCY"")))))),B1185)"),"")</f>
        <v/>
      </c>
      <c r="R1185" s="263" t="str">
        <f>IFERROR(__xludf.DUMMYFUNCTION("IF(ISBLANK(A1185),"""",IFERROR(IF(OR(Q1185=""GPB"",Q1185=""ZAR""),IF(Q1185=Dashboard!$L$1,K1185,(K1185*GOOGLEFINANCE(""CURRENCY:""&amp;Q1185&amp;""""&amp;Dashboard!$L$1&amp;""""))/100),IF(Q1185=Dashboard!$L$1,K1185,K1185*GOOGLEFINANCE(""CURRENCY:""&amp;Q1185&amp;""""&amp;Dashboard!$"&amp;"L$1&amp;""""))),K1185))"),"")</f>
        <v/>
      </c>
      <c r="S1185" s="266" t="str">
        <f>IFERROR(__xludf.DUMMYFUNCTION("IF(ISBLANK(A1185),"""",IFERROR(IF(OR(Q1185=""GPB"",Q1185=""ZAR""),IF(Q1185=Dashboard!$L$1,M1185,(M1185*GOOGLEFINANCE(""CURRENCY:""&amp;Q1185&amp;""""&amp;Dashboard!$L$1&amp;""""))/100),IF(Q1185=Dashboard!$L$1,M1185,M1185*GOOGLEFINANCE(""CURRENCY:""&amp;Q1185&amp;""""&amp;Dashboard!$"&amp;"L$1&amp;""""))),M1185))"),"")</f>
        <v/>
      </c>
      <c r="T1185" s="264" t="str">
        <f t="shared" si="4"/>
        <v/>
      </c>
      <c r="U1185" s="264" t="str">
        <f t="shared" si="5"/>
        <v/>
      </c>
      <c r="V1185" s="264" t="str">
        <f t="shared" si="6"/>
        <v/>
      </c>
      <c r="W1185" s="267" t="str">
        <f t="shared" si="8"/>
        <v/>
      </c>
      <c r="X1185" s="264" t="str">
        <f t="shared" si="7"/>
        <v/>
      </c>
    </row>
    <row r="1186" ht="15.75" customHeight="1">
      <c r="A1186" s="258"/>
      <c r="B1186" s="258"/>
      <c r="C1186" s="269"/>
      <c r="D1186" s="258"/>
      <c r="E1186" s="258"/>
      <c r="F1186" s="258"/>
      <c r="G1186" s="258"/>
      <c r="H1186" s="271"/>
      <c r="I1186" s="258"/>
      <c r="J1186" s="272"/>
      <c r="K1186" s="260"/>
      <c r="L1186" s="261"/>
      <c r="M1186" s="262" t="str">
        <f t="shared" si="1"/>
        <v/>
      </c>
      <c r="N1186" s="263" t="str">
        <f t="shared" si="2"/>
        <v/>
      </c>
      <c r="O1186" s="264" t="str">
        <f t="shared" si="3"/>
        <v/>
      </c>
      <c r="P1186" s="265" t="str">
        <f>IFERROR(__xludf.DUMMYFUNCTION("IF(ISBLANK(A1186),"""",IFERROR(IF(H1186=""Sell"",VLOOKUP(9^99,FILTER({ROW(P$2:P1185),P$2:P1185},D$2:D1185=D1186),2),(VLOOKUP(9^99,FILTER({ROW(P$2:P1185),P$2:P1185},D$2:D1185=D1186),2)*VLOOKUP(9^99,FILTER({ROW(O$2:O1185),O$2:O1185},D$2:D1185=D1186),2)-N118"&amp;"6)/O1186),J1186))"),"")</f>
        <v/>
      </c>
      <c r="Q1186" s="264" t="str">
        <f>IFERROR(__xludf.DUMMYFUNCTION("IFERROR(IF(F1186=""Crypto"",B1186,(IF(ISBLANK(D1186),"""",IF(D1186=""Cash"",B1186,IF(GOOGLEFINANCE(D1186,""CURRENCY"")=""GBX"",""GBP"",GOOGLEFINANCE(D1186,""CURRENCY"")))))),B1186)"),"")</f>
        <v/>
      </c>
      <c r="R1186" s="263" t="str">
        <f>IFERROR(__xludf.DUMMYFUNCTION("IF(ISBLANK(A1186),"""",IFERROR(IF(OR(Q1186=""GPB"",Q1186=""ZAR""),IF(Q1186=Dashboard!$L$1,K1186,(K1186*GOOGLEFINANCE(""CURRENCY:""&amp;Q1186&amp;""""&amp;Dashboard!$L$1&amp;""""))/100),IF(Q1186=Dashboard!$L$1,K1186,K1186*GOOGLEFINANCE(""CURRENCY:""&amp;Q1186&amp;""""&amp;Dashboard!$"&amp;"L$1&amp;""""))),K1186))"),"")</f>
        <v/>
      </c>
      <c r="S1186" s="266" t="str">
        <f>IFERROR(__xludf.DUMMYFUNCTION("IF(ISBLANK(A1186),"""",IFERROR(IF(OR(Q1186=""GPB"",Q1186=""ZAR""),IF(Q1186=Dashboard!$L$1,M1186,(M1186*GOOGLEFINANCE(""CURRENCY:""&amp;Q1186&amp;""""&amp;Dashboard!$L$1&amp;""""))/100),IF(Q1186=Dashboard!$L$1,M1186,M1186*GOOGLEFINANCE(""CURRENCY:""&amp;Q1186&amp;""""&amp;Dashboard!$"&amp;"L$1&amp;""""))),M1186))"),"")</f>
        <v/>
      </c>
      <c r="T1186" s="264" t="str">
        <f t="shared" si="4"/>
        <v/>
      </c>
      <c r="U1186" s="264" t="str">
        <f t="shared" si="5"/>
        <v/>
      </c>
      <c r="V1186" s="264" t="str">
        <f t="shared" si="6"/>
        <v/>
      </c>
      <c r="W1186" s="267" t="str">
        <f t="shared" si="8"/>
        <v/>
      </c>
      <c r="X1186" s="264" t="str">
        <f t="shared" si="7"/>
        <v/>
      </c>
    </row>
    <row r="1187" ht="15.75" customHeight="1">
      <c r="A1187" s="258"/>
      <c r="B1187" s="258"/>
      <c r="C1187" s="269"/>
      <c r="D1187" s="258"/>
      <c r="E1187" s="258"/>
      <c r="F1187" s="258"/>
      <c r="G1187" s="258"/>
      <c r="H1187" s="271"/>
      <c r="I1187" s="258"/>
      <c r="J1187" s="272"/>
      <c r="K1187" s="260"/>
      <c r="L1187" s="261"/>
      <c r="M1187" s="262" t="str">
        <f t="shared" si="1"/>
        <v/>
      </c>
      <c r="N1187" s="263" t="str">
        <f t="shared" si="2"/>
        <v/>
      </c>
      <c r="O1187" s="264" t="str">
        <f t="shared" si="3"/>
        <v/>
      </c>
      <c r="P1187" s="265" t="str">
        <f>IFERROR(__xludf.DUMMYFUNCTION("IF(ISBLANK(A1187),"""",IFERROR(IF(H1187=""Sell"",VLOOKUP(9^99,FILTER({ROW(P$2:P1186),P$2:P1186},D$2:D1186=D1187),2),(VLOOKUP(9^99,FILTER({ROW(P$2:P1186),P$2:P1186},D$2:D1186=D1187),2)*VLOOKUP(9^99,FILTER({ROW(O$2:O1186),O$2:O1186},D$2:D1186=D1187),2)-N118"&amp;"7)/O1187),J1187))"),"")</f>
        <v/>
      </c>
      <c r="Q1187" s="264" t="str">
        <f>IFERROR(__xludf.DUMMYFUNCTION("IFERROR(IF(F1187=""Crypto"",B1187,(IF(ISBLANK(D1187),"""",IF(D1187=""Cash"",B1187,IF(GOOGLEFINANCE(D1187,""CURRENCY"")=""GBX"",""GBP"",GOOGLEFINANCE(D1187,""CURRENCY"")))))),B1187)"),"")</f>
        <v/>
      </c>
      <c r="R1187" s="263" t="str">
        <f>IFERROR(__xludf.DUMMYFUNCTION("IF(ISBLANK(A1187),"""",IFERROR(IF(OR(Q1187=""GPB"",Q1187=""ZAR""),IF(Q1187=Dashboard!$L$1,K1187,(K1187*GOOGLEFINANCE(""CURRENCY:""&amp;Q1187&amp;""""&amp;Dashboard!$L$1&amp;""""))/100),IF(Q1187=Dashboard!$L$1,K1187,K1187*GOOGLEFINANCE(""CURRENCY:""&amp;Q1187&amp;""""&amp;Dashboard!$"&amp;"L$1&amp;""""))),K1187))"),"")</f>
        <v/>
      </c>
      <c r="S1187" s="266" t="str">
        <f>IFERROR(__xludf.DUMMYFUNCTION("IF(ISBLANK(A1187),"""",IFERROR(IF(OR(Q1187=""GPB"",Q1187=""ZAR""),IF(Q1187=Dashboard!$L$1,M1187,(M1187*GOOGLEFINANCE(""CURRENCY:""&amp;Q1187&amp;""""&amp;Dashboard!$L$1&amp;""""))/100),IF(Q1187=Dashboard!$L$1,M1187,M1187*GOOGLEFINANCE(""CURRENCY:""&amp;Q1187&amp;""""&amp;Dashboard!$"&amp;"L$1&amp;""""))),M1187))"),"")</f>
        <v/>
      </c>
      <c r="T1187" s="264" t="str">
        <f t="shared" si="4"/>
        <v/>
      </c>
      <c r="U1187" s="264" t="str">
        <f t="shared" si="5"/>
        <v/>
      </c>
      <c r="V1187" s="264" t="str">
        <f t="shared" si="6"/>
        <v/>
      </c>
      <c r="W1187" s="267" t="str">
        <f t="shared" si="8"/>
        <v/>
      </c>
      <c r="X1187" s="264" t="str">
        <f t="shared" si="7"/>
        <v/>
      </c>
    </row>
    <row r="1188" ht="15.75" customHeight="1">
      <c r="A1188" s="258"/>
      <c r="B1188" s="258"/>
      <c r="C1188" s="269"/>
      <c r="D1188" s="258"/>
      <c r="E1188" s="258"/>
      <c r="F1188" s="258"/>
      <c r="G1188" s="258"/>
      <c r="H1188" s="271"/>
      <c r="I1188" s="258"/>
      <c r="J1188" s="272"/>
      <c r="K1188" s="260"/>
      <c r="L1188" s="261"/>
      <c r="M1188" s="262" t="str">
        <f t="shared" si="1"/>
        <v/>
      </c>
      <c r="N1188" s="263" t="str">
        <f t="shared" si="2"/>
        <v/>
      </c>
      <c r="O1188" s="264" t="str">
        <f t="shared" si="3"/>
        <v/>
      </c>
      <c r="P1188" s="265" t="str">
        <f>IFERROR(__xludf.DUMMYFUNCTION("IF(ISBLANK(A1188),"""",IFERROR(IF(H1188=""Sell"",VLOOKUP(9^99,FILTER({ROW(P$2:P1187),P$2:P1187},D$2:D1187=D1188),2),(VLOOKUP(9^99,FILTER({ROW(P$2:P1187),P$2:P1187},D$2:D1187=D1188),2)*VLOOKUP(9^99,FILTER({ROW(O$2:O1187),O$2:O1187},D$2:D1187=D1188),2)-N118"&amp;"8)/O1188),J1188))"),"")</f>
        <v/>
      </c>
      <c r="Q1188" s="264" t="str">
        <f>IFERROR(__xludf.DUMMYFUNCTION("IFERROR(IF(F1188=""Crypto"",B1188,(IF(ISBLANK(D1188),"""",IF(D1188=""Cash"",B1188,IF(GOOGLEFINANCE(D1188,""CURRENCY"")=""GBX"",""GBP"",GOOGLEFINANCE(D1188,""CURRENCY"")))))),B1188)"),"")</f>
        <v/>
      </c>
      <c r="R1188" s="263" t="str">
        <f>IFERROR(__xludf.DUMMYFUNCTION("IF(ISBLANK(A1188),"""",IFERROR(IF(OR(Q1188=""GPB"",Q1188=""ZAR""),IF(Q1188=Dashboard!$L$1,K1188,(K1188*GOOGLEFINANCE(""CURRENCY:""&amp;Q1188&amp;""""&amp;Dashboard!$L$1&amp;""""))/100),IF(Q1188=Dashboard!$L$1,K1188,K1188*GOOGLEFINANCE(""CURRENCY:""&amp;Q1188&amp;""""&amp;Dashboard!$"&amp;"L$1&amp;""""))),K1188))"),"")</f>
        <v/>
      </c>
      <c r="S1188" s="266" t="str">
        <f>IFERROR(__xludf.DUMMYFUNCTION("IF(ISBLANK(A1188),"""",IFERROR(IF(OR(Q1188=""GPB"",Q1188=""ZAR""),IF(Q1188=Dashboard!$L$1,M1188,(M1188*GOOGLEFINANCE(""CURRENCY:""&amp;Q1188&amp;""""&amp;Dashboard!$L$1&amp;""""))/100),IF(Q1188=Dashboard!$L$1,M1188,M1188*GOOGLEFINANCE(""CURRENCY:""&amp;Q1188&amp;""""&amp;Dashboard!$"&amp;"L$1&amp;""""))),M1188))"),"")</f>
        <v/>
      </c>
      <c r="T1188" s="264" t="str">
        <f t="shared" si="4"/>
        <v/>
      </c>
      <c r="U1188" s="264" t="str">
        <f t="shared" si="5"/>
        <v/>
      </c>
      <c r="V1188" s="264" t="str">
        <f t="shared" si="6"/>
        <v/>
      </c>
      <c r="W1188" s="267" t="str">
        <f t="shared" si="8"/>
        <v/>
      </c>
      <c r="X1188" s="264" t="str">
        <f t="shared" si="7"/>
        <v/>
      </c>
    </row>
    <row r="1189" ht="15.75" customHeight="1">
      <c r="A1189" s="258"/>
      <c r="B1189" s="258"/>
      <c r="C1189" s="269"/>
      <c r="D1189" s="258"/>
      <c r="E1189" s="258"/>
      <c r="F1189" s="258"/>
      <c r="G1189" s="258"/>
      <c r="H1189" s="271"/>
      <c r="I1189" s="258"/>
      <c r="J1189" s="272"/>
      <c r="K1189" s="260"/>
      <c r="L1189" s="261"/>
      <c r="M1189" s="262" t="str">
        <f t="shared" si="1"/>
        <v/>
      </c>
      <c r="N1189" s="263" t="str">
        <f t="shared" si="2"/>
        <v/>
      </c>
      <c r="O1189" s="264" t="str">
        <f t="shared" si="3"/>
        <v/>
      </c>
      <c r="P1189" s="265" t="str">
        <f>IFERROR(__xludf.DUMMYFUNCTION("IF(ISBLANK(A1189),"""",IFERROR(IF(H1189=""Sell"",VLOOKUP(9^99,FILTER({ROW(P$2:P1188),P$2:P1188},D$2:D1188=D1189),2),(VLOOKUP(9^99,FILTER({ROW(P$2:P1188),P$2:P1188},D$2:D1188=D1189),2)*VLOOKUP(9^99,FILTER({ROW(O$2:O1188),O$2:O1188},D$2:D1188=D1189),2)-N118"&amp;"9)/O1189),J1189))"),"")</f>
        <v/>
      </c>
      <c r="Q1189" s="264" t="str">
        <f>IFERROR(__xludf.DUMMYFUNCTION("IFERROR(IF(F1189=""Crypto"",B1189,(IF(ISBLANK(D1189),"""",IF(D1189=""Cash"",B1189,IF(GOOGLEFINANCE(D1189,""CURRENCY"")=""GBX"",""GBP"",GOOGLEFINANCE(D1189,""CURRENCY"")))))),B1189)"),"")</f>
        <v/>
      </c>
      <c r="R1189" s="263" t="str">
        <f>IFERROR(__xludf.DUMMYFUNCTION("IF(ISBLANK(A1189),"""",IFERROR(IF(OR(Q1189=""GPB"",Q1189=""ZAR""),IF(Q1189=Dashboard!$L$1,K1189,(K1189*GOOGLEFINANCE(""CURRENCY:""&amp;Q1189&amp;""""&amp;Dashboard!$L$1&amp;""""))/100),IF(Q1189=Dashboard!$L$1,K1189,K1189*GOOGLEFINANCE(""CURRENCY:""&amp;Q1189&amp;""""&amp;Dashboard!$"&amp;"L$1&amp;""""))),K1189))"),"")</f>
        <v/>
      </c>
      <c r="S1189" s="266" t="str">
        <f>IFERROR(__xludf.DUMMYFUNCTION("IF(ISBLANK(A1189),"""",IFERROR(IF(OR(Q1189=""GPB"",Q1189=""ZAR""),IF(Q1189=Dashboard!$L$1,M1189,(M1189*GOOGLEFINANCE(""CURRENCY:""&amp;Q1189&amp;""""&amp;Dashboard!$L$1&amp;""""))/100),IF(Q1189=Dashboard!$L$1,M1189,M1189*GOOGLEFINANCE(""CURRENCY:""&amp;Q1189&amp;""""&amp;Dashboard!$"&amp;"L$1&amp;""""))),M1189))"),"")</f>
        <v/>
      </c>
      <c r="T1189" s="264" t="str">
        <f t="shared" si="4"/>
        <v/>
      </c>
      <c r="U1189" s="264" t="str">
        <f t="shared" si="5"/>
        <v/>
      </c>
      <c r="V1189" s="264" t="str">
        <f t="shared" si="6"/>
        <v/>
      </c>
      <c r="W1189" s="267" t="str">
        <f t="shared" si="8"/>
        <v/>
      </c>
      <c r="X1189" s="264" t="str">
        <f t="shared" si="7"/>
        <v/>
      </c>
    </row>
    <row r="1190" ht="15.75" customHeight="1">
      <c r="A1190" s="258"/>
      <c r="B1190" s="258"/>
      <c r="C1190" s="269"/>
      <c r="D1190" s="258"/>
      <c r="E1190" s="258"/>
      <c r="F1190" s="258"/>
      <c r="G1190" s="258"/>
      <c r="H1190" s="271"/>
      <c r="I1190" s="258"/>
      <c r="J1190" s="272"/>
      <c r="K1190" s="260"/>
      <c r="L1190" s="261"/>
      <c r="M1190" s="262" t="str">
        <f t="shared" si="1"/>
        <v/>
      </c>
      <c r="N1190" s="263" t="str">
        <f t="shared" si="2"/>
        <v/>
      </c>
      <c r="O1190" s="264" t="str">
        <f t="shared" si="3"/>
        <v/>
      </c>
      <c r="P1190" s="265" t="str">
        <f>IFERROR(__xludf.DUMMYFUNCTION("IF(ISBLANK(A1190),"""",IFERROR(IF(H1190=""Sell"",VLOOKUP(9^99,FILTER({ROW(P$2:P1189),P$2:P1189},D$2:D1189=D1190),2),(VLOOKUP(9^99,FILTER({ROW(P$2:P1189),P$2:P1189},D$2:D1189=D1190),2)*VLOOKUP(9^99,FILTER({ROW(O$2:O1189),O$2:O1189},D$2:D1189=D1190),2)-N119"&amp;"0)/O1190),J1190))"),"")</f>
        <v/>
      </c>
      <c r="Q1190" s="264" t="str">
        <f>IFERROR(__xludf.DUMMYFUNCTION("IFERROR(IF(F1190=""Crypto"",B1190,(IF(ISBLANK(D1190),"""",IF(D1190=""Cash"",B1190,IF(GOOGLEFINANCE(D1190,""CURRENCY"")=""GBX"",""GBP"",GOOGLEFINANCE(D1190,""CURRENCY"")))))),B1190)"),"")</f>
        <v/>
      </c>
      <c r="R1190" s="263" t="str">
        <f>IFERROR(__xludf.DUMMYFUNCTION("IF(ISBLANK(A1190),"""",IFERROR(IF(OR(Q1190=""GPB"",Q1190=""ZAR""),IF(Q1190=Dashboard!$L$1,K1190,(K1190*GOOGLEFINANCE(""CURRENCY:""&amp;Q1190&amp;""""&amp;Dashboard!$L$1&amp;""""))/100),IF(Q1190=Dashboard!$L$1,K1190,K1190*GOOGLEFINANCE(""CURRENCY:""&amp;Q1190&amp;""""&amp;Dashboard!$"&amp;"L$1&amp;""""))),K1190))"),"")</f>
        <v/>
      </c>
      <c r="S1190" s="266" t="str">
        <f>IFERROR(__xludf.DUMMYFUNCTION("IF(ISBLANK(A1190),"""",IFERROR(IF(OR(Q1190=""GPB"",Q1190=""ZAR""),IF(Q1190=Dashboard!$L$1,M1190,(M1190*GOOGLEFINANCE(""CURRENCY:""&amp;Q1190&amp;""""&amp;Dashboard!$L$1&amp;""""))/100),IF(Q1190=Dashboard!$L$1,M1190,M1190*GOOGLEFINANCE(""CURRENCY:""&amp;Q1190&amp;""""&amp;Dashboard!$"&amp;"L$1&amp;""""))),M1190))"),"")</f>
        <v/>
      </c>
      <c r="T1190" s="264" t="str">
        <f t="shared" si="4"/>
        <v/>
      </c>
      <c r="U1190" s="264" t="str">
        <f t="shared" si="5"/>
        <v/>
      </c>
      <c r="V1190" s="264" t="str">
        <f t="shared" si="6"/>
        <v/>
      </c>
      <c r="W1190" s="267" t="str">
        <f t="shared" si="8"/>
        <v/>
      </c>
      <c r="X1190" s="264" t="str">
        <f t="shared" si="7"/>
        <v/>
      </c>
    </row>
    <row r="1191" ht="15.75" customHeight="1">
      <c r="A1191" s="258"/>
      <c r="B1191" s="258"/>
      <c r="C1191" s="269"/>
      <c r="D1191" s="258"/>
      <c r="E1191" s="258"/>
      <c r="F1191" s="258"/>
      <c r="G1191" s="258"/>
      <c r="H1191" s="271"/>
      <c r="I1191" s="258"/>
      <c r="J1191" s="272"/>
      <c r="K1191" s="260"/>
      <c r="L1191" s="261"/>
      <c r="M1191" s="262" t="str">
        <f t="shared" si="1"/>
        <v/>
      </c>
      <c r="N1191" s="263" t="str">
        <f t="shared" si="2"/>
        <v/>
      </c>
      <c r="O1191" s="264" t="str">
        <f t="shared" si="3"/>
        <v/>
      </c>
      <c r="P1191" s="265" t="str">
        <f>IFERROR(__xludf.DUMMYFUNCTION("IF(ISBLANK(A1191),"""",IFERROR(IF(H1191=""Sell"",VLOOKUP(9^99,FILTER({ROW(P$2:P1190),P$2:P1190},D$2:D1190=D1191),2),(VLOOKUP(9^99,FILTER({ROW(P$2:P1190),P$2:P1190},D$2:D1190=D1191),2)*VLOOKUP(9^99,FILTER({ROW(O$2:O1190),O$2:O1190},D$2:D1190=D1191),2)-N119"&amp;"1)/O1191),J1191))"),"")</f>
        <v/>
      </c>
      <c r="Q1191" s="264" t="str">
        <f>IFERROR(__xludf.DUMMYFUNCTION("IFERROR(IF(F1191=""Crypto"",B1191,(IF(ISBLANK(D1191),"""",IF(D1191=""Cash"",B1191,IF(GOOGLEFINANCE(D1191,""CURRENCY"")=""GBX"",""GBP"",GOOGLEFINANCE(D1191,""CURRENCY"")))))),B1191)"),"")</f>
        <v/>
      </c>
      <c r="R1191" s="263" t="str">
        <f>IFERROR(__xludf.DUMMYFUNCTION("IF(ISBLANK(A1191),"""",IFERROR(IF(OR(Q1191=""GPB"",Q1191=""ZAR""),IF(Q1191=Dashboard!$L$1,K1191,(K1191*GOOGLEFINANCE(""CURRENCY:""&amp;Q1191&amp;""""&amp;Dashboard!$L$1&amp;""""))/100),IF(Q1191=Dashboard!$L$1,K1191,K1191*GOOGLEFINANCE(""CURRENCY:""&amp;Q1191&amp;""""&amp;Dashboard!$"&amp;"L$1&amp;""""))),K1191))"),"")</f>
        <v/>
      </c>
      <c r="S1191" s="266" t="str">
        <f>IFERROR(__xludf.DUMMYFUNCTION("IF(ISBLANK(A1191),"""",IFERROR(IF(OR(Q1191=""GPB"",Q1191=""ZAR""),IF(Q1191=Dashboard!$L$1,M1191,(M1191*GOOGLEFINANCE(""CURRENCY:""&amp;Q1191&amp;""""&amp;Dashboard!$L$1&amp;""""))/100),IF(Q1191=Dashboard!$L$1,M1191,M1191*GOOGLEFINANCE(""CURRENCY:""&amp;Q1191&amp;""""&amp;Dashboard!$"&amp;"L$1&amp;""""))),M1191))"),"")</f>
        <v/>
      </c>
      <c r="T1191" s="264" t="str">
        <f t="shared" si="4"/>
        <v/>
      </c>
      <c r="U1191" s="264" t="str">
        <f t="shared" si="5"/>
        <v/>
      </c>
      <c r="V1191" s="264" t="str">
        <f t="shared" si="6"/>
        <v/>
      </c>
      <c r="W1191" s="267" t="str">
        <f t="shared" si="8"/>
        <v/>
      </c>
      <c r="X1191" s="264" t="str">
        <f t="shared" si="7"/>
        <v/>
      </c>
    </row>
    <row r="1192" ht="15.75" customHeight="1">
      <c r="A1192" s="258"/>
      <c r="B1192" s="258"/>
      <c r="C1192" s="269"/>
      <c r="D1192" s="258"/>
      <c r="E1192" s="258"/>
      <c r="F1192" s="258"/>
      <c r="G1192" s="258"/>
      <c r="H1192" s="271"/>
      <c r="I1192" s="258"/>
      <c r="J1192" s="272"/>
      <c r="K1192" s="260"/>
      <c r="L1192" s="261"/>
      <c r="M1192" s="262" t="str">
        <f t="shared" si="1"/>
        <v/>
      </c>
      <c r="N1192" s="263" t="str">
        <f t="shared" si="2"/>
        <v/>
      </c>
      <c r="O1192" s="264" t="str">
        <f t="shared" si="3"/>
        <v/>
      </c>
      <c r="P1192" s="265" t="str">
        <f>IFERROR(__xludf.DUMMYFUNCTION("IF(ISBLANK(A1192),"""",IFERROR(IF(H1192=""Sell"",VLOOKUP(9^99,FILTER({ROW(P$2:P1191),P$2:P1191},D$2:D1191=D1192),2),(VLOOKUP(9^99,FILTER({ROW(P$2:P1191),P$2:P1191},D$2:D1191=D1192),2)*VLOOKUP(9^99,FILTER({ROW(O$2:O1191),O$2:O1191},D$2:D1191=D1192),2)-N119"&amp;"2)/O1192),J1192))"),"")</f>
        <v/>
      </c>
      <c r="Q1192" s="264" t="str">
        <f>IFERROR(__xludf.DUMMYFUNCTION("IFERROR(IF(F1192=""Crypto"",B1192,(IF(ISBLANK(D1192),"""",IF(D1192=""Cash"",B1192,IF(GOOGLEFINANCE(D1192,""CURRENCY"")=""GBX"",""GBP"",GOOGLEFINANCE(D1192,""CURRENCY"")))))),B1192)"),"")</f>
        <v/>
      </c>
      <c r="R1192" s="263" t="str">
        <f>IFERROR(__xludf.DUMMYFUNCTION("IF(ISBLANK(A1192),"""",IFERROR(IF(OR(Q1192=""GPB"",Q1192=""ZAR""),IF(Q1192=Dashboard!$L$1,K1192,(K1192*GOOGLEFINANCE(""CURRENCY:""&amp;Q1192&amp;""""&amp;Dashboard!$L$1&amp;""""))/100),IF(Q1192=Dashboard!$L$1,K1192,K1192*GOOGLEFINANCE(""CURRENCY:""&amp;Q1192&amp;""""&amp;Dashboard!$"&amp;"L$1&amp;""""))),K1192))"),"")</f>
        <v/>
      </c>
      <c r="S1192" s="266" t="str">
        <f>IFERROR(__xludf.DUMMYFUNCTION("IF(ISBLANK(A1192),"""",IFERROR(IF(OR(Q1192=""GPB"",Q1192=""ZAR""),IF(Q1192=Dashboard!$L$1,M1192,(M1192*GOOGLEFINANCE(""CURRENCY:""&amp;Q1192&amp;""""&amp;Dashboard!$L$1&amp;""""))/100),IF(Q1192=Dashboard!$L$1,M1192,M1192*GOOGLEFINANCE(""CURRENCY:""&amp;Q1192&amp;""""&amp;Dashboard!$"&amp;"L$1&amp;""""))),M1192))"),"")</f>
        <v/>
      </c>
      <c r="T1192" s="264" t="str">
        <f t="shared" si="4"/>
        <v/>
      </c>
      <c r="U1192" s="264" t="str">
        <f t="shared" si="5"/>
        <v/>
      </c>
      <c r="V1192" s="264" t="str">
        <f t="shared" si="6"/>
        <v/>
      </c>
      <c r="W1192" s="267" t="str">
        <f t="shared" si="8"/>
        <v/>
      </c>
      <c r="X1192" s="264" t="str">
        <f t="shared" si="7"/>
        <v/>
      </c>
    </row>
    <row r="1193" ht="15.75" customHeight="1">
      <c r="A1193" s="258"/>
      <c r="B1193" s="258"/>
      <c r="C1193" s="269"/>
      <c r="D1193" s="258"/>
      <c r="E1193" s="258"/>
      <c r="F1193" s="258"/>
      <c r="G1193" s="258"/>
      <c r="H1193" s="271"/>
      <c r="I1193" s="258"/>
      <c r="J1193" s="272"/>
      <c r="K1193" s="260"/>
      <c r="L1193" s="261"/>
      <c r="M1193" s="262" t="str">
        <f t="shared" si="1"/>
        <v/>
      </c>
      <c r="N1193" s="263" t="str">
        <f t="shared" si="2"/>
        <v/>
      </c>
      <c r="O1193" s="264" t="str">
        <f t="shared" si="3"/>
        <v/>
      </c>
      <c r="P1193" s="265" t="str">
        <f>IFERROR(__xludf.DUMMYFUNCTION("IF(ISBLANK(A1193),"""",IFERROR(IF(H1193=""Sell"",VLOOKUP(9^99,FILTER({ROW(P$2:P1192),P$2:P1192},D$2:D1192=D1193),2),(VLOOKUP(9^99,FILTER({ROW(P$2:P1192),P$2:P1192},D$2:D1192=D1193),2)*VLOOKUP(9^99,FILTER({ROW(O$2:O1192),O$2:O1192},D$2:D1192=D1193),2)-N119"&amp;"3)/O1193),J1193))"),"")</f>
        <v/>
      </c>
      <c r="Q1193" s="264" t="str">
        <f>IFERROR(__xludf.DUMMYFUNCTION("IFERROR(IF(F1193=""Crypto"",B1193,(IF(ISBLANK(D1193),"""",IF(D1193=""Cash"",B1193,IF(GOOGLEFINANCE(D1193,""CURRENCY"")=""GBX"",""GBP"",GOOGLEFINANCE(D1193,""CURRENCY"")))))),B1193)"),"")</f>
        <v/>
      </c>
      <c r="R1193" s="263" t="str">
        <f>IFERROR(__xludf.DUMMYFUNCTION("IF(ISBLANK(A1193),"""",IFERROR(IF(OR(Q1193=""GPB"",Q1193=""ZAR""),IF(Q1193=Dashboard!$L$1,K1193,(K1193*GOOGLEFINANCE(""CURRENCY:""&amp;Q1193&amp;""""&amp;Dashboard!$L$1&amp;""""))/100),IF(Q1193=Dashboard!$L$1,K1193,K1193*GOOGLEFINANCE(""CURRENCY:""&amp;Q1193&amp;""""&amp;Dashboard!$"&amp;"L$1&amp;""""))),K1193))"),"")</f>
        <v/>
      </c>
      <c r="S1193" s="266" t="str">
        <f>IFERROR(__xludf.DUMMYFUNCTION("IF(ISBLANK(A1193),"""",IFERROR(IF(OR(Q1193=""GPB"",Q1193=""ZAR""),IF(Q1193=Dashboard!$L$1,M1193,(M1193*GOOGLEFINANCE(""CURRENCY:""&amp;Q1193&amp;""""&amp;Dashboard!$L$1&amp;""""))/100),IF(Q1193=Dashboard!$L$1,M1193,M1193*GOOGLEFINANCE(""CURRENCY:""&amp;Q1193&amp;""""&amp;Dashboard!$"&amp;"L$1&amp;""""))),M1193))"),"")</f>
        <v/>
      </c>
      <c r="T1193" s="264" t="str">
        <f t="shared" si="4"/>
        <v/>
      </c>
      <c r="U1193" s="264" t="str">
        <f t="shared" si="5"/>
        <v/>
      </c>
      <c r="V1193" s="264" t="str">
        <f t="shared" si="6"/>
        <v/>
      </c>
      <c r="W1193" s="267" t="str">
        <f t="shared" si="8"/>
        <v/>
      </c>
      <c r="X1193" s="264" t="str">
        <f t="shared" si="7"/>
        <v/>
      </c>
    </row>
    <row r="1194" ht="15.75" customHeight="1">
      <c r="A1194" s="258"/>
      <c r="B1194" s="258"/>
      <c r="C1194" s="269"/>
      <c r="D1194" s="258"/>
      <c r="E1194" s="258"/>
      <c r="F1194" s="258"/>
      <c r="G1194" s="258"/>
      <c r="H1194" s="271"/>
      <c r="I1194" s="258"/>
      <c r="J1194" s="272"/>
      <c r="K1194" s="260"/>
      <c r="L1194" s="261"/>
      <c r="M1194" s="262" t="str">
        <f t="shared" si="1"/>
        <v/>
      </c>
      <c r="N1194" s="263" t="str">
        <f t="shared" si="2"/>
        <v/>
      </c>
      <c r="O1194" s="264" t="str">
        <f t="shared" si="3"/>
        <v/>
      </c>
      <c r="P1194" s="265" t="str">
        <f>IFERROR(__xludf.DUMMYFUNCTION("IF(ISBLANK(A1194),"""",IFERROR(IF(H1194=""Sell"",VLOOKUP(9^99,FILTER({ROW(P$2:P1193),P$2:P1193},D$2:D1193=D1194),2),(VLOOKUP(9^99,FILTER({ROW(P$2:P1193),P$2:P1193},D$2:D1193=D1194),2)*VLOOKUP(9^99,FILTER({ROW(O$2:O1193),O$2:O1193},D$2:D1193=D1194),2)-N119"&amp;"4)/O1194),J1194))"),"")</f>
        <v/>
      </c>
      <c r="Q1194" s="264" t="str">
        <f>IFERROR(__xludf.DUMMYFUNCTION("IFERROR(IF(F1194=""Crypto"",B1194,(IF(ISBLANK(D1194),"""",IF(D1194=""Cash"",B1194,IF(GOOGLEFINANCE(D1194,""CURRENCY"")=""GBX"",""GBP"",GOOGLEFINANCE(D1194,""CURRENCY"")))))),B1194)"),"")</f>
        <v/>
      </c>
      <c r="R1194" s="263" t="str">
        <f>IFERROR(__xludf.DUMMYFUNCTION("IF(ISBLANK(A1194),"""",IFERROR(IF(OR(Q1194=""GPB"",Q1194=""ZAR""),IF(Q1194=Dashboard!$L$1,K1194,(K1194*GOOGLEFINANCE(""CURRENCY:""&amp;Q1194&amp;""""&amp;Dashboard!$L$1&amp;""""))/100),IF(Q1194=Dashboard!$L$1,K1194,K1194*GOOGLEFINANCE(""CURRENCY:""&amp;Q1194&amp;""""&amp;Dashboard!$"&amp;"L$1&amp;""""))),K1194))"),"")</f>
        <v/>
      </c>
      <c r="S1194" s="266" t="str">
        <f>IFERROR(__xludf.DUMMYFUNCTION("IF(ISBLANK(A1194),"""",IFERROR(IF(OR(Q1194=""GPB"",Q1194=""ZAR""),IF(Q1194=Dashboard!$L$1,M1194,(M1194*GOOGLEFINANCE(""CURRENCY:""&amp;Q1194&amp;""""&amp;Dashboard!$L$1&amp;""""))/100),IF(Q1194=Dashboard!$L$1,M1194,M1194*GOOGLEFINANCE(""CURRENCY:""&amp;Q1194&amp;""""&amp;Dashboard!$"&amp;"L$1&amp;""""))),M1194))"),"")</f>
        <v/>
      </c>
      <c r="T1194" s="264" t="str">
        <f t="shared" si="4"/>
        <v/>
      </c>
      <c r="U1194" s="264" t="str">
        <f t="shared" si="5"/>
        <v/>
      </c>
      <c r="V1194" s="264" t="str">
        <f t="shared" si="6"/>
        <v/>
      </c>
      <c r="W1194" s="267" t="str">
        <f t="shared" si="8"/>
        <v/>
      </c>
      <c r="X1194" s="264" t="str">
        <f t="shared" si="7"/>
        <v/>
      </c>
    </row>
    <row r="1195" ht="15.75" customHeight="1">
      <c r="A1195" s="258"/>
      <c r="B1195" s="258"/>
      <c r="C1195" s="269"/>
      <c r="D1195" s="258"/>
      <c r="E1195" s="258"/>
      <c r="F1195" s="258"/>
      <c r="G1195" s="258"/>
      <c r="H1195" s="271"/>
      <c r="I1195" s="258"/>
      <c r="J1195" s="272"/>
      <c r="K1195" s="260"/>
      <c r="L1195" s="261"/>
      <c r="M1195" s="262" t="str">
        <f t="shared" si="1"/>
        <v/>
      </c>
      <c r="N1195" s="263" t="str">
        <f t="shared" si="2"/>
        <v/>
      </c>
      <c r="O1195" s="264" t="str">
        <f t="shared" si="3"/>
        <v/>
      </c>
      <c r="P1195" s="265" t="str">
        <f>IFERROR(__xludf.DUMMYFUNCTION("IF(ISBLANK(A1195),"""",IFERROR(IF(H1195=""Sell"",VLOOKUP(9^99,FILTER({ROW(P$2:P1194),P$2:P1194},D$2:D1194=D1195),2),(VLOOKUP(9^99,FILTER({ROW(P$2:P1194),P$2:P1194},D$2:D1194=D1195),2)*VLOOKUP(9^99,FILTER({ROW(O$2:O1194),O$2:O1194},D$2:D1194=D1195),2)-N119"&amp;"5)/O1195),J1195))"),"")</f>
        <v/>
      </c>
      <c r="Q1195" s="264" t="str">
        <f>IFERROR(__xludf.DUMMYFUNCTION("IFERROR(IF(F1195=""Crypto"",B1195,(IF(ISBLANK(D1195),"""",IF(D1195=""Cash"",B1195,IF(GOOGLEFINANCE(D1195,""CURRENCY"")=""GBX"",""GBP"",GOOGLEFINANCE(D1195,""CURRENCY"")))))),B1195)"),"")</f>
        <v/>
      </c>
      <c r="R1195" s="263" t="str">
        <f>IFERROR(__xludf.DUMMYFUNCTION("IF(ISBLANK(A1195),"""",IFERROR(IF(OR(Q1195=""GPB"",Q1195=""ZAR""),IF(Q1195=Dashboard!$L$1,K1195,(K1195*GOOGLEFINANCE(""CURRENCY:""&amp;Q1195&amp;""""&amp;Dashboard!$L$1&amp;""""))/100),IF(Q1195=Dashboard!$L$1,K1195,K1195*GOOGLEFINANCE(""CURRENCY:""&amp;Q1195&amp;""""&amp;Dashboard!$"&amp;"L$1&amp;""""))),K1195))"),"")</f>
        <v/>
      </c>
      <c r="S1195" s="266" t="str">
        <f>IFERROR(__xludf.DUMMYFUNCTION("IF(ISBLANK(A1195),"""",IFERROR(IF(OR(Q1195=""GPB"",Q1195=""ZAR""),IF(Q1195=Dashboard!$L$1,M1195,(M1195*GOOGLEFINANCE(""CURRENCY:""&amp;Q1195&amp;""""&amp;Dashboard!$L$1&amp;""""))/100),IF(Q1195=Dashboard!$L$1,M1195,M1195*GOOGLEFINANCE(""CURRENCY:""&amp;Q1195&amp;""""&amp;Dashboard!$"&amp;"L$1&amp;""""))),M1195))"),"")</f>
        <v/>
      </c>
      <c r="T1195" s="264" t="str">
        <f t="shared" si="4"/>
        <v/>
      </c>
      <c r="U1195" s="264" t="str">
        <f t="shared" si="5"/>
        <v/>
      </c>
      <c r="V1195" s="264" t="str">
        <f t="shared" si="6"/>
        <v/>
      </c>
      <c r="W1195" s="267" t="str">
        <f t="shared" si="8"/>
        <v/>
      </c>
      <c r="X1195" s="264" t="str">
        <f t="shared" si="7"/>
        <v/>
      </c>
    </row>
    <row r="1196" ht="15.75" customHeight="1">
      <c r="A1196" s="258"/>
      <c r="B1196" s="258"/>
      <c r="C1196" s="269"/>
      <c r="D1196" s="258"/>
      <c r="E1196" s="258"/>
      <c r="F1196" s="258"/>
      <c r="G1196" s="258"/>
      <c r="H1196" s="271"/>
      <c r="I1196" s="258"/>
      <c r="J1196" s="272"/>
      <c r="K1196" s="260"/>
      <c r="L1196" s="261"/>
      <c r="M1196" s="262" t="str">
        <f t="shared" si="1"/>
        <v/>
      </c>
      <c r="N1196" s="263" t="str">
        <f t="shared" si="2"/>
        <v/>
      </c>
      <c r="O1196" s="264" t="str">
        <f t="shared" si="3"/>
        <v/>
      </c>
      <c r="P1196" s="265" t="str">
        <f>IFERROR(__xludf.DUMMYFUNCTION("IF(ISBLANK(A1196),"""",IFERROR(IF(H1196=""Sell"",VLOOKUP(9^99,FILTER({ROW(P$2:P1195),P$2:P1195},D$2:D1195=D1196),2),(VLOOKUP(9^99,FILTER({ROW(P$2:P1195),P$2:P1195},D$2:D1195=D1196),2)*VLOOKUP(9^99,FILTER({ROW(O$2:O1195),O$2:O1195},D$2:D1195=D1196),2)-N119"&amp;"6)/O1196),J1196))"),"")</f>
        <v/>
      </c>
      <c r="Q1196" s="264" t="str">
        <f>IFERROR(__xludf.DUMMYFUNCTION("IFERROR(IF(F1196=""Crypto"",B1196,(IF(ISBLANK(D1196),"""",IF(D1196=""Cash"",B1196,IF(GOOGLEFINANCE(D1196,""CURRENCY"")=""GBX"",""GBP"",GOOGLEFINANCE(D1196,""CURRENCY"")))))),B1196)"),"")</f>
        <v/>
      </c>
      <c r="R1196" s="263" t="str">
        <f>IFERROR(__xludf.DUMMYFUNCTION("IF(ISBLANK(A1196),"""",IFERROR(IF(OR(Q1196=""GPB"",Q1196=""ZAR""),IF(Q1196=Dashboard!$L$1,K1196,(K1196*GOOGLEFINANCE(""CURRENCY:""&amp;Q1196&amp;""""&amp;Dashboard!$L$1&amp;""""))/100),IF(Q1196=Dashboard!$L$1,K1196,K1196*GOOGLEFINANCE(""CURRENCY:""&amp;Q1196&amp;""""&amp;Dashboard!$"&amp;"L$1&amp;""""))),K1196))"),"")</f>
        <v/>
      </c>
      <c r="S1196" s="266" t="str">
        <f>IFERROR(__xludf.DUMMYFUNCTION("IF(ISBLANK(A1196),"""",IFERROR(IF(OR(Q1196=""GPB"",Q1196=""ZAR""),IF(Q1196=Dashboard!$L$1,M1196,(M1196*GOOGLEFINANCE(""CURRENCY:""&amp;Q1196&amp;""""&amp;Dashboard!$L$1&amp;""""))/100),IF(Q1196=Dashboard!$L$1,M1196,M1196*GOOGLEFINANCE(""CURRENCY:""&amp;Q1196&amp;""""&amp;Dashboard!$"&amp;"L$1&amp;""""))),M1196))"),"")</f>
        <v/>
      </c>
      <c r="T1196" s="264" t="str">
        <f t="shared" si="4"/>
        <v/>
      </c>
      <c r="U1196" s="264" t="str">
        <f t="shared" si="5"/>
        <v/>
      </c>
      <c r="V1196" s="264" t="str">
        <f t="shared" si="6"/>
        <v/>
      </c>
      <c r="W1196" s="267" t="str">
        <f t="shared" si="8"/>
        <v/>
      </c>
      <c r="X1196" s="264" t="str">
        <f t="shared" si="7"/>
        <v/>
      </c>
    </row>
    <row r="1197" ht="15.75" customHeight="1">
      <c r="A1197" s="258"/>
      <c r="B1197" s="258"/>
      <c r="C1197" s="269"/>
      <c r="D1197" s="258"/>
      <c r="E1197" s="258"/>
      <c r="F1197" s="258"/>
      <c r="G1197" s="258"/>
      <c r="H1197" s="271"/>
      <c r="I1197" s="258"/>
      <c r="J1197" s="272"/>
      <c r="K1197" s="260"/>
      <c r="L1197" s="261"/>
      <c r="M1197" s="262" t="str">
        <f t="shared" si="1"/>
        <v/>
      </c>
      <c r="N1197" s="263" t="str">
        <f t="shared" si="2"/>
        <v/>
      </c>
      <c r="O1197" s="264" t="str">
        <f t="shared" si="3"/>
        <v/>
      </c>
      <c r="P1197" s="265" t="str">
        <f>IFERROR(__xludf.DUMMYFUNCTION("IF(ISBLANK(A1197),"""",IFERROR(IF(H1197=""Sell"",VLOOKUP(9^99,FILTER({ROW(P$2:P1196),P$2:P1196},D$2:D1196=D1197),2),(VLOOKUP(9^99,FILTER({ROW(P$2:P1196),P$2:P1196},D$2:D1196=D1197),2)*VLOOKUP(9^99,FILTER({ROW(O$2:O1196),O$2:O1196},D$2:D1196=D1197),2)-N119"&amp;"7)/O1197),J1197))"),"")</f>
        <v/>
      </c>
      <c r="Q1197" s="264" t="str">
        <f>IFERROR(__xludf.DUMMYFUNCTION("IFERROR(IF(F1197=""Crypto"",B1197,(IF(ISBLANK(D1197),"""",IF(D1197=""Cash"",B1197,IF(GOOGLEFINANCE(D1197,""CURRENCY"")=""GBX"",""GBP"",GOOGLEFINANCE(D1197,""CURRENCY"")))))),B1197)"),"")</f>
        <v/>
      </c>
      <c r="R1197" s="263" t="str">
        <f>IFERROR(__xludf.DUMMYFUNCTION("IF(ISBLANK(A1197),"""",IFERROR(IF(OR(Q1197=""GPB"",Q1197=""ZAR""),IF(Q1197=Dashboard!$L$1,K1197,(K1197*GOOGLEFINANCE(""CURRENCY:""&amp;Q1197&amp;""""&amp;Dashboard!$L$1&amp;""""))/100),IF(Q1197=Dashboard!$L$1,K1197,K1197*GOOGLEFINANCE(""CURRENCY:""&amp;Q1197&amp;""""&amp;Dashboard!$"&amp;"L$1&amp;""""))),K1197))"),"")</f>
        <v/>
      </c>
      <c r="S1197" s="266" t="str">
        <f>IFERROR(__xludf.DUMMYFUNCTION("IF(ISBLANK(A1197),"""",IFERROR(IF(OR(Q1197=""GPB"",Q1197=""ZAR""),IF(Q1197=Dashboard!$L$1,M1197,(M1197*GOOGLEFINANCE(""CURRENCY:""&amp;Q1197&amp;""""&amp;Dashboard!$L$1&amp;""""))/100),IF(Q1197=Dashboard!$L$1,M1197,M1197*GOOGLEFINANCE(""CURRENCY:""&amp;Q1197&amp;""""&amp;Dashboard!$"&amp;"L$1&amp;""""))),M1197))"),"")</f>
        <v/>
      </c>
      <c r="T1197" s="264" t="str">
        <f t="shared" si="4"/>
        <v/>
      </c>
      <c r="U1197" s="264" t="str">
        <f t="shared" si="5"/>
        <v/>
      </c>
      <c r="V1197" s="264" t="str">
        <f t="shared" si="6"/>
        <v/>
      </c>
      <c r="W1197" s="267" t="str">
        <f t="shared" si="8"/>
        <v/>
      </c>
      <c r="X1197" s="264" t="str">
        <f t="shared" si="7"/>
        <v/>
      </c>
    </row>
    <row r="1198" ht="15.75" customHeight="1">
      <c r="A1198" s="258"/>
      <c r="B1198" s="258"/>
      <c r="C1198" s="269"/>
      <c r="D1198" s="258"/>
      <c r="E1198" s="258"/>
      <c r="F1198" s="258"/>
      <c r="G1198" s="258"/>
      <c r="H1198" s="271"/>
      <c r="I1198" s="258"/>
      <c r="J1198" s="272"/>
      <c r="K1198" s="260"/>
      <c r="L1198" s="261"/>
      <c r="M1198" s="262" t="str">
        <f t="shared" si="1"/>
        <v/>
      </c>
      <c r="N1198" s="263" t="str">
        <f t="shared" si="2"/>
        <v/>
      </c>
      <c r="O1198" s="264" t="str">
        <f t="shared" si="3"/>
        <v/>
      </c>
      <c r="P1198" s="265" t="str">
        <f>IFERROR(__xludf.DUMMYFUNCTION("IF(ISBLANK(A1198),"""",IFERROR(IF(H1198=""Sell"",VLOOKUP(9^99,FILTER({ROW(P$2:P1197),P$2:P1197},D$2:D1197=D1198),2),(VLOOKUP(9^99,FILTER({ROW(P$2:P1197),P$2:P1197},D$2:D1197=D1198),2)*VLOOKUP(9^99,FILTER({ROW(O$2:O1197),O$2:O1197},D$2:D1197=D1198),2)-N119"&amp;"8)/O1198),J1198))"),"")</f>
        <v/>
      </c>
      <c r="Q1198" s="264" t="str">
        <f>IFERROR(__xludf.DUMMYFUNCTION("IFERROR(IF(F1198=""Crypto"",B1198,(IF(ISBLANK(D1198),"""",IF(D1198=""Cash"",B1198,IF(GOOGLEFINANCE(D1198,""CURRENCY"")=""GBX"",""GBP"",GOOGLEFINANCE(D1198,""CURRENCY"")))))),B1198)"),"")</f>
        <v/>
      </c>
      <c r="R1198" s="263" t="str">
        <f>IFERROR(__xludf.DUMMYFUNCTION("IF(ISBLANK(A1198),"""",IFERROR(IF(OR(Q1198=""GPB"",Q1198=""ZAR""),IF(Q1198=Dashboard!$L$1,K1198,(K1198*GOOGLEFINANCE(""CURRENCY:""&amp;Q1198&amp;""""&amp;Dashboard!$L$1&amp;""""))/100),IF(Q1198=Dashboard!$L$1,K1198,K1198*GOOGLEFINANCE(""CURRENCY:""&amp;Q1198&amp;""""&amp;Dashboard!$"&amp;"L$1&amp;""""))),K1198))"),"")</f>
        <v/>
      </c>
      <c r="S1198" s="266" t="str">
        <f>IFERROR(__xludf.DUMMYFUNCTION("IF(ISBLANK(A1198),"""",IFERROR(IF(OR(Q1198=""GPB"",Q1198=""ZAR""),IF(Q1198=Dashboard!$L$1,M1198,(M1198*GOOGLEFINANCE(""CURRENCY:""&amp;Q1198&amp;""""&amp;Dashboard!$L$1&amp;""""))/100),IF(Q1198=Dashboard!$L$1,M1198,M1198*GOOGLEFINANCE(""CURRENCY:""&amp;Q1198&amp;""""&amp;Dashboard!$"&amp;"L$1&amp;""""))),M1198))"),"")</f>
        <v/>
      </c>
      <c r="T1198" s="264" t="str">
        <f t="shared" si="4"/>
        <v/>
      </c>
      <c r="U1198" s="264" t="str">
        <f t="shared" si="5"/>
        <v/>
      </c>
      <c r="V1198" s="264" t="str">
        <f t="shared" si="6"/>
        <v/>
      </c>
      <c r="W1198" s="267" t="str">
        <f t="shared" si="8"/>
        <v/>
      </c>
      <c r="X1198" s="264" t="str">
        <f t="shared" si="7"/>
        <v/>
      </c>
    </row>
    <row r="1199" ht="15.75" customHeight="1">
      <c r="A1199" s="258"/>
      <c r="B1199" s="258"/>
      <c r="C1199" s="269"/>
      <c r="D1199" s="258"/>
      <c r="E1199" s="258"/>
      <c r="F1199" s="258"/>
      <c r="G1199" s="258"/>
      <c r="H1199" s="271"/>
      <c r="I1199" s="258"/>
      <c r="J1199" s="272"/>
      <c r="K1199" s="260"/>
      <c r="L1199" s="261"/>
      <c r="M1199" s="262" t="str">
        <f t="shared" si="1"/>
        <v/>
      </c>
      <c r="N1199" s="263" t="str">
        <f t="shared" si="2"/>
        <v/>
      </c>
      <c r="O1199" s="264" t="str">
        <f t="shared" si="3"/>
        <v/>
      </c>
      <c r="P1199" s="265" t="str">
        <f>IFERROR(__xludf.DUMMYFUNCTION("IF(ISBLANK(A1199),"""",IFERROR(IF(H1199=""Sell"",VLOOKUP(9^99,FILTER({ROW(P$2:P1198),P$2:P1198},D$2:D1198=D1199),2),(VLOOKUP(9^99,FILTER({ROW(P$2:P1198),P$2:P1198},D$2:D1198=D1199),2)*VLOOKUP(9^99,FILTER({ROW(O$2:O1198),O$2:O1198},D$2:D1198=D1199),2)-N119"&amp;"9)/O1199),J1199))"),"")</f>
        <v/>
      </c>
      <c r="Q1199" s="264" t="str">
        <f>IFERROR(__xludf.DUMMYFUNCTION("IFERROR(IF(F1199=""Crypto"",B1199,(IF(ISBLANK(D1199),"""",IF(D1199=""Cash"",B1199,IF(GOOGLEFINANCE(D1199,""CURRENCY"")=""GBX"",""GBP"",GOOGLEFINANCE(D1199,""CURRENCY"")))))),B1199)"),"")</f>
        <v/>
      </c>
      <c r="R1199" s="263" t="str">
        <f>IFERROR(__xludf.DUMMYFUNCTION("IF(ISBLANK(A1199),"""",IFERROR(IF(OR(Q1199=""GPB"",Q1199=""ZAR""),IF(Q1199=Dashboard!$L$1,K1199,(K1199*GOOGLEFINANCE(""CURRENCY:""&amp;Q1199&amp;""""&amp;Dashboard!$L$1&amp;""""))/100),IF(Q1199=Dashboard!$L$1,K1199,K1199*GOOGLEFINANCE(""CURRENCY:""&amp;Q1199&amp;""""&amp;Dashboard!$"&amp;"L$1&amp;""""))),K1199))"),"")</f>
        <v/>
      </c>
      <c r="S1199" s="266" t="str">
        <f>IFERROR(__xludf.DUMMYFUNCTION("IF(ISBLANK(A1199),"""",IFERROR(IF(OR(Q1199=""GPB"",Q1199=""ZAR""),IF(Q1199=Dashboard!$L$1,M1199,(M1199*GOOGLEFINANCE(""CURRENCY:""&amp;Q1199&amp;""""&amp;Dashboard!$L$1&amp;""""))/100),IF(Q1199=Dashboard!$L$1,M1199,M1199*GOOGLEFINANCE(""CURRENCY:""&amp;Q1199&amp;""""&amp;Dashboard!$"&amp;"L$1&amp;""""))),M1199))"),"")</f>
        <v/>
      </c>
      <c r="T1199" s="264" t="str">
        <f t="shared" si="4"/>
        <v/>
      </c>
      <c r="U1199" s="264" t="str">
        <f t="shared" si="5"/>
        <v/>
      </c>
      <c r="V1199" s="264" t="str">
        <f t="shared" si="6"/>
        <v/>
      </c>
      <c r="W1199" s="267" t="str">
        <f t="shared" si="8"/>
        <v/>
      </c>
      <c r="X1199" s="264" t="str">
        <f t="shared" si="7"/>
        <v/>
      </c>
    </row>
    <row r="1200" ht="15.75" customHeight="1">
      <c r="A1200" s="258"/>
      <c r="B1200" s="258"/>
      <c r="C1200" s="269"/>
      <c r="D1200" s="258"/>
      <c r="E1200" s="258"/>
      <c r="F1200" s="258"/>
      <c r="G1200" s="258"/>
      <c r="H1200" s="271"/>
      <c r="I1200" s="258"/>
      <c r="J1200" s="272"/>
      <c r="K1200" s="260"/>
      <c r="L1200" s="261"/>
      <c r="M1200" s="262" t="str">
        <f t="shared" si="1"/>
        <v/>
      </c>
      <c r="N1200" s="263" t="str">
        <f t="shared" si="2"/>
        <v/>
      </c>
      <c r="O1200" s="264" t="str">
        <f t="shared" si="3"/>
        <v/>
      </c>
      <c r="P1200" s="265" t="str">
        <f>IFERROR(__xludf.DUMMYFUNCTION("IF(ISBLANK(A1200),"""",IFERROR(IF(H1200=""Sell"",VLOOKUP(9^99,FILTER({ROW(P$2:P1199),P$2:P1199},D$2:D1199=D1200),2),(VLOOKUP(9^99,FILTER({ROW(P$2:P1199),P$2:P1199},D$2:D1199=D1200),2)*VLOOKUP(9^99,FILTER({ROW(O$2:O1199),O$2:O1199},D$2:D1199=D1200),2)-N120"&amp;"0)/O1200),J1200))"),"")</f>
        <v/>
      </c>
      <c r="Q1200" s="264" t="str">
        <f>IFERROR(__xludf.DUMMYFUNCTION("IFERROR(IF(F1200=""Crypto"",B1200,(IF(ISBLANK(D1200),"""",IF(D1200=""Cash"",B1200,IF(GOOGLEFINANCE(D1200,""CURRENCY"")=""GBX"",""GBP"",GOOGLEFINANCE(D1200,""CURRENCY"")))))),B1200)"),"")</f>
        <v/>
      </c>
      <c r="R1200" s="263" t="str">
        <f>IFERROR(__xludf.DUMMYFUNCTION("IF(ISBLANK(A1200),"""",IFERROR(IF(OR(Q1200=""GPB"",Q1200=""ZAR""),IF(Q1200=Dashboard!$L$1,K1200,(K1200*GOOGLEFINANCE(""CURRENCY:""&amp;Q1200&amp;""""&amp;Dashboard!$L$1&amp;""""))/100),IF(Q1200=Dashboard!$L$1,K1200,K1200*GOOGLEFINANCE(""CURRENCY:""&amp;Q1200&amp;""""&amp;Dashboard!$"&amp;"L$1&amp;""""))),K1200))"),"")</f>
        <v/>
      </c>
      <c r="S1200" s="266" t="str">
        <f>IFERROR(__xludf.DUMMYFUNCTION("IF(ISBLANK(A1200),"""",IFERROR(IF(OR(Q1200=""GPB"",Q1200=""ZAR""),IF(Q1200=Dashboard!$L$1,M1200,(M1200*GOOGLEFINANCE(""CURRENCY:""&amp;Q1200&amp;""""&amp;Dashboard!$L$1&amp;""""))/100),IF(Q1200=Dashboard!$L$1,M1200,M1200*GOOGLEFINANCE(""CURRENCY:""&amp;Q1200&amp;""""&amp;Dashboard!$"&amp;"L$1&amp;""""))),M1200))"),"")</f>
        <v/>
      </c>
      <c r="T1200" s="264" t="str">
        <f t="shared" si="4"/>
        <v/>
      </c>
      <c r="U1200" s="264" t="str">
        <f t="shared" si="5"/>
        <v/>
      </c>
      <c r="V1200" s="264" t="str">
        <f t="shared" si="6"/>
        <v/>
      </c>
      <c r="W1200" s="267" t="str">
        <f t="shared" si="8"/>
        <v/>
      </c>
      <c r="X1200" s="264" t="str">
        <f t="shared" si="7"/>
        <v/>
      </c>
    </row>
    <row r="1201" ht="15.75" customHeight="1">
      <c r="A1201" s="258"/>
      <c r="B1201" s="258"/>
      <c r="C1201" s="269"/>
      <c r="D1201" s="258"/>
      <c r="E1201" s="258"/>
      <c r="F1201" s="258"/>
      <c r="G1201" s="258"/>
      <c r="H1201" s="271"/>
      <c r="I1201" s="258"/>
      <c r="J1201" s="272"/>
      <c r="K1201" s="260"/>
      <c r="L1201" s="261"/>
      <c r="M1201" s="262" t="str">
        <f t="shared" si="1"/>
        <v/>
      </c>
      <c r="N1201" s="263" t="str">
        <f t="shared" si="2"/>
        <v/>
      </c>
      <c r="O1201" s="264" t="str">
        <f t="shared" si="3"/>
        <v/>
      </c>
      <c r="P1201" s="265" t="str">
        <f>IFERROR(__xludf.DUMMYFUNCTION("IF(ISBLANK(A1201),"""",IFERROR(IF(H1201=""Sell"",VLOOKUP(9^99,FILTER({ROW(P$2:P1200),P$2:P1200},D$2:D1200=D1201),2),(VLOOKUP(9^99,FILTER({ROW(P$2:P1200),P$2:P1200},D$2:D1200=D1201),2)*VLOOKUP(9^99,FILTER({ROW(O$2:O1200),O$2:O1200},D$2:D1200=D1201),2)-N120"&amp;"1)/O1201),J1201))"),"")</f>
        <v/>
      </c>
      <c r="Q1201" s="264" t="str">
        <f>IFERROR(__xludf.DUMMYFUNCTION("IFERROR(IF(F1201=""Crypto"",B1201,(IF(ISBLANK(D1201),"""",IF(D1201=""Cash"",B1201,IF(GOOGLEFINANCE(D1201,""CURRENCY"")=""GBX"",""GBP"",GOOGLEFINANCE(D1201,""CURRENCY"")))))),B1201)"),"")</f>
        <v/>
      </c>
      <c r="R1201" s="263" t="str">
        <f>IFERROR(__xludf.DUMMYFUNCTION("IF(ISBLANK(A1201),"""",IFERROR(IF(OR(Q1201=""GPB"",Q1201=""ZAR""),IF(Q1201=Dashboard!$L$1,K1201,(K1201*GOOGLEFINANCE(""CURRENCY:""&amp;Q1201&amp;""""&amp;Dashboard!$L$1&amp;""""))/100),IF(Q1201=Dashboard!$L$1,K1201,K1201*GOOGLEFINANCE(""CURRENCY:""&amp;Q1201&amp;""""&amp;Dashboard!$"&amp;"L$1&amp;""""))),K1201))"),"")</f>
        <v/>
      </c>
      <c r="S1201" s="266" t="str">
        <f>IFERROR(__xludf.DUMMYFUNCTION("IF(ISBLANK(A1201),"""",IFERROR(IF(OR(Q1201=""GPB"",Q1201=""ZAR""),IF(Q1201=Dashboard!$L$1,M1201,(M1201*GOOGLEFINANCE(""CURRENCY:""&amp;Q1201&amp;""""&amp;Dashboard!$L$1&amp;""""))/100),IF(Q1201=Dashboard!$L$1,M1201,M1201*GOOGLEFINANCE(""CURRENCY:""&amp;Q1201&amp;""""&amp;Dashboard!$"&amp;"L$1&amp;""""))),M1201))"),"")</f>
        <v/>
      </c>
      <c r="T1201" s="264" t="str">
        <f t="shared" si="4"/>
        <v/>
      </c>
      <c r="U1201" s="264" t="str">
        <f t="shared" si="5"/>
        <v/>
      </c>
      <c r="V1201" s="264" t="str">
        <f t="shared" si="6"/>
        <v/>
      </c>
      <c r="W1201" s="267" t="str">
        <f t="shared" si="8"/>
        <v/>
      </c>
      <c r="X1201" s="264" t="str">
        <f t="shared" si="7"/>
        <v/>
      </c>
    </row>
    <row r="1202" ht="15.75" customHeight="1">
      <c r="A1202" s="258"/>
      <c r="B1202" s="258"/>
      <c r="C1202" s="269"/>
      <c r="D1202" s="258"/>
      <c r="E1202" s="258"/>
      <c r="F1202" s="258"/>
      <c r="G1202" s="258"/>
      <c r="H1202" s="271"/>
      <c r="I1202" s="258"/>
      <c r="J1202" s="272"/>
      <c r="K1202" s="260"/>
      <c r="L1202" s="261"/>
      <c r="M1202" s="262" t="str">
        <f t="shared" si="1"/>
        <v/>
      </c>
      <c r="N1202" s="263" t="str">
        <f t="shared" si="2"/>
        <v/>
      </c>
      <c r="O1202" s="264" t="str">
        <f t="shared" si="3"/>
        <v/>
      </c>
      <c r="P1202" s="265" t="str">
        <f>IFERROR(__xludf.DUMMYFUNCTION("IF(ISBLANK(A1202),"""",IFERROR(IF(H1202=""Sell"",VLOOKUP(9^99,FILTER({ROW(P$2:P1201),P$2:P1201},D$2:D1201=D1202),2),(VLOOKUP(9^99,FILTER({ROW(P$2:P1201),P$2:P1201},D$2:D1201=D1202),2)*VLOOKUP(9^99,FILTER({ROW(O$2:O1201),O$2:O1201},D$2:D1201=D1202),2)-N120"&amp;"2)/O1202),J1202))"),"")</f>
        <v/>
      </c>
      <c r="Q1202" s="264" t="str">
        <f>IFERROR(__xludf.DUMMYFUNCTION("IFERROR(IF(F1202=""Crypto"",B1202,(IF(ISBLANK(D1202),"""",IF(D1202=""Cash"",B1202,IF(GOOGLEFINANCE(D1202,""CURRENCY"")=""GBX"",""GBP"",GOOGLEFINANCE(D1202,""CURRENCY"")))))),B1202)"),"")</f>
        <v/>
      </c>
      <c r="R1202" s="263" t="str">
        <f>IFERROR(__xludf.DUMMYFUNCTION("IF(ISBLANK(A1202),"""",IFERROR(IF(OR(Q1202=""GPB"",Q1202=""ZAR""),IF(Q1202=Dashboard!$L$1,K1202,(K1202*GOOGLEFINANCE(""CURRENCY:""&amp;Q1202&amp;""""&amp;Dashboard!$L$1&amp;""""))/100),IF(Q1202=Dashboard!$L$1,K1202,K1202*GOOGLEFINANCE(""CURRENCY:""&amp;Q1202&amp;""""&amp;Dashboard!$"&amp;"L$1&amp;""""))),K1202))"),"")</f>
        <v/>
      </c>
      <c r="S1202" s="266" t="str">
        <f>IFERROR(__xludf.DUMMYFUNCTION("IF(ISBLANK(A1202),"""",IFERROR(IF(OR(Q1202=""GPB"",Q1202=""ZAR""),IF(Q1202=Dashboard!$L$1,M1202,(M1202*GOOGLEFINANCE(""CURRENCY:""&amp;Q1202&amp;""""&amp;Dashboard!$L$1&amp;""""))/100),IF(Q1202=Dashboard!$L$1,M1202,M1202*GOOGLEFINANCE(""CURRENCY:""&amp;Q1202&amp;""""&amp;Dashboard!$"&amp;"L$1&amp;""""))),M1202))"),"")</f>
        <v/>
      </c>
      <c r="T1202" s="264" t="str">
        <f t="shared" si="4"/>
        <v/>
      </c>
      <c r="U1202" s="264" t="str">
        <f t="shared" si="5"/>
        <v/>
      </c>
      <c r="V1202" s="264" t="str">
        <f t="shared" si="6"/>
        <v/>
      </c>
      <c r="W1202" s="267" t="str">
        <f t="shared" si="8"/>
        <v/>
      </c>
      <c r="X1202" s="264" t="str">
        <f t="shared" si="7"/>
        <v/>
      </c>
    </row>
    <row r="1203" ht="15.75" customHeight="1">
      <c r="A1203" s="258"/>
      <c r="B1203" s="258"/>
      <c r="C1203" s="269"/>
      <c r="D1203" s="258"/>
      <c r="E1203" s="258"/>
      <c r="F1203" s="258"/>
      <c r="G1203" s="258"/>
      <c r="H1203" s="271"/>
      <c r="I1203" s="258"/>
      <c r="J1203" s="272"/>
      <c r="K1203" s="260"/>
      <c r="L1203" s="261"/>
      <c r="M1203" s="262" t="str">
        <f t="shared" si="1"/>
        <v/>
      </c>
      <c r="N1203" s="263" t="str">
        <f t="shared" si="2"/>
        <v/>
      </c>
      <c r="O1203" s="264" t="str">
        <f t="shared" si="3"/>
        <v/>
      </c>
      <c r="P1203" s="265" t="str">
        <f>IFERROR(__xludf.DUMMYFUNCTION("IF(ISBLANK(A1203),"""",IFERROR(IF(H1203=""Sell"",VLOOKUP(9^99,FILTER({ROW(P$2:P1202),P$2:P1202},D$2:D1202=D1203),2),(VLOOKUP(9^99,FILTER({ROW(P$2:P1202),P$2:P1202},D$2:D1202=D1203),2)*VLOOKUP(9^99,FILTER({ROW(O$2:O1202),O$2:O1202},D$2:D1202=D1203),2)-N120"&amp;"3)/O1203),J1203))"),"")</f>
        <v/>
      </c>
      <c r="Q1203" s="264" t="str">
        <f>IFERROR(__xludf.DUMMYFUNCTION("IFERROR(IF(F1203=""Crypto"",B1203,(IF(ISBLANK(D1203),"""",IF(D1203=""Cash"",B1203,IF(GOOGLEFINANCE(D1203,""CURRENCY"")=""GBX"",""GBP"",GOOGLEFINANCE(D1203,""CURRENCY"")))))),B1203)"),"")</f>
        <v/>
      </c>
      <c r="R1203" s="263" t="str">
        <f>IFERROR(__xludf.DUMMYFUNCTION("IF(ISBLANK(A1203),"""",IFERROR(IF(OR(Q1203=""GPB"",Q1203=""ZAR""),IF(Q1203=Dashboard!$L$1,K1203,(K1203*GOOGLEFINANCE(""CURRENCY:""&amp;Q1203&amp;""""&amp;Dashboard!$L$1&amp;""""))/100),IF(Q1203=Dashboard!$L$1,K1203,K1203*GOOGLEFINANCE(""CURRENCY:""&amp;Q1203&amp;""""&amp;Dashboard!$"&amp;"L$1&amp;""""))),K1203))"),"")</f>
        <v/>
      </c>
      <c r="S1203" s="266" t="str">
        <f>IFERROR(__xludf.DUMMYFUNCTION("IF(ISBLANK(A1203),"""",IFERROR(IF(OR(Q1203=""GPB"",Q1203=""ZAR""),IF(Q1203=Dashboard!$L$1,M1203,(M1203*GOOGLEFINANCE(""CURRENCY:""&amp;Q1203&amp;""""&amp;Dashboard!$L$1&amp;""""))/100),IF(Q1203=Dashboard!$L$1,M1203,M1203*GOOGLEFINANCE(""CURRENCY:""&amp;Q1203&amp;""""&amp;Dashboard!$"&amp;"L$1&amp;""""))),M1203))"),"")</f>
        <v/>
      </c>
      <c r="T1203" s="264" t="str">
        <f t="shared" si="4"/>
        <v/>
      </c>
      <c r="U1203" s="264" t="str">
        <f t="shared" si="5"/>
        <v/>
      </c>
      <c r="V1203" s="264" t="str">
        <f t="shared" si="6"/>
        <v/>
      </c>
      <c r="W1203" s="267" t="str">
        <f t="shared" si="8"/>
        <v/>
      </c>
      <c r="X1203" s="264" t="str">
        <f t="shared" si="7"/>
        <v/>
      </c>
    </row>
    <row r="1204" ht="15.75" customHeight="1">
      <c r="A1204" s="258"/>
      <c r="B1204" s="258"/>
      <c r="C1204" s="269"/>
      <c r="D1204" s="258"/>
      <c r="E1204" s="258"/>
      <c r="F1204" s="258"/>
      <c r="G1204" s="258"/>
      <c r="H1204" s="271"/>
      <c r="I1204" s="258"/>
      <c r="J1204" s="272"/>
      <c r="K1204" s="260"/>
      <c r="L1204" s="261"/>
      <c r="M1204" s="262" t="str">
        <f t="shared" si="1"/>
        <v/>
      </c>
      <c r="N1204" s="263" t="str">
        <f t="shared" si="2"/>
        <v/>
      </c>
      <c r="O1204" s="264" t="str">
        <f t="shared" si="3"/>
        <v/>
      </c>
      <c r="P1204" s="265" t="str">
        <f>IFERROR(__xludf.DUMMYFUNCTION("IF(ISBLANK(A1204),"""",IFERROR(IF(H1204=""Sell"",VLOOKUP(9^99,FILTER({ROW(P$2:P1203),P$2:P1203},D$2:D1203=D1204),2),(VLOOKUP(9^99,FILTER({ROW(P$2:P1203),P$2:P1203},D$2:D1203=D1204),2)*VLOOKUP(9^99,FILTER({ROW(O$2:O1203),O$2:O1203},D$2:D1203=D1204),2)-N120"&amp;"4)/O1204),J1204))"),"")</f>
        <v/>
      </c>
      <c r="Q1204" s="264" t="str">
        <f>IFERROR(__xludf.DUMMYFUNCTION("IFERROR(IF(F1204=""Crypto"",B1204,(IF(ISBLANK(D1204),"""",IF(D1204=""Cash"",B1204,IF(GOOGLEFINANCE(D1204,""CURRENCY"")=""GBX"",""GBP"",GOOGLEFINANCE(D1204,""CURRENCY"")))))),B1204)"),"")</f>
        <v/>
      </c>
      <c r="R1204" s="263" t="str">
        <f>IFERROR(__xludf.DUMMYFUNCTION("IF(ISBLANK(A1204),"""",IFERROR(IF(OR(Q1204=""GPB"",Q1204=""ZAR""),IF(Q1204=Dashboard!$L$1,K1204,(K1204*GOOGLEFINANCE(""CURRENCY:""&amp;Q1204&amp;""""&amp;Dashboard!$L$1&amp;""""))/100),IF(Q1204=Dashboard!$L$1,K1204,K1204*GOOGLEFINANCE(""CURRENCY:""&amp;Q1204&amp;""""&amp;Dashboard!$"&amp;"L$1&amp;""""))),K1204))"),"")</f>
        <v/>
      </c>
      <c r="S1204" s="266" t="str">
        <f>IFERROR(__xludf.DUMMYFUNCTION("IF(ISBLANK(A1204),"""",IFERROR(IF(OR(Q1204=""GPB"",Q1204=""ZAR""),IF(Q1204=Dashboard!$L$1,M1204,(M1204*GOOGLEFINANCE(""CURRENCY:""&amp;Q1204&amp;""""&amp;Dashboard!$L$1&amp;""""))/100),IF(Q1204=Dashboard!$L$1,M1204,M1204*GOOGLEFINANCE(""CURRENCY:""&amp;Q1204&amp;""""&amp;Dashboard!$"&amp;"L$1&amp;""""))),M1204))"),"")</f>
        <v/>
      </c>
      <c r="T1204" s="264" t="str">
        <f t="shared" si="4"/>
        <v/>
      </c>
      <c r="U1204" s="264" t="str">
        <f t="shared" si="5"/>
        <v/>
      </c>
      <c r="V1204" s="264" t="str">
        <f t="shared" si="6"/>
        <v/>
      </c>
      <c r="W1204" s="267" t="str">
        <f t="shared" si="8"/>
        <v/>
      </c>
      <c r="X1204" s="264" t="str">
        <f t="shared" si="7"/>
        <v/>
      </c>
    </row>
    <row r="1205" ht="15.75" customHeight="1">
      <c r="A1205" s="258"/>
      <c r="B1205" s="258"/>
      <c r="C1205" s="269"/>
      <c r="D1205" s="258"/>
      <c r="E1205" s="258"/>
      <c r="F1205" s="258"/>
      <c r="G1205" s="258"/>
      <c r="H1205" s="271"/>
      <c r="I1205" s="258"/>
      <c r="J1205" s="272"/>
      <c r="K1205" s="260"/>
      <c r="L1205" s="261"/>
      <c r="M1205" s="262" t="str">
        <f t="shared" si="1"/>
        <v/>
      </c>
      <c r="N1205" s="263" t="str">
        <f t="shared" si="2"/>
        <v/>
      </c>
      <c r="O1205" s="264" t="str">
        <f t="shared" si="3"/>
        <v/>
      </c>
      <c r="P1205" s="265" t="str">
        <f>IFERROR(__xludf.DUMMYFUNCTION("IF(ISBLANK(A1205),"""",IFERROR(IF(H1205=""Sell"",VLOOKUP(9^99,FILTER({ROW(P$2:P1204),P$2:P1204},D$2:D1204=D1205),2),(VLOOKUP(9^99,FILTER({ROW(P$2:P1204),P$2:P1204},D$2:D1204=D1205),2)*VLOOKUP(9^99,FILTER({ROW(O$2:O1204),O$2:O1204},D$2:D1204=D1205),2)-N120"&amp;"5)/O1205),J1205))"),"")</f>
        <v/>
      </c>
      <c r="Q1205" s="264" t="str">
        <f>IFERROR(__xludf.DUMMYFUNCTION("IFERROR(IF(F1205=""Crypto"",B1205,(IF(ISBLANK(D1205),"""",IF(D1205=""Cash"",B1205,IF(GOOGLEFINANCE(D1205,""CURRENCY"")=""GBX"",""GBP"",GOOGLEFINANCE(D1205,""CURRENCY"")))))),B1205)"),"")</f>
        <v/>
      </c>
      <c r="R1205" s="263" t="str">
        <f>IFERROR(__xludf.DUMMYFUNCTION("IF(ISBLANK(A1205),"""",IFERROR(IF(OR(Q1205=""GPB"",Q1205=""ZAR""),IF(Q1205=Dashboard!$L$1,K1205,(K1205*GOOGLEFINANCE(""CURRENCY:""&amp;Q1205&amp;""""&amp;Dashboard!$L$1&amp;""""))/100),IF(Q1205=Dashboard!$L$1,K1205,K1205*GOOGLEFINANCE(""CURRENCY:""&amp;Q1205&amp;""""&amp;Dashboard!$"&amp;"L$1&amp;""""))),K1205))"),"")</f>
        <v/>
      </c>
      <c r="S1205" s="266" t="str">
        <f>IFERROR(__xludf.DUMMYFUNCTION("IF(ISBLANK(A1205),"""",IFERROR(IF(OR(Q1205=""GPB"",Q1205=""ZAR""),IF(Q1205=Dashboard!$L$1,M1205,(M1205*GOOGLEFINANCE(""CURRENCY:""&amp;Q1205&amp;""""&amp;Dashboard!$L$1&amp;""""))/100),IF(Q1205=Dashboard!$L$1,M1205,M1205*GOOGLEFINANCE(""CURRENCY:""&amp;Q1205&amp;""""&amp;Dashboard!$"&amp;"L$1&amp;""""))),M1205))"),"")</f>
        <v/>
      </c>
      <c r="T1205" s="264" t="str">
        <f t="shared" si="4"/>
        <v/>
      </c>
      <c r="U1205" s="264" t="str">
        <f t="shared" si="5"/>
        <v/>
      </c>
      <c r="V1205" s="264" t="str">
        <f t="shared" si="6"/>
        <v/>
      </c>
      <c r="W1205" s="267" t="str">
        <f t="shared" si="8"/>
        <v/>
      </c>
      <c r="X1205" s="264" t="str">
        <f t="shared" si="7"/>
        <v/>
      </c>
    </row>
    <row r="1206" ht="15.75" customHeight="1">
      <c r="A1206" s="258"/>
      <c r="B1206" s="258"/>
      <c r="C1206" s="269"/>
      <c r="D1206" s="258"/>
      <c r="E1206" s="258"/>
      <c r="F1206" s="258"/>
      <c r="G1206" s="258"/>
      <c r="H1206" s="271"/>
      <c r="I1206" s="258"/>
      <c r="J1206" s="272"/>
      <c r="K1206" s="260"/>
      <c r="L1206" s="261"/>
      <c r="M1206" s="262" t="str">
        <f t="shared" si="1"/>
        <v/>
      </c>
      <c r="N1206" s="263" t="str">
        <f t="shared" si="2"/>
        <v/>
      </c>
      <c r="O1206" s="264" t="str">
        <f t="shared" si="3"/>
        <v/>
      </c>
      <c r="P1206" s="265" t="str">
        <f>IFERROR(__xludf.DUMMYFUNCTION("IF(ISBLANK(A1206),"""",IFERROR(IF(H1206=""Sell"",VLOOKUP(9^99,FILTER({ROW(P$2:P1205),P$2:P1205},D$2:D1205=D1206),2),(VLOOKUP(9^99,FILTER({ROW(P$2:P1205),P$2:P1205},D$2:D1205=D1206),2)*VLOOKUP(9^99,FILTER({ROW(O$2:O1205),O$2:O1205},D$2:D1205=D1206),2)-N120"&amp;"6)/O1206),J1206))"),"")</f>
        <v/>
      </c>
      <c r="Q1206" s="264" t="str">
        <f>IFERROR(__xludf.DUMMYFUNCTION("IFERROR(IF(F1206=""Crypto"",B1206,(IF(ISBLANK(D1206),"""",IF(D1206=""Cash"",B1206,IF(GOOGLEFINANCE(D1206,""CURRENCY"")=""GBX"",""GBP"",GOOGLEFINANCE(D1206,""CURRENCY"")))))),B1206)"),"")</f>
        <v/>
      </c>
      <c r="R1206" s="263" t="str">
        <f>IFERROR(__xludf.DUMMYFUNCTION("IF(ISBLANK(A1206),"""",IFERROR(IF(OR(Q1206=""GPB"",Q1206=""ZAR""),IF(Q1206=Dashboard!$L$1,K1206,(K1206*GOOGLEFINANCE(""CURRENCY:""&amp;Q1206&amp;""""&amp;Dashboard!$L$1&amp;""""))/100),IF(Q1206=Dashboard!$L$1,K1206,K1206*GOOGLEFINANCE(""CURRENCY:""&amp;Q1206&amp;""""&amp;Dashboard!$"&amp;"L$1&amp;""""))),K1206))"),"")</f>
        <v/>
      </c>
      <c r="S1206" s="266" t="str">
        <f>IFERROR(__xludf.DUMMYFUNCTION("IF(ISBLANK(A1206),"""",IFERROR(IF(OR(Q1206=""GPB"",Q1206=""ZAR""),IF(Q1206=Dashboard!$L$1,M1206,(M1206*GOOGLEFINANCE(""CURRENCY:""&amp;Q1206&amp;""""&amp;Dashboard!$L$1&amp;""""))/100),IF(Q1206=Dashboard!$L$1,M1206,M1206*GOOGLEFINANCE(""CURRENCY:""&amp;Q1206&amp;""""&amp;Dashboard!$"&amp;"L$1&amp;""""))),M1206))"),"")</f>
        <v/>
      </c>
      <c r="T1206" s="264" t="str">
        <f t="shared" si="4"/>
        <v/>
      </c>
      <c r="U1206" s="264" t="str">
        <f t="shared" si="5"/>
        <v/>
      </c>
      <c r="V1206" s="264" t="str">
        <f t="shared" si="6"/>
        <v/>
      </c>
      <c r="W1206" s="267" t="str">
        <f t="shared" si="8"/>
        <v/>
      </c>
      <c r="X1206" s="264" t="str">
        <f t="shared" si="7"/>
        <v/>
      </c>
    </row>
    <row r="1207" ht="15.75" customHeight="1">
      <c r="A1207" s="258"/>
      <c r="B1207" s="258"/>
      <c r="C1207" s="269"/>
      <c r="D1207" s="258"/>
      <c r="E1207" s="258"/>
      <c r="F1207" s="258"/>
      <c r="G1207" s="258"/>
      <c r="H1207" s="271"/>
      <c r="I1207" s="258"/>
      <c r="J1207" s="272"/>
      <c r="K1207" s="260"/>
      <c r="L1207" s="261"/>
      <c r="M1207" s="262" t="str">
        <f t="shared" si="1"/>
        <v/>
      </c>
      <c r="N1207" s="263" t="str">
        <f t="shared" si="2"/>
        <v/>
      </c>
      <c r="O1207" s="264" t="str">
        <f t="shared" si="3"/>
        <v/>
      </c>
      <c r="P1207" s="265" t="str">
        <f>IFERROR(__xludf.DUMMYFUNCTION("IF(ISBLANK(A1207),"""",IFERROR(IF(H1207=""Sell"",VLOOKUP(9^99,FILTER({ROW(P$2:P1206),P$2:P1206},D$2:D1206=D1207),2),(VLOOKUP(9^99,FILTER({ROW(P$2:P1206),P$2:P1206},D$2:D1206=D1207),2)*VLOOKUP(9^99,FILTER({ROW(O$2:O1206),O$2:O1206},D$2:D1206=D1207),2)-N120"&amp;"7)/O1207),J1207))"),"")</f>
        <v/>
      </c>
      <c r="Q1207" s="264" t="str">
        <f>IFERROR(__xludf.DUMMYFUNCTION("IFERROR(IF(F1207=""Crypto"",B1207,(IF(ISBLANK(D1207),"""",IF(D1207=""Cash"",B1207,IF(GOOGLEFINANCE(D1207,""CURRENCY"")=""GBX"",""GBP"",GOOGLEFINANCE(D1207,""CURRENCY"")))))),B1207)"),"")</f>
        <v/>
      </c>
      <c r="R1207" s="263" t="str">
        <f>IFERROR(__xludf.DUMMYFUNCTION("IF(ISBLANK(A1207),"""",IFERROR(IF(OR(Q1207=""GPB"",Q1207=""ZAR""),IF(Q1207=Dashboard!$L$1,K1207,(K1207*GOOGLEFINANCE(""CURRENCY:""&amp;Q1207&amp;""""&amp;Dashboard!$L$1&amp;""""))/100),IF(Q1207=Dashboard!$L$1,K1207,K1207*GOOGLEFINANCE(""CURRENCY:""&amp;Q1207&amp;""""&amp;Dashboard!$"&amp;"L$1&amp;""""))),K1207))"),"")</f>
        <v/>
      </c>
      <c r="S1207" s="266" t="str">
        <f>IFERROR(__xludf.DUMMYFUNCTION("IF(ISBLANK(A1207),"""",IFERROR(IF(OR(Q1207=""GPB"",Q1207=""ZAR""),IF(Q1207=Dashboard!$L$1,M1207,(M1207*GOOGLEFINANCE(""CURRENCY:""&amp;Q1207&amp;""""&amp;Dashboard!$L$1&amp;""""))/100),IF(Q1207=Dashboard!$L$1,M1207,M1207*GOOGLEFINANCE(""CURRENCY:""&amp;Q1207&amp;""""&amp;Dashboard!$"&amp;"L$1&amp;""""))),M1207))"),"")</f>
        <v/>
      </c>
      <c r="T1207" s="264" t="str">
        <f t="shared" si="4"/>
        <v/>
      </c>
      <c r="U1207" s="264" t="str">
        <f t="shared" si="5"/>
        <v/>
      </c>
      <c r="V1207" s="264" t="str">
        <f t="shared" si="6"/>
        <v/>
      </c>
      <c r="W1207" s="267" t="str">
        <f t="shared" si="8"/>
        <v/>
      </c>
      <c r="X1207" s="264" t="str">
        <f t="shared" si="7"/>
        <v/>
      </c>
    </row>
    <row r="1208" ht="15.75" customHeight="1">
      <c r="A1208" s="258"/>
      <c r="B1208" s="258"/>
      <c r="C1208" s="269"/>
      <c r="D1208" s="258"/>
      <c r="E1208" s="258"/>
      <c r="F1208" s="258"/>
      <c r="G1208" s="258"/>
      <c r="H1208" s="271"/>
      <c r="I1208" s="258"/>
      <c r="J1208" s="272"/>
      <c r="K1208" s="260"/>
      <c r="L1208" s="261"/>
      <c r="M1208" s="262" t="str">
        <f t="shared" si="1"/>
        <v/>
      </c>
      <c r="N1208" s="263" t="str">
        <f t="shared" si="2"/>
        <v/>
      </c>
      <c r="O1208" s="264" t="str">
        <f t="shared" si="3"/>
        <v/>
      </c>
      <c r="P1208" s="265" t="str">
        <f>IFERROR(__xludf.DUMMYFUNCTION("IF(ISBLANK(A1208),"""",IFERROR(IF(H1208=""Sell"",VLOOKUP(9^99,FILTER({ROW(P$2:P1207),P$2:P1207},D$2:D1207=D1208),2),(VLOOKUP(9^99,FILTER({ROW(P$2:P1207),P$2:P1207},D$2:D1207=D1208),2)*VLOOKUP(9^99,FILTER({ROW(O$2:O1207),O$2:O1207},D$2:D1207=D1208),2)-N120"&amp;"8)/O1208),J1208))"),"")</f>
        <v/>
      </c>
      <c r="Q1208" s="264" t="str">
        <f>IFERROR(__xludf.DUMMYFUNCTION("IFERROR(IF(F1208=""Crypto"",B1208,(IF(ISBLANK(D1208),"""",IF(D1208=""Cash"",B1208,IF(GOOGLEFINANCE(D1208,""CURRENCY"")=""GBX"",""GBP"",GOOGLEFINANCE(D1208,""CURRENCY"")))))),B1208)"),"")</f>
        <v/>
      </c>
      <c r="R1208" s="263" t="str">
        <f>IFERROR(__xludf.DUMMYFUNCTION("IF(ISBLANK(A1208),"""",IFERROR(IF(OR(Q1208=""GPB"",Q1208=""ZAR""),IF(Q1208=Dashboard!$L$1,K1208,(K1208*GOOGLEFINANCE(""CURRENCY:""&amp;Q1208&amp;""""&amp;Dashboard!$L$1&amp;""""))/100),IF(Q1208=Dashboard!$L$1,K1208,K1208*GOOGLEFINANCE(""CURRENCY:""&amp;Q1208&amp;""""&amp;Dashboard!$"&amp;"L$1&amp;""""))),K1208))"),"")</f>
        <v/>
      </c>
      <c r="S1208" s="266" t="str">
        <f>IFERROR(__xludf.DUMMYFUNCTION("IF(ISBLANK(A1208),"""",IFERROR(IF(OR(Q1208=""GPB"",Q1208=""ZAR""),IF(Q1208=Dashboard!$L$1,M1208,(M1208*GOOGLEFINANCE(""CURRENCY:""&amp;Q1208&amp;""""&amp;Dashboard!$L$1&amp;""""))/100),IF(Q1208=Dashboard!$L$1,M1208,M1208*GOOGLEFINANCE(""CURRENCY:""&amp;Q1208&amp;""""&amp;Dashboard!$"&amp;"L$1&amp;""""))),M1208))"),"")</f>
        <v/>
      </c>
      <c r="T1208" s="264" t="str">
        <f t="shared" si="4"/>
        <v/>
      </c>
      <c r="U1208" s="264" t="str">
        <f t="shared" si="5"/>
        <v/>
      </c>
      <c r="V1208" s="264" t="str">
        <f t="shared" si="6"/>
        <v/>
      </c>
      <c r="W1208" s="267" t="str">
        <f t="shared" si="8"/>
        <v/>
      </c>
      <c r="X1208" s="264" t="str">
        <f t="shared" si="7"/>
        <v/>
      </c>
    </row>
    <row r="1209" ht="15.75" customHeight="1">
      <c r="A1209" s="258"/>
      <c r="B1209" s="258"/>
      <c r="C1209" s="269"/>
      <c r="D1209" s="258"/>
      <c r="E1209" s="258"/>
      <c r="F1209" s="258"/>
      <c r="G1209" s="258"/>
      <c r="H1209" s="271"/>
      <c r="I1209" s="258"/>
      <c r="J1209" s="272"/>
      <c r="K1209" s="260"/>
      <c r="L1209" s="261"/>
      <c r="M1209" s="262" t="str">
        <f t="shared" si="1"/>
        <v/>
      </c>
      <c r="N1209" s="263" t="str">
        <f t="shared" si="2"/>
        <v/>
      </c>
      <c r="O1209" s="264" t="str">
        <f t="shared" si="3"/>
        <v/>
      </c>
      <c r="P1209" s="265" t="str">
        <f>IFERROR(__xludf.DUMMYFUNCTION("IF(ISBLANK(A1209),"""",IFERROR(IF(H1209=""Sell"",VLOOKUP(9^99,FILTER({ROW(P$2:P1208),P$2:P1208},D$2:D1208=D1209),2),(VLOOKUP(9^99,FILTER({ROW(P$2:P1208),P$2:P1208},D$2:D1208=D1209),2)*VLOOKUP(9^99,FILTER({ROW(O$2:O1208),O$2:O1208},D$2:D1208=D1209),2)-N120"&amp;"9)/O1209),J1209))"),"")</f>
        <v/>
      </c>
      <c r="Q1209" s="264" t="str">
        <f>IFERROR(__xludf.DUMMYFUNCTION("IFERROR(IF(F1209=""Crypto"",B1209,(IF(ISBLANK(D1209),"""",IF(D1209=""Cash"",B1209,IF(GOOGLEFINANCE(D1209,""CURRENCY"")=""GBX"",""GBP"",GOOGLEFINANCE(D1209,""CURRENCY"")))))),B1209)"),"")</f>
        <v/>
      </c>
      <c r="R1209" s="263" t="str">
        <f>IFERROR(__xludf.DUMMYFUNCTION("IF(ISBLANK(A1209),"""",IFERROR(IF(OR(Q1209=""GPB"",Q1209=""ZAR""),IF(Q1209=Dashboard!$L$1,K1209,(K1209*GOOGLEFINANCE(""CURRENCY:""&amp;Q1209&amp;""""&amp;Dashboard!$L$1&amp;""""))/100),IF(Q1209=Dashboard!$L$1,K1209,K1209*GOOGLEFINANCE(""CURRENCY:""&amp;Q1209&amp;""""&amp;Dashboard!$"&amp;"L$1&amp;""""))),K1209))"),"")</f>
        <v/>
      </c>
      <c r="S1209" s="266" t="str">
        <f>IFERROR(__xludf.DUMMYFUNCTION("IF(ISBLANK(A1209),"""",IFERROR(IF(OR(Q1209=""GPB"",Q1209=""ZAR""),IF(Q1209=Dashboard!$L$1,M1209,(M1209*GOOGLEFINANCE(""CURRENCY:""&amp;Q1209&amp;""""&amp;Dashboard!$L$1&amp;""""))/100),IF(Q1209=Dashboard!$L$1,M1209,M1209*GOOGLEFINANCE(""CURRENCY:""&amp;Q1209&amp;""""&amp;Dashboard!$"&amp;"L$1&amp;""""))),M1209))"),"")</f>
        <v/>
      </c>
      <c r="T1209" s="264" t="str">
        <f t="shared" si="4"/>
        <v/>
      </c>
      <c r="U1209" s="264" t="str">
        <f t="shared" si="5"/>
        <v/>
      </c>
      <c r="V1209" s="264" t="str">
        <f t="shared" si="6"/>
        <v/>
      </c>
      <c r="W1209" s="267" t="str">
        <f t="shared" si="8"/>
        <v/>
      </c>
      <c r="X1209" s="264" t="str">
        <f t="shared" si="7"/>
        <v/>
      </c>
    </row>
    <row r="1210" ht="15.75" customHeight="1">
      <c r="A1210" s="258"/>
      <c r="B1210" s="258"/>
      <c r="C1210" s="269"/>
      <c r="D1210" s="258"/>
      <c r="E1210" s="258"/>
      <c r="F1210" s="258"/>
      <c r="G1210" s="258"/>
      <c r="H1210" s="271"/>
      <c r="I1210" s="258"/>
      <c r="J1210" s="272"/>
      <c r="K1210" s="260"/>
      <c r="L1210" s="261"/>
      <c r="M1210" s="262" t="str">
        <f t="shared" si="1"/>
        <v/>
      </c>
      <c r="N1210" s="263" t="str">
        <f t="shared" si="2"/>
        <v/>
      </c>
      <c r="O1210" s="264" t="str">
        <f t="shared" si="3"/>
        <v/>
      </c>
      <c r="P1210" s="265" t="str">
        <f>IFERROR(__xludf.DUMMYFUNCTION("IF(ISBLANK(A1210),"""",IFERROR(IF(H1210=""Sell"",VLOOKUP(9^99,FILTER({ROW(P$2:P1209),P$2:P1209},D$2:D1209=D1210),2),(VLOOKUP(9^99,FILTER({ROW(P$2:P1209),P$2:P1209},D$2:D1209=D1210),2)*VLOOKUP(9^99,FILTER({ROW(O$2:O1209),O$2:O1209},D$2:D1209=D1210),2)-N121"&amp;"0)/O1210),J1210))"),"")</f>
        <v/>
      </c>
      <c r="Q1210" s="264" t="str">
        <f>IFERROR(__xludf.DUMMYFUNCTION("IFERROR(IF(F1210=""Crypto"",B1210,(IF(ISBLANK(D1210),"""",IF(D1210=""Cash"",B1210,IF(GOOGLEFINANCE(D1210,""CURRENCY"")=""GBX"",""GBP"",GOOGLEFINANCE(D1210,""CURRENCY"")))))),B1210)"),"")</f>
        <v/>
      </c>
      <c r="R1210" s="263" t="str">
        <f>IFERROR(__xludf.DUMMYFUNCTION("IF(ISBLANK(A1210),"""",IFERROR(IF(OR(Q1210=""GPB"",Q1210=""ZAR""),IF(Q1210=Dashboard!$L$1,K1210,(K1210*GOOGLEFINANCE(""CURRENCY:""&amp;Q1210&amp;""""&amp;Dashboard!$L$1&amp;""""))/100),IF(Q1210=Dashboard!$L$1,K1210,K1210*GOOGLEFINANCE(""CURRENCY:""&amp;Q1210&amp;""""&amp;Dashboard!$"&amp;"L$1&amp;""""))),K1210))"),"")</f>
        <v/>
      </c>
      <c r="S1210" s="266" t="str">
        <f>IFERROR(__xludf.DUMMYFUNCTION("IF(ISBLANK(A1210),"""",IFERROR(IF(OR(Q1210=""GPB"",Q1210=""ZAR""),IF(Q1210=Dashboard!$L$1,M1210,(M1210*GOOGLEFINANCE(""CURRENCY:""&amp;Q1210&amp;""""&amp;Dashboard!$L$1&amp;""""))/100),IF(Q1210=Dashboard!$L$1,M1210,M1210*GOOGLEFINANCE(""CURRENCY:""&amp;Q1210&amp;""""&amp;Dashboard!$"&amp;"L$1&amp;""""))),M1210))"),"")</f>
        <v/>
      </c>
      <c r="T1210" s="264" t="str">
        <f t="shared" si="4"/>
        <v/>
      </c>
      <c r="U1210" s="264" t="str">
        <f t="shared" si="5"/>
        <v/>
      </c>
      <c r="V1210" s="264" t="str">
        <f t="shared" si="6"/>
        <v/>
      </c>
      <c r="W1210" s="267" t="str">
        <f t="shared" si="8"/>
        <v/>
      </c>
      <c r="X1210" s="264" t="str">
        <f t="shared" si="7"/>
        <v/>
      </c>
    </row>
    <row r="1211" ht="15.75" customHeight="1">
      <c r="A1211" s="258"/>
      <c r="B1211" s="258"/>
      <c r="C1211" s="269"/>
      <c r="D1211" s="258"/>
      <c r="E1211" s="258"/>
      <c r="F1211" s="258"/>
      <c r="G1211" s="258"/>
      <c r="H1211" s="271"/>
      <c r="I1211" s="258"/>
      <c r="J1211" s="272"/>
      <c r="K1211" s="260"/>
      <c r="L1211" s="261"/>
      <c r="M1211" s="262" t="str">
        <f t="shared" si="1"/>
        <v/>
      </c>
      <c r="N1211" s="263" t="str">
        <f t="shared" si="2"/>
        <v/>
      </c>
      <c r="O1211" s="264" t="str">
        <f t="shared" si="3"/>
        <v/>
      </c>
      <c r="P1211" s="265" t="str">
        <f>IFERROR(__xludf.DUMMYFUNCTION("IF(ISBLANK(A1211),"""",IFERROR(IF(H1211=""Sell"",VLOOKUP(9^99,FILTER({ROW(P$2:P1210),P$2:P1210},D$2:D1210=D1211),2),(VLOOKUP(9^99,FILTER({ROW(P$2:P1210),P$2:P1210},D$2:D1210=D1211),2)*VLOOKUP(9^99,FILTER({ROW(O$2:O1210),O$2:O1210},D$2:D1210=D1211),2)-N121"&amp;"1)/O1211),J1211))"),"")</f>
        <v/>
      </c>
      <c r="Q1211" s="264" t="str">
        <f>IFERROR(__xludf.DUMMYFUNCTION("IFERROR(IF(F1211=""Crypto"",B1211,(IF(ISBLANK(D1211),"""",IF(D1211=""Cash"",B1211,IF(GOOGLEFINANCE(D1211,""CURRENCY"")=""GBX"",""GBP"",GOOGLEFINANCE(D1211,""CURRENCY"")))))),B1211)"),"")</f>
        <v/>
      </c>
      <c r="R1211" s="263" t="str">
        <f>IFERROR(__xludf.DUMMYFUNCTION("IF(ISBLANK(A1211),"""",IFERROR(IF(OR(Q1211=""GPB"",Q1211=""ZAR""),IF(Q1211=Dashboard!$L$1,K1211,(K1211*GOOGLEFINANCE(""CURRENCY:""&amp;Q1211&amp;""""&amp;Dashboard!$L$1&amp;""""))/100),IF(Q1211=Dashboard!$L$1,K1211,K1211*GOOGLEFINANCE(""CURRENCY:""&amp;Q1211&amp;""""&amp;Dashboard!$"&amp;"L$1&amp;""""))),K1211))"),"")</f>
        <v/>
      </c>
      <c r="S1211" s="266" t="str">
        <f>IFERROR(__xludf.DUMMYFUNCTION("IF(ISBLANK(A1211),"""",IFERROR(IF(OR(Q1211=""GPB"",Q1211=""ZAR""),IF(Q1211=Dashboard!$L$1,M1211,(M1211*GOOGLEFINANCE(""CURRENCY:""&amp;Q1211&amp;""""&amp;Dashboard!$L$1&amp;""""))/100),IF(Q1211=Dashboard!$L$1,M1211,M1211*GOOGLEFINANCE(""CURRENCY:""&amp;Q1211&amp;""""&amp;Dashboard!$"&amp;"L$1&amp;""""))),M1211))"),"")</f>
        <v/>
      </c>
      <c r="T1211" s="264" t="str">
        <f t="shared" si="4"/>
        <v/>
      </c>
      <c r="U1211" s="264" t="str">
        <f t="shared" si="5"/>
        <v/>
      </c>
      <c r="V1211" s="264" t="str">
        <f t="shared" si="6"/>
        <v/>
      </c>
      <c r="W1211" s="267" t="str">
        <f t="shared" si="8"/>
        <v/>
      </c>
      <c r="X1211" s="264" t="str">
        <f t="shared" si="7"/>
        <v/>
      </c>
    </row>
    <row r="1212" ht="15.75" customHeight="1">
      <c r="A1212" s="258"/>
      <c r="B1212" s="258"/>
      <c r="C1212" s="269"/>
      <c r="D1212" s="258"/>
      <c r="E1212" s="258"/>
      <c r="F1212" s="258"/>
      <c r="G1212" s="258"/>
      <c r="H1212" s="271"/>
      <c r="I1212" s="258"/>
      <c r="J1212" s="272"/>
      <c r="K1212" s="260"/>
      <c r="L1212" s="261"/>
      <c r="M1212" s="262" t="str">
        <f t="shared" si="1"/>
        <v/>
      </c>
      <c r="N1212" s="263" t="str">
        <f t="shared" si="2"/>
        <v/>
      </c>
      <c r="O1212" s="264" t="str">
        <f t="shared" si="3"/>
        <v/>
      </c>
      <c r="P1212" s="265" t="str">
        <f>IFERROR(__xludf.DUMMYFUNCTION("IF(ISBLANK(A1212),"""",IFERROR(IF(H1212=""Sell"",VLOOKUP(9^99,FILTER({ROW(P$2:P1211),P$2:P1211},D$2:D1211=D1212),2),(VLOOKUP(9^99,FILTER({ROW(P$2:P1211),P$2:P1211},D$2:D1211=D1212),2)*VLOOKUP(9^99,FILTER({ROW(O$2:O1211),O$2:O1211},D$2:D1211=D1212),2)-N121"&amp;"2)/O1212),J1212))"),"")</f>
        <v/>
      </c>
      <c r="Q1212" s="264" t="str">
        <f>IFERROR(__xludf.DUMMYFUNCTION("IFERROR(IF(F1212=""Crypto"",B1212,(IF(ISBLANK(D1212),"""",IF(D1212=""Cash"",B1212,IF(GOOGLEFINANCE(D1212,""CURRENCY"")=""GBX"",""GBP"",GOOGLEFINANCE(D1212,""CURRENCY"")))))),B1212)"),"")</f>
        <v/>
      </c>
      <c r="R1212" s="263" t="str">
        <f>IFERROR(__xludf.DUMMYFUNCTION("IF(ISBLANK(A1212),"""",IFERROR(IF(OR(Q1212=""GPB"",Q1212=""ZAR""),IF(Q1212=Dashboard!$L$1,K1212,(K1212*GOOGLEFINANCE(""CURRENCY:""&amp;Q1212&amp;""""&amp;Dashboard!$L$1&amp;""""))/100),IF(Q1212=Dashboard!$L$1,K1212,K1212*GOOGLEFINANCE(""CURRENCY:""&amp;Q1212&amp;""""&amp;Dashboard!$"&amp;"L$1&amp;""""))),K1212))"),"")</f>
        <v/>
      </c>
      <c r="S1212" s="266" t="str">
        <f>IFERROR(__xludf.DUMMYFUNCTION("IF(ISBLANK(A1212),"""",IFERROR(IF(OR(Q1212=""GPB"",Q1212=""ZAR""),IF(Q1212=Dashboard!$L$1,M1212,(M1212*GOOGLEFINANCE(""CURRENCY:""&amp;Q1212&amp;""""&amp;Dashboard!$L$1&amp;""""))/100),IF(Q1212=Dashboard!$L$1,M1212,M1212*GOOGLEFINANCE(""CURRENCY:""&amp;Q1212&amp;""""&amp;Dashboard!$"&amp;"L$1&amp;""""))),M1212))"),"")</f>
        <v/>
      </c>
      <c r="T1212" s="264" t="str">
        <f t="shared" si="4"/>
        <v/>
      </c>
      <c r="U1212" s="264" t="str">
        <f t="shared" si="5"/>
        <v/>
      </c>
      <c r="V1212" s="264" t="str">
        <f t="shared" si="6"/>
        <v/>
      </c>
      <c r="W1212" s="267" t="str">
        <f t="shared" si="8"/>
        <v/>
      </c>
      <c r="X1212" s="264" t="str">
        <f t="shared" si="7"/>
        <v/>
      </c>
    </row>
    <row r="1213" ht="15.75" customHeight="1">
      <c r="A1213" s="258"/>
      <c r="B1213" s="258"/>
      <c r="C1213" s="269"/>
      <c r="D1213" s="258"/>
      <c r="E1213" s="258"/>
      <c r="F1213" s="258"/>
      <c r="G1213" s="258"/>
      <c r="H1213" s="271"/>
      <c r="I1213" s="258"/>
      <c r="J1213" s="272"/>
      <c r="K1213" s="260"/>
      <c r="L1213" s="261"/>
      <c r="M1213" s="262" t="str">
        <f t="shared" si="1"/>
        <v/>
      </c>
      <c r="N1213" s="263" t="str">
        <f t="shared" si="2"/>
        <v/>
      </c>
      <c r="O1213" s="264" t="str">
        <f t="shared" si="3"/>
        <v/>
      </c>
      <c r="P1213" s="265" t="str">
        <f>IFERROR(__xludf.DUMMYFUNCTION("IF(ISBLANK(A1213),"""",IFERROR(IF(H1213=""Sell"",VLOOKUP(9^99,FILTER({ROW(P$2:P1212),P$2:P1212},D$2:D1212=D1213),2),(VLOOKUP(9^99,FILTER({ROW(P$2:P1212),P$2:P1212},D$2:D1212=D1213),2)*VLOOKUP(9^99,FILTER({ROW(O$2:O1212),O$2:O1212},D$2:D1212=D1213),2)-N121"&amp;"3)/O1213),J1213))"),"")</f>
        <v/>
      </c>
      <c r="Q1213" s="264" t="str">
        <f>IFERROR(__xludf.DUMMYFUNCTION("IFERROR(IF(F1213=""Crypto"",B1213,(IF(ISBLANK(D1213),"""",IF(D1213=""Cash"",B1213,IF(GOOGLEFINANCE(D1213,""CURRENCY"")=""GBX"",""GBP"",GOOGLEFINANCE(D1213,""CURRENCY"")))))),B1213)"),"")</f>
        <v/>
      </c>
      <c r="R1213" s="263" t="str">
        <f>IFERROR(__xludf.DUMMYFUNCTION("IF(ISBLANK(A1213),"""",IFERROR(IF(OR(Q1213=""GPB"",Q1213=""ZAR""),IF(Q1213=Dashboard!$L$1,K1213,(K1213*GOOGLEFINANCE(""CURRENCY:""&amp;Q1213&amp;""""&amp;Dashboard!$L$1&amp;""""))/100),IF(Q1213=Dashboard!$L$1,K1213,K1213*GOOGLEFINANCE(""CURRENCY:""&amp;Q1213&amp;""""&amp;Dashboard!$"&amp;"L$1&amp;""""))),K1213))"),"")</f>
        <v/>
      </c>
      <c r="S1213" s="266" t="str">
        <f>IFERROR(__xludf.DUMMYFUNCTION("IF(ISBLANK(A1213),"""",IFERROR(IF(OR(Q1213=""GPB"",Q1213=""ZAR""),IF(Q1213=Dashboard!$L$1,M1213,(M1213*GOOGLEFINANCE(""CURRENCY:""&amp;Q1213&amp;""""&amp;Dashboard!$L$1&amp;""""))/100),IF(Q1213=Dashboard!$L$1,M1213,M1213*GOOGLEFINANCE(""CURRENCY:""&amp;Q1213&amp;""""&amp;Dashboard!$"&amp;"L$1&amp;""""))),M1213))"),"")</f>
        <v/>
      </c>
      <c r="T1213" s="264" t="str">
        <f t="shared" si="4"/>
        <v/>
      </c>
      <c r="U1213" s="264" t="str">
        <f t="shared" si="5"/>
        <v/>
      </c>
      <c r="V1213" s="264" t="str">
        <f t="shared" si="6"/>
        <v/>
      </c>
      <c r="W1213" s="267" t="str">
        <f t="shared" si="8"/>
        <v/>
      </c>
      <c r="X1213" s="264" t="str">
        <f t="shared" si="7"/>
        <v/>
      </c>
    </row>
    <row r="1214" ht="15.75" customHeight="1">
      <c r="A1214" s="258"/>
      <c r="B1214" s="258"/>
      <c r="C1214" s="269"/>
      <c r="D1214" s="258"/>
      <c r="E1214" s="258"/>
      <c r="F1214" s="258"/>
      <c r="G1214" s="258"/>
      <c r="H1214" s="271"/>
      <c r="I1214" s="258"/>
      <c r="J1214" s="272"/>
      <c r="K1214" s="260"/>
      <c r="L1214" s="261"/>
      <c r="M1214" s="262" t="str">
        <f t="shared" si="1"/>
        <v/>
      </c>
      <c r="N1214" s="263" t="str">
        <f t="shared" si="2"/>
        <v/>
      </c>
      <c r="O1214" s="264" t="str">
        <f t="shared" si="3"/>
        <v/>
      </c>
      <c r="P1214" s="265" t="str">
        <f>IFERROR(__xludf.DUMMYFUNCTION("IF(ISBLANK(A1214),"""",IFERROR(IF(H1214=""Sell"",VLOOKUP(9^99,FILTER({ROW(P$2:P1213),P$2:P1213},D$2:D1213=D1214),2),(VLOOKUP(9^99,FILTER({ROW(P$2:P1213),P$2:P1213},D$2:D1213=D1214),2)*VLOOKUP(9^99,FILTER({ROW(O$2:O1213),O$2:O1213},D$2:D1213=D1214),2)-N121"&amp;"4)/O1214),J1214))"),"")</f>
        <v/>
      </c>
      <c r="Q1214" s="264" t="str">
        <f>IFERROR(__xludf.DUMMYFUNCTION("IFERROR(IF(F1214=""Crypto"",B1214,(IF(ISBLANK(D1214),"""",IF(D1214=""Cash"",B1214,IF(GOOGLEFINANCE(D1214,""CURRENCY"")=""GBX"",""GBP"",GOOGLEFINANCE(D1214,""CURRENCY"")))))),B1214)"),"")</f>
        <v/>
      </c>
      <c r="R1214" s="263" t="str">
        <f>IFERROR(__xludf.DUMMYFUNCTION("IF(ISBLANK(A1214),"""",IFERROR(IF(OR(Q1214=""GPB"",Q1214=""ZAR""),IF(Q1214=Dashboard!$L$1,K1214,(K1214*GOOGLEFINANCE(""CURRENCY:""&amp;Q1214&amp;""""&amp;Dashboard!$L$1&amp;""""))/100),IF(Q1214=Dashboard!$L$1,K1214,K1214*GOOGLEFINANCE(""CURRENCY:""&amp;Q1214&amp;""""&amp;Dashboard!$"&amp;"L$1&amp;""""))),K1214))"),"")</f>
        <v/>
      </c>
      <c r="S1214" s="266" t="str">
        <f>IFERROR(__xludf.DUMMYFUNCTION("IF(ISBLANK(A1214),"""",IFERROR(IF(OR(Q1214=""GPB"",Q1214=""ZAR""),IF(Q1214=Dashboard!$L$1,M1214,(M1214*GOOGLEFINANCE(""CURRENCY:""&amp;Q1214&amp;""""&amp;Dashboard!$L$1&amp;""""))/100),IF(Q1214=Dashboard!$L$1,M1214,M1214*GOOGLEFINANCE(""CURRENCY:""&amp;Q1214&amp;""""&amp;Dashboard!$"&amp;"L$1&amp;""""))),M1214))"),"")</f>
        <v/>
      </c>
      <c r="T1214" s="264" t="str">
        <f t="shared" si="4"/>
        <v/>
      </c>
      <c r="U1214" s="264" t="str">
        <f t="shared" si="5"/>
        <v/>
      </c>
      <c r="V1214" s="264" t="str">
        <f t="shared" si="6"/>
        <v/>
      </c>
      <c r="W1214" s="267" t="str">
        <f t="shared" si="8"/>
        <v/>
      </c>
      <c r="X1214" s="264" t="str">
        <f t="shared" si="7"/>
        <v/>
      </c>
    </row>
    <row r="1215" ht="15.75" customHeight="1">
      <c r="A1215" s="258"/>
      <c r="B1215" s="258"/>
      <c r="C1215" s="269"/>
      <c r="D1215" s="258"/>
      <c r="E1215" s="258"/>
      <c r="F1215" s="258"/>
      <c r="G1215" s="258"/>
      <c r="H1215" s="271"/>
      <c r="I1215" s="258"/>
      <c r="J1215" s="272"/>
      <c r="K1215" s="260"/>
      <c r="L1215" s="261"/>
      <c r="M1215" s="262" t="str">
        <f t="shared" si="1"/>
        <v/>
      </c>
      <c r="N1215" s="263" t="str">
        <f t="shared" si="2"/>
        <v/>
      </c>
      <c r="O1215" s="264" t="str">
        <f t="shared" si="3"/>
        <v/>
      </c>
      <c r="P1215" s="265" t="str">
        <f>IFERROR(__xludf.DUMMYFUNCTION("IF(ISBLANK(A1215),"""",IFERROR(IF(H1215=""Sell"",VLOOKUP(9^99,FILTER({ROW(P$2:P1214),P$2:P1214},D$2:D1214=D1215),2),(VLOOKUP(9^99,FILTER({ROW(P$2:P1214),P$2:P1214},D$2:D1214=D1215),2)*VLOOKUP(9^99,FILTER({ROW(O$2:O1214),O$2:O1214},D$2:D1214=D1215),2)-N121"&amp;"5)/O1215),J1215))"),"")</f>
        <v/>
      </c>
      <c r="Q1215" s="264" t="str">
        <f>IFERROR(__xludf.DUMMYFUNCTION("IFERROR(IF(F1215=""Crypto"",B1215,(IF(ISBLANK(D1215),"""",IF(D1215=""Cash"",B1215,IF(GOOGLEFINANCE(D1215,""CURRENCY"")=""GBX"",""GBP"",GOOGLEFINANCE(D1215,""CURRENCY"")))))),B1215)"),"")</f>
        <v/>
      </c>
      <c r="R1215" s="263" t="str">
        <f>IFERROR(__xludf.DUMMYFUNCTION("IF(ISBLANK(A1215),"""",IFERROR(IF(OR(Q1215=""GPB"",Q1215=""ZAR""),IF(Q1215=Dashboard!$L$1,K1215,(K1215*GOOGLEFINANCE(""CURRENCY:""&amp;Q1215&amp;""""&amp;Dashboard!$L$1&amp;""""))/100),IF(Q1215=Dashboard!$L$1,K1215,K1215*GOOGLEFINANCE(""CURRENCY:""&amp;Q1215&amp;""""&amp;Dashboard!$"&amp;"L$1&amp;""""))),K1215))"),"")</f>
        <v/>
      </c>
      <c r="S1215" s="266" t="str">
        <f>IFERROR(__xludf.DUMMYFUNCTION("IF(ISBLANK(A1215),"""",IFERROR(IF(OR(Q1215=""GPB"",Q1215=""ZAR""),IF(Q1215=Dashboard!$L$1,M1215,(M1215*GOOGLEFINANCE(""CURRENCY:""&amp;Q1215&amp;""""&amp;Dashboard!$L$1&amp;""""))/100),IF(Q1215=Dashboard!$L$1,M1215,M1215*GOOGLEFINANCE(""CURRENCY:""&amp;Q1215&amp;""""&amp;Dashboard!$"&amp;"L$1&amp;""""))),M1215))"),"")</f>
        <v/>
      </c>
      <c r="T1215" s="264" t="str">
        <f t="shared" si="4"/>
        <v/>
      </c>
      <c r="U1215" s="264" t="str">
        <f t="shared" si="5"/>
        <v/>
      </c>
      <c r="V1215" s="264" t="str">
        <f t="shared" si="6"/>
        <v/>
      </c>
      <c r="W1215" s="267" t="str">
        <f t="shared" si="8"/>
        <v/>
      </c>
      <c r="X1215" s="264" t="str">
        <f t="shared" si="7"/>
        <v/>
      </c>
    </row>
    <row r="1216" ht="15.75" customHeight="1">
      <c r="A1216" s="258"/>
      <c r="B1216" s="258"/>
      <c r="C1216" s="269"/>
      <c r="D1216" s="258"/>
      <c r="E1216" s="258"/>
      <c r="F1216" s="258"/>
      <c r="G1216" s="258"/>
      <c r="H1216" s="271"/>
      <c r="I1216" s="258"/>
      <c r="J1216" s="272"/>
      <c r="K1216" s="260"/>
      <c r="L1216" s="261"/>
      <c r="M1216" s="262" t="str">
        <f t="shared" si="1"/>
        <v/>
      </c>
      <c r="N1216" s="263" t="str">
        <f t="shared" si="2"/>
        <v/>
      </c>
      <c r="O1216" s="264" t="str">
        <f t="shared" si="3"/>
        <v/>
      </c>
      <c r="P1216" s="265" t="str">
        <f>IFERROR(__xludf.DUMMYFUNCTION("IF(ISBLANK(A1216),"""",IFERROR(IF(H1216=""Sell"",VLOOKUP(9^99,FILTER({ROW(P$2:P1215),P$2:P1215},D$2:D1215=D1216),2),(VLOOKUP(9^99,FILTER({ROW(P$2:P1215),P$2:P1215},D$2:D1215=D1216),2)*VLOOKUP(9^99,FILTER({ROW(O$2:O1215),O$2:O1215},D$2:D1215=D1216),2)-N121"&amp;"6)/O1216),J1216))"),"")</f>
        <v/>
      </c>
      <c r="Q1216" s="264" t="str">
        <f>IFERROR(__xludf.DUMMYFUNCTION("IFERROR(IF(F1216=""Crypto"",B1216,(IF(ISBLANK(D1216),"""",IF(D1216=""Cash"",B1216,IF(GOOGLEFINANCE(D1216,""CURRENCY"")=""GBX"",""GBP"",GOOGLEFINANCE(D1216,""CURRENCY"")))))),B1216)"),"")</f>
        <v/>
      </c>
      <c r="R1216" s="263" t="str">
        <f>IFERROR(__xludf.DUMMYFUNCTION("IF(ISBLANK(A1216),"""",IFERROR(IF(OR(Q1216=""GPB"",Q1216=""ZAR""),IF(Q1216=Dashboard!$L$1,K1216,(K1216*GOOGLEFINANCE(""CURRENCY:""&amp;Q1216&amp;""""&amp;Dashboard!$L$1&amp;""""))/100),IF(Q1216=Dashboard!$L$1,K1216,K1216*GOOGLEFINANCE(""CURRENCY:""&amp;Q1216&amp;""""&amp;Dashboard!$"&amp;"L$1&amp;""""))),K1216))"),"")</f>
        <v/>
      </c>
      <c r="S1216" s="266" t="str">
        <f>IFERROR(__xludf.DUMMYFUNCTION("IF(ISBLANK(A1216),"""",IFERROR(IF(OR(Q1216=""GPB"",Q1216=""ZAR""),IF(Q1216=Dashboard!$L$1,M1216,(M1216*GOOGLEFINANCE(""CURRENCY:""&amp;Q1216&amp;""""&amp;Dashboard!$L$1&amp;""""))/100),IF(Q1216=Dashboard!$L$1,M1216,M1216*GOOGLEFINANCE(""CURRENCY:""&amp;Q1216&amp;""""&amp;Dashboard!$"&amp;"L$1&amp;""""))),M1216))"),"")</f>
        <v/>
      </c>
      <c r="T1216" s="264" t="str">
        <f t="shared" si="4"/>
        <v/>
      </c>
      <c r="U1216" s="264" t="str">
        <f t="shared" si="5"/>
        <v/>
      </c>
      <c r="V1216" s="264" t="str">
        <f t="shared" si="6"/>
        <v/>
      </c>
      <c r="W1216" s="267" t="str">
        <f t="shared" si="8"/>
        <v/>
      </c>
      <c r="X1216" s="264" t="str">
        <f t="shared" si="7"/>
        <v/>
      </c>
    </row>
    <row r="1217" ht="15.75" customHeight="1">
      <c r="A1217" s="258"/>
      <c r="B1217" s="258"/>
      <c r="C1217" s="269"/>
      <c r="D1217" s="258"/>
      <c r="E1217" s="258"/>
      <c r="F1217" s="258"/>
      <c r="G1217" s="258"/>
      <c r="H1217" s="271"/>
      <c r="I1217" s="258"/>
      <c r="J1217" s="272"/>
      <c r="K1217" s="260"/>
      <c r="L1217" s="261"/>
      <c r="M1217" s="262" t="str">
        <f t="shared" si="1"/>
        <v/>
      </c>
      <c r="N1217" s="263" t="str">
        <f t="shared" si="2"/>
        <v/>
      </c>
      <c r="O1217" s="264" t="str">
        <f t="shared" si="3"/>
        <v/>
      </c>
      <c r="P1217" s="265" t="str">
        <f>IFERROR(__xludf.DUMMYFUNCTION("IF(ISBLANK(A1217),"""",IFERROR(IF(H1217=""Sell"",VLOOKUP(9^99,FILTER({ROW(P$2:P1216),P$2:P1216},D$2:D1216=D1217),2),(VLOOKUP(9^99,FILTER({ROW(P$2:P1216),P$2:P1216},D$2:D1216=D1217),2)*VLOOKUP(9^99,FILTER({ROW(O$2:O1216),O$2:O1216},D$2:D1216=D1217),2)-N121"&amp;"7)/O1217),J1217))"),"")</f>
        <v/>
      </c>
      <c r="Q1217" s="264" t="str">
        <f>IFERROR(__xludf.DUMMYFUNCTION("IFERROR(IF(F1217=""Crypto"",B1217,(IF(ISBLANK(D1217),"""",IF(D1217=""Cash"",B1217,IF(GOOGLEFINANCE(D1217,""CURRENCY"")=""GBX"",""GBP"",GOOGLEFINANCE(D1217,""CURRENCY"")))))),B1217)"),"")</f>
        <v/>
      </c>
      <c r="R1217" s="263" t="str">
        <f>IFERROR(__xludf.DUMMYFUNCTION("IF(ISBLANK(A1217),"""",IFERROR(IF(OR(Q1217=""GPB"",Q1217=""ZAR""),IF(Q1217=Dashboard!$L$1,K1217,(K1217*GOOGLEFINANCE(""CURRENCY:""&amp;Q1217&amp;""""&amp;Dashboard!$L$1&amp;""""))/100),IF(Q1217=Dashboard!$L$1,K1217,K1217*GOOGLEFINANCE(""CURRENCY:""&amp;Q1217&amp;""""&amp;Dashboard!$"&amp;"L$1&amp;""""))),K1217))"),"")</f>
        <v/>
      </c>
      <c r="S1217" s="266" t="str">
        <f>IFERROR(__xludf.DUMMYFUNCTION("IF(ISBLANK(A1217),"""",IFERROR(IF(OR(Q1217=""GPB"",Q1217=""ZAR""),IF(Q1217=Dashboard!$L$1,M1217,(M1217*GOOGLEFINANCE(""CURRENCY:""&amp;Q1217&amp;""""&amp;Dashboard!$L$1&amp;""""))/100),IF(Q1217=Dashboard!$L$1,M1217,M1217*GOOGLEFINANCE(""CURRENCY:""&amp;Q1217&amp;""""&amp;Dashboard!$"&amp;"L$1&amp;""""))),M1217))"),"")</f>
        <v/>
      </c>
      <c r="T1217" s="264" t="str">
        <f t="shared" si="4"/>
        <v/>
      </c>
      <c r="U1217" s="264" t="str">
        <f t="shared" si="5"/>
        <v/>
      </c>
      <c r="V1217" s="264" t="str">
        <f t="shared" si="6"/>
        <v/>
      </c>
      <c r="W1217" s="267" t="str">
        <f t="shared" si="8"/>
        <v/>
      </c>
      <c r="X1217" s="264" t="str">
        <f t="shared" si="7"/>
        <v/>
      </c>
    </row>
    <row r="1218" ht="15.75" customHeight="1">
      <c r="A1218" s="258"/>
      <c r="B1218" s="258"/>
      <c r="C1218" s="269"/>
      <c r="D1218" s="258"/>
      <c r="E1218" s="258"/>
      <c r="F1218" s="258"/>
      <c r="G1218" s="258"/>
      <c r="H1218" s="271"/>
      <c r="I1218" s="258"/>
      <c r="J1218" s="272"/>
      <c r="K1218" s="260"/>
      <c r="L1218" s="261"/>
      <c r="M1218" s="262" t="str">
        <f t="shared" si="1"/>
        <v/>
      </c>
      <c r="N1218" s="263" t="str">
        <f t="shared" si="2"/>
        <v/>
      </c>
      <c r="O1218" s="264" t="str">
        <f t="shared" si="3"/>
        <v/>
      </c>
      <c r="P1218" s="265" t="str">
        <f>IFERROR(__xludf.DUMMYFUNCTION("IF(ISBLANK(A1218),"""",IFERROR(IF(H1218=""Sell"",VLOOKUP(9^99,FILTER({ROW(P$2:P1217),P$2:P1217},D$2:D1217=D1218),2),(VLOOKUP(9^99,FILTER({ROW(P$2:P1217),P$2:P1217},D$2:D1217=D1218),2)*VLOOKUP(9^99,FILTER({ROW(O$2:O1217),O$2:O1217},D$2:D1217=D1218),2)-N121"&amp;"8)/O1218),J1218))"),"")</f>
        <v/>
      </c>
      <c r="Q1218" s="264" t="str">
        <f>IFERROR(__xludf.DUMMYFUNCTION("IFERROR(IF(F1218=""Crypto"",B1218,(IF(ISBLANK(D1218),"""",IF(D1218=""Cash"",B1218,IF(GOOGLEFINANCE(D1218,""CURRENCY"")=""GBX"",""GBP"",GOOGLEFINANCE(D1218,""CURRENCY"")))))),B1218)"),"")</f>
        <v/>
      </c>
      <c r="R1218" s="263" t="str">
        <f>IFERROR(__xludf.DUMMYFUNCTION("IF(ISBLANK(A1218),"""",IFERROR(IF(OR(Q1218=""GPB"",Q1218=""ZAR""),IF(Q1218=Dashboard!$L$1,K1218,(K1218*GOOGLEFINANCE(""CURRENCY:""&amp;Q1218&amp;""""&amp;Dashboard!$L$1&amp;""""))/100),IF(Q1218=Dashboard!$L$1,K1218,K1218*GOOGLEFINANCE(""CURRENCY:""&amp;Q1218&amp;""""&amp;Dashboard!$"&amp;"L$1&amp;""""))),K1218))"),"")</f>
        <v/>
      </c>
      <c r="S1218" s="266" t="str">
        <f>IFERROR(__xludf.DUMMYFUNCTION("IF(ISBLANK(A1218),"""",IFERROR(IF(OR(Q1218=""GPB"",Q1218=""ZAR""),IF(Q1218=Dashboard!$L$1,M1218,(M1218*GOOGLEFINANCE(""CURRENCY:""&amp;Q1218&amp;""""&amp;Dashboard!$L$1&amp;""""))/100),IF(Q1218=Dashboard!$L$1,M1218,M1218*GOOGLEFINANCE(""CURRENCY:""&amp;Q1218&amp;""""&amp;Dashboard!$"&amp;"L$1&amp;""""))),M1218))"),"")</f>
        <v/>
      </c>
      <c r="T1218" s="264" t="str">
        <f t="shared" si="4"/>
        <v/>
      </c>
      <c r="U1218" s="264" t="str">
        <f t="shared" si="5"/>
        <v/>
      </c>
      <c r="V1218" s="264" t="str">
        <f t="shared" si="6"/>
        <v/>
      </c>
      <c r="W1218" s="267" t="str">
        <f t="shared" si="8"/>
        <v/>
      </c>
      <c r="X1218" s="264" t="str">
        <f t="shared" si="7"/>
        <v/>
      </c>
    </row>
    <row r="1219" ht="15.75" customHeight="1">
      <c r="A1219" s="258"/>
      <c r="B1219" s="258"/>
      <c r="C1219" s="269"/>
      <c r="D1219" s="258"/>
      <c r="E1219" s="258"/>
      <c r="F1219" s="258"/>
      <c r="G1219" s="258"/>
      <c r="H1219" s="271"/>
      <c r="I1219" s="258"/>
      <c r="J1219" s="272"/>
      <c r="K1219" s="260"/>
      <c r="L1219" s="261"/>
      <c r="M1219" s="262" t="str">
        <f t="shared" si="1"/>
        <v/>
      </c>
      <c r="N1219" s="263" t="str">
        <f t="shared" si="2"/>
        <v/>
      </c>
      <c r="O1219" s="264" t="str">
        <f t="shared" si="3"/>
        <v/>
      </c>
      <c r="P1219" s="265" t="str">
        <f>IFERROR(__xludf.DUMMYFUNCTION("IF(ISBLANK(A1219),"""",IFERROR(IF(H1219=""Sell"",VLOOKUP(9^99,FILTER({ROW(P$2:P1218),P$2:P1218},D$2:D1218=D1219),2),(VLOOKUP(9^99,FILTER({ROW(P$2:P1218),P$2:P1218},D$2:D1218=D1219),2)*VLOOKUP(9^99,FILTER({ROW(O$2:O1218),O$2:O1218},D$2:D1218=D1219),2)-N121"&amp;"9)/O1219),J1219))"),"")</f>
        <v/>
      </c>
      <c r="Q1219" s="264" t="str">
        <f>IFERROR(__xludf.DUMMYFUNCTION("IFERROR(IF(F1219=""Crypto"",B1219,(IF(ISBLANK(D1219),"""",IF(D1219=""Cash"",B1219,IF(GOOGLEFINANCE(D1219,""CURRENCY"")=""GBX"",""GBP"",GOOGLEFINANCE(D1219,""CURRENCY"")))))),B1219)"),"")</f>
        <v/>
      </c>
      <c r="R1219" s="263" t="str">
        <f>IFERROR(__xludf.DUMMYFUNCTION("IF(ISBLANK(A1219),"""",IFERROR(IF(OR(Q1219=""GPB"",Q1219=""ZAR""),IF(Q1219=Dashboard!$L$1,K1219,(K1219*GOOGLEFINANCE(""CURRENCY:""&amp;Q1219&amp;""""&amp;Dashboard!$L$1&amp;""""))/100),IF(Q1219=Dashboard!$L$1,K1219,K1219*GOOGLEFINANCE(""CURRENCY:""&amp;Q1219&amp;""""&amp;Dashboard!$"&amp;"L$1&amp;""""))),K1219))"),"")</f>
        <v/>
      </c>
      <c r="S1219" s="266" t="str">
        <f>IFERROR(__xludf.DUMMYFUNCTION("IF(ISBLANK(A1219),"""",IFERROR(IF(OR(Q1219=""GPB"",Q1219=""ZAR""),IF(Q1219=Dashboard!$L$1,M1219,(M1219*GOOGLEFINANCE(""CURRENCY:""&amp;Q1219&amp;""""&amp;Dashboard!$L$1&amp;""""))/100),IF(Q1219=Dashboard!$L$1,M1219,M1219*GOOGLEFINANCE(""CURRENCY:""&amp;Q1219&amp;""""&amp;Dashboard!$"&amp;"L$1&amp;""""))),M1219))"),"")</f>
        <v/>
      </c>
      <c r="T1219" s="264" t="str">
        <f t="shared" si="4"/>
        <v/>
      </c>
      <c r="U1219" s="264" t="str">
        <f t="shared" si="5"/>
        <v/>
      </c>
      <c r="V1219" s="264" t="str">
        <f t="shared" si="6"/>
        <v/>
      </c>
      <c r="W1219" s="267" t="str">
        <f t="shared" si="8"/>
        <v/>
      </c>
      <c r="X1219" s="264" t="str">
        <f t="shared" si="7"/>
        <v/>
      </c>
    </row>
    <row r="1220" ht="15.75" customHeight="1">
      <c r="A1220" s="258"/>
      <c r="B1220" s="258"/>
      <c r="C1220" s="269"/>
      <c r="D1220" s="258"/>
      <c r="E1220" s="258"/>
      <c r="F1220" s="258"/>
      <c r="G1220" s="258"/>
      <c r="H1220" s="271"/>
      <c r="I1220" s="258"/>
      <c r="J1220" s="272"/>
      <c r="K1220" s="260"/>
      <c r="L1220" s="261"/>
      <c r="M1220" s="262" t="str">
        <f t="shared" si="1"/>
        <v/>
      </c>
      <c r="N1220" s="263" t="str">
        <f t="shared" si="2"/>
        <v/>
      </c>
      <c r="O1220" s="264" t="str">
        <f t="shared" si="3"/>
        <v/>
      </c>
      <c r="P1220" s="265" t="str">
        <f>IFERROR(__xludf.DUMMYFUNCTION("IF(ISBLANK(A1220),"""",IFERROR(IF(H1220=""Sell"",VLOOKUP(9^99,FILTER({ROW(P$2:P1219),P$2:P1219},D$2:D1219=D1220),2),(VLOOKUP(9^99,FILTER({ROW(P$2:P1219),P$2:P1219},D$2:D1219=D1220),2)*VLOOKUP(9^99,FILTER({ROW(O$2:O1219),O$2:O1219},D$2:D1219=D1220),2)-N122"&amp;"0)/O1220),J1220))"),"")</f>
        <v/>
      </c>
      <c r="Q1220" s="264" t="str">
        <f>IFERROR(__xludf.DUMMYFUNCTION("IFERROR(IF(F1220=""Crypto"",B1220,(IF(ISBLANK(D1220),"""",IF(D1220=""Cash"",B1220,IF(GOOGLEFINANCE(D1220,""CURRENCY"")=""GBX"",""GBP"",GOOGLEFINANCE(D1220,""CURRENCY"")))))),B1220)"),"")</f>
        <v/>
      </c>
      <c r="R1220" s="263" t="str">
        <f>IFERROR(__xludf.DUMMYFUNCTION("IF(ISBLANK(A1220),"""",IFERROR(IF(OR(Q1220=""GPB"",Q1220=""ZAR""),IF(Q1220=Dashboard!$L$1,K1220,(K1220*GOOGLEFINANCE(""CURRENCY:""&amp;Q1220&amp;""""&amp;Dashboard!$L$1&amp;""""))/100),IF(Q1220=Dashboard!$L$1,K1220,K1220*GOOGLEFINANCE(""CURRENCY:""&amp;Q1220&amp;""""&amp;Dashboard!$"&amp;"L$1&amp;""""))),K1220))"),"")</f>
        <v/>
      </c>
      <c r="S1220" s="266" t="str">
        <f>IFERROR(__xludf.DUMMYFUNCTION("IF(ISBLANK(A1220),"""",IFERROR(IF(OR(Q1220=""GPB"",Q1220=""ZAR""),IF(Q1220=Dashboard!$L$1,M1220,(M1220*GOOGLEFINANCE(""CURRENCY:""&amp;Q1220&amp;""""&amp;Dashboard!$L$1&amp;""""))/100),IF(Q1220=Dashboard!$L$1,M1220,M1220*GOOGLEFINANCE(""CURRENCY:""&amp;Q1220&amp;""""&amp;Dashboard!$"&amp;"L$1&amp;""""))),M1220))"),"")</f>
        <v/>
      </c>
      <c r="T1220" s="264" t="str">
        <f t="shared" si="4"/>
        <v/>
      </c>
      <c r="U1220" s="264" t="str">
        <f t="shared" si="5"/>
        <v/>
      </c>
      <c r="V1220" s="264" t="str">
        <f t="shared" si="6"/>
        <v/>
      </c>
      <c r="W1220" s="267" t="str">
        <f t="shared" si="8"/>
        <v/>
      </c>
      <c r="X1220" s="264" t="str">
        <f t="shared" si="7"/>
        <v/>
      </c>
    </row>
    <row r="1221" ht="15.75" customHeight="1">
      <c r="A1221" s="258"/>
      <c r="B1221" s="258"/>
      <c r="C1221" s="269"/>
      <c r="D1221" s="258"/>
      <c r="E1221" s="258"/>
      <c r="F1221" s="258"/>
      <c r="G1221" s="258"/>
      <c r="H1221" s="271"/>
      <c r="I1221" s="258"/>
      <c r="J1221" s="272"/>
      <c r="K1221" s="260"/>
      <c r="L1221" s="261"/>
      <c r="M1221" s="262" t="str">
        <f t="shared" si="1"/>
        <v/>
      </c>
      <c r="N1221" s="263" t="str">
        <f t="shared" si="2"/>
        <v/>
      </c>
      <c r="O1221" s="264" t="str">
        <f t="shared" si="3"/>
        <v/>
      </c>
      <c r="P1221" s="265" t="str">
        <f>IFERROR(__xludf.DUMMYFUNCTION("IF(ISBLANK(A1221),"""",IFERROR(IF(H1221=""Sell"",VLOOKUP(9^99,FILTER({ROW(P$2:P1220),P$2:P1220},D$2:D1220=D1221),2),(VLOOKUP(9^99,FILTER({ROW(P$2:P1220),P$2:P1220},D$2:D1220=D1221),2)*VLOOKUP(9^99,FILTER({ROW(O$2:O1220),O$2:O1220},D$2:D1220=D1221),2)-N122"&amp;"1)/O1221),J1221))"),"")</f>
        <v/>
      </c>
      <c r="Q1221" s="264" t="str">
        <f>IFERROR(__xludf.DUMMYFUNCTION("IFERROR(IF(F1221=""Crypto"",B1221,(IF(ISBLANK(D1221),"""",IF(D1221=""Cash"",B1221,IF(GOOGLEFINANCE(D1221,""CURRENCY"")=""GBX"",""GBP"",GOOGLEFINANCE(D1221,""CURRENCY"")))))),B1221)"),"")</f>
        <v/>
      </c>
      <c r="R1221" s="263" t="str">
        <f>IFERROR(__xludf.DUMMYFUNCTION("IF(ISBLANK(A1221),"""",IFERROR(IF(OR(Q1221=""GPB"",Q1221=""ZAR""),IF(Q1221=Dashboard!$L$1,K1221,(K1221*GOOGLEFINANCE(""CURRENCY:""&amp;Q1221&amp;""""&amp;Dashboard!$L$1&amp;""""))/100),IF(Q1221=Dashboard!$L$1,K1221,K1221*GOOGLEFINANCE(""CURRENCY:""&amp;Q1221&amp;""""&amp;Dashboard!$"&amp;"L$1&amp;""""))),K1221))"),"")</f>
        <v/>
      </c>
      <c r="S1221" s="266" t="str">
        <f>IFERROR(__xludf.DUMMYFUNCTION("IF(ISBLANK(A1221),"""",IFERROR(IF(OR(Q1221=""GPB"",Q1221=""ZAR""),IF(Q1221=Dashboard!$L$1,M1221,(M1221*GOOGLEFINANCE(""CURRENCY:""&amp;Q1221&amp;""""&amp;Dashboard!$L$1&amp;""""))/100),IF(Q1221=Dashboard!$L$1,M1221,M1221*GOOGLEFINANCE(""CURRENCY:""&amp;Q1221&amp;""""&amp;Dashboard!$"&amp;"L$1&amp;""""))),M1221))"),"")</f>
        <v/>
      </c>
      <c r="T1221" s="264" t="str">
        <f t="shared" si="4"/>
        <v/>
      </c>
      <c r="U1221" s="264" t="str">
        <f t="shared" si="5"/>
        <v/>
      </c>
      <c r="V1221" s="264" t="str">
        <f t="shared" si="6"/>
        <v/>
      </c>
      <c r="W1221" s="267" t="str">
        <f t="shared" si="8"/>
        <v/>
      </c>
      <c r="X1221" s="264" t="str">
        <f t="shared" si="7"/>
        <v/>
      </c>
    </row>
    <row r="1222" ht="15.75" customHeight="1">
      <c r="A1222" s="258"/>
      <c r="B1222" s="258"/>
      <c r="C1222" s="269"/>
      <c r="D1222" s="258"/>
      <c r="E1222" s="258"/>
      <c r="F1222" s="258"/>
      <c r="G1222" s="258"/>
      <c r="H1222" s="271"/>
      <c r="I1222" s="258"/>
      <c r="J1222" s="272"/>
      <c r="K1222" s="260"/>
      <c r="L1222" s="261"/>
      <c r="M1222" s="262" t="str">
        <f t="shared" si="1"/>
        <v/>
      </c>
      <c r="N1222" s="263" t="str">
        <f t="shared" si="2"/>
        <v/>
      </c>
      <c r="O1222" s="264" t="str">
        <f t="shared" si="3"/>
        <v/>
      </c>
      <c r="P1222" s="265" t="str">
        <f>IFERROR(__xludf.DUMMYFUNCTION("IF(ISBLANK(A1222),"""",IFERROR(IF(H1222=""Sell"",VLOOKUP(9^99,FILTER({ROW(P$2:P1221),P$2:P1221},D$2:D1221=D1222),2),(VLOOKUP(9^99,FILTER({ROW(P$2:P1221),P$2:P1221},D$2:D1221=D1222),2)*VLOOKUP(9^99,FILTER({ROW(O$2:O1221),O$2:O1221},D$2:D1221=D1222),2)-N122"&amp;"2)/O1222),J1222))"),"")</f>
        <v/>
      </c>
      <c r="Q1222" s="264" t="str">
        <f>IFERROR(__xludf.DUMMYFUNCTION("IFERROR(IF(F1222=""Crypto"",B1222,(IF(ISBLANK(D1222),"""",IF(D1222=""Cash"",B1222,IF(GOOGLEFINANCE(D1222,""CURRENCY"")=""GBX"",""GBP"",GOOGLEFINANCE(D1222,""CURRENCY"")))))),B1222)"),"")</f>
        <v/>
      </c>
      <c r="R1222" s="263" t="str">
        <f>IFERROR(__xludf.DUMMYFUNCTION("IF(ISBLANK(A1222),"""",IFERROR(IF(OR(Q1222=""GPB"",Q1222=""ZAR""),IF(Q1222=Dashboard!$L$1,K1222,(K1222*GOOGLEFINANCE(""CURRENCY:""&amp;Q1222&amp;""""&amp;Dashboard!$L$1&amp;""""))/100),IF(Q1222=Dashboard!$L$1,K1222,K1222*GOOGLEFINANCE(""CURRENCY:""&amp;Q1222&amp;""""&amp;Dashboard!$"&amp;"L$1&amp;""""))),K1222))"),"")</f>
        <v/>
      </c>
      <c r="S1222" s="266" t="str">
        <f>IFERROR(__xludf.DUMMYFUNCTION("IF(ISBLANK(A1222),"""",IFERROR(IF(OR(Q1222=""GPB"",Q1222=""ZAR""),IF(Q1222=Dashboard!$L$1,M1222,(M1222*GOOGLEFINANCE(""CURRENCY:""&amp;Q1222&amp;""""&amp;Dashboard!$L$1&amp;""""))/100),IF(Q1222=Dashboard!$L$1,M1222,M1222*GOOGLEFINANCE(""CURRENCY:""&amp;Q1222&amp;""""&amp;Dashboard!$"&amp;"L$1&amp;""""))),M1222))"),"")</f>
        <v/>
      </c>
      <c r="T1222" s="264" t="str">
        <f t="shared" si="4"/>
        <v/>
      </c>
      <c r="U1222" s="264" t="str">
        <f t="shared" si="5"/>
        <v/>
      </c>
      <c r="V1222" s="264" t="str">
        <f t="shared" si="6"/>
        <v/>
      </c>
      <c r="W1222" s="267" t="str">
        <f t="shared" si="8"/>
        <v/>
      </c>
      <c r="X1222" s="264" t="str">
        <f t="shared" si="7"/>
        <v/>
      </c>
    </row>
    <row r="1223" ht="15.75" customHeight="1">
      <c r="A1223" s="258"/>
      <c r="B1223" s="258"/>
      <c r="C1223" s="269"/>
      <c r="D1223" s="258"/>
      <c r="E1223" s="258"/>
      <c r="F1223" s="258"/>
      <c r="G1223" s="258"/>
      <c r="H1223" s="271"/>
      <c r="I1223" s="258"/>
      <c r="J1223" s="272"/>
      <c r="K1223" s="260"/>
      <c r="L1223" s="261"/>
      <c r="M1223" s="262" t="str">
        <f t="shared" si="1"/>
        <v/>
      </c>
      <c r="N1223" s="263" t="str">
        <f t="shared" si="2"/>
        <v/>
      </c>
      <c r="O1223" s="264" t="str">
        <f t="shared" si="3"/>
        <v/>
      </c>
      <c r="P1223" s="265" t="str">
        <f>IFERROR(__xludf.DUMMYFUNCTION("IF(ISBLANK(A1223),"""",IFERROR(IF(H1223=""Sell"",VLOOKUP(9^99,FILTER({ROW(P$2:P1222),P$2:P1222},D$2:D1222=D1223),2),(VLOOKUP(9^99,FILTER({ROW(P$2:P1222),P$2:P1222},D$2:D1222=D1223),2)*VLOOKUP(9^99,FILTER({ROW(O$2:O1222),O$2:O1222},D$2:D1222=D1223),2)-N122"&amp;"3)/O1223),J1223))"),"")</f>
        <v/>
      </c>
      <c r="Q1223" s="264" t="str">
        <f>IFERROR(__xludf.DUMMYFUNCTION("IFERROR(IF(F1223=""Crypto"",B1223,(IF(ISBLANK(D1223),"""",IF(D1223=""Cash"",B1223,IF(GOOGLEFINANCE(D1223,""CURRENCY"")=""GBX"",""GBP"",GOOGLEFINANCE(D1223,""CURRENCY"")))))),B1223)"),"")</f>
        <v/>
      </c>
      <c r="R1223" s="263" t="str">
        <f>IFERROR(__xludf.DUMMYFUNCTION("IF(ISBLANK(A1223),"""",IFERROR(IF(OR(Q1223=""GPB"",Q1223=""ZAR""),IF(Q1223=Dashboard!$L$1,K1223,(K1223*GOOGLEFINANCE(""CURRENCY:""&amp;Q1223&amp;""""&amp;Dashboard!$L$1&amp;""""))/100),IF(Q1223=Dashboard!$L$1,K1223,K1223*GOOGLEFINANCE(""CURRENCY:""&amp;Q1223&amp;""""&amp;Dashboard!$"&amp;"L$1&amp;""""))),K1223))"),"")</f>
        <v/>
      </c>
      <c r="S1223" s="266" t="str">
        <f>IFERROR(__xludf.DUMMYFUNCTION("IF(ISBLANK(A1223),"""",IFERROR(IF(OR(Q1223=""GPB"",Q1223=""ZAR""),IF(Q1223=Dashboard!$L$1,M1223,(M1223*GOOGLEFINANCE(""CURRENCY:""&amp;Q1223&amp;""""&amp;Dashboard!$L$1&amp;""""))/100),IF(Q1223=Dashboard!$L$1,M1223,M1223*GOOGLEFINANCE(""CURRENCY:""&amp;Q1223&amp;""""&amp;Dashboard!$"&amp;"L$1&amp;""""))),M1223))"),"")</f>
        <v/>
      </c>
      <c r="T1223" s="264" t="str">
        <f t="shared" si="4"/>
        <v/>
      </c>
      <c r="U1223" s="264" t="str">
        <f t="shared" si="5"/>
        <v/>
      </c>
      <c r="V1223" s="264" t="str">
        <f t="shared" si="6"/>
        <v/>
      </c>
      <c r="W1223" s="267" t="str">
        <f t="shared" si="8"/>
        <v/>
      </c>
      <c r="X1223" s="264" t="str">
        <f t="shared" si="7"/>
        <v/>
      </c>
    </row>
    <row r="1224" ht="15.75" customHeight="1">
      <c r="A1224" s="258"/>
      <c r="B1224" s="258"/>
      <c r="C1224" s="269"/>
      <c r="D1224" s="258"/>
      <c r="E1224" s="258"/>
      <c r="F1224" s="258"/>
      <c r="G1224" s="258"/>
      <c r="H1224" s="271"/>
      <c r="I1224" s="258"/>
      <c r="J1224" s="272"/>
      <c r="K1224" s="260"/>
      <c r="L1224" s="261"/>
      <c r="M1224" s="262" t="str">
        <f t="shared" si="1"/>
        <v/>
      </c>
      <c r="N1224" s="263" t="str">
        <f t="shared" si="2"/>
        <v/>
      </c>
      <c r="O1224" s="264" t="str">
        <f t="shared" si="3"/>
        <v/>
      </c>
      <c r="P1224" s="265" t="str">
        <f>IFERROR(__xludf.DUMMYFUNCTION("IF(ISBLANK(A1224),"""",IFERROR(IF(H1224=""Sell"",VLOOKUP(9^99,FILTER({ROW(P$2:P1223),P$2:P1223},D$2:D1223=D1224),2),(VLOOKUP(9^99,FILTER({ROW(P$2:P1223),P$2:P1223},D$2:D1223=D1224),2)*VLOOKUP(9^99,FILTER({ROW(O$2:O1223),O$2:O1223},D$2:D1223=D1224),2)-N122"&amp;"4)/O1224),J1224))"),"")</f>
        <v/>
      </c>
      <c r="Q1224" s="264" t="str">
        <f>IFERROR(__xludf.DUMMYFUNCTION("IFERROR(IF(F1224=""Crypto"",B1224,(IF(ISBLANK(D1224),"""",IF(D1224=""Cash"",B1224,IF(GOOGLEFINANCE(D1224,""CURRENCY"")=""GBX"",""GBP"",GOOGLEFINANCE(D1224,""CURRENCY"")))))),B1224)"),"")</f>
        <v/>
      </c>
      <c r="R1224" s="263" t="str">
        <f>IFERROR(__xludf.DUMMYFUNCTION("IF(ISBLANK(A1224),"""",IFERROR(IF(OR(Q1224=""GPB"",Q1224=""ZAR""),IF(Q1224=Dashboard!$L$1,K1224,(K1224*GOOGLEFINANCE(""CURRENCY:""&amp;Q1224&amp;""""&amp;Dashboard!$L$1&amp;""""))/100),IF(Q1224=Dashboard!$L$1,K1224,K1224*GOOGLEFINANCE(""CURRENCY:""&amp;Q1224&amp;""""&amp;Dashboard!$"&amp;"L$1&amp;""""))),K1224))"),"")</f>
        <v/>
      </c>
      <c r="S1224" s="266" t="str">
        <f>IFERROR(__xludf.DUMMYFUNCTION("IF(ISBLANK(A1224),"""",IFERROR(IF(OR(Q1224=""GPB"",Q1224=""ZAR""),IF(Q1224=Dashboard!$L$1,M1224,(M1224*GOOGLEFINANCE(""CURRENCY:""&amp;Q1224&amp;""""&amp;Dashboard!$L$1&amp;""""))/100),IF(Q1224=Dashboard!$L$1,M1224,M1224*GOOGLEFINANCE(""CURRENCY:""&amp;Q1224&amp;""""&amp;Dashboard!$"&amp;"L$1&amp;""""))),M1224))"),"")</f>
        <v/>
      </c>
      <c r="T1224" s="264" t="str">
        <f t="shared" si="4"/>
        <v/>
      </c>
      <c r="U1224" s="264" t="str">
        <f t="shared" si="5"/>
        <v/>
      </c>
      <c r="V1224" s="264" t="str">
        <f t="shared" si="6"/>
        <v/>
      </c>
      <c r="W1224" s="267" t="str">
        <f t="shared" si="8"/>
        <v/>
      </c>
      <c r="X1224" s="264" t="str">
        <f t="shared" si="7"/>
        <v/>
      </c>
    </row>
    <row r="1225" ht="15.75" customHeight="1">
      <c r="A1225" s="258"/>
      <c r="B1225" s="258"/>
      <c r="C1225" s="269"/>
      <c r="D1225" s="258"/>
      <c r="E1225" s="258"/>
      <c r="F1225" s="258"/>
      <c r="G1225" s="258"/>
      <c r="H1225" s="271"/>
      <c r="I1225" s="258"/>
      <c r="J1225" s="272"/>
      <c r="K1225" s="260"/>
      <c r="L1225" s="261"/>
      <c r="M1225" s="262" t="str">
        <f t="shared" si="1"/>
        <v/>
      </c>
      <c r="N1225" s="263" t="str">
        <f t="shared" si="2"/>
        <v/>
      </c>
      <c r="O1225" s="264" t="str">
        <f t="shared" si="3"/>
        <v/>
      </c>
      <c r="P1225" s="265" t="str">
        <f>IFERROR(__xludf.DUMMYFUNCTION("IF(ISBLANK(A1225),"""",IFERROR(IF(H1225=""Sell"",VLOOKUP(9^99,FILTER({ROW(P$2:P1224),P$2:P1224},D$2:D1224=D1225),2),(VLOOKUP(9^99,FILTER({ROW(P$2:P1224),P$2:P1224},D$2:D1224=D1225),2)*VLOOKUP(9^99,FILTER({ROW(O$2:O1224),O$2:O1224},D$2:D1224=D1225),2)-N122"&amp;"5)/O1225),J1225))"),"")</f>
        <v/>
      </c>
      <c r="Q1225" s="264" t="str">
        <f>IFERROR(__xludf.DUMMYFUNCTION("IFERROR(IF(F1225=""Crypto"",B1225,(IF(ISBLANK(D1225),"""",IF(D1225=""Cash"",B1225,IF(GOOGLEFINANCE(D1225,""CURRENCY"")=""GBX"",""GBP"",GOOGLEFINANCE(D1225,""CURRENCY"")))))),B1225)"),"")</f>
        <v/>
      </c>
      <c r="R1225" s="263" t="str">
        <f>IFERROR(__xludf.DUMMYFUNCTION("IF(ISBLANK(A1225),"""",IFERROR(IF(OR(Q1225=""GPB"",Q1225=""ZAR""),IF(Q1225=Dashboard!$L$1,K1225,(K1225*GOOGLEFINANCE(""CURRENCY:""&amp;Q1225&amp;""""&amp;Dashboard!$L$1&amp;""""))/100),IF(Q1225=Dashboard!$L$1,K1225,K1225*GOOGLEFINANCE(""CURRENCY:""&amp;Q1225&amp;""""&amp;Dashboard!$"&amp;"L$1&amp;""""))),K1225))"),"")</f>
        <v/>
      </c>
      <c r="S1225" s="266" t="str">
        <f>IFERROR(__xludf.DUMMYFUNCTION("IF(ISBLANK(A1225),"""",IFERROR(IF(OR(Q1225=""GPB"",Q1225=""ZAR""),IF(Q1225=Dashboard!$L$1,M1225,(M1225*GOOGLEFINANCE(""CURRENCY:""&amp;Q1225&amp;""""&amp;Dashboard!$L$1&amp;""""))/100),IF(Q1225=Dashboard!$L$1,M1225,M1225*GOOGLEFINANCE(""CURRENCY:""&amp;Q1225&amp;""""&amp;Dashboard!$"&amp;"L$1&amp;""""))),M1225))"),"")</f>
        <v/>
      </c>
      <c r="T1225" s="264" t="str">
        <f t="shared" si="4"/>
        <v/>
      </c>
      <c r="U1225" s="264" t="str">
        <f t="shared" si="5"/>
        <v/>
      </c>
      <c r="V1225" s="264" t="str">
        <f t="shared" si="6"/>
        <v/>
      </c>
      <c r="W1225" s="267" t="str">
        <f t="shared" si="8"/>
        <v/>
      </c>
      <c r="X1225" s="264" t="str">
        <f t="shared" si="7"/>
        <v/>
      </c>
    </row>
    <row r="1226" ht="15.75" customHeight="1">
      <c r="A1226" s="258"/>
      <c r="B1226" s="258"/>
      <c r="C1226" s="269"/>
      <c r="D1226" s="258"/>
      <c r="E1226" s="258"/>
      <c r="F1226" s="258"/>
      <c r="G1226" s="258"/>
      <c r="H1226" s="271"/>
      <c r="I1226" s="258"/>
      <c r="J1226" s="272"/>
      <c r="K1226" s="260"/>
      <c r="L1226" s="261"/>
      <c r="M1226" s="262" t="str">
        <f t="shared" si="1"/>
        <v/>
      </c>
      <c r="N1226" s="263" t="str">
        <f t="shared" si="2"/>
        <v/>
      </c>
      <c r="O1226" s="264" t="str">
        <f t="shared" si="3"/>
        <v/>
      </c>
      <c r="P1226" s="265" t="str">
        <f>IFERROR(__xludf.DUMMYFUNCTION("IF(ISBLANK(A1226),"""",IFERROR(IF(H1226=""Sell"",VLOOKUP(9^99,FILTER({ROW(P$2:P1225),P$2:P1225},D$2:D1225=D1226),2),(VLOOKUP(9^99,FILTER({ROW(P$2:P1225),P$2:P1225},D$2:D1225=D1226),2)*VLOOKUP(9^99,FILTER({ROW(O$2:O1225),O$2:O1225},D$2:D1225=D1226),2)-N122"&amp;"6)/O1226),J1226))"),"")</f>
        <v/>
      </c>
      <c r="Q1226" s="264" t="str">
        <f>IFERROR(__xludf.DUMMYFUNCTION("IFERROR(IF(F1226=""Crypto"",B1226,(IF(ISBLANK(D1226),"""",IF(D1226=""Cash"",B1226,IF(GOOGLEFINANCE(D1226,""CURRENCY"")=""GBX"",""GBP"",GOOGLEFINANCE(D1226,""CURRENCY"")))))),B1226)"),"")</f>
        <v/>
      </c>
      <c r="R1226" s="263" t="str">
        <f>IFERROR(__xludf.DUMMYFUNCTION("IF(ISBLANK(A1226),"""",IFERROR(IF(OR(Q1226=""GPB"",Q1226=""ZAR""),IF(Q1226=Dashboard!$L$1,K1226,(K1226*GOOGLEFINANCE(""CURRENCY:""&amp;Q1226&amp;""""&amp;Dashboard!$L$1&amp;""""))/100),IF(Q1226=Dashboard!$L$1,K1226,K1226*GOOGLEFINANCE(""CURRENCY:""&amp;Q1226&amp;""""&amp;Dashboard!$"&amp;"L$1&amp;""""))),K1226))"),"")</f>
        <v/>
      </c>
      <c r="S1226" s="266" t="str">
        <f>IFERROR(__xludf.DUMMYFUNCTION("IF(ISBLANK(A1226),"""",IFERROR(IF(OR(Q1226=""GPB"",Q1226=""ZAR""),IF(Q1226=Dashboard!$L$1,M1226,(M1226*GOOGLEFINANCE(""CURRENCY:""&amp;Q1226&amp;""""&amp;Dashboard!$L$1&amp;""""))/100),IF(Q1226=Dashboard!$L$1,M1226,M1226*GOOGLEFINANCE(""CURRENCY:""&amp;Q1226&amp;""""&amp;Dashboard!$"&amp;"L$1&amp;""""))),M1226))"),"")</f>
        <v/>
      </c>
      <c r="T1226" s="264" t="str">
        <f t="shared" si="4"/>
        <v/>
      </c>
      <c r="U1226" s="264" t="str">
        <f t="shared" si="5"/>
        <v/>
      </c>
      <c r="V1226" s="264" t="str">
        <f t="shared" si="6"/>
        <v/>
      </c>
      <c r="W1226" s="267" t="str">
        <f t="shared" si="8"/>
        <v/>
      </c>
      <c r="X1226" s="264" t="str">
        <f t="shared" si="7"/>
        <v/>
      </c>
    </row>
    <row r="1227" ht="15.75" customHeight="1">
      <c r="A1227" s="258"/>
      <c r="B1227" s="258"/>
      <c r="C1227" s="269"/>
      <c r="D1227" s="258"/>
      <c r="E1227" s="258"/>
      <c r="F1227" s="258"/>
      <c r="G1227" s="258"/>
      <c r="H1227" s="271"/>
      <c r="I1227" s="258"/>
      <c r="J1227" s="272"/>
      <c r="K1227" s="260"/>
      <c r="L1227" s="261"/>
      <c r="M1227" s="262" t="str">
        <f t="shared" si="1"/>
        <v/>
      </c>
      <c r="N1227" s="263" t="str">
        <f t="shared" si="2"/>
        <v/>
      </c>
      <c r="O1227" s="264" t="str">
        <f t="shared" si="3"/>
        <v/>
      </c>
      <c r="P1227" s="265" t="str">
        <f>IFERROR(__xludf.DUMMYFUNCTION("IF(ISBLANK(A1227),"""",IFERROR(IF(H1227=""Sell"",VLOOKUP(9^99,FILTER({ROW(P$2:P1226),P$2:P1226},D$2:D1226=D1227),2),(VLOOKUP(9^99,FILTER({ROW(P$2:P1226),P$2:P1226},D$2:D1226=D1227),2)*VLOOKUP(9^99,FILTER({ROW(O$2:O1226),O$2:O1226},D$2:D1226=D1227),2)-N122"&amp;"7)/O1227),J1227))"),"")</f>
        <v/>
      </c>
      <c r="Q1227" s="264" t="str">
        <f>IFERROR(__xludf.DUMMYFUNCTION("IFERROR(IF(F1227=""Crypto"",B1227,(IF(ISBLANK(D1227),"""",IF(D1227=""Cash"",B1227,IF(GOOGLEFINANCE(D1227,""CURRENCY"")=""GBX"",""GBP"",GOOGLEFINANCE(D1227,""CURRENCY"")))))),B1227)"),"")</f>
        <v/>
      </c>
      <c r="R1227" s="263" t="str">
        <f>IFERROR(__xludf.DUMMYFUNCTION("IF(ISBLANK(A1227),"""",IFERROR(IF(OR(Q1227=""GPB"",Q1227=""ZAR""),IF(Q1227=Dashboard!$L$1,K1227,(K1227*GOOGLEFINANCE(""CURRENCY:""&amp;Q1227&amp;""""&amp;Dashboard!$L$1&amp;""""))/100),IF(Q1227=Dashboard!$L$1,K1227,K1227*GOOGLEFINANCE(""CURRENCY:""&amp;Q1227&amp;""""&amp;Dashboard!$"&amp;"L$1&amp;""""))),K1227))"),"")</f>
        <v/>
      </c>
      <c r="S1227" s="266" t="str">
        <f>IFERROR(__xludf.DUMMYFUNCTION("IF(ISBLANK(A1227),"""",IFERROR(IF(OR(Q1227=""GPB"",Q1227=""ZAR""),IF(Q1227=Dashboard!$L$1,M1227,(M1227*GOOGLEFINANCE(""CURRENCY:""&amp;Q1227&amp;""""&amp;Dashboard!$L$1&amp;""""))/100),IF(Q1227=Dashboard!$L$1,M1227,M1227*GOOGLEFINANCE(""CURRENCY:""&amp;Q1227&amp;""""&amp;Dashboard!$"&amp;"L$1&amp;""""))),M1227))"),"")</f>
        <v/>
      </c>
      <c r="T1227" s="264" t="str">
        <f t="shared" si="4"/>
        <v/>
      </c>
      <c r="U1227" s="264" t="str">
        <f t="shared" si="5"/>
        <v/>
      </c>
      <c r="V1227" s="264" t="str">
        <f t="shared" si="6"/>
        <v/>
      </c>
      <c r="W1227" s="267" t="str">
        <f t="shared" si="8"/>
        <v/>
      </c>
      <c r="X1227" s="264" t="str">
        <f t="shared" si="7"/>
        <v/>
      </c>
    </row>
    <row r="1228" ht="15.75" customHeight="1">
      <c r="A1228" s="258"/>
      <c r="B1228" s="258"/>
      <c r="C1228" s="269"/>
      <c r="D1228" s="258"/>
      <c r="E1228" s="258"/>
      <c r="F1228" s="258"/>
      <c r="G1228" s="258"/>
      <c r="H1228" s="271"/>
      <c r="I1228" s="258"/>
      <c r="J1228" s="272"/>
      <c r="K1228" s="260"/>
      <c r="L1228" s="261"/>
      <c r="M1228" s="262" t="str">
        <f t="shared" si="1"/>
        <v/>
      </c>
      <c r="N1228" s="263" t="str">
        <f t="shared" si="2"/>
        <v/>
      </c>
      <c r="O1228" s="264" t="str">
        <f t="shared" si="3"/>
        <v/>
      </c>
      <c r="P1228" s="265" t="str">
        <f>IFERROR(__xludf.DUMMYFUNCTION("IF(ISBLANK(A1228),"""",IFERROR(IF(H1228=""Sell"",VLOOKUP(9^99,FILTER({ROW(P$2:P1227),P$2:P1227},D$2:D1227=D1228),2),(VLOOKUP(9^99,FILTER({ROW(P$2:P1227),P$2:P1227},D$2:D1227=D1228),2)*VLOOKUP(9^99,FILTER({ROW(O$2:O1227),O$2:O1227},D$2:D1227=D1228),2)-N122"&amp;"8)/O1228),J1228))"),"")</f>
        <v/>
      </c>
      <c r="Q1228" s="264" t="str">
        <f>IFERROR(__xludf.DUMMYFUNCTION("IFERROR(IF(F1228=""Crypto"",B1228,(IF(ISBLANK(D1228),"""",IF(D1228=""Cash"",B1228,IF(GOOGLEFINANCE(D1228,""CURRENCY"")=""GBX"",""GBP"",GOOGLEFINANCE(D1228,""CURRENCY"")))))),B1228)"),"")</f>
        <v/>
      </c>
      <c r="R1228" s="263" t="str">
        <f>IFERROR(__xludf.DUMMYFUNCTION("IF(ISBLANK(A1228),"""",IFERROR(IF(OR(Q1228=""GPB"",Q1228=""ZAR""),IF(Q1228=Dashboard!$L$1,K1228,(K1228*GOOGLEFINANCE(""CURRENCY:""&amp;Q1228&amp;""""&amp;Dashboard!$L$1&amp;""""))/100),IF(Q1228=Dashboard!$L$1,K1228,K1228*GOOGLEFINANCE(""CURRENCY:""&amp;Q1228&amp;""""&amp;Dashboard!$"&amp;"L$1&amp;""""))),K1228))"),"")</f>
        <v/>
      </c>
      <c r="S1228" s="266" t="str">
        <f>IFERROR(__xludf.DUMMYFUNCTION("IF(ISBLANK(A1228),"""",IFERROR(IF(OR(Q1228=""GPB"",Q1228=""ZAR""),IF(Q1228=Dashboard!$L$1,M1228,(M1228*GOOGLEFINANCE(""CURRENCY:""&amp;Q1228&amp;""""&amp;Dashboard!$L$1&amp;""""))/100),IF(Q1228=Dashboard!$L$1,M1228,M1228*GOOGLEFINANCE(""CURRENCY:""&amp;Q1228&amp;""""&amp;Dashboard!$"&amp;"L$1&amp;""""))),M1228))"),"")</f>
        <v/>
      </c>
      <c r="T1228" s="264" t="str">
        <f t="shared" si="4"/>
        <v/>
      </c>
      <c r="U1228" s="264" t="str">
        <f t="shared" si="5"/>
        <v/>
      </c>
      <c r="V1228" s="264" t="str">
        <f t="shared" si="6"/>
        <v/>
      </c>
      <c r="W1228" s="267" t="str">
        <f t="shared" si="8"/>
        <v/>
      </c>
      <c r="X1228" s="264" t="str">
        <f t="shared" si="7"/>
        <v/>
      </c>
    </row>
    <row r="1229" ht="15.75" customHeight="1">
      <c r="A1229" s="258"/>
      <c r="B1229" s="258"/>
      <c r="C1229" s="269"/>
      <c r="D1229" s="258"/>
      <c r="E1229" s="258"/>
      <c r="F1229" s="258"/>
      <c r="G1229" s="258"/>
      <c r="H1229" s="271"/>
      <c r="I1229" s="258"/>
      <c r="J1229" s="272"/>
      <c r="K1229" s="260"/>
      <c r="L1229" s="261"/>
      <c r="M1229" s="262" t="str">
        <f t="shared" si="1"/>
        <v/>
      </c>
      <c r="N1229" s="263" t="str">
        <f t="shared" si="2"/>
        <v/>
      </c>
      <c r="O1229" s="264" t="str">
        <f t="shared" si="3"/>
        <v/>
      </c>
      <c r="P1229" s="265" t="str">
        <f>IFERROR(__xludf.DUMMYFUNCTION("IF(ISBLANK(A1229),"""",IFERROR(IF(H1229=""Sell"",VLOOKUP(9^99,FILTER({ROW(P$2:P1228),P$2:P1228},D$2:D1228=D1229),2),(VLOOKUP(9^99,FILTER({ROW(P$2:P1228),P$2:P1228},D$2:D1228=D1229),2)*VLOOKUP(9^99,FILTER({ROW(O$2:O1228),O$2:O1228},D$2:D1228=D1229),2)-N122"&amp;"9)/O1229),J1229))"),"")</f>
        <v/>
      </c>
      <c r="Q1229" s="264" t="str">
        <f>IFERROR(__xludf.DUMMYFUNCTION("IFERROR(IF(F1229=""Crypto"",B1229,(IF(ISBLANK(D1229),"""",IF(D1229=""Cash"",B1229,IF(GOOGLEFINANCE(D1229,""CURRENCY"")=""GBX"",""GBP"",GOOGLEFINANCE(D1229,""CURRENCY"")))))),B1229)"),"")</f>
        <v/>
      </c>
      <c r="R1229" s="263" t="str">
        <f>IFERROR(__xludf.DUMMYFUNCTION("IF(ISBLANK(A1229),"""",IFERROR(IF(OR(Q1229=""GPB"",Q1229=""ZAR""),IF(Q1229=Dashboard!$L$1,K1229,(K1229*GOOGLEFINANCE(""CURRENCY:""&amp;Q1229&amp;""""&amp;Dashboard!$L$1&amp;""""))/100),IF(Q1229=Dashboard!$L$1,K1229,K1229*GOOGLEFINANCE(""CURRENCY:""&amp;Q1229&amp;""""&amp;Dashboard!$"&amp;"L$1&amp;""""))),K1229))"),"")</f>
        <v/>
      </c>
      <c r="S1229" s="266" t="str">
        <f>IFERROR(__xludf.DUMMYFUNCTION("IF(ISBLANK(A1229),"""",IFERROR(IF(OR(Q1229=""GPB"",Q1229=""ZAR""),IF(Q1229=Dashboard!$L$1,M1229,(M1229*GOOGLEFINANCE(""CURRENCY:""&amp;Q1229&amp;""""&amp;Dashboard!$L$1&amp;""""))/100),IF(Q1229=Dashboard!$L$1,M1229,M1229*GOOGLEFINANCE(""CURRENCY:""&amp;Q1229&amp;""""&amp;Dashboard!$"&amp;"L$1&amp;""""))),M1229))"),"")</f>
        <v/>
      </c>
      <c r="T1229" s="264" t="str">
        <f t="shared" si="4"/>
        <v/>
      </c>
      <c r="U1229" s="264" t="str">
        <f t="shared" si="5"/>
        <v/>
      </c>
      <c r="V1229" s="264" t="str">
        <f t="shared" si="6"/>
        <v/>
      </c>
      <c r="W1229" s="267" t="str">
        <f t="shared" si="8"/>
        <v/>
      </c>
      <c r="X1229" s="264" t="str">
        <f t="shared" si="7"/>
        <v/>
      </c>
    </row>
    <row r="1230" ht="15.75" customHeight="1">
      <c r="A1230" s="258"/>
      <c r="B1230" s="258"/>
      <c r="C1230" s="269"/>
      <c r="D1230" s="258"/>
      <c r="E1230" s="258"/>
      <c r="F1230" s="258"/>
      <c r="G1230" s="258"/>
      <c r="H1230" s="271"/>
      <c r="I1230" s="258"/>
      <c r="J1230" s="272"/>
      <c r="K1230" s="260"/>
      <c r="L1230" s="261"/>
      <c r="M1230" s="262" t="str">
        <f t="shared" si="1"/>
        <v/>
      </c>
      <c r="N1230" s="263" t="str">
        <f t="shared" si="2"/>
        <v/>
      </c>
      <c r="O1230" s="264" t="str">
        <f t="shared" si="3"/>
        <v/>
      </c>
      <c r="P1230" s="265" t="str">
        <f>IFERROR(__xludf.DUMMYFUNCTION("IF(ISBLANK(A1230),"""",IFERROR(IF(H1230=""Sell"",VLOOKUP(9^99,FILTER({ROW(P$2:P1229),P$2:P1229},D$2:D1229=D1230),2),(VLOOKUP(9^99,FILTER({ROW(P$2:P1229),P$2:P1229},D$2:D1229=D1230),2)*VLOOKUP(9^99,FILTER({ROW(O$2:O1229),O$2:O1229},D$2:D1229=D1230),2)-N123"&amp;"0)/O1230),J1230))"),"")</f>
        <v/>
      </c>
      <c r="Q1230" s="264" t="str">
        <f>IFERROR(__xludf.DUMMYFUNCTION("IFERROR(IF(F1230=""Crypto"",B1230,(IF(ISBLANK(D1230),"""",IF(D1230=""Cash"",B1230,IF(GOOGLEFINANCE(D1230,""CURRENCY"")=""GBX"",""GBP"",GOOGLEFINANCE(D1230,""CURRENCY"")))))),B1230)"),"")</f>
        <v/>
      </c>
      <c r="R1230" s="263" t="str">
        <f>IFERROR(__xludf.DUMMYFUNCTION("IF(ISBLANK(A1230),"""",IFERROR(IF(OR(Q1230=""GPB"",Q1230=""ZAR""),IF(Q1230=Dashboard!$L$1,K1230,(K1230*GOOGLEFINANCE(""CURRENCY:""&amp;Q1230&amp;""""&amp;Dashboard!$L$1&amp;""""))/100),IF(Q1230=Dashboard!$L$1,K1230,K1230*GOOGLEFINANCE(""CURRENCY:""&amp;Q1230&amp;""""&amp;Dashboard!$"&amp;"L$1&amp;""""))),K1230))"),"")</f>
        <v/>
      </c>
      <c r="S1230" s="266" t="str">
        <f>IFERROR(__xludf.DUMMYFUNCTION("IF(ISBLANK(A1230),"""",IFERROR(IF(OR(Q1230=""GPB"",Q1230=""ZAR""),IF(Q1230=Dashboard!$L$1,M1230,(M1230*GOOGLEFINANCE(""CURRENCY:""&amp;Q1230&amp;""""&amp;Dashboard!$L$1&amp;""""))/100),IF(Q1230=Dashboard!$L$1,M1230,M1230*GOOGLEFINANCE(""CURRENCY:""&amp;Q1230&amp;""""&amp;Dashboard!$"&amp;"L$1&amp;""""))),M1230))"),"")</f>
        <v/>
      </c>
      <c r="T1230" s="264" t="str">
        <f t="shared" si="4"/>
        <v/>
      </c>
      <c r="U1230" s="264" t="str">
        <f t="shared" si="5"/>
        <v/>
      </c>
      <c r="V1230" s="264" t="str">
        <f t="shared" si="6"/>
        <v/>
      </c>
      <c r="W1230" s="267" t="str">
        <f t="shared" si="8"/>
        <v/>
      </c>
      <c r="X1230" s="264" t="str">
        <f t="shared" si="7"/>
        <v/>
      </c>
    </row>
    <row r="1231" ht="15.75" customHeight="1">
      <c r="A1231" s="258"/>
      <c r="B1231" s="258"/>
      <c r="C1231" s="269"/>
      <c r="D1231" s="258"/>
      <c r="E1231" s="258"/>
      <c r="F1231" s="258"/>
      <c r="G1231" s="258"/>
      <c r="H1231" s="271"/>
      <c r="I1231" s="258"/>
      <c r="J1231" s="272"/>
      <c r="K1231" s="260"/>
      <c r="L1231" s="261"/>
      <c r="M1231" s="262" t="str">
        <f t="shared" si="1"/>
        <v/>
      </c>
      <c r="N1231" s="263" t="str">
        <f t="shared" si="2"/>
        <v/>
      </c>
      <c r="O1231" s="264" t="str">
        <f t="shared" si="3"/>
        <v/>
      </c>
      <c r="P1231" s="265" t="str">
        <f>IFERROR(__xludf.DUMMYFUNCTION("IF(ISBLANK(A1231),"""",IFERROR(IF(H1231=""Sell"",VLOOKUP(9^99,FILTER({ROW(P$2:P1230),P$2:P1230},D$2:D1230=D1231),2),(VLOOKUP(9^99,FILTER({ROW(P$2:P1230),P$2:P1230},D$2:D1230=D1231),2)*VLOOKUP(9^99,FILTER({ROW(O$2:O1230),O$2:O1230},D$2:D1230=D1231),2)-N123"&amp;"1)/O1231),J1231))"),"")</f>
        <v/>
      </c>
      <c r="Q1231" s="264" t="str">
        <f>IFERROR(__xludf.DUMMYFUNCTION("IFERROR(IF(F1231=""Crypto"",B1231,(IF(ISBLANK(D1231),"""",IF(D1231=""Cash"",B1231,IF(GOOGLEFINANCE(D1231,""CURRENCY"")=""GBX"",""GBP"",GOOGLEFINANCE(D1231,""CURRENCY"")))))),B1231)"),"")</f>
        <v/>
      </c>
      <c r="R1231" s="263" t="str">
        <f>IFERROR(__xludf.DUMMYFUNCTION("IF(ISBLANK(A1231),"""",IFERROR(IF(OR(Q1231=""GPB"",Q1231=""ZAR""),IF(Q1231=Dashboard!$L$1,K1231,(K1231*GOOGLEFINANCE(""CURRENCY:""&amp;Q1231&amp;""""&amp;Dashboard!$L$1&amp;""""))/100),IF(Q1231=Dashboard!$L$1,K1231,K1231*GOOGLEFINANCE(""CURRENCY:""&amp;Q1231&amp;""""&amp;Dashboard!$"&amp;"L$1&amp;""""))),K1231))"),"")</f>
        <v/>
      </c>
      <c r="S1231" s="266" t="str">
        <f>IFERROR(__xludf.DUMMYFUNCTION("IF(ISBLANK(A1231),"""",IFERROR(IF(OR(Q1231=""GPB"",Q1231=""ZAR""),IF(Q1231=Dashboard!$L$1,M1231,(M1231*GOOGLEFINANCE(""CURRENCY:""&amp;Q1231&amp;""""&amp;Dashboard!$L$1&amp;""""))/100),IF(Q1231=Dashboard!$L$1,M1231,M1231*GOOGLEFINANCE(""CURRENCY:""&amp;Q1231&amp;""""&amp;Dashboard!$"&amp;"L$1&amp;""""))),M1231))"),"")</f>
        <v/>
      </c>
      <c r="T1231" s="264" t="str">
        <f t="shared" si="4"/>
        <v/>
      </c>
      <c r="U1231" s="264" t="str">
        <f t="shared" si="5"/>
        <v/>
      </c>
      <c r="V1231" s="264" t="str">
        <f t="shared" si="6"/>
        <v/>
      </c>
      <c r="W1231" s="267" t="str">
        <f t="shared" si="8"/>
        <v/>
      </c>
      <c r="X1231" s="264" t="str">
        <f t="shared" si="7"/>
        <v/>
      </c>
    </row>
    <row r="1232" ht="15.75" customHeight="1">
      <c r="A1232" s="258"/>
      <c r="B1232" s="258"/>
      <c r="C1232" s="269"/>
      <c r="D1232" s="258"/>
      <c r="E1232" s="258"/>
      <c r="F1232" s="258"/>
      <c r="G1232" s="258"/>
      <c r="H1232" s="271"/>
      <c r="I1232" s="258"/>
      <c r="J1232" s="272"/>
      <c r="K1232" s="260"/>
      <c r="L1232" s="261"/>
      <c r="M1232" s="262" t="str">
        <f t="shared" si="1"/>
        <v/>
      </c>
      <c r="N1232" s="263" t="str">
        <f t="shared" si="2"/>
        <v/>
      </c>
      <c r="O1232" s="264" t="str">
        <f t="shared" si="3"/>
        <v/>
      </c>
      <c r="P1232" s="265" t="str">
        <f>IFERROR(__xludf.DUMMYFUNCTION("IF(ISBLANK(A1232),"""",IFERROR(IF(H1232=""Sell"",VLOOKUP(9^99,FILTER({ROW(P$2:P1231),P$2:P1231},D$2:D1231=D1232),2),(VLOOKUP(9^99,FILTER({ROW(P$2:P1231),P$2:P1231},D$2:D1231=D1232),2)*VLOOKUP(9^99,FILTER({ROW(O$2:O1231),O$2:O1231},D$2:D1231=D1232),2)-N123"&amp;"2)/O1232),J1232))"),"")</f>
        <v/>
      </c>
      <c r="Q1232" s="264" t="str">
        <f>IFERROR(__xludf.DUMMYFUNCTION("IFERROR(IF(F1232=""Crypto"",B1232,(IF(ISBLANK(D1232),"""",IF(D1232=""Cash"",B1232,IF(GOOGLEFINANCE(D1232,""CURRENCY"")=""GBX"",""GBP"",GOOGLEFINANCE(D1232,""CURRENCY"")))))),B1232)"),"")</f>
        <v/>
      </c>
      <c r="R1232" s="263" t="str">
        <f>IFERROR(__xludf.DUMMYFUNCTION("IF(ISBLANK(A1232),"""",IFERROR(IF(OR(Q1232=""GPB"",Q1232=""ZAR""),IF(Q1232=Dashboard!$L$1,K1232,(K1232*GOOGLEFINANCE(""CURRENCY:""&amp;Q1232&amp;""""&amp;Dashboard!$L$1&amp;""""))/100),IF(Q1232=Dashboard!$L$1,K1232,K1232*GOOGLEFINANCE(""CURRENCY:""&amp;Q1232&amp;""""&amp;Dashboard!$"&amp;"L$1&amp;""""))),K1232))"),"")</f>
        <v/>
      </c>
      <c r="S1232" s="266" t="str">
        <f>IFERROR(__xludf.DUMMYFUNCTION("IF(ISBLANK(A1232),"""",IFERROR(IF(OR(Q1232=""GPB"",Q1232=""ZAR""),IF(Q1232=Dashboard!$L$1,M1232,(M1232*GOOGLEFINANCE(""CURRENCY:""&amp;Q1232&amp;""""&amp;Dashboard!$L$1&amp;""""))/100),IF(Q1232=Dashboard!$L$1,M1232,M1232*GOOGLEFINANCE(""CURRENCY:""&amp;Q1232&amp;""""&amp;Dashboard!$"&amp;"L$1&amp;""""))),M1232))"),"")</f>
        <v/>
      </c>
      <c r="T1232" s="264" t="str">
        <f t="shared" si="4"/>
        <v/>
      </c>
      <c r="U1232" s="264" t="str">
        <f t="shared" si="5"/>
        <v/>
      </c>
      <c r="V1232" s="264" t="str">
        <f t="shared" si="6"/>
        <v/>
      </c>
      <c r="W1232" s="267" t="str">
        <f t="shared" si="8"/>
        <v/>
      </c>
      <c r="X1232" s="264" t="str">
        <f t="shared" si="7"/>
        <v/>
      </c>
    </row>
    <row r="1233" ht="15.75" customHeight="1">
      <c r="A1233" s="258"/>
      <c r="B1233" s="258"/>
      <c r="C1233" s="269"/>
      <c r="D1233" s="258"/>
      <c r="E1233" s="258"/>
      <c r="F1233" s="258"/>
      <c r="G1233" s="258"/>
      <c r="H1233" s="271"/>
      <c r="I1233" s="258"/>
      <c r="J1233" s="272"/>
      <c r="K1233" s="260"/>
      <c r="L1233" s="261"/>
      <c r="M1233" s="262" t="str">
        <f t="shared" si="1"/>
        <v/>
      </c>
      <c r="N1233" s="263" t="str">
        <f t="shared" si="2"/>
        <v/>
      </c>
      <c r="O1233" s="264" t="str">
        <f t="shared" si="3"/>
        <v/>
      </c>
      <c r="P1233" s="265" t="str">
        <f>IFERROR(__xludf.DUMMYFUNCTION("IF(ISBLANK(A1233),"""",IFERROR(IF(H1233=""Sell"",VLOOKUP(9^99,FILTER({ROW(P$2:P1232),P$2:P1232},D$2:D1232=D1233),2),(VLOOKUP(9^99,FILTER({ROW(P$2:P1232),P$2:P1232},D$2:D1232=D1233),2)*VLOOKUP(9^99,FILTER({ROW(O$2:O1232),O$2:O1232},D$2:D1232=D1233),2)-N123"&amp;"3)/O1233),J1233))"),"")</f>
        <v/>
      </c>
      <c r="Q1233" s="264" t="str">
        <f>IFERROR(__xludf.DUMMYFUNCTION("IFERROR(IF(F1233=""Crypto"",B1233,(IF(ISBLANK(D1233),"""",IF(D1233=""Cash"",B1233,IF(GOOGLEFINANCE(D1233,""CURRENCY"")=""GBX"",""GBP"",GOOGLEFINANCE(D1233,""CURRENCY"")))))),B1233)"),"")</f>
        <v/>
      </c>
      <c r="R1233" s="263" t="str">
        <f>IFERROR(__xludf.DUMMYFUNCTION("IF(ISBLANK(A1233),"""",IFERROR(IF(OR(Q1233=""GPB"",Q1233=""ZAR""),IF(Q1233=Dashboard!$L$1,K1233,(K1233*GOOGLEFINANCE(""CURRENCY:""&amp;Q1233&amp;""""&amp;Dashboard!$L$1&amp;""""))/100),IF(Q1233=Dashboard!$L$1,K1233,K1233*GOOGLEFINANCE(""CURRENCY:""&amp;Q1233&amp;""""&amp;Dashboard!$"&amp;"L$1&amp;""""))),K1233))"),"")</f>
        <v/>
      </c>
      <c r="S1233" s="266" t="str">
        <f>IFERROR(__xludf.DUMMYFUNCTION("IF(ISBLANK(A1233),"""",IFERROR(IF(OR(Q1233=""GPB"",Q1233=""ZAR""),IF(Q1233=Dashboard!$L$1,M1233,(M1233*GOOGLEFINANCE(""CURRENCY:""&amp;Q1233&amp;""""&amp;Dashboard!$L$1&amp;""""))/100),IF(Q1233=Dashboard!$L$1,M1233,M1233*GOOGLEFINANCE(""CURRENCY:""&amp;Q1233&amp;""""&amp;Dashboard!$"&amp;"L$1&amp;""""))),M1233))"),"")</f>
        <v/>
      </c>
      <c r="T1233" s="264" t="str">
        <f t="shared" si="4"/>
        <v/>
      </c>
      <c r="U1233" s="264" t="str">
        <f t="shared" si="5"/>
        <v/>
      </c>
      <c r="V1233" s="264" t="str">
        <f t="shared" si="6"/>
        <v/>
      </c>
      <c r="W1233" s="267" t="str">
        <f t="shared" si="8"/>
        <v/>
      </c>
      <c r="X1233" s="264" t="str">
        <f t="shared" si="7"/>
        <v/>
      </c>
    </row>
    <row r="1234" ht="15.75" customHeight="1">
      <c r="A1234" s="258"/>
      <c r="B1234" s="258"/>
      <c r="C1234" s="269"/>
      <c r="D1234" s="258"/>
      <c r="E1234" s="258"/>
      <c r="F1234" s="258"/>
      <c r="G1234" s="258"/>
      <c r="H1234" s="271"/>
      <c r="I1234" s="258"/>
      <c r="J1234" s="272"/>
      <c r="K1234" s="260"/>
      <c r="L1234" s="261"/>
      <c r="M1234" s="262" t="str">
        <f t="shared" si="1"/>
        <v/>
      </c>
      <c r="N1234" s="263" t="str">
        <f t="shared" si="2"/>
        <v/>
      </c>
      <c r="O1234" s="264" t="str">
        <f t="shared" si="3"/>
        <v/>
      </c>
      <c r="P1234" s="265" t="str">
        <f>IFERROR(__xludf.DUMMYFUNCTION("IF(ISBLANK(A1234),"""",IFERROR(IF(H1234=""Sell"",VLOOKUP(9^99,FILTER({ROW(P$2:P1233),P$2:P1233},D$2:D1233=D1234),2),(VLOOKUP(9^99,FILTER({ROW(P$2:P1233),P$2:P1233},D$2:D1233=D1234),2)*VLOOKUP(9^99,FILTER({ROW(O$2:O1233),O$2:O1233},D$2:D1233=D1234),2)-N123"&amp;"4)/O1234),J1234))"),"")</f>
        <v/>
      </c>
      <c r="Q1234" s="264" t="str">
        <f>IFERROR(__xludf.DUMMYFUNCTION("IFERROR(IF(F1234=""Crypto"",B1234,(IF(ISBLANK(D1234),"""",IF(D1234=""Cash"",B1234,IF(GOOGLEFINANCE(D1234,""CURRENCY"")=""GBX"",""GBP"",GOOGLEFINANCE(D1234,""CURRENCY"")))))),B1234)"),"")</f>
        <v/>
      </c>
      <c r="R1234" s="263" t="str">
        <f>IFERROR(__xludf.DUMMYFUNCTION("IF(ISBLANK(A1234),"""",IFERROR(IF(OR(Q1234=""GPB"",Q1234=""ZAR""),IF(Q1234=Dashboard!$L$1,K1234,(K1234*GOOGLEFINANCE(""CURRENCY:""&amp;Q1234&amp;""""&amp;Dashboard!$L$1&amp;""""))/100),IF(Q1234=Dashboard!$L$1,K1234,K1234*GOOGLEFINANCE(""CURRENCY:""&amp;Q1234&amp;""""&amp;Dashboard!$"&amp;"L$1&amp;""""))),K1234))"),"")</f>
        <v/>
      </c>
      <c r="S1234" s="266" t="str">
        <f>IFERROR(__xludf.DUMMYFUNCTION("IF(ISBLANK(A1234),"""",IFERROR(IF(OR(Q1234=""GPB"",Q1234=""ZAR""),IF(Q1234=Dashboard!$L$1,M1234,(M1234*GOOGLEFINANCE(""CURRENCY:""&amp;Q1234&amp;""""&amp;Dashboard!$L$1&amp;""""))/100),IF(Q1234=Dashboard!$L$1,M1234,M1234*GOOGLEFINANCE(""CURRENCY:""&amp;Q1234&amp;""""&amp;Dashboard!$"&amp;"L$1&amp;""""))),M1234))"),"")</f>
        <v/>
      </c>
      <c r="T1234" s="264" t="str">
        <f t="shared" si="4"/>
        <v/>
      </c>
      <c r="U1234" s="264" t="str">
        <f t="shared" si="5"/>
        <v/>
      </c>
      <c r="V1234" s="264" t="str">
        <f t="shared" si="6"/>
        <v/>
      </c>
      <c r="W1234" s="267" t="str">
        <f t="shared" si="8"/>
        <v/>
      </c>
      <c r="X1234" s="264" t="str">
        <f t="shared" si="7"/>
        <v/>
      </c>
    </row>
    <row r="1235" ht="15.75" customHeight="1">
      <c r="A1235" s="258"/>
      <c r="B1235" s="258"/>
      <c r="C1235" s="269"/>
      <c r="D1235" s="258"/>
      <c r="E1235" s="258"/>
      <c r="F1235" s="258"/>
      <c r="G1235" s="258"/>
      <c r="H1235" s="271"/>
      <c r="I1235" s="258"/>
      <c r="J1235" s="272"/>
      <c r="K1235" s="260"/>
      <c r="L1235" s="261"/>
      <c r="M1235" s="262" t="str">
        <f t="shared" si="1"/>
        <v/>
      </c>
      <c r="N1235" s="263" t="str">
        <f t="shared" si="2"/>
        <v/>
      </c>
      <c r="O1235" s="264" t="str">
        <f t="shared" si="3"/>
        <v/>
      </c>
      <c r="P1235" s="265" t="str">
        <f>IFERROR(__xludf.DUMMYFUNCTION("IF(ISBLANK(A1235),"""",IFERROR(IF(H1235=""Sell"",VLOOKUP(9^99,FILTER({ROW(P$2:P1234),P$2:P1234},D$2:D1234=D1235),2),(VLOOKUP(9^99,FILTER({ROW(P$2:P1234),P$2:P1234},D$2:D1234=D1235),2)*VLOOKUP(9^99,FILTER({ROW(O$2:O1234),O$2:O1234},D$2:D1234=D1235),2)-N123"&amp;"5)/O1235),J1235))"),"")</f>
        <v/>
      </c>
      <c r="Q1235" s="264" t="str">
        <f>IFERROR(__xludf.DUMMYFUNCTION("IFERROR(IF(F1235=""Crypto"",B1235,(IF(ISBLANK(D1235),"""",IF(D1235=""Cash"",B1235,IF(GOOGLEFINANCE(D1235,""CURRENCY"")=""GBX"",""GBP"",GOOGLEFINANCE(D1235,""CURRENCY"")))))),B1235)"),"")</f>
        <v/>
      </c>
      <c r="R1235" s="263" t="str">
        <f>IFERROR(__xludf.DUMMYFUNCTION("IF(ISBLANK(A1235),"""",IFERROR(IF(OR(Q1235=""GPB"",Q1235=""ZAR""),IF(Q1235=Dashboard!$L$1,K1235,(K1235*GOOGLEFINANCE(""CURRENCY:""&amp;Q1235&amp;""""&amp;Dashboard!$L$1&amp;""""))/100),IF(Q1235=Dashboard!$L$1,K1235,K1235*GOOGLEFINANCE(""CURRENCY:""&amp;Q1235&amp;""""&amp;Dashboard!$"&amp;"L$1&amp;""""))),K1235))"),"")</f>
        <v/>
      </c>
      <c r="S1235" s="266" t="str">
        <f>IFERROR(__xludf.DUMMYFUNCTION("IF(ISBLANK(A1235),"""",IFERROR(IF(OR(Q1235=""GPB"",Q1235=""ZAR""),IF(Q1235=Dashboard!$L$1,M1235,(M1235*GOOGLEFINANCE(""CURRENCY:""&amp;Q1235&amp;""""&amp;Dashboard!$L$1&amp;""""))/100),IF(Q1235=Dashboard!$L$1,M1235,M1235*GOOGLEFINANCE(""CURRENCY:""&amp;Q1235&amp;""""&amp;Dashboard!$"&amp;"L$1&amp;""""))),M1235))"),"")</f>
        <v/>
      </c>
      <c r="T1235" s="264" t="str">
        <f t="shared" si="4"/>
        <v/>
      </c>
      <c r="U1235" s="264" t="str">
        <f t="shared" si="5"/>
        <v/>
      </c>
      <c r="V1235" s="264" t="str">
        <f t="shared" si="6"/>
        <v/>
      </c>
      <c r="W1235" s="267" t="str">
        <f t="shared" si="8"/>
        <v/>
      </c>
      <c r="X1235" s="264" t="str">
        <f t="shared" si="7"/>
        <v/>
      </c>
    </row>
    <row r="1236" ht="15.75" customHeight="1">
      <c r="A1236" s="258"/>
      <c r="B1236" s="258"/>
      <c r="C1236" s="269"/>
      <c r="D1236" s="258"/>
      <c r="E1236" s="258"/>
      <c r="F1236" s="258"/>
      <c r="G1236" s="258"/>
      <c r="H1236" s="271"/>
      <c r="I1236" s="258"/>
      <c r="J1236" s="272"/>
      <c r="K1236" s="260"/>
      <c r="L1236" s="261"/>
      <c r="M1236" s="262" t="str">
        <f t="shared" si="1"/>
        <v/>
      </c>
      <c r="N1236" s="263" t="str">
        <f t="shared" si="2"/>
        <v/>
      </c>
      <c r="O1236" s="264" t="str">
        <f t="shared" si="3"/>
        <v/>
      </c>
      <c r="P1236" s="265" t="str">
        <f>IFERROR(__xludf.DUMMYFUNCTION("IF(ISBLANK(A1236),"""",IFERROR(IF(H1236=""Sell"",VLOOKUP(9^99,FILTER({ROW(P$2:P1235),P$2:P1235},D$2:D1235=D1236),2),(VLOOKUP(9^99,FILTER({ROW(P$2:P1235),P$2:P1235},D$2:D1235=D1236),2)*VLOOKUP(9^99,FILTER({ROW(O$2:O1235),O$2:O1235},D$2:D1235=D1236),2)-N123"&amp;"6)/O1236),J1236))"),"")</f>
        <v/>
      </c>
      <c r="Q1236" s="264" t="str">
        <f>IFERROR(__xludf.DUMMYFUNCTION("IFERROR(IF(F1236=""Crypto"",B1236,(IF(ISBLANK(D1236),"""",IF(D1236=""Cash"",B1236,IF(GOOGLEFINANCE(D1236,""CURRENCY"")=""GBX"",""GBP"",GOOGLEFINANCE(D1236,""CURRENCY"")))))),B1236)"),"")</f>
        <v/>
      </c>
      <c r="R1236" s="263" t="str">
        <f>IFERROR(__xludf.DUMMYFUNCTION("IF(ISBLANK(A1236),"""",IFERROR(IF(OR(Q1236=""GPB"",Q1236=""ZAR""),IF(Q1236=Dashboard!$L$1,K1236,(K1236*GOOGLEFINANCE(""CURRENCY:""&amp;Q1236&amp;""""&amp;Dashboard!$L$1&amp;""""))/100),IF(Q1236=Dashboard!$L$1,K1236,K1236*GOOGLEFINANCE(""CURRENCY:""&amp;Q1236&amp;""""&amp;Dashboard!$"&amp;"L$1&amp;""""))),K1236))"),"")</f>
        <v/>
      </c>
      <c r="S1236" s="266" t="str">
        <f>IFERROR(__xludf.DUMMYFUNCTION("IF(ISBLANK(A1236),"""",IFERROR(IF(OR(Q1236=""GPB"",Q1236=""ZAR""),IF(Q1236=Dashboard!$L$1,M1236,(M1236*GOOGLEFINANCE(""CURRENCY:""&amp;Q1236&amp;""""&amp;Dashboard!$L$1&amp;""""))/100),IF(Q1236=Dashboard!$L$1,M1236,M1236*GOOGLEFINANCE(""CURRENCY:""&amp;Q1236&amp;""""&amp;Dashboard!$"&amp;"L$1&amp;""""))),M1236))"),"")</f>
        <v/>
      </c>
      <c r="T1236" s="264" t="str">
        <f t="shared" si="4"/>
        <v/>
      </c>
      <c r="U1236" s="264" t="str">
        <f t="shared" si="5"/>
        <v/>
      </c>
      <c r="V1236" s="264" t="str">
        <f t="shared" si="6"/>
        <v/>
      </c>
      <c r="W1236" s="267" t="str">
        <f t="shared" si="8"/>
        <v/>
      </c>
      <c r="X1236" s="264" t="str">
        <f t="shared" si="7"/>
        <v/>
      </c>
    </row>
    <row r="1237" ht="15.75" customHeight="1">
      <c r="A1237" s="258"/>
      <c r="B1237" s="258"/>
      <c r="C1237" s="269"/>
      <c r="D1237" s="258"/>
      <c r="E1237" s="258"/>
      <c r="F1237" s="258"/>
      <c r="G1237" s="258"/>
      <c r="H1237" s="271"/>
      <c r="I1237" s="258"/>
      <c r="J1237" s="272"/>
      <c r="K1237" s="260"/>
      <c r="L1237" s="261"/>
      <c r="M1237" s="262" t="str">
        <f t="shared" si="1"/>
        <v/>
      </c>
      <c r="N1237" s="263" t="str">
        <f t="shared" si="2"/>
        <v/>
      </c>
      <c r="O1237" s="264" t="str">
        <f t="shared" si="3"/>
        <v/>
      </c>
      <c r="P1237" s="265" t="str">
        <f>IFERROR(__xludf.DUMMYFUNCTION("IF(ISBLANK(A1237),"""",IFERROR(IF(H1237=""Sell"",VLOOKUP(9^99,FILTER({ROW(P$2:P1236),P$2:P1236},D$2:D1236=D1237),2),(VLOOKUP(9^99,FILTER({ROW(P$2:P1236),P$2:P1236},D$2:D1236=D1237),2)*VLOOKUP(9^99,FILTER({ROW(O$2:O1236),O$2:O1236},D$2:D1236=D1237),2)-N123"&amp;"7)/O1237),J1237))"),"")</f>
        <v/>
      </c>
      <c r="Q1237" s="264" t="str">
        <f>IFERROR(__xludf.DUMMYFUNCTION("IFERROR(IF(F1237=""Crypto"",B1237,(IF(ISBLANK(D1237),"""",IF(D1237=""Cash"",B1237,IF(GOOGLEFINANCE(D1237,""CURRENCY"")=""GBX"",""GBP"",GOOGLEFINANCE(D1237,""CURRENCY"")))))),B1237)"),"")</f>
        <v/>
      </c>
      <c r="R1237" s="263" t="str">
        <f>IFERROR(__xludf.DUMMYFUNCTION("IF(ISBLANK(A1237),"""",IFERROR(IF(OR(Q1237=""GPB"",Q1237=""ZAR""),IF(Q1237=Dashboard!$L$1,K1237,(K1237*GOOGLEFINANCE(""CURRENCY:""&amp;Q1237&amp;""""&amp;Dashboard!$L$1&amp;""""))/100),IF(Q1237=Dashboard!$L$1,K1237,K1237*GOOGLEFINANCE(""CURRENCY:""&amp;Q1237&amp;""""&amp;Dashboard!$"&amp;"L$1&amp;""""))),K1237))"),"")</f>
        <v/>
      </c>
      <c r="S1237" s="266" t="str">
        <f>IFERROR(__xludf.DUMMYFUNCTION("IF(ISBLANK(A1237),"""",IFERROR(IF(OR(Q1237=""GPB"",Q1237=""ZAR""),IF(Q1237=Dashboard!$L$1,M1237,(M1237*GOOGLEFINANCE(""CURRENCY:""&amp;Q1237&amp;""""&amp;Dashboard!$L$1&amp;""""))/100),IF(Q1237=Dashboard!$L$1,M1237,M1237*GOOGLEFINANCE(""CURRENCY:""&amp;Q1237&amp;""""&amp;Dashboard!$"&amp;"L$1&amp;""""))),M1237))"),"")</f>
        <v/>
      </c>
      <c r="T1237" s="264" t="str">
        <f t="shared" si="4"/>
        <v/>
      </c>
      <c r="U1237" s="264" t="str">
        <f t="shared" si="5"/>
        <v/>
      </c>
      <c r="V1237" s="264" t="str">
        <f t="shared" si="6"/>
        <v/>
      </c>
      <c r="W1237" s="267" t="str">
        <f t="shared" si="8"/>
        <v/>
      </c>
      <c r="X1237" s="264" t="str">
        <f t="shared" si="7"/>
        <v/>
      </c>
    </row>
    <row r="1238" ht="15.75" customHeight="1">
      <c r="A1238" s="258"/>
      <c r="B1238" s="258"/>
      <c r="C1238" s="269"/>
      <c r="D1238" s="258"/>
      <c r="E1238" s="258"/>
      <c r="F1238" s="258"/>
      <c r="G1238" s="258"/>
      <c r="H1238" s="271"/>
      <c r="I1238" s="258"/>
      <c r="J1238" s="272"/>
      <c r="K1238" s="260"/>
      <c r="L1238" s="261"/>
      <c r="M1238" s="262" t="str">
        <f t="shared" si="1"/>
        <v/>
      </c>
      <c r="N1238" s="263" t="str">
        <f t="shared" si="2"/>
        <v/>
      </c>
      <c r="O1238" s="264" t="str">
        <f t="shared" si="3"/>
        <v/>
      </c>
      <c r="P1238" s="265" t="str">
        <f>IFERROR(__xludf.DUMMYFUNCTION("IF(ISBLANK(A1238),"""",IFERROR(IF(H1238=""Sell"",VLOOKUP(9^99,FILTER({ROW(P$2:P1237),P$2:P1237},D$2:D1237=D1238),2),(VLOOKUP(9^99,FILTER({ROW(P$2:P1237),P$2:P1237},D$2:D1237=D1238),2)*VLOOKUP(9^99,FILTER({ROW(O$2:O1237),O$2:O1237},D$2:D1237=D1238),2)-N123"&amp;"8)/O1238),J1238))"),"")</f>
        <v/>
      </c>
      <c r="Q1238" s="264" t="str">
        <f>IFERROR(__xludf.DUMMYFUNCTION("IFERROR(IF(F1238=""Crypto"",B1238,(IF(ISBLANK(D1238),"""",IF(D1238=""Cash"",B1238,IF(GOOGLEFINANCE(D1238,""CURRENCY"")=""GBX"",""GBP"",GOOGLEFINANCE(D1238,""CURRENCY"")))))),B1238)"),"")</f>
        <v/>
      </c>
      <c r="R1238" s="263" t="str">
        <f>IFERROR(__xludf.DUMMYFUNCTION("IF(ISBLANK(A1238),"""",IFERROR(IF(OR(Q1238=""GPB"",Q1238=""ZAR""),IF(Q1238=Dashboard!$L$1,K1238,(K1238*GOOGLEFINANCE(""CURRENCY:""&amp;Q1238&amp;""""&amp;Dashboard!$L$1&amp;""""))/100),IF(Q1238=Dashboard!$L$1,K1238,K1238*GOOGLEFINANCE(""CURRENCY:""&amp;Q1238&amp;""""&amp;Dashboard!$"&amp;"L$1&amp;""""))),K1238))"),"")</f>
        <v/>
      </c>
      <c r="S1238" s="266" t="str">
        <f>IFERROR(__xludf.DUMMYFUNCTION("IF(ISBLANK(A1238),"""",IFERROR(IF(OR(Q1238=""GPB"",Q1238=""ZAR""),IF(Q1238=Dashboard!$L$1,M1238,(M1238*GOOGLEFINANCE(""CURRENCY:""&amp;Q1238&amp;""""&amp;Dashboard!$L$1&amp;""""))/100),IF(Q1238=Dashboard!$L$1,M1238,M1238*GOOGLEFINANCE(""CURRENCY:""&amp;Q1238&amp;""""&amp;Dashboard!$"&amp;"L$1&amp;""""))),M1238))"),"")</f>
        <v/>
      </c>
      <c r="T1238" s="264" t="str">
        <f t="shared" si="4"/>
        <v/>
      </c>
      <c r="U1238" s="264" t="str">
        <f t="shared" si="5"/>
        <v/>
      </c>
      <c r="V1238" s="264" t="str">
        <f t="shared" si="6"/>
        <v/>
      </c>
      <c r="W1238" s="267" t="str">
        <f t="shared" si="8"/>
        <v/>
      </c>
      <c r="X1238" s="264" t="str">
        <f t="shared" si="7"/>
        <v/>
      </c>
    </row>
    <row r="1239" ht="15.75" customHeight="1">
      <c r="A1239" s="258"/>
      <c r="B1239" s="258"/>
      <c r="C1239" s="269"/>
      <c r="D1239" s="258"/>
      <c r="E1239" s="258"/>
      <c r="F1239" s="258"/>
      <c r="G1239" s="258"/>
      <c r="H1239" s="271"/>
      <c r="I1239" s="258"/>
      <c r="J1239" s="272"/>
      <c r="K1239" s="260"/>
      <c r="L1239" s="261"/>
      <c r="M1239" s="262" t="str">
        <f t="shared" si="1"/>
        <v/>
      </c>
      <c r="N1239" s="263" t="str">
        <f t="shared" si="2"/>
        <v/>
      </c>
      <c r="O1239" s="264" t="str">
        <f t="shared" si="3"/>
        <v/>
      </c>
      <c r="P1239" s="265" t="str">
        <f>IFERROR(__xludf.DUMMYFUNCTION("IF(ISBLANK(A1239),"""",IFERROR(IF(H1239=""Sell"",VLOOKUP(9^99,FILTER({ROW(P$2:P1238),P$2:P1238},D$2:D1238=D1239),2),(VLOOKUP(9^99,FILTER({ROW(P$2:P1238),P$2:P1238},D$2:D1238=D1239),2)*VLOOKUP(9^99,FILTER({ROW(O$2:O1238),O$2:O1238},D$2:D1238=D1239),2)-N123"&amp;"9)/O1239),J1239))"),"")</f>
        <v/>
      </c>
      <c r="Q1239" s="264" t="str">
        <f>IFERROR(__xludf.DUMMYFUNCTION("IFERROR(IF(F1239=""Crypto"",B1239,(IF(ISBLANK(D1239),"""",IF(D1239=""Cash"",B1239,IF(GOOGLEFINANCE(D1239,""CURRENCY"")=""GBX"",""GBP"",GOOGLEFINANCE(D1239,""CURRENCY"")))))),B1239)"),"")</f>
        <v/>
      </c>
      <c r="R1239" s="263" t="str">
        <f>IFERROR(__xludf.DUMMYFUNCTION("IF(ISBLANK(A1239),"""",IFERROR(IF(OR(Q1239=""GPB"",Q1239=""ZAR""),IF(Q1239=Dashboard!$L$1,K1239,(K1239*GOOGLEFINANCE(""CURRENCY:""&amp;Q1239&amp;""""&amp;Dashboard!$L$1&amp;""""))/100),IF(Q1239=Dashboard!$L$1,K1239,K1239*GOOGLEFINANCE(""CURRENCY:""&amp;Q1239&amp;""""&amp;Dashboard!$"&amp;"L$1&amp;""""))),K1239))"),"")</f>
        <v/>
      </c>
      <c r="S1239" s="266" t="str">
        <f>IFERROR(__xludf.DUMMYFUNCTION("IF(ISBLANK(A1239),"""",IFERROR(IF(OR(Q1239=""GPB"",Q1239=""ZAR""),IF(Q1239=Dashboard!$L$1,M1239,(M1239*GOOGLEFINANCE(""CURRENCY:""&amp;Q1239&amp;""""&amp;Dashboard!$L$1&amp;""""))/100),IF(Q1239=Dashboard!$L$1,M1239,M1239*GOOGLEFINANCE(""CURRENCY:""&amp;Q1239&amp;""""&amp;Dashboard!$"&amp;"L$1&amp;""""))),M1239))"),"")</f>
        <v/>
      </c>
      <c r="T1239" s="264" t="str">
        <f t="shared" si="4"/>
        <v/>
      </c>
      <c r="U1239" s="264" t="str">
        <f t="shared" si="5"/>
        <v/>
      </c>
      <c r="V1239" s="264" t="str">
        <f t="shared" si="6"/>
        <v/>
      </c>
      <c r="W1239" s="267" t="str">
        <f t="shared" si="8"/>
        <v/>
      </c>
      <c r="X1239" s="264" t="str">
        <f t="shared" si="7"/>
        <v/>
      </c>
    </row>
    <row r="1240" ht="15.75" customHeight="1">
      <c r="A1240" s="258"/>
      <c r="B1240" s="258"/>
      <c r="C1240" s="269"/>
      <c r="D1240" s="258"/>
      <c r="E1240" s="258"/>
      <c r="F1240" s="258"/>
      <c r="G1240" s="258"/>
      <c r="H1240" s="271"/>
      <c r="I1240" s="258"/>
      <c r="J1240" s="272"/>
      <c r="K1240" s="260"/>
      <c r="L1240" s="261"/>
      <c r="M1240" s="262" t="str">
        <f t="shared" si="1"/>
        <v/>
      </c>
      <c r="N1240" s="263" t="str">
        <f t="shared" si="2"/>
        <v/>
      </c>
      <c r="O1240" s="264" t="str">
        <f t="shared" si="3"/>
        <v/>
      </c>
      <c r="P1240" s="265" t="str">
        <f>IFERROR(__xludf.DUMMYFUNCTION("IF(ISBLANK(A1240),"""",IFERROR(IF(H1240=""Sell"",VLOOKUP(9^99,FILTER({ROW(P$2:P1239),P$2:P1239},D$2:D1239=D1240),2),(VLOOKUP(9^99,FILTER({ROW(P$2:P1239),P$2:P1239},D$2:D1239=D1240),2)*VLOOKUP(9^99,FILTER({ROW(O$2:O1239),O$2:O1239},D$2:D1239=D1240),2)-N124"&amp;"0)/O1240),J1240))"),"")</f>
        <v/>
      </c>
      <c r="Q1240" s="264" t="str">
        <f>IFERROR(__xludf.DUMMYFUNCTION("IFERROR(IF(F1240=""Crypto"",B1240,(IF(ISBLANK(D1240),"""",IF(D1240=""Cash"",B1240,IF(GOOGLEFINANCE(D1240,""CURRENCY"")=""GBX"",""GBP"",GOOGLEFINANCE(D1240,""CURRENCY"")))))),B1240)"),"")</f>
        <v/>
      </c>
      <c r="R1240" s="263" t="str">
        <f>IFERROR(__xludf.DUMMYFUNCTION("IF(ISBLANK(A1240),"""",IFERROR(IF(OR(Q1240=""GPB"",Q1240=""ZAR""),IF(Q1240=Dashboard!$L$1,K1240,(K1240*GOOGLEFINANCE(""CURRENCY:""&amp;Q1240&amp;""""&amp;Dashboard!$L$1&amp;""""))/100),IF(Q1240=Dashboard!$L$1,K1240,K1240*GOOGLEFINANCE(""CURRENCY:""&amp;Q1240&amp;""""&amp;Dashboard!$"&amp;"L$1&amp;""""))),K1240))"),"")</f>
        <v/>
      </c>
      <c r="S1240" s="266" t="str">
        <f>IFERROR(__xludf.DUMMYFUNCTION("IF(ISBLANK(A1240),"""",IFERROR(IF(OR(Q1240=""GPB"",Q1240=""ZAR""),IF(Q1240=Dashboard!$L$1,M1240,(M1240*GOOGLEFINANCE(""CURRENCY:""&amp;Q1240&amp;""""&amp;Dashboard!$L$1&amp;""""))/100),IF(Q1240=Dashboard!$L$1,M1240,M1240*GOOGLEFINANCE(""CURRENCY:""&amp;Q1240&amp;""""&amp;Dashboard!$"&amp;"L$1&amp;""""))),M1240))"),"")</f>
        <v/>
      </c>
      <c r="T1240" s="264" t="str">
        <f t="shared" si="4"/>
        <v/>
      </c>
      <c r="U1240" s="264" t="str">
        <f t="shared" si="5"/>
        <v/>
      </c>
      <c r="V1240" s="264" t="str">
        <f t="shared" si="6"/>
        <v/>
      </c>
      <c r="W1240" s="267" t="str">
        <f t="shared" si="8"/>
        <v/>
      </c>
      <c r="X1240" s="264" t="str">
        <f t="shared" si="7"/>
        <v/>
      </c>
    </row>
    <row r="1241" ht="15.75" customHeight="1">
      <c r="A1241" s="258"/>
      <c r="B1241" s="258"/>
      <c r="C1241" s="269"/>
      <c r="D1241" s="258"/>
      <c r="E1241" s="258"/>
      <c r="F1241" s="258"/>
      <c r="G1241" s="258"/>
      <c r="H1241" s="271"/>
      <c r="I1241" s="258"/>
      <c r="J1241" s="272"/>
      <c r="K1241" s="260"/>
      <c r="L1241" s="261"/>
      <c r="M1241" s="262" t="str">
        <f t="shared" si="1"/>
        <v/>
      </c>
      <c r="N1241" s="263" t="str">
        <f t="shared" si="2"/>
        <v/>
      </c>
      <c r="O1241" s="264" t="str">
        <f t="shared" si="3"/>
        <v/>
      </c>
      <c r="P1241" s="265" t="str">
        <f>IFERROR(__xludf.DUMMYFUNCTION("IF(ISBLANK(A1241),"""",IFERROR(IF(H1241=""Sell"",VLOOKUP(9^99,FILTER({ROW(P$2:P1240),P$2:P1240},D$2:D1240=D1241),2),(VLOOKUP(9^99,FILTER({ROW(P$2:P1240),P$2:P1240},D$2:D1240=D1241),2)*VLOOKUP(9^99,FILTER({ROW(O$2:O1240),O$2:O1240},D$2:D1240=D1241),2)-N124"&amp;"1)/O1241),J1241))"),"")</f>
        <v/>
      </c>
      <c r="Q1241" s="264" t="str">
        <f>IFERROR(__xludf.DUMMYFUNCTION("IFERROR(IF(F1241=""Crypto"",B1241,(IF(ISBLANK(D1241),"""",IF(D1241=""Cash"",B1241,IF(GOOGLEFINANCE(D1241,""CURRENCY"")=""GBX"",""GBP"",GOOGLEFINANCE(D1241,""CURRENCY"")))))),B1241)"),"")</f>
        <v/>
      </c>
      <c r="R1241" s="263" t="str">
        <f>IFERROR(__xludf.DUMMYFUNCTION("IF(ISBLANK(A1241),"""",IFERROR(IF(OR(Q1241=""GPB"",Q1241=""ZAR""),IF(Q1241=Dashboard!$L$1,K1241,(K1241*GOOGLEFINANCE(""CURRENCY:""&amp;Q1241&amp;""""&amp;Dashboard!$L$1&amp;""""))/100),IF(Q1241=Dashboard!$L$1,K1241,K1241*GOOGLEFINANCE(""CURRENCY:""&amp;Q1241&amp;""""&amp;Dashboard!$"&amp;"L$1&amp;""""))),K1241))"),"")</f>
        <v/>
      </c>
      <c r="S1241" s="266" t="str">
        <f>IFERROR(__xludf.DUMMYFUNCTION("IF(ISBLANK(A1241),"""",IFERROR(IF(OR(Q1241=""GPB"",Q1241=""ZAR""),IF(Q1241=Dashboard!$L$1,M1241,(M1241*GOOGLEFINANCE(""CURRENCY:""&amp;Q1241&amp;""""&amp;Dashboard!$L$1&amp;""""))/100),IF(Q1241=Dashboard!$L$1,M1241,M1241*GOOGLEFINANCE(""CURRENCY:""&amp;Q1241&amp;""""&amp;Dashboard!$"&amp;"L$1&amp;""""))),M1241))"),"")</f>
        <v/>
      </c>
      <c r="T1241" s="264" t="str">
        <f t="shared" si="4"/>
        <v/>
      </c>
      <c r="U1241" s="264" t="str">
        <f t="shared" si="5"/>
        <v/>
      </c>
      <c r="V1241" s="264" t="str">
        <f t="shared" si="6"/>
        <v/>
      </c>
      <c r="W1241" s="267" t="str">
        <f t="shared" si="8"/>
        <v/>
      </c>
      <c r="X1241" s="264" t="str">
        <f t="shared" si="7"/>
        <v/>
      </c>
    </row>
    <row r="1242" ht="15.75" customHeight="1">
      <c r="A1242" s="258"/>
      <c r="B1242" s="258"/>
      <c r="C1242" s="269"/>
      <c r="D1242" s="258"/>
      <c r="E1242" s="258"/>
      <c r="F1242" s="258"/>
      <c r="G1242" s="258"/>
      <c r="H1242" s="271"/>
      <c r="I1242" s="258"/>
      <c r="J1242" s="272"/>
      <c r="K1242" s="260"/>
      <c r="L1242" s="261"/>
      <c r="M1242" s="262" t="str">
        <f t="shared" si="1"/>
        <v/>
      </c>
      <c r="N1242" s="263" t="str">
        <f t="shared" si="2"/>
        <v/>
      </c>
      <c r="O1242" s="264" t="str">
        <f t="shared" si="3"/>
        <v/>
      </c>
      <c r="P1242" s="265" t="str">
        <f>IFERROR(__xludf.DUMMYFUNCTION("IF(ISBLANK(A1242),"""",IFERROR(IF(H1242=""Sell"",VLOOKUP(9^99,FILTER({ROW(P$2:P1241),P$2:P1241},D$2:D1241=D1242),2),(VLOOKUP(9^99,FILTER({ROW(P$2:P1241),P$2:P1241},D$2:D1241=D1242),2)*VLOOKUP(9^99,FILTER({ROW(O$2:O1241),O$2:O1241},D$2:D1241=D1242),2)-N124"&amp;"2)/O1242),J1242))"),"")</f>
        <v/>
      </c>
      <c r="Q1242" s="264" t="str">
        <f>IFERROR(__xludf.DUMMYFUNCTION("IFERROR(IF(F1242=""Crypto"",B1242,(IF(ISBLANK(D1242),"""",IF(D1242=""Cash"",B1242,IF(GOOGLEFINANCE(D1242,""CURRENCY"")=""GBX"",""GBP"",GOOGLEFINANCE(D1242,""CURRENCY"")))))),B1242)"),"")</f>
        <v/>
      </c>
      <c r="R1242" s="263" t="str">
        <f>IFERROR(__xludf.DUMMYFUNCTION("IF(ISBLANK(A1242),"""",IFERROR(IF(OR(Q1242=""GPB"",Q1242=""ZAR""),IF(Q1242=Dashboard!$L$1,K1242,(K1242*GOOGLEFINANCE(""CURRENCY:""&amp;Q1242&amp;""""&amp;Dashboard!$L$1&amp;""""))/100),IF(Q1242=Dashboard!$L$1,K1242,K1242*GOOGLEFINANCE(""CURRENCY:""&amp;Q1242&amp;""""&amp;Dashboard!$"&amp;"L$1&amp;""""))),K1242))"),"")</f>
        <v/>
      </c>
      <c r="S1242" s="266" t="str">
        <f>IFERROR(__xludf.DUMMYFUNCTION("IF(ISBLANK(A1242),"""",IFERROR(IF(OR(Q1242=""GPB"",Q1242=""ZAR""),IF(Q1242=Dashboard!$L$1,M1242,(M1242*GOOGLEFINANCE(""CURRENCY:""&amp;Q1242&amp;""""&amp;Dashboard!$L$1&amp;""""))/100),IF(Q1242=Dashboard!$L$1,M1242,M1242*GOOGLEFINANCE(""CURRENCY:""&amp;Q1242&amp;""""&amp;Dashboard!$"&amp;"L$1&amp;""""))),M1242))"),"")</f>
        <v/>
      </c>
      <c r="T1242" s="264" t="str">
        <f t="shared" si="4"/>
        <v/>
      </c>
      <c r="U1242" s="264" t="str">
        <f t="shared" si="5"/>
        <v/>
      </c>
      <c r="V1242" s="264" t="str">
        <f t="shared" si="6"/>
        <v/>
      </c>
      <c r="W1242" s="267" t="str">
        <f t="shared" si="8"/>
        <v/>
      </c>
      <c r="X1242" s="264" t="str">
        <f t="shared" si="7"/>
        <v/>
      </c>
    </row>
    <row r="1243" ht="15.75" customHeight="1">
      <c r="A1243" s="258"/>
      <c r="B1243" s="258"/>
      <c r="C1243" s="269"/>
      <c r="D1243" s="258"/>
      <c r="E1243" s="258"/>
      <c r="F1243" s="258"/>
      <c r="G1243" s="258"/>
      <c r="H1243" s="271"/>
      <c r="I1243" s="258"/>
      <c r="J1243" s="272"/>
      <c r="K1243" s="260"/>
      <c r="L1243" s="261"/>
      <c r="M1243" s="262" t="str">
        <f t="shared" si="1"/>
        <v/>
      </c>
      <c r="N1243" s="263" t="str">
        <f t="shared" si="2"/>
        <v/>
      </c>
      <c r="O1243" s="264" t="str">
        <f t="shared" si="3"/>
        <v/>
      </c>
      <c r="P1243" s="265" t="str">
        <f>IFERROR(__xludf.DUMMYFUNCTION("IF(ISBLANK(A1243),"""",IFERROR(IF(H1243=""Sell"",VLOOKUP(9^99,FILTER({ROW(P$2:P1242),P$2:P1242},D$2:D1242=D1243),2),(VLOOKUP(9^99,FILTER({ROW(P$2:P1242),P$2:P1242},D$2:D1242=D1243),2)*VLOOKUP(9^99,FILTER({ROW(O$2:O1242),O$2:O1242},D$2:D1242=D1243),2)-N124"&amp;"3)/O1243),J1243))"),"")</f>
        <v/>
      </c>
      <c r="Q1243" s="264" t="str">
        <f>IFERROR(__xludf.DUMMYFUNCTION("IFERROR(IF(F1243=""Crypto"",B1243,(IF(ISBLANK(D1243),"""",IF(D1243=""Cash"",B1243,IF(GOOGLEFINANCE(D1243,""CURRENCY"")=""GBX"",""GBP"",GOOGLEFINANCE(D1243,""CURRENCY"")))))),B1243)"),"")</f>
        <v/>
      </c>
      <c r="R1243" s="263" t="str">
        <f>IFERROR(__xludf.DUMMYFUNCTION("IF(ISBLANK(A1243),"""",IFERROR(IF(OR(Q1243=""GPB"",Q1243=""ZAR""),IF(Q1243=Dashboard!$L$1,K1243,(K1243*GOOGLEFINANCE(""CURRENCY:""&amp;Q1243&amp;""""&amp;Dashboard!$L$1&amp;""""))/100),IF(Q1243=Dashboard!$L$1,K1243,K1243*GOOGLEFINANCE(""CURRENCY:""&amp;Q1243&amp;""""&amp;Dashboard!$"&amp;"L$1&amp;""""))),K1243))"),"")</f>
        <v/>
      </c>
      <c r="S1243" s="266" t="str">
        <f>IFERROR(__xludf.DUMMYFUNCTION("IF(ISBLANK(A1243),"""",IFERROR(IF(OR(Q1243=""GPB"",Q1243=""ZAR""),IF(Q1243=Dashboard!$L$1,M1243,(M1243*GOOGLEFINANCE(""CURRENCY:""&amp;Q1243&amp;""""&amp;Dashboard!$L$1&amp;""""))/100),IF(Q1243=Dashboard!$L$1,M1243,M1243*GOOGLEFINANCE(""CURRENCY:""&amp;Q1243&amp;""""&amp;Dashboard!$"&amp;"L$1&amp;""""))),M1243))"),"")</f>
        <v/>
      </c>
      <c r="T1243" s="264" t="str">
        <f t="shared" si="4"/>
        <v/>
      </c>
      <c r="U1243" s="264" t="str">
        <f t="shared" si="5"/>
        <v/>
      </c>
      <c r="V1243" s="264" t="str">
        <f t="shared" si="6"/>
        <v/>
      </c>
      <c r="W1243" s="267" t="str">
        <f t="shared" si="8"/>
        <v/>
      </c>
      <c r="X1243" s="264" t="str">
        <f t="shared" si="7"/>
        <v/>
      </c>
    </row>
    <row r="1244" ht="15.75" customHeight="1">
      <c r="A1244" s="258"/>
      <c r="B1244" s="258"/>
      <c r="C1244" s="269"/>
      <c r="D1244" s="258"/>
      <c r="E1244" s="258"/>
      <c r="F1244" s="258"/>
      <c r="G1244" s="258"/>
      <c r="H1244" s="271"/>
      <c r="I1244" s="258"/>
      <c r="J1244" s="272"/>
      <c r="K1244" s="260"/>
      <c r="L1244" s="261"/>
      <c r="M1244" s="262" t="str">
        <f t="shared" si="1"/>
        <v/>
      </c>
      <c r="N1244" s="263" t="str">
        <f t="shared" si="2"/>
        <v/>
      </c>
      <c r="O1244" s="264" t="str">
        <f t="shared" si="3"/>
        <v/>
      </c>
      <c r="P1244" s="265" t="str">
        <f>IFERROR(__xludf.DUMMYFUNCTION("IF(ISBLANK(A1244),"""",IFERROR(IF(H1244=""Sell"",VLOOKUP(9^99,FILTER({ROW(P$2:P1243),P$2:P1243},D$2:D1243=D1244),2),(VLOOKUP(9^99,FILTER({ROW(P$2:P1243),P$2:P1243},D$2:D1243=D1244),2)*VLOOKUP(9^99,FILTER({ROW(O$2:O1243),O$2:O1243},D$2:D1243=D1244),2)-N124"&amp;"4)/O1244),J1244))"),"")</f>
        <v/>
      </c>
      <c r="Q1244" s="264" t="str">
        <f>IFERROR(__xludf.DUMMYFUNCTION("IFERROR(IF(F1244=""Crypto"",B1244,(IF(ISBLANK(D1244),"""",IF(D1244=""Cash"",B1244,IF(GOOGLEFINANCE(D1244,""CURRENCY"")=""GBX"",""GBP"",GOOGLEFINANCE(D1244,""CURRENCY"")))))),B1244)"),"")</f>
        <v/>
      </c>
      <c r="R1244" s="263" t="str">
        <f>IFERROR(__xludf.DUMMYFUNCTION("IF(ISBLANK(A1244),"""",IFERROR(IF(OR(Q1244=""GPB"",Q1244=""ZAR""),IF(Q1244=Dashboard!$L$1,K1244,(K1244*GOOGLEFINANCE(""CURRENCY:""&amp;Q1244&amp;""""&amp;Dashboard!$L$1&amp;""""))/100),IF(Q1244=Dashboard!$L$1,K1244,K1244*GOOGLEFINANCE(""CURRENCY:""&amp;Q1244&amp;""""&amp;Dashboard!$"&amp;"L$1&amp;""""))),K1244))"),"")</f>
        <v/>
      </c>
      <c r="S1244" s="266" t="str">
        <f>IFERROR(__xludf.DUMMYFUNCTION("IF(ISBLANK(A1244),"""",IFERROR(IF(OR(Q1244=""GPB"",Q1244=""ZAR""),IF(Q1244=Dashboard!$L$1,M1244,(M1244*GOOGLEFINANCE(""CURRENCY:""&amp;Q1244&amp;""""&amp;Dashboard!$L$1&amp;""""))/100),IF(Q1244=Dashboard!$L$1,M1244,M1244*GOOGLEFINANCE(""CURRENCY:""&amp;Q1244&amp;""""&amp;Dashboard!$"&amp;"L$1&amp;""""))),M1244))"),"")</f>
        <v/>
      </c>
      <c r="T1244" s="264" t="str">
        <f t="shared" si="4"/>
        <v/>
      </c>
      <c r="U1244" s="264" t="str">
        <f t="shared" si="5"/>
        <v/>
      </c>
      <c r="V1244" s="264" t="str">
        <f t="shared" si="6"/>
        <v/>
      </c>
      <c r="W1244" s="267" t="str">
        <f t="shared" si="8"/>
        <v/>
      </c>
      <c r="X1244" s="264" t="str">
        <f t="shared" si="7"/>
        <v/>
      </c>
    </row>
    <row r="1245" ht="15.75" customHeight="1">
      <c r="A1245" s="258"/>
      <c r="B1245" s="258"/>
      <c r="C1245" s="269"/>
      <c r="D1245" s="258"/>
      <c r="E1245" s="258"/>
      <c r="F1245" s="258"/>
      <c r="G1245" s="258"/>
      <c r="H1245" s="271"/>
      <c r="I1245" s="258"/>
      <c r="J1245" s="272"/>
      <c r="K1245" s="260"/>
      <c r="L1245" s="261"/>
      <c r="M1245" s="262" t="str">
        <f t="shared" si="1"/>
        <v/>
      </c>
      <c r="N1245" s="263" t="str">
        <f t="shared" si="2"/>
        <v/>
      </c>
      <c r="O1245" s="264" t="str">
        <f t="shared" si="3"/>
        <v/>
      </c>
      <c r="P1245" s="265" t="str">
        <f>IFERROR(__xludf.DUMMYFUNCTION("IF(ISBLANK(A1245),"""",IFERROR(IF(H1245=""Sell"",VLOOKUP(9^99,FILTER({ROW(P$2:P1244),P$2:P1244},D$2:D1244=D1245),2),(VLOOKUP(9^99,FILTER({ROW(P$2:P1244),P$2:P1244},D$2:D1244=D1245),2)*VLOOKUP(9^99,FILTER({ROW(O$2:O1244),O$2:O1244},D$2:D1244=D1245),2)-N124"&amp;"5)/O1245),J1245))"),"")</f>
        <v/>
      </c>
      <c r="Q1245" s="264" t="str">
        <f>IFERROR(__xludf.DUMMYFUNCTION("IFERROR(IF(F1245=""Crypto"",B1245,(IF(ISBLANK(D1245),"""",IF(D1245=""Cash"",B1245,IF(GOOGLEFINANCE(D1245,""CURRENCY"")=""GBX"",""GBP"",GOOGLEFINANCE(D1245,""CURRENCY"")))))),B1245)"),"")</f>
        <v/>
      </c>
      <c r="R1245" s="263" t="str">
        <f>IFERROR(__xludf.DUMMYFUNCTION("IF(ISBLANK(A1245),"""",IFERROR(IF(OR(Q1245=""GPB"",Q1245=""ZAR""),IF(Q1245=Dashboard!$L$1,K1245,(K1245*GOOGLEFINANCE(""CURRENCY:""&amp;Q1245&amp;""""&amp;Dashboard!$L$1&amp;""""))/100),IF(Q1245=Dashboard!$L$1,K1245,K1245*GOOGLEFINANCE(""CURRENCY:""&amp;Q1245&amp;""""&amp;Dashboard!$"&amp;"L$1&amp;""""))),K1245))"),"")</f>
        <v/>
      </c>
      <c r="S1245" s="266" t="str">
        <f>IFERROR(__xludf.DUMMYFUNCTION("IF(ISBLANK(A1245),"""",IFERROR(IF(OR(Q1245=""GPB"",Q1245=""ZAR""),IF(Q1245=Dashboard!$L$1,M1245,(M1245*GOOGLEFINANCE(""CURRENCY:""&amp;Q1245&amp;""""&amp;Dashboard!$L$1&amp;""""))/100),IF(Q1245=Dashboard!$L$1,M1245,M1245*GOOGLEFINANCE(""CURRENCY:""&amp;Q1245&amp;""""&amp;Dashboard!$"&amp;"L$1&amp;""""))),M1245))"),"")</f>
        <v/>
      </c>
      <c r="T1245" s="264" t="str">
        <f t="shared" si="4"/>
        <v/>
      </c>
      <c r="U1245" s="264" t="str">
        <f t="shared" si="5"/>
        <v/>
      </c>
      <c r="V1245" s="264" t="str">
        <f t="shared" si="6"/>
        <v/>
      </c>
      <c r="W1245" s="267" t="str">
        <f t="shared" si="8"/>
        <v/>
      </c>
      <c r="X1245" s="264" t="str">
        <f t="shared" si="7"/>
        <v/>
      </c>
    </row>
    <row r="1246" ht="15.75" customHeight="1">
      <c r="A1246" s="258"/>
      <c r="B1246" s="258"/>
      <c r="C1246" s="269"/>
      <c r="D1246" s="258"/>
      <c r="E1246" s="258"/>
      <c r="F1246" s="258"/>
      <c r="G1246" s="258"/>
      <c r="H1246" s="271"/>
      <c r="I1246" s="258"/>
      <c r="J1246" s="272"/>
      <c r="K1246" s="260"/>
      <c r="L1246" s="261"/>
      <c r="M1246" s="262" t="str">
        <f t="shared" si="1"/>
        <v/>
      </c>
      <c r="N1246" s="263" t="str">
        <f t="shared" si="2"/>
        <v/>
      </c>
      <c r="O1246" s="264" t="str">
        <f t="shared" si="3"/>
        <v/>
      </c>
      <c r="P1246" s="265" t="str">
        <f>IFERROR(__xludf.DUMMYFUNCTION("IF(ISBLANK(A1246),"""",IFERROR(IF(H1246=""Sell"",VLOOKUP(9^99,FILTER({ROW(P$2:P1245),P$2:P1245},D$2:D1245=D1246),2),(VLOOKUP(9^99,FILTER({ROW(P$2:P1245),P$2:P1245},D$2:D1245=D1246),2)*VLOOKUP(9^99,FILTER({ROW(O$2:O1245),O$2:O1245},D$2:D1245=D1246),2)-N124"&amp;"6)/O1246),J1246))"),"")</f>
        <v/>
      </c>
      <c r="Q1246" s="264" t="str">
        <f>IFERROR(__xludf.DUMMYFUNCTION("IFERROR(IF(F1246=""Crypto"",B1246,(IF(ISBLANK(D1246),"""",IF(D1246=""Cash"",B1246,IF(GOOGLEFINANCE(D1246,""CURRENCY"")=""GBX"",""GBP"",GOOGLEFINANCE(D1246,""CURRENCY"")))))),B1246)"),"")</f>
        <v/>
      </c>
      <c r="R1246" s="263" t="str">
        <f>IFERROR(__xludf.DUMMYFUNCTION("IF(ISBLANK(A1246),"""",IFERROR(IF(OR(Q1246=""GPB"",Q1246=""ZAR""),IF(Q1246=Dashboard!$L$1,K1246,(K1246*GOOGLEFINANCE(""CURRENCY:""&amp;Q1246&amp;""""&amp;Dashboard!$L$1&amp;""""))/100),IF(Q1246=Dashboard!$L$1,K1246,K1246*GOOGLEFINANCE(""CURRENCY:""&amp;Q1246&amp;""""&amp;Dashboard!$"&amp;"L$1&amp;""""))),K1246))"),"")</f>
        <v/>
      </c>
      <c r="S1246" s="266" t="str">
        <f>IFERROR(__xludf.DUMMYFUNCTION("IF(ISBLANK(A1246),"""",IFERROR(IF(OR(Q1246=""GPB"",Q1246=""ZAR""),IF(Q1246=Dashboard!$L$1,M1246,(M1246*GOOGLEFINANCE(""CURRENCY:""&amp;Q1246&amp;""""&amp;Dashboard!$L$1&amp;""""))/100),IF(Q1246=Dashboard!$L$1,M1246,M1246*GOOGLEFINANCE(""CURRENCY:""&amp;Q1246&amp;""""&amp;Dashboard!$"&amp;"L$1&amp;""""))),M1246))"),"")</f>
        <v/>
      </c>
      <c r="T1246" s="264" t="str">
        <f t="shared" si="4"/>
        <v/>
      </c>
      <c r="U1246" s="264" t="str">
        <f t="shared" si="5"/>
        <v/>
      </c>
      <c r="V1246" s="264" t="str">
        <f t="shared" si="6"/>
        <v/>
      </c>
      <c r="W1246" s="267" t="str">
        <f t="shared" si="8"/>
        <v/>
      </c>
      <c r="X1246" s="264" t="str">
        <f t="shared" si="7"/>
        <v/>
      </c>
    </row>
    <row r="1247" ht="15.75" customHeight="1">
      <c r="A1247" s="258"/>
      <c r="B1247" s="258"/>
      <c r="C1247" s="269"/>
      <c r="D1247" s="258"/>
      <c r="E1247" s="258"/>
      <c r="F1247" s="258"/>
      <c r="G1247" s="258"/>
      <c r="H1247" s="271"/>
      <c r="I1247" s="258"/>
      <c r="J1247" s="272"/>
      <c r="K1247" s="260"/>
      <c r="L1247" s="261"/>
      <c r="M1247" s="262" t="str">
        <f t="shared" si="1"/>
        <v/>
      </c>
      <c r="N1247" s="263" t="str">
        <f t="shared" si="2"/>
        <v/>
      </c>
      <c r="O1247" s="264" t="str">
        <f t="shared" si="3"/>
        <v/>
      </c>
      <c r="P1247" s="265" t="str">
        <f>IFERROR(__xludf.DUMMYFUNCTION("IF(ISBLANK(A1247),"""",IFERROR(IF(H1247=""Sell"",VLOOKUP(9^99,FILTER({ROW(P$2:P1246),P$2:P1246},D$2:D1246=D1247),2),(VLOOKUP(9^99,FILTER({ROW(P$2:P1246),P$2:P1246},D$2:D1246=D1247),2)*VLOOKUP(9^99,FILTER({ROW(O$2:O1246),O$2:O1246},D$2:D1246=D1247),2)-N124"&amp;"7)/O1247),J1247))"),"")</f>
        <v/>
      </c>
      <c r="Q1247" s="264" t="str">
        <f>IFERROR(__xludf.DUMMYFUNCTION("IFERROR(IF(F1247=""Crypto"",B1247,(IF(ISBLANK(D1247),"""",IF(D1247=""Cash"",B1247,IF(GOOGLEFINANCE(D1247,""CURRENCY"")=""GBX"",""GBP"",GOOGLEFINANCE(D1247,""CURRENCY"")))))),B1247)"),"")</f>
        <v/>
      </c>
      <c r="R1247" s="263" t="str">
        <f>IFERROR(__xludf.DUMMYFUNCTION("IF(ISBLANK(A1247),"""",IFERROR(IF(OR(Q1247=""GPB"",Q1247=""ZAR""),IF(Q1247=Dashboard!$L$1,K1247,(K1247*GOOGLEFINANCE(""CURRENCY:""&amp;Q1247&amp;""""&amp;Dashboard!$L$1&amp;""""))/100),IF(Q1247=Dashboard!$L$1,K1247,K1247*GOOGLEFINANCE(""CURRENCY:""&amp;Q1247&amp;""""&amp;Dashboard!$"&amp;"L$1&amp;""""))),K1247))"),"")</f>
        <v/>
      </c>
      <c r="S1247" s="266" t="str">
        <f>IFERROR(__xludf.DUMMYFUNCTION("IF(ISBLANK(A1247),"""",IFERROR(IF(OR(Q1247=""GPB"",Q1247=""ZAR""),IF(Q1247=Dashboard!$L$1,M1247,(M1247*GOOGLEFINANCE(""CURRENCY:""&amp;Q1247&amp;""""&amp;Dashboard!$L$1&amp;""""))/100),IF(Q1247=Dashboard!$L$1,M1247,M1247*GOOGLEFINANCE(""CURRENCY:""&amp;Q1247&amp;""""&amp;Dashboard!$"&amp;"L$1&amp;""""))),M1247))"),"")</f>
        <v/>
      </c>
      <c r="T1247" s="264" t="str">
        <f t="shared" si="4"/>
        <v/>
      </c>
      <c r="U1247" s="264" t="str">
        <f t="shared" si="5"/>
        <v/>
      </c>
      <c r="V1247" s="264" t="str">
        <f t="shared" si="6"/>
        <v/>
      </c>
      <c r="W1247" s="267" t="str">
        <f t="shared" si="8"/>
        <v/>
      </c>
      <c r="X1247" s="264" t="str">
        <f t="shared" si="7"/>
        <v/>
      </c>
    </row>
    <row r="1248" ht="15.75" customHeight="1">
      <c r="A1248" s="258"/>
      <c r="B1248" s="258"/>
      <c r="C1248" s="269"/>
      <c r="D1248" s="258"/>
      <c r="E1248" s="258"/>
      <c r="F1248" s="258"/>
      <c r="G1248" s="258"/>
      <c r="H1248" s="271"/>
      <c r="I1248" s="258"/>
      <c r="J1248" s="272"/>
      <c r="K1248" s="260"/>
      <c r="L1248" s="261"/>
      <c r="M1248" s="262" t="str">
        <f t="shared" si="1"/>
        <v/>
      </c>
      <c r="N1248" s="263" t="str">
        <f t="shared" si="2"/>
        <v/>
      </c>
      <c r="O1248" s="264" t="str">
        <f t="shared" si="3"/>
        <v/>
      </c>
      <c r="P1248" s="265" t="str">
        <f>IFERROR(__xludf.DUMMYFUNCTION("IF(ISBLANK(A1248),"""",IFERROR(IF(H1248=""Sell"",VLOOKUP(9^99,FILTER({ROW(P$2:P1247),P$2:P1247},D$2:D1247=D1248),2),(VLOOKUP(9^99,FILTER({ROW(P$2:P1247),P$2:P1247},D$2:D1247=D1248),2)*VLOOKUP(9^99,FILTER({ROW(O$2:O1247),O$2:O1247},D$2:D1247=D1248),2)-N124"&amp;"8)/O1248),J1248))"),"")</f>
        <v/>
      </c>
      <c r="Q1248" s="264" t="str">
        <f>IFERROR(__xludf.DUMMYFUNCTION("IFERROR(IF(F1248=""Crypto"",B1248,(IF(ISBLANK(D1248),"""",IF(D1248=""Cash"",B1248,IF(GOOGLEFINANCE(D1248,""CURRENCY"")=""GBX"",""GBP"",GOOGLEFINANCE(D1248,""CURRENCY"")))))),B1248)"),"")</f>
        <v/>
      </c>
      <c r="R1248" s="263" t="str">
        <f>IFERROR(__xludf.DUMMYFUNCTION("IF(ISBLANK(A1248),"""",IFERROR(IF(OR(Q1248=""GPB"",Q1248=""ZAR""),IF(Q1248=Dashboard!$L$1,K1248,(K1248*GOOGLEFINANCE(""CURRENCY:""&amp;Q1248&amp;""""&amp;Dashboard!$L$1&amp;""""))/100),IF(Q1248=Dashboard!$L$1,K1248,K1248*GOOGLEFINANCE(""CURRENCY:""&amp;Q1248&amp;""""&amp;Dashboard!$"&amp;"L$1&amp;""""))),K1248))"),"")</f>
        <v/>
      </c>
      <c r="S1248" s="266" t="str">
        <f>IFERROR(__xludf.DUMMYFUNCTION("IF(ISBLANK(A1248),"""",IFERROR(IF(OR(Q1248=""GPB"",Q1248=""ZAR""),IF(Q1248=Dashboard!$L$1,M1248,(M1248*GOOGLEFINANCE(""CURRENCY:""&amp;Q1248&amp;""""&amp;Dashboard!$L$1&amp;""""))/100),IF(Q1248=Dashboard!$L$1,M1248,M1248*GOOGLEFINANCE(""CURRENCY:""&amp;Q1248&amp;""""&amp;Dashboard!$"&amp;"L$1&amp;""""))),M1248))"),"")</f>
        <v/>
      </c>
      <c r="T1248" s="264" t="str">
        <f t="shared" si="4"/>
        <v/>
      </c>
      <c r="U1248" s="264" t="str">
        <f t="shared" si="5"/>
        <v/>
      </c>
      <c r="V1248" s="264" t="str">
        <f t="shared" si="6"/>
        <v/>
      </c>
      <c r="W1248" s="267" t="str">
        <f t="shared" si="8"/>
        <v/>
      </c>
      <c r="X1248" s="264" t="str">
        <f t="shared" si="7"/>
        <v/>
      </c>
    </row>
    <row r="1249" ht="15.75" customHeight="1">
      <c r="A1249" s="258"/>
      <c r="B1249" s="258"/>
      <c r="C1249" s="269"/>
      <c r="D1249" s="258"/>
      <c r="E1249" s="258"/>
      <c r="F1249" s="258"/>
      <c r="G1249" s="258"/>
      <c r="H1249" s="271"/>
      <c r="I1249" s="258"/>
      <c r="J1249" s="272"/>
      <c r="K1249" s="260"/>
      <c r="L1249" s="261"/>
      <c r="M1249" s="262" t="str">
        <f t="shared" si="1"/>
        <v/>
      </c>
      <c r="N1249" s="263" t="str">
        <f t="shared" si="2"/>
        <v/>
      </c>
      <c r="O1249" s="264" t="str">
        <f t="shared" si="3"/>
        <v/>
      </c>
      <c r="P1249" s="265" t="str">
        <f>IFERROR(__xludf.DUMMYFUNCTION("IF(ISBLANK(A1249),"""",IFERROR(IF(H1249=""Sell"",VLOOKUP(9^99,FILTER({ROW(P$2:P1248),P$2:P1248},D$2:D1248=D1249),2),(VLOOKUP(9^99,FILTER({ROW(P$2:P1248),P$2:P1248},D$2:D1248=D1249),2)*VLOOKUP(9^99,FILTER({ROW(O$2:O1248),O$2:O1248},D$2:D1248=D1249),2)-N124"&amp;"9)/O1249),J1249))"),"")</f>
        <v/>
      </c>
      <c r="Q1249" s="264" t="str">
        <f>IFERROR(__xludf.DUMMYFUNCTION("IFERROR(IF(F1249=""Crypto"",B1249,(IF(ISBLANK(D1249),"""",IF(D1249=""Cash"",B1249,IF(GOOGLEFINANCE(D1249,""CURRENCY"")=""GBX"",""GBP"",GOOGLEFINANCE(D1249,""CURRENCY"")))))),B1249)"),"")</f>
        <v/>
      </c>
      <c r="R1249" s="263" t="str">
        <f>IFERROR(__xludf.DUMMYFUNCTION("IF(ISBLANK(A1249),"""",IFERROR(IF(OR(Q1249=""GPB"",Q1249=""ZAR""),IF(Q1249=Dashboard!$L$1,K1249,(K1249*GOOGLEFINANCE(""CURRENCY:""&amp;Q1249&amp;""""&amp;Dashboard!$L$1&amp;""""))/100),IF(Q1249=Dashboard!$L$1,K1249,K1249*GOOGLEFINANCE(""CURRENCY:""&amp;Q1249&amp;""""&amp;Dashboard!$"&amp;"L$1&amp;""""))),K1249))"),"")</f>
        <v/>
      </c>
      <c r="S1249" s="266" t="str">
        <f>IFERROR(__xludf.DUMMYFUNCTION("IF(ISBLANK(A1249),"""",IFERROR(IF(OR(Q1249=""GPB"",Q1249=""ZAR""),IF(Q1249=Dashboard!$L$1,M1249,(M1249*GOOGLEFINANCE(""CURRENCY:""&amp;Q1249&amp;""""&amp;Dashboard!$L$1&amp;""""))/100),IF(Q1249=Dashboard!$L$1,M1249,M1249*GOOGLEFINANCE(""CURRENCY:""&amp;Q1249&amp;""""&amp;Dashboard!$"&amp;"L$1&amp;""""))),M1249))"),"")</f>
        <v/>
      </c>
      <c r="T1249" s="264" t="str">
        <f t="shared" si="4"/>
        <v/>
      </c>
      <c r="U1249" s="264" t="str">
        <f t="shared" si="5"/>
        <v/>
      </c>
      <c r="V1249" s="264" t="str">
        <f t="shared" si="6"/>
        <v/>
      </c>
      <c r="W1249" s="267" t="str">
        <f t="shared" si="8"/>
        <v/>
      </c>
      <c r="X1249" s="264" t="str">
        <f t="shared" si="7"/>
        <v/>
      </c>
    </row>
    <row r="1250" ht="15.75" customHeight="1">
      <c r="A1250" s="258"/>
      <c r="B1250" s="258"/>
      <c r="C1250" s="269"/>
      <c r="D1250" s="258"/>
      <c r="E1250" s="258"/>
      <c r="F1250" s="258"/>
      <c r="G1250" s="258"/>
      <c r="H1250" s="271"/>
      <c r="I1250" s="258"/>
      <c r="J1250" s="272"/>
      <c r="K1250" s="260"/>
      <c r="L1250" s="261"/>
      <c r="M1250" s="262" t="str">
        <f t="shared" si="1"/>
        <v/>
      </c>
      <c r="N1250" s="263" t="str">
        <f t="shared" si="2"/>
        <v/>
      </c>
      <c r="O1250" s="264" t="str">
        <f t="shared" si="3"/>
        <v/>
      </c>
      <c r="P1250" s="265" t="str">
        <f>IFERROR(__xludf.DUMMYFUNCTION("IF(ISBLANK(A1250),"""",IFERROR(IF(H1250=""Sell"",VLOOKUP(9^99,FILTER({ROW(P$2:P1249),P$2:P1249},D$2:D1249=D1250),2),(VLOOKUP(9^99,FILTER({ROW(P$2:P1249),P$2:P1249},D$2:D1249=D1250),2)*VLOOKUP(9^99,FILTER({ROW(O$2:O1249),O$2:O1249},D$2:D1249=D1250),2)-N125"&amp;"0)/O1250),J1250))"),"")</f>
        <v/>
      </c>
      <c r="Q1250" s="264" t="str">
        <f>IFERROR(__xludf.DUMMYFUNCTION("IFERROR(IF(F1250=""Crypto"",B1250,(IF(ISBLANK(D1250),"""",IF(D1250=""Cash"",B1250,IF(GOOGLEFINANCE(D1250,""CURRENCY"")=""GBX"",""GBP"",GOOGLEFINANCE(D1250,""CURRENCY"")))))),B1250)"),"")</f>
        <v/>
      </c>
      <c r="R1250" s="263" t="str">
        <f>IFERROR(__xludf.DUMMYFUNCTION("IF(ISBLANK(A1250),"""",IFERROR(IF(OR(Q1250=""GPB"",Q1250=""ZAR""),IF(Q1250=Dashboard!$L$1,K1250,(K1250*GOOGLEFINANCE(""CURRENCY:""&amp;Q1250&amp;""""&amp;Dashboard!$L$1&amp;""""))/100),IF(Q1250=Dashboard!$L$1,K1250,K1250*GOOGLEFINANCE(""CURRENCY:""&amp;Q1250&amp;""""&amp;Dashboard!$"&amp;"L$1&amp;""""))),K1250))"),"")</f>
        <v/>
      </c>
      <c r="S1250" s="266" t="str">
        <f>IFERROR(__xludf.DUMMYFUNCTION("IF(ISBLANK(A1250),"""",IFERROR(IF(OR(Q1250=""GPB"",Q1250=""ZAR""),IF(Q1250=Dashboard!$L$1,M1250,(M1250*GOOGLEFINANCE(""CURRENCY:""&amp;Q1250&amp;""""&amp;Dashboard!$L$1&amp;""""))/100),IF(Q1250=Dashboard!$L$1,M1250,M1250*GOOGLEFINANCE(""CURRENCY:""&amp;Q1250&amp;""""&amp;Dashboard!$"&amp;"L$1&amp;""""))),M1250))"),"")</f>
        <v/>
      </c>
      <c r="T1250" s="264" t="str">
        <f t="shared" si="4"/>
        <v/>
      </c>
      <c r="U1250" s="264" t="str">
        <f t="shared" si="5"/>
        <v/>
      </c>
      <c r="V1250" s="264" t="str">
        <f t="shared" si="6"/>
        <v/>
      </c>
      <c r="W1250" s="267" t="str">
        <f t="shared" si="8"/>
        <v/>
      </c>
      <c r="X1250" s="264" t="str">
        <f t="shared" si="7"/>
        <v/>
      </c>
    </row>
    <row r="1251" ht="15.75" customHeight="1">
      <c r="A1251" s="258"/>
      <c r="B1251" s="258"/>
      <c r="C1251" s="269"/>
      <c r="D1251" s="258"/>
      <c r="E1251" s="258"/>
      <c r="F1251" s="258"/>
      <c r="G1251" s="258"/>
      <c r="H1251" s="271"/>
      <c r="I1251" s="258"/>
      <c r="J1251" s="272"/>
      <c r="K1251" s="260"/>
      <c r="L1251" s="261"/>
      <c r="M1251" s="262" t="str">
        <f t="shared" si="1"/>
        <v/>
      </c>
      <c r="N1251" s="263" t="str">
        <f t="shared" si="2"/>
        <v/>
      </c>
      <c r="O1251" s="264" t="str">
        <f t="shared" si="3"/>
        <v/>
      </c>
      <c r="P1251" s="265" t="str">
        <f>IFERROR(__xludf.DUMMYFUNCTION("IF(ISBLANK(A1251),"""",IFERROR(IF(H1251=""Sell"",VLOOKUP(9^99,FILTER({ROW(P$2:P1250),P$2:P1250},D$2:D1250=D1251),2),(VLOOKUP(9^99,FILTER({ROW(P$2:P1250),P$2:P1250},D$2:D1250=D1251),2)*VLOOKUP(9^99,FILTER({ROW(O$2:O1250),O$2:O1250},D$2:D1250=D1251),2)-N125"&amp;"1)/O1251),J1251))"),"")</f>
        <v/>
      </c>
      <c r="Q1251" s="264" t="str">
        <f>IFERROR(__xludf.DUMMYFUNCTION("IFERROR(IF(F1251=""Crypto"",B1251,(IF(ISBLANK(D1251),"""",IF(D1251=""Cash"",B1251,IF(GOOGLEFINANCE(D1251,""CURRENCY"")=""GBX"",""GBP"",GOOGLEFINANCE(D1251,""CURRENCY"")))))),B1251)"),"")</f>
        <v/>
      </c>
      <c r="R1251" s="263" t="str">
        <f>IFERROR(__xludf.DUMMYFUNCTION("IF(ISBLANK(A1251),"""",IFERROR(IF(OR(Q1251=""GPB"",Q1251=""ZAR""),IF(Q1251=Dashboard!$L$1,K1251,(K1251*GOOGLEFINANCE(""CURRENCY:""&amp;Q1251&amp;""""&amp;Dashboard!$L$1&amp;""""))/100),IF(Q1251=Dashboard!$L$1,K1251,K1251*GOOGLEFINANCE(""CURRENCY:""&amp;Q1251&amp;""""&amp;Dashboard!$"&amp;"L$1&amp;""""))),K1251))"),"")</f>
        <v/>
      </c>
      <c r="S1251" s="266" t="str">
        <f>IFERROR(__xludf.DUMMYFUNCTION("IF(ISBLANK(A1251),"""",IFERROR(IF(OR(Q1251=""GPB"",Q1251=""ZAR""),IF(Q1251=Dashboard!$L$1,M1251,(M1251*GOOGLEFINANCE(""CURRENCY:""&amp;Q1251&amp;""""&amp;Dashboard!$L$1&amp;""""))/100),IF(Q1251=Dashboard!$L$1,M1251,M1251*GOOGLEFINANCE(""CURRENCY:""&amp;Q1251&amp;""""&amp;Dashboard!$"&amp;"L$1&amp;""""))),M1251))"),"")</f>
        <v/>
      </c>
      <c r="T1251" s="264" t="str">
        <f t="shared" si="4"/>
        <v/>
      </c>
      <c r="U1251" s="264" t="str">
        <f t="shared" si="5"/>
        <v/>
      </c>
      <c r="V1251" s="264" t="str">
        <f t="shared" si="6"/>
        <v/>
      </c>
      <c r="W1251" s="267" t="str">
        <f t="shared" si="8"/>
        <v/>
      </c>
      <c r="X1251" s="264" t="str">
        <f t="shared" si="7"/>
        <v/>
      </c>
    </row>
    <row r="1252" ht="15.75" customHeight="1">
      <c r="A1252" s="258"/>
      <c r="B1252" s="258"/>
      <c r="C1252" s="269"/>
      <c r="D1252" s="258"/>
      <c r="E1252" s="258"/>
      <c r="F1252" s="258"/>
      <c r="G1252" s="258"/>
      <c r="H1252" s="271"/>
      <c r="I1252" s="258"/>
      <c r="J1252" s="272"/>
      <c r="K1252" s="260"/>
      <c r="L1252" s="261"/>
      <c r="M1252" s="262" t="str">
        <f t="shared" si="1"/>
        <v/>
      </c>
      <c r="N1252" s="263" t="str">
        <f t="shared" si="2"/>
        <v/>
      </c>
      <c r="O1252" s="264" t="str">
        <f t="shared" si="3"/>
        <v/>
      </c>
      <c r="P1252" s="265" t="str">
        <f>IFERROR(__xludf.DUMMYFUNCTION("IF(ISBLANK(A1252),"""",IFERROR(IF(H1252=""Sell"",VLOOKUP(9^99,FILTER({ROW(P$2:P1251),P$2:P1251},D$2:D1251=D1252),2),(VLOOKUP(9^99,FILTER({ROW(P$2:P1251),P$2:P1251},D$2:D1251=D1252),2)*VLOOKUP(9^99,FILTER({ROW(O$2:O1251),O$2:O1251},D$2:D1251=D1252),2)-N125"&amp;"2)/O1252),J1252))"),"")</f>
        <v/>
      </c>
      <c r="Q1252" s="264" t="str">
        <f>IFERROR(__xludf.DUMMYFUNCTION("IFERROR(IF(F1252=""Crypto"",B1252,(IF(ISBLANK(D1252),"""",IF(D1252=""Cash"",B1252,IF(GOOGLEFINANCE(D1252,""CURRENCY"")=""GBX"",""GBP"",GOOGLEFINANCE(D1252,""CURRENCY"")))))),B1252)"),"")</f>
        <v/>
      </c>
      <c r="R1252" s="263" t="str">
        <f>IFERROR(__xludf.DUMMYFUNCTION("IF(ISBLANK(A1252),"""",IFERROR(IF(OR(Q1252=""GPB"",Q1252=""ZAR""),IF(Q1252=Dashboard!$L$1,K1252,(K1252*GOOGLEFINANCE(""CURRENCY:""&amp;Q1252&amp;""""&amp;Dashboard!$L$1&amp;""""))/100),IF(Q1252=Dashboard!$L$1,K1252,K1252*GOOGLEFINANCE(""CURRENCY:""&amp;Q1252&amp;""""&amp;Dashboard!$"&amp;"L$1&amp;""""))),K1252))"),"")</f>
        <v/>
      </c>
      <c r="S1252" s="266" t="str">
        <f>IFERROR(__xludf.DUMMYFUNCTION("IF(ISBLANK(A1252),"""",IFERROR(IF(OR(Q1252=""GPB"",Q1252=""ZAR""),IF(Q1252=Dashboard!$L$1,M1252,(M1252*GOOGLEFINANCE(""CURRENCY:""&amp;Q1252&amp;""""&amp;Dashboard!$L$1&amp;""""))/100),IF(Q1252=Dashboard!$L$1,M1252,M1252*GOOGLEFINANCE(""CURRENCY:""&amp;Q1252&amp;""""&amp;Dashboard!$"&amp;"L$1&amp;""""))),M1252))"),"")</f>
        <v/>
      </c>
      <c r="T1252" s="264" t="str">
        <f t="shared" si="4"/>
        <v/>
      </c>
      <c r="U1252" s="264" t="str">
        <f t="shared" si="5"/>
        <v/>
      </c>
      <c r="V1252" s="264" t="str">
        <f t="shared" si="6"/>
        <v/>
      </c>
      <c r="W1252" s="267" t="str">
        <f t="shared" si="8"/>
        <v/>
      </c>
      <c r="X1252" s="264" t="str">
        <f t="shared" si="7"/>
        <v/>
      </c>
    </row>
    <row r="1253" ht="15.75" customHeight="1">
      <c r="A1253" s="258"/>
      <c r="B1253" s="258"/>
      <c r="C1253" s="269"/>
      <c r="D1253" s="258"/>
      <c r="E1253" s="258"/>
      <c r="F1253" s="258"/>
      <c r="G1253" s="258"/>
      <c r="H1253" s="271"/>
      <c r="I1253" s="258"/>
      <c r="J1253" s="272"/>
      <c r="K1253" s="260"/>
      <c r="L1253" s="261"/>
      <c r="M1253" s="262" t="str">
        <f t="shared" si="1"/>
        <v/>
      </c>
      <c r="N1253" s="263" t="str">
        <f t="shared" si="2"/>
        <v/>
      </c>
      <c r="O1253" s="264" t="str">
        <f t="shared" si="3"/>
        <v/>
      </c>
      <c r="P1253" s="265" t="str">
        <f>IFERROR(__xludf.DUMMYFUNCTION("IF(ISBLANK(A1253),"""",IFERROR(IF(H1253=""Sell"",VLOOKUP(9^99,FILTER({ROW(P$2:P1252),P$2:P1252},D$2:D1252=D1253),2),(VLOOKUP(9^99,FILTER({ROW(P$2:P1252),P$2:P1252},D$2:D1252=D1253),2)*VLOOKUP(9^99,FILTER({ROW(O$2:O1252),O$2:O1252},D$2:D1252=D1253),2)-N125"&amp;"3)/O1253),J1253))"),"")</f>
        <v/>
      </c>
      <c r="Q1253" s="264" t="str">
        <f>IFERROR(__xludf.DUMMYFUNCTION("IFERROR(IF(F1253=""Crypto"",B1253,(IF(ISBLANK(D1253),"""",IF(D1253=""Cash"",B1253,IF(GOOGLEFINANCE(D1253,""CURRENCY"")=""GBX"",""GBP"",GOOGLEFINANCE(D1253,""CURRENCY"")))))),B1253)"),"")</f>
        <v/>
      </c>
      <c r="R1253" s="263" t="str">
        <f>IFERROR(__xludf.DUMMYFUNCTION("IF(ISBLANK(A1253),"""",IFERROR(IF(OR(Q1253=""GPB"",Q1253=""ZAR""),IF(Q1253=Dashboard!$L$1,K1253,(K1253*GOOGLEFINANCE(""CURRENCY:""&amp;Q1253&amp;""""&amp;Dashboard!$L$1&amp;""""))/100),IF(Q1253=Dashboard!$L$1,K1253,K1253*GOOGLEFINANCE(""CURRENCY:""&amp;Q1253&amp;""""&amp;Dashboard!$"&amp;"L$1&amp;""""))),K1253))"),"")</f>
        <v/>
      </c>
      <c r="S1253" s="266" t="str">
        <f>IFERROR(__xludf.DUMMYFUNCTION("IF(ISBLANK(A1253),"""",IFERROR(IF(OR(Q1253=""GPB"",Q1253=""ZAR""),IF(Q1253=Dashboard!$L$1,M1253,(M1253*GOOGLEFINANCE(""CURRENCY:""&amp;Q1253&amp;""""&amp;Dashboard!$L$1&amp;""""))/100),IF(Q1253=Dashboard!$L$1,M1253,M1253*GOOGLEFINANCE(""CURRENCY:""&amp;Q1253&amp;""""&amp;Dashboard!$"&amp;"L$1&amp;""""))),M1253))"),"")</f>
        <v/>
      </c>
      <c r="T1253" s="264" t="str">
        <f t="shared" si="4"/>
        <v/>
      </c>
      <c r="U1253" s="264" t="str">
        <f t="shared" si="5"/>
        <v/>
      </c>
      <c r="V1253" s="264" t="str">
        <f t="shared" si="6"/>
        <v/>
      </c>
      <c r="W1253" s="267" t="str">
        <f t="shared" si="8"/>
        <v/>
      </c>
      <c r="X1253" s="264" t="str">
        <f t="shared" si="7"/>
        <v/>
      </c>
    </row>
    <row r="1254" ht="15.75" customHeight="1">
      <c r="A1254" s="258"/>
      <c r="B1254" s="258"/>
      <c r="C1254" s="269"/>
      <c r="D1254" s="258"/>
      <c r="E1254" s="258"/>
      <c r="F1254" s="258"/>
      <c r="G1254" s="258"/>
      <c r="H1254" s="271"/>
      <c r="I1254" s="258"/>
      <c r="J1254" s="272"/>
      <c r="K1254" s="260"/>
      <c r="L1254" s="261"/>
      <c r="M1254" s="262" t="str">
        <f t="shared" si="1"/>
        <v/>
      </c>
      <c r="N1254" s="263" t="str">
        <f t="shared" si="2"/>
        <v/>
      </c>
      <c r="O1254" s="264" t="str">
        <f t="shared" si="3"/>
        <v/>
      </c>
      <c r="P1254" s="265" t="str">
        <f>IFERROR(__xludf.DUMMYFUNCTION("IF(ISBLANK(A1254),"""",IFERROR(IF(H1254=""Sell"",VLOOKUP(9^99,FILTER({ROW(P$2:P1253),P$2:P1253},D$2:D1253=D1254),2),(VLOOKUP(9^99,FILTER({ROW(P$2:P1253),P$2:P1253},D$2:D1253=D1254),2)*VLOOKUP(9^99,FILTER({ROW(O$2:O1253),O$2:O1253},D$2:D1253=D1254),2)-N125"&amp;"4)/O1254),J1254))"),"")</f>
        <v/>
      </c>
      <c r="Q1254" s="264" t="str">
        <f>IFERROR(__xludf.DUMMYFUNCTION("IFERROR(IF(F1254=""Crypto"",B1254,(IF(ISBLANK(D1254),"""",IF(D1254=""Cash"",B1254,IF(GOOGLEFINANCE(D1254,""CURRENCY"")=""GBX"",""GBP"",GOOGLEFINANCE(D1254,""CURRENCY"")))))),B1254)"),"")</f>
        <v/>
      </c>
      <c r="R1254" s="263" t="str">
        <f>IFERROR(__xludf.DUMMYFUNCTION("IF(ISBLANK(A1254),"""",IFERROR(IF(OR(Q1254=""GPB"",Q1254=""ZAR""),IF(Q1254=Dashboard!$L$1,K1254,(K1254*GOOGLEFINANCE(""CURRENCY:""&amp;Q1254&amp;""""&amp;Dashboard!$L$1&amp;""""))/100),IF(Q1254=Dashboard!$L$1,K1254,K1254*GOOGLEFINANCE(""CURRENCY:""&amp;Q1254&amp;""""&amp;Dashboard!$"&amp;"L$1&amp;""""))),K1254))"),"")</f>
        <v/>
      </c>
      <c r="S1254" s="266" t="str">
        <f>IFERROR(__xludf.DUMMYFUNCTION("IF(ISBLANK(A1254),"""",IFERROR(IF(OR(Q1254=""GPB"",Q1254=""ZAR""),IF(Q1254=Dashboard!$L$1,M1254,(M1254*GOOGLEFINANCE(""CURRENCY:""&amp;Q1254&amp;""""&amp;Dashboard!$L$1&amp;""""))/100),IF(Q1254=Dashboard!$L$1,M1254,M1254*GOOGLEFINANCE(""CURRENCY:""&amp;Q1254&amp;""""&amp;Dashboard!$"&amp;"L$1&amp;""""))),M1254))"),"")</f>
        <v/>
      </c>
      <c r="T1254" s="264" t="str">
        <f t="shared" si="4"/>
        <v/>
      </c>
      <c r="U1254" s="264" t="str">
        <f t="shared" si="5"/>
        <v/>
      </c>
      <c r="V1254" s="264" t="str">
        <f t="shared" si="6"/>
        <v/>
      </c>
      <c r="W1254" s="267" t="str">
        <f t="shared" si="8"/>
        <v/>
      </c>
      <c r="X1254" s="264" t="str">
        <f t="shared" si="7"/>
        <v/>
      </c>
    </row>
    <row r="1255" ht="15.75" customHeight="1">
      <c r="A1255" s="258"/>
      <c r="B1255" s="258"/>
      <c r="C1255" s="269"/>
      <c r="D1255" s="258"/>
      <c r="E1255" s="258"/>
      <c r="F1255" s="258"/>
      <c r="G1255" s="258"/>
      <c r="H1255" s="271"/>
      <c r="I1255" s="258"/>
      <c r="J1255" s="272"/>
      <c r="K1255" s="260"/>
      <c r="L1255" s="261"/>
      <c r="M1255" s="262" t="str">
        <f t="shared" si="1"/>
        <v/>
      </c>
      <c r="N1255" s="263" t="str">
        <f t="shared" si="2"/>
        <v/>
      </c>
      <c r="O1255" s="264" t="str">
        <f t="shared" si="3"/>
        <v/>
      </c>
      <c r="P1255" s="265" t="str">
        <f>IFERROR(__xludf.DUMMYFUNCTION("IF(ISBLANK(A1255),"""",IFERROR(IF(H1255=""Sell"",VLOOKUP(9^99,FILTER({ROW(P$2:P1254),P$2:P1254},D$2:D1254=D1255),2),(VLOOKUP(9^99,FILTER({ROW(P$2:P1254),P$2:P1254},D$2:D1254=D1255),2)*VLOOKUP(9^99,FILTER({ROW(O$2:O1254),O$2:O1254},D$2:D1254=D1255),2)-N125"&amp;"5)/O1255),J1255))"),"")</f>
        <v/>
      </c>
      <c r="Q1255" s="264" t="str">
        <f>IFERROR(__xludf.DUMMYFUNCTION("IFERROR(IF(F1255=""Crypto"",B1255,(IF(ISBLANK(D1255),"""",IF(D1255=""Cash"",B1255,IF(GOOGLEFINANCE(D1255,""CURRENCY"")=""GBX"",""GBP"",GOOGLEFINANCE(D1255,""CURRENCY"")))))),B1255)"),"")</f>
        <v/>
      </c>
      <c r="R1255" s="263" t="str">
        <f>IFERROR(__xludf.DUMMYFUNCTION("IF(ISBLANK(A1255),"""",IFERROR(IF(OR(Q1255=""GPB"",Q1255=""ZAR""),IF(Q1255=Dashboard!$L$1,K1255,(K1255*GOOGLEFINANCE(""CURRENCY:""&amp;Q1255&amp;""""&amp;Dashboard!$L$1&amp;""""))/100),IF(Q1255=Dashboard!$L$1,K1255,K1255*GOOGLEFINANCE(""CURRENCY:""&amp;Q1255&amp;""""&amp;Dashboard!$"&amp;"L$1&amp;""""))),K1255))"),"")</f>
        <v/>
      </c>
      <c r="S1255" s="266" t="str">
        <f>IFERROR(__xludf.DUMMYFUNCTION("IF(ISBLANK(A1255),"""",IFERROR(IF(OR(Q1255=""GPB"",Q1255=""ZAR""),IF(Q1255=Dashboard!$L$1,M1255,(M1255*GOOGLEFINANCE(""CURRENCY:""&amp;Q1255&amp;""""&amp;Dashboard!$L$1&amp;""""))/100),IF(Q1255=Dashboard!$L$1,M1255,M1255*GOOGLEFINANCE(""CURRENCY:""&amp;Q1255&amp;""""&amp;Dashboard!$"&amp;"L$1&amp;""""))),M1255))"),"")</f>
        <v/>
      </c>
      <c r="T1255" s="264" t="str">
        <f t="shared" si="4"/>
        <v/>
      </c>
      <c r="U1255" s="264" t="str">
        <f t="shared" si="5"/>
        <v/>
      </c>
      <c r="V1255" s="264" t="str">
        <f t="shared" si="6"/>
        <v/>
      </c>
      <c r="W1255" s="267" t="str">
        <f t="shared" si="8"/>
        <v/>
      </c>
      <c r="X1255" s="264" t="str">
        <f t="shared" si="7"/>
        <v/>
      </c>
    </row>
    <row r="1256" ht="15.75" customHeight="1">
      <c r="A1256" s="258"/>
      <c r="B1256" s="258"/>
      <c r="C1256" s="269"/>
      <c r="D1256" s="258"/>
      <c r="E1256" s="258"/>
      <c r="F1256" s="258"/>
      <c r="G1256" s="258"/>
      <c r="H1256" s="271"/>
      <c r="I1256" s="258"/>
      <c r="J1256" s="272"/>
      <c r="K1256" s="260"/>
      <c r="L1256" s="261"/>
      <c r="M1256" s="262" t="str">
        <f t="shared" si="1"/>
        <v/>
      </c>
      <c r="N1256" s="263" t="str">
        <f t="shared" si="2"/>
        <v/>
      </c>
      <c r="O1256" s="264" t="str">
        <f t="shared" si="3"/>
        <v/>
      </c>
      <c r="P1256" s="265" t="str">
        <f>IFERROR(__xludf.DUMMYFUNCTION("IF(ISBLANK(A1256),"""",IFERROR(IF(H1256=""Sell"",VLOOKUP(9^99,FILTER({ROW(P$2:P1255),P$2:P1255},D$2:D1255=D1256),2),(VLOOKUP(9^99,FILTER({ROW(P$2:P1255),P$2:P1255},D$2:D1255=D1256),2)*VLOOKUP(9^99,FILTER({ROW(O$2:O1255),O$2:O1255},D$2:D1255=D1256),2)-N125"&amp;"6)/O1256),J1256))"),"")</f>
        <v/>
      </c>
      <c r="Q1256" s="264" t="str">
        <f>IFERROR(__xludf.DUMMYFUNCTION("IFERROR(IF(F1256=""Crypto"",B1256,(IF(ISBLANK(D1256),"""",IF(D1256=""Cash"",B1256,IF(GOOGLEFINANCE(D1256,""CURRENCY"")=""GBX"",""GBP"",GOOGLEFINANCE(D1256,""CURRENCY"")))))),B1256)"),"")</f>
        <v/>
      </c>
      <c r="R1256" s="263" t="str">
        <f>IFERROR(__xludf.DUMMYFUNCTION("IF(ISBLANK(A1256),"""",IFERROR(IF(OR(Q1256=""GPB"",Q1256=""ZAR""),IF(Q1256=Dashboard!$L$1,K1256,(K1256*GOOGLEFINANCE(""CURRENCY:""&amp;Q1256&amp;""""&amp;Dashboard!$L$1&amp;""""))/100),IF(Q1256=Dashboard!$L$1,K1256,K1256*GOOGLEFINANCE(""CURRENCY:""&amp;Q1256&amp;""""&amp;Dashboard!$"&amp;"L$1&amp;""""))),K1256))"),"")</f>
        <v/>
      </c>
      <c r="S1256" s="266" t="str">
        <f>IFERROR(__xludf.DUMMYFUNCTION("IF(ISBLANK(A1256),"""",IFERROR(IF(OR(Q1256=""GPB"",Q1256=""ZAR""),IF(Q1256=Dashboard!$L$1,M1256,(M1256*GOOGLEFINANCE(""CURRENCY:""&amp;Q1256&amp;""""&amp;Dashboard!$L$1&amp;""""))/100),IF(Q1256=Dashboard!$L$1,M1256,M1256*GOOGLEFINANCE(""CURRENCY:""&amp;Q1256&amp;""""&amp;Dashboard!$"&amp;"L$1&amp;""""))),M1256))"),"")</f>
        <v/>
      </c>
      <c r="T1256" s="264" t="str">
        <f t="shared" si="4"/>
        <v/>
      </c>
      <c r="U1256" s="264" t="str">
        <f t="shared" si="5"/>
        <v/>
      </c>
      <c r="V1256" s="264" t="str">
        <f t="shared" si="6"/>
        <v/>
      </c>
      <c r="W1256" s="267" t="str">
        <f t="shared" si="8"/>
        <v/>
      </c>
      <c r="X1256" s="264" t="str">
        <f t="shared" si="7"/>
        <v/>
      </c>
    </row>
    <row r="1257" ht="15.75" customHeight="1">
      <c r="A1257" s="258"/>
      <c r="B1257" s="258"/>
      <c r="C1257" s="269"/>
      <c r="D1257" s="258"/>
      <c r="E1257" s="258"/>
      <c r="F1257" s="258"/>
      <c r="G1257" s="258"/>
      <c r="H1257" s="271"/>
      <c r="I1257" s="258"/>
      <c r="J1257" s="272"/>
      <c r="K1257" s="260"/>
      <c r="L1257" s="261"/>
      <c r="M1257" s="262" t="str">
        <f t="shared" si="1"/>
        <v/>
      </c>
      <c r="N1257" s="263" t="str">
        <f t="shared" si="2"/>
        <v/>
      </c>
      <c r="O1257" s="264" t="str">
        <f t="shared" si="3"/>
        <v/>
      </c>
      <c r="P1257" s="265" t="str">
        <f>IFERROR(__xludf.DUMMYFUNCTION("IF(ISBLANK(A1257),"""",IFERROR(IF(H1257=""Sell"",VLOOKUP(9^99,FILTER({ROW(P$2:P1256),P$2:P1256},D$2:D1256=D1257),2),(VLOOKUP(9^99,FILTER({ROW(P$2:P1256),P$2:P1256},D$2:D1256=D1257),2)*VLOOKUP(9^99,FILTER({ROW(O$2:O1256),O$2:O1256},D$2:D1256=D1257),2)-N125"&amp;"7)/O1257),J1257))"),"")</f>
        <v/>
      </c>
      <c r="Q1257" s="264" t="str">
        <f>IFERROR(__xludf.DUMMYFUNCTION("IFERROR(IF(F1257=""Crypto"",B1257,(IF(ISBLANK(D1257),"""",IF(D1257=""Cash"",B1257,IF(GOOGLEFINANCE(D1257,""CURRENCY"")=""GBX"",""GBP"",GOOGLEFINANCE(D1257,""CURRENCY"")))))),B1257)"),"")</f>
        <v/>
      </c>
      <c r="R1257" s="263" t="str">
        <f>IFERROR(__xludf.DUMMYFUNCTION("IF(ISBLANK(A1257),"""",IFERROR(IF(OR(Q1257=""GPB"",Q1257=""ZAR""),IF(Q1257=Dashboard!$L$1,K1257,(K1257*GOOGLEFINANCE(""CURRENCY:""&amp;Q1257&amp;""""&amp;Dashboard!$L$1&amp;""""))/100),IF(Q1257=Dashboard!$L$1,K1257,K1257*GOOGLEFINANCE(""CURRENCY:""&amp;Q1257&amp;""""&amp;Dashboard!$"&amp;"L$1&amp;""""))),K1257))"),"")</f>
        <v/>
      </c>
      <c r="S1257" s="266" t="str">
        <f>IFERROR(__xludf.DUMMYFUNCTION("IF(ISBLANK(A1257),"""",IFERROR(IF(OR(Q1257=""GPB"",Q1257=""ZAR""),IF(Q1257=Dashboard!$L$1,M1257,(M1257*GOOGLEFINANCE(""CURRENCY:""&amp;Q1257&amp;""""&amp;Dashboard!$L$1&amp;""""))/100),IF(Q1257=Dashboard!$L$1,M1257,M1257*GOOGLEFINANCE(""CURRENCY:""&amp;Q1257&amp;""""&amp;Dashboard!$"&amp;"L$1&amp;""""))),M1257))"),"")</f>
        <v/>
      </c>
      <c r="T1257" s="264" t="str">
        <f t="shared" si="4"/>
        <v/>
      </c>
      <c r="U1257" s="264" t="str">
        <f t="shared" si="5"/>
        <v/>
      </c>
      <c r="V1257" s="264" t="str">
        <f t="shared" si="6"/>
        <v/>
      </c>
      <c r="W1257" s="267" t="str">
        <f t="shared" si="8"/>
        <v/>
      </c>
      <c r="X1257" s="264" t="str">
        <f t="shared" si="7"/>
        <v/>
      </c>
    </row>
    <row r="1258" ht="15.75" customHeight="1">
      <c r="A1258" s="258"/>
      <c r="B1258" s="258"/>
      <c r="C1258" s="269"/>
      <c r="D1258" s="258"/>
      <c r="E1258" s="258"/>
      <c r="F1258" s="258"/>
      <c r="G1258" s="258"/>
      <c r="H1258" s="271"/>
      <c r="I1258" s="258"/>
      <c r="J1258" s="272"/>
      <c r="K1258" s="260"/>
      <c r="L1258" s="261"/>
      <c r="M1258" s="262" t="str">
        <f t="shared" si="1"/>
        <v/>
      </c>
      <c r="N1258" s="263" t="str">
        <f t="shared" si="2"/>
        <v/>
      </c>
      <c r="O1258" s="264" t="str">
        <f t="shared" si="3"/>
        <v/>
      </c>
      <c r="P1258" s="265" t="str">
        <f>IFERROR(__xludf.DUMMYFUNCTION("IF(ISBLANK(A1258),"""",IFERROR(IF(H1258=""Sell"",VLOOKUP(9^99,FILTER({ROW(P$2:P1257),P$2:P1257},D$2:D1257=D1258),2),(VLOOKUP(9^99,FILTER({ROW(P$2:P1257),P$2:P1257},D$2:D1257=D1258),2)*VLOOKUP(9^99,FILTER({ROW(O$2:O1257),O$2:O1257},D$2:D1257=D1258),2)-N125"&amp;"8)/O1258),J1258))"),"")</f>
        <v/>
      </c>
      <c r="Q1258" s="264" t="str">
        <f>IFERROR(__xludf.DUMMYFUNCTION("IFERROR(IF(F1258=""Crypto"",B1258,(IF(ISBLANK(D1258),"""",IF(D1258=""Cash"",B1258,IF(GOOGLEFINANCE(D1258,""CURRENCY"")=""GBX"",""GBP"",GOOGLEFINANCE(D1258,""CURRENCY"")))))),B1258)"),"")</f>
        <v/>
      </c>
      <c r="R1258" s="263" t="str">
        <f>IFERROR(__xludf.DUMMYFUNCTION("IF(ISBLANK(A1258),"""",IFERROR(IF(OR(Q1258=""GPB"",Q1258=""ZAR""),IF(Q1258=Dashboard!$L$1,K1258,(K1258*GOOGLEFINANCE(""CURRENCY:""&amp;Q1258&amp;""""&amp;Dashboard!$L$1&amp;""""))/100),IF(Q1258=Dashboard!$L$1,K1258,K1258*GOOGLEFINANCE(""CURRENCY:""&amp;Q1258&amp;""""&amp;Dashboard!$"&amp;"L$1&amp;""""))),K1258))"),"")</f>
        <v/>
      </c>
      <c r="S1258" s="266" t="str">
        <f>IFERROR(__xludf.DUMMYFUNCTION("IF(ISBLANK(A1258),"""",IFERROR(IF(OR(Q1258=""GPB"",Q1258=""ZAR""),IF(Q1258=Dashboard!$L$1,M1258,(M1258*GOOGLEFINANCE(""CURRENCY:""&amp;Q1258&amp;""""&amp;Dashboard!$L$1&amp;""""))/100),IF(Q1258=Dashboard!$L$1,M1258,M1258*GOOGLEFINANCE(""CURRENCY:""&amp;Q1258&amp;""""&amp;Dashboard!$"&amp;"L$1&amp;""""))),M1258))"),"")</f>
        <v/>
      </c>
      <c r="T1258" s="264" t="str">
        <f t="shared" si="4"/>
        <v/>
      </c>
      <c r="U1258" s="264" t="str">
        <f t="shared" si="5"/>
        <v/>
      </c>
      <c r="V1258" s="264" t="str">
        <f t="shared" si="6"/>
        <v/>
      </c>
      <c r="W1258" s="267" t="str">
        <f t="shared" si="8"/>
        <v/>
      </c>
      <c r="X1258" s="264" t="str">
        <f t="shared" si="7"/>
        <v/>
      </c>
    </row>
    <row r="1259" ht="15.75" customHeight="1">
      <c r="A1259" s="258"/>
      <c r="B1259" s="258"/>
      <c r="C1259" s="269"/>
      <c r="D1259" s="258"/>
      <c r="E1259" s="258"/>
      <c r="F1259" s="258"/>
      <c r="G1259" s="258"/>
      <c r="H1259" s="271"/>
      <c r="I1259" s="258"/>
      <c r="J1259" s="272"/>
      <c r="K1259" s="260"/>
      <c r="L1259" s="261"/>
      <c r="M1259" s="262" t="str">
        <f t="shared" si="1"/>
        <v/>
      </c>
      <c r="N1259" s="263" t="str">
        <f t="shared" si="2"/>
        <v/>
      </c>
      <c r="O1259" s="264" t="str">
        <f t="shared" si="3"/>
        <v/>
      </c>
      <c r="P1259" s="265" t="str">
        <f>IFERROR(__xludf.DUMMYFUNCTION("IF(ISBLANK(A1259),"""",IFERROR(IF(H1259=""Sell"",VLOOKUP(9^99,FILTER({ROW(P$2:P1258),P$2:P1258},D$2:D1258=D1259),2),(VLOOKUP(9^99,FILTER({ROW(P$2:P1258),P$2:P1258},D$2:D1258=D1259),2)*VLOOKUP(9^99,FILTER({ROW(O$2:O1258),O$2:O1258},D$2:D1258=D1259),2)-N125"&amp;"9)/O1259),J1259))"),"")</f>
        <v/>
      </c>
      <c r="Q1259" s="264" t="str">
        <f>IFERROR(__xludf.DUMMYFUNCTION("IFERROR(IF(F1259=""Crypto"",B1259,(IF(ISBLANK(D1259),"""",IF(D1259=""Cash"",B1259,IF(GOOGLEFINANCE(D1259,""CURRENCY"")=""GBX"",""GBP"",GOOGLEFINANCE(D1259,""CURRENCY"")))))),B1259)"),"")</f>
        <v/>
      </c>
      <c r="R1259" s="263" t="str">
        <f>IFERROR(__xludf.DUMMYFUNCTION("IF(ISBLANK(A1259),"""",IFERROR(IF(OR(Q1259=""GPB"",Q1259=""ZAR""),IF(Q1259=Dashboard!$L$1,K1259,(K1259*GOOGLEFINANCE(""CURRENCY:""&amp;Q1259&amp;""""&amp;Dashboard!$L$1&amp;""""))/100),IF(Q1259=Dashboard!$L$1,K1259,K1259*GOOGLEFINANCE(""CURRENCY:""&amp;Q1259&amp;""""&amp;Dashboard!$"&amp;"L$1&amp;""""))),K1259))"),"")</f>
        <v/>
      </c>
      <c r="S1259" s="266" t="str">
        <f>IFERROR(__xludf.DUMMYFUNCTION("IF(ISBLANK(A1259),"""",IFERROR(IF(OR(Q1259=""GPB"",Q1259=""ZAR""),IF(Q1259=Dashboard!$L$1,M1259,(M1259*GOOGLEFINANCE(""CURRENCY:""&amp;Q1259&amp;""""&amp;Dashboard!$L$1&amp;""""))/100),IF(Q1259=Dashboard!$L$1,M1259,M1259*GOOGLEFINANCE(""CURRENCY:""&amp;Q1259&amp;""""&amp;Dashboard!$"&amp;"L$1&amp;""""))),M1259))"),"")</f>
        <v/>
      </c>
      <c r="T1259" s="264" t="str">
        <f t="shared" si="4"/>
        <v/>
      </c>
      <c r="U1259" s="264" t="str">
        <f t="shared" si="5"/>
        <v/>
      </c>
      <c r="V1259" s="264" t="str">
        <f t="shared" si="6"/>
        <v/>
      </c>
      <c r="W1259" s="267" t="str">
        <f t="shared" si="8"/>
        <v/>
      </c>
      <c r="X1259" s="264" t="str">
        <f t="shared" si="7"/>
        <v/>
      </c>
    </row>
    <row r="1260" ht="15.75" customHeight="1">
      <c r="A1260" s="258"/>
      <c r="B1260" s="258"/>
      <c r="C1260" s="269"/>
      <c r="D1260" s="258"/>
      <c r="E1260" s="258"/>
      <c r="F1260" s="258"/>
      <c r="G1260" s="258"/>
      <c r="H1260" s="271"/>
      <c r="I1260" s="258"/>
      <c r="J1260" s="272"/>
      <c r="K1260" s="260"/>
      <c r="L1260" s="261"/>
      <c r="M1260" s="262" t="str">
        <f t="shared" si="1"/>
        <v/>
      </c>
      <c r="N1260" s="263" t="str">
        <f t="shared" si="2"/>
        <v/>
      </c>
      <c r="O1260" s="264" t="str">
        <f t="shared" si="3"/>
        <v/>
      </c>
      <c r="P1260" s="265" t="str">
        <f>IFERROR(__xludf.DUMMYFUNCTION("IF(ISBLANK(A1260),"""",IFERROR(IF(H1260=""Sell"",VLOOKUP(9^99,FILTER({ROW(P$2:P1259),P$2:P1259},D$2:D1259=D1260),2),(VLOOKUP(9^99,FILTER({ROW(P$2:P1259),P$2:P1259},D$2:D1259=D1260),2)*VLOOKUP(9^99,FILTER({ROW(O$2:O1259),O$2:O1259},D$2:D1259=D1260),2)-N126"&amp;"0)/O1260),J1260))"),"")</f>
        <v/>
      </c>
      <c r="Q1260" s="264" t="str">
        <f>IFERROR(__xludf.DUMMYFUNCTION("IFERROR(IF(F1260=""Crypto"",B1260,(IF(ISBLANK(D1260),"""",IF(D1260=""Cash"",B1260,IF(GOOGLEFINANCE(D1260,""CURRENCY"")=""GBX"",""GBP"",GOOGLEFINANCE(D1260,""CURRENCY"")))))),B1260)"),"")</f>
        <v/>
      </c>
      <c r="R1260" s="263" t="str">
        <f>IFERROR(__xludf.DUMMYFUNCTION("IF(ISBLANK(A1260),"""",IFERROR(IF(OR(Q1260=""GPB"",Q1260=""ZAR""),IF(Q1260=Dashboard!$L$1,K1260,(K1260*GOOGLEFINANCE(""CURRENCY:""&amp;Q1260&amp;""""&amp;Dashboard!$L$1&amp;""""))/100),IF(Q1260=Dashboard!$L$1,K1260,K1260*GOOGLEFINANCE(""CURRENCY:""&amp;Q1260&amp;""""&amp;Dashboard!$"&amp;"L$1&amp;""""))),K1260))"),"")</f>
        <v/>
      </c>
      <c r="S1260" s="266" t="str">
        <f>IFERROR(__xludf.DUMMYFUNCTION("IF(ISBLANK(A1260),"""",IFERROR(IF(OR(Q1260=""GPB"",Q1260=""ZAR""),IF(Q1260=Dashboard!$L$1,M1260,(M1260*GOOGLEFINANCE(""CURRENCY:""&amp;Q1260&amp;""""&amp;Dashboard!$L$1&amp;""""))/100),IF(Q1260=Dashboard!$L$1,M1260,M1260*GOOGLEFINANCE(""CURRENCY:""&amp;Q1260&amp;""""&amp;Dashboard!$"&amp;"L$1&amp;""""))),M1260))"),"")</f>
        <v/>
      </c>
      <c r="T1260" s="264" t="str">
        <f t="shared" si="4"/>
        <v/>
      </c>
      <c r="U1260" s="264" t="str">
        <f t="shared" si="5"/>
        <v/>
      </c>
      <c r="V1260" s="264" t="str">
        <f t="shared" si="6"/>
        <v/>
      </c>
      <c r="W1260" s="267" t="str">
        <f t="shared" si="8"/>
        <v/>
      </c>
      <c r="X1260" s="264" t="str">
        <f t="shared" si="7"/>
        <v/>
      </c>
    </row>
    <row r="1261" ht="15.75" customHeight="1">
      <c r="A1261" s="258"/>
      <c r="B1261" s="258"/>
      <c r="C1261" s="269"/>
      <c r="D1261" s="258"/>
      <c r="E1261" s="258"/>
      <c r="F1261" s="258"/>
      <c r="G1261" s="258"/>
      <c r="H1261" s="271"/>
      <c r="I1261" s="258"/>
      <c r="J1261" s="272"/>
      <c r="K1261" s="260"/>
      <c r="L1261" s="261"/>
      <c r="M1261" s="262" t="str">
        <f t="shared" si="1"/>
        <v/>
      </c>
      <c r="N1261" s="263" t="str">
        <f t="shared" si="2"/>
        <v/>
      </c>
      <c r="O1261" s="264" t="str">
        <f t="shared" si="3"/>
        <v/>
      </c>
      <c r="P1261" s="265" t="str">
        <f>IFERROR(__xludf.DUMMYFUNCTION("IF(ISBLANK(A1261),"""",IFERROR(IF(H1261=""Sell"",VLOOKUP(9^99,FILTER({ROW(P$2:P1260),P$2:P1260},D$2:D1260=D1261),2),(VLOOKUP(9^99,FILTER({ROW(P$2:P1260),P$2:P1260},D$2:D1260=D1261),2)*VLOOKUP(9^99,FILTER({ROW(O$2:O1260),O$2:O1260},D$2:D1260=D1261),2)-N126"&amp;"1)/O1261),J1261))"),"")</f>
        <v/>
      </c>
      <c r="Q1261" s="264" t="str">
        <f>IFERROR(__xludf.DUMMYFUNCTION("IFERROR(IF(F1261=""Crypto"",B1261,(IF(ISBLANK(D1261),"""",IF(D1261=""Cash"",B1261,IF(GOOGLEFINANCE(D1261,""CURRENCY"")=""GBX"",""GBP"",GOOGLEFINANCE(D1261,""CURRENCY"")))))),B1261)"),"")</f>
        <v/>
      </c>
      <c r="R1261" s="263" t="str">
        <f>IFERROR(__xludf.DUMMYFUNCTION("IF(ISBLANK(A1261),"""",IFERROR(IF(OR(Q1261=""GPB"",Q1261=""ZAR""),IF(Q1261=Dashboard!$L$1,K1261,(K1261*GOOGLEFINANCE(""CURRENCY:""&amp;Q1261&amp;""""&amp;Dashboard!$L$1&amp;""""))/100),IF(Q1261=Dashboard!$L$1,K1261,K1261*GOOGLEFINANCE(""CURRENCY:""&amp;Q1261&amp;""""&amp;Dashboard!$"&amp;"L$1&amp;""""))),K1261))"),"")</f>
        <v/>
      </c>
      <c r="S1261" s="266" t="str">
        <f>IFERROR(__xludf.DUMMYFUNCTION("IF(ISBLANK(A1261),"""",IFERROR(IF(OR(Q1261=""GPB"",Q1261=""ZAR""),IF(Q1261=Dashboard!$L$1,M1261,(M1261*GOOGLEFINANCE(""CURRENCY:""&amp;Q1261&amp;""""&amp;Dashboard!$L$1&amp;""""))/100),IF(Q1261=Dashboard!$L$1,M1261,M1261*GOOGLEFINANCE(""CURRENCY:""&amp;Q1261&amp;""""&amp;Dashboard!$"&amp;"L$1&amp;""""))),M1261))"),"")</f>
        <v/>
      </c>
      <c r="T1261" s="264" t="str">
        <f t="shared" si="4"/>
        <v/>
      </c>
      <c r="U1261" s="264" t="str">
        <f t="shared" si="5"/>
        <v/>
      </c>
      <c r="V1261" s="264" t="str">
        <f t="shared" si="6"/>
        <v/>
      </c>
      <c r="W1261" s="267" t="str">
        <f t="shared" si="8"/>
        <v/>
      </c>
      <c r="X1261" s="264" t="str">
        <f t="shared" si="7"/>
        <v/>
      </c>
    </row>
    <row r="1262" ht="15.75" customHeight="1">
      <c r="A1262" s="258"/>
      <c r="B1262" s="258"/>
      <c r="C1262" s="269"/>
      <c r="D1262" s="258"/>
      <c r="E1262" s="258"/>
      <c r="F1262" s="258"/>
      <c r="G1262" s="258"/>
      <c r="H1262" s="271"/>
      <c r="I1262" s="258"/>
      <c r="J1262" s="272"/>
      <c r="K1262" s="260"/>
      <c r="L1262" s="261"/>
      <c r="M1262" s="262" t="str">
        <f t="shared" si="1"/>
        <v/>
      </c>
      <c r="N1262" s="263" t="str">
        <f t="shared" si="2"/>
        <v/>
      </c>
      <c r="O1262" s="264" t="str">
        <f t="shared" si="3"/>
        <v/>
      </c>
      <c r="P1262" s="265" t="str">
        <f>IFERROR(__xludf.DUMMYFUNCTION("IF(ISBLANK(A1262),"""",IFERROR(IF(H1262=""Sell"",VLOOKUP(9^99,FILTER({ROW(P$2:P1261),P$2:P1261},D$2:D1261=D1262),2),(VLOOKUP(9^99,FILTER({ROW(P$2:P1261),P$2:P1261},D$2:D1261=D1262),2)*VLOOKUP(9^99,FILTER({ROW(O$2:O1261),O$2:O1261},D$2:D1261=D1262),2)-N126"&amp;"2)/O1262),J1262))"),"")</f>
        <v/>
      </c>
      <c r="Q1262" s="264" t="str">
        <f>IFERROR(__xludf.DUMMYFUNCTION("IFERROR(IF(F1262=""Crypto"",B1262,(IF(ISBLANK(D1262),"""",IF(D1262=""Cash"",B1262,IF(GOOGLEFINANCE(D1262,""CURRENCY"")=""GBX"",""GBP"",GOOGLEFINANCE(D1262,""CURRENCY"")))))),B1262)"),"")</f>
        <v/>
      </c>
      <c r="R1262" s="263" t="str">
        <f>IFERROR(__xludf.DUMMYFUNCTION("IF(ISBLANK(A1262),"""",IFERROR(IF(OR(Q1262=""GPB"",Q1262=""ZAR""),IF(Q1262=Dashboard!$L$1,K1262,(K1262*GOOGLEFINANCE(""CURRENCY:""&amp;Q1262&amp;""""&amp;Dashboard!$L$1&amp;""""))/100),IF(Q1262=Dashboard!$L$1,K1262,K1262*GOOGLEFINANCE(""CURRENCY:""&amp;Q1262&amp;""""&amp;Dashboard!$"&amp;"L$1&amp;""""))),K1262))"),"")</f>
        <v/>
      </c>
      <c r="S1262" s="266" t="str">
        <f>IFERROR(__xludf.DUMMYFUNCTION("IF(ISBLANK(A1262),"""",IFERROR(IF(OR(Q1262=""GPB"",Q1262=""ZAR""),IF(Q1262=Dashboard!$L$1,M1262,(M1262*GOOGLEFINANCE(""CURRENCY:""&amp;Q1262&amp;""""&amp;Dashboard!$L$1&amp;""""))/100),IF(Q1262=Dashboard!$L$1,M1262,M1262*GOOGLEFINANCE(""CURRENCY:""&amp;Q1262&amp;""""&amp;Dashboard!$"&amp;"L$1&amp;""""))),M1262))"),"")</f>
        <v/>
      </c>
      <c r="T1262" s="264" t="str">
        <f t="shared" si="4"/>
        <v/>
      </c>
      <c r="U1262" s="264" t="str">
        <f t="shared" si="5"/>
        <v/>
      </c>
      <c r="V1262" s="264" t="str">
        <f t="shared" si="6"/>
        <v/>
      </c>
      <c r="W1262" s="267" t="str">
        <f t="shared" si="8"/>
        <v/>
      </c>
      <c r="X1262" s="264" t="str">
        <f t="shared" si="7"/>
        <v/>
      </c>
    </row>
    <row r="1263" ht="15.75" customHeight="1">
      <c r="A1263" s="258"/>
      <c r="B1263" s="258"/>
      <c r="C1263" s="269"/>
      <c r="D1263" s="258"/>
      <c r="E1263" s="258"/>
      <c r="F1263" s="258"/>
      <c r="G1263" s="258"/>
      <c r="H1263" s="271"/>
      <c r="I1263" s="258"/>
      <c r="J1263" s="272"/>
      <c r="K1263" s="260"/>
      <c r="L1263" s="261"/>
      <c r="M1263" s="262" t="str">
        <f t="shared" si="1"/>
        <v/>
      </c>
      <c r="N1263" s="263" t="str">
        <f t="shared" si="2"/>
        <v/>
      </c>
      <c r="O1263" s="264" t="str">
        <f t="shared" si="3"/>
        <v/>
      </c>
      <c r="P1263" s="265" t="str">
        <f>IFERROR(__xludf.DUMMYFUNCTION("IF(ISBLANK(A1263),"""",IFERROR(IF(H1263=""Sell"",VLOOKUP(9^99,FILTER({ROW(P$2:P1262),P$2:P1262},D$2:D1262=D1263),2),(VLOOKUP(9^99,FILTER({ROW(P$2:P1262),P$2:P1262},D$2:D1262=D1263),2)*VLOOKUP(9^99,FILTER({ROW(O$2:O1262),O$2:O1262},D$2:D1262=D1263),2)-N126"&amp;"3)/O1263),J1263))"),"")</f>
        <v/>
      </c>
      <c r="Q1263" s="264" t="str">
        <f>IFERROR(__xludf.DUMMYFUNCTION("IFERROR(IF(F1263=""Crypto"",B1263,(IF(ISBLANK(D1263),"""",IF(D1263=""Cash"",B1263,IF(GOOGLEFINANCE(D1263,""CURRENCY"")=""GBX"",""GBP"",GOOGLEFINANCE(D1263,""CURRENCY"")))))),B1263)"),"")</f>
        <v/>
      </c>
      <c r="R1263" s="263" t="str">
        <f>IFERROR(__xludf.DUMMYFUNCTION("IF(ISBLANK(A1263),"""",IFERROR(IF(OR(Q1263=""GPB"",Q1263=""ZAR""),IF(Q1263=Dashboard!$L$1,K1263,(K1263*GOOGLEFINANCE(""CURRENCY:""&amp;Q1263&amp;""""&amp;Dashboard!$L$1&amp;""""))/100),IF(Q1263=Dashboard!$L$1,K1263,K1263*GOOGLEFINANCE(""CURRENCY:""&amp;Q1263&amp;""""&amp;Dashboard!$"&amp;"L$1&amp;""""))),K1263))"),"")</f>
        <v/>
      </c>
      <c r="S1263" s="266" t="str">
        <f>IFERROR(__xludf.DUMMYFUNCTION("IF(ISBLANK(A1263),"""",IFERROR(IF(OR(Q1263=""GPB"",Q1263=""ZAR""),IF(Q1263=Dashboard!$L$1,M1263,(M1263*GOOGLEFINANCE(""CURRENCY:""&amp;Q1263&amp;""""&amp;Dashboard!$L$1&amp;""""))/100),IF(Q1263=Dashboard!$L$1,M1263,M1263*GOOGLEFINANCE(""CURRENCY:""&amp;Q1263&amp;""""&amp;Dashboard!$"&amp;"L$1&amp;""""))),M1263))"),"")</f>
        <v/>
      </c>
      <c r="T1263" s="264" t="str">
        <f t="shared" si="4"/>
        <v/>
      </c>
      <c r="U1263" s="264" t="str">
        <f t="shared" si="5"/>
        <v/>
      </c>
      <c r="V1263" s="264" t="str">
        <f t="shared" si="6"/>
        <v/>
      </c>
      <c r="W1263" s="267" t="str">
        <f t="shared" si="8"/>
        <v/>
      </c>
      <c r="X1263" s="264" t="str">
        <f t="shared" si="7"/>
        <v/>
      </c>
    </row>
    <row r="1264" ht="15.75" customHeight="1">
      <c r="A1264" s="258"/>
      <c r="B1264" s="258"/>
      <c r="C1264" s="269"/>
      <c r="D1264" s="258"/>
      <c r="E1264" s="258"/>
      <c r="F1264" s="258"/>
      <c r="G1264" s="258"/>
      <c r="H1264" s="271"/>
      <c r="I1264" s="258"/>
      <c r="J1264" s="272"/>
      <c r="K1264" s="260"/>
      <c r="L1264" s="261"/>
      <c r="M1264" s="262" t="str">
        <f t="shared" si="1"/>
        <v/>
      </c>
      <c r="N1264" s="263" t="str">
        <f t="shared" si="2"/>
        <v/>
      </c>
      <c r="O1264" s="264" t="str">
        <f t="shared" si="3"/>
        <v/>
      </c>
      <c r="P1264" s="265" t="str">
        <f>IFERROR(__xludf.DUMMYFUNCTION("IF(ISBLANK(A1264),"""",IFERROR(IF(H1264=""Sell"",VLOOKUP(9^99,FILTER({ROW(P$2:P1263),P$2:P1263},D$2:D1263=D1264),2),(VLOOKUP(9^99,FILTER({ROW(P$2:P1263),P$2:P1263},D$2:D1263=D1264),2)*VLOOKUP(9^99,FILTER({ROW(O$2:O1263),O$2:O1263},D$2:D1263=D1264),2)-N126"&amp;"4)/O1264),J1264))"),"")</f>
        <v/>
      </c>
      <c r="Q1264" s="264" t="str">
        <f>IFERROR(__xludf.DUMMYFUNCTION("IFERROR(IF(F1264=""Crypto"",B1264,(IF(ISBLANK(D1264),"""",IF(D1264=""Cash"",B1264,IF(GOOGLEFINANCE(D1264,""CURRENCY"")=""GBX"",""GBP"",GOOGLEFINANCE(D1264,""CURRENCY"")))))),B1264)"),"")</f>
        <v/>
      </c>
      <c r="R1264" s="263" t="str">
        <f>IFERROR(__xludf.DUMMYFUNCTION("IF(ISBLANK(A1264),"""",IFERROR(IF(OR(Q1264=""GPB"",Q1264=""ZAR""),IF(Q1264=Dashboard!$L$1,K1264,(K1264*GOOGLEFINANCE(""CURRENCY:""&amp;Q1264&amp;""""&amp;Dashboard!$L$1&amp;""""))/100),IF(Q1264=Dashboard!$L$1,K1264,K1264*GOOGLEFINANCE(""CURRENCY:""&amp;Q1264&amp;""""&amp;Dashboard!$"&amp;"L$1&amp;""""))),K1264))"),"")</f>
        <v/>
      </c>
      <c r="S1264" s="266" t="str">
        <f>IFERROR(__xludf.DUMMYFUNCTION("IF(ISBLANK(A1264),"""",IFERROR(IF(OR(Q1264=""GPB"",Q1264=""ZAR""),IF(Q1264=Dashboard!$L$1,M1264,(M1264*GOOGLEFINANCE(""CURRENCY:""&amp;Q1264&amp;""""&amp;Dashboard!$L$1&amp;""""))/100),IF(Q1264=Dashboard!$L$1,M1264,M1264*GOOGLEFINANCE(""CURRENCY:""&amp;Q1264&amp;""""&amp;Dashboard!$"&amp;"L$1&amp;""""))),M1264))"),"")</f>
        <v/>
      </c>
      <c r="T1264" s="264" t="str">
        <f t="shared" si="4"/>
        <v/>
      </c>
      <c r="U1264" s="264" t="str">
        <f t="shared" si="5"/>
        <v/>
      </c>
      <c r="V1264" s="264" t="str">
        <f t="shared" si="6"/>
        <v/>
      </c>
      <c r="W1264" s="267" t="str">
        <f t="shared" si="8"/>
        <v/>
      </c>
      <c r="X1264" s="264" t="str">
        <f t="shared" si="7"/>
        <v/>
      </c>
    </row>
    <row r="1265" ht="15.75" customHeight="1">
      <c r="A1265" s="258"/>
      <c r="B1265" s="258"/>
      <c r="C1265" s="269"/>
      <c r="D1265" s="258"/>
      <c r="E1265" s="258"/>
      <c r="F1265" s="258"/>
      <c r="G1265" s="258"/>
      <c r="H1265" s="271"/>
      <c r="I1265" s="258"/>
      <c r="J1265" s="272"/>
      <c r="K1265" s="260"/>
      <c r="L1265" s="261"/>
      <c r="M1265" s="262" t="str">
        <f t="shared" si="1"/>
        <v/>
      </c>
      <c r="N1265" s="263" t="str">
        <f t="shared" si="2"/>
        <v/>
      </c>
      <c r="O1265" s="264" t="str">
        <f t="shared" si="3"/>
        <v/>
      </c>
      <c r="P1265" s="265" t="str">
        <f>IFERROR(__xludf.DUMMYFUNCTION("IF(ISBLANK(A1265),"""",IFERROR(IF(H1265=""Sell"",VLOOKUP(9^99,FILTER({ROW(P$2:P1264),P$2:P1264},D$2:D1264=D1265),2),(VLOOKUP(9^99,FILTER({ROW(P$2:P1264),P$2:P1264},D$2:D1264=D1265),2)*VLOOKUP(9^99,FILTER({ROW(O$2:O1264),O$2:O1264},D$2:D1264=D1265),2)-N126"&amp;"5)/O1265),J1265))"),"")</f>
        <v/>
      </c>
      <c r="Q1265" s="264" t="str">
        <f>IFERROR(__xludf.DUMMYFUNCTION("IFERROR(IF(F1265=""Crypto"",B1265,(IF(ISBLANK(D1265),"""",IF(D1265=""Cash"",B1265,IF(GOOGLEFINANCE(D1265,""CURRENCY"")=""GBX"",""GBP"",GOOGLEFINANCE(D1265,""CURRENCY"")))))),B1265)"),"")</f>
        <v/>
      </c>
      <c r="R1265" s="263" t="str">
        <f>IFERROR(__xludf.DUMMYFUNCTION("IF(ISBLANK(A1265),"""",IFERROR(IF(OR(Q1265=""GPB"",Q1265=""ZAR""),IF(Q1265=Dashboard!$L$1,K1265,(K1265*GOOGLEFINANCE(""CURRENCY:""&amp;Q1265&amp;""""&amp;Dashboard!$L$1&amp;""""))/100),IF(Q1265=Dashboard!$L$1,K1265,K1265*GOOGLEFINANCE(""CURRENCY:""&amp;Q1265&amp;""""&amp;Dashboard!$"&amp;"L$1&amp;""""))),K1265))"),"")</f>
        <v/>
      </c>
      <c r="S1265" s="266" t="str">
        <f>IFERROR(__xludf.DUMMYFUNCTION("IF(ISBLANK(A1265),"""",IFERROR(IF(OR(Q1265=""GPB"",Q1265=""ZAR""),IF(Q1265=Dashboard!$L$1,M1265,(M1265*GOOGLEFINANCE(""CURRENCY:""&amp;Q1265&amp;""""&amp;Dashboard!$L$1&amp;""""))/100),IF(Q1265=Dashboard!$L$1,M1265,M1265*GOOGLEFINANCE(""CURRENCY:""&amp;Q1265&amp;""""&amp;Dashboard!$"&amp;"L$1&amp;""""))),M1265))"),"")</f>
        <v/>
      </c>
      <c r="T1265" s="264" t="str">
        <f t="shared" si="4"/>
        <v/>
      </c>
      <c r="U1265" s="264" t="str">
        <f t="shared" si="5"/>
        <v/>
      </c>
      <c r="V1265" s="264" t="str">
        <f t="shared" si="6"/>
        <v/>
      </c>
      <c r="W1265" s="267" t="str">
        <f t="shared" si="8"/>
        <v/>
      </c>
      <c r="X1265" s="264" t="str">
        <f t="shared" si="7"/>
        <v/>
      </c>
    </row>
    <row r="1266" ht="15.75" customHeight="1">
      <c r="A1266" s="258"/>
      <c r="B1266" s="258"/>
      <c r="C1266" s="269"/>
      <c r="D1266" s="258"/>
      <c r="E1266" s="258"/>
      <c r="F1266" s="258"/>
      <c r="G1266" s="258"/>
      <c r="H1266" s="271"/>
      <c r="I1266" s="258"/>
      <c r="J1266" s="272"/>
      <c r="K1266" s="260"/>
      <c r="L1266" s="261"/>
      <c r="M1266" s="262" t="str">
        <f t="shared" si="1"/>
        <v/>
      </c>
      <c r="N1266" s="263" t="str">
        <f t="shared" si="2"/>
        <v/>
      </c>
      <c r="O1266" s="264" t="str">
        <f t="shared" si="3"/>
        <v/>
      </c>
      <c r="P1266" s="265" t="str">
        <f>IFERROR(__xludf.DUMMYFUNCTION("IF(ISBLANK(A1266),"""",IFERROR(IF(H1266=""Sell"",VLOOKUP(9^99,FILTER({ROW(P$2:P1265),P$2:P1265},D$2:D1265=D1266),2),(VLOOKUP(9^99,FILTER({ROW(P$2:P1265),P$2:P1265},D$2:D1265=D1266),2)*VLOOKUP(9^99,FILTER({ROW(O$2:O1265),O$2:O1265},D$2:D1265=D1266),2)-N126"&amp;"6)/O1266),J1266))"),"")</f>
        <v/>
      </c>
      <c r="Q1266" s="264" t="str">
        <f>IFERROR(__xludf.DUMMYFUNCTION("IFERROR(IF(F1266=""Crypto"",B1266,(IF(ISBLANK(D1266),"""",IF(D1266=""Cash"",B1266,IF(GOOGLEFINANCE(D1266,""CURRENCY"")=""GBX"",""GBP"",GOOGLEFINANCE(D1266,""CURRENCY"")))))),B1266)"),"")</f>
        <v/>
      </c>
      <c r="R1266" s="263" t="str">
        <f>IFERROR(__xludf.DUMMYFUNCTION("IF(ISBLANK(A1266),"""",IFERROR(IF(OR(Q1266=""GPB"",Q1266=""ZAR""),IF(Q1266=Dashboard!$L$1,K1266,(K1266*GOOGLEFINANCE(""CURRENCY:""&amp;Q1266&amp;""""&amp;Dashboard!$L$1&amp;""""))/100),IF(Q1266=Dashboard!$L$1,K1266,K1266*GOOGLEFINANCE(""CURRENCY:""&amp;Q1266&amp;""""&amp;Dashboard!$"&amp;"L$1&amp;""""))),K1266))"),"")</f>
        <v/>
      </c>
      <c r="S1266" s="266" t="str">
        <f>IFERROR(__xludf.DUMMYFUNCTION("IF(ISBLANK(A1266),"""",IFERROR(IF(OR(Q1266=""GPB"",Q1266=""ZAR""),IF(Q1266=Dashboard!$L$1,M1266,(M1266*GOOGLEFINANCE(""CURRENCY:""&amp;Q1266&amp;""""&amp;Dashboard!$L$1&amp;""""))/100),IF(Q1266=Dashboard!$L$1,M1266,M1266*GOOGLEFINANCE(""CURRENCY:""&amp;Q1266&amp;""""&amp;Dashboard!$"&amp;"L$1&amp;""""))),M1266))"),"")</f>
        <v/>
      </c>
      <c r="T1266" s="264" t="str">
        <f t="shared" si="4"/>
        <v/>
      </c>
      <c r="U1266" s="264" t="str">
        <f t="shared" si="5"/>
        <v/>
      </c>
      <c r="V1266" s="264" t="str">
        <f t="shared" si="6"/>
        <v/>
      </c>
      <c r="W1266" s="267" t="str">
        <f t="shared" si="8"/>
        <v/>
      </c>
      <c r="X1266" s="264" t="str">
        <f t="shared" si="7"/>
        <v/>
      </c>
    </row>
    <row r="1267" ht="15.75" customHeight="1">
      <c r="A1267" s="258"/>
      <c r="B1267" s="258"/>
      <c r="C1267" s="269"/>
      <c r="D1267" s="258"/>
      <c r="E1267" s="258"/>
      <c r="F1267" s="258"/>
      <c r="G1267" s="258"/>
      <c r="H1267" s="271"/>
      <c r="I1267" s="258"/>
      <c r="J1267" s="272"/>
      <c r="K1267" s="260"/>
      <c r="L1267" s="261"/>
      <c r="M1267" s="262" t="str">
        <f t="shared" si="1"/>
        <v/>
      </c>
      <c r="N1267" s="263" t="str">
        <f t="shared" si="2"/>
        <v/>
      </c>
      <c r="O1267" s="264" t="str">
        <f t="shared" si="3"/>
        <v/>
      </c>
      <c r="P1267" s="265" t="str">
        <f>IFERROR(__xludf.DUMMYFUNCTION("IF(ISBLANK(A1267),"""",IFERROR(IF(H1267=""Sell"",VLOOKUP(9^99,FILTER({ROW(P$2:P1266),P$2:P1266},D$2:D1266=D1267),2),(VLOOKUP(9^99,FILTER({ROW(P$2:P1266),P$2:P1266},D$2:D1266=D1267),2)*VLOOKUP(9^99,FILTER({ROW(O$2:O1266),O$2:O1266},D$2:D1266=D1267),2)-N126"&amp;"7)/O1267),J1267))"),"")</f>
        <v/>
      </c>
      <c r="Q1267" s="264" t="str">
        <f>IFERROR(__xludf.DUMMYFUNCTION("IFERROR(IF(F1267=""Crypto"",B1267,(IF(ISBLANK(D1267),"""",IF(D1267=""Cash"",B1267,IF(GOOGLEFINANCE(D1267,""CURRENCY"")=""GBX"",""GBP"",GOOGLEFINANCE(D1267,""CURRENCY"")))))),B1267)"),"")</f>
        <v/>
      </c>
      <c r="R1267" s="263" t="str">
        <f>IFERROR(__xludf.DUMMYFUNCTION("IF(ISBLANK(A1267),"""",IFERROR(IF(OR(Q1267=""GPB"",Q1267=""ZAR""),IF(Q1267=Dashboard!$L$1,K1267,(K1267*GOOGLEFINANCE(""CURRENCY:""&amp;Q1267&amp;""""&amp;Dashboard!$L$1&amp;""""))/100),IF(Q1267=Dashboard!$L$1,K1267,K1267*GOOGLEFINANCE(""CURRENCY:""&amp;Q1267&amp;""""&amp;Dashboard!$"&amp;"L$1&amp;""""))),K1267))"),"")</f>
        <v/>
      </c>
      <c r="S1267" s="266" t="str">
        <f>IFERROR(__xludf.DUMMYFUNCTION("IF(ISBLANK(A1267),"""",IFERROR(IF(OR(Q1267=""GPB"",Q1267=""ZAR""),IF(Q1267=Dashboard!$L$1,M1267,(M1267*GOOGLEFINANCE(""CURRENCY:""&amp;Q1267&amp;""""&amp;Dashboard!$L$1&amp;""""))/100),IF(Q1267=Dashboard!$L$1,M1267,M1267*GOOGLEFINANCE(""CURRENCY:""&amp;Q1267&amp;""""&amp;Dashboard!$"&amp;"L$1&amp;""""))),M1267))"),"")</f>
        <v/>
      </c>
      <c r="T1267" s="264" t="str">
        <f t="shared" si="4"/>
        <v/>
      </c>
      <c r="U1267" s="264" t="str">
        <f t="shared" si="5"/>
        <v/>
      </c>
      <c r="V1267" s="264" t="str">
        <f t="shared" si="6"/>
        <v/>
      </c>
      <c r="W1267" s="267" t="str">
        <f t="shared" si="8"/>
        <v/>
      </c>
      <c r="X1267" s="264" t="str">
        <f t="shared" si="7"/>
        <v/>
      </c>
    </row>
    <row r="1268" ht="15.75" customHeight="1">
      <c r="A1268" s="258"/>
      <c r="B1268" s="258"/>
      <c r="C1268" s="269"/>
      <c r="D1268" s="258"/>
      <c r="E1268" s="258"/>
      <c r="F1268" s="258"/>
      <c r="G1268" s="258"/>
      <c r="H1268" s="271"/>
      <c r="I1268" s="258"/>
      <c r="J1268" s="272"/>
      <c r="K1268" s="260"/>
      <c r="L1268" s="261"/>
      <c r="M1268" s="262" t="str">
        <f t="shared" si="1"/>
        <v/>
      </c>
      <c r="N1268" s="263" t="str">
        <f t="shared" si="2"/>
        <v/>
      </c>
      <c r="O1268" s="264" t="str">
        <f t="shared" si="3"/>
        <v/>
      </c>
      <c r="P1268" s="265" t="str">
        <f>IFERROR(__xludf.DUMMYFUNCTION("IF(ISBLANK(A1268),"""",IFERROR(IF(H1268=""Sell"",VLOOKUP(9^99,FILTER({ROW(P$2:P1267),P$2:P1267},D$2:D1267=D1268),2),(VLOOKUP(9^99,FILTER({ROW(P$2:P1267),P$2:P1267},D$2:D1267=D1268),2)*VLOOKUP(9^99,FILTER({ROW(O$2:O1267),O$2:O1267},D$2:D1267=D1268),2)-N126"&amp;"8)/O1268),J1268))"),"")</f>
        <v/>
      </c>
      <c r="Q1268" s="264" t="str">
        <f>IFERROR(__xludf.DUMMYFUNCTION("IFERROR(IF(F1268=""Crypto"",B1268,(IF(ISBLANK(D1268),"""",IF(D1268=""Cash"",B1268,IF(GOOGLEFINANCE(D1268,""CURRENCY"")=""GBX"",""GBP"",GOOGLEFINANCE(D1268,""CURRENCY"")))))),B1268)"),"")</f>
        <v/>
      </c>
      <c r="R1268" s="263" t="str">
        <f>IFERROR(__xludf.DUMMYFUNCTION("IF(ISBLANK(A1268),"""",IFERROR(IF(OR(Q1268=""GPB"",Q1268=""ZAR""),IF(Q1268=Dashboard!$L$1,K1268,(K1268*GOOGLEFINANCE(""CURRENCY:""&amp;Q1268&amp;""""&amp;Dashboard!$L$1&amp;""""))/100),IF(Q1268=Dashboard!$L$1,K1268,K1268*GOOGLEFINANCE(""CURRENCY:""&amp;Q1268&amp;""""&amp;Dashboard!$"&amp;"L$1&amp;""""))),K1268))"),"")</f>
        <v/>
      </c>
      <c r="S1268" s="266" t="str">
        <f>IFERROR(__xludf.DUMMYFUNCTION("IF(ISBLANK(A1268),"""",IFERROR(IF(OR(Q1268=""GPB"",Q1268=""ZAR""),IF(Q1268=Dashboard!$L$1,M1268,(M1268*GOOGLEFINANCE(""CURRENCY:""&amp;Q1268&amp;""""&amp;Dashboard!$L$1&amp;""""))/100),IF(Q1268=Dashboard!$L$1,M1268,M1268*GOOGLEFINANCE(""CURRENCY:""&amp;Q1268&amp;""""&amp;Dashboard!$"&amp;"L$1&amp;""""))),M1268))"),"")</f>
        <v/>
      </c>
      <c r="T1268" s="264" t="str">
        <f t="shared" si="4"/>
        <v/>
      </c>
      <c r="U1268" s="264" t="str">
        <f t="shared" si="5"/>
        <v/>
      </c>
      <c r="V1268" s="264" t="str">
        <f t="shared" si="6"/>
        <v/>
      </c>
      <c r="W1268" s="267" t="str">
        <f t="shared" si="8"/>
        <v/>
      </c>
      <c r="X1268" s="264" t="str">
        <f t="shared" si="7"/>
        <v/>
      </c>
    </row>
    <row r="1269" ht="15.75" customHeight="1">
      <c r="A1269" s="258"/>
      <c r="B1269" s="258"/>
      <c r="C1269" s="269"/>
      <c r="D1269" s="258"/>
      <c r="E1269" s="258"/>
      <c r="F1269" s="258"/>
      <c r="G1269" s="258"/>
      <c r="H1269" s="271"/>
      <c r="I1269" s="258"/>
      <c r="J1269" s="272"/>
      <c r="K1269" s="260"/>
      <c r="L1269" s="261"/>
      <c r="M1269" s="262" t="str">
        <f t="shared" si="1"/>
        <v/>
      </c>
      <c r="N1269" s="263" t="str">
        <f t="shared" si="2"/>
        <v/>
      </c>
      <c r="O1269" s="264" t="str">
        <f t="shared" si="3"/>
        <v/>
      </c>
      <c r="P1269" s="265" t="str">
        <f>IFERROR(__xludf.DUMMYFUNCTION("IF(ISBLANK(A1269),"""",IFERROR(IF(H1269=""Sell"",VLOOKUP(9^99,FILTER({ROW(P$2:P1268),P$2:P1268},D$2:D1268=D1269),2),(VLOOKUP(9^99,FILTER({ROW(P$2:P1268),P$2:P1268},D$2:D1268=D1269),2)*VLOOKUP(9^99,FILTER({ROW(O$2:O1268),O$2:O1268},D$2:D1268=D1269),2)-N126"&amp;"9)/O1269),J1269))"),"")</f>
        <v/>
      </c>
      <c r="Q1269" s="264" t="str">
        <f>IFERROR(__xludf.DUMMYFUNCTION("IFERROR(IF(F1269=""Crypto"",B1269,(IF(ISBLANK(D1269),"""",IF(D1269=""Cash"",B1269,IF(GOOGLEFINANCE(D1269,""CURRENCY"")=""GBX"",""GBP"",GOOGLEFINANCE(D1269,""CURRENCY"")))))),B1269)"),"")</f>
        <v/>
      </c>
      <c r="R1269" s="263" t="str">
        <f>IFERROR(__xludf.DUMMYFUNCTION("IF(ISBLANK(A1269),"""",IFERROR(IF(OR(Q1269=""GPB"",Q1269=""ZAR""),IF(Q1269=Dashboard!$L$1,K1269,(K1269*GOOGLEFINANCE(""CURRENCY:""&amp;Q1269&amp;""""&amp;Dashboard!$L$1&amp;""""))/100),IF(Q1269=Dashboard!$L$1,K1269,K1269*GOOGLEFINANCE(""CURRENCY:""&amp;Q1269&amp;""""&amp;Dashboard!$"&amp;"L$1&amp;""""))),K1269))"),"")</f>
        <v/>
      </c>
      <c r="S1269" s="266" t="str">
        <f>IFERROR(__xludf.DUMMYFUNCTION("IF(ISBLANK(A1269),"""",IFERROR(IF(OR(Q1269=""GPB"",Q1269=""ZAR""),IF(Q1269=Dashboard!$L$1,M1269,(M1269*GOOGLEFINANCE(""CURRENCY:""&amp;Q1269&amp;""""&amp;Dashboard!$L$1&amp;""""))/100),IF(Q1269=Dashboard!$L$1,M1269,M1269*GOOGLEFINANCE(""CURRENCY:""&amp;Q1269&amp;""""&amp;Dashboard!$"&amp;"L$1&amp;""""))),M1269))"),"")</f>
        <v/>
      </c>
      <c r="T1269" s="264" t="str">
        <f t="shared" si="4"/>
        <v/>
      </c>
      <c r="U1269" s="264" t="str">
        <f t="shared" si="5"/>
        <v/>
      </c>
      <c r="V1269" s="264" t="str">
        <f t="shared" si="6"/>
        <v/>
      </c>
      <c r="W1269" s="267" t="str">
        <f t="shared" si="8"/>
        <v/>
      </c>
      <c r="X1269" s="264" t="str">
        <f t="shared" si="7"/>
        <v/>
      </c>
    </row>
    <row r="1270" ht="15.75" customHeight="1">
      <c r="A1270" s="258"/>
      <c r="B1270" s="258"/>
      <c r="C1270" s="269"/>
      <c r="D1270" s="258"/>
      <c r="E1270" s="258"/>
      <c r="F1270" s="258"/>
      <c r="G1270" s="258"/>
      <c r="H1270" s="271"/>
      <c r="I1270" s="258"/>
      <c r="J1270" s="272"/>
      <c r="K1270" s="260"/>
      <c r="L1270" s="261"/>
      <c r="M1270" s="262" t="str">
        <f t="shared" si="1"/>
        <v/>
      </c>
      <c r="N1270" s="263" t="str">
        <f t="shared" si="2"/>
        <v/>
      </c>
      <c r="O1270" s="264" t="str">
        <f t="shared" si="3"/>
        <v/>
      </c>
      <c r="P1270" s="265" t="str">
        <f>IFERROR(__xludf.DUMMYFUNCTION("IF(ISBLANK(A1270),"""",IFERROR(IF(H1270=""Sell"",VLOOKUP(9^99,FILTER({ROW(P$2:P1269),P$2:P1269},D$2:D1269=D1270),2),(VLOOKUP(9^99,FILTER({ROW(P$2:P1269),P$2:P1269},D$2:D1269=D1270),2)*VLOOKUP(9^99,FILTER({ROW(O$2:O1269),O$2:O1269},D$2:D1269=D1270),2)-N127"&amp;"0)/O1270),J1270))"),"")</f>
        <v/>
      </c>
      <c r="Q1270" s="264" t="str">
        <f>IFERROR(__xludf.DUMMYFUNCTION("IFERROR(IF(F1270=""Crypto"",B1270,(IF(ISBLANK(D1270),"""",IF(D1270=""Cash"",B1270,IF(GOOGLEFINANCE(D1270,""CURRENCY"")=""GBX"",""GBP"",GOOGLEFINANCE(D1270,""CURRENCY"")))))),B1270)"),"")</f>
        <v/>
      </c>
      <c r="R1270" s="263" t="str">
        <f>IFERROR(__xludf.DUMMYFUNCTION("IF(ISBLANK(A1270),"""",IFERROR(IF(OR(Q1270=""GPB"",Q1270=""ZAR""),IF(Q1270=Dashboard!$L$1,K1270,(K1270*GOOGLEFINANCE(""CURRENCY:""&amp;Q1270&amp;""""&amp;Dashboard!$L$1&amp;""""))/100),IF(Q1270=Dashboard!$L$1,K1270,K1270*GOOGLEFINANCE(""CURRENCY:""&amp;Q1270&amp;""""&amp;Dashboard!$"&amp;"L$1&amp;""""))),K1270))"),"")</f>
        <v/>
      </c>
      <c r="S1270" s="266" t="str">
        <f>IFERROR(__xludf.DUMMYFUNCTION("IF(ISBLANK(A1270),"""",IFERROR(IF(OR(Q1270=""GPB"",Q1270=""ZAR""),IF(Q1270=Dashboard!$L$1,M1270,(M1270*GOOGLEFINANCE(""CURRENCY:""&amp;Q1270&amp;""""&amp;Dashboard!$L$1&amp;""""))/100),IF(Q1270=Dashboard!$L$1,M1270,M1270*GOOGLEFINANCE(""CURRENCY:""&amp;Q1270&amp;""""&amp;Dashboard!$"&amp;"L$1&amp;""""))),M1270))"),"")</f>
        <v/>
      </c>
      <c r="T1270" s="264" t="str">
        <f t="shared" si="4"/>
        <v/>
      </c>
      <c r="U1270" s="264" t="str">
        <f t="shared" si="5"/>
        <v/>
      </c>
      <c r="V1270" s="264" t="str">
        <f t="shared" si="6"/>
        <v/>
      </c>
      <c r="W1270" s="267" t="str">
        <f t="shared" si="8"/>
        <v/>
      </c>
      <c r="X1270" s="264" t="str">
        <f t="shared" si="7"/>
        <v/>
      </c>
    </row>
    <row r="1271" ht="15.75" customHeight="1">
      <c r="A1271" s="258"/>
      <c r="B1271" s="258"/>
      <c r="C1271" s="269"/>
      <c r="D1271" s="258"/>
      <c r="E1271" s="258"/>
      <c r="F1271" s="258"/>
      <c r="G1271" s="258"/>
      <c r="H1271" s="271"/>
      <c r="I1271" s="258"/>
      <c r="J1271" s="272"/>
      <c r="K1271" s="260"/>
      <c r="L1271" s="261"/>
      <c r="M1271" s="262" t="str">
        <f t="shared" si="1"/>
        <v/>
      </c>
      <c r="N1271" s="263" t="str">
        <f t="shared" si="2"/>
        <v/>
      </c>
      <c r="O1271" s="264" t="str">
        <f t="shared" si="3"/>
        <v/>
      </c>
      <c r="P1271" s="265" t="str">
        <f>IFERROR(__xludf.DUMMYFUNCTION("IF(ISBLANK(A1271),"""",IFERROR(IF(H1271=""Sell"",VLOOKUP(9^99,FILTER({ROW(P$2:P1270),P$2:P1270},D$2:D1270=D1271),2),(VLOOKUP(9^99,FILTER({ROW(P$2:P1270),P$2:P1270},D$2:D1270=D1271),2)*VLOOKUP(9^99,FILTER({ROW(O$2:O1270),O$2:O1270},D$2:D1270=D1271),2)-N127"&amp;"1)/O1271),J1271))"),"")</f>
        <v/>
      </c>
      <c r="Q1271" s="264" t="str">
        <f>IFERROR(__xludf.DUMMYFUNCTION("IFERROR(IF(F1271=""Crypto"",B1271,(IF(ISBLANK(D1271),"""",IF(D1271=""Cash"",B1271,IF(GOOGLEFINANCE(D1271,""CURRENCY"")=""GBX"",""GBP"",GOOGLEFINANCE(D1271,""CURRENCY"")))))),B1271)"),"")</f>
        <v/>
      </c>
      <c r="R1271" s="263" t="str">
        <f>IFERROR(__xludf.DUMMYFUNCTION("IF(ISBLANK(A1271),"""",IFERROR(IF(OR(Q1271=""GPB"",Q1271=""ZAR""),IF(Q1271=Dashboard!$L$1,K1271,(K1271*GOOGLEFINANCE(""CURRENCY:""&amp;Q1271&amp;""""&amp;Dashboard!$L$1&amp;""""))/100),IF(Q1271=Dashboard!$L$1,K1271,K1271*GOOGLEFINANCE(""CURRENCY:""&amp;Q1271&amp;""""&amp;Dashboard!$"&amp;"L$1&amp;""""))),K1271))"),"")</f>
        <v/>
      </c>
      <c r="S1271" s="266" t="str">
        <f>IFERROR(__xludf.DUMMYFUNCTION("IF(ISBLANK(A1271),"""",IFERROR(IF(OR(Q1271=""GPB"",Q1271=""ZAR""),IF(Q1271=Dashboard!$L$1,M1271,(M1271*GOOGLEFINANCE(""CURRENCY:""&amp;Q1271&amp;""""&amp;Dashboard!$L$1&amp;""""))/100),IF(Q1271=Dashboard!$L$1,M1271,M1271*GOOGLEFINANCE(""CURRENCY:""&amp;Q1271&amp;""""&amp;Dashboard!$"&amp;"L$1&amp;""""))),M1271))"),"")</f>
        <v/>
      </c>
      <c r="T1271" s="264" t="str">
        <f t="shared" si="4"/>
        <v/>
      </c>
      <c r="U1271" s="264" t="str">
        <f t="shared" si="5"/>
        <v/>
      </c>
      <c r="V1271" s="264" t="str">
        <f t="shared" si="6"/>
        <v/>
      </c>
      <c r="W1271" s="267" t="str">
        <f t="shared" si="8"/>
        <v/>
      </c>
      <c r="X1271" s="264" t="str">
        <f t="shared" si="7"/>
        <v/>
      </c>
    </row>
    <row r="1272" ht="15.75" customHeight="1">
      <c r="A1272" s="258"/>
      <c r="B1272" s="258"/>
      <c r="C1272" s="269"/>
      <c r="D1272" s="258"/>
      <c r="E1272" s="258"/>
      <c r="F1272" s="258"/>
      <c r="G1272" s="258"/>
      <c r="H1272" s="271"/>
      <c r="I1272" s="258"/>
      <c r="J1272" s="272"/>
      <c r="K1272" s="260"/>
      <c r="L1272" s="261"/>
      <c r="M1272" s="262" t="str">
        <f t="shared" si="1"/>
        <v/>
      </c>
      <c r="N1272" s="263" t="str">
        <f t="shared" si="2"/>
        <v/>
      </c>
      <c r="O1272" s="264" t="str">
        <f t="shared" si="3"/>
        <v/>
      </c>
      <c r="P1272" s="265" t="str">
        <f>IFERROR(__xludf.DUMMYFUNCTION("IF(ISBLANK(A1272),"""",IFERROR(IF(H1272=""Sell"",VLOOKUP(9^99,FILTER({ROW(P$2:P1271),P$2:P1271},D$2:D1271=D1272),2),(VLOOKUP(9^99,FILTER({ROW(P$2:P1271),P$2:P1271},D$2:D1271=D1272),2)*VLOOKUP(9^99,FILTER({ROW(O$2:O1271),O$2:O1271},D$2:D1271=D1272),2)-N127"&amp;"2)/O1272),J1272))"),"")</f>
        <v/>
      </c>
      <c r="Q1272" s="264" t="str">
        <f>IFERROR(__xludf.DUMMYFUNCTION("IFERROR(IF(F1272=""Crypto"",B1272,(IF(ISBLANK(D1272),"""",IF(D1272=""Cash"",B1272,IF(GOOGLEFINANCE(D1272,""CURRENCY"")=""GBX"",""GBP"",GOOGLEFINANCE(D1272,""CURRENCY"")))))),B1272)"),"")</f>
        <v/>
      </c>
      <c r="R1272" s="263" t="str">
        <f>IFERROR(__xludf.DUMMYFUNCTION("IF(ISBLANK(A1272),"""",IFERROR(IF(OR(Q1272=""GPB"",Q1272=""ZAR""),IF(Q1272=Dashboard!$L$1,K1272,(K1272*GOOGLEFINANCE(""CURRENCY:""&amp;Q1272&amp;""""&amp;Dashboard!$L$1&amp;""""))/100),IF(Q1272=Dashboard!$L$1,K1272,K1272*GOOGLEFINANCE(""CURRENCY:""&amp;Q1272&amp;""""&amp;Dashboard!$"&amp;"L$1&amp;""""))),K1272))"),"")</f>
        <v/>
      </c>
      <c r="S1272" s="266" t="str">
        <f>IFERROR(__xludf.DUMMYFUNCTION("IF(ISBLANK(A1272),"""",IFERROR(IF(OR(Q1272=""GPB"",Q1272=""ZAR""),IF(Q1272=Dashboard!$L$1,M1272,(M1272*GOOGLEFINANCE(""CURRENCY:""&amp;Q1272&amp;""""&amp;Dashboard!$L$1&amp;""""))/100),IF(Q1272=Dashboard!$L$1,M1272,M1272*GOOGLEFINANCE(""CURRENCY:""&amp;Q1272&amp;""""&amp;Dashboard!$"&amp;"L$1&amp;""""))),M1272))"),"")</f>
        <v/>
      </c>
      <c r="T1272" s="264" t="str">
        <f t="shared" si="4"/>
        <v/>
      </c>
      <c r="U1272" s="264" t="str">
        <f t="shared" si="5"/>
        <v/>
      </c>
      <c r="V1272" s="264" t="str">
        <f t="shared" si="6"/>
        <v/>
      </c>
      <c r="W1272" s="267" t="str">
        <f t="shared" si="8"/>
        <v/>
      </c>
      <c r="X1272" s="264" t="str">
        <f t="shared" si="7"/>
        <v/>
      </c>
    </row>
    <row r="1273" ht="15.75" customHeight="1">
      <c r="A1273" s="258"/>
      <c r="B1273" s="258"/>
      <c r="C1273" s="269"/>
      <c r="D1273" s="258"/>
      <c r="E1273" s="258"/>
      <c r="F1273" s="258"/>
      <c r="G1273" s="258"/>
      <c r="H1273" s="271"/>
      <c r="I1273" s="258"/>
      <c r="J1273" s="272"/>
      <c r="K1273" s="260"/>
      <c r="L1273" s="261"/>
      <c r="M1273" s="262" t="str">
        <f t="shared" si="1"/>
        <v/>
      </c>
      <c r="N1273" s="263" t="str">
        <f t="shared" si="2"/>
        <v/>
      </c>
      <c r="O1273" s="264" t="str">
        <f t="shared" si="3"/>
        <v/>
      </c>
      <c r="P1273" s="265" t="str">
        <f>IFERROR(__xludf.DUMMYFUNCTION("IF(ISBLANK(A1273),"""",IFERROR(IF(H1273=""Sell"",VLOOKUP(9^99,FILTER({ROW(P$2:P1272),P$2:P1272},D$2:D1272=D1273),2),(VLOOKUP(9^99,FILTER({ROW(P$2:P1272),P$2:P1272},D$2:D1272=D1273),2)*VLOOKUP(9^99,FILTER({ROW(O$2:O1272),O$2:O1272},D$2:D1272=D1273),2)-N127"&amp;"3)/O1273),J1273))"),"")</f>
        <v/>
      </c>
      <c r="Q1273" s="264" t="str">
        <f>IFERROR(__xludf.DUMMYFUNCTION("IFERROR(IF(F1273=""Crypto"",B1273,(IF(ISBLANK(D1273),"""",IF(D1273=""Cash"",B1273,IF(GOOGLEFINANCE(D1273,""CURRENCY"")=""GBX"",""GBP"",GOOGLEFINANCE(D1273,""CURRENCY"")))))),B1273)"),"")</f>
        <v/>
      </c>
      <c r="R1273" s="263" t="str">
        <f>IFERROR(__xludf.DUMMYFUNCTION("IF(ISBLANK(A1273),"""",IFERROR(IF(OR(Q1273=""GPB"",Q1273=""ZAR""),IF(Q1273=Dashboard!$L$1,K1273,(K1273*GOOGLEFINANCE(""CURRENCY:""&amp;Q1273&amp;""""&amp;Dashboard!$L$1&amp;""""))/100),IF(Q1273=Dashboard!$L$1,K1273,K1273*GOOGLEFINANCE(""CURRENCY:""&amp;Q1273&amp;""""&amp;Dashboard!$"&amp;"L$1&amp;""""))),K1273))"),"")</f>
        <v/>
      </c>
      <c r="S1273" s="266" t="str">
        <f>IFERROR(__xludf.DUMMYFUNCTION("IF(ISBLANK(A1273),"""",IFERROR(IF(OR(Q1273=""GPB"",Q1273=""ZAR""),IF(Q1273=Dashboard!$L$1,M1273,(M1273*GOOGLEFINANCE(""CURRENCY:""&amp;Q1273&amp;""""&amp;Dashboard!$L$1&amp;""""))/100),IF(Q1273=Dashboard!$L$1,M1273,M1273*GOOGLEFINANCE(""CURRENCY:""&amp;Q1273&amp;""""&amp;Dashboard!$"&amp;"L$1&amp;""""))),M1273))"),"")</f>
        <v/>
      </c>
      <c r="T1273" s="264" t="str">
        <f t="shared" si="4"/>
        <v/>
      </c>
      <c r="U1273" s="264" t="str">
        <f t="shared" si="5"/>
        <v/>
      </c>
      <c r="V1273" s="264" t="str">
        <f t="shared" si="6"/>
        <v/>
      </c>
      <c r="W1273" s="267" t="str">
        <f t="shared" si="8"/>
        <v/>
      </c>
      <c r="X1273" s="264" t="str">
        <f t="shared" si="7"/>
        <v/>
      </c>
    </row>
    <row r="1274" ht="15.75" customHeight="1">
      <c r="A1274" s="258"/>
      <c r="B1274" s="258"/>
      <c r="C1274" s="269"/>
      <c r="D1274" s="258"/>
      <c r="E1274" s="258"/>
      <c r="F1274" s="258"/>
      <c r="G1274" s="258"/>
      <c r="H1274" s="271"/>
      <c r="I1274" s="258"/>
      <c r="J1274" s="272"/>
      <c r="K1274" s="260"/>
      <c r="L1274" s="261"/>
      <c r="M1274" s="262" t="str">
        <f t="shared" si="1"/>
        <v/>
      </c>
      <c r="N1274" s="263" t="str">
        <f t="shared" si="2"/>
        <v/>
      </c>
      <c r="O1274" s="264" t="str">
        <f t="shared" si="3"/>
        <v/>
      </c>
      <c r="P1274" s="265" t="str">
        <f>IFERROR(__xludf.DUMMYFUNCTION("IF(ISBLANK(A1274),"""",IFERROR(IF(H1274=""Sell"",VLOOKUP(9^99,FILTER({ROW(P$2:P1273),P$2:P1273},D$2:D1273=D1274),2),(VLOOKUP(9^99,FILTER({ROW(P$2:P1273),P$2:P1273},D$2:D1273=D1274),2)*VLOOKUP(9^99,FILTER({ROW(O$2:O1273),O$2:O1273},D$2:D1273=D1274),2)-N127"&amp;"4)/O1274),J1274))"),"")</f>
        <v/>
      </c>
      <c r="Q1274" s="264" t="str">
        <f>IFERROR(__xludf.DUMMYFUNCTION("IFERROR(IF(F1274=""Crypto"",B1274,(IF(ISBLANK(D1274),"""",IF(D1274=""Cash"",B1274,IF(GOOGLEFINANCE(D1274,""CURRENCY"")=""GBX"",""GBP"",GOOGLEFINANCE(D1274,""CURRENCY"")))))),B1274)"),"")</f>
        <v/>
      </c>
      <c r="R1274" s="263" t="str">
        <f>IFERROR(__xludf.DUMMYFUNCTION("IF(ISBLANK(A1274),"""",IFERROR(IF(OR(Q1274=""GPB"",Q1274=""ZAR""),IF(Q1274=Dashboard!$L$1,K1274,(K1274*GOOGLEFINANCE(""CURRENCY:""&amp;Q1274&amp;""""&amp;Dashboard!$L$1&amp;""""))/100),IF(Q1274=Dashboard!$L$1,K1274,K1274*GOOGLEFINANCE(""CURRENCY:""&amp;Q1274&amp;""""&amp;Dashboard!$"&amp;"L$1&amp;""""))),K1274))"),"")</f>
        <v/>
      </c>
      <c r="S1274" s="266" t="str">
        <f>IFERROR(__xludf.DUMMYFUNCTION("IF(ISBLANK(A1274),"""",IFERROR(IF(OR(Q1274=""GPB"",Q1274=""ZAR""),IF(Q1274=Dashboard!$L$1,M1274,(M1274*GOOGLEFINANCE(""CURRENCY:""&amp;Q1274&amp;""""&amp;Dashboard!$L$1&amp;""""))/100),IF(Q1274=Dashboard!$L$1,M1274,M1274*GOOGLEFINANCE(""CURRENCY:""&amp;Q1274&amp;""""&amp;Dashboard!$"&amp;"L$1&amp;""""))),M1274))"),"")</f>
        <v/>
      </c>
      <c r="T1274" s="264" t="str">
        <f t="shared" si="4"/>
        <v/>
      </c>
      <c r="U1274" s="264" t="str">
        <f t="shared" si="5"/>
        <v/>
      </c>
      <c r="V1274" s="264" t="str">
        <f t="shared" si="6"/>
        <v/>
      </c>
      <c r="W1274" s="267" t="str">
        <f t="shared" si="8"/>
        <v/>
      </c>
      <c r="X1274" s="264" t="str">
        <f t="shared" si="7"/>
        <v/>
      </c>
    </row>
    <row r="1275" ht="15.75" customHeight="1">
      <c r="A1275" s="258"/>
      <c r="B1275" s="258"/>
      <c r="C1275" s="269"/>
      <c r="D1275" s="258"/>
      <c r="E1275" s="258"/>
      <c r="F1275" s="258"/>
      <c r="G1275" s="258"/>
      <c r="H1275" s="271"/>
      <c r="I1275" s="258"/>
      <c r="J1275" s="272"/>
      <c r="K1275" s="260"/>
      <c r="L1275" s="261"/>
      <c r="M1275" s="262" t="str">
        <f t="shared" si="1"/>
        <v/>
      </c>
      <c r="N1275" s="263" t="str">
        <f t="shared" si="2"/>
        <v/>
      </c>
      <c r="O1275" s="264" t="str">
        <f t="shared" si="3"/>
        <v/>
      </c>
      <c r="P1275" s="265" t="str">
        <f>IFERROR(__xludf.DUMMYFUNCTION("IF(ISBLANK(A1275),"""",IFERROR(IF(H1275=""Sell"",VLOOKUP(9^99,FILTER({ROW(P$2:P1274),P$2:P1274},D$2:D1274=D1275),2),(VLOOKUP(9^99,FILTER({ROW(P$2:P1274),P$2:P1274},D$2:D1274=D1275),2)*VLOOKUP(9^99,FILTER({ROW(O$2:O1274),O$2:O1274},D$2:D1274=D1275),2)-N127"&amp;"5)/O1275),J1275))"),"")</f>
        <v/>
      </c>
      <c r="Q1275" s="264" t="str">
        <f>IFERROR(__xludf.DUMMYFUNCTION("IFERROR(IF(F1275=""Crypto"",B1275,(IF(ISBLANK(D1275),"""",IF(D1275=""Cash"",B1275,IF(GOOGLEFINANCE(D1275,""CURRENCY"")=""GBX"",""GBP"",GOOGLEFINANCE(D1275,""CURRENCY"")))))),B1275)"),"")</f>
        <v/>
      </c>
      <c r="R1275" s="263" t="str">
        <f>IFERROR(__xludf.DUMMYFUNCTION("IF(ISBLANK(A1275),"""",IFERROR(IF(OR(Q1275=""GPB"",Q1275=""ZAR""),IF(Q1275=Dashboard!$L$1,K1275,(K1275*GOOGLEFINANCE(""CURRENCY:""&amp;Q1275&amp;""""&amp;Dashboard!$L$1&amp;""""))/100),IF(Q1275=Dashboard!$L$1,K1275,K1275*GOOGLEFINANCE(""CURRENCY:""&amp;Q1275&amp;""""&amp;Dashboard!$"&amp;"L$1&amp;""""))),K1275))"),"")</f>
        <v/>
      </c>
      <c r="S1275" s="266" t="str">
        <f>IFERROR(__xludf.DUMMYFUNCTION("IF(ISBLANK(A1275),"""",IFERROR(IF(OR(Q1275=""GPB"",Q1275=""ZAR""),IF(Q1275=Dashboard!$L$1,M1275,(M1275*GOOGLEFINANCE(""CURRENCY:""&amp;Q1275&amp;""""&amp;Dashboard!$L$1&amp;""""))/100),IF(Q1275=Dashboard!$L$1,M1275,M1275*GOOGLEFINANCE(""CURRENCY:""&amp;Q1275&amp;""""&amp;Dashboard!$"&amp;"L$1&amp;""""))),M1275))"),"")</f>
        <v/>
      </c>
      <c r="T1275" s="264" t="str">
        <f t="shared" si="4"/>
        <v/>
      </c>
      <c r="U1275" s="264" t="str">
        <f t="shared" si="5"/>
        <v/>
      </c>
      <c r="V1275" s="264" t="str">
        <f t="shared" si="6"/>
        <v/>
      </c>
      <c r="W1275" s="267" t="str">
        <f t="shared" si="8"/>
        <v/>
      </c>
      <c r="X1275" s="264" t="str">
        <f t="shared" si="7"/>
        <v/>
      </c>
    </row>
    <row r="1276" ht="15.75" customHeight="1">
      <c r="A1276" s="258"/>
      <c r="B1276" s="258"/>
      <c r="C1276" s="269"/>
      <c r="D1276" s="258"/>
      <c r="E1276" s="258"/>
      <c r="F1276" s="258"/>
      <c r="G1276" s="258"/>
      <c r="H1276" s="271"/>
      <c r="I1276" s="258"/>
      <c r="J1276" s="272"/>
      <c r="K1276" s="260"/>
      <c r="L1276" s="261"/>
      <c r="M1276" s="262" t="str">
        <f t="shared" si="1"/>
        <v/>
      </c>
      <c r="N1276" s="263" t="str">
        <f t="shared" si="2"/>
        <v/>
      </c>
      <c r="O1276" s="264" t="str">
        <f t="shared" si="3"/>
        <v/>
      </c>
      <c r="P1276" s="265" t="str">
        <f>IFERROR(__xludf.DUMMYFUNCTION("IF(ISBLANK(A1276),"""",IFERROR(IF(H1276=""Sell"",VLOOKUP(9^99,FILTER({ROW(P$2:P1275),P$2:P1275},D$2:D1275=D1276),2),(VLOOKUP(9^99,FILTER({ROW(P$2:P1275),P$2:P1275},D$2:D1275=D1276),2)*VLOOKUP(9^99,FILTER({ROW(O$2:O1275),O$2:O1275},D$2:D1275=D1276),2)-N127"&amp;"6)/O1276),J1276))"),"")</f>
        <v/>
      </c>
      <c r="Q1276" s="264" t="str">
        <f>IFERROR(__xludf.DUMMYFUNCTION("IFERROR(IF(F1276=""Crypto"",B1276,(IF(ISBLANK(D1276),"""",IF(D1276=""Cash"",B1276,IF(GOOGLEFINANCE(D1276,""CURRENCY"")=""GBX"",""GBP"",GOOGLEFINANCE(D1276,""CURRENCY"")))))),B1276)"),"")</f>
        <v/>
      </c>
      <c r="R1276" s="263" t="str">
        <f>IFERROR(__xludf.DUMMYFUNCTION("IF(ISBLANK(A1276),"""",IFERROR(IF(OR(Q1276=""GPB"",Q1276=""ZAR""),IF(Q1276=Dashboard!$L$1,K1276,(K1276*GOOGLEFINANCE(""CURRENCY:""&amp;Q1276&amp;""""&amp;Dashboard!$L$1&amp;""""))/100),IF(Q1276=Dashboard!$L$1,K1276,K1276*GOOGLEFINANCE(""CURRENCY:""&amp;Q1276&amp;""""&amp;Dashboard!$"&amp;"L$1&amp;""""))),K1276))"),"")</f>
        <v/>
      </c>
      <c r="S1276" s="266" t="str">
        <f>IFERROR(__xludf.DUMMYFUNCTION("IF(ISBLANK(A1276),"""",IFERROR(IF(OR(Q1276=""GPB"",Q1276=""ZAR""),IF(Q1276=Dashboard!$L$1,M1276,(M1276*GOOGLEFINANCE(""CURRENCY:""&amp;Q1276&amp;""""&amp;Dashboard!$L$1&amp;""""))/100),IF(Q1276=Dashboard!$L$1,M1276,M1276*GOOGLEFINANCE(""CURRENCY:""&amp;Q1276&amp;""""&amp;Dashboard!$"&amp;"L$1&amp;""""))),M1276))"),"")</f>
        <v/>
      </c>
      <c r="T1276" s="264" t="str">
        <f t="shared" si="4"/>
        <v/>
      </c>
      <c r="U1276" s="264" t="str">
        <f t="shared" si="5"/>
        <v/>
      </c>
      <c r="V1276" s="264" t="str">
        <f t="shared" si="6"/>
        <v/>
      </c>
      <c r="W1276" s="267" t="str">
        <f t="shared" si="8"/>
        <v/>
      </c>
      <c r="X1276" s="264" t="str">
        <f t="shared" si="7"/>
        <v/>
      </c>
    </row>
    <row r="1277" ht="15.75" customHeight="1">
      <c r="A1277" s="258"/>
      <c r="B1277" s="258"/>
      <c r="C1277" s="269"/>
      <c r="D1277" s="258"/>
      <c r="E1277" s="258"/>
      <c r="F1277" s="258"/>
      <c r="G1277" s="258"/>
      <c r="H1277" s="271"/>
      <c r="I1277" s="258"/>
      <c r="J1277" s="272"/>
      <c r="K1277" s="260"/>
      <c r="L1277" s="261"/>
      <c r="M1277" s="262" t="str">
        <f t="shared" si="1"/>
        <v/>
      </c>
      <c r="N1277" s="263" t="str">
        <f t="shared" si="2"/>
        <v/>
      </c>
      <c r="O1277" s="264" t="str">
        <f t="shared" si="3"/>
        <v/>
      </c>
      <c r="P1277" s="265" t="str">
        <f>IFERROR(__xludf.DUMMYFUNCTION("IF(ISBLANK(A1277),"""",IFERROR(IF(H1277=""Sell"",VLOOKUP(9^99,FILTER({ROW(P$2:P1276),P$2:P1276},D$2:D1276=D1277),2),(VLOOKUP(9^99,FILTER({ROW(P$2:P1276),P$2:P1276},D$2:D1276=D1277),2)*VLOOKUP(9^99,FILTER({ROW(O$2:O1276),O$2:O1276},D$2:D1276=D1277),2)-N127"&amp;"7)/O1277),J1277))"),"")</f>
        <v/>
      </c>
      <c r="Q1277" s="264" t="str">
        <f>IFERROR(__xludf.DUMMYFUNCTION("IFERROR(IF(F1277=""Crypto"",B1277,(IF(ISBLANK(D1277),"""",IF(D1277=""Cash"",B1277,IF(GOOGLEFINANCE(D1277,""CURRENCY"")=""GBX"",""GBP"",GOOGLEFINANCE(D1277,""CURRENCY"")))))),B1277)"),"")</f>
        <v/>
      </c>
      <c r="R1277" s="263" t="str">
        <f>IFERROR(__xludf.DUMMYFUNCTION("IF(ISBLANK(A1277),"""",IFERROR(IF(OR(Q1277=""GPB"",Q1277=""ZAR""),IF(Q1277=Dashboard!$L$1,K1277,(K1277*GOOGLEFINANCE(""CURRENCY:""&amp;Q1277&amp;""""&amp;Dashboard!$L$1&amp;""""))/100),IF(Q1277=Dashboard!$L$1,K1277,K1277*GOOGLEFINANCE(""CURRENCY:""&amp;Q1277&amp;""""&amp;Dashboard!$"&amp;"L$1&amp;""""))),K1277))"),"")</f>
        <v/>
      </c>
      <c r="S1277" s="266" t="str">
        <f>IFERROR(__xludf.DUMMYFUNCTION("IF(ISBLANK(A1277),"""",IFERROR(IF(OR(Q1277=""GPB"",Q1277=""ZAR""),IF(Q1277=Dashboard!$L$1,M1277,(M1277*GOOGLEFINANCE(""CURRENCY:""&amp;Q1277&amp;""""&amp;Dashboard!$L$1&amp;""""))/100),IF(Q1277=Dashboard!$L$1,M1277,M1277*GOOGLEFINANCE(""CURRENCY:""&amp;Q1277&amp;""""&amp;Dashboard!$"&amp;"L$1&amp;""""))),M1277))"),"")</f>
        <v/>
      </c>
      <c r="T1277" s="264" t="str">
        <f t="shared" si="4"/>
        <v/>
      </c>
      <c r="U1277" s="264" t="str">
        <f t="shared" si="5"/>
        <v/>
      </c>
      <c r="V1277" s="264" t="str">
        <f t="shared" si="6"/>
        <v/>
      </c>
      <c r="W1277" s="267" t="str">
        <f t="shared" si="8"/>
        <v/>
      </c>
      <c r="X1277" s="264" t="str">
        <f t="shared" si="7"/>
        <v/>
      </c>
    </row>
    <row r="1278" ht="15.75" customHeight="1">
      <c r="A1278" s="258"/>
      <c r="B1278" s="258"/>
      <c r="C1278" s="269"/>
      <c r="D1278" s="258"/>
      <c r="E1278" s="258"/>
      <c r="F1278" s="258"/>
      <c r="G1278" s="258"/>
      <c r="H1278" s="271"/>
      <c r="I1278" s="258"/>
      <c r="J1278" s="272"/>
      <c r="K1278" s="260"/>
      <c r="L1278" s="261"/>
      <c r="M1278" s="262" t="str">
        <f t="shared" si="1"/>
        <v/>
      </c>
      <c r="N1278" s="263" t="str">
        <f t="shared" si="2"/>
        <v/>
      </c>
      <c r="O1278" s="264" t="str">
        <f t="shared" si="3"/>
        <v/>
      </c>
      <c r="P1278" s="265" t="str">
        <f>IFERROR(__xludf.DUMMYFUNCTION("IF(ISBLANK(A1278),"""",IFERROR(IF(H1278=""Sell"",VLOOKUP(9^99,FILTER({ROW(P$2:P1277),P$2:P1277},D$2:D1277=D1278),2),(VLOOKUP(9^99,FILTER({ROW(P$2:P1277),P$2:P1277},D$2:D1277=D1278),2)*VLOOKUP(9^99,FILTER({ROW(O$2:O1277),O$2:O1277},D$2:D1277=D1278),2)-N127"&amp;"8)/O1278),J1278))"),"")</f>
        <v/>
      </c>
      <c r="Q1278" s="264" t="str">
        <f>IFERROR(__xludf.DUMMYFUNCTION("IFERROR(IF(F1278=""Crypto"",B1278,(IF(ISBLANK(D1278),"""",IF(D1278=""Cash"",B1278,IF(GOOGLEFINANCE(D1278,""CURRENCY"")=""GBX"",""GBP"",GOOGLEFINANCE(D1278,""CURRENCY"")))))),B1278)"),"")</f>
        <v/>
      </c>
      <c r="R1278" s="263" t="str">
        <f>IFERROR(__xludf.DUMMYFUNCTION("IF(ISBLANK(A1278),"""",IFERROR(IF(OR(Q1278=""GPB"",Q1278=""ZAR""),IF(Q1278=Dashboard!$L$1,K1278,(K1278*GOOGLEFINANCE(""CURRENCY:""&amp;Q1278&amp;""""&amp;Dashboard!$L$1&amp;""""))/100),IF(Q1278=Dashboard!$L$1,K1278,K1278*GOOGLEFINANCE(""CURRENCY:""&amp;Q1278&amp;""""&amp;Dashboard!$"&amp;"L$1&amp;""""))),K1278))"),"")</f>
        <v/>
      </c>
      <c r="S1278" s="266" t="str">
        <f>IFERROR(__xludf.DUMMYFUNCTION("IF(ISBLANK(A1278),"""",IFERROR(IF(OR(Q1278=""GPB"",Q1278=""ZAR""),IF(Q1278=Dashboard!$L$1,M1278,(M1278*GOOGLEFINANCE(""CURRENCY:""&amp;Q1278&amp;""""&amp;Dashboard!$L$1&amp;""""))/100),IF(Q1278=Dashboard!$L$1,M1278,M1278*GOOGLEFINANCE(""CURRENCY:""&amp;Q1278&amp;""""&amp;Dashboard!$"&amp;"L$1&amp;""""))),M1278))"),"")</f>
        <v/>
      </c>
      <c r="T1278" s="264" t="str">
        <f t="shared" si="4"/>
        <v/>
      </c>
      <c r="U1278" s="264" t="str">
        <f t="shared" si="5"/>
        <v/>
      </c>
      <c r="V1278" s="264" t="str">
        <f t="shared" si="6"/>
        <v/>
      </c>
      <c r="W1278" s="267" t="str">
        <f t="shared" si="8"/>
        <v/>
      </c>
      <c r="X1278" s="264" t="str">
        <f t="shared" si="7"/>
        <v/>
      </c>
    </row>
    <row r="1279" ht="15.75" customHeight="1">
      <c r="A1279" s="258"/>
      <c r="B1279" s="258"/>
      <c r="C1279" s="269"/>
      <c r="D1279" s="258"/>
      <c r="E1279" s="258"/>
      <c r="F1279" s="258"/>
      <c r="G1279" s="258"/>
      <c r="H1279" s="271"/>
      <c r="I1279" s="258"/>
      <c r="J1279" s="272"/>
      <c r="K1279" s="260"/>
      <c r="L1279" s="261"/>
      <c r="M1279" s="262" t="str">
        <f t="shared" si="1"/>
        <v/>
      </c>
      <c r="N1279" s="263" t="str">
        <f t="shared" si="2"/>
        <v/>
      </c>
      <c r="O1279" s="264" t="str">
        <f t="shared" si="3"/>
        <v/>
      </c>
      <c r="P1279" s="265" t="str">
        <f>IFERROR(__xludf.DUMMYFUNCTION("IF(ISBLANK(A1279),"""",IFERROR(IF(H1279=""Sell"",VLOOKUP(9^99,FILTER({ROW(P$2:P1278),P$2:P1278},D$2:D1278=D1279),2),(VLOOKUP(9^99,FILTER({ROW(P$2:P1278),P$2:P1278},D$2:D1278=D1279),2)*VLOOKUP(9^99,FILTER({ROW(O$2:O1278),O$2:O1278},D$2:D1278=D1279),2)-N127"&amp;"9)/O1279),J1279))"),"")</f>
        <v/>
      </c>
      <c r="Q1279" s="264" t="str">
        <f>IFERROR(__xludf.DUMMYFUNCTION("IFERROR(IF(F1279=""Crypto"",B1279,(IF(ISBLANK(D1279),"""",IF(D1279=""Cash"",B1279,IF(GOOGLEFINANCE(D1279,""CURRENCY"")=""GBX"",""GBP"",GOOGLEFINANCE(D1279,""CURRENCY"")))))),B1279)"),"")</f>
        <v/>
      </c>
      <c r="R1279" s="263" t="str">
        <f>IFERROR(__xludf.DUMMYFUNCTION("IF(ISBLANK(A1279),"""",IFERROR(IF(OR(Q1279=""GPB"",Q1279=""ZAR""),IF(Q1279=Dashboard!$L$1,K1279,(K1279*GOOGLEFINANCE(""CURRENCY:""&amp;Q1279&amp;""""&amp;Dashboard!$L$1&amp;""""))/100),IF(Q1279=Dashboard!$L$1,K1279,K1279*GOOGLEFINANCE(""CURRENCY:""&amp;Q1279&amp;""""&amp;Dashboard!$"&amp;"L$1&amp;""""))),K1279))"),"")</f>
        <v/>
      </c>
      <c r="S1279" s="266" t="str">
        <f>IFERROR(__xludf.DUMMYFUNCTION("IF(ISBLANK(A1279),"""",IFERROR(IF(OR(Q1279=""GPB"",Q1279=""ZAR""),IF(Q1279=Dashboard!$L$1,M1279,(M1279*GOOGLEFINANCE(""CURRENCY:""&amp;Q1279&amp;""""&amp;Dashboard!$L$1&amp;""""))/100),IF(Q1279=Dashboard!$L$1,M1279,M1279*GOOGLEFINANCE(""CURRENCY:""&amp;Q1279&amp;""""&amp;Dashboard!$"&amp;"L$1&amp;""""))),M1279))"),"")</f>
        <v/>
      </c>
      <c r="T1279" s="264" t="str">
        <f t="shared" si="4"/>
        <v/>
      </c>
      <c r="U1279" s="264" t="str">
        <f t="shared" si="5"/>
        <v/>
      </c>
      <c r="V1279" s="264" t="str">
        <f t="shared" si="6"/>
        <v/>
      </c>
      <c r="W1279" s="267" t="str">
        <f t="shared" si="8"/>
        <v/>
      </c>
      <c r="X1279" s="264" t="str">
        <f t="shared" si="7"/>
        <v/>
      </c>
    </row>
    <row r="1280" ht="15.75" customHeight="1">
      <c r="A1280" s="258"/>
      <c r="B1280" s="258"/>
      <c r="C1280" s="269"/>
      <c r="D1280" s="258"/>
      <c r="E1280" s="258"/>
      <c r="F1280" s="258"/>
      <c r="G1280" s="258"/>
      <c r="H1280" s="271"/>
      <c r="I1280" s="258"/>
      <c r="J1280" s="272"/>
      <c r="K1280" s="260"/>
      <c r="L1280" s="261"/>
      <c r="M1280" s="262" t="str">
        <f t="shared" si="1"/>
        <v/>
      </c>
      <c r="N1280" s="263" t="str">
        <f t="shared" si="2"/>
        <v/>
      </c>
      <c r="O1280" s="264" t="str">
        <f t="shared" si="3"/>
        <v/>
      </c>
      <c r="P1280" s="265" t="str">
        <f>IFERROR(__xludf.DUMMYFUNCTION("IF(ISBLANK(A1280),"""",IFERROR(IF(H1280=""Sell"",VLOOKUP(9^99,FILTER({ROW(P$2:P1279),P$2:P1279},D$2:D1279=D1280),2),(VLOOKUP(9^99,FILTER({ROW(P$2:P1279),P$2:P1279},D$2:D1279=D1280),2)*VLOOKUP(9^99,FILTER({ROW(O$2:O1279),O$2:O1279},D$2:D1279=D1280),2)-N128"&amp;"0)/O1280),J1280))"),"")</f>
        <v/>
      </c>
      <c r="Q1280" s="264" t="str">
        <f>IFERROR(__xludf.DUMMYFUNCTION("IFERROR(IF(F1280=""Crypto"",B1280,(IF(ISBLANK(D1280),"""",IF(D1280=""Cash"",B1280,IF(GOOGLEFINANCE(D1280,""CURRENCY"")=""GBX"",""GBP"",GOOGLEFINANCE(D1280,""CURRENCY"")))))),B1280)"),"")</f>
        <v/>
      </c>
      <c r="R1280" s="263" t="str">
        <f>IFERROR(__xludf.DUMMYFUNCTION("IF(ISBLANK(A1280),"""",IFERROR(IF(OR(Q1280=""GPB"",Q1280=""ZAR""),IF(Q1280=Dashboard!$L$1,K1280,(K1280*GOOGLEFINANCE(""CURRENCY:""&amp;Q1280&amp;""""&amp;Dashboard!$L$1&amp;""""))/100),IF(Q1280=Dashboard!$L$1,K1280,K1280*GOOGLEFINANCE(""CURRENCY:""&amp;Q1280&amp;""""&amp;Dashboard!$"&amp;"L$1&amp;""""))),K1280))"),"")</f>
        <v/>
      </c>
      <c r="S1280" s="266" t="str">
        <f>IFERROR(__xludf.DUMMYFUNCTION("IF(ISBLANK(A1280),"""",IFERROR(IF(OR(Q1280=""GPB"",Q1280=""ZAR""),IF(Q1280=Dashboard!$L$1,M1280,(M1280*GOOGLEFINANCE(""CURRENCY:""&amp;Q1280&amp;""""&amp;Dashboard!$L$1&amp;""""))/100),IF(Q1280=Dashboard!$L$1,M1280,M1280*GOOGLEFINANCE(""CURRENCY:""&amp;Q1280&amp;""""&amp;Dashboard!$"&amp;"L$1&amp;""""))),M1280))"),"")</f>
        <v/>
      </c>
      <c r="T1280" s="264" t="str">
        <f t="shared" si="4"/>
        <v/>
      </c>
      <c r="U1280" s="264" t="str">
        <f t="shared" si="5"/>
        <v/>
      </c>
      <c r="V1280" s="264" t="str">
        <f t="shared" si="6"/>
        <v/>
      </c>
      <c r="W1280" s="267" t="str">
        <f t="shared" si="8"/>
        <v/>
      </c>
      <c r="X1280" s="264" t="str">
        <f t="shared" si="7"/>
        <v/>
      </c>
    </row>
    <row r="1281" ht="15.75" customHeight="1">
      <c r="A1281" s="258"/>
      <c r="B1281" s="258"/>
      <c r="C1281" s="269"/>
      <c r="D1281" s="258"/>
      <c r="E1281" s="258"/>
      <c r="F1281" s="258"/>
      <c r="G1281" s="258"/>
      <c r="H1281" s="271"/>
      <c r="I1281" s="258"/>
      <c r="J1281" s="272"/>
      <c r="K1281" s="260"/>
      <c r="L1281" s="261"/>
      <c r="M1281" s="262" t="str">
        <f t="shared" si="1"/>
        <v/>
      </c>
      <c r="N1281" s="263" t="str">
        <f t="shared" si="2"/>
        <v/>
      </c>
      <c r="O1281" s="264" t="str">
        <f t="shared" si="3"/>
        <v/>
      </c>
      <c r="P1281" s="265" t="str">
        <f>IFERROR(__xludf.DUMMYFUNCTION("IF(ISBLANK(A1281),"""",IFERROR(IF(H1281=""Sell"",VLOOKUP(9^99,FILTER({ROW(P$2:P1280),P$2:P1280},D$2:D1280=D1281),2),(VLOOKUP(9^99,FILTER({ROW(P$2:P1280),P$2:P1280},D$2:D1280=D1281),2)*VLOOKUP(9^99,FILTER({ROW(O$2:O1280),O$2:O1280},D$2:D1280=D1281),2)-N128"&amp;"1)/O1281),J1281))"),"")</f>
        <v/>
      </c>
      <c r="Q1281" s="264" t="str">
        <f>IFERROR(__xludf.DUMMYFUNCTION("IFERROR(IF(F1281=""Crypto"",B1281,(IF(ISBLANK(D1281),"""",IF(D1281=""Cash"",B1281,IF(GOOGLEFINANCE(D1281,""CURRENCY"")=""GBX"",""GBP"",GOOGLEFINANCE(D1281,""CURRENCY"")))))),B1281)"),"")</f>
        <v/>
      </c>
      <c r="R1281" s="263" t="str">
        <f>IFERROR(__xludf.DUMMYFUNCTION("IF(ISBLANK(A1281),"""",IFERROR(IF(OR(Q1281=""GPB"",Q1281=""ZAR""),IF(Q1281=Dashboard!$L$1,K1281,(K1281*GOOGLEFINANCE(""CURRENCY:""&amp;Q1281&amp;""""&amp;Dashboard!$L$1&amp;""""))/100),IF(Q1281=Dashboard!$L$1,K1281,K1281*GOOGLEFINANCE(""CURRENCY:""&amp;Q1281&amp;""""&amp;Dashboard!$"&amp;"L$1&amp;""""))),K1281))"),"")</f>
        <v/>
      </c>
      <c r="S1281" s="266" t="str">
        <f>IFERROR(__xludf.DUMMYFUNCTION("IF(ISBLANK(A1281),"""",IFERROR(IF(OR(Q1281=""GPB"",Q1281=""ZAR""),IF(Q1281=Dashboard!$L$1,M1281,(M1281*GOOGLEFINANCE(""CURRENCY:""&amp;Q1281&amp;""""&amp;Dashboard!$L$1&amp;""""))/100),IF(Q1281=Dashboard!$L$1,M1281,M1281*GOOGLEFINANCE(""CURRENCY:""&amp;Q1281&amp;""""&amp;Dashboard!$"&amp;"L$1&amp;""""))),M1281))"),"")</f>
        <v/>
      </c>
      <c r="T1281" s="264" t="str">
        <f t="shared" si="4"/>
        <v/>
      </c>
      <c r="U1281" s="264" t="str">
        <f t="shared" si="5"/>
        <v/>
      </c>
      <c r="V1281" s="264" t="str">
        <f t="shared" si="6"/>
        <v/>
      </c>
      <c r="W1281" s="267" t="str">
        <f t="shared" si="8"/>
        <v/>
      </c>
      <c r="X1281" s="264" t="str">
        <f t="shared" si="7"/>
        <v/>
      </c>
    </row>
    <row r="1282" ht="15.75" customHeight="1">
      <c r="A1282" s="258"/>
      <c r="B1282" s="258"/>
      <c r="C1282" s="269"/>
      <c r="D1282" s="258"/>
      <c r="E1282" s="258"/>
      <c r="F1282" s="258"/>
      <c r="G1282" s="258"/>
      <c r="H1282" s="271"/>
      <c r="I1282" s="258"/>
      <c r="J1282" s="272"/>
      <c r="K1282" s="260"/>
      <c r="L1282" s="261"/>
      <c r="M1282" s="262" t="str">
        <f t="shared" si="1"/>
        <v/>
      </c>
      <c r="N1282" s="263" t="str">
        <f t="shared" si="2"/>
        <v/>
      </c>
      <c r="O1282" s="264" t="str">
        <f t="shared" si="3"/>
        <v/>
      </c>
      <c r="P1282" s="265" t="str">
        <f>IFERROR(__xludf.DUMMYFUNCTION("IF(ISBLANK(A1282),"""",IFERROR(IF(H1282=""Sell"",VLOOKUP(9^99,FILTER({ROW(P$2:P1281),P$2:P1281},D$2:D1281=D1282),2),(VLOOKUP(9^99,FILTER({ROW(P$2:P1281),P$2:P1281},D$2:D1281=D1282),2)*VLOOKUP(9^99,FILTER({ROW(O$2:O1281),O$2:O1281},D$2:D1281=D1282),2)-N128"&amp;"2)/O1282),J1282))"),"")</f>
        <v/>
      </c>
      <c r="Q1282" s="264" t="str">
        <f>IFERROR(__xludf.DUMMYFUNCTION("IFERROR(IF(F1282=""Crypto"",B1282,(IF(ISBLANK(D1282),"""",IF(D1282=""Cash"",B1282,IF(GOOGLEFINANCE(D1282,""CURRENCY"")=""GBX"",""GBP"",GOOGLEFINANCE(D1282,""CURRENCY"")))))),B1282)"),"")</f>
        <v/>
      </c>
      <c r="R1282" s="263" t="str">
        <f>IFERROR(__xludf.DUMMYFUNCTION("IF(ISBLANK(A1282),"""",IFERROR(IF(OR(Q1282=""GPB"",Q1282=""ZAR""),IF(Q1282=Dashboard!$L$1,K1282,(K1282*GOOGLEFINANCE(""CURRENCY:""&amp;Q1282&amp;""""&amp;Dashboard!$L$1&amp;""""))/100),IF(Q1282=Dashboard!$L$1,K1282,K1282*GOOGLEFINANCE(""CURRENCY:""&amp;Q1282&amp;""""&amp;Dashboard!$"&amp;"L$1&amp;""""))),K1282))"),"")</f>
        <v/>
      </c>
      <c r="S1282" s="266" t="str">
        <f>IFERROR(__xludf.DUMMYFUNCTION("IF(ISBLANK(A1282),"""",IFERROR(IF(OR(Q1282=""GPB"",Q1282=""ZAR""),IF(Q1282=Dashboard!$L$1,M1282,(M1282*GOOGLEFINANCE(""CURRENCY:""&amp;Q1282&amp;""""&amp;Dashboard!$L$1&amp;""""))/100),IF(Q1282=Dashboard!$L$1,M1282,M1282*GOOGLEFINANCE(""CURRENCY:""&amp;Q1282&amp;""""&amp;Dashboard!$"&amp;"L$1&amp;""""))),M1282))"),"")</f>
        <v/>
      </c>
      <c r="T1282" s="264" t="str">
        <f t="shared" si="4"/>
        <v/>
      </c>
      <c r="U1282" s="264" t="str">
        <f t="shared" si="5"/>
        <v/>
      </c>
      <c r="V1282" s="264" t="str">
        <f t="shared" si="6"/>
        <v/>
      </c>
      <c r="W1282" s="267" t="str">
        <f t="shared" si="8"/>
        <v/>
      </c>
      <c r="X1282" s="264" t="str">
        <f t="shared" si="7"/>
        <v/>
      </c>
    </row>
    <row r="1283" ht="15.75" customHeight="1">
      <c r="A1283" s="258"/>
      <c r="B1283" s="258"/>
      <c r="C1283" s="269"/>
      <c r="D1283" s="258"/>
      <c r="E1283" s="258"/>
      <c r="F1283" s="258"/>
      <c r="G1283" s="258"/>
      <c r="H1283" s="271"/>
      <c r="I1283" s="258"/>
      <c r="J1283" s="272"/>
      <c r="K1283" s="260"/>
      <c r="L1283" s="261"/>
      <c r="M1283" s="262" t="str">
        <f t="shared" si="1"/>
        <v/>
      </c>
      <c r="N1283" s="263" t="str">
        <f t="shared" si="2"/>
        <v/>
      </c>
      <c r="O1283" s="264" t="str">
        <f t="shared" si="3"/>
        <v/>
      </c>
      <c r="P1283" s="265" t="str">
        <f>IFERROR(__xludf.DUMMYFUNCTION("IF(ISBLANK(A1283),"""",IFERROR(IF(H1283=""Sell"",VLOOKUP(9^99,FILTER({ROW(P$2:P1282),P$2:P1282},D$2:D1282=D1283),2),(VLOOKUP(9^99,FILTER({ROW(P$2:P1282),P$2:P1282},D$2:D1282=D1283),2)*VLOOKUP(9^99,FILTER({ROW(O$2:O1282),O$2:O1282},D$2:D1282=D1283),2)-N128"&amp;"3)/O1283),J1283))"),"")</f>
        <v/>
      </c>
      <c r="Q1283" s="264" t="str">
        <f>IFERROR(__xludf.DUMMYFUNCTION("IFERROR(IF(F1283=""Crypto"",B1283,(IF(ISBLANK(D1283),"""",IF(D1283=""Cash"",B1283,IF(GOOGLEFINANCE(D1283,""CURRENCY"")=""GBX"",""GBP"",GOOGLEFINANCE(D1283,""CURRENCY"")))))),B1283)"),"")</f>
        <v/>
      </c>
      <c r="R1283" s="263" t="str">
        <f>IFERROR(__xludf.DUMMYFUNCTION("IF(ISBLANK(A1283),"""",IFERROR(IF(OR(Q1283=""GPB"",Q1283=""ZAR""),IF(Q1283=Dashboard!$L$1,K1283,(K1283*GOOGLEFINANCE(""CURRENCY:""&amp;Q1283&amp;""""&amp;Dashboard!$L$1&amp;""""))/100),IF(Q1283=Dashboard!$L$1,K1283,K1283*GOOGLEFINANCE(""CURRENCY:""&amp;Q1283&amp;""""&amp;Dashboard!$"&amp;"L$1&amp;""""))),K1283))"),"")</f>
        <v/>
      </c>
      <c r="S1283" s="266" t="str">
        <f>IFERROR(__xludf.DUMMYFUNCTION("IF(ISBLANK(A1283),"""",IFERROR(IF(OR(Q1283=""GPB"",Q1283=""ZAR""),IF(Q1283=Dashboard!$L$1,M1283,(M1283*GOOGLEFINANCE(""CURRENCY:""&amp;Q1283&amp;""""&amp;Dashboard!$L$1&amp;""""))/100),IF(Q1283=Dashboard!$L$1,M1283,M1283*GOOGLEFINANCE(""CURRENCY:""&amp;Q1283&amp;""""&amp;Dashboard!$"&amp;"L$1&amp;""""))),M1283))"),"")</f>
        <v/>
      </c>
      <c r="T1283" s="264" t="str">
        <f t="shared" si="4"/>
        <v/>
      </c>
      <c r="U1283" s="264" t="str">
        <f t="shared" si="5"/>
        <v/>
      </c>
      <c r="V1283" s="264" t="str">
        <f t="shared" si="6"/>
        <v/>
      </c>
      <c r="W1283" s="267" t="str">
        <f t="shared" si="8"/>
        <v/>
      </c>
      <c r="X1283" s="264" t="str">
        <f t="shared" si="7"/>
        <v/>
      </c>
    </row>
    <row r="1284" ht="15.75" customHeight="1">
      <c r="A1284" s="258"/>
      <c r="B1284" s="258"/>
      <c r="C1284" s="269"/>
      <c r="D1284" s="258"/>
      <c r="E1284" s="258"/>
      <c r="F1284" s="258"/>
      <c r="G1284" s="258"/>
      <c r="H1284" s="271"/>
      <c r="I1284" s="258"/>
      <c r="J1284" s="272"/>
      <c r="K1284" s="260"/>
      <c r="L1284" s="261"/>
      <c r="M1284" s="262" t="str">
        <f t="shared" si="1"/>
        <v/>
      </c>
      <c r="N1284" s="263" t="str">
        <f t="shared" si="2"/>
        <v/>
      </c>
      <c r="O1284" s="264" t="str">
        <f t="shared" si="3"/>
        <v/>
      </c>
      <c r="P1284" s="265" t="str">
        <f>IFERROR(__xludf.DUMMYFUNCTION("IF(ISBLANK(A1284),"""",IFERROR(IF(H1284=""Sell"",VLOOKUP(9^99,FILTER({ROW(P$2:P1283),P$2:P1283},D$2:D1283=D1284),2),(VLOOKUP(9^99,FILTER({ROW(P$2:P1283),P$2:P1283},D$2:D1283=D1284),2)*VLOOKUP(9^99,FILTER({ROW(O$2:O1283),O$2:O1283},D$2:D1283=D1284),2)-N128"&amp;"4)/O1284),J1284))"),"")</f>
        <v/>
      </c>
      <c r="Q1284" s="264" t="str">
        <f>IFERROR(__xludf.DUMMYFUNCTION("IFERROR(IF(F1284=""Crypto"",B1284,(IF(ISBLANK(D1284),"""",IF(D1284=""Cash"",B1284,IF(GOOGLEFINANCE(D1284,""CURRENCY"")=""GBX"",""GBP"",GOOGLEFINANCE(D1284,""CURRENCY"")))))),B1284)"),"")</f>
        <v/>
      </c>
      <c r="R1284" s="263" t="str">
        <f>IFERROR(__xludf.DUMMYFUNCTION("IF(ISBLANK(A1284),"""",IFERROR(IF(OR(Q1284=""GPB"",Q1284=""ZAR""),IF(Q1284=Dashboard!$L$1,K1284,(K1284*GOOGLEFINANCE(""CURRENCY:""&amp;Q1284&amp;""""&amp;Dashboard!$L$1&amp;""""))/100),IF(Q1284=Dashboard!$L$1,K1284,K1284*GOOGLEFINANCE(""CURRENCY:""&amp;Q1284&amp;""""&amp;Dashboard!$"&amp;"L$1&amp;""""))),K1284))"),"")</f>
        <v/>
      </c>
      <c r="S1284" s="266" t="str">
        <f>IFERROR(__xludf.DUMMYFUNCTION("IF(ISBLANK(A1284),"""",IFERROR(IF(OR(Q1284=""GPB"",Q1284=""ZAR""),IF(Q1284=Dashboard!$L$1,M1284,(M1284*GOOGLEFINANCE(""CURRENCY:""&amp;Q1284&amp;""""&amp;Dashboard!$L$1&amp;""""))/100),IF(Q1284=Dashboard!$L$1,M1284,M1284*GOOGLEFINANCE(""CURRENCY:""&amp;Q1284&amp;""""&amp;Dashboard!$"&amp;"L$1&amp;""""))),M1284))"),"")</f>
        <v/>
      </c>
      <c r="T1284" s="264" t="str">
        <f t="shared" si="4"/>
        <v/>
      </c>
      <c r="U1284" s="264" t="str">
        <f t="shared" si="5"/>
        <v/>
      </c>
      <c r="V1284" s="264" t="str">
        <f t="shared" si="6"/>
        <v/>
      </c>
      <c r="W1284" s="267" t="str">
        <f t="shared" si="8"/>
        <v/>
      </c>
      <c r="X1284" s="264" t="str">
        <f t="shared" si="7"/>
        <v/>
      </c>
    </row>
    <row r="1285" ht="15.75" customHeight="1">
      <c r="A1285" s="258"/>
      <c r="B1285" s="258"/>
      <c r="C1285" s="269"/>
      <c r="D1285" s="258"/>
      <c r="E1285" s="258"/>
      <c r="F1285" s="258"/>
      <c r="G1285" s="258"/>
      <c r="H1285" s="271"/>
      <c r="I1285" s="258"/>
      <c r="J1285" s="272"/>
      <c r="K1285" s="260"/>
      <c r="L1285" s="261"/>
      <c r="M1285" s="262" t="str">
        <f t="shared" si="1"/>
        <v/>
      </c>
      <c r="N1285" s="263" t="str">
        <f t="shared" si="2"/>
        <v/>
      </c>
      <c r="O1285" s="264" t="str">
        <f t="shared" si="3"/>
        <v/>
      </c>
      <c r="P1285" s="265" t="str">
        <f>IFERROR(__xludf.DUMMYFUNCTION("IF(ISBLANK(A1285),"""",IFERROR(IF(H1285=""Sell"",VLOOKUP(9^99,FILTER({ROW(P$2:P1284),P$2:P1284},D$2:D1284=D1285),2),(VLOOKUP(9^99,FILTER({ROW(P$2:P1284),P$2:P1284},D$2:D1284=D1285),2)*VLOOKUP(9^99,FILTER({ROW(O$2:O1284),O$2:O1284},D$2:D1284=D1285),2)-N128"&amp;"5)/O1285),J1285))"),"")</f>
        <v/>
      </c>
      <c r="Q1285" s="264" t="str">
        <f>IFERROR(__xludf.DUMMYFUNCTION("IFERROR(IF(F1285=""Crypto"",B1285,(IF(ISBLANK(D1285),"""",IF(D1285=""Cash"",B1285,IF(GOOGLEFINANCE(D1285,""CURRENCY"")=""GBX"",""GBP"",GOOGLEFINANCE(D1285,""CURRENCY"")))))),B1285)"),"")</f>
        <v/>
      </c>
      <c r="R1285" s="263" t="str">
        <f>IFERROR(__xludf.DUMMYFUNCTION("IF(ISBLANK(A1285),"""",IFERROR(IF(OR(Q1285=""GPB"",Q1285=""ZAR""),IF(Q1285=Dashboard!$L$1,K1285,(K1285*GOOGLEFINANCE(""CURRENCY:""&amp;Q1285&amp;""""&amp;Dashboard!$L$1&amp;""""))/100),IF(Q1285=Dashboard!$L$1,K1285,K1285*GOOGLEFINANCE(""CURRENCY:""&amp;Q1285&amp;""""&amp;Dashboard!$"&amp;"L$1&amp;""""))),K1285))"),"")</f>
        <v/>
      </c>
      <c r="S1285" s="266" t="str">
        <f>IFERROR(__xludf.DUMMYFUNCTION("IF(ISBLANK(A1285),"""",IFERROR(IF(OR(Q1285=""GPB"",Q1285=""ZAR""),IF(Q1285=Dashboard!$L$1,M1285,(M1285*GOOGLEFINANCE(""CURRENCY:""&amp;Q1285&amp;""""&amp;Dashboard!$L$1&amp;""""))/100),IF(Q1285=Dashboard!$L$1,M1285,M1285*GOOGLEFINANCE(""CURRENCY:""&amp;Q1285&amp;""""&amp;Dashboard!$"&amp;"L$1&amp;""""))),M1285))"),"")</f>
        <v/>
      </c>
      <c r="T1285" s="264" t="str">
        <f t="shared" si="4"/>
        <v/>
      </c>
      <c r="U1285" s="264" t="str">
        <f t="shared" si="5"/>
        <v/>
      </c>
      <c r="V1285" s="264" t="str">
        <f t="shared" si="6"/>
        <v/>
      </c>
      <c r="W1285" s="267" t="str">
        <f t="shared" si="8"/>
        <v/>
      </c>
      <c r="X1285" s="264" t="str">
        <f t="shared" si="7"/>
        <v/>
      </c>
    </row>
    <row r="1286" ht="15.75" customHeight="1">
      <c r="A1286" s="258"/>
      <c r="B1286" s="258"/>
      <c r="C1286" s="269"/>
      <c r="D1286" s="258"/>
      <c r="E1286" s="258"/>
      <c r="F1286" s="258"/>
      <c r="G1286" s="258"/>
      <c r="H1286" s="271"/>
      <c r="I1286" s="258"/>
      <c r="J1286" s="272"/>
      <c r="K1286" s="260"/>
      <c r="L1286" s="261"/>
      <c r="M1286" s="262" t="str">
        <f t="shared" si="1"/>
        <v/>
      </c>
      <c r="N1286" s="263" t="str">
        <f t="shared" si="2"/>
        <v/>
      </c>
      <c r="O1286" s="264" t="str">
        <f t="shared" si="3"/>
        <v/>
      </c>
      <c r="P1286" s="265" t="str">
        <f>IFERROR(__xludf.DUMMYFUNCTION("IF(ISBLANK(A1286),"""",IFERROR(IF(H1286=""Sell"",VLOOKUP(9^99,FILTER({ROW(P$2:P1285),P$2:P1285},D$2:D1285=D1286),2),(VLOOKUP(9^99,FILTER({ROW(P$2:P1285),P$2:P1285},D$2:D1285=D1286),2)*VLOOKUP(9^99,FILTER({ROW(O$2:O1285),O$2:O1285},D$2:D1285=D1286),2)-N128"&amp;"6)/O1286),J1286))"),"")</f>
        <v/>
      </c>
      <c r="Q1286" s="264" t="str">
        <f>IFERROR(__xludf.DUMMYFUNCTION("IFERROR(IF(F1286=""Crypto"",B1286,(IF(ISBLANK(D1286),"""",IF(D1286=""Cash"",B1286,IF(GOOGLEFINANCE(D1286,""CURRENCY"")=""GBX"",""GBP"",GOOGLEFINANCE(D1286,""CURRENCY"")))))),B1286)"),"")</f>
        <v/>
      </c>
      <c r="R1286" s="263" t="str">
        <f>IFERROR(__xludf.DUMMYFUNCTION("IF(ISBLANK(A1286),"""",IFERROR(IF(OR(Q1286=""GPB"",Q1286=""ZAR""),IF(Q1286=Dashboard!$L$1,K1286,(K1286*GOOGLEFINANCE(""CURRENCY:""&amp;Q1286&amp;""""&amp;Dashboard!$L$1&amp;""""))/100),IF(Q1286=Dashboard!$L$1,K1286,K1286*GOOGLEFINANCE(""CURRENCY:""&amp;Q1286&amp;""""&amp;Dashboard!$"&amp;"L$1&amp;""""))),K1286))"),"")</f>
        <v/>
      </c>
      <c r="S1286" s="266" t="str">
        <f>IFERROR(__xludf.DUMMYFUNCTION("IF(ISBLANK(A1286),"""",IFERROR(IF(OR(Q1286=""GPB"",Q1286=""ZAR""),IF(Q1286=Dashboard!$L$1,M1286,(M1286*GOOGLEFINANCE(""CURRENCY:""&amp;Q1286&amp;""""&amp;Dashboard!$L$1&amp;""""))/100),IF(Q1286=Dashboard!$L$1,M1286,M1286*GOOGLEFINANCE(""CURRENCY:""&amp;Q1286&amp;""""&amp;Dashboard!$"&amp;"L$1&amp;""""))),M1286))"),"")</f>
        <v/>
      </c>
      <c r="T1286" s="264" t="str">
        <f t="shared" si="4"/>
        <v/>
      </c>
      <c r="U1286" s="264" t="str">
        <f t="shared" si="5"/>
        <v/>
      </c>
      <c r="V1286" s="264" t="str">
        <f t="shared" si="6"/>
        <v/>
      </c>
      <c r="W1286" s="267" t="str">
        <f t="shared" si="8"/>
        <v/>
      </c>
      <c r="X1286" s="264" t="str">
        <f t="shared" si="7"/>
        <v/>
      </c>
    </row>
    <row r="1287" ht="15.75" customHeight="1">
      <c r="A1287" s="258"/>
      <c r="B1287" s="258"/>
      <c r="C1287" s="269"/>
      <c r="D1287" s="258"/>
      <c r="E1287" s="258"/>
      <c r="F1287" s="258"/>
      <c r="G1287" s="258"/>
      <c r="H1287" s="271"/>
      <c r="I1287" s="258"/>
      <c r="J1287" s="272"/>
      <c r="K1287" s="260"/>
      <c r="L1287" s="261"/>
      <c r="M1287" s="262" t="str">
        <f t="shared" si="1"/>
        <v/>
      </c>
      <c r="N1287" s="263" t="str">
        <f t="shared" si="2"/>
        <v/>
      </c>
      <c r="O1287" s="264" t="str">
        <f t="shared" si="3"/>
        <v/>
      </c>
      <c r="P1287" s="265" t="str">
        <f>IFERROR(__xludf.DUMMYFUNCTION("IF(ISBLANK(A1287),"""",IFERROR(IF(H1287=""Sell"",VLOOKUP(9^99,FILTER({ROW(P$2:P1286),P$2:P1286},D$2:D1286=D1287),2),(VLOOKUP(9^99,FILTER({ROW(P$2:P1286),P$2:P1286},D$2:D1286=D1287),2)*VLOOKUP(9^99,FILTER({ROW(O$2:O1286),O$2:O1286},D$2:D1286=D1287),2)-N128"&amp;"7)/O1287),J1287))"),"")</f>
        <v/>
      </c>
      <c r="Q1287" s="264" t="str">
        <f>IFERROR(__xludf.DUMMYFUNCTION("IFERROR(IF(F1287=""Crypto"",B1287,(IF(ISBLANK(D1287),"""",IF(D1287=""Cash"",B1287,IF(GOOGLEFINANCE(D1287,""CURRENCY"")=""GBX"",""GBP"",GOOGLEFINANCE(D1287,""CURRENCY"")))))),B1287)"),"")</f>
        <v/>
      </c>
      <c r="R1287" s="263" t="str">
        <f>IFERROR(__xludf.DUMMYFUNCTION("IF(ISBLANK(A1287),"""",IFERROR(IF(OR(Q1287=""GPB"",Q1287=""ZAR""),IF(Q1287=Dashboard!$L$1,K1287,(K1287*GOOGLEFINANCE(""CURRENCY:""&amp;Q1287&amp;""""&amp;Dashboard!$L$1&amp;""""))/100),IF(Q1287=Dashboard!$L$1,K1287,K1287*GOOGLEFINANCE(""CURRENCY:""&amp;Q1287&amp;""""&amp;Dashboard!$"&amp;"L$1&amp;""""))),K1287))"),"")</f>
        <v/>
      </c>
      <c r="S1287" s="266" t="str">
        <f>IFERROR(__xludf.DUMMYFUNCTION("IF(ISBLANK(A1287),"""",IFERROR(IF(OR(Q1287=""GPB"",Q1287=""ZAR""),IF(Q1287=Dashboard!$L$1,M1287,(M1287*GOOGLEFINANCE(""CURRENCY:""&amp;Q1287&amp;""""&amp;Dashboard!$L$1&amp;""""))/100),IF(Q1287=Dashboard!$L$1,M1287,M1287*GOOGLEFINANCE(""CURRENCY:""&amp;Q1287&amp;""""&amp;Dashboard!$"&amp;"L$1&amp;""""))),M1287))"),"")</f>
        <v/>
      </c>
      <c r="T1287" s="264" t="str">
        <f t="shared" si="4"/>
        <v/>
      </c>
      <c r="U1287" s="264" t="str">
        <f t="shared" si="5"/>
        <v/>
      </c>
      <c r="V1287" s="264" t="str">
        <f t="shared" si="6"/>
        <v/>
      </c>
      <c r="W1287" s="267" t="str">
        <f t="shared" si="8"/>
        <v/>
      </c>
      <c r="X1287" s="264" t="str">
        <f t="shared" si="7"/>
        <v/>
      </c>
    </row>
    <row r="1288" ht="15.75" customHeight="1">
      <c r="A1288" s="258"/>
      <c r="B1288" s="258"/>
      <c r="C1288" s="269"/>
      <c r="D1288" s="258"/>
      <c r="E1288" s="258"/>
      <c r="F1288" s="258"/>
      <c r="G1288" s="258"/>
      <c r="H1288" s="271"/>
      <c r="I1288" s="258"/>
      <c r="J1288" s="272"/>
      <c r="K1288" s="260"/>
      <c r="L1288" s="261"/>
      <c r="M1288" s="262" t="str">
        <f t="shared" si="1"/>
        <v/>
      </c>
      <c r="N1288" s="263" t="str">
        <f t="shared" si="2"/>
        <v/>
      </c>
      <c r="O1288" s="264" t="str">
        <f t="shared" si="3"/>
        <v/>
      </c>
      <c r="P1288" s="265" t="str">
        <f>IFERROR(__xludf.DUMMYFUNCTION("IF(ISBLANK(A1288),"""",IFERROR(IF(H1288=""Sell"",VLOOKUP(9^99,FILTER({ROW(P$2:P1287),P$2:P1287},D$2:D1287=D1288),2),(VLOOKUP(9^99,FILTER({ROW(P$2:P1287),P$2:P1287},D$2:D1287=D1288),2)*VLOOKUP(9^99,FILTER({ROW(O$2:O1287),O$2:O1287},D$2:D1287=D1288),2)-N128"&amp;"8)/O1288),J1288))"),"")</f>
        <v/>
      </c>
      <c r="Q1288" s="264" t="str">
        <f>IFERROR(__xludf.DUMMYFUNCTION("IFERROR(IF(F1288=""Crypto"",B1288,(IF(ISBLANK(D1288),"""",IF(D1288=""Cash"",B1288,IF(GOOGLEFINANCE(D1288,""CURRENCY"")=""GBX"",""GBP"",GOOGLEFINANCE(D1288,""CURRENCY"")))))),B1288)"),"")</f>
        <v/>
      </c>
      <c r="R1288" s="263" t="str">
        <f>IFERROR(__xludf.DUMMYFUNCTION("IF(ISBLANK(A1288),"""",IFERROR(IF(OR(Q1288=""GPB"",Q1288=""ZAR""),IF(Q1288=Dashboard!$L$1,K1288,(K1288*GOOGLEFINANCE(""CURRENCY:""&amp;Q1288&amp;""""&amp;Dashboard!$L$1&amp;""""))/100),IF(Q1288=Dashboard!$L$1,K1288,K1288*GOOGLEFINANCE(""CURRENCY:""&amp;Q1288&amp;""""&amp;Dashboard!$"&amp;"L$1&amp;""""))),K1288))"),"")</f>
        <v/>
      </c>
      <c r="S1288" s="266" t="str">
        <f>IFERROR(__xludf.DUMMYFUNCTION("IF(ISBLANK(A1288),"""",IFERROR(IF(OR(Q1288=""GPB"",Q1288=""ZAR""),IF(Q1288=Dashboard!$L$1,M1288,(M1288*GOOGLEFINANCE(""CURRENCY:""&amp;Q1288&amp;""""&amp;Dashboard!$L$1&amp;""""))/100),IF(Q1288=Dashboard!$L$1,M1288,M1288*GOOGLEFINANCE(""CURRENCY:""&amp;Q1288&amp;""""&amp;Dashboard!$"&amp;"L$1&amp;""""))),M1288))"),"")</f>
        <v/>
      </c>
      <c r="T1288" s="264" t="str">
        <f t="shared" si="4"/>
        <v/>
      </c>
      <c r="U1288" s="264" t="str">
        <f t="shared" si="5"/>
        <v/>
      </c>
      <c r="V1288" s="264" t="str">
        <f t="shared" si="6"/>
        <v/>
      </c>
      <c r="W1288" s="267" t="str">
        <f t="shared" si="8"/>
        <v/>
      </c>
      <c r="X1288" s="264" t="str">
        <f t="shared" si="7"/>
        <v/>
      </c>
    </row>
    <row r="1289" ht="15.75" customHeight="1">
      <c r="A1289" s="258"/>
      <c r="B1289" s="258"/>
      <c r="C1289" s="269"/>
      <c r="D1289" s="258"/>
      <c r="E1289" s="258"/>
      <c r="F1289" s="258"/>
      <c r="G1289" s="258"/>
      <c r="H1289" s="271"/>
      <c r="I1289" s="258"/>
      <c r="J1289" s="272"/>
      <c r="K1289" s="260"/>
      <c r="L1289" s="261"/>
      <c r="M1289" s="262" t="str">
        <f t="shared" si="1"/>
        <v/>
      </c>
      <c r="N1289" s="263" t="str">
        <f t="shared" si="2"/>
        <v/>
      </c>
      <c r="O1289" s="264" t="str">
        <f t="shared" si="3"/>
        <v/>
      </c>
      <c r="P1289" s="265" t="str">
        <f>IFERROR(__xludf.DUMMYFUNCTION("IF(ISBLANK(A1289),"""",IFERROR(IF(H1289=""Sell"",VLOOKUP(9^99,FILTER({ROW(P$2:P1288),P$2:P1288},D$2:D1288=D1289),2),(VLOOKUP(9^99,FILTER({ROW(P$2:P1288),P$2:P1288},D$2:D1288=D1289),2)*VLOOKUP(9^99,FILTER({ROW(O$2:O1288),O$2:O1288},D$2:D1288=D1289),2)-N128"&amp;"9)/O1289),J1289))"),"")</f>
        <v/>
      </c>
      <c r="Q1289" s="264" t="str">
        <f>IFERROR(__xludf.DUMMYFUNCTION("IFERROR(IF(F1289=""Crypto"",B1289,(IF(ISBLANK(D1289),"""",IF(D1289=""Cash"",B1289,IF(GOOGLEFINANCE(D1289,""CURRENCY"")=""GBX"",""GBP"",GOOGLEFINANCE(D1289,""CURRENCY"")))))),B1289)"),"")</f>
        <v/>
      </c>
      <c r="R1289" s="263" t="str">
        <f>IFERROR(__xludf.DUMMYFUNCTION("IF(ISBLANK(A1289),"""",IFERROR(IF(OR(Q1289=""GPB"",Q1289=""ZAR""),IF(Q1289=Dashboard!$L$1,K1289,(K1289*GOOGLEFINANCE(""CURRENCY:""&amp;Q1289&amp;""""&amp;Dashboard!$L$1&amp;""""))/100),IF(Q1289=Dashboard!$L$1,K1289,K1289*GOOGLEFINANCE(""CURRENCY:""&amp;Q1289&amp;""""&amp;Dashboard!$"&amp;"L$1&amp;""""))),K1289))"),"")</f>
        <v/>
      </c>
      <c r="S1289" s="266" t="str">
        <f>IFERROR(__xludf.DUMMYFUNCTION("IF(ISBLANK(A1289),"""",IFERROR(IF(OR(Q1289=""GPB"",Q1289=""ZAR""),IF(Q1289=Dashboard!$L$1,M1289,(M1289*GOOGLEFINANCE(""CURRENCY:""&amp;Q1289&amp;""""&amp;Dashboard!$L$1&amp;""""))/100),IF(Q1289=Dashboard!$L$1,M1289,M1289*GOOGLEFINANCE(""CURRENCY:""&amp;Q1289&amp;""""&amp;Dashboard!$"&amp;"L$1&amp;""""))),M1289))"),"")</f>
        <v/>
      </c>
      <c r="T1289" s="264" t="str">
        <f t="shared" si="4"/>
        <v/>
      </c>
      <c r="U1289" s="264" t="str">
        <f t="shared" si="5"/>
        <v/>
      </c>
      <c r="V1289" s="264" t="str">
        <f t="shared" si="6"/>
        <v/>
      </c>
      <c r="W1289" s="267" t="str">
        <f t="shared" si="8"/>
        <v/>
      </c>
      <c r="X1289" s="264" t="str">
        <f t="shared" si="7"/>
        <v/>
      </c>
    </row>
    <row r="1290" ht="15.75" customHeight="1">
      <c r="A1290" s="258"/>
      <c r="B1290" s="258"/>
      <c r="C1290" s="269"/>
      <c r="D1290" s="258"/>
      <c r="E1290" s="258"/>
      <c r="F1290" s="258"/>
      <c r="G1290" s="258"/>
      <c r="H1290" s="271"/>
      <c r="I1290" s="258"/>
      <c r="J1290" s="272"/>
      <c r="K1290" s="260"/>
      <c r="L1290" s="261"/>
      <c r="M1290" s="262" t="str">
        <f t="shared" si="1"/>
        <v/>
      </c>
      <c r="N1290" s="263" t="str">
        <f t="shared" si="2"/>
        <v/>
      </c>
      <c r="O1290" s="264" t="str">
        <f t="shared" si="3"/>
        <v/>
      </c>
      <c r="P1290" s="265" t="str">
        <f>IFERROR(__xludf.DUMMYFUNCTION("IF(ISBLANK(A1290),"""",IFERROR(IF(H1290=""Sell"",VLOOKUP(9^99,FILTER({ROW(P$2:P1289),P$2:P1289},D$2:D1289=D1290),2),(VLOOKUP(9^99,FILTER({ROW(P$2:P1289),P$2:P1289},D$2:D1289=D1290),2)*VLOOKUP(9^99,FILTER({ROW(O$2:O1289),O$2:O1289},D$2:D1289=D1290),2)-N129"&amp;"0)/O1290),J1290))"),"")</f>
        <v/>
      </c>
      <c r="Q1290" s="264" t="str">
        <f>IFERROR(__xludf.DUMMYFUNCTION("IFERROR(IF(F1290=""Crypto"",B1290,(IF(ISBLANK(D1290),"""",IF(D1290=""Cash"",B1290,IF(GOOGLEFINANCE(D1290,""CURRENCY"")=""GBX"",""GBP"",GOOGLEFINANCE(D1290,""CURRENCY"")))))),B1290)"),"")</f>
        <v/>
      </c>
      <c r="R1290" s="263" t="str">
        <f>IFERROR(__xludf.DUMMYFUNCTION("IF(ISBLANK(A1290),"""",IFERROR(IF(OR(Q1290=""GPB"",Q1290=""ZAR""),IF(Q1290=Dashboard!$L$1,K1290,(K1290*GOOGLEFINANCE(""CURRENCY:""&amp;Q1290&amp;""""&amp;Dashboard!$L$1&amp;""""))/100),IF(Q1290=Dashboard!$L$1,K1290,K1290*GOOGLEFINANCE(""CURRENCY:""&amp;Q1290&amp;""""&amp;Dashboard!$"&amp;"L$1&amp;""""))),K1290))"),"")</f>
        <v/>
      </c>
      <c r="S1290" s="266" t="str">
        <f>IFERROR(__xludf.DUMMYFUNCTION("IF(ISBLANK(A1290),"""",IFERROR(IF(OR(Q1290=""GPB"",Q1290=""ZAR""),IF(Q1290=Dashboard!$L$1,M1290,(M1290*GOOGLEFINANCE(""CURRENCY:""&amp;Q1290&amp;""""&amp;Dashboard!$L$1&amp;""""))/100),IF(Q1290=Dashboard!$L$1,M1290,M1290*GOOGLEFINANCE(""CURRENCY:""&amp;Q1290&amp;""""&amp;Dashboard!$"&amp;"L$1&amp;""""))),M1290))"),"")</f>
        <v/>
      </c>
      <c r="T1290" s="264" t="str">
        <f t="shared" si="4"/>
        <v/>
      </c>
      <c r="U1290" s="264" t="str">
        <f t="shared" si="5"/>
        <v/>
      </c>
      <c r="V1290" s="264" t="str">
        <f t="shared" si="6"/>
        <v/>
      </c>
      <c r="W1290" s="267" t="str">
        <f t="shared" si="8"/>
        <v/>
      </c>
      <c r="X1290" s="264" t="str">
        <f t="shared" si="7"/>
        <v/>
      </c>
    </row>
    <row r="1291" ht="15.75" customHeight="1">
      <c r="A1291" s="258"/>
      <c r="B1291" s="258"/>
      <c r="C1291" s="269"/>
      <c r="D1291" s="258"/>
      <c r="E1291" s="258"/>
      <c r="F1291" s="258"/>
      <c r="G1291" s="258"/>
      <c r="H1291" s="271"/>
      <c r="I1291" s="258"/>
      <c r="J1291" s="272"/>
      <c r="K1291" s="260"/>
      <c r="L1291" s="261"/>
      <c r="M1291" s="262" t="str">
        <f t="shared" si="1"/>
        <v/>
      </c>
      <c r="N1291" s="263" t="str">
        <f t="shared" si="2"/>
        <v/>
      </c>
      <c r="O1291" s="264" t="str">
        <f t="shared" si="3"/>
        <v/>
      </c>
      <c r="P1291" s="265" t="str">
        <f>IFERROR(__xludf.DUMMYFUNCTION("IF(ISBLANK(A1291),"""",IFERROR(IF(H1291=""Sell"",VLOOKUP(9^99,FILTER({ROW(P$2:P1290),P$2:P1290},D$2:D1290=D1291),2),(VLOOKUP(9^99,FILTER({ROW(P$2:P1290),P$2:P1290},D$2:D1290=D1291),2)*VLOOKUP(9^99,FILTER({ROW(O$2:O1290),O$2:O1290},D$2:D1290=D1291),2)-N129"&amp;"1)/O1291),J1291))"),"")</f>
        <v/>
      </c>
      <c r="Q1291" s="264" t="str">
        <f>IFERROR(__xludf.DUMMYFUNCTION("IFERROR(IF(F1291=""Crypto"",B1291,(IF(ISBLANK(D1291),"""",IF(D1291=""Cash"",B1291,IF(GOOGLEFINANCE(D1291,""CURRENCY"")=""GBX"",""GBP"",GOOGLEFINANCE(D1291,""CURRENCY"")))))),B1291)"),"")</f>
        <v/>
      </c>
      <c r="R1291" s="263" t="str">
        <f>IFERROR(__xludf.DUMMYFUNCTION("IF(ISBLANK(A1291),"""",IFERROR(IF(OR(Q1291=""GPB"",Q1291=""ZAR""),IF(Q1291=Dashboard!$L$1,K1291,(K1291*GOOGLEFINANCE(""CURRENCY:""&amp;Q1291&amp;""""&amp;Dashboard!$L$1&amp;""""))/100),IF(Q1291=Dashboard!$L$1,K1291,K1291*GOOGLEFINANCE(""CURRENCY:""&amp;Q1291&amp;""""&amp;Dashboard!$"&amp;"L$1&amp;""""))),K1291))"),"")</f>
        <v/>
      </c>
      <c r="S1291" s="266" t="str">
        <f>IFERROR(__xludf.DUMMYFUNCTION("IF(ISBLANK(A1291),"""",IFERROR(IF(OR(Q1291=""GPB"",Q1291=""ZAR""),IF(Q1291=Dashboard!$L$1,M1291,(M1291*GOOGLEFINANCE(""CURRENCY:""&amp;Q1291&amp;""""&amp;Dashboard!$L$1&amp;""""))/100),IF(Q1291=Dashboard!$L$1,M1291,M1291*GOOGLEFINANCE(""CURRENCY:""&amp;Q1291&amp;""""&amp;Dashboard!$"&amp;"L$1&amp;""""))),M1291))"),"")</f>
        <v/>
      </c>
      <c r="T1291" s="264" t="str">
        <f t="shared" si="4"/>
        <v/>
      </c>
      <c r="U1291" s="264" t="str">
        <f t="shared" si="5"/>
        <v/>
      </c>
      <c r="V1291" s="264" t="str">
        <f t="shared" si="6"/>
        <v/>
      </c>
      <c r="W1291" s="267" t="str">
        <f t="shared" si="8"/>
        <v/>
      </c>
      <c r="X1291" s="264" t="str">
        <f t="shared" si="7"/>
        <v/>
      </c>
    </row>
    <row r="1292" ht="15.75" customHeight="1">
      <c r="A1292" s="258"/>
      <c r="B1292" s="258"/>
      <c r="C1292" s="269"/>
      <c r="D1292" s="258"/>
      <c r="E1292" s="258"/>
      <c r="F1292" s="258"/>
      <c r="G1292" s="258"/>
      <c r="H1292" s="271"/>
      <c r="I1292" s="258"/>
      <c r="J1292" s="272"/>
      <c r="K1292" s="260"/>
      <c r="L1292" s="261"/>
      <c r="M1292" s="262" t="str">
        <f t="shared" si="1"/>
        <v/>
      </c>
      <c r="N1292" s="263" t="str">
        <f t="shared" si="2"/>
        <v/>
      </c>
      <c r="O1292" s="264" t="str">
        <f t="shared" si="3"/>
        <v/>
      </c>
      <c r="P1292" s="265" t="str">
        <f>IFERROR(__xludf.DUMMYFUNCTION("IF(ISBLANK(A1292),"""",IFERROR(IF(H1292=""Sell"",VLOOKUP(9^99,FILTER({ROW(P$2:P1291),P$2:P1291},D$2:D1291=D1292),2),(VLOOKUP(9^99,FILTER({ROW(P$2:P1291),P$2:P1291},D$2:D1291=D1292),2)*VLOOKUP(9^99,FILTER({ROW(O$2:O1291),O$2:O1291},D$2:D1291=D1292),2)-N129"&amp;"2)/O1292),J1292))"),"")</f>
        <v/>
      </c>
      <c r="Q1292" s="264" t="str">
        <f>IFERROR(__xludf.DUMMYFUNCTION("IFERROR(IF(F1292=""Crypto"",B1292,(IF(ISBLANK(D1292),"""",IF(D1292=""Cash"",B1292,IF(GOOGLEFINANCE(D1292,""CURRENCY"")=""GBX"",""GBP"",GOOGLEFINANCE(D1292,""CURRENCY"")))))),B1292)"),"")</f>
        <v/>
      </c>
      <c r="R1292" s="263" t="str">
        <f>IFERROR(__xludf.DUMMYFUNCTION("IF(ISBLANK(A1292),"""",IFERROR(IF(OR(Q1292=""GPB"",Q1292=""ZAR""),IF(Q1292=Dashboard!$L$1,K1292,(K1292*GOOGLEFINANCE(""CURRENCY:""&amp;Q1292&amp;""""&amp;Dashboard!$L$1&amp;""""))/100),IF(Q1292=Dashboard!$L$1,K1292,K1292*GOOGLEFINANCE(""CURRENCY:""&amp;Q1292&amp;""""&amp;Dashboard!$"&amp;"L$1&amp;""""))),K1292))"),"")</f>
        <v/>
      </c>
      <c r="S1292" s="266" t="str">
        <f>IFERROR(__xludf.DUMMYFUNCTION("IF(ISBLANK(A1292),"""",IFERROR(IF(OR(Q1292=""GPB"",Q1292=""ZAR""),IF(Q1292=Dashboard!$L$1,M1292,(M1292*GOOGLEFINANCE(""CURRENCY:""&amp;Q1292&amp;""""&amp;Dashboard!$L$1&amp;""""))/100),IF(Q1292=Dashboard!$L$1,M1292,M1292*GOOGLEFINANCE(""CURRENCY:""&amp;Q1292&amp;""""&amp;Dashboard!$"&amp;"L$1&amp;""""))),M1292))"),"")</f>
        <v/>
      </c>
      <c r="T1292" s="264" t="str">
        <f t="shared" si="4"/>
        <v/>
      </c>
      <c r="U1292" s="264" t="str">
        <f t="shared" si="5"/>
        <v/>
      </c>
      <c r="V1292" s="264" t="str">
        <f t="shared" si="6"/>
        <v/>
      </c>
      <c r="W1292" s="267" t="str">
        <f t="shared" si="8"/>
        <v/>
      </c>
      <c r="X1292" s="264" t="str">
        <f t="shared" si="7"/>
        <v/>
      </c>
    </row>
    <row r="1293" ht="15.75" customHeight="1">
      <c r="A1293" s="258"/>
      <c r="B1293" s="258"/>
      <c r="C1293" s="269"/>
      <c r="D1293" s="258"/>
      <c r="E1293" s="258"/>
      <c r="F1293" s="258"/>
      <c r="G1293" s="258"/>
      <c r="H1293" s="271"/>
      <c r="I1293" s="258"/>
      <c r="J1293" s="272"/>
      <c r="K1293" s="260"/>
      <c r="L1293" s="261"/>
      <c r="M1293" s="262" t="str">
        <f t="shared" si="1"/>
        <v/>
      </c>
      <c r="N1293" s="263" t="str">
        <f t="shared" si="2"/>
        <v/>
      </c>
      <c r="O1293" s="264" t="str">
        <f t="shared" si="3"/>
        <v/>
      </c>
      <c r="P1293" s="265" t="str">
        <f>IFERROR(__xludf.DUMMYFUNCTION("IF(ISBLANK(A1293),"""",IFERROR(IF(H1293=""Sell"",VLOOKUP(9^99,FILTER({ROW(P$2:P1292),P$2:P1292},D$2:D1292=D1293),2),(VLOOKUP(9^99,FILTER({ROW(P$2:P1292),P$2:P1292},D$2:D1292=D1293),2)*VLOOKUP(9^99,FILTER({ROW(O$2:O1292),O$2:O1292},D$2:D1292=D1293),2)-N129"&amp;"3)/O1293),J1293))"),"")</f>
        <v/>
      </c>
      <c r="Q1293" s="264" t="str">
        <f>IFERROR(__xludf.DUMMYFUNCTION("IFERROR(IF(F1293=""Crypto"",B1293,(IF(ISBLANK(D1293),"""",IF(D1293=""Cash"",B1293,IF(GOOGLEFINANCE(D1293,""CURRENCY"")=""GBX"",""GBP"",GOOGLEFINANCE(D1293,""CURRENCY"")))))),B1293)"),"")</f>
        <v/>
      </c>
      <c r="R1293" s="263" t="str">
        <f>IFERROR(__xludf.DUMMYFUNCTION("IF(ISBLANK(A1293),"""",IFERROR(IF(OR(Q1293=""GPB"",Q1293=""ZAR""),IF(Q1293=Dashboard!$L$1,K1293,(K1293*GOOGLEFINANCE(""CURRENCY:""&amp;Q1293&amp;""""&amp;Dashboard!$L$1&amp;""""))/100),IF(Q1293=Dashboard!$L$1,K1293,K1293*GOOGLEFINANCE(""CURRENCY:""&amp;Q1293&amp;""""&amp;Dashboard!$"&amp;"L$1&amp;""""))),K1293))"),"")</f>
        <v/>
      </c>
      <c r="S1293" s="266" t="str">
        <f>IFERROR(__xludf.DUMMYFUNCTION("IF(ISBLANK(A1293),"""",IFERROR(IF(OR(Q1293=""GPB"",Q1293=""ZAR""),IF(Q1293=Dashboard!$L$1,M1293,(M1293*GOOGLEFINANCE(""CURRENCY:""&amp;Q1293&amp;""""&amp;Dashboard!$L$1&amp;""""))/100),IF(Q1293=Dashboard!$L$1,M1293,M1293*GOOGLEFINANCE(""CURRENCY:""&amp;Q1293&amp;""""&amp;Dashboard!$"&amp;"L$1&amp;""""))),M1293))"),"")</f>
        <v/>
      </c>
      <c r="T1293" s="264" t="str">
        <f t="shared" si="4"/>
        <v/>
      </c>
      <c r="U1293" s="264" t="str">
        <f t="shared" si="5"/>
        <v/>
      </c>
      <c r="V1293" s="264" t="str">
        <f t="shared" si="6"/>
        <v/>
      </c>
      <c r="W1293" s="267" t="str">
        <f t="shared" si="8"/>
        <v/>
      </c>
      <c r="X1293" s="264" t="str">
        <f t="shared" si="7"/>
        <v/>
      </c>
    </row>
    <row r="1294" ht="15.75" customHeight="1">
      <c r="A1294" s="258"/>
      <c r="B1294" s="258"/>
      <c r="C1294" s="269"/>
      <c r="D1294" s="258"/>
      <c r="E1294" s="258"/>
      <c r="F1294" s="258"/>
      <c r="G1294" s="258"/>
      <c r="H1294" s="271"/>
      <c r="I1294" s="258"/>
      <c r="J1294" s="272"/>
      <c r="K1294" s="260"/>
      <c r="L1294" s="261"/>
      <c r="M1294" s="262" t="str">
        <f t="shared" si="1"/>
        <v/>
      </c>
      <c r="N1294" s="263" t="str">
        <f t="shared" si="2"/>
        <v/>
      </c>
      <c r="O1294" s="264" t="str">
        <f t="shared" si="3"/>
        <v/>
      </c>
      <c r="P1294" s="265" t="str">
        <f>IFERROR(__xludf.DUMMYFUNCTION("IF(ISBLANK(A1294),"""",IFERROR(IF(H1294=""Sell"",VLOOKUP(9^99,FILTER({ROW(P$2:P1293),P$2:P1293},D$2:D1293=D1294),2),(VLOOKUP(9^99,FILTER({ROW(P$2:P1293),P$2:P1293},D$2:D1293=D1294),2)*VLOOKUP(9^99,FILTER({ROW(O$2:O1293),O$2:O1293},D$2:D1293=D1294),2)-N129"&amp;"4)/O1294),J1294))"),"")</f>
        <v/>
      </c>
      <c r="Q1294" s="264" t="str">
        <f>IFERROR(__xludf.DUMMYFUNCTION("IFERROR(IF(F1294=""Crypto"",B1294,(IF(ISBLANK(D1294),"""",IF(D1294=""Cash"",B1294,IF(GOOGLEFINANCE(D1294,""CURRENCY"")=""GBX"",""GBP"",GOOGLEFINANCE(D1294,""CURRENCY"")))))),B1294)"),"")</f>
        <v/>
      </c>
      <c r="R1294" s="263" t="str">
        <f>IFERROR(__xludf.DUMMYFUNCTION("IF(ISBLANK(A1294),"""",IFERROR(IF(OR(Q1294=""GPB"",Q1294=""ZAR""),IF(Q1294=Dashboard!$L$1,K1294,(K1294*GOOGLEFINANCE(""CURRENCY:""&amp;Q1294&amp;""""&amp;Dashboard!$L$1&amp;""""))/100),IF(Q1294=Dashboard!$L$1,K1294,K1294*GOOGLEFINANCE(""CURRENCY:""&amp;Q1294&amp;""""&amp;Dashboard!$"&amp;"L$1&amp;""""))),K1294))"),"")</f>
        <v/>
      </c>
      <c r="S1294" s="266" t="str">
        <f>IFERROR(__xludf.DUMMYFUNCTION("IF(ISBLANK(A1294),"""",IFERROR(IF(OR(Q1294=""GPB"",Q1294=""ZAR""),IF(Q1294=Dashboard!$L$1,M1294,(M1294*GOOGLEFINANCE(""CURRENCY:""&amp;Q1294&amp;""""&amp;Dashboard!$L$1&amp;""""))/100),IF(Q1294=Dashboard!$L$1,M1294,M1294*GOOGLEFINANCE(""CURRENCY:""&amp;Q1294&amp;""""&amp;Dashboard!$"&amp;"L$1&amp;""""))),M1294))"),"")</f>
        <v/>
      </c>
      <c r="T1294" s="264" t="str">
        <f t="shared" si="4"/>
        <v/>
      </c>
      <c r="U1294" s="264" t="str">
        <f t="shared" si="5"/>
        <v/>
      </c>
      <c r="V1294" s="264" t="str">
        <f t="shared" si="6"/>
        <v/>
      </c>
      <c r="W1294" s="267" t="str">
        <f t="shared" si="8"/>
        <v/>
      </c>
      <c r="X1294" s="264" t="str">
        <f t="shared" si="7"/>
        <v/>
      </c>
    </row>
    <row r="1295" ht="15.75" customHeight="1">
      <c r="A1295" s="258"/>
      <c r="B1295" s="258"/>
      <c r="C1295" s="269"/>
      <c r="D1295" s="258"/>
      <c r="E1295" s="258"/>
      <c r="F1295" s="258"/>
      <c r="G1295" s="258"/>
      <c r="H1295" s="271"/>
      <c r="I1295" s="258"/>
      <c r="J1295" s="272"/>
      <c r="K1295" s="260"/>
      <c r="L1295" s="261"/>
      <c r="M1295" s="262" t="str">
        <f t="shared" si="1"/>
        <v/>
      </c>
      <c r="N1295" s="263" t="str">
        <f t="shared" si="2"/>
        <v/>
      </c>
      <c r="O1295" s="264" t="str">
        <f t="shared" si="3"/>
        <v/>
      </c>
      <c r="P1295" s="265" t="str">
        <f>IFERROR(__xludf.DUMMYFUNCTION("IF(ISBLANK(A1295),"""",IFERROR(IF(H1295=""Sell"",VLOOKUP(9^99,FILTER({ROW(P$2:P1294),P$2:P1294},D$2:D1294=D1295),2),(VLOOKUP(9^99,FILTER({ROW(P$2:P1294),P$2:P1294},D$2:D1294=D1295),2)*VLOOKUP(9^99,FILTER({ROW(O$2:O1294),O$2:O1294},D$2:D1294=D1295),2)-N129"&amp;"5)/O1295),J1295))"),"")</f>
        <v/>
      </c>
      <c r="Q1295" s="264" t="str">
        <f>IFERROR(__xludf.DUMMYFUNCTION("IFERROR(IF(F1295=""Crypto"",B1295,(IF(ISBLANK(D1295),"""",IF(D1295=""Cash"",B1295,IF(GOOGLEFINANCE(D1295,""CURRENCY"")=""GBX"",""GBP"",GOOGLEFINANCE(D1295,""CURRENCY"")))))),B1295)"),"")</f>
        <v/>
      </c>
      <c r="R1295" s="263" t="str">
        <f>IFERROR(__xludf.DUMMYFUNCTION("IF(ISBLANK(A1295),"""",IFERROR(IF(OR(Q1295=""GPB"",Q1295=""ZAR""),IF(Q1295=Dashboard!$L$1,K1295,(K1295*GOOGLEFINANCE(""CURRENCY:""&amp;Q1295&amp;""""&amp;Dashboard!$L$1&amp;""""))/100),IF(Q1295=Dashboard!$L$1,K1295,K1295*GOOGLEFINANCE(""CURRENCY:""&amp;Q1295&amp;""""&amp;Dashboard!$"&amp;"L$1&amp;""""))),K1295))"),"")</f>
        <v/>
      </c>
      <c r="S1295" s="266" t="str">
        <f>IFERROR(__xludf.DUMMYFUNCTION("IF(ISBLANK(A1295),"""",IFERROR(IF(OR(Q1295=""GPB"",Q1295=""ZAR""),IF(Q1295=Dashboard!$L$1,M1295,(M1295*GOOGLEFINANCE(""CURRENCY:""&amp;Q1295&amp;""""&amp;Dashboard!$L$1&amp;""""))/100),IF(Q1295=Dashboard!$L$1,M1295,M1295*GOOGLEFINANCE(""CURRENCY:""&amp;Q1295&amp;""""&amp;Dashboard!$"&amp;"L$1&amp;""""))),M1295))"),"")</f>
        <v/>
      </c>
      <c r="T1295" s="264" t="str">
        <f t="shared" si="4"/>
        <v/>
      </c>
      <c r="U1295" s="264" t="str">
        <f t="shared" si="5"/>
        <v/>
      </c>
      <c r="V1295" s="264" t="str">
        <f t="shared" si="6"/>
        <v/>
      </c>
      <c r="W1295" s="267" t="str">
        <f t="shared" si="8"/>
        <v/>
      </c>
      <c r="X1295" s="264" t="str">
        <f t="shared" si="7"/>
        <v/>
      </c>
    </row>
    <row r="1296" ht="15.75" customHeight="1">
      <c r="A1296" s="258"/>
      <c r="B1296" s="258"/>
      <c r="C1296" s="269"/>
      <c r="D1296" s="258"/>
      <c r="E1296" s="258"/>
      <c r="F1296" s="258"/>
      <c r="G1296" s="258"/>
      <c r="H1296" s="271"/>
      <c r="I1296" s="258"/>
      <c r="J1296" s="272"/>
      <c r="K1296" s="260"/>
      <c r="L1296" s="261"/>
      <c r="M1296" s="262" t="str">
        <f t="shared" si="1"/>
        <v/>
      </c>
      <c r="N1296" s="263" t="str">
        <f t="shared" si="2"/>
        <v/>
      </c>
      <c r="O1296" s="264" t="str">
        <f t="shared" si="3"/>
        <v/>
      </c>
      <c r="P1296" s="265" t="str">
        <f>IFERROR(__xludf.DUMMYFUNCTION("IF(ISBLANK(A1296),"""",IFERROR(IF(H1296=""Sell"",VLOOKUP(9^99,FILTER({ROW(P$2:P1295),P$2:P1295},D$2:D1295=D1296),2),(VLOOKUP(9^99,FILTER({ROW(P$2:P1295),P$2:P1295},D$2:D1295=D1296),2)*VLOOKUP(9^99,FILTER({ROW(O$2:O1295),O$2:O1295},D$2:D1295=D1296),2)-N129"&amp;"6)/O1296),J1296))"),"")</f>
        <v/>
      </c>
      <c r="Q1296" s="264" t="str">
        <f>IFERROR(__xludf.DUMMYFUNCTION("IFERROR(IF(F1296=""Crypto"",B1296,(IF(ISBLANK(D1296),"""",IF(D1296=""Cash"",B1296,IF(GOOGLEFINANCE(D1296,""CURRENCY"")=""GBX"",""GBP"",GOOGLEFINANCE(D1296,""CURRENCY"")))))),B1296)"),"")</f>
        <v/>
      </c>
      <c r="R1296" s="263" t="str">
        <f>IFERROR(__xludf.DUMMYFUNCTION("IF(ISBLANK(A1296),"""",IFERROR(IF(OR(Q1296=""GPB"",Q1296=""ZAR""),IF(Q1296=Dashboard!$L$1,K1296,(K1296*GOOGLEFINANCE(""CURRENCY:""&amp;Q1296&amp;""""&amp;Dashboard!$L$1&amp;""""))/100),IF(Q1296=Dashboard!$L$1,K1296,K1296*GOOGLEFINANCE(""CURRENCY:""&amp;Q1296&amp;""""&amp;Dashboard!$"&amp;"L$1&amp;""""))),K1296))"),"")</f>
        <v/>
      </c>
      <c r="S1296" s="266" t="str">
        <f>IFERROR(__xludf.DUMMYFUNCTION("IF(ISBLANK(A1296),"""",IFERROR(IF(OR(Q1296=""GPB"",Q1296=""ZAR""),IF(Q1296=Dashboard!$L$1,M1296,(M1296*GOOGLEFINANCE(""CURRENCY:""&amp;Q1296&amp;""""&amp;Dashboard!$L$1&amp;""""))/100),IF(Q1296=Dashboard!$L$1,M1296,M1296*GOOGLEFINANCE(""CURRENCY:""&amp;Q1296&amp;""""&amp;Dashboard!$"&amp;"L$1&amp;""""))),M1296))"),"")</f>
        <v/>
      </c>
      <c r="T1296" s="264" t="str">
        <f t="shared" si="4"/>
        <v/>
      </c>
      <c r="U1296" s="264" t="str">
        <f t="shared" si="5"/>
        <v/>
      </c>
      <c r="V1296" s="264" t="str">
        <f t="shared" si="6"/>
        <v/>
      </c>
      <c r="W1296" s="267" t="str">
        <f t="shared" si="8"/>
        <v/>
      </c>
      <c r="X1296" s="264" t="str">
        <f t="shared" si="7"/>
        <v/>
      </c>
    </row>
    <row r="1297" ht="15.75" customHeight="1">
      <c r="A1297" s="258"/>
      <c r="B1297" s="258"/>
      <c r="C1297" s="269"/>
      <c r="D1297" s="258"/>
      <c r="E1297" s="258"/>
      <c r="F1297" s="258"/>
      <c r="G1297" s="258"/>
      <c r="H1297" s="271"/>
      <c r="I1297" s="258"/>
      <c r="J1297" s="272"/>
      <c r="K1297" s="260"/>
      <c r="L1297" s="261"/>
      <c r="M1297" s="262" t="str">
        <f t="shared" si="1"/>
        <v/>
      </c>
      <c r="N1297" s="263" t="str">
        <f t="shared" si="2"/>
        <v/>
      </c>
      <c r="O1297" s="264" t="str">
        <f t="shared" si="3"/>
        <v/>
      </c>
      <c r="P1297" s="265" t="str">
        <f>IFERROR(__xludf.DUMMYFUNCTION("IF(ISBLANK(A1297),"""",IFERROR(IF(H1297=""Sell"",VLOOKUP(9^99,FILTER({ROW(P$2:P1296),P$2:P1296},D$2:D1296=D1297),2),(VLOOKUP(9^99,FILTER({ROW(P$2:P1296),P$2:P1296},D$2:D1296=D1297),2)*VLOOKUP(9^99,FILTER({ROW(O$2:O1296),O$2:O1296},D$2:D1296=D1297),2)-N129"&amp;"7)/O1297),J1297))"),"")</f>
        <v/>
      </c>
      <c r="Q1297" s="264" t="str">
        <f>IFERROR(__xludf.DUMMYFUNCTION("IFERROR(IF(F1297=""Crypto"",B1297,(IF(ISBLANK(D1297),"""",IF(D1297=""Cash"",B1297,IF(GOOGLEFINANCE(D1297,""CURRENCY"")=""GBX"",""GBP"",GOOGLEFINANCE(D1297,""CURRENCY"")))))),B1297)"),"")</f>
        <v/>
      </c>
      <c r="R1297" s="263" t="str">
        <f>IFERROR(__xludf.DUMMYFUNCTION("IF(ISBLANK(A1297),"""",IFERROR(IF(OR(Q1297=""GPB"",Q1297=""ZAR""),IF(Q1297=Dashboard!$L$1,K1297,(K1297*GOOGLEFINANCE(""CURRENCY:""&amp;Q1297&amp;""""&amp;Dashboard!$L$1&amp;""""))/100),IF(Q1297=Dashboard!$L$1,K1297,K1297*GOOGLEFINANCE(""CURRENCY:""&amp;Q1297&amp;""""&amp;Dashboard!$"&amp;"L$1&amp;""""))),K1297))"),"")</f>
        <v/>
      </c>
      <c r="S1297" s="266" t="str">
        <f>IFERROR(__xludf.DUMMYFUNCTION("IF(ISBLANK(A1297),"""",IFERROR(IF(OR(Q1297=""GPB"",Q1297=""ZAR""),IF(Q1297=Dashboard!$L$1,M1297,(M1297*GOOGLEFINANCE(""CURRENCY:""&amp;Q1297&amp;""""&amp;Dashboard!$L$1&amp;""""))/100),IF(Q1297=Dashboard!$L$1,M1297,M1297*GOOGLEFINANCE(""CURRENCY:""&amp;Q1297&amp;""""&amp;Dashboard!$"&amp;"L$1&amp;""""))),M1297))"),"")</f>
        <v/>
      </c>
      <c r="T1297" s="264" t="str">
        <f t="shared" si="4"/>
        <v/>
      </c>
      <c r="U1297" s="264" t="str">
        <f t="shared" si="5"/>
        <v/>
      </c>
      <c r="V1297" s="264" t="str">
        <f t="shared" si="6"/>
        <v/>
      </c>
      <c r="W1297" s="267" t="str">
        <f t="shared" si="8"/>
        <v/>
      </c>
      <c r="X1297" s="264" t="str">
        <f t="shared" si="7"/>
        <v/>
      </c>
    </row>
    <row r="1298" ht="15.75" customHeight="1">
      <c r="A1298" s="258"/>
      <c r="B1298" s="258"/>
      <c r="C1298" s="269"/>
      <c r="D1298" s="258"/>
      <c r="E1298" s="258"/>
      <c r="F1298" s="258"/>
      <c r="G1298" s="258"/>
      <c r="H1298" s="271"/>
      <c r="I1298" s="258"/>
      <c r="J1298" s="272"/>
      <c r="K1298" s="260"/>
      <c r="L1298" s="261"/>
      <c r="M1298" s="262" t="str">
        <f t="shared" si="1"/>
        <v/>
      </c>
      <c r="N1298" s="263" t="str">
        <f t="shared" si="2"/>
        <v/>
      </c>
      <c r="O1298" s="264" t="str">
        <f t="shared" si="3"/>
        <v/>
      </c>
      <c r="P1298" s="265" t="str">
        <f>IFERROR(__xludf.DUMMYFUNCTION("IF(ISBLANK(A1298),"""",IFERROR(IF(H1298=""Sell"",VLOOKUP(9^99,FILTER({ROW(P$2:P1297),P$2:P1297},D$2:D1297=D1298),2),(VLOOKUP(9^99,FILTER({ROW(P$2:P1297),P$2:P1297},D$2:D1297=D1298),2)*VLOOKUP(9^99,FILTER({ROW(O$2:O1297),O$2:O1297},D$2:D1297=D1298),2)-N129"&amp;"8)/O1298),J1298))"),"")</f>
        <v/>
      </c>
      <c r="Q1298" s="264" t="str">
        <f>IFERROR(__xludf.DUMMYFUNCTION("IFERROR(IF(F1298=""Crypto"",B1298,(IF(ISBLANK(D1298),"""",IF(D1298=""Cash"",B1298,IF(GOOGLEFINANCE(D1298,""CURRENCY"")=""GBX"",""GBP"",GOOGLEFINANCE(D1298,""CURRENCY"")))))),B1298)"),"")</f>
        <v/>
      </c>
      <c r="R1298" s="263" t="str">
        <f>IFERROR(__xludf.DUMMYFUNCTION("IF(ISBLANK(A1298),"""",IFERROR(IF(OR(Q1298=""GPB"",Q1298=""ZAR""),IF(Q1298=Dashboard!$L$1,K1298,(K1298*GOOGLEFINANCE(""CURRENCY:""&amp;Q1298&amp;""""&amp;Dashboard!$L$1&amp;""""))/100),IF(Q1298=Dashboard!$L$1,K1298,K1298*GOOGLEFINANCE(""CURRENCY:""&amp;Q1298&amp;""""&amp;Dashboard!$"&amp;"L$1&amp;""""))),K1298))"),"")</f>
        <v/>
      </c>
      <c r="S1298" s="266" t="str">
        <f>IFERROR(__xludf.DUMMYFUNCTION("IF(ISBLANK(A1298),"""",IFERROR(IF(OR(Q1298=""GPB"",Q1298=""ZAR""),IF(Q1298=Dashboard!$L$1,M1298,(M1298*GOOGLEFINANCE(""CURRENCY:""&amp;Q1298&amp;""""&amp;Dashboard!$L$1&amp;""""))/100),IF(Q1298=Dashboard!$L$1,M1298,M1298*GOOGLEFINANCE(""CURRENCY:""&amp;Q1298&amp;""""&amp;Dashboard!$"&amp;"L$1&amp;""""))),M1298))"),"")</f>
        <v/>
      </c>
      <c r="T1298" s="264" t="str">
        <f t="shared" si="4"/>
        <v/>
      </c>
      <c r="U1298" s="264" t="str">
        <f t="shared" si="5"/>
        <v/>
      </c>
      <c r="V1298" s="264" t="str">
        <f t="shared" si="6"/>
        <v/>
      </c>
      <c r="W1298" s="267" t="str">
        <f t="shared" si="8"/>
        <v/>
      </c>
      <c r="X1298" s="264" t="str">
        <f t="shared" si="7"/>
        <v/>
      </c>
    </row>
    <row r="1299" ht="15.75" customHeight="1">
      <c r="A1299" s="258"/>
      <c r="B1299" s="258"/>
      <c r="C1299" s="269"/>
      <c r="D1299" s="258"/>
      <c r="E1299" s="258"/>
      <c r="F1299" s="258"/>
      <c r="G1299" s="258"/>
      <c r="H1299" s="271"/>
      <c r="I1299" s="258"/>
      <c r="J1299" s="272"/>
      <c r="K1299" s="260"/>
      <c r="L1299" s="261"/>
      <c r="M1299" s="262" t="str">
        <f t="shared" si="1"/>
        <v/>
      </c>
      <c r="N1299" s="263" t="str">
        <f t="shared" si="2"/>
        <v/>
      </c>
      <c r="O1299" s="264" t="str">
        <f t="shared" si="3"/>
        <v/>
      </c>
      <c r="P1299" s="265" t="str">
        <f>IFERROR(__xludf.DUMMYFUNCTION("IF(ISBLANK(A1299),"""",IFERROR(IF(H1299=""Sell"",VLOOKUP(9^99,FILTER({ROW(P$2:P1298),P$2:P1298},D$2:D1298=D1299),2),(VLOOKUP(9^99,FILTER({ROW(P$2:P1298),P$2:P1298},D$2:D1298=D1299),2)*VLOOKUP(9^99,FILTER({ROW(O$2:O1298),O$2:O1298},D$2:D1298=D1299),2)-N129"&amp;"9)/O1299),J1299))"),"")</f>
        <v/>
      </c>
      <c r="Q1299" s="264" t="str">
        <f>IFERROR(__xludf.DUMMYFUNCTION("IFERROR(IF(F1299=""Crypto"",B1299,(IF(ISBLANK(D1299),"""",IF(D1299=""Cash"",B1299,IF(GOOGLEFINANCE(D1299,""CURRENCY"")=""GBX"",""GBP"",GOOGLEFINANCE(D1299,""CURRENCY"")))))),B1299)"),"")</f>
        <v/>
      </c>
      <c r="R1299" s="263" t="str">
        <f>IFERROR(__xludf.DUMMYFUNCTION("IF(ISBLANK(A1299),"""",IFERROR(IF(OR(Q1299=""GPB"",Q1299=""ZAR""),IF(Q1299=Dashboard!$L$1,K1299,(K1299*GOOGLEFINANCE(""CURRENCY:""&amp;Q1299&amp;""""&amp;Dashboard!$L$1&amp;""""))/100),IF(Q1299=Dashboard!$L$1,K1299,K1299*GOOGLEFINANCE(""CURRENCY:""&amp;Q1299&amp;""""&amp;Dashboard!$"&amp;"L$1&amp;""""))),K1299))"),"")</f>
        <v/>
      </c>
      <c r="S1299" s="266" t="str">
        <f>IFERROR(__xludf.DUMMYFUNCTION("IF(ISBLANK(A1299),"""",IFERROR(IF(OR(Q1299=""GPB"",Q1299=""ZAR""),IF(Q1299=Dashboard!$L$1,M1299,(M1299*GOOGLEFINANCE(""CURRENCY:""&amp;Q1299&amp;""""&amp;Dashboard!$L$1&amp;""""))/100),IF(Q1299=Dashboard!$L$1,M1299,M1299*GOOGLEFINANCE(""CURRENCY:""&amp;Q1299&amp;""""&amp;Dashboard!$"&amp;"L$1&amp;""""))),M1299))"),"")</f>
        <v/>
      </c>
      <c r="T1299" s="264" t="str">
        <f t="shared" si="4"/>
        <v/>
      </c>
      <c r="U1299" s="264" t="str">
        <f t="shared" si="5"/>
        <v/>
      </c>
      <c r="V1299" s="264" t="str">
        <f t="shared" si="6"/>
        <v/>
      </c>
      <c r="W1299" s="267" t="str">
        <f t="shared" si="8"/>
        <v/>
      </c>
      <c r="X1299" s="264" t="str">
        <f t="shared" si="7"/>
        <v/>
      </c>
    </row>
    <row r="1300" ht="15.75" customHeight="1">
      <c r="A1300" s="258"/>
      <c r="B1300" s="258"/>
      <c r="C1300" s="269"/>
      <c r="D1300" s="258"/>
      <c r="E1300" s="258"/>
      <c r="F1300" s="258"/>
      <c r="G1300" s="258"/>
      <c r="H1300" s="271"/>
      <c r="I1300" s="258"/>
      <c r="J1300" s="272"/>
      <c r="K1300" s="260"/>
      <c r="L1300" s="261"/>
      <c r="M1300" s="262" t="str">
        <f t="shared" si="1"/>
        <v/>
      </c>
      <c r="N1300" s="263" t="str">
        <f t="shared" si="2"/>
        <v/>
      </c>
      <c r="O1300" s="264" t="str">
        <f t="shared" si="3"/>
        <v/>
      </c>
      <c r="P1300" s="265" t="str">
        <f>IFERROR(__xludf.DUMMYFUNCTION("IF(ISBLANK(A1300),"""",IFERROR(IF(H1300=""Sell"",VLOOKUP(9^99,FILTER({ROW(P$2:P1299),P$2:P1299},D$2:D1299=D1300),2),(VLOOKUP(9^99,FILTER({ROW(P$2:P1299),P$2:P1299},D$2:D1299=D1300),2)*VLOOKUP(9^99,FILTER({ROW(O$2:O1299),O$2:O1299},D$2:D1299=D1300),2)-N130"&amp;"0)/O1300),J1300))"),"")</f>
        <v/>
      </c>
      <c r="Q1300" s="264" t="str">
        <f>IFERROR(__xludf.DUMMYFUNCTION("IFERROR(IF(F1300=""Crypto"",B1300,(IF(ISBLANK(D1300),"""",IF(D1300=""Cash"",B1300,IF(GOOGLEFINANCE(D1300,""CURRENCY"")=""GBX"",""GBP"",GOOGLEFINANCE(D1300,""CURRENCY"")))))),B1300)"),"")</f>
        <v/>
      </c>
      <c r="R1300" s="263" t="str">
        <f>IFERROR(__xludf.DUMMYFUNCTION("IF(ISBLANK(A1300),"""",IFERROR(IF(OR(Q1300=""GPB"",Q1300=""ZAR""),IF(Q1300=Dashboard!$L$1,K1300,(K1300*GOOGLEFINANCE(""CURRENCY:""&amp;Q1300&amp;""""&amp;Dashboard!$L$1&amp;""""))/100),IF(Q1300=Dashboard!$L$1,K1300,K1300*GOOGLEFINANCE(""CURRENCY:""&amp;Q1300&amp;""""&amp;Dashboard!$"&amp;"L$1&amp;""""))),K1300))"),"")</f>
        <v/>
      </c>
      <c r="S1300" s="266" t="str">
        <f>IFERROR(__xludf.DUMMYFUNCTION("IF(ISBLANK(A1300),"""",IFERROR(IF(OR(Q1300=""GPB"",Q1300=""ZAR""),IF(Q1300=Dashboard!$L$1,M1300,(M1300*GOOGLEFINANCE(""CURRENCY:""&amp;Q1300&amp;""""&amp;Dashboard!$L$1&amp;""""))/100),IF(Q1300=Dashboard!$L$1,M1300,M1300*GOOGLEFINANCE(""CURRENCY:""&amp;Q1300&amp;""""&amp;Dashboard!$"&amp;"L$1&amp;""""))),M1300))"),"")</f>
        <v/>
      </c>
      <c r="T1300" s="264" t="str">
        <f t="shared" si="4"/>
        <v/>
      </c>
      <c r="U1300" s="264" t="str">
        <f t="shared" si="5"/>
        <v/>
      </c>
      <c r="V1300" s="264" t="str">
        <f t="shared" si="6"/>
        <v/>
      </c>
      <c r="W1300" s="267" t="str">
        <f t="shared" si="8"/>
        <v/>
      </c>
      <c r="X1300" s="264" t="str">
        <f t="shared" si="7"/>
        <v/>
      </c>
    </row>
    <row r="1301" ht="15.75" customHeight="1">
      <c r="A1301" s="258"/>
      <c r="B1301" s="258"/>
      <c r="C1301" s="269"/>
      <c r="D1301" s="258"/>
      <c r="E1301" s="258"/>
      <c r="F1301" s="258"/>
      <c r="G1301" s="258"/>
      <c r="H1301" s="271"/>
      <c r="I1301" s="258"/>
      <c r="J1301" s="272"/>
      <c r="K1301" s="260"/>
      <c r="L1301" s="261"/>
      <c r="M1301" s="262" t="str">
        <f t="shared" si="1"/>
        <v/>
      </c>
      <c r="N1301" s="263" t="str">
        <f t="shared" si="2"/>
        <v/>
      </c>
      <c r="O1301" s="264" t="str">
        <f t="shared" si="3"/>
        <v/>
      </c>
      <c r="P1301" s="265" t="str">
        <f>IFERROR(__xludf.DUMMYFUNCTION("IF(ISBLANK(A1301),"""",IFERROR(IF(H1301=""Sell"",VLOOKUP(9^99,FILTER({ROW(P$2:P1300),P$2:P1300},D$2:D1300=D1301),2),(VLOOKUP(9^99,FILTER({ROW(P$2:P1300),P$2:P1300},D$2:D1300=D1301),2)*VLOOKUP(9^99,FILTER({ROW(O$2:O1300),O$2:O1300},D$2:D1300=D1301),2)-N130"&amp;"1)/O1301),J1301))"),"")</f>
        <v/>
      </c>
      <c r="Q1301" s="264" t="str">
        <f>IFERROR(__xludf.DUMMYFUNCTION("IFERROR(IF(F1301=""Crypto"",B1301,(IF(ISBLANK(D1301),"""",IF(D1301=""Cash"",B1301,IF(GOOGLEFINANCE(D1301,""CURRENCY"")=""GBX"",""GBP"",GOOGLEFINANCE(D1301,""CURRENCY"")))))),B1301)"),"")</f>
        <v/>
      </c>
      <c r="R1301" s="263" t="str">
        <f>IFERROR(__xludf.DUMMYFUNCTION("IF(ISBLANK(A1301),"""",IFERROR(IF(OR(Q1301=""GPB"",Q1301=""ZAR""),IF(Q1301=Dashboard!$L$1,K1301,(K1301*GOOGLEFINANCE(""CURRENCY:""&amp;Q1301&amp;""""&amp;Dashboard!$L$1&amp;""""))/100),IF(Q1301=Dashboard!$L$1,K1301,K1301*GOOGLEFINANCE(""CURRENCY:""&amp;Q1301&amp;""""&amp;Dashboard!$"&amp;"L$1&amp;""""))),K1301))"),"")</f>
        <v/>
      </c>
      <c r="S1301" s="266" t="str">
        <f>IFERROR(__xludf.DUMMYFUNCTION("IF(ISBLANK(A1301),"""",IFERROR(IF(OR(Q1301=""GPB"",Q1301=""ZAR""),IF(Q1301=Dashboard!$L$1,M1301,(M1301*GOOGLEFINANCE(""CURRENCY:""&amp;Q1301&amp;""""&amp;Dashboard!$L$1&amp;""""))/100),IF(Q1301=Dashboard!$L$1,M1301,M1301*GOOGLEFINANCE(""CURRENCY:""&amp;Q1301&amp;""""&amp;Dashboard!$"&amp;"L$1&amp;""""))),M1301))"),"")</f>
        <v/>
      </c>
      <c r="T1301" s="264" t="str">
        <f t="shared" si="4"/>
        <v/>
      </c>
      <c r="U1301" s="264" t="str">
        <f t="shared" si="5"/>
        <v/>
      </c>
      <c r="V1301" s="264" t="str">
        <f t="shared" si="6"/>
        <v/>
      </c>
      <c r="W1301" s="267" t="str">
        <f t="shared" si="8"/>
        <v/>
      </c>
      <c r="X1301" s="264" t="str">
        <f t="shared" si="7"/>
        <v/>
      </c>
    </row>
    <row r="1302" ht="15.75" customHeight="1">
      <c r="A1302" s="258"/>
      <c r="B1302" s="258"/>
      <c r="C1302" s="269"/>
      <c r="D1302" s="258"/>
      <c r="E1302" s="258"/>
      <c r="F1302" s="258"/>
      <c r="G1302" s="258"/>
      <c r="H1302" s="271"/>
      <c r="I1302" s="258"/>
      <c r="J1302" s="272"/>
      <c r="K1302" s="260"/>
      <c r="L1302" s="261"/>
      <c r="M1302" s="262" t="str">
        <f t="shared" si="1"/>
        <v/>
      </c>
      <c r="N1302" s="263" t="str">
        <f t="shared" si="2"/>
        <v/>
      </c>
      <c r="O1302" s="264" t="str">
        <f t="shared" si="3"/>
        <v/>
      </c>
      <c r="P1302" s="265" t="str">
        <f>IFERROR(__xludf.DUMMYFUNCTION("IF(ISBLANK(A1302),"""",IFERROR(IF(H1302=""Sell"",VLOOKUP(9^99,FILTER({ROW(P$2:P1301),P$2:P1301},D$2:D1301=D1302),2),(VLOOKUP(9^99,FILTER({ROW(P$2:P1301),P$2:P1301},D$2:D1301=D1302),2)*VLOOKUP(9^99,FILTER({ROW(O$2:O1301),O$2:O1301},D$2:D1301=D1302),2)-N130"&amp;"2)/O1302),J1302))"),"")</f>
        <v/>
      </c>
      <c r="Q1302" s="264" t="str">
        <f>IFERROR(__xludf.DUMMYFUNCTION("IFERROR(IF(F1302=""Crypto"",B1302,(IF(ISBLANK(D1302),"""",IF(D1302=""Cash"",B1302,IF(GOOGLEFINANCE(D1302,""CURRENCY"")=""GBX"",""GBP"",GOOGLEFINANCE(D1302,""CURRENCY"")))))),B1302)"),"")</f>
        <v/>
      </c>
      <c r="R1302" s="263" t="str">
        <f>IFERROR(__xludf.DUMMYFUNCTION("IF(ISBLANK(A1302),"""",IFERROR(IF(OR(Q1302=""GPB"",Q1302=""ZAR""),IF(Q1302=Dashboard!$L$1,K1302,(K1302*GOOGLEFINANCE(""CURRENCY:""&amp;Q1302&amp;""""&amp;Dashboard!$L$1&amp;""""))/100),IF(Q1302=Dashboard!$L$1,K1302,K1302*GOOGLEFINANCE(""CURRENCY:""&amp;Q1302&amp;""""&amp;Dashboard!$"&amp;"L$1&amp;""""))),K1302))"),"")</f>
        <v/>
      </c>
      <c r="S1302" s="266" t="str">
        <f>IFERROR(__xludf.DUMMYFUNCTION("IF(ISBLANK(A1302),"""",IFERROR(IF(OR(Q1302=""GPB"",Q1302=""ZAR""),IF(Q1302=Dashboard!$L$1,M1302,(M1302*GOOGLEFINANCE(""CURRENCY:""&amp;Q1302&amp;""""&amp;Dashboard!$L$1&amp;""""))/100),IF(Q1302=Dashboard!$L$1,M1302,M1302*GOOGLEFINANCE(""CURRENCY:""&amp;Q1302&amp;""""&amp;Dashboard!$"&amp;"L$1&amp;""""))),M1302))"),"")</f>
        <v/>
      </c>
      <c r="T1302" s="264" t="str">
        <f t="shared" si="4"/>
        <v/>
      </c>
      <c r="U1302" s="264" t="str">
        <f t="shared" si="5"/>
        <v/>
      </c>
      <c r="V1302" s="264" t="str">
        <f t="shared" si="6"/>
        <v/>
      </c>
      <c r="W1302" s="267" t="str">
        <f t="shared" si="8"/>
        <v/>
      </c>
      <c r="X1302" s="264" t="str">
        <f t="shared" si="7"/>
        <v/>
      </c>
    </row>
    <row r="1303" ht="15.75" customHeight="1">
      <c r="A1303" s="258"/>
      <c r="B1303" s="258"/>
      <c r="C1303" s="269"/>
      <c r="D1303" s="258"/>
      <c r="E1303" s="258"/>
      <c r="F1303" s="258"/>
      <c r="G1303" s="258"/>
      <c r="H1303" s="271"/>
      <c r="I1303" s="258"/>
      <c r="J1303" s="272"/>
      <c r="K1303" s="260"/>
      <c r="L1303" s="261"/>
      <c r="M1303" s="262" t="str">
        <f t="shared" si="1"/>
        <v/>
      </c>
      <c r="N1303" s="263" t="str">
        <f t="shared" si="2"/>
        <v/>
      </c>
      <c r="O1303" s="264" t="str">
        <f t="shared" si="3"/>
        <v/>
      </c>
      <c r="P1303" s="265" t="str">
        <f>IFERROR(__xludf.DUMMYFUNCTION("IF(ISBLANK(A1303),"""",IFERROR(IF(H1303=""Sell"",VLOOKUP(9^99,FILTER({ROW(P$2:P1302),P$2:P1302},D$2:D1302=D1303),2),(VLOOKUP(9^99,FILTER({ROW(P$2:P1302),P$2:P1302},D$2:D1302=D1303),2)*VLOOKUP(9^99,FILTER({ROW(O$2:O1302),O$2:O1302},D$2:D1302=D1303),2)-N130"&amp;"3)/O1303),J1303))"),"")</f>
        <v/>
      </c>
      <c r="Q1303" s="264" t="str">
        <f>IFERROR(__xludf.DUMMYFUNCTION("IFERROR(IF(F1303=""Crypto"",B1303,(IF(ISBLANK(D1303),"""",IF(D1303=""Cash"",B1303,IF(GOOGLEFINANCE(D1303,""CURRENCY"")=""GBX"",""GBP"",GOOGLEFINANCE(D1303,""CURRENCY"")))))),B1303)"),"")</f>
        <v/>
      </c>
      <c r="R1303" s="263" t="str">
        <f>IFERROR(__xludf.DUMMYFUNCTION("IF(ISBLANK(A1303),"""",IFERROR(IF(OR(Q1303=""GPB"",Q1303=""ZAR""),IF(Q1303=Dashboard!$L$1,K1303,(K1303*GOOGLEFINANCE(""CURRENCY:""&amp;Q1303&amp;""""&amp;Dashboard!$L$1&amp;""""))/100),IF(Q1303=Dashboard!$L$1,K1303,K1303*GOOGLEFINANCE(""CURRENCY:""&amp;Q1303&amp;""""&amp;Dashboard!$"&amp;"L$1&amp;""""))),K1303))"),"")</f>
        <v/>
      </c>
      <c r="S1303" s="266" t="str">
        <f>IFERROR(__xludf.DUMMYFUNCTION("IF(ISBLANK(A1303),"""",IFERROR(IF(OR(Q1303=""GPB"",Q1303=""ZAR""),IF(Q1303=Dashboard!$L$1,M1303,(M1303*GOOGLEFINANCE(""CURRENCY:""&amp;Q1303&amp;""""&amp;Dashboard!$L$1&amp;""""))/100),IF(Q1303=Dashboard!$L$1,M1303,M1303*GOOGLEFINANCE(""CURRENCY:""&amp;Q1303&amp;""""&amp;Dashboard!$"&amp;"L$1&amp;""""))),M1303))"),"")</f>
        <v/>
      </c>
      <c r="T1303" s="264" t="str">
        <f t="shared" si="4"/>
        <v/>
      </c>
      <c r="U1303" s="264" t="str">
        <f t="shared" si="5"/>
        <v/>
      </c>
      <c r="V1303" s="264" t="str">
        <f t="shared" si="6"/>
        <v/>
      </c>
      <c r="W1303" s="267" t="str">
        <f t="shared" si="8"/>
        <v/>
      </c>
      <c r="X1303" s="264" t="str">
        <f t="shared" si="7"/>
        <v/>
      </c>
    </row>
    <row r="1304" ht="15.75" customHeight="1">
      <c r="A1304" s="258"/>
      <c r="B1304" s="258"/>
      <c r="C1304" s="269"/>
      <c r="D1304" s="258"/>
      <c r="E1304" s="258"/>
      <c r="F1304" s="258"/>
      <c r="G1304" s="258"/>
      <c r="H1304" s="271"/>
      <c r="I1304" s="258"/>
      <c r="J1304" s="272"/>
      <c r="K1304" s="260"/>
      <c r="L1304" s="261"/>
      <c r="M1304" s="262" t="str">
        <f t="shared" si="1"/>
        <v/>
      </c>
      <c r="N1304" s="263" t="str">
        <f t="shared" si="2"/>
        <v/>
      </c>
      <c r="O1304" s="264" t="str">
        <f t="shared" si="3"/>
        <v/>
      </c>
      <c r="P1304" s="265" t="str">
        <f>IFERROR(__xludf.DUMMYFUNCTION("IF(ISBLANK(A1304),"""",IFERROR(IF(H1304=""Sell"",VLOOKUP(9^99,FILTER({ROW(P$2:P1303),P$2:P1303},D$2:D1303=D1304),2),(VLOOKUP(9^99,FILTER({ROW(P$2:P1303),P$2:P1303},D$2:D1303=D1304),2)*VLOOKUP(9^99,FILTER({ROW(O$2:O1303),O$2:O1303},D$2:D1303=D1304),2)-N130"&amp;"4)/O1304),J1304))"),"")</f>
        <v/>
      </c>
      <c r="Q1304" s="264" t="str">
        <f>IFERROR(__xludf.DUMMYFUNCTION("IFERROR(IF(F1304=""Crypto"",B1304,(IF(ISBLANK(D1304),"""",IF(D1304=""Cash"",B1304,IF(GOOGLEFINANCE(D1304,""CURRENCY"")=""GBX"",""GBP"",GOOGLEFINANCE(D1304,""CURRENCY"")))))),B1304)"),"")</f>
        <v/>
      </c>
      <c r="R1304" s="263" t="str">
        <f>IFERROR(__xludf.DUMMYFUNCTION("IF(ISBLANK(A1304),"""",IFERROR(IF(OR(Q1304=""GPB"",Q1304=""ZAR""),IF(Q1304=Dashboard!$L$1,K1304,(K1304*GOOGLEFINANCE(""CURRENCY:""&amp;Q1304&amp;""""&amp;Dashboard!$L$1&amp;""""))/100),IF(Q1304=Dashboard!$L$1,K1304,K1304*GOOGLEFINANCE(""CURRENCY:""&amp;Q1304&amp;""""&amp;Dashboard!$"&amp;"L$1&amp;""""))),K1304))"),"")</f>
        <v/>
      </c>
      <c r="S1304" s="266" t="str">
        <f>IFERROR(__xludf.DUMMYFUNCTION("IF(ISBLANK(A1304),"""",IFERROR(IF(OR(Q1304=""GPB"",Q1304=""ZAR""),IF(Q1304=Dashboard!$L$1,M1304,(M1304*GOOGLEFINANCE(""CURRENCY:""&amp;Q1304&amp;""""&amp;Dashboard!$L$1&amp;""""))/100),IF(Q1304=Dashboard!$L$1,M1304,M1304*GOOGLEFINANCE(""CURRENCY:""&amp;Q1304&amp;""""&amp;Dashboard!$"&amp;"L$1&amp;""""))),M1304))"),"")</f>
        <v/>
      </c>
      <c r="T1304" s="264" t="str">
        <f t="shared" si="4"/>
        <v/>
      </c>
      <c r="U1304" s="264" t="str">
        <f t="shared" si="5"/>
        <v/>
      </c>
      <c r="V1304" s="264" t="str">
        <f t="shared" si="6"/>
        <v/>
      </c>
      <c r="W1304" s="267" t="str">
        <f t="shared" si="8"/>
        <v/>
      </c>
      <c r="X1304" s="264" t="str">
        <f t="shared" si="7"/>
        <v/>
      </c>
    </row>
    <row r="1305" ht="15.75" customHeight="1">
      <c r="A1305" s="258"/>
      <c r="B1305" s="258"/>
      <c r="C1305" s="269"/>
      <c r="D1305" s="258"/>
      <c r="E1305" s="258"/>
      <c r="F1305" s="258"/>
      <c r="G1305" s="258"/>
      <c r="H1305" s="271"/>
      <c r="I1305" s="258"/>
      <c r="J1305" s="272"/>
      <c r="K1305" s="260"/>
      <c r="L1305" s="261"/>
      <c r="M1305" s="262" t="str">
        <f t="shared" si="1"/>
        <v/>
      </c>
      <c r="N1305" s="263" t="str">
        <f t="shared" si="2"/>
        <v/>
      </c>
      <c r="O1305" s="264" t="str">
        <f t="shared" si="3"/>
        <v/>
      </c>
      <c r="P1305" s="265" t="str">
        <f>IFERROR(__xludf.DUMMYFUNCTION("IF(ISBLANK(A1305),"""",IFERROR(IF(H1305=""Sell"",VLOOKUP(9^99,FILTER({ROW(P$2:P1304),P$2:P1304},D$2:D1304=D1305),2),(VLOOKUP(9^99,FILTER({ROW(P$2:P1304),P$2:P1304},D$2:D1304=D1305),2)*VLOOKUP(9^99,FILTER({ROW(O$2:O1304),O$2:O1304},D$2:D1304=D1305),2)-N130"&amp;"5)/O1305),J1305))"),"")</f>
        <v/>
      </c>
      <c r="Q1305" s="264" t="str">
        <f>IFERROR(__xludf.DUMMYFUNCTION("IFERROR(IF(F1305=""Crypto"",B1305,(IF(ISBLANK(D1305),"""",IF(D1305=""Cash"",B1305,IF(GOOGLEFINANCE(D1305,""CURRENCY"")=""GBX"",""GBP"",GOOGLEFINANCE(D1305,""CURRENCY"")))))),B1305)"),"")</f>
        <v/>
      </c>
      <c r="R1305" s="263" t="str">
        <f>IFERROR(__xludf.DUMMYFUNCTION("IF(ISBLANK(A1305),"""",IFERROR(IF(OR(Q1305=""GPB"",Q1305=""ZAR""),IF(Q1305=Dashboard!$L$1,K1305,(K1305*GOOGLEFINANCE(""CURRENCY:""&amp;Q1305&amp;""""&amp;Dashboard!$L$1&amp;""""))/100),IF(Q1305=Dashboard!$L$1,K1305,K1305*GOOGLEFINANCE(""CURRENCY:""&amp;Q1305&amp;""""&amp;Dashboard!$"&amp;"L$1&amp;""""))),K1305))"),"")</f>
        <v/>
      </c>
      <c r="S1305" s="266" t="str">
        <f>IFERROR(__xludf.DUMMYFUNCTION("IF(ISBLANK(A1305),"""",IFERROR(IF(OR(Q1305=""GPB"",Q1305=""ZAR""),IF(Q1305=Dashboard!$L$1,M1305,(M1305*GOOGLEFINANCE(""CURRENCY:""&amp;Q1305&amp;""""&amp;Dashboard!$L$1&amp;""""))/100),IF(Q1305=Dashboard!$L$1,M1305,M1305*GOOGLEFINANCE(""CURRENCY:""&amp;Q1305&amp;""""&amp;Dashboard!$"&amp;"L$1&amp;""""))),M1305))"),"")</f>
        <v/>
      </c>
      <c r="T1305" s="264" t="str">
        <f t="shared" si="4"/>
        <v/>
      </c>
      <c r="U1305" s="264" t="str">
        <f t="shared" si="5"/>
        <v/>
      </c>
      <c r="V1305" s="264" t="str">
        <f t="shared" si="6"/>
        <v/>
      </c>
      <c r="W1305" s="267" t="str">
        <f t="shared" si="8"/>
        <v/>
      </c>
      <c r="X1305" s="264" t="str">
        <f t="shared" si="7"/>
        <v/>
      </c>
    </row>
    <row r="1306" ht="15.75" customHeight="1">
      <c r="A1306" s="258"/>
      <c r="B1306" s="258"/>
      <c r="C1306" s="269"/>
      <c r="D1306" s="258"/>
      <c r="E1306" s="258"/>
      <c r="F1306" s="258"/>
      <c r="G1306" s="258"/>
      <c r="H1306" s="271"/>
      <c r="I1306" s="258"/>
      <c r="J1306" s="272"/>
      <c r="K1306" s="260"/>
      <c r="L1306" s="261"/>
      <c r="M1306" s="262" t="str">
        <f t="shared" si="1"/>
        <v/>
      </c>
      <c r="N1306" s="263" t="str">
        <f t="shared" si="2"/>
        <v/>
      </c>
      <c r="O1306" s="264" t="str">
        <f t="shared" si="3"/>
        <v/>
      </c>
      <c r="P1306" s="265" t="str">
        <f>IFERROR(__xludf.DUMMYFUNCTION("IF(ISBLANK(A1306),"""",IFERROR(IF(H1306=""Sell"",VLOOKUP(9^99,FILTER({ROW(P$2:P1305),P$2:P1305},D$2:D1305=D1306),2),(VLOOKUP(9^99,FILTER({ROW(P$2:P1305),P$2:P1305},D$2:D1305=D1306),2)*VLOOKUP(9^99,FILTER({ROW(O$2:O1305),O$2:O1305},D$2:D1305=D1306),2)-N130"&amp;"6)/O1306),J1306))"),"")</f>
        <v/>
      </c>
      <c r="Q1306" s="264" t="str">
        <f>IFERROR(__xludf.DUMMYFUNCTION("IFERROR(IF(F1306=""Crypto"",B1306,(IF(ISBLANK(D1306),"""",IF(D1306=""Cash"",B1306,IF(GOOGLEFINANCE(D1306,""CURRENCY"")=""GBX"",""GBP"",GOOGLEFINANCE(D1306,""CURRENCY"")))))),B1306)"),"")</f>
        <v/>
      </c>
      <c r="R1306" s="263" t="str">
        <f>IFERROR(__xludf.DUMMYFUNCTION("IF(ISBLANK(A1306),"""",IFERROR(IF(OR(Q1306=""GPB"",Q1306=""ZAR""),IF(Q1306=Dashboard!$L$1,K1306,(K1306*GOOGLEFINANCE(""CURRENCY:""&amp;Q1306&amp;""""&amp;Dashboard!$L$1&amp;""""))/100),IF(Q1306=Dashboard!$L$1,K1306,K1306*GOOGLEFINANCE(""CURRENCY:""&amp;Q1306&amp;""""&amp;Dashboard!$"&amp;"L$1&amp;""""))),K1306))"),"")</f>
        <v/>
      </c>
      <c r="S1306" s="266" t="str">
        <f>IFERROR(__xludf.DUMMYFUNCTION("IF(ISBLANK(A1306),"""",IFERROR(IF(OR(Q1306=""GPB"",Q1306=""ZAR""),IF(Q1306=Dashboard!$L$1,M1306,(M1306*GOOGLEFINANCE(""CURRENCY:""&amp;Q1306&amp;""""&amp;Dashboard!$L$1&amp;""""))/100),IF(Q1306=Dashboard!$L$1,M1306,M1306*GOOGLEFINANCE(""CURRENCY:""&amp;Q1306&amp;""""&amp;Dashboard!$"&amp;"L$1&amp;""""))),M1306))"),"")</f>
        <v/>
      </c>
      <c r="T1306" s="264" t="str">
        <f t="shared" si="4"/>
        <v/>
      </c>
      <c r="U1306" s="264" t="str">
        <f t="shared" si="5"/>
        <v/>
      </c>
      <c r="V1306" s="264" t="str">
        <f t="shared" si="6"/>
        <v/>
      </c>
      <c r="W1306" s="267" t="str">
        <f t="shared" si="8"/>
        <v/>
      </c>
      <c r="X1306" s="264" t="str">
        <f t="shared" si="7"/>
        <v/>
      </c>
    </row>
    <row r="1307" ht="15.75" customHeight="1">
      <c r="A1307" s="258"/>
      <c r="B1307" s="258"/>
      <c r="C1307" s="269"/>
      <c r="D1307" s="258"/>
      <c r="E1307" s="258"/>
      <c r="F1307" s="258"/>
      <c r="G1307" s="258"/>
      <c r="H1307" s="271"/>
      <c r="I1307" s="258"/>
      <c r="J1307" s="272"/>
      <c r="K1307" s="260"/>
      <c r="L1307" s="261"/>
      <c r="M1307" s="262" t="str">
        <f t="shared" si="1"/>
        <v/>
      </c>
      <c r="N1307" s="263" t="str">
        <f t="shared" si="2"/>
        <v/>
      </c>
      <c r="O1307" s="264" t="str">
        <f t="shared" si="3"/>
        <v/>
      </c>
      <c r="P1307" s="265" t="str">
        <f>IFERROR(__xludf.DUMMYFUNCTION("IF(ISBLANK(A1307),"""",IFERROR(IF(H1307=""Sell"",VLOOKUP(9^99,FILTER({ROW(P$2:P1306),P$2:P1306},D$2:D1306=D1307),2),(VLOOKUP(9^99,FILTER({ROW(P$2:P1306),P$2:P1306},D$2:D1306=D1307),2)*VLOOKUP(9^99,FILTER({ROW(O$2:O1306),O$2:O1306},D$2:D1306=D1307),2)-N130"&amp;"7)/O1307),J1307))"),"")</f>
        <v/>
      </c>
      <c r="Q1307" s="264" t="str">
        <f>IFERROR(__xludf.DUMMYFUNCTION("IFERROR(IF(F1307=""Crypto"",B1307,(IF(ISBLANK(D1307),"""",IF(D1307=""Cash"",B1307,IF(GOOGLEFINANCE(D1307,""CURRENCY"")=""GBX"",""GBP"",GOOGLEFINANCE(D1307,""CURRENCY"")))))),B1307)"),"")</f>
        <v/>
      </c>
      <c r="R1307" s="263" t="str">
        <f>IFERROR(__xludf.DUMMYFUNCTION("IF(ISBLANK(A1307),"""",IFERROR(IF(OR(Q1307=""GPB"",Q1307=""ZAR""),IF(Q1307=Dashboard!$L$1,K1307,(K1307*GOOGLEFINANCE(""CURRENCY:""&amp;Q1307&amp;""""&amp;Dashboard!$L$1&amp;""""))/100),IF(Q1307=Dashboard!$L$1,K1307,K1307*GOOGLEFINANCE(""CURRENCY:""&amp;Q1307&amp;""""&amp;Dashboard!$"&amp;"L$1&amp;""""))),K1307))"),"")</f>
        <v/>
      </c>
      <c r="S1307" s="266" t="str">
        <f>IFERROR(__xludf.DUMMYFUNCTION("IF(ISBLANK(A1307),"""",IFERROR(IF(OR(Q1307=""GPB"",Q1307=""ZAR""),IF(Q1307=Dashboard!$L$1,M1307,(M1307*GOOGLEFINANCE(""CURRENCY:""&amp;Q1307&amp;""""&amp;Dashboard!$L$1&amp;""""))/100),IF(Q1307=Dashboard!$L$1,M1307,M1307*GOOGLEFINANCE(""CURRENCY:""&amp;Q1307&amp;""""&amp;Dashboard!$"&amp;"L$1&amp;""""))),M1307))"),"")</f>
        <v/>
      </c>
      <c r="T1307" s="264" t="str">
        <f t="shared" si="4"/>
        <v/>
      </c>
      <c r="U1307" s="264" t="str">
        <f t="shared" si="5"/>
        <v/>
      </c>
      <c r="V1307" s="264" t="str">
        <f t="shared" si="6"/>
        <v/>
      </c>
      <c r="W1307" s="267" t="str">
        <f t="shared" si="8"/>
        <v/>
      </c>
      <c r="X1307" s="264" t="str">
        <f t="shared" si="7"/>
        <v/>
      </c>
    </row>
    <row r="1308" ht="15.75" customHeight="1">
      <c r="A1308" s="258"/>
      <c r="B1308" s="258"/>
      <c r="C1308" s="269"/>
      <c r="D1308" s="258"/>
      <c r="E1308" s="258"/>
      <c r="F1308" s="258"/>
      <c r="G1308" s="258"/>
      <c r="H1308" s="271"/>
      <c r="I1308" s="258"/>
      <c r="J1308" s="272"/>
      <c r="K1308" s="260"/>
      <c r="L1308" s="261"/>
      <c r="M1308" s="262" t="str">
        <f t="shared" si="1"/>
        <v/>
      </c>
      <c r="N1308" s="263" t="str">
        <f t="shared" si="2"/>
        <v/>
      </c>
      <c r="O1308" s="264" t="str">
        <f t="shared" si="3"/>
        <v/>
      </c>
      <c r="P1308" s="265" t="str">
        <f>IFERROR(__xludf.DUMMYFUNCTION("IF(ISBLANK(A1308),"""",IFERROR(IF(H1308=""Sell"",VLOOKUP(9^99,FILTER({ROW(P$2:P1307),P$2:P1307},D$2:D1307=D1308),2),(VLOOKUP(9^99,FILTER({ROW(P$2:P1307),P$2:P1307},D$2:D1307=D1308),2)*VLOOKUP(9^99,FILTER({ROW(O$2:O1307),O$2:O1307},D$2:D1307=D1308),2)-N130"&amp;"8)/O1308),J1308))"),"")</f>
        <v/>
      </c>
      <c r="Q1308" s="264" t="str">
        <f>IFERROR(__xludf.DUMMYFUNCTION("IFERROR(IF(F1308=""Crypto"",B1308,(IF(ISBLANK(D1308),"""",IF(D1308=""Cash"",B1308,IF(GOOGLEFINANCE(D1308,""CURRENCY"")=""GBX"",""GBP"",GOOGLEFINANCE(D1308,""CURRENCY"")))))),B1308)"),"")</f>
        <v/>
      </c>
      <c r="R1308" s="263" t="str">
        <f>IFERROR(__xludf.DUMMYFUNCTION("IF(ISBLANK(A1308),"""",IFERROR(IF(OR(Q1308=""GPB"",Q1308=""ZAR""),IF(Q1308=Dashboard!$L$1,K1308,(K1308*GOOGLEFINANCE(""CURRENCY:""&amp;Q1308&amp;""""&amp;Dashboard!$L$1&amp;""""))/100),IF(Q1308=Dashboard!$L$1,K1308,K1308*GOOGLEFINANCE(""CURRENCY:""&amp;Q1308&amp;""""&amp;Dashboard!$"&amp;"L$1&amp;""""))),K1308))"),"")</f>
        <v/>
      </c>
      <c r="S1308" s="266" t="str">
        <f>IFERROR(__xludf.DUMMYFUNCTION("IF(ISBLANK(A1308),"""",IFERROR(IF(OR(Q1308=""GPB"",Q1308=""ZAR""),IF(Q1308=Dashboard!$L$1,M1308,(M1308*GOOGLEFINANCE(""CURRENCY:""&amp;Q1308&amp;""""&amp;Dashboard!$L$1&amp;""""))/100),IF(Q1308=Dashboard!$L$1,M1308,M1308*GOOGLEFINANCE(""CURRENCY:""&amp;Q1308&amp;""""&amp;Dashboard!$"&amp;"L$1&amp;""""))),M1308))"),"")</f>
        <v/>
      </c>
      <c r="T1308" s="264" t="str">
        <f t="shared" si="4"/>
        <v/>
      </c>
      <c r="U1308" s="264" t="str">
        <f t="shared" si="5"/>
        <v/>
      </c>
      <c r="V1308" s="264" t="str">
        <f t="shared" si="6"/>
        <v/>
      </c>
      <c r="W1308" s="267" t="str">
        <f t="shared" si="8"/>
        <v/>
      </c>
      <c r="X1308" s="264" t="str">
        <f t="shared" si="7"/>
        <v/>
      </c>
    </row>
    <row r="1309" ht="15.75" customHeight="1">
      <c r="A1309" s="258"/>
      <c r="B1309" s="258"/>
      <c r="C1309" s="269"/>
      <c r="D1309" s="258"/>
      <c r="E1309" s="258"/>
      <c r="F1309" s="258"/>
      <c r="G1309" s="258"/>
      <c r="H1309" s="271"/>
      <c r="I1309" s="258"/>
      <c r="J1309" s="272"/>
      <c r="K1309" s="260"/>
      <c r="L1309" s="261"/>
      <c r="M1309" s="262" t="str">
        <f t="shared" si="1"/>
        <v/>
      </c>
      <c r="N1309" s="263" t="str">
        <f t="shared" si="2"/>
        <v/>
      </c>
      <c r="O1309" s="264" t="str">
        <f t="shared" si="3"/>
        <v/>
      </c>
      <c r="P1309" s="265" t="str">
        <f>IFERROR(__xludf.DUMMYFUNCTION("IF(ISBLANK(A1309),"""",IFERROR(IF(H1309=""Sell"",VLOOKUP(9^99,FILTER({ROW(P$2:P1308),P$2:P1308},D$2:D1308=D1309),2),(VLOOKUP(9^99,FILTER({ROW(P$2:P1308),P$2:P1308},D$2:D1308=D1309),2)*VLOOKUP(9^99,FILTER({ROW(O$2:O1308),O$2:O1308},D$2:D1308=D1309),2)-N130"&amp;"9)/O1309),J1309))"),"")</f>
        <v/>
      </c>
      <c r="Q1309" s="264" t="str">
        <f>IFERROR(__xludf.DUMMYFUNCTION("IFERROR(IF(F1309=""Crypto"",B1309,(IF(ISBLANK(D1309),"""",IF(D1309=""Cash"",B1309,IF(GOOGLEFINANCE(D1309,""CURRENCY"")=""GBX"",""GBP"",GOOGLEFINANCE(D1309,""CURRENCY"")))))),B1309)"),"")</f>
        <v/>
      </c>
      <c r="R1309" s="263" t="str">
        <f>IFERROR(__xludf.DUMMYFUNCTION("IF(ISBLANK(A1309),"""",IFERROR(IF(OR(Q1309=""GPB"",Q1309=""ZAR""),IF(Q1309=Dashboard!$L$1,K1309,(K1309*GOOGLEFINANCE(""CURRENCY:""&amp;Q1309&amp;""""&amp;Dashboard!$L$1&amp;""""))/100),IF(Q1309=Dashboard!$L$1,K1309,K1309*GOOGLEFINANCE(""CURRENCY:""&amp;Q1309&amp;""""&amp;Dashboard!$"&amp;"L$1&amp;""""))),K1309))"),"")</f>
        <v/>
      </c>
      <c r="S1309" s="266" t="str">
        <f>IFERROR(__xludf.DUMMYFUNCTION("IF(ISBLANK(A1309),"""",IFERROR(IF(OR(Q1309=""GPB"",Q1309=""ZAR""),IF(Q1309=Dashboard!$L$1,M1309,(M1309*GOOGLEFINANCE(""CURRENCY:""&amp;Q1309&amp;""""&amp;Dashboard!$L$1&amp;""""))/100),IF(Q1309=Dashboard!$L$1,M1309,M1309*GOOGLEFINANCE(""CURRENCY:""&amp;Q1309&amp;""""&amp;Dashboard!$"&amp;"L$1&amp;""""))),M1309))"),"")</f>
        <v/>
      </c>
      <c r="T1309" s="264" t="str">
        <f t="shared" si="4"/>
        <v/>
      </c>
      <c r="U1309" s="264" t="str">
        <f t="shared" si="5"/>
        <v/>
      </c>
      <c r="V1309" s="264" t="str">
        <f t="shared" si="6"/>
        <v/>
      </c>
      <c r="W1309" s="267" t="str">
        <f t="shared" si="8"/>
        <v/>
      </c>
      <c r="X1309" s="264" t="str">
        <f t="shared" si="7"/>
        <v/>
      </c>
    </row>
    <row r="1310" ht="15.75" customHeight="1">
      <c r="A1310" s="258"/>
      <c r="B1310" s="258"/>
      <c r="C1310" s="269"/>
      <c r="D1310" s="258"/>
      <c r="E1310" s="258"/>
      <c r="F1310" s="258"/>
      <c r="G1310" s="258"/>
      <c r="H1310" s="271"/>
      <c r="I1310" s="258"/>
      <c r="J1310" s="272"/>
      <c r="K1310" s="260"/>
      <c r="L1310" s="261"/>
      <c r="M1310" s="262" t="str">
        <f t="shared" si="1"/>
        <v/>
      </c>
      <c r="N1310" s="263" t="str">
        <f t="shared" si="2"/>
        <v/>
      </c>
      <c r="O1310" s="264" t="str">
        <f t="shared" si="3"/>
        <v/>
      </c>
      <c r="P1310" s="265" t="str">
        <f>IFERROR(__xludf.DUMMYFUNCTION("IF(ISBLANK(A1310),"""",IFERROR(IF(H1310=""Sell"",VLOOKUP(9^99,FILTER({ROW(P$2:P1309),P$2:P1309},D$2:D1309=D1310),2),(VLOOKUP(9^99,FILTER({ROW(P$2:P1309),P$2:P1309},D$2:D1309=D1310),2)*VLOOKUP(9^99,FILTER({ROW(O$2:O1309),O$2:O1309},D$2:D1309=D1310),2)-N131"&amp;"0)/O1310),J1310))"),"")</f>
        <v/>
      </c>
      <c r="Q1310" s="264" t="str">
        <f>IFERROR(__xludf.DUMMYFUNCTION("IFERROR(IF(F1310=""Crypto"",B1310,(IF(ISBLANK(D1310),"""",IF(D1310=""Cash"",B1310,IF(GOOGLEFINANCE(D1310,""CURRENCY"")=""GBX"",""GBP"",GOOGLEFINANCE(D1310,""CURRENCY"")))))),B1310)"),"")</f>
        <v/>
      </c>
      <c r="R1310" s="263" t="str">
        <f>IFERROR(__xludf.DUMMYFUNCTION("IF(ISBLANK(A1310),"""",IFERROR(IF(OR(Q1310=""GPB"",Q1310=""ZAR""),IF(Q1310=Dashboard!$L$1,K1310,(K1310*GOOGLEFINANCE(""CURRENCY:""&amp;Q1310&amp;""""&amp;Dashboard!$L$1&amp;""""))/100),IF(Q1310=Dashboard!$L$1,K1310,K1310*GOOGLEFINANCE(""CURRENCY:""&amp;Q1310&amp;""""&amp;Dashboard!$"&amp;"L$1&amp;""""))),K1310))"),"")</f>
        <v/>
      </c>
      <c r="S1310" s="266" t="str">
        <f>IFERROR(__xludf.DUMMYFUNCTION("IF(ISBLANK(A1310),"""",IFERROR(IF(OR(Q1310=""GPB"",Q1310=""ZAR""),IF(Q1310=Dashboard!$L$1,M1310,(M1310*GOOGLEFINANCE(""CURRENCY:""&amp;Q1310&amp;""""&amp;Dashboard!$L$1&amp;""""))/100),IF(Q1310=Dashboard!$L$1,M1310,M1310*GOOGLEFINANCE(""CURRENCY:""&amp;Q1310&amp;""""&amp;Dashboard!$"&amp;"L$1&amp;""""))),M1310))"),"")</f>
        <v/>
      </c>
      <c r="T1310" s="264" t="str">
        <f t="shared" si="4"/>
        <v/>
      </c>
      <c r="U1310" s="264" t="str">
        <f t="shared" si="5"/>
        <v/>
      </c>
      <c r="V1310" s="264" t="str">
        <f t="shared" si="6"/>
        <v/>
      </c>
      <c r="W1310" s="267" t="str">
        <f t="shared" si="8"/>
        <v/>
      </c>
      <c r="X1310" s="264" t="str">
        <f t="shared" si="7"/>
        <v/>
      </c>
    </row>
    <row r="1311" ht="15.75" customHeight="1">
      <c r="A1311" s="258"/>
      <c r="B1311" s="258"/>
      <c r="C1311" s="269"/>
      <c r="D1311" s="258"/>
      <c r="E1311" s="258"/>
      <c r="F1311" s="258"/>
      <c r="G1311" s="258"/>
      <c r="H1311" s="271"/>
      <c r="I1311" s="258"/>
      <c r="J1311" s="272"/>
      <c r="K1311" s="260"/>
      <c r="L1311" s="261"/>
      <c r="M1311" s="262" t="str">
        <f t="shared" si="1"/>
        <v/>
      </c>
      <c r="N1311" s="263" t="str">
        <f t="shared" si="2"/>
        <v/>
      </c>
      <c r="O1311" s="264" t="str">
        <f t="shared" si="3"/>
        <v/>
      </c>
      <c r="P1311" s="265" t="str">
        <f>IFERROR(__xludf.DUMMYFUNCTION("IF(ISBLANK(A1311),"""",IFERROR(IF(H1311=""Sell"",VLOOKUP(9^99,FILTER({ROW(P$2:P1310),P$2:P1310},D$2:D1310=D1311),2),(VLOOKUP(9^99,FILTER({ROW(P$2:P1310),P$2:P1310},D$2:D1310=D1311),2)*VLOOKUP(9^99,FILTER({ROW(O$2:O1310),O$2:O1310},D$2:D1310=D1311),2)-N131"&amp;"1)/O1311),J1311))"),"")</f>
        <v/>
      </c>
      <c r="Q1311" s="264" t="str">
        <f>IFERROR(__xludf.DUMMYFUNCTION("IFERROR(IF(F1311=""Crypto"",B1311,(IF(ISBLANK(D1311),"""",IF(D1311=""Cash"",B1311,IF(GOOGLEFINANCE(D1311,""CURRENCY"")=""GBX"",""GBP"",GOOGLEFINANCE(D1311,""CURRENCY"")))))),B1311)"),"")</f>
        <v/>
      </c>
      <c r="R1311" s="263" t="str">
        <f>IFERROR(__xludf.DUMMYFUNCTION("IF(ISBLANK(A1311),"""",IFERROR(IF(OR(Q1311=""GPB"",Q1311=""ZAR""),IF(Q1311=Dashboard!$L$1,K1311,(K1311*GOOGLEFINANCE(""CURRENCY:""&amp;Q1311&amp;""""&amp;Dashboard!$L$1&amp;""""))/100),IF(Q1311=Dashboard!$L$1,K1311,K1311*GOOGLEFINANCE(""CURRENCY:""&amp;Q1311&amp;""""&amp;Dashboard!$"&amp;"L$1&amp;""""))),K1311))"),"")</f>
        <v/>
      </c>
      <c r="S1311" s="266" t="str">
        <f>IFERROR(__xludf.DUMMYFUNCTION("IF(ISBLANK(A1311),"""",IFERROR(IF(OR(Q1311=""GPB"",Q1311=""ZAR""),IF(Q1311=Dashboard!$L$1,M1311,(M1311*GOOGLEFINANCE(""CURRENCY:""&amp;Q1311&amp;""""&amp;Dashboard!$L$1&amp;""""))/100),IF(Q1311=Dashboard!$L$1,M1311,M1311*GOOGLEFINANCE(""CURRENCY:""&amp;Q1311&amp;""""&amp;Dashboard!$"&amp;"L$1&amp;""""))),M1311))"),"")</f>
        <v/>
      </c>
      <c r="T1311" s="264" t="str">
        <f t="shared" si="4"/>
        <v/>
      </c>
      <c r="U1311" s="264" t="str">
        <f t="shared" si="5"/>
        <v/>
      </c>
      <c r="V1311" s="264" t="str">
        <f t="shared" si="6"/>
        <v/>
      </c>
      <c r="W1311" s="267" t="str">
        <f t="shared" si="8"/>
        <v/>
      </c>
      <c r="X1311" s="264" t="str">
        <f t="shared" si="7"/>
        <v/>
      </c>
    </row>
    <row r="1312" ht="15.75" customHeight="1">
      <c r="A1312" s="258"/>
      <c r="B1312" s="258"/>
      <c r="C1312" s="269"/>
      <c r="D1312" s="258"/>
      <c r="E1312" s="258"/>
      <c r="F1312" s="258"/>
      <c r="G1312" s="258"/>
      <c r="H1312" s="271"/>
      <c r="I1312" s="258"/>
      <c r="J1312" s="272"/>
      <c r="K1312" s="260"/>
      <c r="L1312" s="261"/>
      <c r="M1312" s="262" t="str">
        <f t="shared" si="1"/>
        <v/>
      </c>
      <c r="N1312" s="263" t="str">
        <f t="shared" si="2"/>
        <v/>
      </c>
      <c r="O1312" s="264" t="str">
        <f t="shared" si="3"/>
        <v/>
      </c>
      <c r="P1312" s="265" t="str">
        <f>IFERROR(__xludf.DUMMYFUNCTION("IF(ISBLANK(A1312),"""",IFERROR(IF(H1312=""Sell"",VLOOKUP(9^99,FILTER({ROW(P$2:P1311),P$2:P1311},D$2:D1311=D1312),2),(VLOOKUP(9^99,FILTER({ROW(P$2:P1311),P$2:P1311},D$2:D1311=D1312),2)*VLOOKUP(9^99,FILTER({ROW(O$2:O1311),O$2:O1311},D$2:D1311=D1312),2)-N131"&amp;"2)/O1312),J1312))"),"")</f>
        <v/>
      </c>
      <c r="Q1312" s="264" t="str">
        <f>IFERROR(__xludf.DUMMYFUNCTION("IFERROR(IF(F1312=""Crypto"",B1312,(IF(ISBLANK(D1312),"""",IF(D1312=""Cash"",B1312,IF(GOOGLEFINANCE(D1312,""CURRENCY"")=""GBX"",""GBP"",GOOGLEFINANCE(D1312,""CURRENCY"")))))),B1312)"),"")</f>
        <v/>
      </c>
      <c r="R1312" s="263" t="str">
        <f>IFERROR(__xludf.DUMMYFUNCTION("IF(ISBLANK(A1312),"""",IFERROR(IF(OR(Q1312=""GPB"",Q1312=""ZAR""),IF(Q1312=Dashboard!$L$1,K1312,(K1312*GOOGLEFINANCE(""CURRENCY:""&amp;Q1312&amp;""""&amp;Dashboard!$L$1&amp;""""))/100),IF(Q1312=Dashboard!$L$1,K1312,K1312*GOOGLEFINANCE(""CURRENCY:""&amp;Q1312&amp;""""&amp;Dashboard!$"&amp;"L$1&amp;""""))),K1312))"),"")</f>
        <v/>
      </c>
      <c r="S1312" s="266" t="str">
        <f>IFERROR(__xludf.DUMMYFUNCTION("IF(ISBLANK(A1312),"""",IFERROR(IF(OR(Q1312=""GPB"",Q1312=""ZAR""),IF(Q1312=Dashboard!$L$1,M1312,(M1312*GOOGLEFINANCE(""CURRENCY:""&amp;Q1312&amp;""""&amp;Dashboard!$L$1&amp;""""))/100),IF(Q1312=Dashboard!$L$1,M1312,M1312*GOOGLEFINANCE(""CURRENCY:""&amp;Q1312&amp;""""&amp;Dashboard!$"&amp;"L$1&amp;""""))),M1312))"),"")</f>
        <v/>
      </c>
      <c r="T1312" s="264" t="str">
        <f t="shared" si="4"/>
        <v/>
      </c>
      <c r="U1312" s="264" t="str">
        <f t="shared" si="5"/>
        <v/>
      </c>
      <c r="V1312" s="264" t="str">
        <f t="shared" si="6"/>
        <v/>
      </c>
      <c r="W1312" s="267" t="str">
        <f t="shared" si="8"/>
        <v/>
      </c>
      <c r="X1312" s="264" t="str">
        <f t="shared" si="7"/>
        <v/>
      </c>
    </row>
    <row r="1313" ht="15.75" customHeight="1">
      <c r="A1313" s="258"/>
      <c r="B1313" s="258"/>
      <c r="C1313" s="269"/>
      <c r="D1313" s="258"/>
      <c r="E1313" s="258"/>
      <c r="F1313" s="258"/>
      <c r="G1313" s="258"/>
      <c r="H1313" s="271"/>
      <c r="I1313" s="258"/>
      <c r="J1313" s="272"/>
      <c r="K1313" s="260"/>
      <c r="L1313" s="261"/>
      <c r="M1313" s="262" t="str">
        <f t="shared" si="1"/>
        <v/>
      </c>
      <c r="N1313" s="263" t="str">
        <f t="shared" si="2"/>
        <v/>
      </c>
      <c r="O1313" s="264" t="str">
        <f t="shared" si="3"/>
        <v/>
      </c>
      <c r="P1313" s="265" t="str">
        <f>IFERROR(__xludf.DUMMYFUNCTION("IF(ISBLANK(A1313),"""",IFERROR(IF(H1313=""Sell"",VLOOKUP(9^99,FILTER({ROW(P$2:P1312),P$2:P1312},D$2:D1312=D1313),2),(VLOOKUP(9^99,FILTER({ROW(P$2:P1312),P$2:P1312},D$2:D1312=D1313),2)*VLOOKUP(9^99,FILTER({ROW(O$2:O1312),O$2:O1312},D$2:D1312=D1313),2)-N131"&amp;"3)/O1313),J1313))"),"")</f>
        <v/>
      </c>
      <c r="Q1313" s="264" t="str">
        <f>IFERROR(__xludf.DUMMYFUNCTION("IFERROR(IF(F1313=""Crypto"",B1313,(IF(ISBLANK(D1313),"""",IF(D1313=""Cash"",B1313,IF(GOOGLEFINANCE(D1313,""CURRENCY"")=""GBX"",""GBP"",GOOGLEFINANCE(D1313,""CURRENCY"")))))),B1313)"),"")</f>
        <v/>
      </c>
      <c r="R1313" s="263" t="str">
        <f>IFERROR(__xludf.DUMMYFUNCTION("IF(ISBLANK(A1313),"""",IFERROR(IF(OR(Q1313=""GPB"",Q1313=""ZAR""),IF(Q1313=Dashboard!$L$1,K1313,(K1313*GOOGLEFINANCE(""CURRENCY:""&amp;Q1313&amp;""""&amp;Dashboard!$L$1&amp;""""))/100),IF(Q1313=Dashboard!$L$1,K1313,K1313*GOOGLEFINANCE(""CURRENCY:""&amp;Q1313&amp;""""&amp;Dashboard!$"&amp;"L$1&amp;""""))),K1313))"),"")</f>
        <v/>
      </c>
      <c r="S1313" s="266" t="str">
        <f>IFERROR(__xludf.DUMMYFUNCTION("IF(ISBLANK(A1313),"""",IFERROR(IF(OR(Q1313=""GPB"",Q1313=""ZAR""),IF(Q1313=Dashboard!$L$1,M1313,(M1313*GOOGLEFINANCE(""CURRENCY:""&amp;Q1313&amp;""""&amp;Dashboard!$L$1&amp;""""))/100),IF(Q1313=Dashboard!$L$1,M1313,M1313*GOOGLEFINANCE(""CURRENCY:""&amp;Q1313&amp;""""&amp;Dashboard!$"&amp;"L$1&amp;""""))),M1313))"),"")</f>
        <v/>
      </c>
      <c r="T1313" s="264" t="str">
        <f t="shared" si="4"/>
        <v/>
      </c>
      <c r="U1313" s="264" t="str">
        <f t="shared" si="5"/>
        <v/>
      </c>
      <c r="V1313" s="264" t="str">
        <f t="shared" si="6"/>
        <v/>
      </c>
      <c r="W1313" s="267" t="str">
        <f t="shared" si="8"/>
        <v/>
      </c>
      <c r="X1313" s="264" t="str">
        <f t="shared" si="7"/>
        <v/>
      </c>
    </row>
    <row r="1314" ht="15.75" customHeight="1">
      <c r="A1314" s="258"/>
      <c r="B1314" s="258"/>
      <c r="C1314" s="269"/>
      <c r="D1314" s="258"/>
      <c r="E1314" s="258"/>
      <c r="F1314" s="258"/>
      <c r="G1314" s="258"/>
      <c r="H1314" s="271"/>
      <c r="I1314" s="258"/>
      <c r="J1314" s="272"/>
      <c r="K1314" s="260"/>
      <c r="L1314" s="261"/>
      <c r="M1314" s="262" t="str">
        <f t="shared" si="1"/>
        <v/>
      </c>
      <c r="N1314" s="263" t="str">
        <f t="shared" si="2"/>
        <v/>
      </c>
      <c r="O1314" s="264" t="str">
        <f t="shared" si="3"/>
        <v/>
      </c>
      <c r="P1314" s="265" t="str">
        <f>IFERROR(__xludf.DUMMYFUNCTION("IF(ISBLANK(A1314),"""",IFERROR(IF(H1314=""Sell"",VLOOKUP(9^99,FILTER({ROW(P$2:P1313),P$2:P1313},D$2:D1313=D1314),2),(VLOOKUP(9^99,FILTER({ROW(P$2:P1313),P$2:P1313},D$2:D1313=D1314),2)*VLOOKUP(9^99,FILTER({ROW(O$2:O1313),O$2:O1313},D$2:D1313=D1314),2)-N131"&amp;"4)/O1314),J1314))"),"")</f>
        <v/>
      </c>
      <c r="Q1314" s="264" t="str">
        <f>IFERROR(__xludf.DUMMYFUNCTION("IFERROR(IF(F1314=""Crypto"",B1314,(IF(ISBLANK(D1314),"""",IF(D1314=""Cash"",B1314,IF(GOOGLEFINANCE(D1314,""CURRENCY"")=""GBX"",""GBP"",GOOGLEFINANCE(D1314,""CURRENCY"")))))),B1314)"),"")</f>
        <v/>
      </c>
      <c r="R1314" s="263" t="str">
        <f>IFERROR(__xludf.DUMMYFUNCTION("IF(ISBLANK(A1314),"""",IFERROR(IF(OR(Q1314=""GPB"",Q1314=""ZAR""),IF(Q1314=Dashboard!$L$1,K1314,(K1314*GOOGLEFINANCE(""CURRENCY:""&amp;Q1314&amp;""""&amp;Dashboard!$L$1&amp;""""))/100),IF(Q1314=Dashboard!$L$1,K1314,K1314*GOOGLEFINANCE(""CURRENCY:""&amp;Q1314&amp;""""&amp;Dashboard!$"&amp;"L$1&amp;""""))),K1314))"),"")</f>
        <v/>
      </c>
      <c r="S1314" s="266" t="str">
        <f>IFERROR(__xludf.DUMMYFUNCTION("IF(ISBLANK(A1314),"""",IFERROR(IF(OR(Q1314=""GPB"",Q1314=""ZAR""),IF(Q1314=Dashboard!$L$1,M1314,(M1314*GOOGLEFINANCE(""CURRENCY:""&amp;Q1314&amp;""""&amp;Dashboard!$L$1&amp;""""))/100),IF(Q1314=Dashboard!$L$1,M1314,M1314*GOOGLEFINANCE(""CURRENCY:""&amp;Q1314&amp;""""&amp;Dashboard!$"&amp;"L$1&amp;""""))),M1314))"),"")</f>
        <v/>
      </c>
      <c r="T1314" s="264" t="str">
        <f t="shared" si="4"/>
        <v/>
      </c>
      <c r="U1314" s="264" t="str">
        <f t="shared" si="5"/>
        <v/>
      </c>
      <c r="V1314" s="264" t="str">
        <f t="shared" si="6"/>
        <v/>
      </c>
      <c r="W1314" s="267" t="str">
        <f t="shared" si="8"/>
        <v/>
      </c>
      <c r="X1314" s="264" t="str">
        <f t="shared" si="7"/>
        <v/>
      </c>
    </row>
    <row r="1315" ht="15.75" customHeight="1">
      <c r="A1315" s="258"/>
      <c r="B1315" s="258"/>
      <c r="C1315" s="269"/>
      <c r="D1315" s="258"/>
      <c r="E1315" s="258"/>
      <c r="F1315" s="258"/>
      <c r="G1315" s="258"/>
      <c r="H1315" s="271"/>
      <c r="I1315" s="258"/>
      <c r="J1315" s="272"/>
      <c r="K1315" s="260"/>
      <c r="L1315" s="261"/>
      <c r="M1315" s="262" t="str">
        <f t="shared" si="1"/>
        <v/>
      </c>
      <c r="N1315" s="263" t="str">
        <f t="shared" si="2"/>
        <v/>
      </c>
      <c r="O1315" s="264" t="str">
        <f t="shared" si="3"/>
        <v/>
      </c>
      <c r="P1315" s="265" t="str">
        <f>IFERROR(__xludf.DUMMYFUNCTION("IF(ISBLANK(A1315),"""",IFERROR(IF(H1315=""Sell"",VLOOKUP(9^99,FILTER({ROW(P$2:P1314),P$2:P1314},D$2:D1314=D1315),2),(VLOOKUP(9^99,FILTER({ROW(P$2:P1314),P$2:P1314},D$2:D1314=D1315),2)*VLOOKUP(9^99,FILTER({ROW(O$2:O1314),O$2:O1314},D$2:D1314=D1315),2)-N131"&amp;"5)/O1315),J1315))"),"")</f>
        <v/>
      </c>
      <c r="Q1315" s="264" t="str">
        <f>IFERROR(__xludf.DUMMYFUNCTION("IFERROR(IF(F1315=""Crypto"",B1315,(IF(ISBLANK(D1315),"""",IF(D1315=""Cash"",B1315,IF(GOOGLEFINANCE(D1315,""CURRENCY"")=""GBX"",""GBP"",GOOGLEFINANCE(D1315,""CURRENCY"")))))),B1315)"),"")</f>
        <v/>
      </c>
      <c r="R1315" s="263" t="str">
        <f>IFERROR(__xludf.DUMMYFUNCTION("IF(ISBLANK(A1315),"""",IFERROR(IF(OR(Q1315=""GPB"",Q1315=""ZAR""),IF(Q1315=Dashboard!$L$1,K1315,(K1315*GOOGLEFINANCE(""CURRENCY:""&amp;Q1315&amp;""""&amp;Dashboard!$L$1&amp;""""))/100),IF(Q1315=Dashboard!$L$1,K1315,K1315*GOOGLEFINANCE(""CURRENCY:""&amp;Q1315&amp;""""&amp;Dashboard!$"&amp;"L$1&amp;""""))),K1315))"),"")</f>
        <v/>
      </c>
      <c r="S1315" s="266" t="str">
        <f>IFERROR(__xludf.DUMMYFUNCTION("IF(ISBLANK(A1315),"""",IFERROR(IF(OR(Q1315=""GPB"",Q1315=""ZAR""),IF(Q1315=Dashboard!$L$1,M1315,(M1315*GOOGLEFINANCE(""CURRENCY:""&amp;Q1315&amp;""""&amp;Dashboard!$L$1&amp;""""))/100),IF(Q1315=Dashboard!$L$1,M1315,M1315*GOOGLEFINANCE(""CURRENCY:""&amp;Q1315&amp;""""&amp;Dashboard!$"&amp;"L$1&amp;""""))),M1315))"),"")</f>
        <v/>
      </c>
      <c r="T1315" s="264" t="str">
        <f t="shared" si="4"/>
        <v/>
      </c>
      <c r="U1315" s="264" t="str">
        <f t="shared" si="5"/>
        <v/>
      </c>
      <c r="V1315" s="264" t="str">
        <f t="shared" si="6"/>
        <v/>
      </c>
      <c r="W1315" s="267" t="str">
        <f t="shared" si="8"/>
        <v/>
      </c>
      <c r="X1315" s="264" t="str">
        <f t="shared" si="7"/>
        <v/>
      </c>
    </row>
    <row r="1316" ht="15.75" customHeight="1">
      <c r="A1316" s="258"/>
      <c r="B1316" s="258"/>
      <c r="C1316" s="269"/>
      <c r="D1316" s="258"/>
      <c r="E1316" s="258"/>
      <c r="F1316" s="258"/>
      <c r="G1316" s="258"/>
      <c r="H1316" s="271"/>
      <c r="I1316" s="258"/>
      <c r="J1316" s="272"/>
      <c r="K1316" s="260"/>
      <c r="L1316" s="261"/>
      <c r="M1316" s="262" t="str">
        <f t="shared" si="1"/>
        <v/>
      </c>
      <c r="N1316" s="263" t="str">
        <f t="shared" si="2"/>
        <v/>
      </c>
      <c r="O1316" s="264" t="str">
        <f t="shared" si="3"/>
        <v/>
      </c>
      <c r="P1316" s="265" t="str">
        <f>IFERROR(__xludf.DUMMYFUNCTION("IF(ISBLANK(A1316),"""",IFERROR(IF(H1316=""Sell"",VLOOKUP(9^99,FILTER({ROW(P$2:P1315),P$2:P1315},D$2:D1315=D1316),2),(VLOOKUP(9^99,FILTER({ROW(P$2:P1315),P$2:P1315},D$2:D1315=D1316),2)*VLOOKUP(9^99,FILTER({ROW(O$2:O1315),O$2:O1315},D$2:D1315=D1316),2)-N131"&amp;"6)/O1316),J1316))"),"")</f>
        <v/>
      </c>
      <c r="Q1316" s="264" t="str">
        <f>IFERROR(__xludf.DUMMYFUNCTION("IFERROR(IF(F1316=""Crypto"",B1316,(IF(ISBLANK(D1316),"""",IF(D1316=""Cash"",B1316,IF(GOOGLEFINANCE(D1316,""CURRENCY"")=""GBX"",""GBP"",GOOGLEFINANCE(D1316,""CURRENCY"")))))),B1316)"),"")</f>
        <v/>
      </c>
      <c r="R1316" s="263" t="str">
        <f>IFERROR(__xludf.DUMMYFUNCTION("IF(ISBLANK(A1316),"""",IFERROR(IF(OR(Q1316=""GPB"",Q1316=""ZAR""),IF(Q1316=Dashboard!$L$1,K1316,(K1316*GOOGLEFINANCE(""CURRENCY:""&amp;Q1316&amp;""""&amp;Dashboard!$L$1&amp;""""))/100),IF(Q1316=Dashboard!$L$1,K1316,K1316*GOOGLEFINANCE(""CURRENCY:""&amp;Q1316&amp;""""&amp;Dashboard!$"&amp;"L$1&amp;""""))),K1316))"),"")</f>
        <v/>
      </c>
      <c r="S1316" s="266" t="str">
        <f>IFERROR(__xludf.DUMMYFUNCTION("IF(ISBLANK(A1316),"""",IFERROR(IF(OR(Q1316=""GPB"",Q1316=""ZAR""),IF(Q1316=Dashboard!$L$1,M1316,(M1316*GOOGLEFINANCE(""CURRENCY:""&amp;Q1316&amp;""""&amp;Dashboard!$L$1&amp;""""))/100),IF(Q1316=Dashboard!$L$1,M1316,M1316*GOOGLEFINANCE(""CURRENCY:""&amp;Q1316&amp;""""&amp;Dashboard!$"&amp;"L$1&amp;""""))),M1316))"),"")</f>
        <v/>
      </c>
      <c r="T1316" s="264" t="str">
        <f t="shared" si="4"/>
        <v/>
      </c>
      <c r="U1316" s="264" t="str">
        <f t="shared" si="5"/>
        <v/>
      </c>
      <c r="V1316" s="264" t="str">
        <f t="shared" si="6"/>
        <v/>
      </c>
      <c r="W1316" s="267" t="str">
        <f t="shared" si="8"/>
        <v/>
      </c>
      <c r="X1316" s="264" t="str">
        <f t="shared" si="7"/>
        <v/>
      </c>
    </row>
    <row r="1317" ht="15.75" customHeight="1">
      <c r="A1317" s="258"/>
      <c r="B1317" s="258"/>
      <c r="C1317" s="269"/>
      <c r="D1317" s="258"/>
      <c r="E1317" s="258"/>
      <c r="F1317" s="258"/>
      <c r="G1317" s="258"/>
      <c r="H1317" s="271"/>
      <c r="I1317" s="258"/>
      <c r="J1317" s="272"/>
      <c r="K1317" s="260"/>
      <c r="L1317" s="261"/>
      <c r="M1317" s="262" t="str">
        <f t="shared" si="1"/>
        <v/>
      </c>
      <c r="N1317" s="263" t="str">
        <f t="shared" si="2"/>
        <v/>
      </c>
      <c r="O1317" s="264" t="str">
        <f t="shared" si="3"/>
        <v/>
      </c>
      <c r="P1317" s="265" t="str">
        <f>IFERROR(__xludf.DUMMYFUNCTION("IF(ISBLANK(A1317),"""",IFERROR(IF(H1317=""Sell"",VLOOKUP(9^99,FILTER({ROW(P$2:P1316),P$2:P1316},D$2:D1316=D1317),2),(VLOOKUP(9^99,FILTER({ROW(P$2:P1316),P$2:P1316},D$2:D1316=D1317),2)*VLOOKUP(9^99,FILTER({ROW(O$2:O1316),O$2:O1316},D$2:D1316=D1317),2)-N131"&amp;"7)/O1317),J1317))"),"")</f>
        <v/>
      </c>
      <c r="Q1317" s="264" t="str">
        <f>IFERROR(__xludf.DUMMYFUNCTION("IFERROR(IF(F1317=""Crypto"",B1317,(IF(ISBLANK(D1317),"""",IF(D1317=""Cash"",B1317,IF(GOOGLEFINANCE(D1317,""CURRENCY"")=""GBX"",""GBP"",GOOGLEFINANCE(D1317,""CURRENCY"")))))),B1317)"),"")</f>
        <v/>
      </c>
      <c r="R1317" s="263" t="str">
        <f>IFERROR(__xludf.DUMMYFUNCTION("IF(ISBLANK(A1317),"""",IFERROR(IF(OR(Q1317=""GPB"",Q1317=""ZAR""),IF(Q1317=Dashboard!$L$1,K1317,(K1317*GOOGLEFINANCE(""CURRENCY:""&amp;Q1317&amp;""""&amp;Dashboard!$L$1&amp;""""))/100),IF(Q1317=Dashboard!$L$1,K1317,K1317*GOOGLEFINANCE(""CURRENCY:""&amp;Q1317&amp;""""&amp;Dashboard!$"&amp;"L$1&amp;""""))),K1317))"),"")</f>
        <v/>
      </c>
      <c r="S1317" s="266" t="str">
        <f>IFERROR(__xludf.DUMMYFUNCTION("IF(ISBLANK(A1317),"""",IFERROR(IF(OR(Q1317=""GPB"",Q1317=""ZAR""),IF(Q1317=Dashboard!$L$1,M1317,(M1317*GOOGLEFINANCE(""CURRENCY:""&amp;Q1317&amp;""""&amp;Dashboard!$L$1&amp;""""))/100),IF(Q1317=Dashboard!$L$1,M1317,M1317*GOOGLEFINANCE(""CURRENCY:""&amp;Q1317&amp;""""&amp;Dashboard!$"&amp;"L$1&amp;""""))),M1317))"),"")</f>
        <v/>
      </c>
      <c r="T1317" s="264" t="str">
        <f t="shared" si="4"/>
        <v/>
      </c>
      <c r="U1317" s="264" t="str">
        <f t="shared" si="5"/>
        <v/>
      </c>
      <c r="V1317" s="264" t="str">
        <f t="shared" si="6"/>
        <v/>
      </c>
      <c r="W1317" s="267" t="str">
        <f t="shared" si="8"/>
        <v/>
      </c>
      <c r="X1317" s="264" t="str">
        <f t="shared" si="7"/>
        <v/>
      </c>
    </row>
    <row r="1318" ht="15.75" customHeight="1">
      <c r="A1318" s="258"/>
      <c r="B1318" s="258"/>
      <c r="C1318" s="269"/>
      <c r="D1318" s="258"/>
      <c r="E1318" s="258"/>
      <c r="F1318" s="258"/>
      <c r="G1318" s="258"/>
      <c r="H1318" s="271"/>
      <c r="I1318" s="258"/>
      <c r="J1318" s="272"/>
      <c r="K1318" s="260"/>
      <c r="L1318" s="261"/>
      <c r="M1318" s="262" t="str">
        <f t="shared" si="1"/>
        <v/>
      </c>
      <c r="N1318" s="263" t="str">
        <f t="shared" si="2"/>
        <v/>
      </c>
      <c r="O1318" s="264" t="str">
        <f t="shared" si="3"/>
        <v/>
      </c>
      <c r="P1318" s="265" t="str">
        <f>IFERROR(__xludf.DUMMYFUNCTION("IF(ISBLANK(A1318),"""",IFERROR(IF(H1318=""Sell"",VLOOKUP(9^99,FILTER({ROW(P$2:P1317),P$2:P1317},D$2:D1317=D1318),2),(VLOOKUP(9^99,FILTER({ROW(P$2:P1317),P$2:P1317},D$2:D1317=D1318),2)*VLOOKUP(9^99,FILTER({ROW(O$2:O1317),O$2:O1317},D$2:D1317=D1318),2)-N131"&amp;"8)/O1318),J1318))"),"")</f>
        <v/>
      </c>
      <c r="Q1318" s="264" t="str">
        <f>IFERROR(__xludf.DUMMYFUNCTION("IFERROR(IF(F1318=""Crypto"",B1318,(IF(ISBLANK(D1318),"""",IF(D1318=""Cash"",B1318,IF(GOOGLEFINANCE(D1318,""CURRENCY"")=""GBX"",""GBP"",GOOGLEFINANCE(D1318,""CURRENCY"")))))),B1318)"),"")</f>
        <v/>
      </c>
      <c r="R1318" s="263" t="str">
        <f>IFERROR(__xludf.DUMMYFUNCTION("IF(ISBLANK(A1318),"""",IFERROR(IF(OR(Q1318=""GPB"",Q1318=""ZAR""),IF(Q1318=Dashboard!$L$1,K1318,(K1318*GOOGLEFINANCE(""CURRENCY:""&amp;Q1318&amp;""""&amp;Dashboard!$L$1&amp;""""))/100),IF(Q1318=Dashboard!$L$1,K1318,K1318*GOOGLEFINANCE(""CURRENCY:""&amp;Q1318&amp;""""&amp;Dashboard!$"&amp;"L$1&amp;""""))),K1318))"),"")</f>
        <v/>
      </c>
      <c r="S1318" s="266" t="str">
        <f>IFERROR(__xludf.DUMMYFUNCTION("IF(ISBLANK(A1318),"""",IFERROR(IF(OR(Q1318=""GPB"",Q1318=""ZAR""),IF(Q1318=Dashboard!$L$1,M1318,(M1318*GOOGLEFINANCE(""CURRENCY:""&amp;Q1318&amp;""""&amp;Dashboard!$L$1&amp;""""))/100),IF(Q1318=Dashboard!$L$1,M1318,M1318*GOOGLEFINANCE(""CURRENCY:""&amp;Q1318&amp;""""&amp;Dashboard!$"&amp;"L$1&amp;""""))),M1318))"),"")</f>
        <v/>
      </c>
      <c r="T1318" s="264" t="str">
        <f t="shared" si="4"/>
        <v/>
      </c>
      <c r="U1318" s="264" t="str">
        <f t="shared" si="5"/>
        <v/>
      </c>
      <c r="V1318" s="264" t="str">
        <f t="shared" si="6"/>
        <v/>
      </c>
      <c r="W1318" s="267" t="str">
        <f t="shared" si="8"/>
        <v/>
      </c>
      <c r="X1318" s="264" t="str">
        <f t="shared" si="7"/>
        <v/>
      </c>
    </row>
    <row r="1319" ht="15.75" customHeight="1">
      <c r="A1319" s="258"/>
      <c r="B1319" s="258"/>
      <c r="C1319" s="269"/>
      <c r="D1319" s="258"/>
      <c r="E1319" s="258"/>
      <c r="F1319" s="258"/>
      <c r="G1319" s="258"/>
      <c r="H1319" s="271"/>
      <c r="I1319" s="258"/>
      <c r="J1319" s="272"/>
      <c r="K1319" s="260"/>
      <c r="L1319" s="261"/>
      <c r="M1319" s="262" t="str">
        <f t="shared" si="1"/>
        <v/>
      </c>
      <c r="N1319" s="263" t="str">
        <f t="shared" si="2"/>
        <v/>
      </c>
      <c r="O1319" s="264" t="str">
        <f t="shared" si="3"/>
        <v/>
      </c>
      <c r="P1319" s="265" t="str">
        <f>IFERROR(__xludf.DUMMYFUNCTION("IF(ISBLANK(A1319),"""",IFERROR(IF(H1319=""Sell"",VLOOKUP(9^99,FILTER({ROW(P$2:P1318),P$2:P1318},D$2:D1318=D1319),2),(VLOOKUP(9^99,FILTER({ROW(P$2:P1318),P$2:P1318},D$2:D1318=D1319),2)*VLOOKUP(9^99,FILTER({ROW(O$2:O1318),O$2:O1318},D$2:D1318=D1319),2)-N131"&amp;"9)/O1319),J1319))"),"")</f>
        <v/>
      </c>
      <c r="Q1319" s="264" t="str">
        <f>IFERROR(__xludf.DUMMYFUNCTION("IFERROR(IF(F1319=""Crypto"",B1319,(IF(ISBLANK(D1319),"""",IF(D1319=""Cash"",B1319,IF(GOOGLEFINANCE(D1319,""CURRENCY"")=""GBX"",""GBP"",GOOGLEFINANCE(D1319,""CURRENCY"")))))),B1319)"),"")</f>
        <v/>
      </c>
      <c r="R1319" s="263" t="str">
        <f>IFERROR(__xludf.DUMMYFUNCTION("IF(ISBLANK(A1319),"""",IFERROR(IF(OR(Q1319=""GPB"",Q1319=""ZAR""),IF(Q1319=Dashboard!$L$1,K1319,(K1319*GOOGLEFINANCE(""CURRENCY:""&amp;Q1319&amp;""""&amp;Dashboard!$L$1&amp;""""))/100),IF(Q1319=Dashboard!$L$1,K1319,K1319*GOOGLEFINANCE(""CURRENCY:""&amp;Q1319&amp;""""&amp;Dashboard!$"&amp;"L$1&amp;""""))),K1319))"),"")</f>
        <v/>
      </c>
      <c r="S1319" s="266" t="str">
        <f>IFERROR(__xludf.DUMMYFUNCTION("IF(ISBLANK(A1319),"""",IFERROR(IF(OR(Q1319=""GPB"",Q1319=""ZAR""),IF(Q1319=Dashboard!$L$1,M1319,(M1319*GOOGLEFINANCE(""CURRENCY:""&amp;Q1319&amp;""""&amp;Dashboard!$L$1&amp;""""))/100),IF(Q1319=Dashboard!$L$1,M1319,M1319*GOOGLEFINANCE(""CURRENCY:""&amp;Q1319&amp;""""&amp;Dashboard!$"&amp;"L$1&amp;""""))),M1319))"),"")</f>
        <v/>
      </c>
      <c r="T1319" s="264" t="str">
        <f t="shared" si="4"/>
        <v/>
      </c>
      <c r="U1319" s="264" t="str">
        <f t="shared" si="5"/>
        <v/>
      </c>
      <c r="V1319" s="264" t="str">
        <f t="shared" si="6"/>
        <v/>
      </c>
      <c r="W1319" s="267" t="str">
        <f t="shared" si="8"/>
        <v/>
      </c>
      <c r="X1319" s="264" t="str">
        <f t="shared" si="7"/>
        <v/>
      </c>
    </row>
    <row r="1320" ht="15.75" customHeight="1">
      <c r="A1320" s="258"/>
      <c r="B1320" s="258"/>
      <c r="C1320" s="269"/>
      <c r="D1320" s="258"/>
      <c r="E1320" s="258"/>
      <c r="F1320" s="258"/>
      <c r="G1320" s="258"/>
      <c r="H1320" s="271"/>
      <c r="I1320" s="258"/>
      <c r="J1320" s="272"/>
      <c r="K1320" s="260"/>
      <c r="L1320" s="261"/>
      <c r="M1320" s="262" t="str">
        <f t="shared" si="1"/>
        <v/>
      </c>
      <c r="N1320" s="263" t="str">
        <f t="shared" si="2"/>
        <v/>
      </c>
      <c r="O1320" s="264" t="str">
        <f t="shared" si="3"/>
        <v/>
      </c>
      <c r="P1320" s="265" t="str">
        <f>IFERROR(__xludf.DUMMYFUNCTION("IF(ISBLANK(A1320),"""",IFERROR(IF(H1320=""Sell"",VLOOKUP(9^99,FILTER({ROW(P$2:P1319),P$2:P1319},D$2:D1319=D1320),2),(VLOOKUP(9^99,FILTER({ROW(P$2:P1319),P$2:P1319},D$2:D1319=D1320),2)*VLOOKUP(9^99,FILTER({ROW(O$2:O1319),O$2:O1319},D$2:D1319=D1320),2)-N132"&amp;"0)/O1320),J1320))"),"")</f>
        <v/>
      </c>
      <c r="Q1320" s="264" t="str">
        <f>IFERROR(__xludf.DUMMYFUNCTION("IFERROR(IF(F1320=""Crypto"",B1320,(IF(ISBLANK(D1320),"""",IF(D1320=""Cash"",B1320,IF(GOOGLEFINANCE(D1320,""CURRENCY"")=""GBX"",""GBP"",GOOGLEFINANCE(D1320,""CURRENCY"")))))),B1320)"),"")</f>
        <v/>
      </c>
      <c r="R1320" s="263" t="str">
        <f>IFERROR(__xludf.DUMMYFUNCTION("IF(ISBLANK(A1320),"""",IFERROR(IF(OR(Q1320=""GPB"",Q1320=""ZAR""),IF(Q1320=Dashboard!$L$1,K1320,(K1320*GOOGLEFINANCE(""CURRENCY:""&amp;Q1320&amp;""""&amp;Dashboard!$L$1&amp;""""))/100),IF(Q1320=Dashboard!$L$1,K1320,K1320*GOOGLEFINANCE(""CURRENCY:""&amp;Q1320&amp;""""&amp;Dashboard!$"&amp;"L$1&amp;""""))),K1320))"),"")</f>
        <v/>
      </c>
      <c r="S1320" s="266" t="str">
        <f>IFERROR(__xludf.DUMMYFUNCTION("IF(ISBLANK(A1320),"""",IFERROR(IF(OR(Q1320=""GPB"",Q1320=""ZAR""),IF(Q1320=Dashboard!$L$1,M1320,(M1320*GOOGLEFINANCE(""CURRENCY:""&amp;Q1320&amp;""""&amp;Dashboard!$L$1&amp;""""))/100),IF(Q1320=Dashboard!$L$1,M1320,M1320*GOOGLEFINANCE(""CURRENCY:""&amp;Q1320&amp;""""&amp;Dashboard!$"&amp;"L$1&amp;""""))),M1320))"),"")</f>
        <v/>
      </c>
      <c r="T1320" s="264" t="str">
        <f t="shared" si="4"/>
        <v/>
      </c>
      <c r="U1320" s="264" t="str">
        <f t="shared" si="5"/>
        <v/>
      </c>
      <c r="V1320" s="264" t="str">
        <f t="shared" si="6"/>
        <v/>
      </c>
      <c r="W1320" s="267" t="str">
        <f t="shared" si="8"/>
        <v/>
      </c>
      <c r="X1320" s="264" t="str">
        <f t="shared" si="7"/>
        <v/>
      </c>
    </row>
    <row r="1321" ht="15.75" customHeight="1">
      <c r="A1321" s="258"/>
      <c r="B1321" s="258"/>
      <c r="C1321" s="269"/>
      <c r="D1321" s="258"/>
      <c r="E1321" s="258"/>
      <c r="F1321" s="258"/>
      <c r="G1321" s="258"/>
      <c r="H1321" s="271"/>
      <c r="I1321" s="258"/>
      <c r="J1321" s="272"/>
      <c r="K1321" s="260"/>
      <c r="L1321" s="261"/>
      <c r="M1321" s="262" t="str">
        <f t="shared" si="1"/>
        <v/>
      </c>
      <c r="N1321" s="263" t="str">
        <f t="shared" si="2"/>
        <v/>
      </c>
      <c r="O1321" s="264" t="str">
        <f t="shared" si="3"/>
        <v/>
      </c>
      <c r="P1321" s="265" t="str">
        <f>IFERROR(__xludf.DUMMYFUNCTION("IF(ISBLANK(A1321),"""",IFERROR(IF(H1321=""Sell"",VLOOKUP(9^99,FILTER({ROW(P$2:P1320),P$2:P1320},D$2:D1320=D1321),2),(VLOOKUP(9^99,FILTER({ROW(P$2:P1320),P$2:P1320},D$2:D1320=D1321),2)*VLOOKUP(9^99,FILTER({ROW(O$2:O1320),O$2:O1320},D$2:D1320=D1321),2)-N132"&amp;"1)/O1321),J1321))"),"")</f>
        <v/>
      </c>
      <c r="Q1321" s="264" t="str">
        <f>IFERROR(__xludf.DUMMYFUNCTION("IFERROR(IF(F1321=""Crypto"",B1321,(IF(ISBLANK(D1321),"""",IF(D1321=""Cash"",B1321,IF(GOOGLEFINANCE(D1321,""CURRENCY"")=""GBX"",""GBP"",GOOGLEFINANCE(D1321,""CURRENCY"")))))),B1321)"),"")</f>
        <v/>
      </c>
      <c r="R1321" s="263" t="str">
        <f>IFERROR(__xludf.DUMMYFUNCTION("IF(ISBLANK(A1321),"""",IFERROR(IF(OR(Q1321=""GPB"",Q1321=""ZAR""),IF(Q1321=Dashboard!$L$1,K1321,(K1321*GOOGLEFINANCE(""CURRENCY:""&amp;Q1321&amp;""""&amp;Dashboard!$L$1&amp;""""))/100),IF(Q1321=Dashboard!$L$1,K1321,K1321*GOOGLEFINANCE(""CURRENCY:""&amp;Q1321&amp;""""&amp;Dashboard!$"&amp;"L$1&amp;""""))),K1321))"),"")</f>
        <v/>
      </c>
      <c r="S1321" s="266" t="str">
        <f>IFERROR(__xludf.DUMMYFUNCTION("IF(ISBLANK(A1321),"""",IFERROR(IF(OR(Q1321=""GPB"",Q1321=""ZAR""),IF(Q1321=Dashboard!$L$1,M1321,(M1321*GOOGLEFINANCE(""CURRENCY:""&amp;Q1321&amp;""""&amp;Dashboard!$L$1&amp;""""))/100),IF(Q1321=Dashboard!$L$1,M1321,M1321*GOOGLEFINANCE(""CURRENCY:""&amp;Q1321&amp;""""&amp;Dashboard!$"&amp;"L$1&amp;""""))),M1321))"),"")</f>
        <v/>
      </c>
      <c r="T1321" s="264" t="str">
        <f t="shared" si="4"/>
        <v/>
      </c>
      <c r="U1321" s="264" t="str">
        <f t="shared" si="5"/>
        <v/>
      </c>
      <c r="V1321" s="264" t="str">
        <f t="shared" si="6"/>
        <v/>
      </c>
      <c r="W1321" s="267" t="str">
        <f t="shared" si="8"/>
        <v/>
      </c>
      <c r="X1321" s="264" t="str">
        <f t="shared" si="7"/>
        <v/>
      </c>
    </row>
    <row r="1322" ht="15.75" customHeight="1">
      <c r="A1322" s="258"/>
      <c r="B1322" s="258"/>
      <c r="C1322" s="269"/>
      <c r="D1322" s="258"/>
      <c r="E1322" s="258"/>
      <c r="F1322" s="258"/>
      <c r="G1322" s="258"/>
      <c r="H1322" s="271"/>
      <c r="I1322" s="258"/>
      <c r="J1322" s="272"/>
      <c r="K1322" s="260"/>
      <c r="L1322" s="261"/>
      <c r="M1322" s="262" t="str">
        <f t="shared" si="1"/>
        <v/>
      </c>
      <c r="N1322" s="263" t="str">
        <f t="shared" si="2"/>
        <v/>
      </c>
      <c r="O1322" s="264" t="str">
        <f t="shared" si="3"/>
        <v/>
      </c>
      <c r="P1322" s="265" t="str">
        <f>IFERROR(__xludf.DUMMYFUNCTION("IF(ISBLANK(A1322),"""",IFERROR(IF(H1322=""Sell"",VLOOKUP(9^99,FILTER({ROW(P$2:P1321),P$2:P1321},D$2:D1321=D1322),2),(VLOOKUP(9^99,FILTER({ROW(P$2:P1321),P$2:P1321},D$2:D1321=D1322),2)*VLOOKUP(9^99,FILTER({ROW(O$2:O1321),O$2:O1321},D$2:D1321=D1322),2)-N132"&amp;"2)/O1322),J1322))"),"")</f>
        <v/>
      </c>
      <c r="Q1322" s="264" t="str">
        <f>IFERROR(__xludf.DUMMYFUNCTION("IFERROR(IF(F1322=""Crypto"",B1322,(IF(ISBLANK(D1322),"""",IF(D1322=""Cash"",B1322,IF(GOOGLEFINANCE(D1322,""CURRENCY"")=""GBX"",""GBP"",GOOGLEFINANCE(D1322,""CURRENCY"")))))),B1322)"),"")</f>
        <v/>
      </c>
      <c r="R1322" s="263" t="str">
        <f>IFERROR(__xludf.DUMMYFUNCTION("IF(ISBLANK(A1322),"""",IFERROR(IF(OR(Q1322=""GPB"",Q1322=""ZAR""),IF(Q1322=Dashboard!$L$1,K1322,(K1322*GOOGLEFINANCE(""CURRENCY:""&amp;Q1322&amp;""""&amp;Dashboard!$L$1&amp;""""))/100),IF(Q1322=Dashboard!$L$1,K1322,K1322*GOOGLEFINANCE(""CURRENCY:""&amp;Q1322&amp;""""&amp;Dashboard!$"&amp;"L$1&amp;""""))),K1322))"),"")</f>
        <v/>
      </c>
      <c r="S1322" s="266" t="str">
        <f>IFERROR(__xludf.DUMMYFUNCTION("IF(ISBLANK(A1322),"""",IFERROR(IF(OR(Q1322=""GPB"",Q1322=""ZAR""),IF(Q1322=Dashboard!$L$1,M1322,(M1322*GOOGLEFINANCE(""CURRENCY:""&amp;Q1322&amp;""""&amp;Dashboard!$L$1&amp;""""))/100),IF(Q1322=Dashboard!$L$1,M1322,M1322*GOOGLEFINANCE(""CURRENCY:""&amp;Q1322&amp;""""&amp;Dashboard!$"&amp;"L$1&amp;""""))),M1322))"),"")</f>
        <v/>
      </c>
      <c r="T1322" s="264" t="str">
        <f t="shared" si="4"/>
        <v/>
      </c>
      <c r="U1322" s="264" t="str">
        <f t="shared" si="5"/>
        <v/>
      </c>
      <c r="V1322" s="264" t="str">
        <f t="shared" si="6"/>
        <v/>
      </c>
      <c r="W1322" s="267" t="str">
        <f t="shared" si="8"/>
        <v/>
      </c>
      <c r="X1322" s="264" t="str">
        <f t="shared" si="7"/>
        <v/>
      </c>
    </row>
    <row r="1323" ht="15.75" customHeight="1">
      <c r="A1323" s="258"/>
      <c r="B1323" s="258"/>
      <c r="C1323" s="269"/>
      <c r="D1323" s="258"/>
      <c r="E1323" s="258"/>
      <c r="F1323" s="258"/>
      <c r="G1323" s="258"/>
      <c r="H1323" s="271"/>
      <c r="I1323" s="258"/>
      <c r="J1323" s="272"/>
      <c r="K1323" s="260"/>
      <c r="L1323" s="261"/>
      <c r="M1323" s="262" t="str">
        <f t="shared" si="1"/>
        <v/>
      </c>
      <c r="N1323" s="263" t="str">
        <f t="shared" si="2"/>
        <v/>
      </c>
      <c r="O1323" s="264" t="str">
        <f t="shared" si="3"/>
        <v/>
      </c>
      <c r="P1323" s="265" t="str">
        <f>IFERROR(__xludf.DUMMYFUNCTION("IF(ISBLANK(A1323),"""",IFERROR(IF(H1323=""Sell"",VLOOKUP(9^99,FILTER({ROW(P$2:P1322),P$2:P1322},D$2:D1322=D1323),2),(VLOOKUP(9^99,FILTER({ROW(P$2:P1322),P$2:P1322},D$2:D1322=D1323),2)*VLOOKUP(9^99,FILTER({ROW(O$2:O1322),O$2:O1322},D$2:D1322=D1323),2)-N132"&amp;"3)/O1323),J1323))"),"")</f>
        <v/>
      </c>
      <c r="Q1323" s="264" t="str">
        <f>IFERROR(__xludf.DUMMYFUNCTION("IFERROR(IF(F1323=""Crypto"",B1323,(IF(ISBLANK(D1323),"""",IF(D1323=""Cash"",B1323,IF(GOOGLEFINANCE(D1323,""CURRENCY"")=""GBX"",""GBP"",GOOGLEFINANCE(D1323,""CURRENCY"")))))),B1323)"),"")</f>
        <v/>
      </c>
      <c r="R1323" s="263" t="str">
        <f>IFERROR(__xludf.DUMMYFUNCTION("IF(ISBLANK(A1323),"""",IFERROR(IF(OR(Q1323=""GPB"",Q1323=""ZAR""),IF(Q1323=Dashboard!$L$1,K1323,(K1323*GOOGLEFINANCE(""CURRENCY:""&amp;Q1323&amp;""""&amp;Dashboard!$L$1&amp;""""))/100),IF(Q1323=Dashboard!$L$1,K1323,K1323*GOOGLEFINANCE(""CURRENCY:""&amp;Q1323&amp;""""&amp;Dashboard!$"&amp;"L$1&amp;""""))),K1323))"),"")</f>
        <v/>
      </c>
      <c r="S1323" s="266" t="str">
        <f>IFERROR(__xludf.DUMMYFUNCTION("IF(ISBLANK(A1323),"""",IFERROR(IF(OR(Q1323=""GPB"",Q1323=""ZAR""),IF(Q1323=Dashboard!$L$1,M1323,(M1323*GOOGLEFINANCE(""CURRENCY:""&amp;Q1323&amp;""""&amp;Dashboard!$L$1&amp;""""))/100),IF(Q1323=Dashboard!$L$1,M1323,M1323*GOOGLEFINANCE(""CURRENCY:""&amp;Q1323&amp;""""&amp;Dashboard!$"&amp;"L$1&amp;""""))),M1323))"),"")</f>
        <v/>
      </c>
      <c r="T1323" s="264" t="str">
        <f t="shared" si="4"/>
        <v/>
      </c>
      <c r="U1323" s="264" t="str">
        <f t="shared" si="5"/>
        <v/>
      </c>
      <c r="V1323" s="264" t="str">
        <f t="shared" si="6"/>
        <v/>
      </c>
      <c r="W1323" s="267" t="str">
        <f t="shared" si="8"/>
        <v/>
      </c>
      <c r="X1323" s="264" t="str">
        <f t="shared" si="7"/>
        <v/>
      </c>
    </row>
    <row r="1324" ht="15.75" customHeight="1">
      <c r="A1324" s="258"/>
      <c r="B1324" s="258"/>
      <c r="C1324" s="269"/>
      <c r="D1324" s="258"/>
      <c r="E1324" s="258"/>
      <c r="F1324" s="258"/>
      <c r="G1324" s="258"/>
      <c r="H1324" s="271"/>
      <c r="I1324" s="258"/>
      <c r="J1324" s="272"/>
      <c r="K1324" s="260"/>
      <c r="L1324" s="261"/>
      <c r="M1324" s="262" t="str">
        <f t="shared" si="1"/>
        <v/>
      </c>
      <c r="N1324" s="263" t="str">
        <f t="shared" si="2"/>
        <v/>
      </c>
      <c r="O1324" s="264" t="str">
        <f t="shared" si="3"/>
        <v/>
      </c>
      <c r="P1324" s="265" t="str">
        <f>IFERROR(__xludf.DUMMYFUNCTION("IF(ISBLANK(A1324),"""",IFERROR(IF(H1324=""Sell"",VLOOKUP(9^99,FILTER({ROW(P$2:P1323),P$2:P1323},D$2:D1323=D1324),2),(VLOOKUP(9^99,FILTER({ROW(P$2:P1323),P$2:P1323},D$2:D1323=D1324),2)*VLOOKUP(9^99,FILTER({ROW(O$2:O1323),O$2:O1323},D$2:D1323=D1324),2)-N132"&amp;"4)/O1324),J1324))"),"")</f>
        <v/>
      </c>
      <c r="Q1324" s="264" t="str">
        <f>IFERROR(__xludf.DUMMYFUNCTION("IFERROR(IF(F1324=""Crypto"",B1324,(IF(ISBLANK(D1324),"""",IF(D1324=""Cash"",B1324,IF(GOOGLEFINANCE(D1324,""CURRENCY"")=""GBX"",""GBP"",GOOGLEFINANCE(D1324,""CURRENCY"")))))),B1324)"),"")</f>
        <v/>
      </c>
      <c r="R1324" s="263" t="str">
        <f>IFERROR(__xludf.DUMMYFUNCTION("IF(ISBLANK(A1324),"""",IFERROR(IF(OR(Q1324=""GPB"",Q1324=""ZAR""),IF(Q1324=Dashboard!$L$1,K1324,(K1324*GOOGLEFINANCE(""CURRENCY:""&amp;Q1324&amp;""""&amp;Dashboard!$L$1&amp;""""))/100),IF(Q1324=Dashboard!$L$1,K1324,K1324*GOOGLEFINANCE(""CURRENCY:""&amp;Q1324&amp;""""&amp;Dashboard!$"&amp;"L$1&amp;""""))),K1324))"),"")</f>
        <v/>
      </c>
      <c r="S1324" s="266" t="str">
        <f>IFERROR(__xludf.DUMMYFUNCTION("IF(ISBLANK(A1324),"""",IFERROR(IF(OR(Q1324=""GPB"",Q1324=""ZAR""),IF(Q1324=Dashboard!$L$1,M1324,(M1324*GOOGLEFINANCE(""CURRENCY:""&amp;Q1324&amp;""""&amp;Dashboard!$L$1&amp;""""))/100),IF(Q1324=Dashboard!$L$1,M1324,M1324*GOOGLEFINANCE(""CURRENCY:""&amp;Q1324&amp;""""&amp;Dashboard!$"&amp;"L$1&amp;""""))),M1324))"),"")</f>
        <v/>
      </c>
      <c r="T1324" s="264" t="str">
        <f t="shared" si="4"/>
        <v/>
      </c>
      <c r="U1324" s="264" t="str">
        <f t="shared" si="5"/>
        <v/>
      </c>
      <c r="V1324" s="264" t="str">
        <f t="shared" si="6"/>
        <v/>
      </c>
      <c r="W1324" s="267" t="str">
        <f t="shared" si="8"/>
        <v/>
      </c>
      <c r="X1324" s="264" t="str">
        <f t="shared" si="7"/>
        <v/>
      </c>
    </row>
    <row r="1325" ht="15.75" customHeight="1">
      <c r="A1325" s="258"/>
      <c r="B1325" s="258"/>
      <c r="C1325" s="269"/>
      <c r="D1325" s="258"/>
      <c r="E1325" s="258"/>
      <c r="F1325" s="258"/>
      <c r="G1325" s="258"/>
      <c r="H1325" s="271"/>
      <c r="I1325" s="258"/>
      <c r="J1325" s="272"/>
      <c r="K1325" s="260"/>
      <c r="L1325" s="261"/>
      <c r="M1325" s="262" t="str">
        <f t="shared" si="1"/>
        <v/>
      </c>
      <c r="N1325" s="263" t="str">
        <f t="shared" si="2"/>
        <v/>
      </c>
      <c r="O1325" s="264" t="str">
        <f t="shared" si="3"/>
        <v/>
      </c>
      <c r="P1325" s="265" t="str">
        <f>IFERROR(__xludf.DUMMYFUNCTION("IF(ISBLANK(A1325),"""",IFERROR(IF(H1325=""Sell"",VLOOKUP(9^99,FILTER({ROW(P$2:P1324),P$2:P1324},D$2:D1324=D1325),2),(VLOOKUP(9^99,FILTER({ROW(P$2:P1324),P$2:P1324},D$2:D1324=D1325),2)*VLOOKUP(9^99,FILTER({ROW(O$2:O1324),O$2:O1324},D$2:D1324=D1325),2)-N132"&amp;"5)/O1325),J1325))"),"")</f>
        <v/>
      </c>
      <c r="Q1325" s="264" t="str">
        <f>IFERROR(__xludf.DUMMYFUNCTION("IFERROR(IF(F1325=""Crypto"",B1325,(IF(ISBLANK(D1325),"""",IF(D1325=""Cash"",B1325,IF(GOOGLEFINANCE(D1325,""CURRENCY"")=""GBX"",""GBP"",GOOGLEFINANCE(D1325,""CURRENCY"")))))),B1325)"),"")</f>
        <v/>
      </c>
      <c r="R1325" s="263" t="str">
        <f>IFERROR(__xludf.DUMMYFUNCTION("IF(ISBLANK(A1325),"""",IFERROR(IF(OR(Q1325=""GPB"",Q1325=""ZAR""),IF(Q1325=Dashboard!$L$1,K1325,(K1325*GOOGLEFINANCE(""CURRENCY:""&amp;Q1325&amp;""""&amp;Dashboard!$L$1&amp;""""))/100),IF(Q1325=Dashboard!$L$1,K1325,K1325*GOOGLEFINANCE(""CURRENCY:""&amp;Q1325&amp;""""&amp;Dashboard!$"&amp;"L$1&amp;""""))),K1325))"),"")</f>
        <v/>
      </c>
      <c r="S1325" s="266" t="str">
        <f>IFERROR(__xludf.DUMMYFUNCTION("IF(ISBLANK(A1325),"""",IFERROR(IF(OR(Q1325=""GPB"",Q1325=""ZAR""),IF(Q1325=Dashboard!$L$1,M1325,(M1325*GOOGLEFINANCE(""CURRENCY:""&amp;Q1325&amp;""""&amp;Dashboard!$L$1&amp;""""))/100),IF(Q1325=Dashboard!$L$1,M1325,M1325*GOOGLEFINANCE(""CURRENCY:""&amp;Q1325&amp;""""&amp;Dashboard!$"&amp;"L$1&amp;""""))),M1325))"),"")</f>
        <v/>
      </c>
      <c r="T1325" s="264" t="str">
        <f t="shared" si="4"/>
        <v/>
      </c>
      <c r="U1325" s="264" t="str">
        <f t="shared" si="5"/>
        <v/>
      </c>
      <c r="V1325" s="264" t="str">
        <f t="shared" si="6"/>
        <v/>
      </c>
      <c r="W1325" s="267" t="str">
        <f t="shared" si="8"/>
        <v/>
      </c>
      <c r="X1325" s="264" t="str">
        <f t="shared" si="7"/>
        <v/>
      </c>
    </row>
    <row r="1326" ht="15.75" customHeight="1">
      <c r="A1326" s="258"/>
      <c r="B1326" s="258"/>
      <c r="C1326" s="269"/>
      <c r="D1326" s="258"/>
      <c r="E1326" s="258"/>
      <c r="F1326" s="258"/>
      <c r="G1326" s="258"/>
      <c r="H1326" s="271"/>
      <c r="I1326" s="258"/>
      <c r="J1326" s="272"/>
      <c r="K1326" s="260"/>
      <c r="L1326" s="261"/>
      <c r="M1326" s="262" t="str">
        <f t="shared" si="1"/>
        <v/>
      </c>
      <c r="N1326" s="263" t="str">
        <f t="shared" si="2"/>
        <v/>
      </c>
      <c r="O1326" s="264" t="str">
        <f t="shared" si="3"/>
        <v/>
      </c>
      <c r="P1326" s="265" t="str">
        <f>IFERROR(__xludf.DUMMYFUNCTION("IF(ISBLANK(A1326),"""",IFERROR(IF(H1326=""Sell"",VLOOKUP(9^99,FILTER({ROW(P$2:P1325),P$2:P1325},D$2:D1325=D1326),2),(VLOOKUP(9^99,FILTER({ROW(P$2:P1325),P$2:P1325},D$2:D1325=D1326),2)*VLOOKUP(9^99,FILTER({ROW(O$2:O1325),O$2:O1325},D$2:D1325=D1326),2)-N132"&amp;"6)/O1326),J1326))"),"")</f>
        <v/>
      </c>
      <c r="Q1326" s="264" t="str">
        <f>IFERROR(__xludf.DUMMYFUNCTION("IFERROR(IF(F1326=""Crypto"",B1326,(IF(ISBLANK(D1326),"""",IF(D1326=""Cash"",B1326,IF(GOOGLEFINANCE(D1326,""CURRENCY"")=""GBX"",""GBP"",GOOGLEFINANCE(D1326,""CURRENCY"")))))),B1326)"),"")</f>
        <v/>
      </c>
      <c r="R1326" s="263" t="str">
        <f>IFERROR(__xludf.DUMMYFUNCTION("IF(ISBLANK(A1326),"""",IFERROR(IF(OR(Q1326=""GPB"",Q1326=""ZAR""),IF(Q1326=Dashboard!$L$1,K1326,(K1326*GOOGLEFINANCE(""CURRENCY:""&amp;Q1326&amp;""""&amp;Dashboard!$L$1&amp;""""))/100),IF(Q1326=Dashboard!$L$1,K1326,K1326*GOOGLEFINANCE(""CURRENCY:""&amp;Q1326&amp;""""&amp;Dashboard!$"&amp;"L$1&amp;""""))),K1326))"),"")</f>
        <v/>
      </c>
      <c r="S1326" s="266" t="str">
        <f>IFERROR(__xludf.DUMMYFUNCTION("IF(ISBLANK(A1326),"""",IFERROR(IF(OR(Q1326=""GPB"",Q1326=""ZAR""),IF(Q1326=Dashboard!$L$1,M1326,(M1326*GOOGLEFINANCE(""CURRENCY:""&amp;Q1326&amp;""""&amp;Dashboard!$L$1&amp;""""))/100),IF(Q1326=Dashboard!$L$1,M1326,M1326*GOOGLEFINANCE(""CURRENCY:""&amp;Q1326&amp;""""&amp;Dashboard!$"&amp;"L$1&amp;""""))),M1326))"),"")</f>
        <v/>
      </c>
      <c r="T1326" s="264" t="str">
        <f t="shared" si="4"/>
        <v/>
      </c>
      <c r="U1326" s="264" t="str">
        <f t="shared" si="5"/>
        <v/>
      </c>
      <c r="V1326" s="264" t="str">
        <f t="shared" si="6"/>
        <v/>
      </c>
      <c r="W1326" s="267" t="str">
        <f t="shared" si="8"/>
        <v/>
      </c>
      <c r="X1326" s="264" t="str">
        <f t="shared" si="7"/>
        <v/>
      </c>
    </row>
    <row r="1327" ht="15.75" customHeight="1">
      <c r="A1327" s="258"/>
      <c r="B1327" s="258"/>
      <c r="C1327" s="269"/>
      <c r="D1327" s="258"/>
      <c r="E1327" s="258"/>
      <c r="F1327" s="258"/>
      <c r="G1327" s="258"/>
      <c r="H1327" s="271"/>
      <c r="I1327" s="258"/>
      <c r="J1327" s="272"/>
      <c r="K1327" s="260"/>
      <c r="L1327" s="261"/>
      <c r="M1327" s="262" t="str">
        <f t="shared" si="1"/>
        <v/>
      </c>
      <c r="N1327" s="263" t="str">
        <f t="shared" si="2"/>
        <v/>
      </c>
      <c r="O1327" s="264" t="str">
        <f t="shared" si="3"/>
        <v/>
      </c>
      <c r="P1327" s="265" t="str">
        <f>IFERROR(__xludf.DUMMYFUNCTION("IF(ISBLANK(A1327),"""",IFERROR(IF(H1327=""Sell"",VLOOKUP(9^99,FILTER({ROW(P$2:P1326),P$2:P1326},D$2:D1326=D1327),2),(VLOOKUP(9^99,FILTER({ROW(P$2:P1326),P$2:P1326},D$2:D1326=D1327),2)*VLOOKUP(9^99,FILTER({ROW(O$2:O1326),O$2:O1326},D$2:D1326=D1327),2)-N132"&amp;"7)/O1327),J1327))"),"")</f>
        <v/>
      </c>
      <c r="Q1327" s="264" t="str">
        <f>IFERROR(__xludf.DUMMYFUNCTION("IFERROR(IF(F1327=""Crypto"",B1327,(IF(ISBLANK(D1327),"""",IF(D1327=""Cash"",B1327,IF(GOOGLEFINANCE(D1327,""CURRENCY"")=""GBX"",""GBP"",GOOGLEFINANCE(D1327,""CURRENCY"")))))),B1327)"),"")</f>
        <v/>
      </c>
      <c r="R1327" s="263" t="str">
        <f>IFERROR(__xludf.DUMMYFUNCTION("IF(ISBLANK(A1327),"""",IFERROR(IF(OR(Q1327=""GPB"",Q1327=""ZAR""),IF(Q1327=Dashboard!$L$1,K1327,(K1327*GOOGLEFINANCE(""CURRENCY:""&amp;Q1327&amp;""""&amp;Dashboard!$L$1&amp;""""))/100),IF(Q1327=Dashboard!$L$1,K1327,K1327*GOOGLEFINANCE(""CURRENCY:""&amp;Q1327&amp;""""&amp;Dashboard!$"&amp;"L$1&amp;""""))),K1327))"),"")</f>
        <v/>
      </c>
      <c r="S1327" s="266" t="str">
        <f>IFERROR(__xludf.DUMMYFUNCTION("IF(ISBLANK(A1327),"""",IFERROR(IF(OR(Q1327=""GPB"",Q1327=""ZAR""),IF(Q1327=Dashboard!$L$1,M1327,(M1327*GOOGLEFINANCE(""CURRENCY:""&amp;Q1327&amp;""""&amp;Dashboard!$L$1&amp;""""))/100),IF(Q1327=Dashboard!$L$1,M1327,M1327*GOOGLEFINANCE(""CURRENCY:""&amp;Q1327&amp;""""&amp;Dashboard!$"&amp;"L$1&amp;""""))),M1327))"),"")</f>
        <v/>
      </c>
      <c r="T1327" s="264" t="str">
        <f t="shared" si="4"/>
        <v/>
      </c>
      <c r="U1327" s="264" t="str">
        <f t="shared" si="5"/>
        <v/>
      </c>
      <c r="V1327" s="264" t="str">
        <f t="shared" si="6"/>
        <v/>
      </c>
      <c r="W1327" s="267" t="str">
        <f t="shared" si="8"/>
        <v/>
      </c>
      <c r="X1327" s="264" t="str">
        <f t="shared" si="7"/>
        <v/>
      </c>
    </row>
    <row r="1328" ht="15.75" customHeight="1">
      <c r="A1328" s="258"/>
      <c r="B1328" s="258"/>
      <c r="C1328" s="269"/>
      <c r="D1328" s="258"/>
      <c r="E1328" s="258"/>
      <c r="F1328" s="258"/>
      <c r="G1328" s="258"/>
      <c r="H1328" s="271"/>
      <c r="I1328" s="258"/>
      <c r="J1328" s="272"/>
      <c r="K1328" s="260"/>
      <c r="L1328" s="261"/>
      <c r="M1328" s="262" t="str">
        <f t="shared" si="1"/>
        <v/>
      </c>
      <c r="N1328" s="263" t="str">
        <f t="shared" si="2"/>
        <v/>
      </c>
      <c r="O1328" s="264" t="str">
        <f t="shared" si="3"/>
        <v/>
      </c>
      <c r="P1328" s="265" t="str">
        <f>IFERROR(__xludf.DUMMYFUNCTION("IF(ISBLANK(A1328),"""",IFERROR(IF(H1328=""Sell"",VLOOKUP(9^99,FILTER({ROW(P$2:P1327),P$2:P1327},D$2:D1327=D1328),2),(VLOOKUP(9^99,FILTER({ROW(P$2:P1327),P$2:P1327},D$2:D1327=D1328),2)*VLOOKUP(9^99,FILTER({ROW(O$2:O1327),O$2:O1327},D$2:D1327=D1328),2)-N132"&amp;"8)/O1328),J1328))"),"")</f>
        <v/>
      </c>
      <c r="Q1328" s="264" t="str">
        <f>IFERROR(__xludf.DUMMYFUNCTION("IFERROR(IF(F1328=""Crypto"",B1328,(IF(ISBLANK(D1328),"""",IF(D1328=""Cash"",B1328,IF(GOOGLEFINANCE(D1328,""CURRENCY"")=""GBX"",""GBP"",GOOGLEFINANCE(D1328,""CURRENCY"")))))),B1328)"),"")</f>
        <v/>
      </c>
      <c r="R1328" s="263" t="str">
        <f>IFERROR(__xludf.DUMMYFUNCTION("IF(ISBLANK(A1328),"""",IFERROR(IF(OR(Q1328=""GPB"",Q1328=""ZAR""),IF(Q1328=Dashboard!$L$1,K1328,(K1328*GOOGLEFINANCE(""CURRENCY:""&amp;Q1328&amp;""""&amp;Dashboard!$L$1&amp;""""))/100),IF(Q1328=Dashboard!$L$1,K1328,K1328*GOOGLEFINANCE(""CURRENCY:""&amp;Q1328&amp;""""&amp;Dashboard!$"&amp;"L$1&amp;""""))),K1328))"),"")</f>
        <v/>
      </c>
      <c r="S1328" s="266" t="str">
        <f>IFERROR(__xludf.DUMMYFUNCTION("IF(ISBLANK(A1328),"""",IFERROR(IF(OR(Q1328=""GPB"",Q1328=""ZAR""),IF(Q1328=Dashboard!$L$1,M1328,(M1328*GOOGLEFINANCE(""CURRENCY:""&amp;Q1328&amp;""""&amp;Dashboard!$L$1&amp;""""))/100),IF(Q1328=Dashboard!$L$1,M1328,M1328*GOOGLEFINANCE(""CURRENCY:""&amp;Q1328&amp;""""&amp;Dashboard!$"&amp;"L$1&amp;""""))),M1328))"),"")</f>
        <v/>
      </c>
      <c r="T1328" s="264" t="str">
        <f t="shared" si="4"/>
        <v/>
      </c>
      <c r="U1328" s="264" t="str">
        <f t="shared" si="5"/>
        <v/>
      </c>
      <c r="V1328" s="264" t="str">
        <f t="shared" si="6"/>
        <v/>
      </c>
      <c r="W1328" s="267" t="str">
        <f t="shared" si="8"/>
        <v/>
      </c>
      <c r="X1328" s="264" t="str">
        <f t="shared" si="7"/>
        <v/>
      </c>
    </row>
    <row r="1329" ht="15.75" customHeight="1">
      <c r="A1329" s="258"/>
      <c r="B1329" s="258"/>
      <c r="C1329" s="269"/>
      <c r="D1329" s="258"/>
      <c r="E1329" s="258"/>
      <c r="F1329" s="258"/>
      <c r="G1329" s="258"/>
      <c r="H1329" s="271"/>
      <c r="I1329" s="258"/>
      <c r="J1329" s="272"/>
      <c r="K1329" s="260"/>
      <c r="L1329" s="261"/>
      <c r="M1329" s="262" t="str">
        <f t="shared" si="1"/>
        <v/>
      </c>
      <c r="N1329" s="263" t="str">
        <f t="shared" si="2"/>
        <v/>
      </c>
      <c r="O1329" s="264" t="str">
        <f t="shared" si="3"/>
        <v/>
      </c>
      <c r="P1329" s="265" t="str">
        <f>IFERROR(__xludf.DUMMYFUNCTION("IF(ISBLANK(A1329),"""",IFERROR(IF(H1329=""Sell"",VLOOKUP(9^99,FILTER({ROW(P$2:P1328),P$2:P1328},D$2:D1328=D1329),2),(VLOOKUP(9^99,FILTER({ROW(P$2:P1328),P$2:P1328},D$2:D1328=D1329),2)*VLOOKUP(9^99,FILTER({ROW(O$2:O1328),O$2:O1328},D$2:D1328=D1329),2)-N132"&amp;"9)/O1329),J1329))"),"")</f>
        <v/>
      </c>
      <c r="Q1329" s="264" t="str">
        <f>IFERROR(__xludf.DUMMYFUNCTION("IFERROR(IF(F1329=""Crypto"",B1329,(IF(ISBLANK(D1329),"""",IF(D1329=""Cash"",B1329,IF(GOOGLEFINANCE(D1329,""CURRENCY"")=""GBX"",""GBP"",GOOGLEFINANCE(D1329,""CURRENCY"")))))),B1329)"),"")</f>
        <v/>
      </c>
      <c r="R1329" s="263" t="str">
        <f>IFERROR(__xludf.DUMMYFUNCTION("IF(ISBLANK(A1329),"""",IFERROR(IF(OR(Q1329=""GPB"",Q1329=""ZAR""),IF(Q1329=Dashboard!$L$1,K1329,(K1329*GOOGLEFINANCE(""CURRENCY:""&amp;Q1329&amp;""""&amp;Dashboard!$L$1&amp;""""))/100),IF(Q1329=Dashboard!$L$1,K1329,K1329*GOOGLEFINANCE(""CURRENCY:""&amp;Q1329&amp;""""&amp;Dashboard!$"&amp;"L$1&amp;""""))),K1329))"),"")</f>
        <v/>
      </c>
      <c r="S1329" s="266" t="str">
        <f>IFERROR(__xludf.DUMMYFUNCTION("IF(ISBLANK(A1329),"""",IFERROR(IF(OR(Q1329=""GPB"",Q1329=""ZAR""),IF(Q1329=Dashboard!$L$1,M1329,(M1329*GOOGLEFINANCE(""CURRENCY:""&amp;Q1329&amp;""""&amp;Dashboard!$L$1&amp;""""))/100),IF(Q1329=Dashboard!$L$1,M1329,M1329*GOOGLEFINANCE(""CURRENCY:""&amp;Q1329&amp;""""&amp;Dashboard!$"&amp;"L$1&amp;""""))),M1329))"),"")</f>
        <v/>
      </c>
      <c r="T1329" s="264" t="str">
        <f t="shared" si="4"/>
        <v/>
      </c>
      <c r="U1329" s="264" t="str">
        <f t="shared" si="5"/>
        <v/>
      </c>
      <c r="V1329" s="264" t="str">
        <f t="shared" si="6"/>
        <v/>
      </c>
      <c r="W1329" s="267" t="str">
        <f t="shared" si="8"/>
        <v/>
      </c>
      <c r="X1329" s="264" t="str">
        <f t="shared" si="7"/>
        <v/>
      </c>
    </row>
    <row r="1330" ht="15.75" customHeight="1">
      <c r="A1330" s="258"/>
      <c r="B1330" s="258"/>
      <c r="C1330" s="269"/>
      <c r="D1330" s="258"/>
      <c r="E1330" s="258"/>
      <c r="F1330" s="258"/>
      <c r="G1330" s="258"/>
      <c r="H1330" s="271"/>
      <c r="I1330" s="258"/>
      <c r="J1330" s="272"/>
      <c r="K1330" s="260"/>
      <c r="L1330" s="261"/>
      <c r="M1330" s="262" t="str">
        <f t="shared" si="1"/>
        <v/>
      </c>
      <c r="N1330" s="263" t="str">
        <f t="shared" si="2"/>
        <v/>
      </c>
      <c r="O1330" s="264" t="str">
        <f t="shared" si="3"/>
        <v/>
      </c>
      <c r="P1330" s="265" t="str">
        <f>IFERROR(__xludf.DUMMYFUNCTION("IF(ISBLANK(A1330),"""",IFERROR(IF(H1330=""Sell"",VLOOKUP(9^99,FILTER({ROW(P$2:P1329),P$2:P1329},D$2:D1329=D1330),2),(VLOOKUP(9^99,FILTER({ROW(P$2:P1329),P$2:P1329},D$2:D1329=D1330),2)*VLOOKUP(9^99,FILTER({ROW(O$2:O1329),O$2:O1329},D$2:D1329=D1330),2)-N133"&amp;"0)/O1330),J1330))"),"")</f>
        <v/>
      </c>
      <c r="Q1330" s="264" t="str">
        <f>IFERROR(__xludf.DUMMYFUNCTION("IFERROR(IF(F1330=""Crypto"",B1330,(IF(ISBLANK(D1330),"""",IF(D1330=""Cash"",B1330,IF(GOOGLEFINANCE(D1330,""CURRENCY"")=""GBX"",""GBP"",GOOGLEFINANCE(D1330,""CURRENCY"")))))),B1330)"),"")</f>
        <v/>
      </c>
      <c r="R1330" s="263" t="str">
        <f>IFERROR(__xludf.DUMMYFUNCTION("IF(ISBLANK(A1330),"""",IFERROR(IF(OR(Q1330=""GPB"",Q1330=""ZAR""),IF(Q1330=Dashboard!$L$1,K1330,(K1330*GOOGLEFINANCE(""CURRENCY:""&amp;Q1330&amp;""""&amp;Dashboard!$L$1&amp;""""))/100),IF(Q1330=Dashboard!$L$1,K1330,K1330*GOOGLEFINANCE(""CURRENCY:""&amp;Q1330&amp;""""&amp;Dashboard!$"&amp;"L$1&amp;""""))),K1330))"),"")</f>
        <v/>
      </c>
      <c r="S1330" s="266" t="str">
        <f>IFERROR(__xludf.DUMMYFUNCTION("IF(ISBLANK(A1330),"""",IFERROR(IF(OR(Q1330=""GPB"",Q1330=""ZAR""),IF(Q1330=Dashboard!$L$1,M1330,(M1330*GOOGLEFINANCE(""CURRENCY:""&amp;Q1330&amp;""""&amp;Dashboard!$L$1&amp;""""))/100),IF(Q1330=Dashboard!$L$1,M1330,M1330*GOOGLEFINANCE(""CURRENCY:""&amp;Q1330&amp;""""&amp;Dashboard!$"&amp;"L$1&amp;""""))),M1330))"),"")</f>
        <v/>
      </c>
      <c r="T1330" s="264" t="str">
        <f t="shared" si="4"/>
        <v/>
      </c>
      <c r="U1330" s="264" t="str">
        <f t="shared" si="5"/>
        <v/>
      </c>
      <c r="V1330" s="264" t="str">
        <f t="shared" si="6"/>
        <v/>
      </c>
      <c r="W1330" s="267" t="str">
        <f t="shared" si="8"/>
        <v/>
      </c>
      <c r="X1330" s="264" t="str">
        <f t="shared" si="7"/>
        <v/>
      </c>
    </row>
    <row r="1331" ht="15.75" customHeight="1">
      <c r="A1331" s="258"/>
      <c r="B1331" s="258"/>
      <c r="C1331" s="269"/>
      <c r="D1331" s="258"/>
      <c r="E1331" s="258"/>
      <c r="F1331" s="258"/>
      <c r="G1331" s="258"/>
      <c r="H1331" s="271"/>
      <c r="I1331" s="258"/>
      <c r="J1331" s="272"/>
      <c r="K1331" s="260"/>
      <c r="L1331" s="261"/>
      <c r="M1331" s="262" t="str">
        <f t="shared" si="1"/>
        <v/>
      </c>
      <c r="N1331" s="263" t="str">
        <f t="shared" si="2"/>
        <v/>
      </c>
      <c r="O1331" s="264" t="str">
        <f t="shared" si="3"/>
        <v/>
      </c>
      <c r="P1331" s="265" t="str">
        <f>IFERROR(__xludf.DUMMYFUNCTION("IF(ISBLANK(A1331),"""",IFERROR(IF(H1331=""Sell"",VLOOKUP(9^99,FILTER({ROW(P$2:P1330),P$2:P1330},D$2:D1330=D1331),2),(VLOOKUP(9^99,FILTER({ROW(P$2:P1330),P$2:P1330},D$2:D1330=D1331),2)*VLOOKUP(9^99,FILTER({ROW(O$2:O1330),O$2:O1330},D$2:D1330=D1331),2)-N133"&amp;"1)/O1331),J1331))"),"")</f>
        <v/>
      </c>
      <c r="Q1331" s="264" t="str">
        <f>IFERROR(__xludf.DUMMYFUNCTION("IFERROR(IF(F1331=""Crypto"",B1331,(IF(ISBLANK(D1331),"""",IF(D1331=""Cash"",B1331,IF(GOOGLEFINANCE(D1331,""CURRENCY"")=""GBX"",""GBP"",GOOGLEFINANCE(D1331,""CURRENCY"")))))),B1331)"),"")</f>
        <v/>
      </c>
      <c r="R1331" s="263" t="str">
        <f>IFERROR(__xludf.DUMMYFUNCTION("IF(ISBLANK(A1331),"""",IFERROR(IF(OR(Q1331=""GPB"",Q1331=""ZAR""),IF(Q1331=Dashboard!$L$1,K1331,(K1331*GOOGLEFINANCE(""CURRENCY:""&amp;Q1331&amp;""""&amp;Dashboard!$L$1&amp;""""))/100),IF(Q1331=Dashboard!$L$1,K1331,K1331*GOOGLEFINANCE(""CURRENCY:""&amp;Q1331&amp;""""&amp;Dashboard!$"&amp;"L$1&amp;""""))),K1331))"),"")</f>
        <v/>
      </c>
      <c r="S1331" s="266" t="str">
        <f>IFERROR(__xludf.DUMMYFUNCTION("IF(ISBLANK(A1331),"""",IFERROR(IF(OR(Q1331=""GPB"",Q1331=""ZAR""),IF(Q1331=Dashboard!$L$1,M1331,(M1331*GOOGLEFINANCE(""CURRENCY:""&amp;Q1331&amp;""""&amp;Dashboard!$L$1&amp;""""))/100),IF(Q1331=Dashboard!$L$1,M1331,M1331*GOOGLEFINANCE(""CURRENCY:""&amp;Q1331&amp;""""&amp;Dashboard!$"&amp;"L$1&amp;""""))),M1331))"),"")</f>
        <v/>
      </c>
      <c r="T1331" s="264" t="str">
        <f t="shared" si="4"/>
        <v/>
      </c>
      <c r="U1331" s="264" t="str">
        <f t="shared" si="5"/>
        <v/>
      </c>
      <c r="V1331" s="264" t="str">
        <f t="shared" si="6"/>
        <v/>
      </c>
      <c r="W1331" s="267" t="str">
        <f t="shared" si="8"/>
        <v/>
      </c>
      <c r="X1331" s="264" t="str">
        <f t="shared" si="7"/>
        <v/>
      </c>
    </row>
    <row r="1332" ht="15.75" customHeight="1">
      <c r="A1332" s="258"/>
      <c r="B1332" s="258"/>
      <c r="C1332" s="269"/>
      <c r="D1332" s="258"/>
      <c r="E1332" s="258"/>
      <c r="F1332" s="258"/>
      <c r="G1332" s="258"/>
      <c r="H1332" s="271"/>
      <c r="I1332" s="258"/>
      <c r="J1332" s="272"/>
      <c r="K1332" s="260"/>
      <c r="L1332" s="261"/>
      <c r="M1332" s="262" t="str">
        <f t="shared" si="1"/>
        <v/>
      </c>
      <c r="N1332" s="263" t="str">
        <f t="shared" si="2"/>
        <v/>
      </c>
      <c r="O1332" s="264" t="str">
        <f t="shared" si="3"/>
        <v/>
      </c>
      <c r="P1332" s="265" t="str">
        <f>IFERROR(__xludf.DUMMYFUNCTION("IF(ISBLANK(A1332),"""",IFERROR(IF(H1332=""Sell"",VLOOKUP(9^99,FILTER({ROW(P$2:P1331),P$2:P1331},D$2:D1331=D1332),2),(VLOOKUP(9^99,FILTER({ROW(P$2:P1331),P$2:P1331},D$2:D1331=D1332),2)*VLOOKUP(9^99,FILTER({ROW(O$2:O1331),O$2:O1331},D$2:D1331=D1332),2)-N133"&amp;"2)/O1332),J1332))"),"")</f>
        <v/>
      </c>
      <c r="Q1332" s="264" t="str">
        <f>IFERROR(__xludf.DUMMYFUNCTION("IFERROR(IF(F1332=""Crypto"",B1332,(IF(ISBLANK(D1332),"""",IF(D1332=""Cash"",B1332,IF(GOOGLEFINANCE(D1332,""CURRENCY"")=""GBX"",""GBP"",GOOGLEFINANCE(D1332,""CURRENCY"")))))),B1332)"),"")</f>
        <v/>
      </c>
      <c r="R1332" s="263" t="str">
        <f>IFERROR(__xludf.DUMMYFUNCTION("IF(ISBLANK(A1332),"""",IFERROR(IF(OR(Q1332=""GPB"",Q1332=""ZAR""),IF(Q1332=Dashboard!$L$1,K1332,(K1332*GOOGLEFINANCE(""CURRENCY:""&amp;Q1332&amp;""""&amp;Dashboard!$L$1&amp;""""))/100),IF(Q1332=Dashboard!$L$1,K1332,K1332*GOOGLEFINANCE(""CURRENCY:""&amp;Q1332&amp;""""&amp;Dashboard!$"&amp;"L$1&amp;""""))),K1332))"),"")</f>
        <v/>
      </c>
      <c r="S1332" s="266" t="str">
        <f>IFERROR(__xludf.DUMMYFUNCTION("IF(ISBLANK(A1332),"""",IFERROR(IF(OR(Q1332=""GPB"",Q1332=""ZAR""),IF(Q1332=Dashboard!$L$1,M1332,(M1332*GOOGLEFINANCE(""CURRENCY:""&amp;Q1332&amp;""""&amp;Dashboard!$L$1&amp;""""))/100),IF(Q1332=Dashboard!$L$1,M1332,M1332*GOOGLEFINANCE(""CURRENCY:""&amp;Q1332&amp;""""&amp;Dashboard!$"&amp;"L$1&amp;""""))),M1332))"),"")</f>
        <v/>
      </c>
      <c r="T1332" s="264" t="str">
        <f t="shared" si="4"/>
        <v/>
      </c>
      <c r="U1332" s="264" t="str">
        <f t="shared" si="5"/>
        <v/>
      </c>
      <c r="V1332" s="264" t="str">
        <f t="shared" si="6"/>
        <v/>
      </c>
      <c r="W1332" s="267" t="str">
        <f t="shared" si="8"/>
        <v/>
      </c>
      <c r="X1332" s="264" t="str">
        <f t="shared" si="7"/>
        <v/>
      </c>
    </row>
    <row r="1333" ht="15.75" customHeight="1">
      <c r="A1333" s="258"/>
      <c r="B1333" s="258"/>
      <c r="C1333" s="269"/>
      <c r="D1333" s="258"/>
      <c r="E1333" s="258"/>
      <c r="F1333" s="258"/>
      <c r="G1333" s="258"/>
      <c r="H1333" s="271"/>
      <c r="I1333" s="258"/>
      <c r="J1333" s="272"/>
      <c r="K1333" s="260"/>
      <c r="L1333" s="261"/>
      <c r="M1333" s="262" t="str">
        <f t="shared" si="1"/>
        <v/>
      </c>
      <c r="N1333" s="263" t="str">
        <f t="shared" si="2"/>
        <v/>
      </c>
      <c r="O1333" s="264" t="str">
        <f t="shared" si="3"/>
        <v/>
      </c>
      <c r="P1333" s="265" t="str">
        <f>IFERROR(__xludf.DUMMYFUNCTION("IF(ISBLANK(A1333),"""",IFERROR(IF(H1333=""Sell"",VLOOKUP(9^99,FILTER({ROW(P$2:P1332),P$2:P1332},D$2:D1332=D1333),2),(VLOOKUP(9^99,FILTER({ROW(P$2:P1332),P$2:P1332},D$2:D1332=D1333),2)*VLOOKUP(9^99,FILTER({ROW(O$2:O1332),O$2:O1332},D$2:D1332=D1333),2)-N133"&amp;"3)/O1333),J1333))"),"")</f>
        <v/>
      </c>
      <c r="Q1333" s="264" t="str">
        <f>IFERROR(__xludf.DUMMYFUNCTION("IFERROR(IF(F1333=""Crypto"",B1333,(IF(ISBLANK(D1333),"""",IF(D1333=""Cash"",B1333,IF(GOOGLEFINANCE(D1333,""CURRENCY"")=""GBX"",""GBP"",GOOGLEFINANCE(D1333,""CURRENCY"")))))),B1333)"),"")</f>
        <v/>
      </c>
      <c r="R1333" s="263" t="str">
        <f>IFERROR(__xludf.DUMMYFUNCTION("IF(ISBLANK(A1333),"""",IFERROR(IF(OR(Q1333=""GPB"",Q1333=""ZAR""),IF(Q1333=Dashboard!$L$1,K1333,(K1333*GOOGLEFINANCE(""CURRENCY:""&amp;Q1333&amp;""""&amp;Dashboard!$L$1&amp;""""))/100),IF(Q1333=Dashboard!$L$1,K1333,K1333*GOOGLEFINANCE(""CURRENCY:""&amp;Q1333&amp;""""&amp;Dashboard!$"&amp;"L$1&amp;""""))),K1333))"),"")</f>
        <v/>
      </c>
      <c r="S1333" s="266" t="str">
        <f>IFERROR(__xludf.DUMMYFUNCTION("IF(ISBLANK(A1333),"""",IFERROR(IF(OR(Q1333=""GPB"",Q1333=""ZAR""),IF(Q1333=Dashboard!$L$1,M1333,(M1333*GOOGLEFINANCE(""CURRENCY:""&amp;Q1333&amp;""""&amp;Dashboard!$L$1&amp;""""))/100),IF(Q1333=Dashboard!$L$1,M1333,M1333*GOOGLEFINANCE(""CURRENCY:""&amp;Q1333&amp;""""&amp;Dashboard!$"&amp;"L$1&amp;""""))),M1333))"),"")</f>
        <v/>
      </c>
      <c r="T1333" s="264" t="str">
        <f t="shared" si="4"/>
        <v/>
      </c>
      <c r="U1333" s="264" t="str">
        <f t="shared" si="5"/>
        <v/>
      </c>
      <c r="V1333" s="264" t="str">
        <f t="shared" si="6"/>
        <v/>
      </c>
      <c r="W1333" s="267" t="str">
        <f t="shared" si="8"/>
        <v/>
      </c>
      <c r="X1333" s="264" t="str">
        <f t="shared" si="7"/>
        <v/>
      </c>
    </row>
    <row r="1334" ht="15.75" customHeight="1">
      <c r="A1334" s="258"/>
      <c r="B1334" s="258"/>
      <c r="C1334" s="269"/>
      <c r="D1334" s="258"/>
      <c r="E1334" s="258"/>
      <c r="F1334" s="258"/>
      <c r="G1334" s="258"/>
      <c r="H1334" s="271"/>
      <c r="I1334" s="258"/>
      <c r="J1334" s="272"/>
      <c r="K1334" s="260"/>
      <c r="L1334" s="261"/>
      <c r="M1334" s="262" t="str">
        <f t="shared" si="1"/>
        <v/>
      </c>
      <c r="N1334" s="263" t="str">
        <f t="shared" si="2"/>
        <v/>
      </c>
      <c r="O1334" s="264" t="str">
        <f t="shared" si="3"/>
        <v/>
      </c>
      <c r="P1334" s="265" t="str">
        <f>IFERROR(__xludf.DUMMYFUNCTION("IF(ISBLANK(A1334),"""",IFERROR(IF(H1334=""Sell"",VLOOKUP(9^99,FILTER({ROW(P$2:P1333),P$2:P1333},D$2:D1333=D1334),2),(VLOOKUP(9^99,FILTER({ROW(P$2:P1333),P$2:P1333},D$2:D1333=D1334),2)*VLOOKUP(9^99,FILTER({ROW(O$2:O1333),O$2:O1333},D$2:D1333=D1334),2)-N133"&amp;"4)/O1334),J1334))"),"")</f>
        <v/>
      </c>
      <c r="Q1334" s="264" t="str">
        <f>IFERROR(__xludf.DUMMYFUNCTION("IFERROR(IF(F1334=""Crypto"",B1334,(IF(ISBLANK(D1334),"""",IF(D1334=""Cash"",B1334,IF(GOOGLEFINANCE(D1334,""CURRENCY"")=""GBX"",""GBP"",GOOGLEFINANCE(D1334,""CURRENCY"")))))),B1334)"),"")</f>
        <v/>
      </c>
      <c r="R1334" s="263" t="str">
        <f>IFERROR(__xludf.DUMMYFUNCTION("IF(ISBLANK(A1334),"""",IFERROR(IF(OR(Q1334=""GPB"",Q1334=""ZAR""),IF(Q1334=Dashboard!$L$1,K1334,(K1334*GOOGLEFINANCE(""CURRENCY:""&amp;Q1334&amp;""""&amp;Dashboard!$L$1&amp;""""))/100),IF(Q1334=Dashboard!$L$1,K1334,K1334*GOOGLEFINANCE(""CURRENCY:""&amp;Q1334&amp;""""&amp;Dashboard!$"&amp;"L$1&amp;""""))),K1334))"),"")</f>
        <v/>
      </c>
      <c r="S1334" s="266" t="str">
        <f>IFERROR(__xludf.DUMMYFUNCTION("IF(ISBLANK(A1334),"""",IFERROR(IF(OR(Q1334=""GPB"",Q1334=""ZAR""),IF(Q1334=Dashboard!$L$1,M1334,(M1334*GOOGLEFINANCE(""CURRENCY:""&amp;Q1334&amp;""""&amp;Dashboard!$L$1&amp;""""))/100),IF(Q1334=Dashboard!$L$1,M1334,M1334*GOOGLEFINANCE(""CURRENCY:""&amp;Q1334&amp;""""&amp;Dashboard!$"&amp;"L$1&amp;""""))),M1334))"),"")</f>
        <v/>
      </c>
      <c r="T1334" s="264" t="str">
        <f t="shared" si="4"/>
        <v/>
      </c>
      <c r="U1334" s="264" t="str">
        <f t="shared" si="5"/>
        <v/>
      </c>
      <c r="V1334" s="264" t="str">
        <f t="shared" si="6"/>
        <v/>
      </c>
      <c r="W1334" s="267" t="str">
        <f t="shared" si="8"/>
        <v/>
      </c>
      <c r="X1334" s="264" t="str">
        <f t="shared" si="7"/>
        <v/>
      </c>
    </row>
    <row r="1335" ht="15.75" customHeight="1">
      <c r="A1335" s="258"/>
      <c r="B1335" s="258"/>
      <c r="C1335" s="269"/>
      <c r="D1335" s="258"/>
      <c r="E1335" s="258"/>
      <c r="F1335" s="258"/>
      <c r="G1335" s="258"/>
      <c r="H1335" s="271"/>
      <c r="I1335" s="258"/>
      <c r="J1335" s="272"/>
      <c r="K1335" s="260"/>
      <c r="L1335" s="261"/>
      <c r="M1335" s="262" t="str">
        <f t="shared" si="1"/>
        <v/>
      </c>
      <c r="N1335" s="263" t="str">
        <f t="shared" si="2"/>
        <v/>
      </c>
      <c r="O1335" s="264" t="str">
        <f t="shared" si="3"/>
        <v/>
      </c>
      <c r="P1335" s="265" t="str">
        <f>IFERROR(__xludf.DUMMYFUNCTION("IF(ISBLANK(A1335),"""",IFERROR(IF(H1335=""Sell"",VLOOKUP(9^99,FILTER({ROW(P$2:P1334),P$2:P1334},D$2:D1334=D1335),2),(VLOOKUP(9^99,FILTER({ROW(P$2:P1334),P$2:P1334},D$2:D1334=D1335),2)*VLOOKUP(9^99,FILTER({ROW(O$2:O1334),O$2:O1334},D$2:D1334=D1335),2)-N133"&amp;"5)/O1335),J1335))"),"")</f>
        <v/>
      </c>
      <c r="Q1335" s="264" t="str">
        <f>IFERROR(__xludf.DUMMYFUNCTION("IFERROR(IF(F1335=""Crypto"",B1335,(IF(ISBLANK(D1335),"""",IF(D1335=""Cash"",B1335,IF(GOOGLEFINANCE(D1335,""CURRENCY"")=""GBX"",""GBP"",GOOGLEFINANCE(D1335,""CURRENCY"")))))),B1335)"),"")</f>
        <v/>
      </c>
      <c r="R1335" s="263" t="str">
        <f>IFERROR(__xludf.DUMMYFUNCTION("IF(ISBLANK(A1335),"""",IFERROR(IF(OR(Q1335=""GPB"",Q1335=""ZAR""),IF(Q1335=Dashboard!$L$1,K1335,(K1335*GOOGLEFINANCE(""CURRENCY:""&amp;Q1335&amp;""""&amp;Dashboard!$L$1&amp;""""))/100),IF(Q1335=Dashboard!$L$1,K1335,K1335*GOOGLEFINANCE(""CURRENCY:""&amp;Q1335&amp;""""&amp;Dashboard!$"&amp;"L$1&amp;""""))),K1335))"),"")</f>
        <v/>
      </c>
      <c r="S1335" s="266" t="str">
        <f>IFERROR(__xludf.DUMMYFUNCTION("IF(ISBLANK(A1335),"""",IFERROR(IF(OR(Q1335=""GPB"",Q1335=""ZAR""),IF(Q1335=Dashboard!$L$1,M1335,(M1335*GOOGLEFINANCE(""CURRENCY:""&amp;Q1335&amp;""""&amp;Dashboard!$L$1&amp;""""))/100),IF(Q1335=Dashboard!$L$1,M1335,M1335*GOOGLEFINANCE(""CURRENCY:""&amp;Q1335&amp;""""&amp;Dashboard!$"&amp;"L$1&amp;""""))),M1335))"),"")</f>
        <v/>
      </c>
      <c r="T1335" s="264" t="str">
        <f t="shared" si="4"/>
        <v/>
      </c>
      <c r="U1335" s="264" t="str">
        <f t="shared" si="5"/>
        <v/>
      </c>
      <c r="V1335" s="264" t="str">
        <f t="shared" si="6"/>
        <v/>
      </c>
      <c r="W1335" s="267" t="str">
        <f t="shared" si="8"/>
        <v/>
      </c>
      <c r="X1335" s="264" t="str">
        <f t="shared" si="7"/>
        <v/>
      </c>
    </row>
    <row r="1336" ht="15.75" customHeight="1">
      <c r="A1336" s="258"/>
      <c r="B1336" s="258"/>
      <c r="C1336" s="269"/>
      <c r="D1336" s="258"/>
      <c r="E1336" s="258"/>
      <c r="F1336" s="258"/>
      <c r="G1336" s="258"/>
      <c r="H1336" s="271"/>
      <c r="I1336" s="258"/>
      <c r="J1336" s="272"/>
      <c r="K1336" s="260"/>
      <c r="L1336" s="261"/>
      <c r="M1336" s="262" t="str">
        <f t="shared" si="1"/>
        <v/>
      </c>
      <c r="N1336" s="263" t="str">
        <f t="shared" si="2"/>
        <v/>
      </c>
      <c r="O1336" s="264" t="str">
        <f t="shared" si="3"/>
        <v/>
      </c>
      <c r="P1336" s="265" t="str">
        <f>IFERROR(__xludf.DUMMYFUNCTION("IF(ISBLANK(A1336),"""",IFERROR(IF(H1336=""Sell"",VLOOKUP(9^99,FILTER({ROW(P$2:P1335),P$2:P1335},D$2:D1335=D1336),2),(VLOOKUP(9^99,FILTER({ROW(P$2:P1335),P$2:P1335},D$2:D1335=D1336),2)*VLOOKUP(9^99,FILTER({ROW(O$2:O1335),O$2:O1335},D$2:D1335=D1336),2)-N133"&amp;"6)/O1336),J1336))"),"")</f>
        <v/>
      </c>
      <c r="Q1336" s="264" t="str">
        <f>IFERROR(__xludf.DUMMYFUNCTION("IFERROR(IF(F1336=""Crypto"",B1336,(IF(ISBLANK(D1336),"""",IF(D1336=""Cash"",B1336,IF(GOOGLEFINANCE(D1336,""CURRENCY"")=""GBX"",""GBP"",GOOGLEFINANCE(D1336,""CURRENCY"")))))),B1336)"),"")</f>
        <v/>
      </c>
      <c r="R1336" s="263" t="str">
        <f>IFERROR(__xludf.DUMMYFUNCTION("IF(ISBLANK(A1336),"""",IFERROR(IF(OR(Q1336=""GPB"",Q1336=""ZAR""),IF(Q1336=Dashboard!$L$1,K1336,(K1336*GOOGLEFINANCE(""CURRENCY:""&amp;Q1336&amp;""""&amp;Dashboard!$L$1&amp;""""))/100),IF(Q1336=Dashboard!$L$1,K1336,K1336*GOOGLEFINANCE(""CURRENCY:""&amp;Q1336&amp;""""&amp;Dashboard!$"&amp;"L$1&amp;""""))),K1336))"),"")</f>
        <v/>
      </c>
      <c r="S1336" s="266" t="str">
        <f>IFERROR(__xludf.DUMMYFUNCTION("IF(ISBLANK(A1336),"""",IFERROR(IF(OR(Q1336=""GPB"",Q1336=""ZAR""),IF(Q1336=Dashboard!$L$1,M1336,(M1336*GOOGLEFINANCE(""CURRENCY:""&amp;Q1336&amp;""""&amp;Dashboard!$L$1&amp;""""))/100),IF(Q1336=Dashboard!$L$1,M1336,M1336*GOOGLEFINANCE(""CURRENCY:""&amp;Q1336&amp;""""&amp;Dashboard!$"&amp;"L$1&amp;""""))),M1336))"),"")</f>
        <v/>
      </c>
      <c r="T1336" s="264" t="str">
        <f t="shared" si="4"/>
        <v/>
      </c>
      <c r="U1336" s="264" t="str">
        <f t="shared" si="5"/>
        <v/>
      </c>
      <c r="V1336" s="264" t="str">
        <f t="shared" si="6"/>
        <v/>
      </c>
      <c r="W1336" s="267" t="str">
        <f t="shared" si="8"/>
        <v/>
      </c>
      <c r="X1336" s="264" t="str">
        <f t="shared" si="7"/>
        <v/>
      </c>
    </row>
    <row r="1337" ht="15.75" customHeight="1">
      <c r="A1337" s="258"/>
      <c r="B1337" s="258"/>
      <c r="C1337" s="269"/>
      <c r="D1337" s="258"/>
      <c r="E1337" s="258"/>
      <c r="F1337" s="258"/>
      <c r="G1337" s="258"/>
      <c r="H1337" s="271"/>
      <c r="I1337" s="258"/>
      <c r="J1337" s="272"/>
      <c r="K1337" s="260"/>
      <c r="L1337" s="261"/>
      <c r="M1337" s="262" t="str">
        <f t="shared" si="1"/>
        <v/>
      </c>
      <c r="N1337" s="263" t="str">
        <f t="shared" si="2"/>
        <v/>
      </c>
      <c r="O1337" s="264" t="str">
        <f t="shared" si="3"/>
        <v/>
      </c>
      <c r="P1337" s="265" t="str">
        <f>IFERROR(__xludf.DUMMYFUNCTION("IF(ISBLANK(A1337),"""",IFERROR(IF(H1337=""Sell"",VLOOKUP(9^99,FILTER({ROW(P$2:P1336),P$2:P1336},D$2:D1336=D1337),2),(VLOOKUP(9^99,FILTER({ROW(P$2:P1336),P$2:P1336},D$2:D1336=D1337),2)*VLOOKUP(9^99,FILTER({ROW(O$2:O1336),O$2:O1336},D$2:D1336=D1337),2)-N133"&amp;"7)/O1337),J1337))"),"")</f>
        <v/>
      </c>
      <c r="Q1337" s="264" t="str">
        <f>IFERROR(__xludf.DUMMYFUNCTION("IFERROR(IF(F1337=""Crypto"",B1337,(IF(ISBLANK(D1337),"""",IF(D1337=""Cash"",B1337,IF(GOOGLEFINANCE(D1337,""CURRENCY"")=""GBX"",""GBP"",GOOGLEFINANCE(D1337,""CURRENCY"")))))),B1337)"),"")</f>
        <v/>
      </c>
      <c r="R1337" s="263" t="str">
        <f>IFERROR(__xludf.DUMMYFUNCTION("IF(ISBLANK(A1337),"""",IFERROR(IF(OR(Q1337=""GPB"",Q1337=""ZAR""),IF(Q1337=Dashboard!$L$1,K1337,(K1337*GOOGLEFINANCE(""CURRENCY:""&amp;Q1337&amp;""""&amp;Dashboard!$L$1&amp;""""))/100),IF(Q1337=Dashboard!$L$1,K1337,K1337*GOOGLEFINANCE(""CURRENCY:""&amp;Q1337&amp;""""&amp;Dashboard!$"&amp;"L$1&amp;""""))),K1337))"),"")</f>
        <v/>
      </c>
      <c r="S1337" s="266" t="str">
        <f>IFERROR(__xludf.DUMMYFUNCTION("IF(ISBLANK(A1337),"""",IFERROR(IF(OR(Q1337=""GPB"",Q1337=""ZAR""),IF(Q1337=Dashboard!$L$1,M1337,(M1337*GOOGLEFINANCE(""CURRENCY:""&amp;Q1337&amp;""""&amp;Dashboard!$L$1&amp;""""))/100),IF(Q1337=Dashboard!$L$1,M1337,M1337*GOOGLEFINANCE(""CURRENCY:""&amp;Q1337&amp;""""&amp;Dashboard!$"&amp;"L$1&amp;""""))),M1337))"),"")</f>
        <v/>
      </c>
      <c r="T1337" s="264" t="str">
        <f t="shared" si="4"/>
        <v/>
      </c>
      <c r="U1337" s="264" t="str">
        <f t="shared" si="5"/>
        <v/>
      </c>
      <c r="V1337" s="264" t="str">
        <f t="shared" si="6"/>
        <v/>
      </c>
      <c r="W1337" s="267" t="str">
        <f t="shared" si="8"/>
        <v/>
      </c>
      <c r="X1337" s="264" t="str">
        <f t="shared" si="7"/>
        <v/>
      </c>
    </row>
    <row r="1338" ht="15.75" customHeight="1">
      <c r="A1338" s="258"/>
      <c r="B1338" s="258"/>
      <c r="C1338" s="269"/>
      <c r="D1338" s="258"/>
      <c r="E1338" s="258"/>
      <c r="F1338" s="258"/>
      <c r="G1338" s="258"/>
      <c r="H1338" s="271"/>
      <c r="I1338" s="258"/>
      <c r="J1338" s="272"/>
      <c r="K1338" s="260"/>
      <c r="L1338" s="261"/>
      <c r="M1338" s="262" t="str">
        <f t="shared" si="1"/>
        <v/>
      </c>
      <c r="N1338" s="263" t="str">
        <f t="shared" si="2"/>
        <v/>
      </c>
      <c r="O1338" s="264" t="str">
        <f t="shared" si="3"/>
        <v/>
      </c>
      <c r="P1338" s="265" t="str">
        <f>IFERROR(__xludf.DUMMYFUNCTION("IF(ISBLANK(A1338),"""",IFERROR(IF(H1338=""Sell"",VLOOKUP(9^99,FILTER({ROW(P$2:P1337),P$2:P1337},D$2:D1337=D1338),2),(VLOOKUP(9^99,FILTER({ROW(P$2:P1337),P$2:P1337},D$2:D1337=D1338),2)*VLOOKUP(9^99,FILTER({ROW(O$2:O1337),O$2:O1337},D$2:D1337=D1338),2)-N133"&amp;"8)/O1338),J1338))"),"")</f>
        <v/>
      </c>
      <c r="Q1338" s="264" t="str">
        <f>IFERROR(__xludf.DUMMYFUNCTION("IFERROR(IF(F1338=""Crypto"",B1338,(IF(ISBLANK(D1338),"""",IF(D1338=""Cash"",B1338,IF(GOOGLEFINANCE(D1338,""CURRENCY"")=""GBX"",""GBP"",GOOGLEFINANCE(D1338,""CURRENCY"")))))),B1338)"),"")</f>
        <v/>
      </c>
      <c r="R1338" s="263" t="str">
        <f>IFERROR(__xludf.DUMMYFUNCTION("IF(ISBLANK(A1338),"""",IFERROR(IF(OR(Q1338=""GPB"",Q1338=""ZAR""),IF(Q1338=Dashboard!$L$1,K1338,(K1338*GOOGLEFINANCE(""CURRENCY:""&amp;Q1338&amp;""""&amp;Dashboard!$L$1&amp;""""))/100),IF(Q1338=Dashboard!$L$1,K1338,K1338*GOOGLEFINANCE(""CURRENCY:""&amp;Q1338&amp;""""&amp;Dashboard!$"&amp;"L$1&amp;""""))),K1338))"),"")</f>
        <v/>
      </c>
      <c r="S1338" s="266" t="str">
        <f>IFERROR(__xludf.DUMMYFUNCTION("IF(ISBLANK(A1338),"""",IFERROR(IF(OR(Q1338=""GPB"",Q1338=""ZAR""),IF(Q1338=Dashboard!$L$1,M1338,(M1338*GOOGLEFINANCE(""CURRENCY:""&amp;Q1338&amp;""""&amp;Dashboard!$L$1&amp;""""))/100),IF(Q1338=Dashboard!$L$1,M1338,M1338*GOOGLEFINANCE(""CURRENCY:""&amp;Q1338&amp;""""&amp;Dashboard!$"&amp;"L$1&amp;""""))),M1338))"),"")</f>
        <v/>
      </c>
      <c r="T1338" s="264" t="str">
        <f t="shared" si="4"/>
        <v/>
      </c>
      <c r="U1338" s="264" t="str">
        <f t="shared" si="5"/>
        <v/>
      </c>
      <c r="V1338" s="264" t="str">
        <f t="shared" si="6"/>
        <v/>
      </c>
      <c r="W1338" s="267" t="str">
        <f t="shared" si="8"/>
        <v/>
      </c>
      <c r="X1338" s="264" t="str">
        <f t="shared" si="7"/>
        <v/>
      </c>
    </row>
    <row r="1339" ht="15.75" customHeight="1">
      <c r="A1339" s="258"/>
      <c r="B1339" s="258"/>
      <c r="C1339" s="269"/>
      <c r="D1339" s="258"/>
      <c r="E1339" s="258"/>
      <c r="F1339" s="258"/>
      <c r="G1339" s="258"/>
      <c r="H1339" s="271"/>
      <c r="I1339" s="258"/>
      <c r="J1339" s="272"/>
      <c r="K1339" s="260"/>
      <c r="L1339" s="261"/>
      <c r="M1339" s="262" t="str">
        <f t="shared" si="1"/>
        <v/>
      </c>
      <c r="N1339" s="263" t="str">
        <f t="shared" si="2"/>
        <v/>
      </c>
      <c r="O1339" s="264" t="str">
        <f t="shared" si="3"/>
        <v/>
      </c>
      <c r="P1339" s="265" t="str">
        <f>IFERROR(__xludf.DUMMYFUNCTION("IF(ISBLANK(A1339),"""",IFERROR(IF(H1339=""Sell"",VLOOKUP(9^99,FILTER({ROW(P$2:P1338),P$2:P1338},D$2:D1338=D1339),2),(VLOOKUP(9^99,FILTER({ROW(P$2:P1338),P$2:P1338},D$2:D1338=D1339),2)*VLOOKUP(9^99,FILTER({ROW(O$2:O1338),O$2:O1338},D$2:D1338=D1339),2)-N133"&amp;"9)/O1339),J1339))"),"")</f>
        <v/>
      </c>
      <c r="Q1339" s="264" t="str">
        <f>IFERROR(__xludf.DUMMYFUNCTION("IFERROR(IF(F1339=""Crypto"",B1339,(IF(ISBLANK(D1339),"""",IF(D1339=""Cash"",B1339,IF(GOOGLEFINANCE(D1339,""CURRENCY"")=""GBX"",""GBP"",GOOGLEFINANCE(D1339,""CURRENCY"")))))),B1339)"),"")</f>
        <v/>
      </c>
      <c r="R1339" s="263" t="str">
        <f>IFERROR(__xludf.DUMMYFUNCTION("IF(ISBLANK(A1339),"""",IFERROR(IF(OR(Q1339=""GPB"",Q1339=""ZAR""),IF(Q1339=Dashboard!$L$1,K1339,(K1339*GOOGLEFINANCE(""CURRENCY:""&amp;Q1339&amp;""""&amp;Dashboard!$L$1&amp;""""))/100),IF(Q1339=Dashboard!$L$1,K1339,K1339*GOOGLEFINANCE(""CURRENCY:""&amp;Q1339&amp;""""&amp;Dashboard!$"&amp;"L$1&amp;""""))),K1339))"),"")</f>
        <v/>
      </c>
      <c r="S1339" s="266" t="str">
        <f>IFERROR(__xludf.DUMMYFUNCTION("IF(ISBLANK(A1339),"""",IFERROR(IF(OR(Q1339=""GPB"",Q1339=""ZAR""),IF(Q1339=Dashboard!$L$1,M1339,(M1339*GOOGLEFINANCE(""CURRENCY:""&amp;Q1339&amp;""""&amp;Dashboard!$L$1&amp;""""))/100),IF(Q1339=Dashboard!$L$1,M1339,M1339*GOOGLEFINANCE(""CURRENCY:""&amp;Q1339&amp;""""&amp;Dashboard!$"&amp;"L$1&amp;""""))),M1339))"),"")</f>
        <v/>
      </c>
      <c r="T1339" s="264" t="str">
        <f t="shared" si="4"/>
        <v/>
      </c>
      <c r="U1339" s="264" t="str">
        <f t="shared" si="5"/>
        <v/>
      </c>
      <c r="V1339" s="264" t="str">
        <f t="shared" si="6"/>
        <v/>
      </c>
      <c r="W1339" s="267" t="str">
        <f t="shared" si="8"/>
        <v/>
      </c>
      <c r="X1339" s="264" t="str">
        <f t="shared" si="7"/>
        <v/>
      </c>
    </row>
    <row r="1340" ht="15.75" customHeight="1">
      <c r="A1340" s="258"/>
      <c r="B1340" s="258"/>
      <c r="C1340" s="269"/>
      <c r="D1340" s="258"/>
      <c r="E1340" s="258"/>
      <c r="F1340" s="258"/>
      <c r="G1340" s="258"/>
      <c r="H1340" s="271"/>
      <c r="I1340" s="258"/>
      <c r="J1340" s="272"/>
      <c r="K1340" s="260"/>
      <c r="L1340" s="261"/>
      <c r="M1340" s="262" t="str">
        <f t="shared" si="1"/>
        <v/>
      </c>
      <c r="N1340" s="263" t="str">
        <f t="shared" si="2"/>
        <v/>
      </c>
      <c r="O1340" s="264" t="str">
        <f t="shared" si="3"/>
        <v/>
      </c>
      <c r="P1340" s="265" t="str">
        <f>IFERROR(__xludf.DUMMYFUNCTION("IF(ISBLANK(A1340),"""",IFERROR(IF(H1340=""Sell"",VLOOKUP(9^99,FILTER({ROW(P$2:P1339),P$2:P1339},D$2:D1339=D1340),2),(VLOOKUP(9^99,FILTER({ROW(P$2:P1339),P$2:P1339},D$2:D1339=D1340),2)*VLOOKUP(9^99,FILTER({ROW(O$2:O1339),O$2:O1339},D$2:D1339=D1340),2)-N134"&amp;"0)/O1340),J1340))"),"")</f>
        <v/>
      </c>
      <c r="Q1340" s="264" t="str">
        <f>IFERROR(__xludf.DUMMYFUNCTION("IFERROR(IF(F1340=""Crypto"",B1340,(IF(ISBLANK(D1340),"""",IF(D1340=""Cash"",B1340,IF(GOOGLEFINANCE(D1340,""CURRENCY"")=""GBX"",""GBP"",GOOGLEFINANCE(D1340,""CURRENCY"")))))),B1340)"),"")</f>
        <v/>
      </c>
      <c r="R1340" s="263" t="str">
        <f>IFERROR(__xludf.DUMMYFUNCTION("IF(ISBLANK(A1340),"""",IFERROR(IF(OR(Q1340=""GPB"",Q1340=""ZAR""),IF(Q1340=Dashboard!$L$1,K1340,(K1340*GOOGLEFINANCE(""CURRENCY:""&amp;Q1340&amp;""""&amp;Dashboard!$L$1&amp;""""))/100),IF(Q1340=Dashboard!$L$1,K1340,K1340*GOOGLEFINANCE(""CURRENCY:""&amp;Q1340&amp;""""&amp;Dashboard!$"&amp;"L$1&amp;""""))),K1340))"),"")</f>
        <v/>
      </c>
      <c r="S1340" s="266" t="str">
        <f>IFERROR(__xludf.DUMMYFUNCTION("IF(ISBLANK(A1340),"""",IFERROR(IF(OR(Q1340=""GPB"",Q1340=""ZAR""),IF(Q1340=Dashboard!$L$1,M1340,(M1340*GOOGLEFINANCE(""CURRENCY:""&amp;Q1340&amp;""""&amp;Dashboard!$L$1&amp;""""))/100),IF(Q1340=Dashboard!$L$1,M1340,M1340*GOOGLEFINANCE(""CURRENCY:""&amp;Q1340&amp;""""&amp;Dashboard!$"&amp;"L$1&amp;""""))),M1340))"),"")</f>
        <v/>
      </c>
      <c r="T1340" s="264" t="str">
        <f t="shared" si="4"/>
        <v/>
      </c>
      <c r="U1340" s="264" t="str">
        <f t="shared" si="5"/>
        <v/>
      </c>
      <c r="V1340" s="264" t="str">
        <f t="shared" si="6"/>
        <v/>
      </c>
      <c r="W1340" s="267" t="str">
        <f t="shared" si="8"/>
        <v/>
      </c>
      <c r="X1340" s="264" t="str">
        <f t="shared" si="7"/>
        <v/>
      </c>
    </row>
    <row r="1341" ht="15.75" customHeight="1">
      <c r="A1341" s="258"/>
      <c r="B1341" s="258"/>
      <c r="C1341" s="269"/>
      <c r="D1341" s="258"/>
      <c r="E1341" s="258"/>
      <c r="F1341" s="258"/>
      <c r="G1341" s="258"/>
      <c r="H1341" s="271"/>
      <c r="I1341" s="258"/>
      <c r="J1341" s="272"/>
      <c r="K1341" s="260"/>
      <c r="L1341" s="261"/>
      <c r="M1341" s="262" t="str">
        <f t="shared" si="1"/>
        <v/>
      </c>
      <c r="N1341" s="263" t="str">
        <f t="shared" si="2"/>
        <v/>
      </c>
      <c r="O1341" s="264" t="str">
        <f t="shared" si="3"/>
        <v/>
      </c>
      <c r="P1341" s="265" t="str">
        <f>IFERROR(__xludf.DUMMYFUNCTION("IF(ISBLANK(A1341),"""",IFERROR(IF(H1341=""Sell"",VLOOKUP(9^99,FILTER({ROW(P$2:P1340),P$2:P1340},D$2:D1340=D1341),2),(VLOOKUP(9^99,FILTER({ROW(P$2:P1340),P$2:P1340},D$2:D1340=D1341),2)*VLOOKUP(9^99,FILTER({ROW(O$2:O1340),O$2:O1340},D$2:D1340=D1341),2)-N134"&amp;"1)/O1341),J1341))"),"")</f>
        <v/>
      </c>
      <c r="Q1341" s="264" t="str">
        <f>IFERROR(__xludf.DUMMYFUNCTION("IFERROR(IF(F1341=""Crypto"",B1341,(IF(ISBLANK(D1341),"""",IF(D1341=""Cash"",B1341,IF(GOOGLEFINANCE(D1341,""CURRENCY"")=""GBX"",""GBP"",GOOGLEFINANCE(D1341,""CURRENCY"")))))),B1341)"),"")</f>
        <v/>
      </c>
      <c r="R1341" s="263" t="str">
        <f>IFERROR(__xludf.DUMMYFUNCTION("IF(ISBLANK(A1341),"""",IFERROR(IF(OR(Q1341=""GPB"",Q1341=""ZAR""),IF(Q1341=Dashboard!$L$1,K1341,(K1341*GOOGLEFINANCE(""CURRENCY:""&amp;Q1341&amp;""""&amp;Dashboard!$L$1&amp;""""))/100),IF(Q1341=Dashboard!$L$1,K1341,K1341*GOOGLEFINANCE(""CURRENCY:""&amp;Q1341&amp;""""&amp;Dashboard!$"&amp;"L$1&amp;""""))),K1341))"),"")</f>
        <v/>
      </c>
      <c r="S1341" s="266" t="str">
        <f>IFERROR(__xludf.DUMMYFUNCTION("IF(ISBLANK(A1341),"""",IFERROR(IF(OR(Q1341=""GPB"",Q1341=""ZAR""),IF(Q1341=Dashboard!$L$1,M1341,(M1341*GOOGLEFINANCE(""CURRENCY:""&amp;Q1341&amp;""""&amp;Dashboard!$L$1&amp;""""))/100),IF(Q1341=Dashboard!$L$1,M1341,M1341*GOOGLEFINANCE(""CURRENCY:""&amp;Q1341&amp;""""&amp;Dashboard!$"&amp;"L$1&amp;""""))),M1341))"),"")</f>
        <v/>
      </c>
      <c r="T1341" s="264" t="str">
        <f t="shared" si="4"/>
        <v/>
      </c>
      <c r="U1341" s="264" t="str">
        <f t="shared" si="5"/>
        <v/>
      </c>
      <c r="V1341" s="264" t="str">
        <f t="shared" si="6"/>
        <v/>
      </c>
      <c r="W1341" s="267" t="str">
        <f t="shared" si="8"/>
        <v/>
      </c>
      <c r="X1341" s="264" t="str">
        <f t="shared" si="7"/>
        <v/>
      </c>
    </row>
    <row r="1342" ht="15.75" customHeight="1">
      <c r="A1342" s="258"/>
      <c r="B1342" s="258"/>
      <c r="C1342" s="269"/>
      <c r="D1342" s="258"/>
      <c r="E1342" s="258"/>
      <c r="F1342" s="258"/>
      <c r="G1342" s="258"/>
      <c r="H1342" s="271"/>
      <c r="I1342" s="258"/>
      <c r="J1342" s="272"/>
      <c r="K1342" s="260"/>
      <c r="L1342" s="261"/>
      <c r="M1342" s="262" t="str">
        <f t="shared" si="1"/>
        <v/>
      </c>
      <c r="N1342" s="263" t="str">
        <f t="shared" si="2"/>
        <v/>
      </c>
      <c r="O1342" s="264" t="str">
        <f t="shared" si="3"/>
        <v/>
      </c>
      <c r="P1342" s="265" t="str">
        <f>IFERROR(__xludf.DUMMYFUNCTION("IF(ISBLANK(A1342),"""",IFERROR(IF(H1342=""Sell"",VLOOKUP(9^99,FILTER({ROW(P$2:P1341),P$2:P1341},D$2:D1341=D1342),2),(VLOOKUP(9^99,FILTER({ROW(P$2:P1341),P$2:P1341},D$2:D1341=D1342),2)*VLOOKUP(9^99,FILTER({ROW(O$2:O1341),O$2:O1341},D$2:D1341=D1342),2)-N134"&amp;"2)/O1342),J1342))"),"")</f>
        <v/>
      </c>
      <c r="Q1342" s="264" t="str">
        <f>IFERROR(__xludf.DUMMYFUNCTION("IFERROR(IF(F1342=""Crypto"",B1342,(IF(ISBLANK(D1342),"""",IF(D1342=""Cash"",B1342,IF(GOOGLEFINANCE(D1342,""CURRENCY"")=""GBX"",""GBP"",GOOGLEFINANCE(D1342,""CURRENCY"")))))),B1342)"),"")</f>
        <v/>
      </c>
      <c r="R1342" s="263" t="str">
        <f>IFERROR(__xludf.DUMMYFUNCTION("IF(ISBLANK(A1342),"""",IFERROR(IF(OR(Q1342=""GPB"",Q1342=""ZAR""),IF(Q1342=Dashboard!$L$1,K1342,(K1342*GOOGLEFINANCE(""CURRENCY:""&amp;Q1342&amp;""""&amp;Dashboard!$L$1&amp;""""))/100),IF(Q1342=Dashboard!$L$1,K1342,K1342*GOOGLEFINANCE(""CURRENCY:""&amp;Q1342&amp;""""&amp;Dashboard!$"&amp;"L$1&amp;""""))),K1342))"),"")</f>
        <v/>
      </c>
      <c r="S1342" s="266" t="str">
        <f>IFERROR(__xludf.DUMMYFUNCTION("IF(ISBLANK(A1342),"""",IFERROR(IF(OR(Q1342=""GPB"",Q1342=""ZAR""),IF(Q1342=Dashboard!$L$1,M1342,(M1342*GOOGLEFINANCE(""CURRENCY:""&amp;Q1342&amp;""""&amp;Dashboard!$L$1&amp;""""))/100),IF(Q1342=Dashboard!$L$1,M1342,M1342*GOOGLEFINANCE(""CURRENCY:""&amp;Q1342&amp;""""&amp;Dashboard!$"&amp;"L$1&amp;""""))),M1342))"),"")</f>
        <v/>
      </c>
      <c r="T1342" s="264" t="str">
        <f t="shared" si="4"/>
        <v/>
      </c>
      <c r="U1342" s="264" t="str">
        <f t="shared" si="5"/>
        <v/>
      </c>
      <c r="V1342" s="264" t="str">
        <f t="shared" si="6"/>
        <v/>
      </c>
      <c r="W1342" s="267" t="str">
        <f t="shared" si="8"/>
        <v/>
      </c>
      <c r="X1342" s="264" t="str">
        <f t="shared" si="7"/>
        <v/>
      </c>
    </row>
    <row r="1343" ht="15.75" customHeight="1">
      <c r="A1343" s="258"/>
      <c r="B1343" s="258"/>
      <c r="C1343" s="269"/>
      <c r="D1343" s="258"/>
      <c r="E1343" s="258"/>
      <c r="F1343" s="258"/>
      <c r="G1343" s="258"/>
      <c r="H1343" s="271"/>
      <c r="I1343" s="258"/>
      <c r="J1343" s="272"/>
      <c r="K1343" s="260"/>
      <c r="L1343" s="261"/>
      <c r="M1343" s="262" t="str">
        <f t="shared" si="1"/>
        <v/>
      </c>
      <c r="N1343" s="263" t="str">
        <f t="shared" si="2"/>
        <v/>
      </c>
      <c r="O1343" s="264" t="str">
        <f t="shared" si="3"/>
        <v/>
      </c>
      <c r="P1343" s="265" t="str">
        <f>IFERROR(__xludf.DUMMYFUNCTION("IF(ISBLANK(A1343),"""",IFERROR(IF(H1343=""Sell"",VLOOKUP(9^99,FILTER({ROW(P$2:P1342),P$2:P1342},D$2:D1342=D1343),2),(VLOOKUP(9^99,FILTER({ROW(P$2:P1342),P$2:P1342},D$2:D1342=D1343),2)*VLOOKUP(9^99,FILTER({ROW(O$2:O1342),O$2:O1342},D$2:D1342=D1343),2)-N134"&amp;"3)/O1343),J1343))"),"")</f>
        <v/>
      </c>
      <c r="Q1343" s="264" t="str">
        <f>IFERROR(__xludf.DUMMYFUNCTION("IFERROR(IF(F1343=""Crypto"",B1343,(IF(ISBLANK(D1343),"""",IF(D1343=""Cash"",B1343,IF(GOOGLEFINANCE(D1343,""CURRENCY"")=""GBX"",""GBP"",GOOGLEFINANCE(D1343,""CURRENCY"")))))),B1343)"),"")</f>
        <v/>
      </c>
      <c r="R1343" s="263" t="str">
        <f>IFERROR(__xludf.DUMMYFUNCTION("IF(ISBLANK(A1343),"""",IFERROR(IF(OR(Q1343=""GPB"",Q1343=""ZAR""),IF(Q1343=Dashboard!$L$1,K1343,(K1343*GOOGLEFINANCE(""CURRENCY:""&amp;Q1343&amp;""""&amp;Dashboard!$L$1&amp;""""))/100),IF(Q1343=Dashboard!$L$1,K1343,K1343*GOOGLEFINANCE(""CURRENCY:""&amp;Q1343&amp;""""&amp;Dashboard!$"&amp;"L$1&amp;""""))),K1343))"),"")</f>
        <v/>
      </c>
      <c r="S1343" s="266" t="str">
        <f>IFERROR(__xludf.DUMMYFUNCTION("IF(ISBLANK(A1343),"""",IFERROR(IF(OR(Q1343=""GPB"",Q1343=""ZAR""),IF(Q1343=Dashboard!$L$1,M1343,(M1343*GOOGLEFINANCE(""CURRENCY:""&amp;Q1343&amp;""""&amp;Dashboard!$L$1&amp;""""))/100),IF(Q1343=Dashboard!$L$1,M1343,M1343*GOOGLEFINANCE(""CURRENCY:""&amp;Q1343&amp;""""&amp;Dashboard!$"&amp;"L$1&amp;""""))),M1343))"),"")</f>
        <v/>
      </c>
      <c r="T1343" s="264" t="str">
        <f t="shared" si="4"/>
        <v/>
      </c>
      <c r="U1343" s="264" t="str">
        <f t="shared" si="5"/>
        <v/>
      </c>
      <c r="V1343" s="264" t="str">
        <f t="shared" si="6"/>
        <v/>
      </c>
      <c r="W1343" s="267" t="str">
        <f t="shared" si="8"/>
        <v/>
      </c>
      <c r="X1343" s="264" t="str">
        <f t="shared" si="7"/>
        <v/>
      </c>
    </row>
    <row r="1344" ht="15.75" customHeight="1">
      <c r="A1344" s="258"/>
      <c r="B1344" s="258"/>
      <c r="C1344" s="269"/>
      <c r="D1344" s="258"/>
      <c r="E1344" s="258"/>
      <c r="F1344" s="258"/>
      <c r="G1344" s="258"/>
      <c r="H1344" s="271"/>
      <c r="I1344" s="258"/>
      <c r="J1344" s="272"/>
      <c r="K1344" s="260"/>
      <c r="L1344" s="261"/>
      <c r="M1344" s="262" t="str">
        <f t="shared" si="1"/>
        <v/>
      </c>
      <c r="N1344" s="263" t="str">
        <f t="shared" si="2"/>
        <v/>
      </c>
      <c r="O1344" s="264" t="str">
        <f t="shared" si="3"/>
        <v/>
      </c>
      <c r="P1344" s="265" t="str">
        <f>IFERROR(__xludf.DUMMYFUNCTION("IF(ISBLANK(A1344),"""",IFERROR(IF(H1344=""Sell"",VLOOKUP(9^99,FILTER({ROW(P$2:P1343),P$2:P1343},D$2:D1343=D1344),2),(VLOOKUP(9^99,FILTER({ROW(P$2:P1343),P$2:P1343},D$2:D1343=D1344),2)*VLOOKUP(9^99,FILTER({ROW(O$2:O1343),O$2:O1343},D$2:D1343=D1344),2)-N134"&amp;"4)/O1344),J1344))"),"")</f>
        <v/>
      </c>
      <c r="Q1344" s="264" t="str">
        <f>IFERROR(__xludf.DUMMYFUNCTION("IFERROR(IF(F1344=""Crypto"",B1344,(IF(ISBLANK(D1344),"""",IF(D1344=""Cash"",B1344,IF(GOOGLEFINANCE(D1344,""CURRENCY"")=""GBX"",""GBP"",GOOGLEFINANCE(D1344,""CURRENCY"")))))),B1344)"),"")</f>
        <v/>
      </c>
      <c r="R1344" s="263" t="str">
        <f>IFERROR(__xludf.DUMMYFUNCTION("IF(ISBLANK(A1344),"""",IFERROR(IF(OR(Q1344=""GPB"",Q1344=""ZAR""),IF(Q1344=Dashboard!$L$1,K1344,(K1344*GOOGLEFINANCE(""CURRENCY:""&amp;Q1344&amp;""""&amp;Dashboard!$L$1&amp;""""))/100),IF(Q1344=Dashboard!$L$1,K1344,K1344*GOOGLEFINANCE(""CURRENCY:""&amp;Q1344&amp;""""&amp;Dashboard!$"&amp;"L$1&amp;""""))),K1344))"),"")</f>
        <v/>
      </c>
      <c r="S1344" s="266" t="str">
        <f>IFERROR(__xludf.DUMMYFUNCTION("IF(ISBLANK(A1344),"""",IFERROR(IF(OR(Q1344=""GPB"",Q1344=""ZAR""),IF(Q1344=Dashboard!$L$1,M1344,(M1344*GOOGLEFINANCE(""CURRENCY:""&amp;Q1344&amp;""""&amp;Dashboard!$L$1&amp;""""))/100),IF(Q1344=Dashboard!$L$1,M1344,M1344*GOOGLEFINANCE(""CURRENCY:""&amp;Q1344&amp;""""&amp;Dashboard!$"&amp;"L$1&amp;""""))),M1344))"),"")</f>
        <v/>
      </c>
      <c r="T1344" s="264" t="str">
        <f t="shared" si="4"/>
        <v/>
      </c>
      <c r="U1344" s="264" t="str">
        <f t="shared" si="5"/>
        <v/>
      </c>
      <c r="V1344" s="264" t="str">
        <f t="shared" si="6"/>
        <v/>
      </c>
      <c r="W1344" s="267" t="str">
        <f t="shared" si="8"/>
        <v/>
      </c>
      <c r="X1344" s="264" t="str">
        <f t="shared" si="7"/>
        <v/>
      </c>
    </row>
    <row r="1345" ht="15.75" customHeight="1">
      <c r="A1345" s="258"/>
      <c r="B1345" s="258"/>
      <c r="C1345" s="269"/>
      <c r="D1345" s="258"/>
      <c r="E1345" s="258"/>
      <c r="F1345" s="258"/>
      <c r="G1345" s="258"/>
      <c r="H1345" s="271"/>
      <c r="I1345" s="258"/>
      <c r="J1345" s="272"/>
      <c r="K1345" s="260"/>
      <c r="L1345" s="261"/>
      <c r="M1345" s="262" t="str">
        <f t="shared" si="1"/>
        <v/>
      </c>
      <c r="N1345" s="263" t="str">
        <f t="shared" si="2"/>
        <v/>
      </c>
      <c r="O1345" s="264" t="str">
        <f t="shared" si="3"/>
        <v/>
      </c>
      <c r="P1345" s="265" t="str">
        <f>IFERROR(__xludf.DUMMYFUNCTION("IF(ISBLANK(A1345),"""",IFERROR(IF(H1345=""Sell"",VLOOKUP(9^99,FILTER({ROW(P$2:P1344),P$2:P1344},D$2:D1344=D1345),2),(VLOOKUP(9^99,FILTER({ROW(P$2:P1344),P$2:P1344},D$2:D1344=D1345),2)*VLOOKUP(9^99,FILTER({ROW(O$2:O1344),O$2:O1344},D$2:D1344=D1345),2)-N134"&amp;"5)/O1345),J1345))"),"")</f>
        <v/>
      </c>
      <c r="Q1345" s="264" t="str">
        <f>IFERROR(__xludf.DUMMYFUNCTION("IFERROR(IF(F1345=""Crypto"",B1345,(IF(ISBLANK(D1345),"""",IF(D1345=""Cash"",B1345,IF(GOOGLEFINANCE(D1345,""CURRENCY"")=""GBX"",""GBP"",GOOGLEFINANCE(D1345,""CURRENCY"")))))),B1345)"),"")</f>
        <v/>
      </c>
      <c r="R1345" s="263" t="str">
        <f>IFERROR(__xludf.DUMMYFUNCTION("IF(ISBLANK(A1345),"""",IFERROR(IF(OR(Q1345=""GPB"",Q1345=""ZAR""),IF(Q1345=Dashboard!$L$1,K1345,(K1345*GOOGLEFINANCE(""CURRENCY:""&amp;Q1345&amp;""""&amp;Dashboard!$L$1&amp;""""))/100),IF(Q1345=Dashboard!$L$1,K1345,K1345*GOOGLEFINANCE(""CURRENCY:""&amp;Q1345&amp;""""&amp;Dashboard!$"&amp;"L$1&amp;""""))),K1345))"),"")</f>
        <v/>
      </c>
      <c r="S1345" s="266" t="str">
        <f>IFERROR(__xludf.DUMMYFUNCTION("IF(ISBLANK(A1345),"""",IFERROR(IF(OR(Q1345=""GPB"",Q1345=""ZAR""),IF(Q1345=Dashboard!$L$1,M1345,(M1345*GOOGLEFINANCE(""CURRENCY:""&amp;Q1345&amp;""""&amp;Dashboard!$L$1&amp;""""))/100),IF(Q1345=Dashboard!$L$1,M1345,M1345*GOOGLEFINANCE(""CURRENCY:""&amp;Q1345&amp;""""&amp;Dashboard!$"&amp;"L$1&amp;""""))),M1345))"),"")</f>
        <v/>
      </c>
      <c r="T1345" s="264" t="str">
        <f t="shared" si="4"/>
        <v/>
      </c>
      <c r="U1345" s="264" t="str">
        <f t="shared" si="5"/>
        <v/>
      </c>
      <c r="V1345" s="264" t="str">
        <f t="shared" si="6"/>
        <v/>
      </c>
      <c r="W1345" s="267" t="str">
        <f t="shared" si="8"/>
        <v/>
      </c>
      <c r="X1345" s="264" t="str">
        <f t="shared" si="7"/>
        <v/>
      </c>
    </row>
    <row r="1346" ht="15.75" customHeight="1">
      <c r="A1346" s="258"/>
      <c r="B1346" s="258"/>
      <c r="C1346" s="269"/>
      <c r="D1346" s="258"/>
      <c r="E1346" s="258"/>
      <c r="F1346" s="258"/>
      <c r="G1346" s="258"/>
      <c r="H1346" s="271"/>
      <c r="I1346" s="258"/>
      <c r="J1346" s="272"/>
      <c r="K1346" s="260"/>
      <c r="L1346" s="261"/>
      <c r="M1346" s="262" t="str">
        <f t="shared" si="1"/>
        <v/>
      </c>
      <c r="N1346" s="263" t="str">
        <f t="shared" si="2"/>
        <v/>
      </c>
      <c r="O1346" s="264" t="str">
        <f t="shared" si="3"/>
        <v/>
      </c>
      <c r="P1346" s="265" t="str">
        <f>IFERROR(__xludf.DUMMYFUNCTION("IF(ISBLANK(A1346),"""",IFERROR(IF(H1346=""Sell"",VLOOKUP(9^99,FILTER({ROW(P$2:P1345),P$2:P1345},D$2:D1345=D1346),2),(VLOOKUP(9^99,FILTER({ROW(P$2:P1345),P$2:P1345},D$2:D1345=D1346),2)*VLOOKUP(9^99,FILTER({ROW(O$2:O1345),O$2:O1345},D$2:D1345=D1346),2)-N134"&amp;"6)/O1346),J1346))"),"")</f>
        <v/>
      </c>
      <c r="Q1346" s="264" t="str">
        <f>IFERROR(__xludf.DUMMYFUNCTION("IFERROR(IF(F1346=""Crypto"",B1346,(IF(ISBLANK(D1346),"""",IF(D1346=""Cash"",B1346,IF(GOOGLEFINANCE(D1346,""CURRENCY"")=""GBX"",""GBP"",GOOGLEFINANCE(D1346,""CURRENCY"")))))),B1346)"),"")</f>
        <v/>
      </c>
      <c r="R1346" s="263" t="str">
        <f>IFERROR(__xludf.DUMMYFUNCTION("IF(ISBLANK(A1346),"""",IFERROR(IF(OR(Q1346=""GPB"",Q1346=""ZAR""),IF(Q1346=Dashboard!$L$1,K1346,(K1346*GOOGLEFINANCE(""CURRENCY:""&amp;Q1346&amp;""""&amp;Dashboard!$L$1&amp;""""))/100),IF(Q1346=Dashboard!$L$1,K1346,K1346*GOOGLEFINANCE(""CURRENCY:""&amp;Q1346&amp;""""&amp;Dashboard!$"&amp;"L$1&amp;""""))),K1346))"),"")</f>
        <v/>
      </c>
      <c r="S1346" s="266" t="str">
        <f>IFERROR(__xludf.DUMMYFUNCTION("IF(ISBLANK(A1346),"""",IFERROR(IF(OR(Q1346=""GPB"",Q1346=""ZAR""),IF(Q1346=Dashboard!$L$1,M1346,(M1346*GOOGLEFINANCE(""CURRENCY:""&amp;Q1346&amp;""""&amp;Dashboard!$L$1&amp;""""))/100),IF(Q1346=Dashboard!$L$1,M1346,M1346*GOOGLEFINANCE(""CURRENCY:""&amp;Q1346&amp;""""&amp;Dashboard!$"&amp;"L$1&amp;""""))),M1346))"),"")</f>
        <v/>
      </c>
      <c r="T1346" s="264" t="str">
        <f t="shared" si="4"/>
        <v/>
      </c>
      <c r="U1346" s="264" t="str">
        <f t="shared" si="5"/>
        <v/>
      </c>
      <c r="V1346" s="264" t="str">
        <f t="shared" si="6"/>
        <v/>
      </c>
      <c r="W1346" s="267" t="str">
        <f t="shared" si="8"/>
        <v/>
      </c>
      <c r="X1346" s="264" t="str">
        <f t="shared" si="7"/>
        <v/>
      </c>
    </row>
    <row r="1347" ht="15.75" customHeight="1">
      <c r="A1347" s="258"/>
      <c r="B1347" s="258"/>
      <c r="C1347" s="269"/>
      <c r="D1347" s="258"/>
      <c r="E1347" s="258"/>
      <c r="F1347" s="258"/>
      <c r="G1347" s="258"/>
      <c r="H1347" s="271"/>
      <c r="I1347" s="258"/>
      <c r="J1347" s="272"/>
      <c r="K1347" s="260"/>
      <c r="L1347" s="261"/>
      <c r="M1347" s="262" t="str">
        <f t="shared" si="1"/>
        <v/>
      </c>
      <c r="N1347" s="263" t="str">
        <f t="shared" si="2"/>
        <v/>
      </c>
      <c r="O1347" s="264" t="str">
        <f t="shared" si="3"/>
        <v/>
      </c>
      <c r="P1347" s="265" t="str">
        <f>IFERROR(__xludf.DUMMYFUNCTION("IF(ISBLANK(A1347),"""",IFERROR(IF(H1347=""Sell"",VLOOKUP(9^99,FILTER({ROW(P$2:P1346),P$2:P1346},D$2:D1346=D1347),2),(VLOOKUP(9^99,FILTER({ROW(P$2:P1346),P$2:P1346},D$2:D1346=D1347),2)*VLOOKUP(9^99,FILTER({ROW(O$2:O1346),O$2:O1346},D$2:D1346=D1347),2)-N134"&amp;"7)/O1347),J1347))"),"")</f>
        <v/>
      </c>
      <c r="Q1347" s="264" t="str">
        <f>IFERROR(__xludf.DUMMYFUNCTION("IFERROR(IF(F1347=""Crypto"",B1347,(IF(ISBLANK(D1347),"""",IF(D1347=""Cash"",B1347,IF(GOOGLEFINANCE(D1347,""CURRENCY"")=""GBX"",""GBP"",GOOGLEFINANCE(D1347,""CURRENCY"")))))),B1347)"),"")</f>
        <v/>
      </c>
      <c r="R1347" s="263" t="str">
        <f>IFERROR(__xludf.DUMMYFUNCTION("IF(ISBLANK(A1347),"""",IFERROR(IF(OR(Q1347=""GPB"",Q1347=""ZAR""),IF(Q1347=Dashboard!$L$1,K1347,(K1347*GOOGLEFINANCE(""CURRENCY:""&amp;Q1347&amp;""""&amp;Dashboard!$L$1&amp;""""))/100),IF(Q1347=Dashboard!$L$1,K1347,K1347*GOOGLEFINANCE(""CURRENCY:""&amp;Q1347&amp;""""&amp;Dashboard!$"&amp;"L$1&amp;""""))),K1347))"),"")</f>
        <v/>
      </c>
      <c r="S1347" s="266" t="str">
        <f>IFERROR(__xludf.DUMMYFUNCTION("IF(ISBLANK(A1347),"""",IFERROR(IF(OR(Q1347=""GPB"",Q1347=""ZAR""),IF(Q1347=Dashboard!$L$1,M1347,(M1347*GOOGLEFINANCE(""CURRENCY:""&amp;Q1347&amp;""""&amp;Dashboard!$L$1&amp;""""))/100),IF(Q1347=Dashboard!$L$1,M1347,M1347*GOOGLEFINANCE(""CURRENCY:""&amp;Q1347&amp;""""&amp;Dashboard!$"&amp;"L$1&amp;""""))),M1347))"),"")</f>
        <v/>
      </c>
      <c r="T1347" s="264" t="str">
        <f t="shared" si="4"/>
        <v/>
      </c>
      <c r="U1347" s="264" t="str">
        <f t="shared" si="5"/>
        <v/>
      </c>
      <c r="V1347" s="264" t="str">
        <f t="shared" si="6"/>
        <v/>
      </c>
      <c r="W1347" s="267" t="str">
        <f t="shared" si="8"/>
        <v/>
      </c>
      <c r="X1347" s="264" t="str">
        <f t="shared" si="7"/>
        <v/>
      </c>
    </row>
    <row r="1348" ht="15.75" customHeight="1">
      <c r="A1348" s="258"/>
      <c r="B1348" s="258"/>
      <c r="C1348" s="269"/>
      <c r="D1348" s="258"/>
      <c r="E1348" s="258"/>
      <c r="F1348" s="258"/>
      <c r="G1348" s="258"/>
      <c r="H1348" s="271"/>
      <c r="I1348" s="258"/>
      <c r="J1348" s="272"/>
      <c r="K1348" s="260"/>
      <c r="L1348" s="261"/>
      <c r="M1348" s="262" t="str">
        <f t="shared" si="1"/>
        <v/>
      </c>
      <c r="N1348" s="263" t="str">
        <f t="shared" si="2"/>
        <v/>
      </c>
      <c r="O1348" s="264" t="str">
        <f t="shared" si="3"/>
        <v/>
      </c>
      <c r="P1348" s="265" t="str">
        <f>IFERROR(__xludf.DUMMYFUNCTION("IF(ISBLANK(A1348),"""",IFERROR(IF(H1348=""Sell"",VLOOKUP(9^99,FILTER({ROW(P$2:P1347),P$2:P1347},D$2:D1347=D1348),2),(VLOOKUP(9^99,FILTER({ROW(P$2:P1347),P$2:P1347},D$2:D1347=D1348),2)*VLOOKUP(9^99,FILTER({ROW(O$2:O1347),O$2:O1347},D$2:D1347=D1348),2)-N134"&amp;"8)/O1348),J1348))"),"")</f>
        <v/>
      </c>
      <c r="Q1348" s="264" t="str">
        <f>IFERROR(__xludf.DUMMYFUNCTION("IFERROR(IF(F1348=""Crypto"",B1348,(IF(ISBLANK(D1348),"""",IF(D1348=""Cash"",B1348,IF(GOOGLEFINANCE(D1348,""CURRENCY"")=""GBX"",""GBP"",GOOGLEFINANCE(D1348,""CURRENCY"")))))),B1348)"),"")</f>
        <v/>
      </c>
      <c r="R1348" s="263" t="str">
        <f>IFERROR(__xludf.DUMMYFUNCTION("IF(ISBLANK(A1348),"""",IFERROR(IF(OR(Q1348=""GPB"",Q1348=""ZAR""),IF(Q1348=Dashboard!$L$1,K1348,(K1348*GOOGLEFINANCE(""CURRENCY:""&amp;Q1348&amp;""""&amp;Dashboard!$L$1&amp;""""))/100),IF(Q1348=Dashboard!$L$1,K1348,K1348*GOOGLEFINANCE(""CURRENCY:""&amp;Q1348&amp;""""&amp;Dashboard!$"&amp;"L$1&amp;""""))),K1348))"),"")</f>
        <v/>
      </c>
      <c r="S1348" s="266" t="str">
        <f>IFERROR(__xludf.DUMMYFUNCTION("IF(ISBLANK(A1348),"""",IFERROR(IF(OR(Q1348=""GPB"",Q1348=""ZAR""),IF(Q1348=Dashboard!$L$1,M1348,(M1348*GOOGLEFINANCE(""CURRENCY:""&amp;Q1348&amp;""""&amp;Dashboard!$L$1&amp;""""))/100),IF(Q1348=Dashboard!$L$1,M1348,M1348*GOOGLEFINANCE(""CURRENCY:""&amp;Q1348&amp;""""&amp;Dashboard!$"&amp;"L$1&amp;""""))),M1348))"),"")</f>
        <v/>
      </c>
      <c r="T1348" s="264" t="str">
        <f t="shared" si="4"/>
        <v/>
      </c>
      <c r="U1348" s="264" t="str">
        <f t="shared" si="5"/>
        <v/>
      </c>
      <c r="V1348" s="264" t="str">
        <f t="shared" si="6"/>
        <v/>
      </c>
      <c r="W1348" s="267" t="str">
        <f t="shared" si="8"/>
        <v/>
      </c>
      <c r="X1348" s="264" t="str">
        <f t="shared" si="7"/>
        <v/>
      </c>
    </row>
    <row r="1349" ht="15.75" customHeight="1">
      <c r="A1349" s="258"/>
      <c r="B1349" s="258"/>
      <c r="C1349" s="269"/>
      <c r="D1349" s="258"/>
      <c r="E1349" s="258"/>
      <c r="F1349" s="258"/>
      <c r="G1349" s="258"/>
      <c r="H1349" s="271"/>
      <c r="I1349" s="258"/>
      <c r="J1349" s="272"/>
      <c r="K1349" s="260"/>
      <c r="L1349" s="261"/>
      <c r="M1349" s="262" t="str">
        <f t="shared" si="1"/>
        <v/>
      </c>
      <c r="N1349" s="263" t="str">
        <f t="shared" si="2"/>
        <v/>
      </c>
      <c r="O1349" s="264" t="str">
        <f t="shared" si="3"/>
        <v/>
      </c>
      <c r="P1349" s="265" t="str">
        <f>IFERROR(__xludf.DUMMYFUNCTION("IF(ISBLANK(A1349),"""",IFERROR(IF(H1349=""Sell"",VLOOKUP(9^99,FILTER({ROW(P$2:P1348),P$2:P1348},D$2:D1348=D1349),2),(VLOOKUP(9^99,FILTER({ROW(P$2:P1348),P$2:P1348},D$2:D1348=D1349),2)*VLOOKUP(9^99,FILTER({ROW(O$2:O1348),O$2:O1348},D$2:D1348=D1349),2)-N134"&amp;"9)/O1349),J1349))"),"")</f>
        <v/>
      </c>
      <c r="Q1349" s="264" t="str">
        <f>IFERROR(__xludf.DUMMYFUNCTION("IFERROR(IF(F1349=""Crypto"",B1349,(IF(ISBLANK(D1349),"""",IF(D1349=""Cash"",B1349,IF(GOOGLEFINANCE(D1349,""CURRENCY"")=""GBX"",""GBP"",GOOGLEFINANCE(D1349,""CURRENCY"")))))),B1349)"),"")</f>
        <v/>
      </c>
      <c r="R1349" s="263" t="str">
        <f>IFERROR(__xludf.DUMMYFUNCTION("IF(ISBLANK(A1349),"""",IFERROR(IF(OR(Q1349=""GPB"",Q1349=""ZAR""),IF(Q1349=Dashboard!$L$1,K1349,(K1349*GOOGLEFINANCE(""CURRENCY:""&amp;Q1349&amp;""""&amp;Dashboard!$L$1&amp;""""))/100),IF(Q1349=Dashboard!$L$1,K1349,K1349*GOOGLEFINANCE(""CURRENCY:""&amp;Q1349&amp;""""&amp;Dashboard!$"&amp;"L$1&amp;""""))),K1349))"),"")</f>
        <v/>
      </c>
      <c r="S1349" s="266" t="str">
        <f>IFERROR(__xludf.DUMMYFUNCTION("IF(ISBLANK(A1349),"""",IFERROR(IF(OR(Q1349=""GPB"",Q1349=""ZAR""),IF(Q1349=Dashboard!$L$1,M1349,(M1349*GOOGLEFINANCE(""CURRENCY:""&amp;Q1349&amp;""""&amp;Dashboard!$L$1&amp;""""))/100),IF(Q1349=Dashboard!$L$1,M1349,M1349*GOOGLEFINANCE(""CURRENCY:""&amp;Q1349&amp;""""&amp;Dashboard!$"&amp;"L$1&amp;""""))),M1349))"),"")</f>
        <v/>
      </c>
      <c r="T1349" s="264" t="str">
        <f t="shared" si="4"/>
        <v/>
      </c>
      <c r="U1349" s="264" t="str">
        <f t="shared" si="5"/>
        <v/>
      </c>
      <c r="V1349" s="264" t="str">
        <f t="shared" si="6"/>
        <v/>
      </c>
      <c r="W1349" s="267" t="str">
        <f t="shared" si="8"/>
        <v/>
      </c>
      <c r="X1349" s="264" t="str">
        <f t="shared" si="7"/>
        <v/>
      </c>
    </row>
    <row r="1350" ht="15.75" customHeight="1">
      <c r="A1350" s="258"/>
      <c r="B1350" s="258"/>
      <c r="C1350" s="269"/>
      <c r="D1350" s="258"/>
      <c r="E1350" s="258"/>
      <c r="F1350" s="258"/>
      <c r="G1350" s="258"/>
      <c r="H1350" s="271"/>
      <c r="I1350" s="258"/>
      <c r="J1350" s="272"/>
      <c r="K1350" s="260"/>
      <c r="L1350" s="261"/>
      <c r="M1350" s="262" t="str">
        <f t="shared" si="1"/>
        <v/>
      </c>
      <c r="N1350" s="263" t="str">
        <f t="shared" si="2"/>
        <v/>
      </c>
      <c r="O1350" s="264" t="str">
        <f t="shared" si="3"/>
        <v/>
      </c>
      <c r="P1350" s="265" t="str">
        <f>IFERROR(__xludf.DUMMYFUNCTION("IF(ISBLANK(A1350),"""",IFERROR(IF(H1350=""Sell"",VLOOKUP(9^99,FILTER({ROW(P$2:P1349),P$2:P1349},D$2:D1349=D1350),2),(VLOOKUP(9^99,FILTER({ROW(P$2:P1349),P$2:P1349},D$2:D1349=D1350),2)*VLOOKUP(9^99,FILTER({ROW(O$2:O1349),O$2:O1349},D$2:D1349=D1350),2)-N135"&amp;"0)/O1350),J1350))"),"")</f>
        <v/>
      </c>
      <c r="Q1350" s="264" t="str">
        <f>IFERROR(__xludf.DUMMYFUNCTION("IFERROR(IF(F1350=""Crypto"",B1350,(IF(ISBLANK(D1350),"""",IF(D1350=""Cash"",B1350,IF(GOOGLEFINANCE(D1350,""CURRENCY"")=""GBX"",""GBP"",GOOGLEFINANCE(D1350,""CURRENCY"")))))),B1350)"),"")</f>
        <v/>
      </c>
      <c r="R1350" s="263" t="str">
        <f>IFERROR(__xludf.DUMMYFUNCTION("IF(ISBLANK(A1350),"""",IFERROR(IF(OR(Q1350=""GPB"",Q1350=""ZAR""),IF(Q1350=Dashboard!$L$1,K1350,(K1350*GOOGLEFINANCE(""CURRENCY:""&amp;Q1350&amp;""""&amp;Dashboard!$L$1&amp;""""))/100),IF(Q1350=Dashboard!$L$1,K1350,K1350*GOOGLEFINANCE(""CURRENCY:""&amp;Q1350&amp;""""&amp;Dashboard!$"&amp;"L$1&amp;""""))),K1350))"),"")</f>
        <v/>
      </c>
      <c r="S1350" s="266" t="str">
        <f>IFERROR(__xludf.DUMMYFUNCTION("IF(ISBLANK(A1350),"""",IFERROR(IF(OR(Q1350=""GPB"",Q1350=""ZAR""),IF(Q1350=Dashboard!$L$1,M1350,(M1350*GOOGLEFINANCE(""CURRENCY:""&amp;Q1350&amp;""""&amp;Dashboard!$L$1&amp;""""))/100),IF(Q1350=Dashboard!$L$1,M1350,M1350*GOOGLEFINANCE(""CURRENCY:""&amp;Q1350&amp;""""&amp;Dashboard!$"&amp;"L$1&amp;""""))),M1350))"),"")</f>
        <v/>
      </c>
      <c r="T1350" s="264" t="str">
        <f t="shared" si="4"/>
        <v/>
      </c>
      <c r="U1350" s="264" t="str">
        <f t="shared" si="5"/>
        <v/>
      </c>
      <c r="V1350" s="264" t="str">
        <f t="shared" si="6"/>
        <v/>
      </c>
      <c r="W1350" s="267" t="str">
        <f t="shared" si="8"/>
        <v/>
      </c>
      <c r="X1350" s="264" t="str">
        <f t="shared" si="7"/>
        <v/>
      </c>
    </row>
    <row r="1351" ht="15.75" customHeight="1">
      <c r="A1351" s="258"/>
      <c r="B1351" s="258"/>
      <c r="C1351" s="269"/>
      <c r="D1351" s="258"/>
      <c r="E1351" s="258"/>
      <c r="F1351" s="258"/>
      <c r="G1351" s="258"/>
      <c r="H1351" s="271"/>
      <c r="I1351" s="258"/>
      <c r="J1351" s="272"/>
      <c r="K1351" s="260"/>
      <c r="L1351" s="261"/>
      <c r="M1351" s="262" t="str">
        <f t="shared" si="1"/>
        <v/>
      </c>
      <c r="N1351" s="263" t="str">
        <f t="shared" si="2"/>
        <v/>
      </c>
      <c r="O1351" s="264" t="str">
        <f t="shared" si="3"/>
        <v/>
      </c>
      <c r="P1351" s="265" t="str">
        <f>IFERROR(__xludf.DUMMYFUNCTION("IF(ISBLANK(A1351),"""",IFERROR(IF(H1351=""Sell"",VLOOKUP(9^99,FILTER({ROW(P$2:P1350),P$2:P1350},D$2:D1350=D1351),2),(VLOOKUP(9^99,FILTER({ROW(P$2:P1350),P$2:P1350},D$2:D1350=D1351),2)*VLOOKUP(9^99,FILTER({ROW(O$2:O1350),O$2:O1350},D$2:D1350=D1351),2)-N135"&amp;"1)/O1351),J1351))"),"")</f>
        <v/>
      </c>
      <c r="Q1351" s="264" t="str">
        <f>IFERROR(__xludf.DUMMYFUNCTION("IFERROR(IF(F1351=""Crypto"",B1351,(IF(ISBLANK(D1351),"""",IF(D1351=""Cash"",B1351,IF(GOOGLEFINANCE(D1351,""CURRENCY"")=""GBX"",""GBP"",GOOGLEFINANCE(D1351,""CURRENCY"")))))),B1351)"),"")</f>
        <v/>
      </c>
      <c r="R1351" s="263" t="str">
        <f>IFERROR(__xludf.DUMMYFUNCTION("IF(ISBLANK(A1351),"""",IFERROR(IF(OR(Q1351=""GPB"",Q1351=""ZAR""),IF(Q1351=Dashboard!$L$1,K1351,(K1351*GOOGLEFINANCE(""CURRENCY:""&amp;Q1351&amp;""""&amp;Dashboard!$L$1&amp;""""))/100),IF(Q1351=Dashboard!$L$1,K1351,K1351*GOOGLEFINANCE(""CURRENCY:""&amp;Q1351&amp;""""&amp;Dashboard!$"&amp;"L$1&amp;""""))),K1351))"),"")</f>
        <v/>
      </c>
      <c r="S1351" s="266" t="str">
        <f>IFERROR(__xludf.DUMMYFUNCTION("IF(ISBLANK(A1351),"""",IFERROR(IF(OR(Q1351=""GPB"",Q1351=""ZAR""),IF(Q1351=Dashboard!$L$1,M1351,(M1351*GOOGLEFINANCE(""CURRENCY:""&amp;Q1351&amp;""""&amp;Dashboard!$L$1&amp;""""))/100),IF(Q1351=Dashboard!$L$1,M1351,M1351*GOOGLEFINANCE(""CURRENCY:""&amp;Q1351&amp;""""&amp;Dashboard!$"&amp;"L$1&amp;""""))),M1351))"),"")</f>
        <v/>
      </c>
      <c r="T1351" s="264" t="str">
        <f t="shared" si="4"/>
        <v/>
      </c>
      <c r="U1351" s="264" t="str">
        <f t="shared" si="5"/>
        <v/>
      </c>
      <c r="V1351" s="264" t="str">
        <f t="shared" si="6"/>
        <v/>
      </c>
      <c r="W1351" s="267" t="str">
        <f t="shared" si="8"/>
        <v/>
      </c>
      <c r="X1351" s="264" t="str">
        <f t="shared" si="7"/>
        <v/>
      </c>
    </row>
    <row r="1352" ht="15.75" customHeight="1">
      <c r="A1352" s="258"/>
      <c r="B1352" s="258"/>
      <c r="C1352" s="269"/>
      <c r="D1352" s="258"/>
      <c r="E1352" s="258"/>
      <c r="F1352" s="258"/>
      <c r="G1352" s="258"/>
      <c r="H1352" s="271"/>
      <c r="I1352" s="258"/>
      <c r="J1352" s="272"/>
      <c r="K1352" s="260"/>
      <c r="L1352" s="261"/>
      <c r="M1352" s="262" t="str">
        <f t="shared" si="1"/>
        <v/>
      </c>
      <c r="N1352" s="263" t="str">
        <f t="shared" si="2"/>
        <v/>
      </c>
      <c r="O1352" s="264" t="str">
        <f t="shared" si="3"/>
        <v/>
      </c>
      <c r="P1352" s="265" t="str">
        <f>IFERROR(__xludf.DUMMYFUNCTION("IF(ISBLANK(A1352),"""",IFERROR(IF(H1352=""Sell"",VLOOKUP(9^99,FILTER({ROW(P$2:P1351),P$2:P1351},D$2:D1351=D1352),2),(VLOOKUP(9^99,FILTER({ROW(P$2:P1351),P$2:P1351},D$2:D1351=D1352),2)*VLOOKUP(9^99,FILTER({ROW(O$2:O1351),O$2:O1351},D$2:D1351=D1352),2)-N135"&amp;"2)/O1352),J1352))"),"")</f>
        <v/>
      </c>
      <c r="Q1352" s="264" t="str">
        <f>IFERROR(__xludf.DUMMYFUNCTION("IFERROR(IF(F1352=""Crypto"",B1352,(IF(ISBLANK(D1352),"""",IF(D1352=""Cash"",B1352,IF(GOOGLEFINANCE(D1352,""CURRENCY"")=""GBX"",""GBP"",GOOGLEFINANCE(D1352,""CURRENCY"")))))),B1352)"),"")</f>
        <v/>
      </c>
      <c r="R1352" s="263" t="str">
        <f>IFERROR(__xludf.DUMMYFUNCTION("IF(ISBLANK(A1352),"""",IFERROR(IF(OR(Q1352=""GPB"",Q1352=""ZAR""),IF(Q1352=Dashboard!$L$1,K1352,(K1352*GOOGLEFINANCE(""CURRENCY:""&amp;Q1352&amp;""""&amp;Dashboard!$L$1&amp;""""))/100),IF(Q1352=Dashboard!$L$1,K1352,K1352*GOOGLEFINANCE(""CURRENCY:""&amp;Q1352&amp;""""&amp;Dashboard!$"&amp;"L$1&amp;""""))),K1352))"),"")</f>
        <v/>
      </c>
      <c r="S1352" s="266" t="str">
        <f>IFERROR(__xludf.DUMMYFUNCTION("IF(ISBLANK(A1352),"""",IFERROR(IF(OR(Q1352=""GPB"",Q1352=""ZAR""),IF(Q1352=Dashboard!$L$1,M1352,(M1352*GOOGLEFINANCE(""CURRENCY:""&amp;Q1352&amp;""""&amp;Dashboard!$L$1&amp;""""))/100),IF(Q1352=Dashboard!$L$1,M1352,M1352*GOOGLEFINANCE(""CURRENCY:""&amp;Q1352&amp;""""&amp;Dashboard!$"&amp;"L$1&amp;""""))),M1352))"),"")</f>
        <v/>
      </c>
      <c r="T1352" s="264" t="str">
        <f t="shared" si="4"/>
        <v/>
      </c>
      <c r="U1352" s="264" t="str">
        <f t="shared" si="5"/>
        <v/>
      </c>
      <c r="V1352" s="264" t="str">
        <f t="shared" si="6"/>
        <v/>
      </c>
      <c r="W1352" s="267" t="str">
        <f t="shared" si="8"/>
        <v/>
      </c>
      <c r="X1352" s="264" t="str">
        <f t="shared" si="7"/>
        <v/>
      </c>
    </row>
    <row r="1353" ht="15.75" customHeight="1">
      <c r="A1353" s="258"/>
      <c r="B1353" s="258"/>
      <c r="C1353" s="269"/>
      <c r="D1353" s="258"/>
      <c r="E1353" s="258"/>
      <c r="F1353" s="258"/>
      <c r="G1353" s="258"/>
      <c r="H1353" s="271"/>
      <c r="I1353" s="258"/>
      <c r="J1353" s="272"/>
      <c r="K1353" s="260"/>
      <c r="L1353" s="261"/>
      <c r="M1353" s="262" t="str">
        <f t="shared" si="1"/>
        <v/>
      </c>
      <c r="N1353" s="263" t="str">
        <f t="shared" si="2"/>
        <v/>
      </c>
      <c r="O1353" s="264" t="str">
        <f t="shared" si="3"/>
        <v/>
      </c>
      <c r="P1353" s="265" t="str">
        <f>IFERROR(__xludf.DUMMYFUNCTION("IF(ISBLANK(A1353),"""",IFERROR(IF(H1353=""Sell"",VLOOKUP(9^99,FILTER({ROW(P$2:P1352),P$2:P1352},D$2:D1352=D1353),2),(VLOOKUP(9^99,FILTER({ROW(P$2:P1352),P$2:P1352},D$2:D1352=D1353),2)*VLOOKUP(9^99,FILTER({ROW(O$2:O1352),O$2:O1352},D$2:D1352=D1353),2)-N135"&amp;"3)/O1353),J1353))"),"")</f>
        <v/>
      </c>
      <c r="Q1353" s="264" t="str">
        <f>IFERROR(__xludf.DUMMYFUNCTION("IFERROR(IF(F1353=""Crypto"",B1353,(IF(ISBLANK(D1353),"""",IF(D1353=""Cash"",B1353,IF(GOOGLEFINANCE(D1353,""CURRENCY"")=""GBX"",""GBP"",GOOGLEFINANCE(D1353,""CURRENCY"")))))),B1353)"),"")</f>
        <v/>
      </c>
      <c r="R1353" s="263" t="str">
        <f>IFERROR(__xludf.DUMMYFUNCTION("IF(ISBLANK(A1353),"""",IFERROR(IF(OR(Q1353=""GPB"",Q1353=""ZAR""),IF(Q1353=Dashboard!$L$1,K1353,(K1353*GOOGLEFINANCE(""CURRENCY:""&amp;Q1353&amp;""""&amp;Dashboard!$L$1&amp;""""))/100),IF(Q1353=Dashboard!$L$1,K1353,K1353*GOOGLEFINANCE(""CURRENCY:""&amp;Q1353&amp;""""&amp;Dashboard!$"&amp;"L$1&amp;""""))),K1353))"),"")</f>
        <v/>
      </c>
      <c r="S1353" s="266" t="str">
        <f>IFERROR(__xludf.DUMMYFUNCTION("IF(ISBLANK(A1353),"""",IFERROR(IF(OR(Q1353=""GPB"",Q1353=""ZAR""),IF(Q1353=Dashboard!$L$1,M1353,(M1353*GOOGLEFINANCE(""CURRENCY:""&amp;Q1353&amp;""""&amp;Dashboard!$L$1&amp;""""))/100),IF(Q1353=Dashboard!$L$1,M1353,M1353*GOOGLEFINANCE(""CURRENCY:""&amp;Q1353&amp;""""&amp;Dashboard!$"&amp;"L$1&amp;""""))),M1353))"),"")</f>
        <v/>
      </c>
      <c r="T1353" s="264" t="str">
        <f t="shared" si="4"/>
        <v/>
      </c>
      <c r="U1353" s="264" t="str">
        <f t="shared" si="5"/>
        <v/>
      </c>
      <c r="V1353" s="264" t="str">
        <f t="shared" si="6"/>
        <v/>
      </c>
      <c r="W1353" s="267" t="str">
        <f t="shared" si="8"/>
        <v/>
      </c>
      <c r="X1353" s="264" t="str">
        <f t="shared" si="7"/>
        <v/>
      </c>
    </row>
    <row r="1354" ht="15.75" customHeight="1">
      <c r="A1354" s="258"/>
      <c r="B1354" s="258"/>
      <c r="C1354" s="269"/>
      <c r="D1354" s="258"/>
      <c r="E1354" s="258"/>
      <c r="F1354" s="258"/>
      <c r="G1354" s="258"/>
      <c r="H1354" s="271"/>
      <c r="I1354" s="258"/>
      <c r="J1354" s="272"/>
      <c r="K1354" s="260"/>
      <c r="L1354" s="261"/>
      <c r="M1354" s="262" t="str">
        <f t="shared" si="1"/>
        <v/>
      </c>
      <c r="N1354" s="263" t="str">
        <f t="shared" si="2"/>
        <v/>
      </c>
      <c r="O1354" s="264" t="str">
        <f t="shared" si="3"/>
        <v/>
      </c>
      <c r="P1354" s="265" t="str">
        <f>IFERROR(__xludf.DUMMYFUNCTION("IF(ISBLANK(A1354),"""",IFERROR(IF(H1354=""Sell"",VLOOKUP(9^99,FILTER({ROW(P$2:P1353),P$2:P1353},D$2:D1353=D1354),2),(VLOOKUP(9^99,FILTER({ROW(P$2:P1353),P$2:P1353},D$2:D1353=D1354),2)*VLOOKUP(9^99,FILTER({ROW(O$2:O1353),O$2:O1353},D$2:D1353=D1354),2)-N135"&amp;"4)/O1354),J1354))"),"")</f>
        <v/>
      </c>
      <c r="Q1354" s="264" t="str">
        <f>IFERROR(__xludf.DUMMYFUNCTION("IFERROR(IF(F1354=""Crypto"",B1354,(IF(ISBLANK(D1354),"""",IF(D1354=""Cash"",B1354,IF(GOOGLEFINANCE(D1354,""CURRENCY"")=""GBX"",""GBP"",GOOGLEFINANCE(D1354,""CURRENCY"")))))),B1354)"),"")</f>
        <v/>
      </c>
      <c r="R1354" s="263" t="str">
        <f>IFERROR(__xludf.DUMMYFUNCTION("IF(ISBLANK(A1354),"""",IFERROR(IF(OR(Q1354=""GPB"",Q1354=""ZAR""),IF(Q1354=Dashboard!$L$1,K1354,(K1354*GOOGLEFINANCE(""CURRENCY:""&amp;Q1354&amp;""""&amp;Dashboard!$L$1&amp;""""))/100),IF(Q1354=Dashboard!$L$1,K1354,K1354*GOOGLEFINANCE(""CURRENCY:""&amp;Q1354&amp;""""&amp;Dashboard!$"&amp;"L$1&amp;""""))),K1354))"),"")</f>
        <v/>
      </c>
      <c r="S1354" s="266" t="str">
        <f>IFERROR(__xludf.DUMMYFUNCTION("IF(ISBLANK(A1354),"""",IFERROR(IF(OR(Q1354=""GPB"",Q1354=""ZAR""),IF(Q1354=Dashboard!$L$1,M1354,(M1354*GOOGLEFINANCE(""CURRENCY:""&amp;Q1354&amp;""""&amp;Dashboard!$L$1&amp;""""))/100),IF(Q1354=Dashboard!$L$1,M1354,M1354*GOOGLEFINANCE(""CURRENCY:""&amp;Q1354&amp;""""&amp;Dashboard!$"&amp;"L$1&amp;""""))),M1354))"),"")</f>
        <v/>
      </c>
      <c r="T1354" s="264" t="str">
        <f t="shared" si="4"/>
        <v/>
      </c>
      <c r="U1354" s="264" t="str">
        <f t="shared" si="5"/>
        <v/>
      </c>
      <c r="V1354" s="264" t="str">
        <f t="shared" si="6"/>
        <v/>
      </c>
      <c r="W1354" s="267" t="str">
        <f t="shared" si="8"/>
        <v/>
      </c>
      <c r="X1354" s="264" t="str">
        <f t="shared" si="7"/>
        <v/>
      </c>
    </row>
    <row r="1355" ht="15.75" customHeight="1">
      <c r="A1355" s="258"/>
      <c r="B1355" s="258"/>
      <c r="C1355" s="269"/>
      <c r="D1355" s="258"/>
      <c r="E1355" s="258"/>
      <c r="F1355" s="258"/>
      <c r="G1355" s="258"/>
      <c r="H1355" s="271"/>
      <c r="I1355" s="258"/>
      <c r="J1355" s="272"/>
      <c r="K1355" s="260"/>
      <c r="L1355" s="261"/>
      <c r="M1355" s="262" t="str">
        <f t="shared" si="1"/>
        <v/>
      </c>
      <c r="N1355" s="263" t="str">
        <f t="shared" si="2"/>
        <v/>
      </c>
      <c r="O1355" s="264" t="str">
        <f t="shared" si="3"/>
        <v/>
      </c>
      <c r="P1355" s="265" t="str">
        <f>IFERROR(__xludf.DUMMYFUNCTION("IF(ISBLANK(A1355),"""",IFERROR(IF(H1355=""Sell"",VLOOKUP(9^99,FILTER({ROW(P$2:P1354),P$2:P1354},D$2:D1354=D1355),2),(VLOOKUP(9^99,FILTER({ROW(P$2:P1354),P$2:P1354},D$2:D1354=D1355),2)*VLOOKUP(9^99,FILTER({ROW(O$2:O1354),O$2:O1354},D$2:D1354=D1355),2)-N135"&amp;"5)/O1355),J1355))"),"")</f>
        <v/>
      </c>
      <c r="Q1355" s="264" t="str">
        <f>IFERROR(__xludf.DUMMYFUNCTION("IFERROR(IF(F1355=""Crypto"",B1355,(IF(ISBLANK(D1355),"""",IF(D1355=""Cash"",B1355,IF(GOOGLEFINANCE(D1355,""CURRENCY"")=""GBX"",""GBP"",GOOGLEFINANCE(D1355,""CURRENCY"")))))),B1355)"),"")</f>
        <v/>
      </c>
      <c r="R1355" s="263" t="str">
        <f>IFERROR(__xludf.DUMMYFUNCTION("IF(ISBLANK(A1355),"""",IFERROR(IF(OR(Q1355=""GPB"",Q1355=""ZAR""),IF(Q1355=Dashboard!$L$1,K1355,(K1355*GOOGLEFINANCE(""CURRENCY:""&amp;Q1355&amp;""""&amp;Dashboard!$L$1&amp;""""))/100),IF(Q1355=Dashboard!$L$1,K1355,K1355*GOOGLEFINANCE(""CURRENCY:""&amp;Q1355&amp;""""&amp;Dashboard!$"&amp;"L$1&amp;""""))),K1355))"),"")</f>
        <v/>
      </c>
      <c r="S1355" s="266" t="str">
        <f>IFERROR(__xludf.DUMMYFUNCTION("IF(ISBLANK(A1355),"""",IFERROR(IF(OR(Q1355=""GPB"",Q1355=""ZAR""),IF(Q1355=Dashboard!$L$1,M1355,(M1355*GOOGLEFINANCE(""CURRENCY:""&amp;Q1355&amp;""""&amp;Dashboard!$L$1&amp;""""))/100),IF(Q1355=Dashboard!$L$1,M1355,M1355*GOOGLEFINANCE(""CURRENCY:""&amp;Q1355&amp;""""&amp;Dashboard!$"&amp;"L$1&amp;""""))),M1355))"),"")</f>
        <v/>
      </c>
      <c r="T1355" s="264" t="str">
        <f t="shared" si="4"/>
        <v/>
      </c>
      <c r="U1355" s="264" t="str">
        <f t="shared" si="5"/>
        <v/>
      </c>
      <c r="V1355" s="264" t="str">
        <f t="shared" si="6"/>
        <v/>
      </c>
      <c r="W1355" s="267" t="str">
        <f t="shared" si="8"/>
        <v/>
      </c>
      <c r="X1355" s="264" t="str">
        <f t="shared" si="7"/>
        <v/>
      </c>
    </row>
    <row r="1356" ht="15.75" customHeight="1">
      <c r="A1356" s="258"/>
      <c r="B1356" s="258"/>
      <c r="C1356" s="269"/>
      <c r="D1356" s="258"/>
      <c r="E1356" s="258"/>
      <c r="F1356" s="258"/>
      <c r="G1356" s="258"/>
      <c r="H1356" s="271"/>
      <c r="I1356" s="258"/>
      <c r="J1356" s="272"/>
      <c r="K1356" s="260"/>
      <c r="L1356" s="261"/>
      <c r="M1356" s="262" t="str">
        <f t="shared" si="1"/>
        <v/>
      </c>
      <c r="N1356" s="263" t="str">
        <f t="shared" si="2"/>
        <v/>
      </c>
      <c r="O1356" s="264" t="str">
        <f t="shared" si="3"/>
        <v/>
      </c>
      <c r="P1356" s="265" t="str">
        <f>IFERROR(__xludf.DUMMYFUNCTION("IF(ISBLANK(A1356),"""",IFERROR(IF(H1356=""Sell"",VLOOKUP(9^99,FILTER({ROW(P$2:P1355),P$2:P1355},D$2:D1355=D1356),2),(VLOOKUP(9^99,FILTER({ROW(P$2:P1355),P$2:P1355},D$2:D1355=D1356),2)*VLOOKUP(9^99,FILTER({ROW(O$2:O1355),O$2:O1355},D$2:D1355=D1356),2)-N135"&amp;"6)/O1356),J1356))"),"")</f>
        <v/>
      </c>
      <c r="Q1356" s="264" t="str">
        <f>IFERROR(__xludf.DUMMYFUNCTION("IFERROR(IF(F1356=""Crypto"",B1356,(IF(ISBLANK(D1356),"""",IF(D1356=""Cash"",B1356,IF(GOOGLEFINANCE(D1356,""CURRENCY"")=""GBX"",""GBP"",GOOGLEFINANCE(D1356,""CURRENCY"")))))),B1356)"),"")</f>
        <v/>
      </c>
      <c r="R1356" s="263" t="str">
        <f>IFERROR(__xludf.DUMMYFUNCTION("IF(ISBLANK(A1356),"""",IFERROR(IF(OR(Q1356=""GPB"",Q1356=""ZAR""),IF(Q1356=Dashboard!$L$1,K1356,(K1356*GOOGLEFINANCE(""CURRENCY:""&amp;Q1356&amp;""""&amp;Dashboard!$L$1&amp;""""))/100),IF(Q1356=Dashboard!$L$1,K1356,K1356*GOOGLEFINANCE(""CURRENCY:""&amp;Q1356&amp;""""&amp;Dashboard!$"&amp;"L$1&amp;""""))),K1356))"),"")</f>
        <v/>
      </c>
      <c r="S1356" s="266" t="str">
        <f>IFERROR(__xludf.DUMMYFUNCTION("IF(ISBLANK(A1356),"""",IFERROR(IF(OR(Q1356=""GPB"",Q1356=""ZAR""),IF(Q1356=Dashboard!$L$1,M1356,(M1356*GOOGLEFINANCE(""CURRENCY:""&amp;Q1356&amp;""""&amp;Dashboard!$L$1&amp;""""))/100),IF(Q1356=Dashboard!$L$1,M1356,M1356*GOOGLEFINANCE(""CURRENCY:""&amp;Q1356&amp;""""&amp;Dashboard!$"&amp;"L$1&amp;""""))),M1356))"),"")</f>
        <v/>
      </c>
      <c r="T1356" s="264" t="str">
        <f t="shared" si="4"/>
        <v/>
      </c>
      <c r="U1356" s="264" t="str">
        <f t="shared" si="5"/>
        <v/>
      </c>
      <c r="V1356" s="264" t="str">
        <f t="shared" si="6"/>
        <v/>
      </c>
      <c r="W1356" s="267" t="str">
        <f t="shared" si="8"/>
        <v/>
      </c>
      <c r="X1356" s="264" t="str">
        <f t="shared" si="7"/>
        <v/>
      </c>
    </row>
    <row r="1357" ht="15.75" customHeight="1">
      <c r="A1357" s="258"/>
      <c r="B1357" s="258"/>
      <c r="C1357" s="269"/>
      <c r="D1357" s="258"/>
      <c r="E1357" s="258"/>
      <c r="F1357" s="258"/>
      <c r="G1357" s="258"/>
      <c r="H1357" s="271"/>
      <c r="I1357" s="258"/>
      <c r="J1357" s="272"/>
      <c r="K1357" s="260"/>
      <c r="L1357" s="261"/>
      <c r="M1357" s="262" t="str">
        <f t="shared" si="1"/>
        <v/>
      </c>
      <c r="N1357" s="263" t="str">
        <f t="shared" si="2"/>
        <v/>
      </c>
      <c r="O1357" s="264" t="str">
        <f t="shared" si="3"/>
        <v/>
      </c>
      <c r="P1357" s="265" t="str">
        <f>IFERROR(__xludf.DUMMYFUNCTION("IF(ISBLANK(A1357),"""",IFERROR(IF(H1357=""Sell"",VLOOKUP(9^99,FILTER({ROW(P$2:P1356),P$2:P1356},D$2:D1356=D1357),2),(VLOOKUP(9^99,FILTER({ROW(P$2:P1356),P$2:P1356},D$2:D1356=D1357),2)*VLOOKUP(9^99,FILTER({ROW(O$2:O1356),O$2:O1356},D$2:D1356=D1357),2)-N135"&amp;"7)/O1357),J1357))"),"")</f>
        <v/>
      </c>
      <c r="Q1357" s="264" t="str">
        <f>IFERROR(__xludf.DUMMYFUNCTION("IFERROR(IF(F1357=""Crypto"",B1357,(IF(ISBLANK(D1357),"""",IF(D1357=""Cash"",B1357,IF(GOOGLEFINANCE(D1357,""CURRENCY"")=""GBX"",""GBP"",GOOGLEFINANCE(D1357,""CURRENCY"")))))),B1357)"),"")</f>
        <v/>
      </c>
      <c r="R1357" s="263" t="str">
        <f>IFERROR(__xludf.DUMMYFUNCTION("IF(ISBLANK(A1357),"""",IFERROR(IF(OR(Q1357=""GPB"",Q1357=""ZAR""),IF(Q1357=Dashboard!$L$1,K1357,(K1357*GOOGLEFINANCE(""CURRENCY:""&amp;Q1357&amp;""""&amp;Dashboard!$L$1&amp;""""))/100),IF(Q1357=Dashboard!$L$1,K1357,K1357*GOOGLEFINANCE(""CURRENCY:""&amp;Q1357&amp;""""&amp;Dashboard!$"&amp;"L$1&amp;""""))),K1357))"),"")</f>
        <v/>
      </c>
      <c r="S1357" s="266" t="str">
        <f>IFERROR(__xludf.DUMMYFUNCTION("IF(ISBLANK(A1357),"""",IFERROR(IF(OR(Q1357=""GPB"",Q1357=""ZAR""),IF(Q1357=Dashboard!$L$1,M1357,(M1357*GOOGLEFINANCE(""CURRENCY:""&amp;Q1357&amp;""""&amp;Dashboard!$L$1&amp;""""))/100),IF(Q1357=Dashboard!$L$1,M1357,M1357*GOOGLEFINANCE(""CURRENCY:""&amp;Q1357&amp;""""&amp;Dashboard!$"&amp;"L$1&amp;""""))),M1357))"),"")</f>
        <v/>
      </c>
      <c r="T1357" s="264" t="str">
        <f t="shared" si="4"/>
        <v/>
      </c>
      <c r="U1357" s="264" t="str">
        <f t="shared" si="5"/>
        <v/>
      </c>
      <c r="V1357" s="264" t="str">
        <f t="shared" si="6"/>
        <v/>
      </c>
      <c r="W1357" s="267" t="str">
        <f t="shared" si="8"/>
        <v/>
      </c>
      <c r="X1357" s="264" t="str">
        <f t="shared" si="7"/>
        <v/>
      </c>
    </row>
    <row r="1358" ht="15.75" customHeight="1">
      <c r="A1358" s="258"/>
      <c r="B1358" s="258"/>
      <c r="C1358" s="269"/>
      <c r="D1358" s="258"/>
      <c r="E1358" s="258"/>
      <c r="F1358" s="258"/>
      <c r="G1358" s="258"/>
      <c r="H1358" s="271"/>
      <c r="I1358" s="258"/>
      <c r="J1358" s="272"/>
      <c r="K1358" s="260"/>
      <c r="L1358" s="261"/>
      <c r="M1358" s="262" t="str">
        <f t="shared" si="1"/>
        <v/>
      </c>
      <c r="N1358" s="263" t="str">
        <f t="shared" si="2"/>
        <v/>
      </c>
      <c r="O1358" s="264" t="str">
        <f t="shared" si="3"/>
        <v/>
      </c>
      <c r="P1358" s="265" t="str">
        <f>IFERROR(__xludf.DUMMYFUNCTION("IF(ISBLANK(A1358),"""",IFERROR(IF(H1358=""Sell"",VLOOKUP(9^99,FILTER({ROW(P$2:P1357),P$2:P1357},D$2:D1357=D1358),2),(VLOOKUP(9^99,FILTER({ROW(P$2:P1357),P$2:P1357},D$2:D1357=D1358),2)*VLOOKUP(9^99,FILTER({ROW(O$2:O1357),O$2:O1357},D$2:D1357=D1358),2)-N135"&amp;"8)/O1358),J1358))"),"")</f>
        <v/>
      </c>
      <c r="Q1358" s="264" t="str">
        <f>IFERROR(__xludf.DUMMYFUNCTION("IFERROR(IF(F1358=""Crypto"",B1358,(IF(ISBLANK(D1358),"""",IF(D1358=""Cash"",B1358,IF(GOOGLEFINANCE(D1358,""CURRENCY"")=""GBX"",""GBP"",GOOGLEFINANCE(D1358,""CURRENCY"")))))),B1358)"),"")</f>
        <v/>
      </c>
      <c r="R1358" s="263" t="str">
        <f>IFERROR(__xludf.DUMMYFUNCTION("IF(ISBLANK(A1358),"""",IFERROR(IF(OR(Q1358=""GPB"",Q1358=""ZAR""),IF(Q1358=Dashboard!$L$1,K1358,(K1358*GOOGLEFINANCE(""CURRENCY:""&amp;Q1358&amp;""""&amp;Dashboard!$L$1&amp;""""))/100),IF(Q1358=Dashboard!$L$1,K1358,K1358*GOOGLEFINANCE(""CURRENCY:""&amp;Q1358&amp;""""&amp;Dashboard!$"&amp;"L$1&amp;""""))),K1358))"),"")</f>
        <v/>
      </c>
      <c r="S1358" s="266" t="str">
        <f>IFERROR(__xludf.DUMMYFUNCTION("IF(ISBLANK(A1358),"""",IFERROR(IF(OR(Q1358=""GPB"",Q1358=""ZAR""),IF(Q1358=Dashboard!$L$1,M1358,(M1358*GOOGLEFINANCE(""CURRENCY:""&amp;Q1358&amp;""""&amp;Dashboard!$L$1&amp;""""))/100),IF(Q1358=Dashboard!$L$1,M1358,M1358*GOOGLEFINANCE(""CURRENCY:""&amp;Q1358&amp;""""&amp;Dashboard!$"&amp;"L$1&amp;""""))),M1358))"),"")</f>
        <v/>
      </c>
      <c r="T1358" s="264" t="str">
        <f t="shared" si="4"/>
        <v/>
      </c>
      <c r="U1358" s="264" t="str">
        <f t="shared" si="5"/>
        <v/>
      </c>
      <c r="V1358" s="264" t="str">
        <f t="shared" si="6"/>
        <v/>
      </c>
      <c r="W1358" s="267" t="str">
        <f t="shared" si="8"/>
        <v/>
      </c>
      <c r="X1358" s="264" t="str">
        <f t="shared" si="7"/>
        <v/>
      </c>
    </row>
    <row r="1359" ht="15.75" customHeight="1">
      <c r="A1359" s="258"/>
      <c r="B1359" s="258"/>
      <c r="C1359" s="269"/>
      <c r="D1359" s="258"/>
      <c r="E1359" s="258"/>
      <c r="F1359" s="258"/>
      <c r="G1359" s="258"/>
      <c r="H1359" s="271"/>
      <c r="I1359" s="258"/>
      <c r="J1359" s="272"/>
      <c r="K1359" s="260"/>
      <c r="L1359" s="261"/>
      <c r="M1359" s="262" t="str">
        <f t="shared" si="1"/>
        <v/>
      </c>
      <c r="N1359" s="263" t="str">
        <f t="shared" si="2"/>
        <v/>
      </c>
      <c r="O1359" s="264" t="str">
        <f t="shared" si="3"/>
        <v/>
      </c>
      <c r="P1359" s="265" t="str">
        <f>IFERROR(__xludf.DUMMYFUNCTION("IF(ISBLANK(A1359),"""",IFERROR(IF(H1359=""Sell"",VLOOKUP(9^99,FILTER({ROW(P$2:P1358),P$2:P1358},D$2:D1358=D1359),2),(VLOOKUP(9^99,FILTER({ROW(P$2:P1358),P$2:P1358},D$2:D1358=D1359),2)*VLOOKUP(9^99,FILTER({ROW(O$2:O1358),O$2:O1358},D$2:D1358=D1359),2)-N135"&amp;"9)/O1359),J1359))"),"")</f>
        <v/>
      </c>
      <c r="Q1359" s="264" t="str">
        <f>IFERROR(__xludf.DUMMYFUNCTION("IFERROR(IF(F1359=""Crypto"",B1359,(IF(ISBLANK(D1359),"""",IF(D1359=""Cash"",B1359,IF(GOOGLEFINANCE(D1359,""CURRENCY"")=""GBX"",""GBP"",GOOGLEFINANCE(D1359,""CURRENCY"")))))),B1359)"),"")</f>
        <v/>
      </c>
      <c r="R1359" s="263" t="str">
        <f>IFERROR(__xludf.DUMMYFUNCTION("IF(ISBLANK(A1359),"""",IFERROR(IF(OR(Q1359=""GPB"",Q1359=""ZAR""),IF(Q1359=Dashboard!$L$1,K1359,(K1359*GOOGLEFINANCE(""CURRENCY:""&amp;Q1359&amp;""""&amp;Dashboard!$L$1&amp;""""))/100),IF(Q1359=Dashboard!$L$1,K1359,K1359*GOOGLEFINANCE(""CURRENCY:""&amp;Q1359&amp;""""&amp;Dashboard!$"&amp;"L$1&amp;""""))),K1359))"),"")</f>
        <v/>
      </c>
      <c r="S1359" s="266" t="str">
        <f>IFERROR(__xludf.DUMMYFUNCTION("IF(ISBLANK(A1359),"""",IFERROR(IF(OR(Q1359=""GPB"",Q1359=""ZAR""),IF(Q1359=Dashboard!$L$1,M1359,(M1359*GOOGLEFINANCE(""CURRENCY:""&amp;Q1359&amp;""""&amp;Dashboard!$L$1&amp;""""))/100),IF(Q1359=Dashboard!$L$1,M1359,M1359*GOOGLEFINANCE(""CURRENCY:""&amp;Q1359&amp;""""&amp;Dashboard!$"&amp;"L$1&amp;""""))),M1359))"),"")</f>
        <v/>
      </c>
      <c r="T1359" s="264" t="str">
        <f t="shared" si="4"/>
        <v/>
      </c>
      <c r="U1359" s="264" t="str">
        <f t="shared" si="5"/>
        <v/>
      </c>
      <c r="V1359" s="264" t="str">
        <f t="shared" si="6"/>
        <v/>
      </c>
      <c r="W1359" s="267" t="str">
        <f t="shared" si="8"/>
        <v/>
      </c>
      <c r="X1359" s="264" t="str">
        <f t="shared" si="7"/>
        <v/>
      </c>
    </row>
    <row r="1360" ht="15.75" customHeight="1">
      <c r="A1360" s="258"/>
      <c r="B1360" s="258"/>
      <c r="C1360" s="269"/>
      <c r="D1360" s="258"/>
      <c r="E1360" s="258"/>
      <c r="F1360" s="258"/>
      <c r="G1360" s="258"/>
      <c r="H1360" s="271"/>
      <c r="I1360" s="258"/>
      <c r="J1360" s="272"/>
      <c r="K1360" s="260"/>
      <c r="L1360" s="261"/>
      <c r="M1360" s="262" t="str">
        <f t="shared" si="1"/>
        <v/>
      </c>
      <c r="N1360" s="263" t="str">
        <f t="shared" si="2"/>
        <v/>
      </c>
      <c r="O1360" s="264" t="str">
        <f t="shared" si="3"/>
        <v/>
      </c>
      <c r="P1360" s="265" t="str">
        <f>IFERROR(__xludf.DUMMYFUNCTION("IF(ISBLANK(A1360),"""",IFERROR(IF(H1360=""Sell"",VLOOKUP(9^99,FILTER({ROW(P$2:P1359),P$2:P1359},D$2:D1359=D1360),2),(VLOOKUP(9^99,FILTER({ROW(P$2:P1359),P$2:P1359},D$2:D1359=D1360),2)*VLOOKUP(9^99,FILTER({ROW(O$2:O1359),O$2:O1359},D$2:D1359=D1360),2)-N136"&amp;"0)/O1360),J1360))"),"")</f>
        <v/>
      </c>
      <c r="Q1360" s="264" t="str">
        <f>IFERROR(__xludf.DUMMYFUNCTION("IFERROR(IF(F1360=""Crypto"",B1360,(IF(ISBLANK(D1360),"""",IF(D1360=""Cash"",B1360,IF(GOOGLEFINANCE(D1360,""CURRENCY"")=""GBX"",""GBP"",GOOGLEFINANCE(D1360,""CURRENCY"")))))),B1360)"),"")</f>
        <v/>
      </c>
      <c r="R1360" s="263" t="str">
        <f>IFERROR(__xludf.DUMMYFUNCTION("IF(ISBLANK(A1360),"""",IFERROR(IF(OR(Q1360=""GPB"",Q1360=""ZAR""),IF(Q1360=Dashboard!$L$1,K1360,(K1360*GOOGLEFINANCE(""CURRENCY:""&amp;Q1360&amp;""""&amp;Dashboard!$L$1&amp;""""))/100),IF(Q1360=Dashboard!$L$1,K1360,K1360*GOOGLEFINANCE(""CURRENCY:""&amp;Q1360&amp;""""&amp;Dashboard!$"&amp;"L$1&amp;""""))),K1360))"),"")</f>
        <v/>
      </c>
      <c r="S1360" s="266" t="str">
        <f>IFERROR(__xludf.DUMMYFUNCTION("IF(ISBLANK(A1360),"""",IFERROR(IF(OR(Q1360=""GPB"",Q1360=""ZAR""),IF(Q1360=Dashboard!$L$1,M1360,(M1360*GOOGLEFINANCE(""CURRENCY:""&amp;Q1360&amp;""""&amp;Dashboard!$L$1&amp;""""))/100),IF(Q1360=Dashboard!$L$1,M1360,M1360*GOOGLEFINANCE(""CURRENCY:""&amp;Q1360&amp;""""&amp;Dashboard!$"&amp;"L$1&amp;""""))),M1360))"),"")</f>
        <v/>
      </c>
      <c r="T1360" s="264" t="str">
        <f t="shared" si="4"/>
        <v/>
      </c>
      <c r="U1360" s="264" t="str">
        <f t="shared" si="5"/>
        <v/>
      </c>
      <c r="V1360" s="264" t="str">
        <f t="shared" si="6"/>
        <v/>
      </c>
      <c r="W1360" s="267" t="str">
        <f t="shared" si="8"/>
        <v/>
      </c>
      <c r="X1360" s="264" t="str">
        <f t="shared" si="7"/>
        <v/>
      </c>
    </row>
    <row r="1361" ht="15.75" customHeight="1">
      <c r="A1361" s="258"/>
      <c r="B1361" s="258"/>
      <c r="C1361" s="269"/>
      <c r="D1361" s="258"/>
      <c r="E1361" s="258"/>
      <c r="F1361" s="258"/>
      <c r="G1361" s="258"/>
      <c r="H1361" s="271"/>
      <c r="I1361" s="258"/>
      <c r="J1361" s="272"/>
      <c r="K1361" s="260"/>
      <c r="L1361" s="261"/>
      <c r="M1361" s="262" t="str">
        <f t="shared" si="1"/>
        <v/>
      </c>
      <c r="N1361" s="263" t="str">
        <f t="shared" si="2"/>
        <v/>
      </c>
      <c r="O1361" s="264" t="str">
        <f t="shared" si="3"/>
        <v/>
      </c>
      <c r="P1361" s="265" t="str">
        <f>IFERROR(__xludf.DUMMYFUNCTION("IF(ISBLANK(A1361),"""",IFERROR(IF(H1361=""Sell"",VLOOKUP(9^99,FILTER({ROW(P$2:P1360),P$2:P1360},D$2:D1360=D1361),2),(VLOOKUP(9^99,FILTER({ROW(P$2:P1360),P$2:P1360},D$2:D1360=D1361),2)*VLOOKUP(9^99,FILTER({ROW(O$2:O1360),O$2:O1360},D$2:D1360=D1361),2)-N136"&amp;"1)/O1361),J1361))"),"")</f>
        <v/>
      </c>
      <c r="Q1361" s="264" t="str">
        <f>IFERROR(__xludf.DUMMYFUNCTION("IFERROR(IF(F1361=""Crypto"",B1361,(IF(ISBLANK(D1361),"""",IF(D1361=""Cash"",B1361,IF(GOOGLEFINANCE(D1361,""CURRENCY"")=""GBX"",""GBP"",GOOGLEFINANCE(D1361,""CURRENCY"")))))),B1361)"),"")</f>
        <v/>
      </c>
      <c r="R1361" s="263" t="str">
        <f>IFERROR(__xludf.DUMMYFUNCTION("IF(ISBLANK(A1361),"""",IFERROR(IF(OR(Q1361=""GPB"",Q1361=""ZAR""),IF(Q1361=Dashboard!$L$1,K1361,(K1361*GOOGLEFINANCE(""CURRENCY:""&amp;Q1361&amp;""""&amp;Dashboard!$L$1&amp;""""))/100),IF(Q1361=Dashboard!$L$1,K1361,K1361*GOOGLEFINANCE(""CURRENCY:""&amp;Q1361&amp;""""&amp;Dashboard!$"&amp;"L$1&amp;""""))),K1361))"),"")</f>
        <v/>
      </c>
      <c r="S1361" s="266" t="str">
        <f>IFERROR(__xludf.DUMMYFUNCTION("IF(ISBLANK(A1361),"""",IFERROR(IF(OR(Q1361=""GPB"",Q1361=""ZAR""),IF(Q1361=Dashboard!$L$1,M1361,(M1361*GOOGLEFINANCE(""CURRENCY:""&amp;Q1361&amp;""""&amp;Dashboard!$L$1&amp;""""))/100),IF(Q1361=Dashboard!$L$1,M1361,M1361*GOOGLEFINANCE(""CURRENCY:""&amp;Q1361&amp;""""&amp;Dashboard!$"&amp;"L$1&amp;""""))),M1361))"),"")</f>
        <v/>
      </c>
      <c r="T1361" s="264" t="str">
        <f t="shared" si="4"/>
        <v/>
      </c>
      <c r="U1361" s="264" t="str">
        <f t="shared" si="5"/>
        <v/>
      </c>
      <c r="V1361" s="264" t="str">
        <f t="shared" si="6"/>
        <v/>
      </c>
      <c r="W1361" s="267" t="str">
        <f t="shared" si="8"/>
        <v/>
      </c>
      <c r="X1361" s="264" t="str">
        <f t="shared" si="7"/>
        <v/>
      </c>
    </row>
    <row r="1362" ht="15.75" customHeight="1">
      <c r="A1362" s="258"/>
      <c r="B1362" s="258"/>
      <c r="C1362" s="269"/>
      <c r="D1362" s="258"/>
      <c r="E1362" s="258"/>
      <c r="F1362" s="258"/>
      <c r="G1362" s="258"/>
      <c r="H1362" s="271"/>
      <c r="I1362" s="258"/>
      <c r="J1362" s="272"/>
      <c r="K1362" s="260"/>
      <c r="L1362" s="261"/>
      <c r="M1362" s="262" t="str">
        <f t="shared" si="1"/>
        <v/>
      </c>
      <c r="N1362" s="263" t="str">
        <f t="shared" si="2"/>
        <v/>
      </c>
      <c r="O1362" s="264" t="str">
        <f t="shared" si="3"/>
        <v/>
      </c>
      <c r="P1362" s="265" t="str">
        <f>IFERROR(__xludf.DUMMYFUNCTION("IF(ISBLANK(A1362),"""",IFERROR(IF(H1362=""Sell"",VLOOKUP(9^99,FILTER({ROW(P$2:P1361),P$2:P1361},D$2:D1361=D1362),2),(VLOOKUP(9^99,FILTER({ROW(P$2:P1361),P$2:P1361},D$2:D1361=D1362),2)*VLOOKUP(9^99,FILTER({ROW(O$2:O1361),O$2:O1361},D$2:D1361=D1362),2)-N136"&amp;"2)/O1362),J1362))"),"")</f>
        <v/>
      </c>
      <c r="Q1362" s="264" t="str">
        <f>IFERROR(__xludf.DUMMYFUNCTION("IFERROR(IF(F1362=""Crypto"",B1362,(IF(ISBLANK(D1362),"""",IF(D1362=""Cash"",B1362,IF(GOOGLEFINANCE(D1362,""CURRENCY"")=""GBX"",""GBP"",GOOGLEFINANCE(D1362,""CURRENCY"")))))),B1362)"),"")</f>
        <v/>
      </c>
      <c r="R1362" s="263" t="str">
        <f>IFERROR(__xludf.DUMMYFUNCTION("IF(ISBLANK(A1362),"""",IFERROR(IF(OR(Q1362=""GPB"",Q1362=""ZAR""),IF(Q1362=Dashboard!$L$1,K1362,(K1362*GOOGLEFINANCE(""CURRENCY:""&amp;Q1362&amp;""""&amp;Dashboard!$L$1&amp;""""))/100),IF(Q1362=Dashboard!$L$1,K1362,K1362*GOOGLEFINANCE(""CURRENCY:""&amp;Q1362&amp;""""&amp;Dashboard!$"&amp;"L$1&amp;""""))),K1362))"),"")</f>
        <v/>
      </c>
      <c r="S1362" s="266" t="str">
        <f>IFERROR(__xludf.DUMMYFUNCTION("IF(ISBLANK(A1362),"""",IFERROR(IF(OR(Q1362=""GPB"",Q1362=""ZAR""),IF(Q1362=Dashboard!$L$1,M1362,(M1362*GOOGLEFINANCE(""CURRENCY:""&amp;Q1362&amp;""""&amp;Dashboard!$L$1&amp;""""))/100),IF(Q1362=Dashboard!$L$1,M1362,M1362*GOOGLEFINANCE(""CURRENCY:""&amp;Q1362&amp;""""&amp;Dashboard!$"&amp;"L$1&amp;""""))),M1362))"),"")</f>
        <v/>
      </c>
      <c r="T1362" s="264" t="str">
        <f t="shared" si="4"/>
        <v/>
      </c>
      <c r="U1362" s="264" t="str">
        <f t="shared" si="5"/>
        <v/>
      </c>
      <c r="V1362" s="264" t="str">
        <f t="shared" si="6"/>
        <v/>
      </c>
      <c r="W1362" s="267" t="str">
        <f t="shared" si="8"/>
        <v/>
      </c>
      <c r="X1362" s="264" t="str">
        <f t="shared" si="7"/>
        <v/>
      </c>
    </row>
    <row r="1363" ht="15.75" customHeight="1">
      <c r="A1363" s="258"/>
      <c r="B1363" s="258"/>
      <c r="C1363" s="269"/>
      <c r="D1363" s="258"/>
      <c r="E1363" s="258"/>
      <c r="F1363" s="258"/>
      <c r="G1363" s="258"/>
      <c r="H1363" s="271"/>
      <c r="I1363" s="258"/>
      <c r="J1363" s="272"/>
      <c r="K1363" s="260"/>
      <c r="L1363" s="261"/>
      <c r="M1363" s="262" t="str">
        <f t="shared" si="1"/>
        <v/>
      </c>
      <c r="N1363" s="263" t="str">
        <f t="shared" si="2"/>
        <v/>
      </c>
      <c r="O1363" s="264" t="str">
        <f t="shared" si="3"/>
        <v/>
      </c>
      <c r="P1363" s="265" t="str">
        <f>IFERROR(__xludf.DUMMYFUNCTION("IF(ISBLANK(A1363),"""",IFERROR(IF(H1363=""Sell"",VLOOKUP(9^99,FILTER({ROW(P$2:P1362),P$2:P1362},D$2:D1362=D1363),2),(VLOOKUP(9^99,FILTER({ROW(P$2:P1362),P$2:P1362},D$2:D1362=D1363),2)*VLOOKUP(9^99,FILTER({ROW(O$2:O1362),O$2:O1362},D$2:D1362=D1363),2)-N136"&amp;"3)/O1363),J1363))"),"")</f>
        <v/>
      </c>
      <c r="Q1363" s="264" t="str">
        <f>IFERROR(__xludf.DUMMYFUNCTION("IFERROR(IF(F1363=""Crypto"",B1363,(IF(ISBLANK(D1363),"""",IF(D1363=""Cash"",B1363,IF(GOOGLEFINANCE(D1363,""CURRENCY"")=""GBX"",""GBP"",GOOGLEFINANCE(D1363,""CURRENCY"")))))),B1363)"),"")</f>
        <v/>
      </c>
      <c r="R1363" s="263" t="str">
        <f>IFERROR(__xludf.DUMMYFUNCTION("IF(ISBLANK(A1363),"""",IFERROR(IF(OR(Q1363=""GPB"",Q1363=""ZAR""),IF(Q1363=Dashboard!$L$1,K1363,(K1363*GOOGLEFINANCE(""CURRENCY:""&amp;Q1363&amp;""""&amp;Dashboard!$L$1&amp;""""))/100),IF(Q1363=Dashboard!$L$1,K1363,K1363*GOOGLEFINANCE(""CURRENCY:""&amp;Q1363&amp;""""&amp;Dashboard!$"&amp;"L$1&amp;""""))),K1363))"),"")</f>
        <v/>
      </c>
      <c r="S1363" s="266" t="str">
        <f>IFERROR(__xludf.DUMMYFUNCTION("IF(ISBLANK(A1363),"""",IFERROR(IF(OR(Q1363=""GPB"",Q1363=""ZAR""),IF(Q1363=Dashboard!$L$1,M1363,(M1363*GOOGLEFINANCE(""CURRENCY:""&amp;Q1363&amp;""""&amp;Dashboard!$L$1&amp;""""))/100),IF(Q1363=Dashboard!$L$1,M1363,M1363*GOOGLEFINANCE(""CURRENCY:""&amp;Q1363&amp;""""&amp;Dashboard!$"&amp;"L$1&amp;""""))),M1363))"),"")</f>
        <v/>
      </c>
      <c r="T1363" s="264" t="str">
        <f t="shared" si="4"/>
        <v/>
      </c>
      <c r="U1363" s="264" t="str">
        <f t="shared" si="5"/>
        <v/>
      </c>
      <c r="V1363" s="264" t="str">
        <f t="shared" si="6"/>
        <v/>
      </c>
      <c r="W1363" s="267" t="str">
        <f t="shared" si="8"/>
        <v/>
      </c>
      <c r="X1363" s="264" t="str">
        <f t="shared" si="7"/>
        <v/>
      </c>
    </row>
    <row r="1364" ht="15.75" customHeight="1">
      <c r="A1364" s="258"/>
      <c r="B1364" s="258"/>
      <c r="C1364" s="269"/>
      <c r="D1364" s="258"/>
      <c r="E1364" s="258"/>
      <c r="F1364" s="258"/>
      <c r="G1364" s="258"/>
      <c r="H1364" s="271"/>
      <c r="I1364" s="258"/>
      <c r="J1364" s="272"/>
      <c r="K1364" s="260"/>
      <c r="L1364" s="261"/>
      <c r="M1364" s="262" t="str">
        <f t="shared" si="1"/>
        <v/>
      </c>
      <c r="N1364" s="263" t="str">
        <f t="shared" si="2"/>
        <v/>
      </c>
      <c r="O1364" s="264" t="str">
        <f t="shared" si="3"/>
        <v/>
      </c>
      <c r="P1364" s="265" t="str">
        <f>IFERROR(__xludf.DUMMYFUNCTION("IF(ISBLANK(A1364),"""",IFERROR(IF(H1364=""Sell"",VLOOKUP(9^99,FILTER({ROW(P$2:P1363),P$2:P1363},D$2:D1363=D1364),2),(VLOOKUP(9^99,FILTER({ROW(P$2:P1363),P$2:P1363},D$2:D1363=D1364),2)*VLOOKUP(9^99,FILTER({ROW(O$2:O1363),O$2:O1363},D$2:D1363=D1364),2)-N136"&amp;"4)/O1364),J1364))"),"")</f>
        <v/>
      </c>
      <c r="Q1364" s="264" t="str">
        <f>IFERROR(__xludf.DUMMYFUNCTION("IFERROR(IF(F1364=""Crypto"",B1364,(IF(ISBLANK(D1364),"""",IF(D1364=""Cash"",B1364,IF(GOOGLEFINANCE(D1364,""CURRENCY"")=""GBX"",""GBP"",GOOGLEFINANCE(D1364,""CURRENCY"")))))),B1364)"),"")</f>
        <v/>
      </c>
      <c r="R1364" s="263" t="str">
        <f>IFERROR(__xludf.DUMMYFUNCTION("IF(ISBLANK(A1364),"""",IFERROR(IF(OR(Q1364=""GPB"",Q1364=""ZAR""),IF(Q1364=Dashboard!$L$1,K1364,(K1364*GOOGLEFINANCE(""CURRENCY:""&amp;Q1364&amp;""""&amp;Dashboard!$L$1&amp;""""))/100),IF(Q1364=Dashboard!$L$1,K1364,K1364*GOOGLEFINANCE(""CURRENCY:""&amp;Q1364&amp;""""&amp;Dashboard!$"&amp;"L$1&amp;""""))),K1364))"),"")</f>
        <v/>
      </c>
      <c r="S1364" s="266" t="str">
        <f>IFERROR(__xludf.DUMMYFUNCTION("IF(ISBLANK(A1364),"""",IFERROR(IF(OR(Q1364=""GPB"",Q1364=""ZAR""),IF(Q1364=Dashboard!$L$1,M1364,(M1364*GOOGLEFINANCE(""CURRENCY:""&amp;Q1364&amp;""""&amp;Dashboard!$L$1&amp;""""))/100),IF(Q1364=Dashboard!$L$1,M1364,M1364*GOOGLEFINANCE(""CURRENCY:""&amp;Q1364&amp;""""&amp;Dashboard!$"&amp;"L$1&amp;""""))),M1364))"),"")</f>
        <v/>
      </c>
      <c r="T1364" s="264" t="str">
        <f t="shared" si="4"/>
        <v/>
      </c>
      <c r="U1364" s="264" t="str">
        <f t="shared" si="5"/>
        <v/>
      </c>
      <c r="V1364" s="264" t="str">
        <f t="shared" si="6"/>
        <v/>
      </c>
      <c r="W1364" s="267" t="str">
        <f t="shared" si="8"/>
        <v/>
      </c>
      <c r="X1364" s="264" t="str">
        <f t="shared" si="7"/>
        <v/>
      </c>
    </row>
    <row r="1365" ht="15.75" customHeight="1">
      <c r="A1365" s="258"/>
      <c r="B1365" s="258"/>
      <c r="C1365" s="269"/>
      <c r="D1365" s="258"/>
      <c r="E1365" s="258"/>
      <c r="F1365" s="258"/>
      <c r="G1365" s="258"/>
      <c r="H1365" s="271"/>
      <c r="I1365" s="258"/>
      <c r="J1365" s="272"/>
      <c r="K1365" s="260"/>
      <c r="L1365" s="261"/>
      <c r="M1365" s="262" t="str">
        <f t="shared" si="1"/>
        <v/>
      </c>
      <c r="N1365" s="263" t="str">
        <f t="shared" si="2"/>
        <v/>
      </c>
      <c r="O1365" s="264" t="str">
        <f t="shared" si="3"/>
        <v/>
      </c>
      <c r="P1365" s="265" t="str">
        <f>IFERROR(__xludf.DUMMYFUNCTION("IF(ISBLANK(A1365),"""",IFERROR(IF(H1365=""Sell"",VLOOKUP(9^99,FILTER({ROW(P$2:P1364),P$2:P1364},D$2:D1364=D1365),2),(VLOOKUP(9^99,FILTER({ROW(P$2:P1364),P$2:P1364},D$2:D1364=D1365),2)*VLOOKUP(9^99,FILTER({ROW(O$2:O1364),O$2:O1364},D$2:D1364=D1365),2)-N136"&amp;"5)/O1365),J1365))"),"")</f>
        <v/>
      </c>
      <c r="Q1365" s="264" t="str">
        <f>IFERROR(__xludf.DUMMYFUNCTION("IFERROR(IF(F1365=""Crypto"",B1365,(IF(ISBLANK(D1365),"""",IF(D1365=""Cash"",B1365,IF(GOOGLEFINANCE(D1365,""CURRENCY"")=""GBX"",""GBP"",GOOGLEFINANCE(D1365,""CURRENCY"")))))),B1365)"),"")</f>
        <v/>
      </c>
      <c r="R1365" s="263" t="str">
        <f>IFERROR(__xludf.DUMMYFUNCTION("IF(ISBLANK(A1365),"""",IFERROR(IF(OR(Q1365=""GPB"",Q1365=""ZAR""),IF(Q1365=Dashboard!$L$1,K1365,(K1365*GOOGLEFINANCE(""CURRENCY:""&amp;Q1365&amp;""""&amp;Dashboard!$L$1&amp;""""))/100),IF(Q1365=Dashboard!$L$1,K1365,K1365*GOOGLEFINANCE(""CURRENCY:""&amp;Q1365&amp;""""&amp;Dashboard!$"&amp;"L$1&amp;""""))),K1365))"),"")</f>
        <v/>
      </c>
      <c r="S1365" s="266" t="str">
        <f>IFERROR(__xludf.DUMMYFUNCTION("IF(ISBLANK(A1365),"""",IFERROR(IF(OR(Q1365=""GPB"",Q1365=""ZAR""),IF(Q1365=Dashboard!$L$1,M1365,(M1365*GOOGLEFINANCE(""CURRENCY:""&amp;Q1365&amp;""""&amp;Dashboard!$L$1&amp;""""))/100),IF(Q1365=Dashboard!$L$1,M1365,M1365*GOOGLEFINANCE(""CURRENCY:""&amp;Q1365&amp;""""&amp;Dashboard!$"&amp;"L$1&amp;""""))),M1365))"),"")</f>
        <v/>
      </c>
      <c r="T1365" s="264" t="str">
        <f t="shared" si="4"/>
        <v/>
      </c>
      <c r="U1365" s="264" t="str">
        <f t="shared" si="5"/>
        <v/>
      </c>
      <c r="V1365" s="264" t="str">
        <f t="shared" si="6"/>
        <v/>
      </c>
      <c r="W1365" s="267" t="str">
        <f t="shared" si="8"/>
        <v/>
      </c>
      <c r="X1365" s="264" t="str">
        <f t="shared" si="7"/>
        <v/>
      </c>
    </row>
    <row r="1366" ht="15.75" customHeight="1">
      <c r="A1366" s="258"/>
      <c r="B1366" s="258"/>
      <c r="C1366" s="269"/>
      <c r="D1366" s="258"/>
      <c r="E1366" s="258"/>
      <c r="F1366" s="258"/>
      <c r="G1366" s="258"/>
      <c r="H1366" s="271"/>
      <c r="I1366" s="258"/>
      <c r="J1366" s="272"/>
      <c r="K1366" s="260"/>
      <c r="L1366" s="261"/>
      <c r="M1366" s="262" t="str">
        <f t="shared" si="1"/>
        <v/>
      </c>
      <c r="N1366" s="263" t="str">
        <f t="shared" si="2"/>
        <v/>
      </c>
      <c r="O1366" s="264" t="str">
        <f t="shared" si="3"/>
        <v/>
      </c>
      <c r="P1366" s="265" t="str">
        <f>IFERROR(__xludf.DUMMYFUNCTION("IF(ISBLANK(A1366),"""",IFERROR(IF(H1366=""Sell"",VLOOKUP(9^99,FILTER({ROW(P$2:P1365),P$2:P1365},D$2:D1365=D1366),2),(VLOOKUP(9^99,FILTER({ROW(P$2:P1365),P$2:P1365},D$2:D1365=D1366),2)*VLOOKUP(9^99,FILTER({ROW(O$2:O1365),O$2:O1365},D$2:D1365=D1366),2)-N136"&amp;"6)/O1366),J1366))"),"")</f>
        <v/>
      </c>
      <c r="Q1366" s="264" t="str">
        <f>IFERROR(__xludf.DUMMYFUNCTION("IFERROR(IF(F1366=""Crypto"",B1366,(IF(ISBLANK(D1366),"""",IF(D1366=""Cash"",B1366,IF(GOOGLEFINANCE(D1366,""CURRENCY"")=""GBX"",""GBP"",GOOGLEFINANCE(D1366,""CURRENCY"")))))),B1366)"),"")</f>
        <v/>
      </c>
      <c r="R1366" s="263" t="str">
        <f>IFERROR(__xludf.DUMMYFUNCTION("IF(ISBLANK(A1366),"""",IFERROR(IF(OR(Q1366=""GPB"",Q1366=""ZAR""),IF(Q1366=Dashboard!$L$1,K1366,(K1366*GOOGLEFINANCE(""CURRENCY:""&amp;Q1366&amp;""""&amp;Dashboard!$L$1&amp;""""))/100),IF(Q1366=Dashboard!$L$1,K1366,K1366*GOOGLEFINANCE(""CURRENCY:""&amp;Q1366&amp;""""&amp;Dashboard!$"&amp;"L$1&amp;""""))),K1366))"),"")</f>
        <v/>
      </c>
      <c r="S1366" s="266" t="str">
        <f>IFERROR(__xludf.DUMMYFUNCTION("IF(ISBLANK(A1366),"""",IFERROR(IF(OR(Q1366=""GPB"",Q1366=""ZAR""),IF(Q1366=Dashboard!$L$1,M1366,(M1366*GOOGLEFINANCE(""CURRENCY:""&amp;Q1366&amp;""""&amp;Dashboard!$L$1&amp;""""))/100),IF(Q1366=Dashboard!$L$1,M1366,M1366*GOOGLEFINANCE(""CURRENCY:""&amp;Q1366&amp;""""&amp;Dashboard!$"&amp;"L$1&amp;""""))),M1366))"),"")</f>
        <v/>
      </c>
      <c r="T1366" s="264" t="str">
        <f t="shared" si="4"/>
        <v/>
      </c>
      <c r="U1366" s="264" t="str">
        <f t="shared" si="5"/>
        <v/>
      </c>
      <c r="V1366" s="264" t="str">
        <f t="shared" si="6"/>
        <v/>
      </c>
      <c r="W1366" s="267" t="str">
        <f t="shared" si="8"/>
        <v/>
      </c>
      <c r="X1366" s="264" t="str">
        <f t="shared" si="7"/>
        <v/>
      </c>
    </row>
    <row r="1367" ht="15.75" customHeight="1">
      <c r="A1367" s="258"/>
      <c r="B1367" s="258"/>
      <c r="C1367" s="269"/>
      <c r="D1367" s="258"/>
      <c r="E1367" s="258"/>
      <c r="F1367" s="258"/>
      <c r="G1367" s="258"/>
      <c r="H1367" s="271"/>
      <c r="I1367" s="258"/>
      <c r="J1367" s="272"/>
      <c r="K1367" s="260"/>
      <c r="L1367" s="261"/>
      <c r="M1367" s="262" t="str">
        <f t="shared" si="1"/>
        <v/>
      </c>
      <c r="N1367" s="263" t="str">
        <f t="shared" si="2"/>
        <v/>
      </c>
      <c r="O1367" s="264" t="str">
        <f t="shared" si="3"/>
        <v/>
      </c>
      <c r="P1367" s="265" t="str">
        <f>IFERROR(__xludf.DUMMYFUNCTION("IF(ISBLANK(A1367),"""",IFERROR(IF(H1367=""Sell"",VLOOKUP(9^99,FILTER({ROW(P$2:P1366),P$2:P1366},D$2:D1366=D1367),2),(VLOOKUP(9^99,FILTER({ROW(P$2:P1366),P$2:P1366},D$2:D1366=D1367),2)*VLOOKUP(9^99,FILTER({ROW(O$2:O1366),O$2:O1366},D$2:D1366=D1367),2)-N136"&amp;"7)/O1367),J1367))"),"")</f>
        <v/>
      </c>
      <c r="Q1367" s="264" t="str">
        <f>IFERROR(__xludf.DUMMYFUNCTION("IFERROR(IF(F1367=""Crypto"",B1367,(IF(ISBLANK(D1367),"""",IF(D1367=""Cash"",B1367,IF(GOOGLEFINANCE(D1367,""CURRENCY"")=""GBX"",""GBP"",GOOGLEFINANCE(D1367,""CURRENCY"")))))),B1367)"),"")</f>
        <v/>
      </c>
      <c r="R1367" s="263" t="str">
        <f>IFERROR(__xludf.DUMMYFUNCTION("IF(ISBLANK(A1367),"""",IFERROR(IF(OR(Q1367=""GPB"",Q1367=""ZAR""),IF(Q1367=Dashboard!$L$1,K1367,(K1367*GOOGLEFINANCE(""CURRENCY:""&amp;Q1367&amp;""""&amp;Dashboard!$L$1&amp;""""))/100),IF(Q1367=Dashboard!$L$1,K1367,K1367*GOOGLEFINANCE(""CURRENCY:""&amp;Q1367&amp;""""&amp;Dashboard!$"&amp;"L$1&amp;""""))),K1367))"),"")</f>
        <v/>
      </c>
      <c r="S1367" s="266" t="str">
        <f>IFERROR(__xludf.DUMMYFUNCTION("IF(ISBLANK(A1367),"""",IFERROR(IF(OR(Q1367=""GPB"",Q1367=""ZAR""),IF(Q1367=Dashboard!$L$1,M1367,(M1367*GOOGLEFINANCE(""CURRENCY:""&amp;Q1367&amp;""""&amp;Dashboard!$L$1&amp;""""))/100),IF(Q1367=Dashboard!$L$1,M1367,M1367*GOOGLEFINANCE(""CURRENCY:""&amp;Q1367&amp;""""&amp;Dashboard!$"&amp;"L$1&amp;""""))),M1367))"),"")</f>
        <v/>
      </c>
      <c r="T1367" s="264" t="str">
        <f t="shared" si="4"/>
        <v/>
      </c>
      <c r="U1367" s="264" t="str">
        <f t="shared" si="5"/>
        <v/>
      </c>
      <c r="V1367" s="264" t="str">
        <f t="shared" si="6"/>
        <v/>
      </c>
      <c r="W1367" s="267" t="str">
        <f t="shared" si="8"/>
        <v/>
      </c>
      <c r="X1367" s="264" t="str">
        <f t="shared" si="7"/>
        <v/>
      </c>
    </row>
    <row r="1368" ht="15.75" customHeight="1">
      <c r="A1368" s="258"/>
      <c r="B1368" s="258"/>
      <c r="C1368" s="269"/>
      <c r="D1368" s="258"/>
      <c r="E1368" s="258"/>
      <c r="F1368" s="258"/>
      <c r="G1368" s="258"/>
      <c r="H1368" s="271"/>
      <c r="I1368" s="258"/>
      <c r="J1368" s="272"/>
      <c r="K1368" s="260"/>
      <c r="L1368" s="261"/>
      <c r="M1368" s="262" t="str">
        <f t="shared" si="1"/>
        <v/>
      </c>
      <c r="N1368" s="263" t="str">
        <f t="shared" si="2"/>
        <v/>
      </c>
      <c r="O1368" s="264" t="str">
        <f t="shared" si="3"/>
        <v/>
      </c>
      <c r="P1368" s="265" t="str">
        <f>IFERROR(__xludf.DUMMYFUNCTION("IF(ISBLANK(A1368),"""",IFERROR(IF(H1368=""Sell"",VLOOKUP(9^99,FILTER({ROW(P$2:P1367),P$2:P1367},D$2:D1367=D1368),2),(VLOOKUP(9^99,FILTER({ROW(P$2:P1367),P$2:P1367},D$2:D1367=D1368),2)*VLOOKUP(9^99,FILTER({ROW(O$2:O1367),O$2:O1367},D$2:D1367=D1368),2)-N136"&amp;"8)/O1368),J1368))"),"")</f>
        <v/>
      </c>
      <c r="Q1368" s="264" t="str">
        <f>IFERROR(__xludf.DUMMYFUNCTION("IFERROR(IF(F1368=""Crypto"",B1368,(IF(ISBLANK(D1368),"""",IF(D1368=""Cash"",B1368,IF(GOOGLEFINANCE(D1368,""CURRENCY"")=""GBX"",""GBP"",GOOGLEFINANCE(D1368,""CURRENCY"")))))),B1368)"),"")</f>
        <v/>
      </c>
      <c r="R1368" s="263" t="str">
        <f>IFERROR(__xludf.DUMMYFUNCTION("IF(ISBLANK(A1368),"""",IFERROR(IF(OR(Q1368=""GPB"",Q1368=""ZAR""),IF(Q1368=Dashboard!$L$1,K1368,(K1368*GOOGLEFINANCE(""CURRENCY:""&amp;Q1368&amp;""""&amp;Dashboard!$L$1&amp;""""))/100),IF(Q1368=Dashboard!$L$1,K1368,K1368*GOOGLEFINANCE(""CURRENCY:""&amp;Q1368&amp;""""&amp;Dashboard!$"&amp;"L$1&amp;""""))),K1368))"),"")</f>
        <v/>
      </c>
      <c r="S1368" s="266" t="str">
        <f>IFERROR(__xludf.DUMMYFUNCTION("IF(ISBLANK(A1368),"""",IFERROR(IF(OR(Q1368=""GPB"",Q1368=""ZAR""),IF(Q1368=Dashboard!$L$1,M1368,(M1368*GOOGLEFINANCE(""CURRENCY:""&amp;Q1368&amp;""""&amp;Dashboard!$L$1&amp;""""))/100),IF(Q1368=Dashboard!$L$1,M1368,M1368*GOOGLEFINANCE(""CURRENCY:""&amp;Q1368&amp;""""&amp;Dashboard!$"&amp;"L$1&amp;""""))),M1368))"),"")</f>
        <v/>
      </c>
      <c r="T1368" s="264" t="str">
        <f t="shared" si="4"/>
        <v/>
      </c>
      <c r="U1368" s="264" t="str">
        <f t="shared" si="5"/>
        <v/>
      </c>
      <c r="V1368" s="264" t="str">
        <f t="shared" si="6"/>
        <v/>
      </c>
      <c r="W1368" s="267" t="str">
        <f t="shared" si="8"/>
        <v/>
      </c>
      <c r="X1368" s="264" t="str">
        <f t="shared" si="7"/>
        <v/>
      </c>
    </row>
    <row r="1369" ht="15.75" customHeight="1">
      <c r="A1369" s="258"/>
      <c r="B1369" s="258"/>
      <c r="C1369" s="269"/>
      <c r="D1369" s="258"/>
      <c r="E1369" s="258"/>
      <c r="F1369" s="258"/>
      <c r="G1369" s="258"/>
      <c r="H1369" s="271"/>
      <c r="I1369" s="258"/>
      <c r="J1369" s="272"/>
      <c r="K1369" s="260"/>
      <c r="L1369" s="261"/>
      <c r="M1369" s="262" t="str">
        <f t="shared" si="1"/>
        <v/>
      </c>
      <c r="N1369" s="263" t="str">
        <f t="shared" si="2"/>
        <v/>
      </c>
      <c r="O1369" s="264" t="str">
        <f t="shared" si="3"/>
        <v/>
      </c>
      <c r="P1369" s="265" t="str">
        <f>IFERROR(__xludf.DUMMYFUNCTION("IF(ISBLANK(A1369),"""",IFERROR(IF(H1369=""Sell"",VLOOKUP(9^99,FILTER({ROW(P$2:P1368),P$2:P1368},D$2:D1368=D1369),2),(VLOOKUP(9^99,FILTER({ROW(P$2:P1368),P$2:P1368},D$2:D1368=D1369),2)*VLOOKUP(9^99,FILTER({ROW(O$2:O1368),O$2:O1368},D$2:D1368=D1369),2)-N136"&amp;"9)/O1369),J1369))"),"")</f>
        <v/>
      </c>
      <c r="Q1369" s="264" t="str">
        <f>IFERROR(__xludf.DUMMYFUNCTION("IFERROR(IF(F1369=""Crypto"",B1369,(IF(ISBLANK(D1369),"""",IF(D1369=""Cash"",B1369,IF(GOOGLEFINANCE(D1369,""CURRENCY"")=""GBX"",""GBP"",GOOGLEFINANCE(D1369,""CURRENCY"")))))),B1369)"),"")</f>
        <v/>
      </c>
      <c r="R1369" s="263" t="str">
        <f>IFERROR(__xludf.DUMMYFUNCTION("IF(ISBLANK(A1369),"""",IFERROR(IF(OR(Q1369=""GPB"",Q1369=""ZAR""),IF(Q1369=Dashboard!$L$1,K1369,(K1369*GOOGLEFINANCE(""CURRENCY:""&amp;Q1369&amp;""""&amp;Dashboard!$L$1&amp;""""))/100),IF(Q1369=Dashboard!$L$1,K1369,K1369*GOOGLEFINANCE(""CURRENCY:""&amp;Q1369&amp;""""&amp;Dashboard!$"&amp;"L$1&amp;""""))),K1369))"),"")</f>
        <v/>
      </c>
      <c r="S1369" s="266" t="str">
        <f>IFERROR(__xludf.DUMMYFUNCTION("IF(ISBLANK(A1369),"""",IFERROR(IF(OR(Q1369=""GPB"",Q1369=""ZAR""),IF(Q1369=Dashboard!$L$1,M1369,(M1369*GOOGLEFINANCE(""CURRENCY:""&amp;Q1369&amp;""""&amp;Dashboard!$L$1&amp;""""))/100),IF(Q1369=Dashboard!$L$1,M1369,M1369*GOOGLEFINANCE(""CURRENCY:""&amp;Q1369&amp;""""&amp;Dashboard!$"&amp;"L$1&amp;""""))),M1369))"),"")</f>
        <v/>
      </c>
      <c r="T1369" s="264" t="str">
        <f t="shared" si="4"/>
        <v/>
      </c>
      <c r="U1369" s="264" t="str">
        <f t="shared" si="5"/>
        <v/>
      </c>
      <c r="V1369" s="264" t="str">
        <f t="shared" si="6"/>
        <v/>
      </c>
      <c r="W1369" s="267" t="str">
        <f t="shared" si="8"/>
        <v/>
      </c>
      <c r="X1369" s="264" t="str">
        <f t="shared" si="7"/>
        <v/>
      </c>
    </row>
    <row r="1370" ht="15.75" customHeight="1">
      <c r="A1370" s="258"/>
      <c r="B1370" s="258"/>
      <c r="C1370" s="269"/>
      <c r="D1370" s="258"/>
      <c r="E1370" s="258"/>
      <c r="F1370" s="258"/>
      <c r="G1370" s="258"/>
      <c r="H1370" s="271"/>
      <c r="I1370" s="258"/>
      <c r="J1370" s="272"/>
      <c r="K1370" s="260"/>
      <c r="L1370" s="261"/>
      <c r="M1370" s="262" t="str">
        <f t="shared" si="1"/>
        <v/>
      </c>
      <c r="N1370" s="263" t="str">
        <f t="shared" si="2"/>
        <v/>
      </c>
      <c r="O1370" s="264" t="str">
        <f t="shared" si="3"/>
        <v/>
      </c>
      <c r="P1370" s="265" t="str">
        <f>IFERROR(__xludf.DUMMYFUNCTION("IF(ISBLANK(A1370),"""",IFERROR(IF(H1370=""Sell"",VLOOKUP(9^99,FILTER({ROW(P$2:P1369),P$2:P1369},D$2:D1369=D1370),2),(VLOOKUP(9^99,FILTER({ROW(P$2:P1369),P$2:P1369},D$2:D1369=D1370),2)*VLOOKUP(9^99,FILTER({ROW(O$2:O1369),O$2:O1369},D$2:D1369=D1370),2)-N137"&amp;"0)/O1370),J1370))"),"")</f>
        <v/>
      </c>
      <c r="Q1370" s="264" t="str">
        <f>IFERROR(__xludf.DUMMYFUNCTION("IFERROR(IF(F1370=""Crypto"",B1370,(IF(ISBLANK(D1370),"""",IF(D1370=""Cash"",B1370,IF(GOOGLEFINANCE(D1370,""CURRENCY"")=""GBX"",""GBP"",GOOGLEFINANCE(D1370,""CURRENCY"")))))),B1370)"),"")</f>
        <v/>
      </c>
      <c r="R1370" s="263" t="str">
        <f>IFERROR(__xludf.DUMMYFUNCTION("IF(ISBLANK(A1370),"""",IFERROR(IF(OR(Q1370=""GPB"",Q1370=""ZAR""),IF(Q1370=Dashboard!$L$1,K1370,(K1370*GOOGLEFINANCE(""CURRENCY:""&amp;Q1370&amp;""""&amp;Dashboard!$L$1&amp;""""))/100),IF(Q1370=Dashboard!$L$1,K1370,K1370*GOOGLEFINANCE(""CURRENCY:""&amp;Q1370&amp;""""&amp;Dashboard!$"&amp;"L$1&amp;""""))),K1370))"),"")</f>
        <v/>
      </c>
      <c r="S1370" s="266" t="str">
        <f>IFERROR(__xludf.DUMMYFUNCTION("IF(ISBLANK(A1370),"""",IFERROR(IF(OR(Q1370=""GPB"",Q1370=""ZAR""),IF(Q1370=Dashboard!$L$1,M1370,(M1370*GOOGLEFINANCE(""CURRENCY:""&amp;Q1370&amp;""""&amp;Dashboard!$L$1&amp;""""))/100),IF(Q1370=Dashboard!$L$1,M1370,M1370*GOOGLEFINANCE(""CURRENCY:""&amp;Q1370&amp;""""&amp;Dashboard!$"&amp;"L$1&amp;""""))),M1370))"),"")</f>
        <v/>
      </c>
      <c r="T1370" s="264" t="str">
        <f t="shared" si="4"/>
        <v/>
      </c>
      <c r="U1370" s="264" t="str">
        <f t="shared" si="5"/>
        <v/>
      </c>
      <c r="V1370" s="264" t="str">
        <f t="shared" si="6"/>
        <v/>
      </c>
      <c r="W1370" s="267" t="str">
        <f t="shared" si="8"/>
        <v/>
      </c>
      <c r="X1370" s="264" t="str">
        <f t="shared" si="7"/>
        <v/>
      </c>
    </row>
    <row r="1371" ht="15.75" customHeight="1">
      <c r="A1371" s="258"/>
      <c r="B1371" s="258"/>
      <c r="C1371" s="269"/>
      <c r="D1371" s="258"/>
      <c r="E1371" s="258"/>
      <c r="F1371" s="258"/>
      <c r="G1371" s="258"/>
      <c r="H1371" s="271"/>
      <c r="I1371" s="258"/>
      <c r="J1371" s="272"/>
      <c r="K1371" s="260"/>
      <c r="L1371" s="261"/>
      <c r="M1371" s="262" t="str">
        <f t="shared" si="1"/>
        <v/>
      </c>
      <c r="N1371" s="263" t="str">
        <f t="shared" si="2"/>
        <v/>
      </c>
      <c r="O1371" s="264" t="str">
        <f t="shared" si="3"/>
        <v/>
      </c>
      <c r="P1371" s="265" t="str">
        <f>IFERROR(__xludf.DUMMYFUNCTION("IF(ISBLANK(A1371),"""",IFERROR(IF(H1371=""Sell"",VLOOKUP(9^99,FILTER({ROW(P$2:P1370),P$2:P1370},D$2:D1370=D1371),2),(VLOOKUP(9^99,FILTER({ROW(P$2:P1370),P$2:P1370},D$2:D1370=D1371),2)*VLOOKUP(9^99,FILTER({ROW(O$2:O1370),O$2:O1370},D$2:D1370=D1371),2)-N137"&amp;"1)/O1371),J1371))"),"")</f>
        <v/>
      </c>
      <c r="Q1371" s="264" t="str">
        <f>IFERROR(__xludf.DUMMYFUNCTION("IFERROR(IF(F1371=""Crypto"",B1371,(IF(ISBLANK(D1371),"""",IF(D1371=""Cash"",B1371,IF(GOOGLEFINANCE(D1371,""CURRENCY"")=""GBX"",""GBP"",GOOGLEFINANCE(D1371,""CURRENCY"")))))),B1371)"),"")</f>
        <v/>
      </c>
      <c r="R1371" s="263" t="str">
        <f>IFERROR(__xludf.DUMMYFUNCTION("IF(ISBLANK(A1371),"""",IFERROR(IF(OR(Q1371=""GPB"",Q1371=""ZAR""),IF(Q1371=Dashboard!$L$1,K1371,(K1371*GOOGLEFINANCE(""CURRENCY:""&amp;Q1371&amp;""""&amp;Dashboard!$L$1&amp;""""))/100),IF(Q1371=Dashboard!$L$1,K1371,K1371*GOOGLEFINANCE(""CURRENCY:""&amp;Q1371&amp;""""&amp;Dashboard!$"&amp;"L$1&amp;""""))),K1371))"),"")</f>
        <v/>
      </c>
      <c r="S1371" s="266" t="str">
        <f>IFERROR(__xludf.DUMMYFUNCTION("IF(ISBLANK(A1371),"""",IFERROR(IF(OR(Q1371=""GPB"",Q1371=""ZAR""),IF(Q1371=Dashboard!$L$1,M1371,(M1371*GOOGLEFINANCE(""CURRENCY:""&amp;Q1371&amp;""""&amp;Dashboard!$L$1&amp;""""))/100),IF(Q1371=Dashboard!$L$1,M1371,M1371*GOOGLEFINANCE(""CURRENCY:""&amp;Q1371&amp;""""&amp;Dashboard!$"&amp;"L$1&amp;""""))),M1371))"),"")</f>
        <v/>
      </c>
      <c r="T1371" s="264" t="str">
        <f t="shared" si="4"/>
        <v/>
      </c>
      <c r="U1371" s="264" t="str">
        <f t="shared" si="5"/>
        <v/>
      </c>
      <c r="V1371" s="264" t="str">
        <f t="shared" si="6"/>
        <v/>
      </c>
      <c r="W1371" s="267" t="str">
        <f t="shared" si="8"/>
        <v/>
      </c>
      <c r="X1371" s="264" t="str">
        <f t="shared" si="7"/>
        <v/>
      </c>
    </row>
    <row r="1372" ht="15.75" customHeight="1">
      <c r="A1372" s="258"/>
      <c r="B1372" s="258"/>
      <c r="C1372" s="269"/>
      <c r="D1372" s="258"/>
      <c r="E1372" s="258"/>
      <c r="F1372" s="258"/>
      <c r="G1372" s="258"/>
      <c r="H1372" s="271"/>
      <c r="I1372" s="258"/>
      <c r="J1372" s="272"/>
      <c r="K1372" s="260"/>
      <c r="L1372" s="261"/>
      <c r="M1372" s="262" t="str">
        <f t="shared" si="1"/>
        <v/>
      </c>
      <c r="N1372" s="263" t="str">
        <f t="shared" si="2"/>
        <v/>
      </c>
      <c r="O1372" s="264" t="str">
        <f t="shared" si="3"/>
        <v/>
      </c>
      <c r="P1372" s="265" t="str">
        <f>IFERROR(__xludf.DUMMYFUNCTION("IF(ISBLANK(A1372),"""",IFERROR(IF(H1372=""Sell"",VLOOKUP(9^99,FILTER({ROW(P$2:P1371),P$2:P1371},D$2:D1371=D1372),2),(VLOOKUP(9^99,FILTER({ROW(P$2:P1371),P$2:P1371},D$2:D1371=D1372),2)*VLOOKUP(9^99,FILTER({ROW(O$2:O1371),O$2:O1371},D$2:D1371=D1372),2)-N137"&amp;"2)/O1372),J1372))"),"")</f>
        <v/>
      </c>
      <c r="Q1372" s="264" t="str">
        <f>IFERROR(__xludf.DUMMYFUNCTION("IFERROR(IF(F1372=""Crypto"",B1372,(IF(ISBLANK(D1372),"""",IF(D1372=""Cash"",B1372,IF(GOOGLEFINANCE(D1372,""CURRENCY"")=""GBX"",""GBP"",GOOGLEFINANCE(D1372,""CURRENCY"")))))),B1372)"),"")</f>
        <v/>
      </c>
      <c r="R1372" s="263" t="str">
        <f>IFERROR(__xludf.DUMMYFUNCTION("IF(ISBLANK(A1372),"""",IFERROR(IF(OR(Q1372=""GPB"",Q1372=""ZAR""),IF(Q1372=Dashboard!$L$1,K1372,(K1372*GOOGLEFINANCE(""CURRENCY:""&amp;Q1372&amp;""""&amp;Dashboard!$L$1&amp;""""))/100),IF(Q1372=Dashboard!$L$1,K1372,K1372*GOOGLEFINANCE(""CURRENCY:""&amp;Q1372&amp;""""&amp;Dashboard!$"&amp;"L$1&amp;""""))),K1372))"),"")</f>
        <v/>
      </c>
      <c r="S1372" s="266" t="str">
        <f>IFERROR(__xludf.DUMMYFUNCTION("IF(ISBLANK(A1372),"""",IFERROR(IF(OR(Q1372=""GPB"",Q1372=""ZAR""),IF(Q1372=Dashboard!$L$1,M1372,(M1372*GOOGLEFINANCE(""CURRENCY:""&amp;Q1372&amp;""""&amp;Dashboard!$L$1&amp;""""))/100),IF(Q1372=Dashboard!$L$1,M1372,M1372*GOOGLEFINANCE(""CURRENCY:""&amp;Q1372&amp;""""&amp;Dashboard!$"&amp;"L$1&amp;""""))),M1372))"),"")</f>
        <v/>
      </c>
      <c r="T1372" s="264" t="str">
        <f t="shared" si="4"/>
        <v/>
      </c>
      <c r="U1372" s="264" t="str">
        <f t="shared" si="5"/>
        <v/>
      </c>
      <c r="V1372" s="264" t="str">
        <f t="shared" si="6"/>
        <v/>
      </c>
      <c r="W1372" s="267" t="str">
        <f t="shared" si="8"/>
        <v/>
      </c>
      <c r="X1372" s="264" t="str">
        <f t="shared" si="7"/>
        <v/>
      </c>
    </row>
    <row r="1373" ht="15.75" customHeight="1">
      <c r="A1373" s="258"/>
      <c r="B1373" s="258"/>
      <c r="C1373" s="269"/>
      <c r="D1373" s="258"/>
      <c r="E1373" s="258"/>
      <c r="F1373" s="258"/>
      <c r="G1373" s="258"/>
      <c r="H1373" s="271"/>
      <c r="I1373" s="258"/>
      <c r="J1373" s="272"/>
      <c r="K1373" s="260"/>
      <c r="L1373" s="261"/>
      <c r="M1373" s="262" t="str">
        <f t="shared" si="1"/>
        <v/>
      </c>
      <c r="N1373" s="263" t="str">
        <f t="shared" si="2"/>
        <v/>
      </c>
      <c r="O1373" s="264" t="str">
        <f t="shared" si="3"/>
        <v/>
      </c>
      <c r="P1373" s="265" t="str">
        <f>IFERROR(__xludf.DUMMYFUNCTION("IF(ISBLANK(A1373),"""",IFERROR(IF(H1373=""Sell"",VLOOKUP(9^99,FILTER({ROW(P$2:P1372),P$2:P1372},D$2:D1372=D1373),2),(VLOOKUP(9^99,FILTER({ROW(P$2:P1372),P$2:P1372},D$2:D1372=D1373),2)*VLOOKUP(9^99,FILTER({ROW(O$2:O1372),O$2:O1372},D$2:D1372=D1373),2)-N137"&amp;"3)/O1373),J1373))"),"")</f>
        <v/>
      </c>
      <c r="Q1373" s="264" t="str">
        <f>IFERROR(__xludf.DUMMYFUNCTION("IFERROR(IF(F1373=""Crypto"",B1373,(IF(ISBLANK(D1373),"""",IF(D1373=""Cash"",B1373,IF(GOOGLEFINANCE(D1373,""CURRENCY"")=""GBX"",""GBP"",GOOGLEFINANCE(D1373,""CURRENCY"")))))),B1373)"),"")</f>
        <v/>
      </c>
      <c r="R1373" s="263" t="str">
        <f>IFERROR(__xludf.DUMMYFUNCTION("IF(ISBLANK(A1373),"""",IFERROR(IF(OR(Q1373=""GPB"",Q1373=""ZAR""),IF(Q1373=Dashboard!$L$1,K1373,(K1373*GOOGLEFINANCE(""CURRENCY:""&amp;Q1373&amp;""""&amp;Dashboard!$L$1&amp;""""))/100),IF(Q1373=Dashboard!$L$1,K1373,K1373*GOOGLEFINANCE(""CURRENCY:""&amp;Q1373&amp;""""&amp;Dashboard!$"&amp;"L$1&amp;""""))),K1373))"),"")</f>
        <v/>
      </c>
      <c r="S1373" s="266" t="str">
        <f>IFERROR(__xludf.DUMMYFUNCTION("IF(ISBLANK(A1373),"""",IFERROR(IF(OR(Q1373=""GPB"",Q1373=""ZAR""),IF(Q1373=Dashboard!$L$1,M1373,(M1373*GOOGLEFINANCE(""CURRENCY:""&amp;Q1373&amp;""""&amp;Dashboard!$L$1&amp;""""))/100),IF(Q1373=Dashboard!$L$1,M1373,M1373*GOOGLEFINANCE(""CURRENCY:""&amp;Q1373&amp;""""&amp;Dashboard!$"&amp;"L$1&amp;""""))),M1373))"),"")</f>
        <v/>
      </c>
      <c r="T1373" s="264" t="str">
        <f t="shared" si="4"/>
        <v/>
      </c>
      <c r="U1373" s="264" t="str">
        <f t="shared" si="5"/>
        <v/>
      </c>
      <c r="V1373" s="264" t="str">
        <f t="shared" si="6"/>
        <v/>
      </c>
      <c r="W1373" s="267" t="str">
        <f t="shared" si="8"/>
        <v/>
      </c>
      <c r="X1373" s="264" t="str">
        <f t="shared" si="7"/>
        <v/>
      </c>
    </row>
    <row r="1374" ht="15.75" customHeight="1">
      <c r="A1374" s="258"/>
      <c r="B1374" s="258"/>
      <c r="C1374" s="269"/>
      <c r="D1374" s="258"/>
      <c r="E1374" s="258"/>
      <c r="F1374" s="258"/>
      <c r="G1374" s="258"/>
      <c r="H1374" s="271"/>
      <c r="I1374" s="258"/>
      <c r="J1374" s="272"/>
      <c r="K1374" s="260"/>
      <c r="L1374" s="261"/>
      <c r="M1374" s="262" t="str">
        <f t="shared" si="1"/>
        <v/>
      </c>
      <c r="N1374" s="263" t="str">
        <f t="shared" si="2"/>
        <v/>
      </c>
      <c r="O1374" s="264" t="str">
        <f t="shared" si="3"/>
        <v/>
      </c>
      <c r="P1374" s="265" t="str">
        <f>IFERROR(__xludf.DUMMYFUNCTION("IF(ISBLANK(A1374),"""",IFERROR(IF(H1374=""Sell"",VLOOKUP(9^99,FILTER({ROW(P$2:P1373),P$2:P1373},D$2:D1373=D1374),2),(VLOOKUP(9^99,FILTER({ROW(P$2:P1373),P$2:P1373},D$2:D1373=D1374),2)*VLOOKUP(9^99,FILTER({ROW(O$2:O1373),O$2:O1373},D$2:D1373=D1374),2)-N137"&amp;"4)/O1374),J1374))"),"")</f>
        <v/>
      </c>
      <c r="Q1374" s="264" t="str">
        <f>IFERROR(__xludf.DUMMYFUNCTION("IFERROR(IF(F1374=""Crypto"",B1374,(IF(ISBLANK(D1374),"""",IF(D1374=""Cash"",B1374,IF(GOOGLEFINANCE(D1374,""CURRENCY"")=""GBX"",""GBP"",GOOGLEFINANCE(D1374,""CURRENCY"")))))),B1374)"),"")</f>
        <v/>
      </c>
      <c r="R1374" s="263" t="str">
        <f>IFERROR(__xludf.DUMMYFUNCTION("IF(ISBLANK(A1374),"""",IFERROR(IF(OR(Q1374=""GPB"",Q1374=""ZAR""),IF(Q1374=Dashboard!$L$1,K1374,(K1374*GOOGLEFINANCE(""CURRENCY:""&amp;Q1374&amp;""""&amp;Dashboard!$L$1&amp;""""))/100),IF(Q1374=Dashboard!$L$1,K1374,K1374*GOOGLEFINANCE(""CURRENCY:""&amp;Q1374&amp;""""&amp;Dashboard!$"&amp;"L$1&amp;""""))),K1374))"),"")</f>
        <v/>
      </c>
      <c r="S1374" s="266" t="str">
        <f>IFERROR(__xludf.DUMMYFUNCTION("IF(ISBLANK(A1374),"""",IFERROR(IF(OR(Q1374=""GPB"",Q1374=""ZAR""),IF(Q1374=Dashboard!$L$1,M1374,(M1374*GOOGLEFINANCE(""CURRENCY:""&amp;Q1374&amp;""""&amp;Dashboard!$L$1&amp;""""))/100),IF(Q1374=Dashboard!$L$1,M1374,M1374*GOOGLEFINANCE(""CURRENCY:""&amp;Q1374&amp;""""&amp;Dashboard!$"&amp;"L$1&amp;""""))),M1374))"),"")</f>
        <v/>
      </c>
      <c r="T1374" s="264" t="str">
        <f t="shared" si="4"/>
        <v/>
      </c>
      <c r="U1374" s="264" t="str">
        <f t="shared" si="5"/>
        <v/>
      </c>
      <c r="V1374" s="264" t="str">
        <f t="shared" si="6"/>
        <v/>
      </c>
      <c r="W1374" s="267" t="str">
        <f t="shared" si="8"/>
        <v/>
      </c>
      <c r="X1374" s="264" t="str">
        <f t="shared" si="7"/>
        <v/>
      </c>
    </row>
    <row r="1375" ht="15.75" customHeight="1">
      <c r="A1375" s="258"/>
      <c r="B1375" s="258"/>
      <c r="C1375" s="269"/>
      <c r="D1375" s="258"/>
      <c r="E1375" s="258"/>
      <c r="F1375" s="258"/>
      <c r="G1375" s="258"/>
      <c r="H1375" s="271"/>
      <c r="I1375" s="258"/>
      <c r="J1375" s="272"/>
      <c r="K1375" s="260"/>
      <c r="L1375" s="261"/>
      <c r="M1375" s="262" t="str">
        <f t="shared" si="1"/>
        <v/>
      </c>
      <c r="N1375" s="263" t="str">
        <f t="shared" si="2"/>
        <v/>
      </c>
      <c r="O1375" s="264" t="str">
        <f t="shared" si="3"/>
        <v/>
      </c>
      <c r="P1375" s="265" t="str">
        <f>IFERROR(__xludf.DUMMYFUNCTION("IF(ISBLANK(A1375),"""",IFERROR(IF(H1375=""Sell"",VLOOKUP(9^99,FILTER({ROW(P$2:P1374),P$2:P1374},D$2:D1374=D1375),2),(VLOOKUP(9^99,FILTER({ROW(P$2:P1374),P$2:P1374},D$2:D1374=D1375),2)*VLOOKUP(9^99,FILTER({ROW(O$2:O1374),O$2:O1374},D$2:D1374=D1375),2)-N137"&amp;"5)/O1375),J1375))"),"")</f>
        <v/>
      </c>
      <c r="Q1375" s="264" t="str">
        <f>IFERROR(__xludf.DUMMYFUNCTION("IFERROR(IF(F1375=""Crypto"",B1375,(IF(ISBLANK(D1375),"""",IF(D1375=""Cash"",B1375,IF(GOOGLEFINANCE(D1375,""CURRENCY"")=""GBX"",""GBP"",GOOGLEFINANCE(D1375,""CURRENCY"")))))),B1375)"),"")</f>
        <v/>
      </c>
      <c r="R1375" s="263" t="str">
        <f>IFERROR(__xludf.DUMMYFUNCTION("IF(ISBLANK(A1375),"""",IFERROR(IF(OR(Q1375=""GPB"",Q1375=""ZAR""),IF(Q1375=Dashboard!$L$1,K1375,(K1375*GOOGLEFINANCE(""CURRENCY:""&amp;Q1375&amp;""""&amp;Dashboard!$L$1&amp;""""))/100),IF(Q1375=Dashboard!$L$1,K1375,K1375*GOOGLEFINANCE(""CURRENCY:""&amp;Q1375&amp;""""&amp;Dashboard!$"&amp;"L$1&amp;""""))),K1375))"),"")</f>
        <v/>
      </c>
      <c r="S1375" s="266" t="str">
        <f>IFERROR(__xludf.DUMMYFUNCTION("IF(ISBLANK(A1375),"""",IFERROR(IF(OR(Q1375=""GPB"",Q1375=""ZAR""),IF(Q1375=Dashboard!$L$1,M1375,(M1375*GOOGLEFINANCE(""CURRENCY:""&amp;Q1375&amp;""""&amp;Dashboard!$L$1&amp;""""))/100),IF(Q1375=Dashboard!$L$1,M1375,M1375*GOOGLEFINANCE(""CURRENCY:""&amp;Q1375&amp;""""&amp;Dashboard!$"&amp;"L$1&amp;""""))),M1375))"),"")</f>
        <v/>
      </c>
      <c r="T1375" s="264" t="str">
        <f t="shared" si="4"/>
        <v/>
      </c>
      <c r="U1375" s="264" t="str">
        <f t="shared" si="5"/>
        <v/>
      </c>
      <c r="V1375" s="264" t="str">
        <f t="shared" si="6"/>
        <v/>
      </c>
      <c r="W1375" s="267" t="str">
        <f t="shared" si="8"/>
        <v/>
      </c>
      <c r="X1375" s="264" t="str">
        <f t="shared" si="7"/>
        <v/>
      </c>
    </row>
    <row r="1376" ht="15.75" customHeight="1">
      <c r="A1376" s="258"/>
      <c r="B1376" s="258"/>
      <c r="C1376" s="269"/>
      <c r="D1376" s="258"/>
      <c r="E1376" s="258"/>
      <c r="F1376" s="258"/>
      <c r="G1376" s="258"/>
      <c r="H1376" s="271"/>
      <c r="I1376" s="258"/>
      <c r="J1376" s="272"/>
      <c r="K1376" s="260"/>
      <c r="L1376" s="261"/>
      <c r="M1376" s="262" t="str">
        <f t="shared" si="1"/>
        <v/>
      </c>
      <c r="N1376" s="263" t="str">
        <f t="shared" si="2"/>
        <v/>
      </c>
      <c r="O1376" s="264" t="str">
        <f t="shared" si="3"/>
        <v/>
      </c>
      <c r="P1376" s="265" t="str">
        <f>IFERROR(__xludf.DUMMYFUNCTION("IF(ISBLANK(A1376),"""",IFERROR(IF(H1376=""Sell"",VLOOKUP(9^99,FILTER({ROW(P$2:P1375),P$2:P1375},D$2:D1375=D1376),2),(VLOOKUP(9^99,FILTER({ROW(P$2:P1375),P$2:P1375},D$2:D1375=D1376),2)*VLOOKUP(9^99,FILTER({ROW(O$2:O1375),O$2:O1375},D$2:D1375=D1376),2)-N137"&amp;"6)/O1376),J1376))"),"")</f>
        <v/>
      </c>
      <c r="Q1376" s="264" t="str">
        <f>IFERROR(__xludf.DUMMYFUNCTION("IFERROR(IF(F1376=""Crypto"",B1376,(IF(ISBLANK(D1376),"""",IF(D1376=""Cash"",B1376,IF(GOOGLEFINANCE(D1376,""CURRENCY"")=""GBX"",""GBP"",GOOGLEFINANCE(D1376,""CURRENCY"")))))),B1376)"),"")</f>
        <v/>
      </c>
      <c r="R1376" s="263" t="str">
        <f>IFERROR(__xludf.DUMMYFUNCTION("IF(ISBLANK(A1376),"""",IFERROR(IF(OR(Q1376=""GPB"",Q1376=""ZAR""),IF(Q1376=Dashboard!$L$1,K1376,(K1376*GOOGLEFINANCE(""CURRENCY:""&amp;Q1376&amp;""""&amp;Dashboard!$L$1&amp;""""))/100),IF(Q1376=Dashboard!$L$1,K1376,K1376*GOOGLEFINANCE(""CURRENCY:""&amp;Q1376&amp;""""&amp;Dashboard!$"&amp;"L$1&amp;""""))),K1376))"),"")</f>
        <v/>
      </c>
      <c r="S1376" s="266" t="str">
        <f>IFERROR(__xludf.DUMMYFUNCTION("IF(ISBLANK(A1376),"""",IFERROR(IF(OR(Q1376=""GPB"",Q1376=""ZAR""),IF(Q1376=Dashboard!$L$1,M1376,(M1376*GOOGLEFINANCE(""CURRENCY:""&amp;Q1376&amp;""""&amp;Dashboard!$L$1&amp;""""))/100),IF(Q1376=Dashboard!$L$1,M1376,M1376*GOOGLEFINANCE(""CURRENCY:""&amp;Q1376&amp;""""&amp;Dashboard!$"&amp;"L$1&amp;""""))),M1376))"),"")</f>
        <v/>
      </c>
      <c r="T1376" s="264" t="str">
        <f t="shared" si="4"/>
        <v/>
      </c>
      <c r="U1376" s="264" t="str">
        <f t="shared" si="5"/>
        <v/>
      </c>
      <c r="V1376" s="264" t="str">
        <f t="shared" si="6"/>
        <v/>
      </c>
      <c r="W1376" s="267" t="str">
        <f t="shared" si="8"/>
        <v/>
      </c>
      <c r="X1376" s="264" t="str">
        <f t="shared" si="7"/>
        <v/>
      </c>
    </row>
    <row r="1377" ht="15.75" customHeight="1">
      <c r="A1377" s="258"/>
      <c r="B1377" s="258"/>
      <c r="C1377" s="269"/>
      <c r="D1377" s="258"/>
      <c r="E1377" s="258"/>
      <c r="F1377" s="258"/>
      <c r="G1377" s="258"/>
      <c r="H1377" s="271"/>
      <c r="I1377" s="258"/>
      <c r="J1377" s="272"/>
      <c r="K1377" s="260"/>
      <c r="L1377" s="261"/>
      <c r="M1377" s="262" t="str">
        <f t="shared" si="1"/>
        <v/>
      </c>
      <c r="N1377" s="263" t="str">
        <f t="shared" si="2"/>
        <v/>
      </c>
      <c r="O1377" s="264" t="str">
        <f t="shared" si="3"/>
        <v/>
      </c>
      <c r="P1377" s="265" t="str">
        <f>IFERROR(__xludf.DUMMYFUNCTION("IF(ISBLANK(A1377),"""",IFERROR(IF(H1377=""Sell"",VLOOKUP(9^99,FILTER({ROW(P$2:P1376),P$2:P1376},D$2:D1376=D1377),2),(VLOOKUP(9^99,FILTER({ROW(P$2:P1376),P$2:P1376},D$2:D1376=D1377),2)*VLOOKUP(9^99,FILTER({ROW(O$2:O1376),O$2:O1376},D$2:D1376=D1377),2)-N137"&amp;"7)/O1377),J1377))"),"")</f>
        <v/>
      </c>
      <c r="Q1377" s="264" t="str">
        <f>IFERROR(__xludf.DUMMYFUNCTION("IFERROR(IF(F1377=""Crypto"",B1377,(IF(ISBLANK(D1377),"""",IF(D1377=""Cash"",B1377,IF(GOOGLEFINANCE(D1377,""CURRENCY"")=""GBX"",""GBP"",GOOGLEFINANCE(D1377,""CURRENCY"")))))),B1377)"),"")</f>
        <v/>
      </c>
      <c r="R1377" s="263" t="str">
        <f>IFERROR(__xludf.DUMMYFUNCTION("IF(ISBLANK(A1377),"""",IFERROR(IF(OR(Q1377=""GPB"",Q1377=""ZAR""),IF(Q1377=Dashboard!$L$1,K1377,(K1377*GOOGLEFINANCE(""CURRENCY:""&amp;Q1377&amp;""""&amp;Dashboard!$L$1&amp;""""))/100),IF(Q1377=Dashboard!$L$1,K1377,K1377*GOOGLEFINANCE(""CURRENCY:""&amp;Q1377&amp;""""&amp;Dashboard!$"&amp;"L$1&amp;""""))),K1377))"),"")</f>
        <v/>
      </c>
      <c r="S1377" s="266" t="str">
        <f>IFERROR(__xludf.DUMMYFUNCTION("IF(ISBLANK(A1377),"""",IFERROR(IF(OR(Q1377=""GPB"",Q1377=""ZAR""),IF(Q1377=Dashboard!$L$1,M1377,(M1377*GOOGLEFINANCE(""CURRENCY:""&amp;Q1377&amp;""""&amp;Dashboard!$L$1&amp;""""))/100),IF(Q1377=Dashboard!$L$1,M1377,M1377*GOOGLEFINANCE(""CURRENCY:""&amp;Q1377&amp;""""&amp;Dashboard!$"&amp;"L$1&amp;""""))),M1377))"),"")</f>
        <v/>
      </c>
      <c r="T1377" s="264" t="str">
        <f t="shared" si="4"/>
        <v/>
      </c>
      <c r="U1377" s="264" t="str">
        <f t="shared" si="5"/>
        <v/>
      </c>
      <c r="V1377" s="264" t="str">
        <f t="shared" si="6"/>
        <v/>
      </c>
      <c r="W1377" s="267" t="str">
        <f t="shared" si="8"/>
        <v/>
      </c>
      <c r="X1377" s="264" t="str">
        <f t="shared" si="7"/>
        <v/>
      </c>
    </row>
    <row r="1378" ht="15.75" customHeight="1">
      <c r="A1378" s="258"/>
      <c r="B1378" s="258"/>
      <c r="C1378" s="269"/>
      <c r="D1378" s="258"/>
      <c r="E1378" s="258"/>
      <c r="F1378" s="258"/>
      <c r="G1378" s="258"/>
      <c r="H1378" s="271"/>
      <c r="I1378" s="258"/>
      <c r="J1378" s="272"/>
      <c r="K1378" s="260"/>
      <c r="L1378" s="261"/>
      <c r="M1378" s="262" t="str">
        <f t="shared" si="1"/>
        <v/>
      </c>
      <c r="N1378" s="263" t="str">
        <f t="shared" si="2"/>
        <v/>
      </c>
      <c r="O1378" s="264" t="str">
        <f t="shared" si="3"/>
        <v/>
      </c>
      <c r="P1378" s="265" t="str">
        <f>IFERROR(__xludf.DUMMYFUNCTION("IF(ISBLANK(A1378),"""",IFERROR(IF(H1378=""Sell"",VLOOKUP(9^99,FILTER({ROW(P$2:P1377),P$2:P1377},D$2:D1377=D1378),2),(VLOOKUP(9^99,FILTER({ROW(P$2:P1377),P$2:P1377},D$2:D1377=D1378),2)*VLOOKUP(9^99,FILTER({ROW(O$2:O1377),O$2:O1377},D$2:D1377=D1378),2)-N137"&amp;"8)/O1378),J1378))"),"")</f>
        <v/>
      </c>
      <c r="Q1378" s="264" t="str">
        <f>IFERROR(__xludf.DUMMYFUNCTION("IFERROR(IF(F1378=""Crypto"",B1378,(IF(ISBLANK(D1378),"""",IF(D1378=""Cash"",B1378,IF(GOOGLEFINANCE(D1378,""CURRENCY"")=""GBX"",""GBP"",GOOGLEFINANCE(D1378,""CURRENCY"")))))),B1378)"),"")</f>
        <v/>
      </c>
      <c r="R1378" s="263" t="str">
        <f>IFERROR(__xludf.DUMMYFUNCTION("IF(ISBLANK(A1378),"""",IFERROR(IF(OR(Q1378=""GPB"",Q1378=""ZAR""),IF(Q1378=Dashboard!$L$1,K1378,(K1378*GOOGLEFINANCE(""CURRENCY:""&amp;Q1378&amp;""""&amp;Dashboard!$L$1&amp;""""))/100),IF(Q1378=Dashboard!$L$1,K1378,K1378*GOOGLEFINANCE(""CURRENCY:""&amp;Q1378&amp;""""&amp;Dashboard!$"&amp;"L$1&amp;""""))),K1378))"),"")</f>
        <v/>
      </c>
      <c r="S1378" s="266" t="str">
        <f>IFERROR(__xludf.DUMMYFUNCTION("IF(ISBLANK(A1378),"""",IFERROR(IF(OR(Q1378=""GPB"",Q1378=""ZAR""),IF(Q1378=Dashboard!$L$1,M1378,(M1378*GOOGLEFINANCE(""CURRENCY:""&amp;Q1378&amp;""""&amp;Dashboard!$L$1&amp;""""))/100),IF(Q1378=Dashboard!$L$1,M1378,M1378*GOOGLEFINANCE(""CURRENCY:""&amp;Q1378&amp;""""&amp;Dashboard!$"&amp;"L$1&amp;""""))),M1378))"),"")</f>
        <v/>
      </c>
      <c r="T1378" s="264" t="str">
        <f t="shared" si="4"/>
        <v/>
      </c>
      <c r="U1378" s="264" t="str">
        <f t="shared" si="5"/>
        <v/>
      </c>
      <c r="V1378" s="264" t="str">
        <f t="shared" si="6"/>
        <v/>
      </c>
      <c r="W1378" s="267" t="str">
        <f t="shared" si="8"/>
        <v/>
      </c>
      <c r="X1378" s="264" t="str">
        <f t="shared" si="7"/>
        <v/>
      </c>
    </row>
    <row r="1379" ht="15.75" customHeight="1">
      <c r="A1379" s="258"/>
      <c r="B1379" s="258"/>
      <c r="C1379" s="269"/>
      <c r="D1379" s="258"/>
      <c r="E1379" s="258"/>
      <c r="F1379" s="258"/>
      <c r="G1379" s="258"/>
      <c r="H1379" s="271"/>
      <c r="I1379" s="258"/>
      <c r="J1379" s="272"/>
      <c r="K1379" s="260"/>
      <c r="L1379" s="261"/>
      <c r="M1379" s="262" t="str">
        <f t="shared" si="1"/>
        <v/>
      </c>
      <c r="N1379" s="263" t="str">
        <f t="shared" si="2"/>
        <v/>
      </c>
      <c r="O1379" s="264" t="str">
        <f t="shared" si="3"/>
        <v/>
      </c>
      <c r="P1379" s="265" t="str">
        <f>IFERROR(__xludf.DUMMYFUNCTION("IF(ISBLANK(A1379),"""",IFERROR(IF(H1379=""Sell"",VLOOKUP(9^99,FILTER({ROW(P$2:P1378),P$2:P1378},D$2:D1378=D1379),2),(VLOOKUP(9^99,FILTER({ROW(P$2:P1378),P$2:P1378},D$2:D1378=D1379),2)*VLOOKUP(9^99,FILTER({ROW(O$2:O1378),O$2:O1378},D$2:D1378=D1379),2)-N137"&amp;"9)/O1379),J1379))"),"")</f>
        <v/>
      </c>
      <c r="Q1379" s="264" t="str">
        <f>IFERROR(__xludf.DUMMYFUNCTION("IFERROR(IF(F1379=""Crypto"",B1379,(IF(ISBLANK(D1379),"""",IF(D1379=""Cash"",B1379,IF(GOOGLEFINANCE(D1379,""CURRENCY"")=""GBX"",""GBP"",GOOGLEFINANCE(D1379,""CURRENCY"")))))),B1379)"),"")</f>
        <v/>
      </c>
      <c r="R1379" s="263" t="str">
        <f>IFERROR(__xludf.DUMMYFUNCTION("IF(ISBLANK(A1379),"""",IFERROR(IF(OR(Q1379=""GPB"",Q1379=""ZAR""),IF(Q1379=Dashboard!$L$1,K1379,(K1379*GOOGLEFINANCE(""CURRENCY:""&amp;Q1379&amp;""""&amp;Dashboard!$L$1&amp;""""))/100),IF(Q1379=Dashboard!$L$1,K1379,K1379*GOOGLEFINANCE(""CURRENCY:""&amp;Q1379&amp;""""&amp;Dashboard!$"&amp;"L$1&amp;""""))),K1379))"),"")</f>
        <v/>
      </c>
      <c r="S1379" s="266" t="str">
        <f>IFERROR(__xludf.DUMMYFUNCTION("IF(ISBLANK(A1379),"""",IFERROR(IF(OR(Q1379=""GPB"",Q1379=""ZAR""),IF(Q1379=Dashboard!$L$1,M1379,(M1379*GOOGLEFINANCE(""CURRENCY:""&amp;Q1379&amp;""""&amp;Dashboard!$L$1&amp;""""))/100),IF(Q1379=Dashboard!$L$1,M1379,M1379*GOOGLEFINANCE(""CURRENCY:""&amp;Q1379&amp;""""&amp;Dashboard!$"&amp;"L$1&amp;""""))),M1379))"),"")</f>
        <v/>
      </c>
      <c r="T1379" s="264" t="str">
        <f t="shared" si="4"/>
        <v/>
      </c>
      <c r="U1379" s="264" t="str">
        <f t="shared" si="5"/>
        <v/>
      </c>
      <c r="V1379" s="264" t="str">
        <f t="shared" si="6"/>
        <v/>
      </c>
      <c r="W1379" s="267" t="str">
        <f t="shared" si="8"/>
        <v/>
      </c>
      <c r="X1379" s="264" t="str">
        <f t="shared" si="7"/>
        <v/>
      </c>
    </row>
    <row r="1380" ht="15.75" customHeight="1">
      <c r="A1380" s="258"/>
      <c r="B1380" s="258"/>
      <c r="C1380" s="269"/>
      <c r="D1380" s="258"/>
      <c r="E1380" s="258"/>
      <c r="F1380" s="258"/>
      <c r="G1380" s="258"/>
      <c r="H1380" s="271"/>
      <c r="I1380" s="258"/>
      <c r="J1380" s="272"/>
      <c r="K1380" s="260"/>
      <c r="L1380" s="261"/>
      <c r="M1380" s="262" t="str">
        <f t="shared" si="1"/>
        <v/>
      </c>
      <c r="N1380" s="263" t="str">
        <f t="shared" si="2"/>
        <v/>
      </c>
      <c r="O1380" s="264" t="str">
        <f t="shared" si="3"/>
        <v/>
      </c>
      <c r="P1380" s="265" t="str">
        <f>IFERROR(__xludf.DUMMYFUNCTION("IF(ISBLANK(A1380),"""",IFERROR(IF(H1380=""Sell"",VLOOKUP(9^99,FILTER({ROW(P$2:P1379),P$2:P1379},D$2:D1379=D1380),2),(VLOOKUP(9^99,FILTER({ROW(P$2:P1379),P$2:P1379},D$2:D1379=D1380),2)*VLOOKUP(9^99,FILTER({ROW(O$2:O1379),O$2:O1379},D$2:D1379=D1380),2)-N138"&amp;"0)/O1380),J1380))"),"")</f>
        <v/>
      </c>
      <c r="Q1380" s="264" t="str">
        <f>IFERROR(__xludf.DUMMYFUNCTION("IFERROR(IF(F1380=""Crypto"",B1380,(IF(ISBLANK(D1380),"""",IF(D1380=""Cash"",B1380,IF(GOOGLEFINANCE(D1380,""CURRENCY"")=""GBX"",""GBP"",GOOGLEFINANCE(D1380,""CURRENCY"")))))),B1380)"),"")</f>
        <v/>
      </c>
      <c r="R1380" s="263" t="str">
        <f>IFERROR(__xludf.DUMMYFUNCTION("IF(ISBLANK(A1380),"""",IFERROR(IF(OR(Q1380=""GPB"",Q1380=""ZAR""),IF(Q1380=Dashboard!$L$1,K1380,(K1380*GOOGLEFINANCE(""CURRENCY:""&amp;Q1380&amp;""""&amp;Dashboard!$L$1&amp;""""))/100),IF(Q1380=Dashboard!$L$1,K1380,K1380*GOOGLEFINANCE(""CURRENCY:""&amp;Q1380&amp;""""&amp;Dashboard!$"&amp;"L$1&amp;""""))),K1380))"),"")</f>
        <v/>
      </c>
      <c r="S1380" s="266" t="str">
        <f>IFERROR(__xludf.DUMMYFUNCTION("IF(ISBLANK(A1380),"""",IFERROR(IF(OR(Q1380=""GPB"",Q1380=""ZAR""),IF(Q1380=Dashboard!$L$1,M1380,(M1380*GOOGLEFINANCE(""CURRENCY:""&amp;Q1380&amp;""""&amp;Dashboard!$L$1&amp;""""))/100),IF(Q1380=Dashboard!$L$1,M1380,M1380*GOOGLEFINANCE(""CURRENCY:""&amp;Q1380&amp;""""&amp;Dashboard!$"&amp;"L$1&amp;""""))),M1380))"),"")</f>
        <v/>
      </c>
      <c r="T1380" s="264" t="str">
        <f t="shared" si="4"/>
        <v/>
      </c>
      <c r="U1380" s="264" t="str">
        <f t="shared" si="5"/>
        <v/>
      </c>
      <c r="V1380" s="264" t="str">
        <f t="shared" si="6"/>
        <v/>
      </c>
      <c r="W1380" s="267" t="str">
        <f t="shared" si="8"/>
        <v/>
      </c>
      <c r="X1380" s="264" t="str">
        <f t="shared" si="7"/>
        <v/>
      </c>
    </row>
    <row r="1381" ht="15.75" customHeight="1">
      <c r="A1381" s="258"/>
      <c r="B1381" s="258"/>
      <c r="C1381" s="269"/>
      <c r="D1381" s="258"/>
      <c r="E1381" s="258"/>
      <c r="F1381" s="258"/>
      <c r="G1381" s="258"/>
      <c r="H1381" s="271"/>
      <c r="I1381" s="258"/>
      <c r="J1381" s="272"/>
      <c r="K1381" s="260"/>
      <c r="L1381" s="261"/>
      <c r="M1381" s="262" t="str">
        <f t="shared" si="1"/>
        <v/>
      </c>
      <c r="N1381" s="263" t="str">
        <f t="shared" si="2"/>
        <v/>
      </c>
      <c r="O1381" s="264" t="str">
        <f t="shared" si="3"/>
        <v/>
      </c>
      <c r="P1381" s="265" t="str">
        <f>IFERROR(__xludf.DUMMYFUNCTION("IF(ISBLANK(A1381),"""",IFERROR(IF(H1381=""Sell"",VLOOKUP(9^99,FILTER({ROW(P$2:P1380),P$2:P1380},D$2:D1380=D1381),2),(VLOOKUP(9^99,FILTER({ROW(P$2:P1380),P$2:P1380},D$2:D1380=D1381),2)*VLOOKUP(9^99,FILTER({ROW(O$2:O1380),O$2:O1380},D$2:D1380=D1381),2)-N138"&amp;"1)/O1381),J1381))"),"")</f>
        <v/>
      </c>
      <c r="Q1381" s="264" t="str">
        <f>IFERROR(__xludf.DUMMYFUNCTION("IFERROR(IF(F1381=""Crypto"",B1381,(IF(ISBLANK(D1381),"""",IF(D1381=""Cash"",B1381,IF(GOOGLEFINANCE(D1381,""CURRENCY"")=""GBX"",""GBP"",GOOGLEFINANCE(D1381,""CURRENCY"")))))),B1381)"),"")</f>
        <v/>
      </c>
      <c r="R1381" s="263" t="str">
        <f>IFERROR(__xludf.DUMMYFUNCTION("IF(ISBLANK(A1381),"""",IFERROR(IF(OR(Q1381=""GPB"",Q1381=""ZAR""),IF(Q1381=Dashboard!$L$1,K1381,(K1381*GOOGLEFINANCE(""CURRENCY:""&amp;Q1381&amp;""""&amp;Dashboard!$L$1&amp;""""))/100),IF(Q1381=Dashboard!$L$1,K1381,K1381*GOOGLEFINANCE(""CURRENCY:""&amp;Q1381&amp;""""&amp;Dashboard!$"&amp;"L$1&amp;""""))),K1381))"),"")</f>
        <v/>
      </c>
      <c r="S1381" s="266" t="str">
        <f>IFERROR(__xludf.DUMMYFUNCTION("IF(ISBLANK(A1381),"""",IFERROR(IF(OR(Q1381=""GPB"",Q1381=""ZAR""),IF(Q1381=Dashboard!$L$1,M1381,(M1381*GOOGLEFINANCE(""CURRENCY:""&amp;Q1381&amp;""""&amp;Dashboard!$L$1&amp;""""))/100),IF(Q1381=Dashboard!$L$1,M1381,M1381*GOOGLEFINANCE(""CURRENCY:""&amp;Q1381&amp;""""&amp;Dashboard!$"&amp;"L$1&amp;""""))),M1381))"),"")</f>
        <v/>
      </c>
      <c r="T1381" s="264" t="str">
        <f t="shared" si="4"/>
        <v/>
      </c>
      <c r="U1381" s="264" t="str">
        <f t="shared" si="5"/>
        <v/>
      </c>
      <c r="V1381" s="264" t="str">
        <f t="shared" si="6"/>
        <v/>
      </c>
      <c r="W1381" s="267" t="str">
        <f t="shared" si="8"/>
        <v/>
      </c>
      <c r="X1381" s="264" t="str">
        <f t="shared" si="7"/>
        <v/>
      </c>
    </row>
    <row r="1382" ht="15.75" customHeight="1">
      <c r="A1382" s="258"/>
      <c r="B1382" s="258"/>
      <c r="C1382" s="269"/>
      <c r="D1382" s="258"/>
      <c r="E1382" s="258"/>
      <c r="F1382" s="258"/>
      <c r="G1382" s="258"/>
      <c r="H1382" s="271"/>
      <c r="I1382" s="258"/>
      <c r="J1382" s="272"/>
      <c r="K1382" s="260"/>
      <c r="L1382" s="261"/>
      <c r="M1382" s="262" t="str">
        <f t="shared" si="1"/>
        <v/>
      </c>
      <c r="N1382" s="263" t="str">
        <f t="shared" si="2"/>
        <v/>
      </c>
      <c r="O1382" s="264" t="str">
        <f t="shared" si="3"/>
        <v/>
      </c>
      <c r="P1382" s="265" t="str">
        <f>IFERROR(__xludf.DUMMYFUNCTION("IF(ISBLANK(A1382),"""",IFERROR(IF(H1382=""Sell"",VLOOKUP(9^99,FILTER({ROW(P$2:P1381),P$2:P1381},D$2:D1381=D1382),2),(VLOOKUP(9^99,FILTER({ROW(P$2:P1381),P$2:P1381},D$2:D1381=D1382),2)*VLOOKUP(9^99,FILTER({ROW(O$2:O1381),O$2:O1381},D$2:D1381=D1382),2)-N138"&amp;"2)/O1382),J1382))"),"")</f>
        <v/>
      </c>
      <c r="Q1382" s="264" t="str">
        <f>IFERROR(__xludf.DUMMYFUNCTION("IFERROR(IF(F1382=""Crypto"",B1382,(IF(ISBLANK(D1382),"""",IF(D1382=""Cash"",B1382,IF(GOOGLEFINANCE(D1382,""CURRENCY"")=""GBX"",""GBP"",GOOGLEFINANCE(D1382,""CURRENCY"")))))),B1382)"),"")</f>
        <v/>
      </c>
      <c r="R1382" s="263" t="str">
        <f>IFERROR(__xludf.DUMMYFUNCTION("IF(ISBLANK(A1382),"""",IFERROR(IF(OR(Q1382=""GPB"",Q1382=""ZAR""),IF(Q1382=Dashboard!$L$1,K1382,(K1382*GOOGLEFINANCE(""CURRENCY:""&amp;Q1382&amp;""""&amp;Dashboard!$L$1&amp;""""))/100),IF(Q1382=Dashboard!$L$1,K1382,K1382*GOOGLEFINANCE(""CURRENCY:""&amp;Q1382&amp;""""&amp;Dashboard!$"&amp;"L$1&amp;""""))),K1382))"),"")</f>
        <v/>
      </c>
      <c r="S1382" s="266" t="str">
        <f>IFERROR(__xludf.DUMMYFUNCTION("IF(ISBLANK(A1382),"""",IFERROR(IF(OR(Q1382=""GPB"",Q1382=""ZAR""),IF(Q1382=Dashboard!$L$1,M1382,(M1382*GOOGLEFINANCE(""CURRENCY:""&amp;Q1382&amp;""""&amp;Dashboard!$L$1&amp;""""))/100),IF(Q1382=Dashboard!$L$1,M1382,M1382*GOOGLEFINANCE(""CURRENCY:""&amp;Q1382&amp;""""&amp;Dashboard!$"&amp;"L$1&amp;""""))),M1382))"),"")</f>
        <v/>
      </c>
      <c r="T1382" s="264" t="str">
        <f t="shared" si="4"/>
        <v/>
      </c>
      <c r="U1382" s="264" t="str">
        <f t="shared" si="5"/>
        <v/>
      </c>
      <c r="V1382" s="264" t="str">
        <f t="shared" si="6"/>
        <v/>
      </c>
      <c r="W1382" s="267" t="str">
        <f t="shared" si="8"/>
        <v/>
      </c>
      <c r="X1382" s="264" t="str">
        <f t="shared" si="7"/>
        <v/>
      </c>
    </row>
    <row r="1383" ht="15.75" customHeight="1">
      <c r="A1383" s="258"/>
      <c r="B1383" s="258"/>
      <c r="C1383" s="269"/>
      <c r="D1383" s="258"/>
      <c r="E1383" s="258"/>
      <c r="F1383" s="258"/>
      <c r="G1383" s="258"/>
      <c r="H1383" s="271"/>
      <c r="I1383" s="258"/>
      <c r="J1383" s="272"/>
      <c r="K1383" s="260"/>
      <c r="L1383" s="261"/>
      <c r="M1383" s="262" t="str">
        <f t="shared" si="1"/>
        <v/>
      </c>
      <c r="N1383" s="263" t="str">
        <f t="shared" si="2"/>
        <v/>
      </c>
      <c r="O1383" s="264" t="str">
        <f t="shared" si="3"/>
        <v/>
      </c>
      <c r="P1383" s="265" t="str">
        <f>IFERROR(__xludf.DUMMYFUNCTION("IF(ISBLANK(A1383),"""",IFERROR(IF(H1383=""Sell"",VLOOKUP(9^99,FILTER({ROW(P$2:P1382),P$2:P1382},D$2:D1382=D1383),2),(VLOOKUP(9^99,FILTER({ROW(P$2:P1382),P$2:P1382},D$2:D1382=D1383),2)*VLOOKUP(9^99,FILTER({ROW(O$2:O1382),O$2:O1382},D$2:D1382=D1383),2)-N138"&amp;"3)/O1383),J1383))"),"")</f>
        <v/>
      </c>
      <c r="Q1383" s="264" t="str">
        <f>IFERROR(__xludf.DUMMYFUNCTION("IFERROR(IF(F1383=""Crypto"",B1383,(IF(ISBLANK(D1383),"""",IF(D1383=""Cash"",B1383,IF(GOOGLEFINANCE(D1383,""CURRENCY"")=""GBX"",""GBP"",GOOGLEFINANCE(D1383,""CURRENCY"")))))),B1383)"),"")</f>
        <v/>
      </c>
      <c r="R1383" s="263" t="str">
        <f>IFERROR(__xludf.DUMMYFUNCTION("IF(ISBLANK(A1383),"""",IFERROR(IF(OR(Q1383=""GPB"",Q1383=""ZAR""),IF(Q1383=Dashboard!$L$1,K1383,(K1383*GOOGLEFINANCE(""CURRENCY:""&amp;Q1383&amp;""""&amp;Dashboard!$L$1&amp;""""))/100),IF(Q1383=Dashboard!$L$1,K1383,K1383*GOOGLEFINANCE(""CURRENCY:""&amp;Q1383&amp;""""&amp;Dashboard!$"&amp;"L$1&amp;""""))),K1383))"),"")</f>
        <v/>
      </c>
      <c r="S1383" s="266" t="str">
        <f>IFERROR(__xludf.DUMMYFUNCTION("IF(ISBLANK(A1383),"""",IFERROR(IF(OR(Q1383=""GPB"",Q1383=""ZAR""),IF(Q1383=Dashboard!$L$1,M1383,(M1383*GOOGLEFINANCE(""CURRENCY:""&amp;Q1383&amp;""""&amp;Dashboard!$L$1&amp;""""))/100),IF(Q1383=Dashboard!$L$1,M1383,M1383*GOOGLEFINANCE(""CURRENCY:""&amp;Q1383&amp;""""&amp;Dashboard!$"&amp;"L$1&amp;""""))),M1383))"),"")</f>
        <v/>
      </c>
      <c r="T1383" s="264" t="str">
        <f t="shared" si="4"/>
        <v/>
      </c>
      <c r="U1383" s="264" t="str">
        <f t="shared" si="5"/>
        <v/>
      </c>
      <c r="V1383" s="264" t="str">
        <f t="shared" si="6"/>
        <v/>
      </c>
      <c r="W1383" s="267" t="str">
        <f t="shared" si="8"/>
        <v/>
      </c>
      <c r="X1383" s="264" t="str">
        <f t="shared" si="7"/>
        <v/>
      </c>
    </row>
    <row r="1384" ht="15.75" customHeight="1">
      <c r="A1384" s="258"/>
      <c r="B1384" s="258"/>
      <c r="C1384" s="269"/>
      <c r="D1384" s="258"/>
      <c r="E1384" s="258"/>
      <c r="F1384" s="258"/>
      <c r="G1384" s="258"/>
      <c r="H1384" s="271"/>
      <c r="I1384" s="258"/>
      <c r="J1384" s="272"/>
      <c r="K1384" s="260"/>
      <c r="L1384" s="261"/>
      <c r="M1384" s="262" t="str">
        <f t="shared" si="1"/>
        <v/>
      </c>
      <c r="N1384" s="263" t="str">
        <f t="shared" si="2"/>
        <v/>
      </c>
      <c r="O1384" s="264" t="str">
        <f t="shared" si="3"/>
        <v/>
      </c>
      <c r="P1384" s="265" t="str">
        <f>IFERROR(__xludf.DUMMYFUNCTION("IF(ISBLANK(A1384),"""",IFERROR(IF(H1384=""Sell"",VLOOKUP(9^99,FILTER({ROW(P$2:P1383),P$2:P1383},D$2:D1383=D1384),2),(VLOOKUP(9^99,FILTER({ROW(P$2:P1383),P$2:P1383},D$2:D1383=D1384),2)*VLOOKUP(9^99,FILTER({ROW(O$2:O1383),O$2:O1383},D$2:D1383=D1384),2)-N138"&amp;"4)/O1384),J1384))"),"")</f>
        <v/>
      </c>
      <c r="Q1384" s="264" t="str">
        <f>IFERROR(__xludf.DUMMYFUNCTION("IFERROR(IF(F1384=""Crypto"",B1384,(IF(ISBLANK(D1384),"""",IF(D1384=""Cash"",B1384,IF(GOOGLEFINANCE(D1384,""CURRENCY"")=""GBX"",""GBP"",GOOGLEFINANCE(D1384,""CURRENCY"")))))),B1384)"),"")</f>
        <v/>
      </c>
      <c r="R1384" s="263" t="str">
        <f>IFERROR(__xludf.DUMMYFUNCTION("IF(ISBLANK(A1384),"""",IFERROR(IF(OR(Q1384=""GPB"",Q1384=""ZAR""),IF(Q1384=Dashboard!$L$1,K1384,(K1384*GOOGLEFINANCE(""CURRENCY:""&amp;Q1384&amp;""""&amp;Dashboard!$L$1&amp;""""))/100),IF(Q1384=Dashboard!$L$1,K1384,K1384*GOOGLEFINANCE(""CURRENCY:""&amp;Q1384&amp;""""&amp;Dashboard!$"&amp;"L$1&amp;""""))),K1384))"),"")</f>
        <v/>
      </c>
      <c r="S1384" s="266" t="str">
        <f>IFERROR(__xludf.DUMMYFUNCTION("IF(ISBLANK(A1384),"""",IFERROR(IF(OR(Q1384=""GPB"",Q1384=""ZAR""),IF(Q1384=Dashboard!$L$1,M1384,(M1384*GOOGLEFINANCE(""CURRENCY:""&amp;Q1384&amp;""""&amp;Dashboard!$L$1&amp;""""))/100),IF(Q1384=Dashboard!$L$1,M1384,M1384*GOOGLEFINANCE(""CURRENCY:""&amp;Q1384&amp;""""&amp;Dashboard!$"&amp;"L$1&amp;""""))),M1384))"),"")</f>
        <v/>
      </c>
      <c r="T1384" s="264" t="str">
        <f t="shared" si="4"/>
        <v/>
      </c>
      <c r="U1384" s="264" t="str">
        <f t="shared" si="5"/>
        <v/>
      </c>
      <c r="V1384" s="264" t="str">
        <f t="shared" si="6"/>
        <v/>
      </c>
      <c r="W1384" s="267" t="str">
        <f t="shared" si="8"/>
        <v/>
      </c>
      <c r="X1384" s="264" t="str">
        <f t="shared" si="7"/>
        <v/>
      </c>
    </row>
    <row r="1385" ht="15.75" customHeight="1">
      <c r="A1385" s="258"/>
      <c r="B1385" s="258"/>
      <c r="C1385" s="269"/>
      <c r="D1385" s="258"/>
      <c r="E1385" s="258"/>
      <c r="F1385" s="258"/>
      <c r="G1385" s="258"/>
      <c r="H1385" s="271"/>
      <c r="I1385" s="258"/>
      <c r="J1385" s="272"/>
      <c r="K1385" s="260"/>
      <c r="L1385" s="261"/>
      <c r="M1385" s="262" t="str">
        <f t="shared" si="1"/>
        <v/>
      </c>
      <c r="N1385" s="263" t="str">
        <f t="shared" si="2"/>
        <v/>
      </c>
      <c r="O1385" s="264" t="str">
        <f t="shared" si="3"/>
        <v/>
      </c>
      <c r="P1385" s="265" t="str">
        <f>IFERROR(__xludf.DUMMYFUNCTION("IF(ISBLANK(A1385),"""",IFERROR(IF(H1385=""Sell"",VLOOKUP(9^99,FILTER({ROW(P$2:P1384),P$2:P1384},D$2:D1384=D1385),2),(VLOOKUP(9^99,FILTER({ROW(P$2:P1384),P$2:P1384},D$2:D1384=D1385),2)*VLOOKUP(9^99,FILTER({ROW(O$2:O1384),O$2:O1384},D$2:D1384=D1385),2)-N138"&amp;"5)/O1385),J1385))"),"")</f>
        <v/>
      </c>
      <c r="Q1385" s="264" t="str">
        <f>IFERROR(__xludf.DUMMYFUNCTION("IFERROR(IF(F1385=""Crypto"",B1385,(IF(ISBLANK(D1385),"""",IF(D1385=""Cash"",B1385,IF(GOOGLEFINANCE(D1385,""CURRENCY"")=""GBX"",""GBP"",GOOGLEFINANCE(D1385,""CURRENCY"")))))),B1385)"),"")</f>
        <v/>
      </c>
      <c r="R1385" s="263" t="str">
        <f>IFERROR(__xludf.DUMMYFUNCTION("IF(ISBLANK(A1385),"""",IFERROR(IF(OR(Q1385=""GPB"",Q1385=""ZAR""),IF(Q1385=Dashboard!$L$1,K1385,(K1385*GOOGLEFINANCE(""CURRENCY:""&amp;Q1385&amp;""""&amp;Dashboard!$L$1&amp;""""))/100),IF(Q1385=Dashboard!$L$1,K1385,K1385*GOOGLEFINANCE(""CURRENCY:""&amp;Q1385&amp;""""&amp;Dashboard!$"&amp;"L$1&amp;""""))),K1385))"),"")</f>
        <v/>
      </c>
      <c r="S1385" s="266" t="str">
        <f>IFERROR(__xludf.DUMMYFUNCTION("IF(ISBLANK(A1385),"""",IFERROR(IF(OR(Q1385=""GPB"",Q1385=""ZAR""),IF(Q1385=Dashboard!$L$1,M1385,(M1385*GOOGLEFINANCE(""CURRENCY:""&amp;Q1385&amp;""""&amp;Dashboard!$L$1&amp;""""))/100),IF(Q1385=Dashboard!$L$1,M1385,M1385*GOOGLEFINANCE(""CURRENCY:""&amp;Q1385&amp;""""&amp;Dashboard!$"&amp;"L$1&amp;""""))),M1385))"),"")</f>
        <v/>
      </c>
      <c r="T1385" s="264" t="str">
        <f t="shared" si="4"/>
        <v/>
      </c>
      <c r="U1385" s="264" t="str">
        <f t="shared" si="5"/>
        <v/>
      </c>
      <c r="V1385" s="264" t="str">
        <f t="shared" si="6"/>
        <v/>
      </c>
      <c r="W1385" s="267" t="str">
        <f t="shared" si="8"/>
        <v/>
      </c>
      <c r="X1385" s="264" t="str">
        <f t="shared" si="7"/>
        <v/>
      </c>
    </row>
    <row r="1386" ht="15.75" customHeight="1">
      <c r="A1386" s="258"/>
      <c r="B1386" s="258"/>
      <c r="C1386" s="269"/>
      <c r="D1386" s="258"/>
      <c r="E1386" s="258"/>
      <c r="F1386" s="258"/>
      <c r="G1386" s="258"/>
      <c r="H1386" s="271"/>
      <c r="I1386" s="258"/>
      <c r="J1386" s="272"/>
      <c r="K1386" s="260"/>
      <c r="L1386" s="261"/>
      <c r="M1386" s="262" t="str">
        <f t="shared" si="1"/>
        <v/>
      </c>
      <c r="N1386" s="263" t="str">
        <f t="shared" si="2"/>
        <v/>
      </c>
      <c r="O1386" s="264" t="str">
        <f t="shared" si="3"/>
        <v/>
      </c>
      <c r="P1386" s="265" t="str">
        <f>IFERROR(__xludf.DUMMYFUNCTION("IF(ISBLANK(A1386),"""",IFERROR(IF(H1386=""Sell"",VLOOKUP(9^99,FILTER({ROW(P$2:P1385),P$2:P1385},D$2:D1385=D1386),2),(VLOOKUP(9^99,FILTER({ROW(P$2:P1385),P$2:P1385},D$2:D1385=D1386),2)*VLOOKUP(9^99,FILTER({ROW(O$2:O1385),O$2:O1385},D$2:D1385=D1386),2)-N138"&amp;"6)/O1386),J1386))"),"")</f>
        <v/>
      </c>
      <c r="Q1386" s="264" t="str">
        <f>IFERROR(__xludf.DUMMYFUNCTION("IFERROR(IF(F1386=""Crypto"",B1386,(IF(ISBLANK(D1386),"""",IF(D1386=""Cash"",B1386,IF(GOOGLEFINANCE(D1386,""CURRENCY"")=""GBX"",""GBP"",GOOGLEFINANCE(D1386,""CURRENCY"")))))),B1386)"),"")</f>
        <v/>
      </c>
      <c r="R1386" s="263" t="str">
        <f>IFERROR(__xludf.DUMMYFUNCTION("IF(ISBLANK(A1386),"""",IFERROR(IF(OR(Q1386=""GPB"",Q1386=""ZAR""),IF(Q1386=Dashboard!$L$1,K1386,(K1386*GOOGLEFINANCE(""CURRENCY:""&amp;Q1386&amp;""""&amp;Dashboard!$L$1&amp;""""))/100),IF(Q1386=Dashboard!$L$1,K1386,K1386*GOOGLEFINANCE(""CURRENCY:""&amp;Q1386&amp;""""&amp;Dashboard!$"&amp;"L$1&amp;""""))),K1386))"),"")</f>
        <v/>
      </c>
      <c r="S1386" s="266" t="str">
        <f>IFERROR(__xludf.DUMMYFUNCTION("IF(ISBLANK(A1386),"""",IFERROR(IF(OR(Q1386=""GPB"",Q1386=""ZAR""),IF(Q1386=Dashboard!$L$1,M1386,(M1386*GOOGLEFINANCE(""CURRENCY:""&amp;Q1386&amp;""""&amp;Dashboard!$L$1&amp;""""))/100),IF(Q1386=Dashboard!$L$1,M1386,M1386*GOOGLEFINANCE(""CURRENCY:""&amp;Q1386&amp;""""&amp;Dashboard!$"&amp;"L$1&amp;""""))),M1386))"),"")</f>
        <v/>
      </c>
      <c r="T1386" s="264" t="str">
        <f t="shared" si="4"/>
        <v/>
      </c>
      <c r="U1386" s="264" t="str">
        <f t="shared" si="5"/>
        <v/>
      </c>
      <c r="V1386" s="264" t="str">
        <f t="shared" si="6"/>
        <v/>
      </c>
      <c r="W1386" s="267" t="str">
        <f t="shared" si="8"/>
        <v/>
      </c>
      <c r="X1386" s="264" t="str">
        <f t="shared" si="7"/>
        <v/>
      </c>
    </row>
    <row r="1387" ht="15.75" customHeight="1">
      <c r="A1387" s="258"/>
      <c r="B1387" s="258"/>
      <c r="C1387" s="269"/>
      <c r="D1387" s="258"/>
      <c r="E1387" s="258"/>
      <c r="F1387" s="258"/>
      <c r="G1387" s="258"/>
      <c r="H1387" s="271"/>
      <c r="I1387" s="258"/>
      <c r="J1387" s="272"/>
      <c r="K1387" s="260"/>
      <c r="L1387" s="261"/>
      <c r="M1387" s="262" t="str">
        <f t="shared" si="1"/>
        <v/>
      </c>
      <c r="N1387" s="263" t="str">
        <f t="shared" si="2"/>
        <v/>
      </c>
      <c r="O1387" s="264" t="str">
        <f t="shared" si="3"/>
        <v/>
      </c>
      <c r="P1387" s="265" t="str">
        <f>IFERROR(__xludf.DUMMYFUNCTION("IF(ISBLANK(A1387),"""",IFERROR(IF(H1387=""Sell"",VLOOKUP(9^99,FILTER({ROW(P$2:P1386),P$2:P1386},D$2:D1386=D1387),2),(VLOOKUP(9^99,FILTER({ROW(P$2:P1386),P$2:P1386},D$2:D1386=D1387),2)*VLOOKUP(9^99,FILTER({ROW(O$2:O1386),O$2:O1386},D$2:D1386=D1387),2)-N138"&amp;"7)/O1387),J1387))"),"")</f>
        <v/>
      </c>
      <c r="Q1387" s="264" t="str">
        <f>IFERROR(__xludf.DUMMYFUNCTION("IFERROR(IF(F1387=""Crypto"",B1387,(IF(ISBLANK(D1387),"""",IF(D1387=""Cash"",B1387,IF(GOOGLEFINANCE(D1387,""CURRENCY"")=""GBX"",""GBP"",GOOGLEFINANCE(D1387,""CURRENCY"")))))),B1387)"),"")</f>
        <v/>
      </c>
      <c r="R1387" s="263" t="str">
        <f>IFERROR(__xludf.DUMMYFUNCTION("IF(ISBLANK(A1387),"""",IFERROR(IF(OR(Q1387=""GPB"",Q1387=""ZAR""),IF(Q1387=Dashboard!$L$1,K1387,(K1387*GOOGLEFINANCE(""CURRENCY:""&amp;Q1387&amp;""""&amp;Dashboard!$L$1&amp;""""))/100),IF(Q1387=Dashboard!$L$1,K1387,K1387*GOOGLEFINANCE(""CURRENCY:""&amp;Q1387&amp;""""&amp;Dashboard!$"&amp;"L$1&amp;""""))),K1387))"),"")</f>
        <v/>
      </c>
      <c r="S1387" s="266" t="str">
        <f>IFERROR(__xludf.DUMMYFUNCTION("IF(ISBLANK(A1387),"""",IFERROR(IF(OR(Q1387=""GPB"",Q1387=""ZAR""),IF(Q1387=Dashboard!$L$1,M1387,(M1387*GOOGLEFINANCE(""CURRENCY:""&amp;Q1387&amp;""""&amp;Dashboard!$L$1&amp;""""))/100),IF(Q1387=Dashboard!$L$1,M1387,M1387*GOOGLEFINANCE(""CURRENCY:""&amp;Q1387&amp;""""&amp;Dashboard!$"&amp;"L$1&amp;""""))),M1387))"),"")</f>
        <v/>
      </c>
      <c r="T1387" s="264" t="str">
        <f t="shared" si="4"/>
        <v/>
      </c>
      <c r="U1387" s="264" t="str">
        <f t="shared" si="5"/>
        <v/>
      </c>
      <c r="V1387" s="264" t="str">
        <f t="shared" si="6"/>
        <v/>
      </c>
      <c r="W1387" s="267" t="str">
        <f t="shared" si="8"/>
        <v/>
      </c>
      <c r="X1387" s="264" t="str">
        <f t="shared" si="7"/>
        <v/>
      </c>
    </row>
    <row r="1388" ht="15.75" customHeight="1">
      <c r="A1388" s="258"/>
      <c r="B1388" s="258"/>
      <c r="C1388" s="269"/>
      <c r="D1388" s="258"/>
      <c r="E1388" s="258"/>
      <c r="F1388" s="258"/>
      <c r="G1388" s="258"/>
      <c r="H1388" s="271"/>
      <c r="I1388" s="258"/>
      <c r="J1388" s="272"/>
      <c r="K1388" s="260"/>
      <c r="L1388" s="261"/>
      <c r="M1388" s="262" t="str">
        <f t="shared" si="1"/>
        <v/>
      </c>
      <c r="N1388" s="263" t="str">
        <f t="shared" si="2"/>
        <v/>
      </c>
      <c r="O1388" s="264" t="str">
        <f t="shared" si="3"/>
        <v/>
      </c>
      <c r="P1388" s="265" t="str">
        <f>IFERROR(__xludf.DUMMYFUNCTION("IF(ISBLANK(A1388),"""",IFERROR(IF(H1388=""Sell"",VLOOKUP(9^99,FILTER({ROW(P$2:P1387),P$2:P1387},D$2:D1387=D1388),2),(VLOOKUP(9^99,FILTER({ROW(P$2:P1387),P$2:P1387},D$2:D1387=D1388),2)*VLOOKUP(9^99,FILTER({ROW(O$2:O1387),O$2:O1387},D$2:D1387=D1388),2)-N138"&amp;"8)/O1388),J1388))"),"")</f>
        <v/>
      </c>
      <c r="Q1388" s="264" t="str">
        <f>IFERROR(__xludf.DUMMYFUNCTION("IFERROR(IF(F1388=""Crypto"",B1388,(IF(ISBLANK(D1388),"""",IF(D1388=""Cash"",B1388,IF(GOOGLEFINANCE(D1388,""CURRENCY"")=""GBX"",""GBP"",GOOGLEFINANCE(D1388,""CURRENCY"")))))),B1388)"),"")</f>
        <v/>
      </c>
      <c r="R1388" s="263" t="str">
        <f>IFERROR(__xludf.DUMMYFUNCTION("IF(ISBLANK(A1388),"""",IFERROR(IF(OR(Q1388=""GPB"",Q1388=""ZAR""),IF(Q1388=Dashboard!$L$1,K1388,(K1388*GOOGLEFINANCE(""CURRENCY:""&amp;Q1388&amp;""""&amp;Dashboard!$L$1&amp;""""))/100),IF(Q1388=Dashboard!$L$1,K1388,K1388*GOOGLEFINANCE(""CURRENCY:""&amp;Q1388&amp;""""&amp;Dashboard!$"&amp;"L$1&amp;""""))),K1388))"),"")</f>
        <v/>
      </c>
      <c r="S1388" s="266" t="str">
        <f>IFERROR(__xludf.DUMMYFUNCTION("IF(ISBLANK(A1388),"""",IFERROR(IF(OR(Q1388=""GPB"",Q1388=""ZAR""),IF(Q1388=Dashboard!$L$1,M1388,(M1388*GOOGLEFINANCE(""CURRENCY:""&amp;Q1388&amp;""""&amp;Dashboard!$L$1&amp;""""))/100),IF(Q1388=Dashboard!$L$1,M1388,M1388*GOOGLEFINANCE(""CURRENCY:""&amp;Q1388&amp;""""&amp;Dashboard!$"&amp;"L$1&amp;""""))),M1388))"),"")</f>
        <v/>
      </c>
      <c r="T1388" s="264" t="str">
        <f t="shared" si="4"/>
        <v/>
      </c>
      <c r="U1388" s="264" t="str">
        <f t="shared" si="5"/>
        <v/>
      </c>
      <c r="V1388" s="264" t="str">
        <f t="shared" si="6"/>
        <v/>
      </c>
      <c r="W1388" s="267" t="str">
        <f t="shared" si="8"/>
        <v/>
      </c>
      <c r="X1388" s="264" t="str">
        <f t="shared" si="7"/>
        <v/>
      </c>
    </row>
    <row r="1389" ht="15.75" customHeight="1">
      <c r="A1389" s="258"/>
      <c r="B1389" s="258"/>
      <c r="C1389" s="269"/>
      <c r="D1389" s="258"/>
      <c r="E1389" s="258"/>
      <c r="F1389" s="258"/>
      <c r="G1389" s="258"/>
      <c r="H1389" s="271"/>
      <c r="I1389" s="258"/>
      <c r="J1389" s="272"/>
      <c r="K1389" s="260"/>
      <c r="L1389" s="261"/>
      <c r="M1389" s="262" t="str">
        <f t="shared" si="1"/>
        <v/>
      </c>
      <c r="N1389" s="263" t="str">
        <f t="shared" si="2"/>
        <v/>
      </c>
      <c r="O1389" s="264" t="str">
        <f t="shared" si="3"/>
        <v/>
      </c>
      <c r="P1389" s="265" t="str">
        <f>IFERROR(__xludf.DUMMYFUNCTION("IF(ISBLANK(A1389),"""",IFERROR(IF(H1389=""Sell"",VLOOKUP(9^99,FILTER({ROW(P$2:P1388),P$2:P1388},D$2:D1388=D1389),2),(VLOOKUP(9^99,FILTER({ROW(P$2:P1388),P$2:P1388},D$2:D1388=D1389),2)*VLOOKUP(9^99,FILTER({ROW(O$2:O1388),O$2:O1388},D$2:D1388=D1389),2)-N138"&amp;"9)/O1389),J1389))"),"")</f>
        <v/>
      </c>
      <c r="Q1389" s="264" t="str">
        <f>IFERROR(__xludf.DUMMYFUNCTION("IFERROR(IF(F1389=""Crypto"",B1389,(IF(ISBLANK(D1389),"""",IF(D1389=""Cash"",B1389,IF(GOOGLEFINANCE(D1389,""CURRENCY"")=""GBX"",""GBP"",GOOGLEFINANCE(D1389,""CURRENCY"")))))),B1389)"),"")</f>
        <v/>
      </c>
      <c r="R1389" s="263" t="str">
        <f>IFERROR(__xludf.DUMMYFUNCTION("IF(ISBLANK(A1389),"""",IFERROR(IF(OR(Q1389=""GPB"",Q1389=""ZAR""),IF(Q1389=Dashboard!$L$1,K1389,(K1389*GOOGLEFINANCE(""CURRENCY:""&amp;Q1389&amp;""""&amp;Dashboard!$L$1&amp;""""))/100),IF(Q1389=Dashboard!$L$1,K1389,K1389*GOOGLEFINANCE(""CURRENCY:""&amp;Q1389&amp;""""&amp;Dashboard!$"&amp;"L$1&amp;""""))),K1389))"),"")</f>
        <v/>
      </c>
      <c r="S1389" s="266" t="str">
        <f>IFERROR(__xludf.DUMMYFUNCTION("IF(ISBLANK(A1389),"""",IFERROR(IF(OR(Q1389=""GPB"",Q1389=""ZAR""),IF(Q1389=Dashboard!$L$1,M1389,(M1389*GOOGLEFINANCE(""CURRENCY:""&amp;Q1389&amp;""""&amp;Dashboard!$L$1&amp;""""))/100),IF(Q1389=Dashboard!$L$1,M1389,M1389*GOOGLEFINANCE(""CURRENCY:""&amp;Q1389&amp;""""&amp;Dashboard!$"&amp;"L$1&amp;""""))),M1389))"),"")</f>
        <v/>
      </c>
      <c r="T1389" s="264" t="str">
        <f t="shared" si="4"/>
        <v/>
      </c>
      <c r="U1389" s="264" t="str">
        <f t="shared" si="5"/>
        <v/>
      </c>
      <c r="V1389" s="264" t="str">
        <f t="shared" si="6"/>
        <v/>
      </c>
      <c r="W1389" s="267" t="str">
        <f t="shared" si="8"/>
        <v/>
      </c>
      <c r="X1389" s="264" t="str">
        <f t="shared" si="7"/>
        <v/>
      </c>
    </row>
    <row r="1390" ht="15.75" customHeight="1">
      <c r="A1390" s="258"/>
      <c r="B1390" s="258"/>
      <c r="C1390" s="269"/>
      <c r="D1390" s="258"/>
      <c r="E1390" s="258"/>
      <c r="F1390" s="258"/>
      <c r="G1390" s="258"/>
      <c r="H1390" s="271"/>
      <c r="I1390" s="258"/>
      <c r="J1390" s="272"/>
      <c r="K1390" s="260"/>
      <c r="L1390" s="261"/>
      <c r="M1390" s="262" t="str">
        <f t="shared" si="1"/>
        <v/>
      </c>
      <c r="N1390" s="263" t="str">
        <f t="shared" si="2"/>
        <v/>
      </c>
      <c r="O1390" s="264" t="str">
        <f t="shared" si="3"/>
        <v/>
      </c>
      <c r="P1390" s="265" t="str">
        <f>IFERROR(__xludf.DUMMYFUNCTION("IF(ISBLANK(A1390),"""",IFERROR(IF(H1390=""Sell"",VLOOKUP(9^99,FILTER({ROW(P$2:P1389),P$2:P1389},D$2:D1389=D1390),2),(VLOOKUP(9^99,FILTER({ROW(P$2:P1389),P$2:P1389},D$2:D1389=D1390),2)*VLOOKUP(9^99,FILTER({ROW(O$2:O1389),O$2:O1389},D$2:D1389=D1390),2)-N139"&amp;"0)/O1390),J1390))"),"")</f>
        <v/>
      </c>
      <c r="Q1390" s="264" t="str">
        <f>IFERROR(__xludf.DUMMYFUNCTION("IFERROR(IF(F1390=""Crypto"",B1390,(IF(ISBLANK(D1390),"""",IF(D1390=""Cash"",B1390,IF(GOOGLEFINANCE(D1390,""CURRENCY"")=""GBX"",""GBP"",GOOGLEFINANCE(D1390,""CURRENCY"")))))),B1390)"),"")</f>
        <v/>
      </c>
      <c r="R1390" s="263" t="str">
        <f>IFERROR(__xludf.DUMMYFUNCTION("IF(ISBLANK(A1390),"""",IFERROR(IF(OR(Q1390=""GPB"",Q1390=""ZAR""),IF(Q1390=Dashboard!$L$1,K1390,(K1390*GOOGLEFINANCE(""CURRENCY:""&amp;Q1390&amp;""""&amp;Dashboard!$L$1&amp;""""))/100),IF(Q1390=Dashboard!$L$1,K1390,K1390*GOOGLEFINANCE(""CURRENCY:""&amp;Q1390&amp;""""&amp;Dashboard!$"&amp;"L$1&amp;""""))),K1390))"),"")</f>
        <v/>
      </c>
      <c r="S1390" s="266" t="str">
        <f>IFERROR(__xludf.DUMMYFUNCTION("IF(ISBLANK(A1390),"""",IFERROR(IF(OR(Q1390=""GPB"",Q1390=""ZAR""),IF(Q1390=Dashboard!$L$1,M1390,(M1390*GOOGLEFINANCE(""CURRENCY:""&amp;Q1390&amp;""""&amp;Dashboard!$L$1&amp;""""))/100),IF(Q1390=Dashboard!$L$1,M1390,M1390*GOOGLEFINANCE(""CURRENCY:""&amp;Q1390&amp;""""&amp;Dashboard!$"&amp;"L$1&amp;""""))),M1390))"),"")</f>
        <v/>
      </c>
      <c r="T1390" s="264" t="str">
        <f t="shared" si="4"/>
        <v/>
      </c>
      <c r="U1390" s="264" t="str">
        <f t="shared" si="5"/>
        <v/>
      </c>
      <c r="V1390" s="264" t="str">
        <f t="shared" si="6"/>
        <v/>
      </c>
      <c r="W1390" s="267" t="str">
        <f t="shared" si="8"/>
        <v/>
      </c>
      <c r="X1390" s="264" t="str">
        <f t="shared" si="7"/>
        <v/>
      </c>
    </row>
    <row r="1391" ht="15.75" customHeight="1">
      <c r="A1391" s="258"/>
      <c r="B1391" s="258"/>
      <c r="C1391" s="269"/>
      <c r="D1391" s="258"/>
      <c r="E1391" s="258"/>
      <c r="F1391" s="258"/>
      <c r="G1391" s="258"/>
      <c r="H1391" s="271"/>
      <c r="I1391" s="258"/>
      <c r="J1391" s="272"/>
      <c r="K1391" s="260"/>
      <c r="L1391" s="261"/>
      <c r="M1391" s="262" t="str">
        <f t="shared" si="1"/>
        <v/>
      </c>
      <c r="N1391" s="263" t="str">
        <f t="shared" si="2"/>
        <v/>
      </c>
      <c r="O1391" s="264" t="str">
        <f t="shared" si="3"/>
        <v/>
      </c>
      <c r="P1391" s="265" t="str">
        <f>IFERROR(__xludf.DUMMYFUNCTION("IF(ISBLANK(A1391),"""",IFERROR(IF(H1391=""Sell"",VLOOKUP(9^99,FILTER({ROW(P$2:P1390),P$2:P1390},D$2:D1390=D1391),2),(VLOOKUP(9^99,FILTER({ROW(P$2:P1390),P$2:P1390},D$2:D1390=D1391),2)*VLOOKUP(9^99,FILTER({ROW(O$2:O1390),O$2:O1390},D$2:D1390=D1391),2)-N139"&amp;"1)/O1391),J1391))"),"")</f>
        <v/>
      </c>
      <c r="Q1391" s="264" t="str">
        <f>IFERROR(__xludf.DUMMYFUNCTION("IFERROR(IF(F1391=""Crypto"",B1391,(IF(ISBLANK(D1391),"""",IF(D1391=""Cash"",B1391,IF(GOOGLEFINANCE(D1391,""CURRENCY"")=""GBX"",""GBP"",GOOGLEFINANCE(D1391,""CURRENCY"")))))),B1391)"),"")</f>
        <v/>
      </c>
      <c r="R1391" s="263" t="str">
        <f>IFERROR(__xludf.DUMMYFUNCTION("IF(ISBLANK(A1391),"""",IFERROR(IF(OR(Q1391=""GPB"",Q1391=""ZAR""),IF(Q1391=Dashboard!$L$1,K1391,(K1391*GOOGLEFINANCE(""CURRENCY:""&amp;Q1391&amp;""""&amp;Dashboard!$L$1&amp;""""))/100),IF(Q1391=Dashboard!$L$1,K1391,K1391*GOOGLEFINANCE(""CURRENCY:""&amp;Q1391&amp;""""&amp;Dashboard!$"&amp;"L$1&amp;""""))),K1391))"),"")</f>
        <v/>
      </c>
      <c r="S1391" s="266" t="str">
        <f>IFERROR(__xludf.DUMMYFUNCTION("IF(ISBLANK(A1391),"""",IFERROR(IF(OR(Q1391=""GPB"",Q1391=""ZAR""),IF(Q1391=Dashboard!$L$1,M1391,(M1391*GOOGLEFINANCE(""CURRENCY:""&amp;Q1391&amp;""""&amp;Dashboard!$L$1&amp;""""))/100),IF(Q1391=Dashboard!$L$1,M1391,M1391*GOOGLEFINANCE(""CURRENCY:""&amp;Q1391&amp;""""&amp;Dashboard!$"&amp;"L$1&amp;""""))),M1391))"),"")</f>
        <v/>
      </c>
      <c r="T1391" s="264" t="str">
        <f t="shared" si="4"/>
        <v/>
      </c>
      <c r="U1391" s="264" t="str">
        <f t="shared" si="5"/>
        <v/>
      </c>
      <c r="V1391" s="264" t="str">
        <f t="shared" si="6"/>
        <v/>
      </c>
      <c r="W1391" s="267" t="str">
        <f t="shared" si="8"/>
        <v/>
      </c>
      <c r="X1391" s="264" t="str">
        <f t="shared" si="7"/>
        <v/>
      </c>
    </row>
    <row r="1392" ht="15.75" customHeight="1">
      <c r="A1392" s="258"/>
      <c r="B1392" s="258"/>
      <c r="C1392" s="269"/>
      <c r="D1392" s="258"/>
      <c r="E1392" s="258"/>
      <c r="F1392" s="258"/>
      <c r="G1392" s="258"/>
      <c r="H1392" s="271"/>
      <c r="I1392" s="258"/>
      <c r="J1392" s="272"/>
      <c r="K1392" s="260"/>
      <c r="L1392" s="261"/>
      <c r="M1392" s="262" t="str">
        <f t="shared" si="1"/>
        <v/>
      </c>
      <c r="N1392" s="263" t="str">
        <f t="shared" si="2"/>
        <v/>
      </c>
      <c r="O1392" s="264" t="str">
        <f t="shared" si="3"/>
        <v/>
      </c>
      <c r="P1392" s="265" t="str">
        <f>IFERROR(__xludf.DUMMYFUNCTION("IF(ISBLANK(A1392),"""",IFERROR(IF(H1392=""Sell"",VLOOKUP(9^99,FILTER({ROW(P$2:P1391),P$2:P1391},D$2:D1391=D1392),2),(VLOOKUP(9^99,FILTER({ROW(P$2:P1391),P$2:P1391},D$2:D1391=D1392),2)*VLOOKUP(9^99,FILTER({ROW(O$2:O1391),O$2:O1391},D$2:D1391=D1392),2)-N139"&amp;"2)/O1392),J1392))"),"")</f>
        <v/>
      </c>
      <c r="Q1392" s="264" t="str">
        <f>IFERROR(__xludf.DUMMYFUNCTION("IFERROR(IF(F1392=""Crypto"",B1392,(IF(ISBLANK(D1392),"""",IF(D1392=""Cash"",B1392,IF(GOOGLEFINANCE(D1392,""CURRENCY"")=""GBX"",""GBP"",GOOGLEFINANCE(D1392,""CURRENCY"")))))),B1392)"),"")</f>
        <v/>
      </c>
      <c r="R1392" s="263" t="str">
        <f>IFERROR(__xludf.DUMMYFUNCTION("IF(ISBLANK(A1392),"""",IFERROR(IF(OR(Q1392=""GPB"",Q1392=""ZAR""),IF(Q1392=Dashboard!$L$1,K1392,(K1392*GOOGLEFINANCE(""CURRENCY:""&amp;Q1392&amp;""""&amp;Dashboard!$L$1&amp;""""))/100),IF(Q1392=Dashboard!$L$1,K1392,K1392*GOOGLEFINANCE(""CURRENCY:""&amp;Q1392&amp;""""&amp;Dashboard!$"&amp;"L$1&amp;""""))),K1392))"),"")</f>
        <v/>
      </c>
      <c r="S1392" s="266" t="str">
        <f>IFERROR(__xludf.DUMMYFUNCTION("IF(ISBLANK(A1392),"""",IFERROR(IF(OR(Q1392=""GPB"",Q1392=""ZAR""),IF(Q1392=Dashboard!$L$1,M1392,(M1392*GOOGLEFINANCE(""CURRENCY:""&amp;Q1392&amp;""""&amp;Dashboard!$L$1&amp;""""))/100),IF(Q1392=Dashboard!$L$1,M1392,M1392*GOOGLEFINANCE(""CURRENCY:""&amp;Q1392&amp;""""&amp;Dashboard!$"&amp;"L$1&amp;""""))),M1392))"),"")</f>
        <v/>
      </c>
      <c r="T1392" s="264" t="str">
        <f t="shared" si="4"/>
        <v/>
      </c>
      <c r="U1392" s="264" t="str">
        <f t="shared" si="5"/>
        <v/>
      </c>
      <c r="V1392" s="264" t="str">
        <f t="shared" si="6"/>
        <v/>
      </c>
      <c r="W1392" s="267" t="str">
        <f t="shared" si="8"/>
        <v/>
      </c>
      <c r="X1392" s="264" t="str">
        <f t="shared" si="7"/>
        <v/>
      </c>
    </row>
    <row r="1393" ht="15.75" customHeight="1">
      <c r="A1393" s="258"/>
      <c r="B1393" s="258"/>
      <c r="C1393" s="269"/>
      <c r="D1393" s="258"/>
      <c r="E1393" s="258"/>
      <c r="F1393" s="258"/>
      <c r="G1393" s="258"/>
      <c r="H1393" s="271"/>
      <c r="I1393" s="258"/>
      <c r="J1393" s="272"/>
      <c r="K1393" s="260"/>
      <c r="L1393" s="261"/>
      <c r="M1393" s="262" t="str">
        <f t="shared" si="1"/>
        <v/>
      </c>
      <c r="N1393" s="263" t="str">
        <f t="shared" si="2"/>
        <v/>
      </c>
      <c r="O1393" s="264" t="str">
        <f t="shared" si="3"/>
        <v/>
      </c>
      <c r="P1393" s="265" t="str">
        <f>IFERROR(__xludf.DUMMYFUNCTION("IF(ISBLANK(A1393),"""",IFERROR(IF(H1393=""Sell"",VLOOKUP(9^99,FILTER({ROW(P$2:P1392),P$2:P1392},D$2:D1392=D1393),2),(VLOOKUP(9^99,FILTER({ROW(P$2:P1392),P$2:P1392},D$2:D1392=D1393),2)*VLOOKUP(9^99,FILTER({ROW(O$2:O1392),O$2:O1392},D$2:D1392=D1393),2)-N139"&amp;"3)/O1393),J1393))"),"")</f>
        <v/>
      </c>
      <c r="Q1393" s="264" t="str">
        <f>IFERROR(__xludf.DUMMYFUNCTION("IFERROR(IF(F1393=""Crypto"",B1393,(IF(ISBLANK(D1393),"""",IF(D1393=""Cash"",B1393,IF(GOOGLEFINANCE(D1393,""CURRENCY"")=""GBX"",""GBP"",GOOGLEFINANCE(D1393,""CURRENCY"")))))),B1393)"),"")</f>
        <v/>
      </c>
      <c r="R1393" s="263" t="str">
        <f>IFERROR(__xludf.DUMMYFUNCTION("IF(ISBLANK(A1393),"""",IFERROR(IF(OR(Q1393=""GPB"",Q1393=""ZAR""),IF(Q1393=Dashboard!$L$1,K1393,(K1393*GOOGLEFINANCE(""CURRENCY:""&amp;Q1393&amp;""""&amp;Dashboard!$L$1&amp;""""))/100),IF(Q1393=Dashboard!$L$1,K1393,K1393*GOOGLEFINANCE(""CURRENCY:""&amp;Q1393&amp;""""&amp;Dashboard!$"&amp;"L$1&amp;""""))),K1393))"),"")</f>
        <v/>
      </c>
      <c r="S1393" s="266" t="str">
        <f>IFERROR(__xludf.DUMMYFUNCTION("IF(ISBLANK(A1393),"""",IFERROR(IF(OR(Q1393=""GPB"",Q1393=""ZAR""),IF(Q1393=Dashboard!$L$1,M1393,(M1393*GOOGLEFINANCE(""CURRENCY:""&amp;Q1393&amp;""""&amp;Dashboard!$L$1&amp;""""))/100),IF(Q1393=Dashboard!$L$1,M1393,M1393*GOOGLEFINANCE(""CURRENCY:""&amp;Q1393&amp;""""&amp;Dashboard!$"&amp;"L$1&amp;""""))),M1393))"),"")</f>
        <v/>
      </c>
      <c r="T1393" s="264" t="str">
        <f t="shared" si="4"/>
        <v/>
      </c>
      <c r="U1393" s="264" t="str">
        <f t="shared" si="5"/>
        <v/>
      </c>
      <c r="V1393" s="264" t="str">
        <f t="shared" si="6"/>
        <v/>
      </c>
      <c r="W1393" s="267" t="str">
        <f t="shared" si="8"/>
        <v/>
      </c>
      <c r="X1393" s="264" t="str">
        <f t="shared" si="7"/>
        <v/>
      </c>
    </row>
    <row r="1394" ht="15.75" customHeight="1">
      <c r="A1394" s="258"/>
      <c r="B1394" s="258"/>
      <c r="C1394" s="269"/>
      <c r="D1394" s="258"/>
      <c r="E1394" s="258"/>
      <c r="F1394" s="258"/>
      <c r="G1394" s="258"/>
      <c r="H1394" s="271"/>
      <c r="I1394" s="258"/>
      <c r="J1394" s="272"/>
      <c r="K1394" s="260"/>
      <c r="L1394" s="261"/>
      <c r="M1394" s="262" t="str">
        <f t="shared" si="1"/>
        <v/>
      </c>
      <c r="N1394" s="263" t="str">
        <f t="shared" si="2"/>
        <v/>
      </c>
      <c r="O1394" s="264" t="str">
        <f t="shared" si="3"/>
        <v/>
      </c>
      <c r="P1394" s="265" t="str">
        <f>IFERROR(__xludf.DUMMYFUNCTION("IF(ISBLANK(A1394),"""",IFERROR(IF(H1394=""Sell"",VLOOKUP(9^99,FILTER({ROW(P$2:P1393),P$2:P1393},D$2:D1393=D1394),2),(VLOOKUP(9^99,FILTER({ROW(P$2:P1393),P$2:P1393},D$2:D1393=D1394),2)*VLOOKUP(9^99,FILTER({ROW(O$2:O1393),O$2:O1393},D$2:D1393=D1394),2)-N139"&amp;"4)/O1394),J1394))"),"")</f>
        <v/>
      </c>
      <c r="Q1394" s="264" t="str">
        <f>IFERROR(__xludf.DUMMYFUNCTION("IFERROR(IF(F1394=""Crypto"",B1394,(IF(ISBLANK(D1394),"""",IF(D1394=""Cash"",B1394,IF(GOOGLEFINANCE(D1394,""CURRENCY"")=""GBX"",""GBP"",GOOGLEFINANCE(D1394,""CURRENCY"")))))),B1394)"),"")</f>
        <v/>
      </c>
      <c r="R1394" s="263" t="str">
        <f>IFERROR(__xludf.DUMMYFUNCTION("IF(ISBLANK(A1394),"""",IFERROR(IF(OR(Q1394=""GPB"",Q1394=""ZAR""),IF(Q1394=Dashboard!$L$1,K1394,(K1394*GOOGLEFINANCE(""CURRENCY:""&amp;Q1394&amp;""""&amp;Dashboard!$L$1&amp;""""))/100),IF(Q1394=Dashboard!$L$1,K1394,K1394*GOOGLEFINANCE(""CURRENCY:""&amp;Q1394&amp;""""&amp;Dashboard!$"&amp;"L$1&amp;""""))),K1394))"),"")</f>
        <v/>
      </c>
      <c r="S1394" s="266" t="str">
        <f>IFERROR(__xludf.DUMMYFUNCTION("IF(ISBLANK(A1394),"""",IFERROR(IF(OR(Q1394=""GPB"",Q1394=""ZAR""),IF(Q1394=Dashboard!$L$1,M1394,(M1394*GOOGLEFINANCE(""CURRENCY:""&amp;Q1394&amp;""""&amp;Dashboard!$L$1&amp;""""))/100),IF(Q1394=Dashboard!$L$1,M1394,M1394*GOOGLEFINANCE(""CURRENCY:""&amp;Q1394&amp;""""&amp;Dashboard!$"&amp;"L$1&amp;""""))),M1394))"),"")</f>
        <v/>
      </c>
      <c r="T1394" s="264" t="str">
        <f t="shared" si="4"/>
        <v/>
      </c>
      <c r="U1394" s="264" t="str">
        <f t="shared" si="5"/>
        <v/>
      </c>
      <c r="V1394" s="264" t="str">
        <f t="shared" si="6"/>
        <v/>
      </c>
      <c r="W1394" s="267" t="str">
        <f t="shared" si="8"/>
        <v/>
      </c>
      <c r="X1394" s="264" t="str">
        <f t="shared" si="7"/>
        <v/>
      </c>
    </row>
    <row r="1395" ht="15.75" customHeight="1">
      <c r="A1395" s="258"/>
      <c r="B1395" s="258"/>
      <c r="C1395" s="269"/>
      <c r="D1395" s="258"/>
      <c r="E1395" s="258"/>
      <c r="F1395" s="258"/>
      <c r="G1395" s="258"/>
      <c r="H1395" s="271"/>
      <c r="I1395" s="258"/>
      <c r="J1395" s="272"/>
      <c r="K1395" s="260"/>
      <c r="L1395" s="261"/>
      <c r="M1395" s="262" t="str">
        <f t="shared" si="1"/>
        <v/>
      </c>
      <c r="N1395" s="263" t="str">
        <f t="shared" si="2"/>
        <v/>
      </c>
      <c r="O1395" s="264" t="str">
        <f t="shared" si="3"/>
        <v/>
      </c>
      <c r="P1395" s="265" t="str">
        <f>IFERROR(__xludf.DUMMYFUNCTION("IF(ISBLANK(A1395),"""",IFERROR(IF(H1395=""Sell"",VLOOKUP(9^99,FILTER({ROW(P$2:P1394),P$2:P1394},D$2:D1394=D1395),2),(VLOOKUP(9^99,FILTER({ROW(P$2:P1394),P$2:P1394},D$2:D1394=D1395),2)*VLOOKUP(9^99,FILTER({ROW(O$2:O1394),O$2:O1394},D$2:D1394=D1395),2)-N139"&amp;"5)/O1395),J1395))"),"")</f>
        <v/>
      </c>
      <c r="Q1395" s="264" t="str">
        <f>IFERROR(__xludf.DUMMYFUNCTION("IFERROR(IF(F1395=""Crypto"",B1395,(IF(ISBLANK(D1395),"""",IF(D1395=""Cash"",B1395,IF(GOOGLEFINANCE(D1395,""CURRENCY"")=""GBX"",""GBP"",GOOGLEFINANCE(D1395,""CURRENCY"")))))),B1395)"),"")</f>
        <v/>
      </c>
      <c r="R1395" s="263" t="str">
        <f>IFERROR(__xludf.DUMMYFUNCTION("IF(ISBLANK(A1395),"""",IFERROR(IF(OR(Q1395=""GPB"",Q1395=""ZAR""),IF(Q1395=Dashboard!$L$1,K1395,(K1395*GOOGLEFINANCE(""CURRENCY:""&amp;Q1395&amp;""""&amp;Dashboard!$L$1&amp;""""))/100),IF(Q1395=Dashboard!$L$1,K1395,K1395*GOOGLEFINANCE(""CURRENCY:""&amp;Q1395&amp;""""&amp;Dashboard!$"&amp;"L$1&amp;""""))),K1395))"),"")</f>
        <v/>
      </c>
      <c r="S1395" s="266" t="str">
        <f>IFERROR(__xludf.DUMMYFUNCTION("IF(ISBLANK(A1395),"""",IFERROR(IF(OR(Q1395=""GPB"",Q1395=""ZAR""),IF(Q1395=Dashboard!$L$1,M1395,(M1395*GOOGLEFINANCE(""CURRENCY:""&amp;Q1395&amp;""""&amp;Dashboard!$L$1&amp;""""))/100),IF(Q1395=Dashboard!$L$1,M1395,M1395*GOOGLEFINANCE(""CURRENCY:""&amp;Q1395&amp;""""&amp;Dashboard!$"&amp;"L$1&amp;""""))),M1395))"),"")</f>
        <v/>
      </c>
      <c r="T1395" s="264" t="str">
        <f t="shared" si="4"/>
        <v/>
      </c>
      <c r="U1395" s="264" t="str">
        <f t="shared" si="5"/>
        <v/>
      </c>
      <c r="V1395" s="264" t="str">
        <f t="shared" si="6"/>
        <v/>
      </c>
      <c r="W1395" s="267" t="str">
        <f t="shared" si="8"/>
        <v/>
      </c>
      <c r="X1395" s="264" t="str">
        <f t="shared" si="7"/>
        <v/>
      </c>
    </row>
    <row r="1396" ht="15.75" customHeight="1">
      <c r="A1396" s="258"/>
      <c r="B1396" s="258"/>
      <c r="C1396" s="269"/>
      <c r="D1396" s="258"/>
      <c r="E1396" s="258"/>
      <c r="F1396" s="258"/>
      <c r="G1396" s="258"/>
      <c r="H1396" s="271"/>
      <c r="I1396" s="258"/>
      <c r="J1396" s="272"/>
      <c r="K1396" s="260"/>
      <c r="L1396" s="261"/>
      <c r="M1396" s="262" t="str">
        <f t="shared" si="1"/>
        <v/>
      </c>
      <c r="N1396" s="263" t="str">
        <f t="shared" si="2"/>
        <v/>
      </c>
      <c r="O1396" s="264" t="str">
        <f t="shared" si="3"/>
        <v/>
      </c>
      <c r="P1396" s="265" t="str">
        <f>IFERROR(__xludf.DUMMYFUNCTION("IF(ISBLANK(A1396),"""",IFERROR(IF(H1396=""Sell"",VLOOKUP(9^99,FILTER({ROW(P$2:P1395),P$2:P1395},D$2:D1395=D1396),2),(VLOOKUP(9^99,FILTER({ROW(P$2:P1395),P$2:P1395},D$2:D1395=D1396),2)*VLOOKUP(9^99,FILTER({ROW(O$2:O1395),O$2:O1395},D$2:D1395=D1396),2)-N139"&amp;"6)/O1396),J1396))"),"")</f>
        <v/>
      </c>
      <c r="Q1396" s="264" t="str">
        <f>IFERROR(__xludf.DUMMYFUNCTION("IFERROR(IF(F1396=""Crypto"",B1396,(IF(ISBLANK(D1396),"""",IF(D1396=""Cash"",B1396,IF(GOOGLEFINANCE(D1396,""CURRENCY"")=""GBX"",""GBP"",GOOGLEFINANCE(D1396,""CURRENCY"")))))),B1396)"),"")</f>
        <v/>
      </c>
      <c r="R1396" s="263" t="str">
        <f>IFERROR(__xludf.DUMMYFUNCTION("IF(ISBLANK(A1396),"""",IFERROR(IF(OR(Q1396=""GPB"",Q1396=""ZAR""),IF(Q1396=Dashboard!$L$1,K1396,(K1396*GOOGLEFINANCE(""CURRENCY:""&amp;Q1396&amp;""""&amp;Dashboard!$L$1&amp;""""))/100),IF(Q1396=Dashboard!$L$1,K1396,K1396*GOOGLEFINANCE(""CURRENCY:""&amp;Q1396&amp;""""&amp;Dashboard!$"&amp;"L$1&amp;""""))),K1396))"),"")</f>
        <v/>
      </c>
      <c r="S1396" s="266" t="str">
        <f>IFERROR(__xludf.DUMMYFUNCTION("IF(ISBLANK(A1396),"""",IFERROR(IF(OR(Q1396=""GPB"",Q1396=""ZAR""),IF(Q1396=Dashboard!$L$1,M1396,(M1396*GOOGLEFINANCE(""CURRENCY:""&amp;Q1396&amp;""""&amp;Dashboard!$L$1&amp;""""))/100),IF(Q1396=Dashboard!$L$1,M1396,M1396*GOOGLEFINANCE(""CURRENCY:""&amp;Q1396&amp;""""&amp;Dashboard!$"&amp;"L$1&amp;""""))),M1396))"),"")</f>
        <v/>
      </c>
      <c r="T1396" s="264" t="str">
        <f t="shared" si="4"/>
        <v/>
      </c>
      <c r="U1396" s="264" t="str">
        <f t="shared" si="5"/>
        <v/>
      </c>
      <c r="V1396" s="264" t="str">
        <f t="shared" si="6"/>
        <v/>
      </c>
      <c r="W1396" s="267" t="str">
        <f t="shared" si="8"/>
        <v/>
      </c>
      <c r="X1396" s="264" t="str">
        <f t="shared" si="7"/>
        <v/>
      </c>
    </row>
    <row r="1397" ht="15.75" customHeight="1">
      <c r="A1397" s="258"/>
      <c r="B1397" s="258"/>
      <c r="C1397" s="269"/>
      <c r="D1397" s="258"/>
      <c r="E1397" s="258"/>
      <c r="F1397" s="258"/>
      <c r="G1397" s="258"/>
      <c r="H1397" s="271"/>
      <c r="I1397" s="258"/>
      <c r="J1397" s="272"/>
      <c r="K1397" s="260"/>
      <c r="L1397" s="261"/>
      <c r="M1397" s="262" t="str">
        <f t="shared" si="1"/>
        <v/>
      </c>
      <c r="N1397" s="263" t="str">
        <f t="shared" si="2"/>
        <v/>
      </c>
      <c r="O1397" s="264" t="str">
        <f t="shared" si="3"/>
        <v/>
      </c>
      <c r="P1397" s="265" t="str">
        <f>IFERROR(__xludf.DUMMYFUNCTION("IF(ISBLANK(A1397),"""",IFERROR(IF(H1397=""Sell"",VLOOKUP(9^99,FILTER({ROW(P$2:P1396),P$2:P1396},D$2:D1396=D1397),2),(VLOOKUP(9^99,FILTER({ROW(P$2:P1396),P$2:P1396},D$2:D1396=D1397),2)*VLOOKUP(9^99,FILTER({ROW(O$2:O1396),O$2:O1396},D$2:D1396=D1397),2)-N139"&amp;"7)/O1397),J1397))"),"")</f>
        <v/>
      </c>
      <c r="Q1397" s="264" t="str">
        <f>IFERROR(__xludf.DUMMYFUNCTION("IFERROR(IF(F1397=""Crypto"",B1397,(IF(ISBLANK(D1397),"""",IF(D1397=""Cash"",B1397,IF(GOOGLEFINANCE(D1397,""CURRENCY"")=""GBX"",""GBP"",GOOGLEFINANCE(D1397,""CURRENCY"")))))),B1397)"),"")</f>
        <v/>
      </c>
      <c r="R1397" s="263" t="str">
        <f>IFERROR(__xludf.DUMMYFUNCTION("IF(ISBLANK(A1397),"""",IFERROR(IF(OR(Q1397=""GPB"",Q1397=""ZAR""),IF(Q1397=Dashboard!$L$1,K1397,(K1397*GOOGLEFINANCE(""CURRENCY:""&amp;Q1397&amp;""""&amp;Dashboard!$L$1&amp;""""))/100),IF(Q1397=Dashboard!$L$1,K1397,K1397*GOOGLEFINANCE(""CURRENCY:""&amp;Q1397&amp;""""&amp;Dashboard!$"&amp;"L$1&amp;""""))),K1397))"),"")</f>
        <v/>
      </c>
      <c r="S1397" s="266" t="str">
        <f>IFERROR(__xludf.DUMMYFUNCTION("IF(ISBLANK(A1397),"""",IFERROR(IF(OR(Q1397=""GPB"",Q1397=""ZAR""),IF(Q1397=Dashboard!$L$1,M1397,(M1397*GOOGLEFINANCE(""CURRENCY:""&amp;Q1397&amp;""""&amp;Dashboard!$L$1&amp;""""))/100),IF(Q1397=Dashboard!$L$1,M1397,M1397*GOOGLEFINANCE(""CURRENCY:""&amp;Q1397&amp;""""&amp;Dashboard!$"&amp;"L$1&amp;""""))),M1397))"),"")</f>
        <v/>
      </c>
      <c r="T1397" s="264" t="str">
        <f t="shared" si="4"/>
        <v/>
      </c>
      <c r="U1397" s="264" t="str">
        <f t="shared" si="5"/>
        <v/>
      </c>
      <c r="V1397" s="264" t="str">
        <f t="shared" si="6"/>
        <v/>
      </c>
      <c r="W1397" s="267" t="str">
        <f t="shared" si="8"/>
        <v/>
      </c>
      <c r="X1397" s="264" t="str">
        <f t="shared" si="7"/>
        <v/>
      </c>
    </row>
    <row r="1398" ht="15.75" customHeight="1">
      <c r="A1398" s="258"/>
      <c r="B1398" s="258"/>
      <c r="C1398" s="269"/>
      <c r="D1398" s="258"/>
      <c r="E1398" s="258"/>
      <c r="F1398" s="258"/>
      <c r="G1398" s="258"/>
      <c r="H1398" s="271"/>
      <c r="I1398" s="258"/>
      <c r="J1398" s="272"/>
      <c r="K1398" s="260"/>
      <c r="L1398" s="261"/>
      <c r="M1398" s="262" t="str">
        <f t="shared" si="1"/>
        <v/>
      </c>
      <c r="N1398" s="263" t="str">
        <f t="shared" si="2"/>
        <v/>
      </c>
      <c r="O1398" s="264" t="str">
        <f t="shared" si="3"/>
        <v/>
      </c>
      <c r="P1398" s="265" t="str">
        <f>IFERROR(__xludf.DUMMYFUNCTION("IF(ISBLANK(A1398),"""",IFERROR(IF(H1398=""Sell"",VLOOKUP(9^99,FILTER({ROW(P$2:P1397),P$2:P1397},D$2:D1397=D1398),2),(VLOOKUP(9^99,FILTER({ROW(P$2:P1397),P$2:P1397},D$2:D1397=D1398),2)*VLOOKUP(9^99,FILTER({ROW(O$2:O1397),O$2:O1397},D$2:D1397=D1398),2)-N139"&amp;"8)/O1398),J1398))"),"")</f>
        <v/>
      </c>
      <c r="Q1398" s="264" t="str">
        <f>IFERROR(__xludf.DUMMYFUNCTION("IFERROR(IF(F1398=""Crypto"",B1398,(IF(ISBLANK(D1398),"""",IF(D1398=""Cash"",B1398,IF(GOOGLEFINANCE(D1398,""CURRENCY"")=""GBX"",""GBP"",GOOGLEFINANCE(D1398,""CURRENCY"")))))),B1398)"),"")</f>
        <v/>
      </c>
      <c r="R1398" s="263" t="str">
        <f>IFERROR(__xludf.DUMMYFUNCTION("IF(ISBLANK(A1398),"""",IFERROR(IF(OR(Q1398=""GPB"",Q1398=""ZAR""),IF(Q1398=Dashboard!$L$1,K1398,(K1398*GOOGLEFINANCE(""CURRENCY:""&amp;Q1398&amp;""""&amp;Dashboard!$L$1&amp;""""))/100),IF(Q1398=Dashboard!$L$1,K1398,K1398*GOOGLEFINANCE(""CURRENCY:""&amp;Q1398&amp;""""&amp;Dashboard!$"&amp;"L$1&amp;""""))),K1398))"),"")</f>
        <v/>
      </c>
      <c r="S1398" s="266" t="str">
        <f>IFERROR(__xludf.DUMMYFUNCTION("IF(ISBLANK(A1398),"""",IFERROR(IF(OR(Q1398=""GPB"",Q1398=""ZAR""),IF(Q1398=Dashboard!$L$1,M1398,(M1398*GOOGLEFINANCE(""CURRENCY:""&amp;Q1398&amp;""""&amp;Dashboard!$L$1&amp;""""))/100),IF(Q1398=Dashboard!$L$1,M1398,M1398*GOOGLEFINANCE(""CURRENCY:""&amp;Q1398&amp;""""&amp;Dashboard!$"&amp;"L$1&amp;""""))),M1398))"),"")</f>
        <v/>
      </c>
      <c r="T1398" s="264" t="str">
        <f t="shared" si="4"/>
        <v/>
      </c>
      <c r="U1398" s="264" t="str">
        <f t="shared" si="5"/>
        <v/>
      </c>
      <c r="V1398" s="264" t="str">
        <f t="shared" si="6"/>
        <v/>
      </c>
      <c r="W1398" s="267" t="str">
        <f t="shared" si="8"/>
        <v/>
      </c>
      <c r="X1398" s="264" t="str">
        <f t="shared" si="7"/>
        <v/>
      </c>
    </row>
    <row r="1399" ht="15.75" customHeight="1">
      <c r="A1399" s="258"/>
      <c r="B1399" s="258"/>
      <c r="C1399" s="269"/>
      <c r="D1399" s="258"/>
      <c r="E1399" s="258"/>
      <c r="F1399" s="258"/>
      <c r="G1399" s="258"/>
      <c r="H1399" s="271"/>
      <c r="I1399" s="258"/>
      <c r="J1399" s="272"/>
      <c r="K1399" s="260"/>
      <c r="L1399" s="261"/>
      <c r="M1399" s="262" t="str">
        <f t="shared" si="1"/>
        <v/>
      </c>
      <c r="N1399" s="263" t="str">
        <f t="shared" si="2"/>
        <v/>
      </c>
      <c r="O1399" s="264" t="str">
        <f t="shared" si="3"/>
        <v/>
      </c>
      <c r="P1399" s="265" t="str">
        <f>IFERROR(__xludf.DUMMYFUNCTION("IF(ISBLANK(A1399),"""",IFERROR(IF(H1399=""Sell"",VLOOKUP(9^99,FILTER({ROW(P$2:P1398),P$2:P1398},D$2:D1398=D1399),2),(VLOOKUP(9^99,FILTER({ROW(P$2:P1398),P$2:P1398},D$2:D1398=D1399),2)*VLOOKUP(9^99,FILTER({ROW(O$2:O1398),O$2:O1398},D$2:D1398=D1399),2)-N139"&amp;"9)/O1399),J1399))"),"")</f>
        <v/>
      </c>
      <c r="Q1399" s="264" t="str">
        <f>IFERROR(__xludf.DUMMYFUNCTION("IFERROR(IF(F1399=""Crypto"",B1399,(IF(ISBLANK(D1399),"""",IF(D1399=""Cash"",B1399,IF(GOOGLEFINANCE(D1399,""CURRENCY"")=""GBX"",""GBP"",GOOGLEFINANCE(D1399,""CURRENCY"")))))),B1399)"),"")</f>
        <v/>
      </c>
      <c r="R1399" s="263" t="str">
        <f>IFERROR(__xludf.DUMMYFUNCTION("IF(ISBLANK(A1399),"""",IFERROR(IF(OR(Q1399=""GPB"",Q1399=""ZAR""),IF(Q1399=Dashboard!$L$1,K1399,(K1399*GOOGLEFINANCE(""CURRENCY:""&amp;Q1399&amp;""""&amp;Dashboard!$L$1&amp;""""))/100),IF(Q1399=Dashboard!$L$1,K1399,K1399*GOOGLEFINANCE(""CURRENCY:""&amp;Q1399&amp;""""&amp;Dashboard!$"&amp;"L$1&amp;""""))),K1399))"),"")</f>
        <v/>
      </c>
      <c r="S1399" s="266" t="str">
        <f>IFERROR(__xludf.DUMMYFUNCTION("IF(ISBLANK(A1399),"""",IFERROR(IF(OR(Q1399=""GPB"",Q1399=""ZAR""),IF(Q1399=Dashboard!$L$1,M1399,(M1399*GOOGLEFINANCE(""CURRENCY:""&amp;Q1399&amp;""""&amp;Dashboard!$L$1&amp;""""))/100),IF(Q1399=Dashboard!$L$1,M1399,M1399*GOOGLEFINANCE(""CURRENCY:""&amp;Q1399&amp;""""&amp;Dashboard!$"&amp;"L$1&amp;""""))),M1399))"),"")</f>
        <v/>
      </c>
      <c r="T1399" s="264" t="str">
        <f t="shared" si="4"/>
        <v/>
      </c>
      <c r="U1399" s="264" t="str">
        <f t="shared" si="5"/>
        <v/>
      </c>
      <c r="V1399" s="264" t="str">
        <f t="shared" si="6"/>
        <v/>
      </c>
      <c r="W1399" s="267" t="str">
        <f t="shared" si="8"/>
        <v/>
      </c>
      <c r="X1399" s="264" t="str">
        <f t="shared" si="7"/>
        <v/>
      </c>
    </row>
    <row r="1400" ht="15.75" customHeight="1">
      <c r="A1400" s="258"/>
      <c r="B1400" s="258"/>
      <c r="C1400" s="269"/>
      <c r="D1400" s="258"/>
      <c r="E1400" s="258"/>
      <c r="F1400" s="258"/>
      <c r="G1400" s="258"/>
      <c r="H1400" s="271"/>
      <c r="I1400" s="258"/>
      <c r="J1400" s="272"/>
      <c r="K1400" s="260"/>
      <c r="L1400" s="261"/>
      <c r="M1400" s="262" t="str">
        <f t="shared" si="1"/>
        <v/>
      </c>
      <c r="N1400" s="263" t="str">
        <f t="shared" si="2"/>
        <v/>
      </c>
      <c r="O1400" s="264" t="str">
        <f t="shared" si="3"/>
        <v/>
      </c>
      <c r="P1400" s="265" t="str">
        <f>IFERROR(__xludf.DUMMYFUNCTION("IF(ISBLANK(A1400),"""",IFERROR(IF(H1400=""Sell"",VLOOKUP(9^99,FILTER({ROW(P$2:P1399),P$2:P1399},D$2:D1399=D1400),2),(VLOOKUP(9^99,FILTER({ROW(P$2:P1399),P$2:P1399},D$2:D1399=D1400),2)*VLOOKUP(9^99,FILTER({ROW(O$2:O1399),O$2:O1399},D$2:D1399=D1400),2)-N140"&amp;"0)/O1400),J1400))"),"")</f>
        <v/>
      </c>
      <c r="Q1400" s="264" t="str">
        <f>IFERROR(__xludf.DUMMYFUNCTION("IFERROR(IF(F1400=""Crypto"",B1400,(IF(ISBLANK(D1400),"""",IF(D1400=""Cash"",B1400,IF(GOOGLEFINANCE(D1400,""CURRENCY"")=""GBX"",""GBP"",GOOGLEFINANCE(D1400,""CURRENCY"")))))),B1400)"),"")</f>
        <v/>
      </c>
      <c r="R1400" s="263" t="str">
        <f>IFERROR(__xludf.DUMMYFUNCTION("IF(ISBLANK(A1400),"""",IFERROR(IF(OR(Q1400=""GPB"",Q1400=""ZAR""),IF(Q1400=Dashboard!$L$1,K1400,(K1400*GOOGLEFINANCE(""CURRENCY:""&amp;Q1400&amp;""""&amp;Dashboard!$L$1&amp;""""))/100),IF(Q1400=Dashboard!$L$1,K1400,K1400*GOOGLEFINANCE(""CURRENCY:""&amp;Q1400&amp;""""&amp;Dashboard!$"&amp;"L$1&amp;""""))),K1400))"),"")</f>
        <v/>
      </c>
      <c r="S1400" s="266" t="str">
        <f>IFERROR(__xludf.DUMMYFUNCTION("IF(ISBLANK(A1400),"""",IFERROR(IF(OR(Q1400=""GPB"",Q1400=""ZAR""),IF(Q1400=Dashboard!$L$1,M1400,(M1400*GOOGLEFINANCE(""CURRENCY:""&amp;Q1400&amp;""""&amp;Dashboard!$L$1&amp;""""))/100),IF(Q1400=Dashboard!$L$1,M1400,M1400*GOOGLEFINANCE(""CURRENCY:""&amp;Q1400&amp;""""&amp;Dashboard!$"&amp;"L$1&amp;""""))),M1400))"),"")</f>
        <v/>
      </c>
      <c r="T1400" s="264" t="str">
        <f t="shared" si="4"/>
        <v/>
      </c>
      <c r="U1400" s="264" t="str">
        <f t="shared" si="5"/>
        <v/>
      </c>
      <c r="V1400" s="264" t="str">
        <f t="shared" si="6"/>
        <v/>
      </c>
      <c r="W1400" s="267" t="str">
        <f t="shared" si="8"/>
        <v/>
      </c>
      <c r="X1400" s="264" t="str">
        <f t="shared" si="7"/>
        <v/>
      </c>
    </row>
    <row r="1401" ht="15.75" customHeight="1">
      <c r="A1401" s="258"/>
      <c r="B1401" s="258"/>
      <c r="C1401" s="269"/>
      <c r="D1401" s="258"/>
      <c r="E1401" s="258"/>
      <c r="F1401" s="258"/>
      <c r="G1401" s="258"/>
      <c r="H1401" s="271"/>
      <c r="I1401" s="258"/>
      <c r="J1401" s="272"/>
      <c r="K1401" s="260"/>
      <c r="L1401" s="261"/>
      <c r="M1401" s="262" t="str">
        <f t="shared" si="1"/>
        <v/>
      </c>
      <c r="N1401" s="263" t="str">
        <f t="shared" si="2"/>
        <v/>
      </c>
      <c r="O1401" s="264" t="str">
        <f t="shared" si="3"/>
        <v/>
      </c>
      <c r="P1401" s="265" t="str">
        <f>IFERROR(__xludf.DUMMYFUNCTION("IF(ISBLANK(A1401),"""",IFERROR(IF(H1401=""Sell"",VLOOKUP(9^99,FILTER({ROW(P$2:P1400),P$2:P1400},D$2:D1400=D1401),2),(VLOOKUP(9^99,FILTER({ROW(P$2:P1400),P$2:P1400},D$2:D1400=D1401),2)*VLOOKUP(9^99,FILTER({ROW(O$2:O1400),O$2:O1400},D$2:D1400=D1401),2)-N140"&amp;"1)/O1401),J1401))"),"")</f>
        <v/>
      </c>
      <c r="Q1401" s="264" t="str">
        <f>IFERROR(__xludf.DUMMYFUNCTION("IFERROR(IF(F1401=""Crypto"",B1401,(IF(ISBLANK(D1401),"""",IF(D1401=""Cash"",B1401,IF(GOOGLEFINANCE(D1401,""CURRENCY"")=""GBX"",""GBP"",GOOGLEFINANCE(D1401,""CURRENCY"")))))),B1401)"),"")</f>
        <v/>
      </c>
      <c r="R1401" s="263" t="str">
        <f>IFERROR(__xludf.DUMMYFUNCTION("IF(ISBLANK(A1401),"""",IFERROR(IF(OR(Q1401=""GPB"",Q1401=""ZAR""),IF(Q1401=Dashboard!$L$1,K1401,(K1401*GOOGLEFINANCE(""CURRENCY:""&amp;Q1401&amp;""""&amp;Dashboard!$L$1&amp;""""))/100),IF(Q1401=Dashboard!$L$1,K1401,K1401*GOOGLEFINANCE(""CURRENCY:""&amp;Q1401&amp;""""&amp;Dashboard!$"&amp;"L$1&amp;""""))),K1401))"),"")</f>
        <v/>
      </c>
      <c r="S1401" s="266" t="str">
        <f>IFERROR(__xludf.DUMMYFUNCTION("IF(ISBLANK(A1401),"""",IFERROR(IF(OR(Q1401=""GPB"",Q1401=""ZAR""),IF(Q1401=Dashboard!$L$1,M1401,(M1401*GOOGLEFINANCE(""CURRENCY:""&amp;Q1401&amp;""""&amp;Dashboard!$L$1&amp;""""))/100),IF(Q1401=Dashboard!$L$1,M1401,M1401*GOOGLEFINANCE(""CURRENCY:""&amp;Q1401&amp;""""&amp;Dashboard!$"&amp;"L$1&amp;""""))),M1401))"),"")</f>
        <v/>
      </c>
      <c r="T1401" s="264" t="str">
        <f t="shared" si="4"/>
        <v/>
      </c>
      <c r="U1401" s="264" t="str">
        <f t="shared" si="5"/>
        <v/>
      </c>
      <c r="V1401" s="264" t="str">
        <f t="shared" si="6"/>
        <v/>
      </c>
      <c r="W1401" s="267" t="str">
        <f t="shared" si="8"/>
        <v/>
      </c>
      <c r="X1401" s="264" t="str">
        <f t="shared" si="7"/>
        <v/>
      </c>
    </row>
    <row r="1402" ht="15.75" customHeight="1">
      <c r="A1402" s="258"/>
      <c r="B1402" s="258"/>
      <c r="C1402" s="269"/>
      <c r="D1402" s="258"/>
      <c r="E1402" s="258"/>
      <c r="F1402" s="258"/>
      <c r="G1402" s="258"/>
      <c r="H1402" s="271"/>
      <c r="I1402" s="258"/>
      <c r="J1402" s="272"/>
      <c r="K1402" s="260"/>
      <c r="L1402" s="261"/>
      <c r="M1402" s="262" t="str">
        <f t="shared" si="1"/>
        <v/>
      </c>
      <c r="N1402" s="263" t="str">
        <f t="shared" si="2"/>
        <v/>
      </c>
      <c r="O1402" s="264" t="str">
        <f t="shared" si="3"/>
        <v/>
      </c>
      <c r="P1402" s="265" t="str">
        <f>IFERROR(__xludf.DUMMYFUNCTION("IF(ISBLANK(A1402),"""",IFERROR(IF(H1402=""Sell"",VLOOKUP(9^99,FILTER({ROW(P$2:P1401),P$2:P1401},D$2:D1401=D1402),2),(VLOOKUP(9^99,FILTER({ROW(P$2:P1401),P$2:P1401},D$2:D1401=D1402),2)*VLOOKUP(9^99,FILTER({ROW(O$2:O1401),O$2:O1401},D$2:D1401=D1402),2)-N140"&amp;"2)/O1402),J1402))"),"")</f>
        <v/>
      </c>
      <c r="Q1402" s="264" t="str">
        <f>IFERROR(__xludf.DUMMYFUNCTION("IFERROR(IF(F1402=""Crypto"",B1402,(IF(ISBLANK(D1402),"""",IF(D1402=""Cash"",B1402,IF(GOOGLEFINANCE(D1402,""CURRENCY"")=""GBX"",""GBP"",GOOGLEFINANCE(D1402,""CURRENCY"")))))),B1402)"),"")</f>
        <v/>
      </c>
      <c r="R1402" s="263" t="str">
        <f>IFERROR(__xludf.DUMMYFUNCTION("IF(ISBLANK(A1402),"""",IFERROR(IF(OR(Q1402=""GPB"",Q1402=""ZAR""),IF(Q1402=Dashboard!$L$1,K1402,(K1402*GOOGLEFINANCE(""CURRENCY:""&amp;Q1402&amp;""""&amp;Dashboard!$L$1&amp;""""))/100),IF(Q1402=Dashboard!$L$1,K1402,K1402*GOOGLEFINANCE(""CURRENCY:""&amp;Q1402&amp;""""&amp;Dashboard!$"&amp;"L$1&amp;""""))),K1402))"),"")</f>
        <v/>
      </c>
      <c r="S1402" s="266" t="str">
        <f>IFERROR(__xludf.DUMMYFUNCTION("IF(ISBLANK(A1402),"""",IFERROR(IF(OR(Q1402=""GPB"",Q1402=""ZAR""),IF(Q1402=Dashboard!$L$1,M1402,(M1402*GOOGLEFINANCE(""CURRENCY:""&amp;Q1402&amp;""""&amp;Dashboard!$L$1&amp;""""))/100),IF(Q1402=Dashboard!$L$1,M1402,M1402*GOOGLEFINANCE(""CURRENCY:""&amp;Q1402&amp;""""&amp;Dashboard!$"&amp;"L$1&amp;""""))),M1402))"),"")</f>
        <v/>
      </c>
      <c r="T1402" s="264" t="str">
        <f t="shared" si="4"/>
        <v/>
      </c>
      <c r="U1402" s="264" t="str">
        <f t="shared" si="5"/>
        <v/>
      </c>
      <c r="V1402" s="264" t="str">
        <f t="shared" si="6"/>
        <v/>
      </c>
      <c r="W1402" s="267" t="str">
        <f t="shared" si="8"/>
        <v/>
      </c>
      <c r="X1402" s="264" t="str">
        <f t="shared" si="7"/>
        <v/>
      </c>
    </row>
    <row r="1403" ht="15.75" customHeight="1">
      <c r="A1403" s="258"/>
      <c r="B1403" s="258"/>
      <c r="C1403" s="269"/>
      <c r="D1403" s="258"/>
      <c r="E1403" s="258"/>
      <c r="F1403" s="258"/>
      <c r="G1403" s="258"/>
      <c r="H1403" s="271"/>
      <c r="I1403" s="258"/>
      <c r="J1403" s="272"/>
      <c r="K1403" s="260"/>
      <c r="L1403" s="261"/>
      <c r="M1403" s="262" t="str">
        <f t="shared" si="1"/>
        <v/>
      </c>
      <c r="N1403" s="263" t="str">
        <f t="shared" si="2"/>
        <v/>
      </c>
      <c r="O1403" s="264" t="str">
        <f t="shared" si="3"/>
        <v/>
      </c>
      <c r="P1403" s="265" t="str">
        <f>IFERROR(__xludf.DUMMYFUNCTION("IF(ISBLANK(A1403),"""",IFERROR(IF(H1403=""Sell"",VLOOKUP(9^99,FILTER({ROW(P$2:P1402),P$2:P1402},D$2:D1402=D1403),2),(VLOOKUP(9^99,FILTER({ROW(P$2:P1402),P$2:P1402},D$2:D1402=D1403),2)*VLOOKUP(9^99,FILTER({ROW(O$2:O1402),O$2:O1402},D$2:D1402=D1403),2)-N140"&amp;"3)/O1403),J1403))"),"")</f>
        <v/>
      </c>
      <c r="Q1403" s="264" t="str">
        <f>IFERROR(__xludf.DUMMYFUNCTION("IFERROR(IF(F1403=""Crypto"",B1403,(IF(ISBLANK(D1403),"""",IF(D1403=""Cash"",B1403,IF(GOOGLEFINANCE(D1403,""CURRENCY"")=""GBX"",""GBP"",GOOGLEFINANCE(D1403,""CURRENCY"")))))),B1403)"),"")</f>
        <v/>
      </c>
      <c r="R1403" s="263" t="str">
        <f>IFERROR(__xludf.DUMMYFUNCTION("IF(ISBLANK(A1403),"""",IFERROR(IF(OR(Q1403=""GPB"",Q1403=""ZAR""),IF(Q1403=Dashboard!$L$1,K1403,(K1403*GOOGLEFINANCE(""CURRENCY:""&amp;Q1403&amp;""""&amp;Dashboard!$L$1&amp;""""))/100),IF(Q1403=Dashboard!$L$1,K1403,K1403*GOOGLEFINANCE(""CURRENCY:""&amp;Q1403&amp;""""&amp;Dashboard!$"&amp;"L$1&amp;""""))),K1403))"),"")</f>
        <v/>
      </c>
      <c r="S1403" s="266" t="str">
        <f>IFERROR(__xludf.DUMMYFUNCTION("IF(ISBLANK(A1403),"""",IFERROR(IF(OR(Q1403=""GPB"",Q1403=""ZAR""),IF(Q1403=Dashboard!$L$1,M1403,(M1403*GOOGLEFINANCE(""CURRENCY:""&amp;Q1403&amp;""""&amp;Dashboard!$L$1&amp;""""))/100),IF(Q1403=Dashboard!$L$1,M1403,M1403*GOOGLEFINANCE(""CURRENCY:""&amp;Q1403&amp;""""&amp;Dashboard!$"&amp;"L$1&amp;""""))),M1403))"),"")</f>
        <v/>
      </c>
      <c r="T1403" s="264" t="str">
        <f t="shared" si="4"/>
        <v/>
      </c>
      <c r="U1403" s="264" t="str">
        <f t="shared" si="5"/>
        <v/>
      </c>
      <c r="V1403" s="264" t="str">
        <f t="shared" si="6"/>
        <v/>
      </c>
      <c r="W1403" s="267" t="str">
        <f t="shared" si="8"/>
        <v/>
      </c>
      <c r="X1403" s="264" t="str">
        <f t="shared" si="7"/>
        <v/>
      </c>
    </row>
    <row r="1404" ht="15.75" customHeight="1">
      <c r="A1404" s="258"/>
      <c r="B1404" s="258"/>
      <c r="C1404" s="269"/>
      <c r="D1404" s="258"/>
      <c r="E1404" s="258"/>
      <c r="F1404" s="258"/>
      <c r="G1404" s="258"/>
      <c r="H1404" s="271"/>
      <c r="I1404" s="258"/>
      <c r="J1404" s="272"/>
      <c r="K1404" s="260"/>
      <c r="L1404" s="261"/>
      <c r="M1404" s="262" t="str">
        <f t="shared" si="1"/>
        <v/>
      </c>
      <c r="N1404" s="263" t="str">
        <f t="shared" si="2"/>
        <v/>
      </c>
      <c r="O1404" s="264" t="str">
        <f t="shared" si="3"/>
        <v/>
      </c>
      <c r="P1404" s="265" t="str">
        <f>IFERROR(__xludf.DUMMYFUNCTION("IF(ISBLANK(A1404),"""",IFERROR(IF(H1404=""Sell"",VLOOKUP(9^99,FILTER({ROW(P$2:P1403),P$2:P1403},D$2:D1403=D1404),2),(VLOOKUP(9^99,FILTER({ROW(P$2:P1403),P$2:P1403},D$2:D1403=D1404),2)*VLOOKUP(9^99,FILTER({ROW(O$2:O1403),O$2:O1403},D$2:D1403=D1404),2)-N140"&amp;"4)/O1404),J1404))"),"")</f>
        <v/>
      </c>
      <c r="Q1404" s="264" t="str">
        <f>IFERROR(__xludf.DUMMYFUNCTION("IFERROR(IF(F1404=""Crypto"",B1404,(IF(ISBLANK(D1404),"""",IF(D1404=""Cash"",B1404,IF(GOOGLEFINANCE(D1404,""CURRENCY"")=""GBX"",""GBP"",GOOGLEFINANCE(D1404,""CURRENCY"")))))),B1404)"),"")</f>
        <v/>
      </c>
      <c r="R1404" s="263" t="str">
        <f>IFERROR(__xludf.DUMMYFUNCTION("IF(ISBLANK(A1404),"""",IFERROR(IF(OR(Q1404=""GPB"",Q1404=""ZAR""),IF(Q1404=Dashboard!$L$1,K1404,(K1404*GOOGLEFINANCE(""CURRENCY:""&amp;Q1404&amp;""""&amp;Dashboard!$L$1&amp;""""))/100),IF(Q1404=Dashboard!$L$1,K1404,K1404*GOOGLEFINANCE(""CURRENCY:""&amp;Q1404&amp;""""&amp;Dashboard!$"&amp;"L$1&amp;""""))),K1404))"),"")</f>
        <v/>
      </c>
      <c r="S1404" s="266" t="str">
        <f>IFERROR(__xludf.DUMMYFUNCTION("IF(ISBLANK(A1404),"""",IFERROR(IF(OR(Q1404=""GPB"",Q1404=""ZAR""),IF(Q1404=Dashboard!$L$1,M1404,(M1404*GOOGLEFINANCE(""CURRENCY:""&amp;Q1404&amp;""""&amp;Dashboard!$L$1&amp;""""))/100),IF(Q1404=Dashboard!$L$1,M1404,M1404*GOOGLEFINANCE(""CURRENCY:""&amp;Q1404&amp;""""&amp;Dashboard!$"&amp;"L$1&amp;""""))),M1404))"),"")</f>
        <v/>
      </c>
      <c r="T1404" s="264" t="str">
        <f t="shared" si="4"/>
        <v/>
      </c>
      <c r="U1404" s="264" t="str">
        <f t="shared" si="5"/>
        <v/>
      </c>
      <c r="V1404" s="264" t="str">
        <f t="shared" si="6"/>
        <v/>
      </c>
      <c r="W1404" s="267" t="str">
        <f t="shared" si="8"/>
        <v/>
      </c>
      <c r="X1404" s="264" t="str">
        <f t="shared" si="7"/>
        <v/>
      </c>
    </row>
    <row r="1405" ht="15.75" customHeight="1">
      <c r="A1405" s="258"/>
      <c r="B1405" s="258"/>
      <c r="C1405" s="269"/>
      <c r="D1405" s="258"/>
      <c r="E1405" s="258"/>
      <c r="F1405" s="258"/>
      <c r="G1405" s="258"/>
      <c r="H1405" s="271"/>
      <c r="I1405" s="258"/>
      <c r="J1405" s="272"/>
      <c r="K1405" s="260"/>
      <c r="L1405" s="261"/>
      <c r="M1405" s="262" t="str">
        <f t="shared" si="1"/>
        <v/>
      </c>
      <c r="N1405" s="263" t="str">
        <f t="shared" si="2"/>
        <v/>
      </c>
      <c r="O1405" s="264" t="str">
        <f t="shared" si="3"/>
        <v/>
      </c>
      <c r="P1405" s="265" t="str">
        <f>IFERROR(__xludf.DUMMYFUNCTION("IF(ISBLANK(A1405),"""",IFERROR(IF(H1405=""Sell"",VLOOKUP(9^99,FILTER({ROW(P$2:P1404),P$2:P1404},D$2:D1404=D1405),2),(VLOOKUP(9^99,FILTER({ROW(P$2:P1404),P$2:P1404},D$2:D1404=D1405),2)*VLOOKUP(9^99,FILTER({ROW(O$2:O1404),O$2:O1404},D$2:D1404=D1405),2)-N140"&amp;"5)/O1405),J1405))"),"")</f>
        <v/>
      </c>
      <c r="Q1405" s="264" t="str">
        <f>IFERROR(__xludf.DUMMYFUNCTION("IFERROR(IF(F1405=""Crypto"",B1405,(IF(ISBLANK(D1405),"""",IF(D1405=""Cash"",B1405,IF(GOOGLEFINANCE(D1405,""CURRENCY"")=""GBX"",""GBP"",GOOGLEFINANCE(D1405,""CURRENCY"")))))),B1405)"),"")</f>
        <v/>
      </c>
      <c r="R1405" s="263" t="str">
        <f>IFERROR(__xludf.DUMMYFUNCTION("IF(ISBLANK(A1405),"""",IFERROR(IF(OR(Q1405=""GPB"",Q1405=""ZAR""),IF(Q1405=Dashboard!$L$1,K1405,(K1405*GOOGLEFINANCE(""CURRENCY:""&amp;Q1405&amp;""""&amp;Dashboard!$L$1&amp;""""))/100),IF(Q1405=Dashboard!$L$1,K1405,K1405*GOOGLEFINANCE(""CURRENCY:""&amp;Q1405&amp;""""&amp;Dashboard!$"&amp;"L$1&amp;""""))),K1405))"),"")</f>
        <v/>
      </c>
      <c r="S1405" s="266" t="str">
        <f>IFERROR(__xludf.DUMMYFUNCTION("IF(ISBLANK(A1405),"""",IFERROR(IF(OR(Q1405=""GPB"",Q1405=""ZAR""),IF(Q1405=Dashboard!$L$1,M1405,(M1405*GOOGLEFINANCE(""CURRENCY:""&amp;Q1405&amp;""""&amp;Dashboard!$L$1&amp;""""))/100),IF(Q1405=Dashboard!$L$1,M1405,M1405*GOOGLEFINANCE(""CURRENCY:""&amp;Q1405&amp;""""&amp;Dashboard!$"&amp;"L$1&amp;""""))),M1405))"),"")</f>
        <v/>
      </c>
      <c r="T1405" s="264" t="str">
        <f t="shared" si="4"/>
        <v/>
      </c>
      <c r="U1405" s="264" t="str">
        <f t="shared" si="5"/>
        <v/>
      </c>
      <c r="V1405" s="264" t="str">
        <f t="shared" si="6"/>
        <v/>
      </c>
      <c r="W1405" s="267" t="str">
        <f t="shared" si="8"/>
        <v/>
      </c>
      <c r="X1405" s="264" t="str">
        <f t="shared" si="7"/>
        <v/>
      </c>
    </row>
    <row r="1406" ht="15.75" customHeight="1">
      <c r="A1406" s="258"/>
      <c r="B1406" s="258"/>
      <c r="C1406" s="269"/>
      <c r="D1406" s="258"/>
      <c r="E1406" s="258"/>
      <c r="F1406" s="258"/>
      <c r="G1406" s="258"/>
      <c r="H1406" s="271"/>
      <c r="I1406" s="258"/>
      <c r="J1406" s="272"/>
      <c r="K1406" s="260"/>
      <c r="L1406" s="261"/>
      <c r="M1406" s="262" t="str">
        <f t="shared" si="1"/>
        <v/>
      </c>
      <c r="N1406" s="263" t="str">
        <f t="shared" si="2"/>
        <v/>
      </c>
      <c r="O1406" s="264" t="str">
        <f t="shared" si="3"/>
        <v/>
      </c>
      <c r="P1406" s="265" t="str">
        <f>IFERROR(__xludf.DUMMYFUNCTION("IF(ISBLANK(A1406),"""",IFERROR(IF(H1406=""Sell"",VLOOKUP(9^99,FILTER({ROW(P$2:P1405),P$2:P1405},D$2:D1405=D1406),2),(VLOOKUP(9^99,FILTER({ROW(P$2:P1405),P$2:P1405},D$2:D1405=D1406),2)*VLOOKUP(9^99,FILTER({ROW(O$2:O1405),O$2:O1405},D$2:D1405=D1406),2)-N140"&amp;"6)/O1406),J1406))"),"")</f>
        <v/>
      </c>
      <c r="Q1406" s="264" t="str">
        <f>IFERROR(__xludf.DUMMYFUNCTION("IFERROR(IF(F1406=""Crypto"",B1406,(IF(ISBLANK(D1406),"""",IF(D1406=""Cash"",B1406,IF(GOOGLEFINANCE(D1406,""CURRENCY"")=""GBX"",""GBP"",GOOGLEFINANCE(D1406,""CURRENCY"")))))),B1406)"),"")</f>
        <v/>
      </c>
      <c r="R1406" s="263" t="str">
        <f>IFERROR(__xludf.DUMMYFUNCTION("IF(ISBLANK(A1406),"""",IFERROR(IF(OR(Q1406=""GPB"",Q1406=""ZAR""),IF(Q1406=Dashboard!$L$1,K1406,(K1406*GOOGLEFINANCE(""CURRENCY:""&amp;Q1406&amp;""""&amp;Dashboard!$L$1&amp;""""))/100),IF(Q1406=Dashboard!$L$1,K1406,K1406*GOOGLEFINANCE(""CURRENCY:""&amp;Q1406&amp;""""&amp;Dashboard!$"&amp;"L$1&amp;""""))),K1406))"),"")</f>
        <v/>
      </c>
      <c r="S1406" s="266" t="str">
        <f>IFERROR(__xludf.DUMMYFUNCTION("IF(ISBLANK(A1406),"""",IFERROR(IF(OR(Q1406=""GPB"",Q1406=""ZAR""),IF(Q1406=Dashboard!$L$1,M1406,(M1406*GOOGLEFINANCE(""CURRENCY:""&amp;Q1406&amp;""""&amp;Dashboard!$L$1&amp;""""))/100),IF(Q1406=Dashboard!$L$1,M1406,M1406*GOOGLEFINANCE(""CURRENCY:""&amp;Q1406&amp;""""&amp;Dashboard!$"&amp;"L$1&amp;""""))),M1406))"),"")</f>
        <v/>
      </c>
      <c r="T1406" s="264" t="str">
        <f t="shared" si="4"/>
        <v/>
      </c>
      <c r="U1406" s="264" t="str">
        <f t="shared" si="5"/>
        <v/>
      </c>
      <c r="V1406" s="264" t="str">
        <f t="shared" si="6"/>
        <v/>
      </c>
      <c r="W1406" s="267" t="str">
        <f t="shared" si="8"/>
        <v/>
      </c>
      <c r="X1406" s="264" t="str">
        <f t="shared" si="7"/>
        <v/>
      </c>
    </row>
    <row r="1407" ht="15.75" customHeight="1">
      <c r="A1407" s="258"/>
      <c r="B1407" s="258"/>
      <c r="C1407" s="269"/>
      <c r="D1407" s="258"/>
      <c r="E1407" s="258"/>
      <c r="F1407" s="258"/>
      <c r="G1407" s="258"/>
      <c r="H1407" s="271"/>
      <c r="I1407" s="258"/>
      <c r="J1407" s="272"/>
      <c r="K1407" s="260"/>
      <c r="L1407" s="261"/>
      <c r="M1407" s="262" t="str">
        <f t="shared" si="1"/>
        <v/>
      </c>
      <c r="N1407" s="263" t="str">
        <f t="shared" si="2"/>
        <v/>
      </c>
      <c r="O1407" s="264" t="str">
        <f t="shared" si="3"/>
        <v/>
      </c>
      <c r="P1407" s="265" t="str">
        <f>IFERROR(__xludf.DUMMYFUNCTION("IF(ISBLANK(A1407),"""",IFERROR(IF(H1407=""Sell"",VLOOKUP(9^99,FILTER({ROW(P$2:P1406),P$2:P1406},D$2:D1406=D1407),2),(VLOOKUP(9^99,FILTER({ROW(P$2:P1406),P$2:P1406},D$2:D1406=D1407),2)*VLOOKUP(9^99,FILTER({ROW(O$2:O1406),O$2:O1406},D$2:D1406=D1407),2)-N140"&amp;"7)/O1407),J1407))"),"")</f>
        <v/>
      </c>
      <c r="Q1407" s="264" t="str">
        <f>IFERROR(__xludf.DUMMYFUNCTION("IFERROR(IF(F1407=""Crypto"",B1407,(IF(ISBLANK(D1407),"""",IF(D1407=""Cash"",B1407,IF(GOOGLEFINANCE(D1407,""CURRENCY"")=""GBX"",""GBP"",GOOGLEFINANCE(D1407,""CURRENCY"")))))),B1407)"),"")</f>
        <v/>
      </c>
      <c r="R1407" s="263" t="str">
        <f>IFERROR(__xludf.DUMMYFUNCTION("IF(ISBLANK(A1407),"""",IFERROR(IF(OR(Q1407=""GPB"",Q1407=""ZAR""),IF(Q1407=Dashboard!$L$1,K1407,(K1407*GOOGLEFINANCE(""CURRENCY:""&amp;Q1407&amp;""""&amp;Dashboard!$L$1&amp;""""))/100),IF(Q1407=Dashboard!$L$1,K1407,K1407*GOOGLEFINANCE(""CURRENCY:""&amp;Q1407&amp;""""&amp;Dashboard!$"&amp;"L$1&amp;""""))),K1407))"),"")</f>
        <v/>
      </c>
      <c r="S1407" s="266" t="str">
        <f>IFERROR(__xludf.DUMMYFUNCTION("IF(ISBLANK(A1407),"""",IFERROR(IF(OR(Q1407=""GPB"",Q1407=""ZAR""),IF(Q1407=Dashboard!$L$1,M1407,(M1407*GOOGLEFINANCE(""CURRENCY:""&amp;Q1407&amp;""""&amp;Dashboard!$L$1&amp;""""))/100),IF(Q1407=Dashboard!$L$1,M1407,M1407*GOOGLEFINANCE(""CURRENCY:""&amp;Q1407&amp;""""&amp;Dashboard!$"&amp;"L$1&amp;""""))),M1407))"),"")</f>
        <v/>
      </c>
      <c r="T1407" s="264" t="str">
        <f t="shared" si="4"/>
        <v/>
      </c>
      <c r="U1407" s="264" t="str">
        <f t="shared" si="5"/>
        <v/>
      </c>
      <c r="V1407" s="264" t="str">
        <f t="shared" si="6"/>
        <v/>
      </c>
      <c r="W1407" s="267" t="str">
        <f t="shared" si="8"/>
        <v/>
      </c>
      <c r="X1407" s="264" t="str">
        <f t="shared" si="7"/>
        <v/>
      </c>
    </row>
    <row r="1408" ht="15.75" customHeight="1">
      <c r="A1408" s="258"/>
      <c r="B1408" s="258"/>
      <c r="C1408" s="269"/>
      <c r="D1408" s="258"/>
      <c r="E1408" s="258"/>
      <c r="F1408" s="258"/>
      <c r="G1408" s="258"/>
      <c r="H1408" s="271"/>
      <c r="I1408" s="258"/>
      <c r="J1408" s="272"/>
      <c r="K1408" s="260"/>
      <c r="L1408" s="261"/>
      <c r="M1408" s="262" t="str">
        <f t="shared" si="1"/>
        <v/>
      </c>
      <c r="N1408" s="263" t="str">
        <f t="shared" si="2"/>
        <v/>
      </c>
      <c r="O1408" s="264" t="str">
        <f t="shared" si="3"/>
        <v/>
      </c>
      <c r="P1408" s="265" t="str">
        <f>IFERROR(__xludf.DUMMYFUNCTION("IF(ISBLANK(A1408),"""",IFERROR(IF(H1408=""Sell"",VLOOKUP(9^99,FILTER({ROW(P$2:P1407),P$2:P1407},D$2:D1407=D1408),2),(VLOOKUP(9^99,FILTER({ROW(P$2:P1407),P$2:P1407},D$2:D1407=D1408),2)*VLOOKUP(9^99,FILTER({ROW(O$2:O1407),O$2:O1407},D$2:D1407=D1408),2)-N140"&amp;"8)/O1408),J1408))"),"")</f>
        <v/>
      </c>
      <c r="Q1408" s="264" t="str">
        <f>IFERROR(__xludf.DUMMYFUNCTION("IFERROR(IF(F1408=""Crypto"",B1408,(IF(ISBLANK(D1408),"""",IF(D1408=""Cash"",B1408,IF(GOOGLEFINANCE(D1408,""CURRENCY"")=""GBX"",""GBP"",GOOGLEFINANCE(D1408,""CURRENCY"")))))),B1408)"),"")</f>
        <v/>
      </c>
      <c r="R1408" s="263" t="str">
        <f>IFERROR(__xludf.DUMMYFUNCTION("IF(ISBLANK(A1408),"""",IFERROR(IF(OR(Q1408=""GPB"",Q1408=""ZAR""),IF(Q1408=Dashboard!$L$1,K1408,(K1408*GOOGLEFINANCE(""CURRENCY:""&amp;Q1408&amp;""""&amp;Dashboard!$L$1&amp;""""))/100),IF(Q1408=Dashboard!$L$1,K1408,K1408*GOOGLEFINANCE(""CURRENCY:""&amp;Q1408&amp;""""&amp;Dashboard!$"&amp;"L$1&amp;""""))),K1408))"),"")</f>
        <v/>
      </c>
      <c r="S1408" s="266" t="str">
        <f>IFERROR(__xludf.DUMMYFUNCTION("IF(ISBLANK(A1408),"""",IFERROR(IF(OR(Q1408=""GPB"",Q1408=""ZAR""),IF(Q1408=Dashboard!$L$1,M1408,(M1408*GOOGLEFINANCE(""CURRENCY:""&amp;Q1408&amp;""""&amp;Dashboard!$L$1&amp;""""))/100),IF(Q1408=Dashboard!$L$1,M1408,M1408*GOOGLEFINANCE(""CURRENCY:""&amp;Q1408&amp;""""&amp;Dashboard!$"&amp;"L$1&amp;""""))),M1408))"),"")</f>
        <v/>
      </c>
      <c r="T1408" s="264" t="str">
        <f t="shared" si="4"/>
        <v/>
      </c>
      <c r="U1408" s="264" t="str">
        <f t="shared" si="5"/>
        <v/>
      </c>
      <c r="V1408" s="264" t="str">
        <f t="shared" si="6"/>
        <v/>
      </c>
      <c r="W1408" s="267" t="str">
        <f t="shared" si="8"/>
        <v/>
      </c>
      <c r="X1408" s="264" t="str">
        <f t="shared" si="7"/>
        <v/>
      </c>
    </row>
    <row r="1409" ht="15.75" customHeight="1">
      <c r="A1409" s="258"/>
      <c r="B1409" s="258"/>
      <c r="C1409" s="269"/>
      <c r="D1409" s="258"/>
      <c r="E1409" s="258"/>
      <c r="F1409" s="258"/>
      <c r="G1409" s="258"/>
      <c r="H1409" s="271"/>
      <c r="I1409" s="258"/>
      <c r="J1409" s="272"/>
      <c r="K1409" s="260"/>
      <c r="L1409" s="261"/>
      <c r="M1409" s="262" t="str">
        <f t="shared" si="1"/>
        <v/>
      </c>
      <c r="N1409" s="263" t="str">
        <f t="shared" si="2"/>
        <v/>
      </c>
      <c r="O1409" s="264" t="str">
        <f t="shared" si="3"/>
        <v/>
      </c>
      <c r="P1409" s="265" t="str">
        <f>IFERROR(__xludf.DUMMYFUNCTION("IF(ISBLANK(A1409),"""",IFERROR(IF(H1409=""Sell"",VLOOKUP(9^99,FILTER({ROW(P$2:P1408),P$2:P1408},D$2:D1408=D1409),2),(VLOOKUP(9^99,FILTER({ROW(P$2:P1408),P$2:P1408},D$2:D1408=D1409),2)*VLOOKUP(9^99,FILTER({ROW(O$2:O1408),O$2:O1408},D$2:D1408=D1409),2)-N140"&amp;"9)/O1409),J1409))"),"")</f>
        <v/>
      </c>
      <c r="Q1409" s="264" t="str">
        <f>IFERROR(__xludf.DUMMYFUNCTION("IFERROR(IF(F1409=""Crypto"",B1409,(IF(ISBLANK(D1409),"""",IF(D1409=""Cash"",B1409,IF(GOOGLEFINANCE(D1409,""CURRENCY"")=""GBX"",""GBP"",GOOGLEFINANCE(D1409,""CURRENCY"")))))),B1409)"),"")</f>
        <v/>
      </c>
      <c r="R1409" s="263" t="str">
        <f>IFERROR(__xludf.DUMMYFUNCTION("IF(ISBLANK(A1409),"""",IFERROR(IF(OR(Q1409=""GPB"",Q1409=""ZAR""),IF(Q1409=Dashboard!$L$1,K1409,(K1409*GOOGLEFINANCE(""CURRENCY:""&amp;Q1409&amp;""""&amp;Dashboard!$L$1&amp;""""))/100),IF(Q1409=Dashboard!$L$1,K1409,K1409*GOOGLEFINANCE(""CURRENCY:""&amp;Q1409&amp;""""&amp;Dashboard!$"&amp;"L$1&amp;""""))),K1409))"),"")</f>
        <v/>
      </c>
      <c r="S1409" s="266" t="str">
        <f>IFERROR(__xludf.DUMMYFUNCTION("IF(ISBLANK(A1409),"""",IFERROR(IF(OR(Q1409=""GPB"",Q1409=""ZAR""),IF(Q1409=Dashboard!$L$1,M1409,(M1409*GOOGLEFINANCE(""CURRENCY:""&amp;Q1409&amp;""""&amp;Dashboard!$L$1&amp;""""))/100),IF(Q1409=Dashboard!$L$1,M1409,M1409*GOOGLEFINANCE(""CURRENCY:""&amp;Q1409&amp;""""&amp;Dashboard!$"&amp;"L$1&amp;""""))),M1409))"),"")</f>
        <v/>
      </c>
      <c r="T1409" s="264" t="str">
        <f t="shared" si="4"/>
        <v/>
      </c>
      <c r="U1409" s="264" t="str">
        <f t="shared" si="5"/>
        <v/>
      </c>
      <c r="V1409" s="264" t="str">
        <f t="shared" si="6"/>
        <v/>
      </c>
      <c r="W1409" s="267" t="str">
        <f t="shared" si="8"/>
        <v/>
      </c>
      <c r="X1409" s="264" t="str">
        <f t="shared" si="7"/>
        <v/>
      </c>
    </row>
    <row r="1410" ht="15.75" customHeight="1">
      <c r="A1410" s="258"/>
      <c r="B1410" s="258"/>
      <c r="C1410" s="269"/>
      <c r="D1410" s="258"/>
      <c r="E1410" s="258"/>
      <c r="F1410" s="258"/>
      <c r="G1410" s="258"/>
      <c r="H1410" s="271"/>
      <c r="I1410" s="258"/>
      <c r="J1410" s="272"/>
      <c r="K1410" s="260"/>
      <c r="L1410" s="261"/>
      <c r="M1410" s="262" t="str">
        <f t="shared" si="1"/>
        <v/>
      </c>
      <c r="N1410" s="263" t="str">
        <f t="shared" si="2"/>
        <v/>
      </c>
      <c r="O1410" s="264" t="str">
        <f t="shared" si="3"/>
        <v/>
      </c>
      <c r="P1410" s="265" t="str">
        <f>IFERROR(__xludf.DUMMYFUNCTION("IF(ISBLANK(A1410),"""",IFERROR(IF(H1410=""Sell"",VLOOKUP(9^99,FILTER({ROW(P$2:P1409),P$2:P1409},D$2:D1409=D1410),2),(VLOOKUP(9^99,FILTER({ROW(P$2:P1409),P$2:P1409},D$2:D1409=D1410),2)*VLOOKUP(9^99,FILTER({ROW(O$2:O1409),O$2:O1409},D$2:D1409=D1410),2)-N141"&amp;"0)/O1410),J1410))"),"")</f>
        <v/>
      </c>
      <c r="Q1410" s="264" t="str">
        <f>IFERROR(__xludf.DUMMYFUNCTION("IFERROR(IF(F1410=""Crypto"",B1410,(IF(ISBLANK(D1410),"""",IF(D1410=""Cash"",B1410,IF(GOOGLEFINANCE(D1410,""CURRENCY"")=""GBX"",""GBP"",GOOGLEFINANCE(D1410,""CURRENCY"")))))),B1410)"),"")</f>
        <v/>
      </c>
      <c r="R1410" s="263" t="str">
        <f>IFERROR(__xludf.DUMMYFUNCTION("IF(ISBLANK(A1410),"""",IFERROR(IF(OR(Q1410=""GPB"",Q1410=""ZAR""),IF(Q1410=Dashboard!$L$1,K1410,(K1410*GOOGLEFINANCE(""CURRENCY:""&amp;Q1410&amp;""""&amp;Dashboard!$L$1&amp;""""))/100),IF(Q1410=Dashboard!$L$1,K1410,K1410*GOOGLEFINANCE(""CURRENCY:""&amp;Q1410&amp;""""&amp;Dashboard!$"&amp;"L$1&amp;""""))),K1410))"),"")</f>
        <v/>
      </c>
      <c r="S1410" s="266" t="str">
        <f>IFERROR(__xludf.DUMMYFUNCTION("IF(ISBLANK(A1410),"""",IFERROR(IF(OR(Q1410=""GPB"",Q1410=""ZAR""),IF(Q1410=Dashboard!$L$1,M1410,(M1410*GOOGLEFINANCE(""CURRENCY:""&amp;Q1410&amp;""""&amp;Dashboard!$L$1&amp;""""))/100),IF(Q1410=Dashboard!$L$1,M1410,M1410*GOOGLEFINANCE(""CURRENCY:""&amp;Q1410&amp;""""&amp;Dashboard!$"&amp;"L$1&amp;""""))),M1410))"),"")</f>
        <v/>
      </c>
      <c r="T1410" s="264" t="str">
        <f t="shared" si="4"/>
        <v/>
      </c>
      <c r="U1410" s="264" t="str">
        <f t="shared" si="5"/>
        <v/>
      </c>
      <c r="V1410" s="264" t="str">
        <f t="shared" si="6"/>
        <v/>
      </c>
      <c r="W1410" s="267" t="str">
        <f t="shared" si="8"/>
        <v/>
      </c>
      <c r="X1410" s="264" t="str">
        <f t="shared" si="7"/>
        <v/>
      </c>
    </row>
    <row r="1411" ht="15.75" customHeight="1">
      <c r="A1411" s="258"/>
      <c r="B1411" s="258"/>
      <c r="C1411" s="269"/>
      <c r="D1411" s="258"/>
      <c r="E1411" s="258"/>
      <c r="F1411" s="258"/>
      <c r="G1411" s="258"/>
      <c r="H1411" s="271"/>
      <c r="I1411" s="258"/>
      <c r="J1411" s="272"/>
      <c r="K1411" s="260"/>
      <c r="L1411" s="261"/>
      <c r="M1411" s="262" t="str">
        <f t="shared" si="1"/>
        <v/>
      </c>
      <c r="N1411" s="263" t="str">
        <f t="shared" si="2"/>
        <v/>
      </c>
      <c r="O1411" s="264" t="str">
        <f t="shared" si="3"/>
        <v/>
      </c>
      <c r="P1411" s="265" t="str">
        <f>IFERROR(__xludf.DUMMYFUNCTION("IF(ISBLANK(A1411),"""",IFERROR(IF(H1411=""Sell"",VLOOKUP(9^99,FILTER({ROW(P$2:P1410),P$2:P1410},D$2:D1410=D1411),2),(VLOOKUP(9^99,FILTER({ROW(P$2:P1410),P$2:P1410},D$2:D1410=D1411),2)*VLOOKUP(9^99,FILTER({ROW(O$2:O1410),O$2:O1410},D$2:D1410=D1411),2)-N141"&amp;"1)/O1411),J1411))"),"")</f>
        <v/>
      </c>
      <c r="Q1411" s="264" t="str">
        <f>IFERROR(__xludf.DUMMYFUNCTION("IFERROR(IF(F1411=""Crypto"",B1411,(IF(ISBLANK(D1411),"""",IF(D1411=""Cash"",B1411,IF(GOOGLEFINANCE(D1411,""CURRENCY"")=""GBX"",""GBP"",GOOGLEFINANCE(D1411,""CURRENCY"")))))),B1411)"),"")</f>
        <v/>
      </c>
      <c r="R1411" s="263" t="str">
        <f>IFERROR(__xludf.DUMMYFUNCTION("IF(ISBLANK(A1411),"""",IFERROR(IF(OR(Q1411=""GPB"",Q1411=""ZAR""),IF(Q1411=Dashboard!$L$1,K1411,(K1411*GOOGLEFINANCE(""CURRENCY:""&amp;Q1411&amp;""""&amp;Dashboard!$L$1&amp;""""))/100),IF(Q1411=Dashboard!$L$1,K1411,K1411*GOOGLEFINANCE(""CURRENCY:""&amp;Q1411&amp;""""&amp;Dashboard!$"&amp;"L$1&amp;""""))),K1411))"),"")</f>
        <v/>
      </c>
      <c r="S1411" s="266" t="str">
        <f>IFERROR(__xludf.DUMMYFUNCTION("IF(ISBLANK(A1411),"""",IFERROR(IF(OR(Q1411=""GPB"",Q1411=""ZAR""),IF(Q1411=Dashboard!$L$1,M1411,(M1411*GOOGLEFINANCE(""CURRENCY:""&amp;Q1411&amp;""""&amp;Dashboard!$L$1&amp;""""))/100),IF(Q1411=Dashboard!$L$1,M1411,M1411*GOOGLEFINANCE(""CURRENCY:""&amp;Q1411&amp;""""&amp;Dashboard!$"&amp;"L$1&amp;""""))),M1411))"),"")</f>
        <v/>
      </c>
      <c r="T1411" s="264" t="str">
        <f t="shared" si="4"/>
        <v/>
      </c>
      <c r="U1411" s="264" t="str">
        <f t="shared" si="5"/>
        <v/>
      </c>
      <c r="V1411" s="264" t="str">
        <f t="shared" si="6"/>
        <v/>
      </c>
      <c r="W1411" s="267" t="str">
        <f t="shared" si="8"/>
        <v/>
      </c>
      <c r="X1411" s="264" t="str">
        <f t="shared" si="7"/>
        <v/>
      </c>
    </row>
    <row r="1412" ht="15.75" customHeight="1">
      <c r="A1412" s="258"/>
      <c r="B1412" s="258"/>
      <c r="C1412" s="269"/>
      <c r="D1412" s="258"/>
      <c r="E1412" s="258"/>
      <c r="F1412" s="258"/>
      <c r="G1412" s="258"/>
      <c r="H1412" s="271"/>
      <c r="I1412" s="258"/>
      <c r="J1412" s="272"/>
      <c r="K1412" s="260"/>
      <c r="L1412" s="261"/>
      <c r="M1412" s="262" t="str">
        <f t="shared" si="1"/>
        <v/>
      </c>
      <c r="N1412" s="263" t="str">
        <f t="shared" si="2"/>
        <v/>
      </c>
      <c r="O1412" s="264" t="str">
        <f t="shared" si="3"/>
        <v/>
      </c>
      <c r="P1412" s="265" t="str">
        <f>IFERROR(__xludf.DUMMYFUNCTION("IF(ISBLANK(A1412),"""",IFERROR(IF(H1412=""Sell"",VLOOKUP(9^99,FILTER({ROW(P$2:P1411),P$2:P1411},D$2:D1411=D1412),2),(VLOOKUP(9^99,FILTER({ROW(P$2:P1411),P$2:P1411},D$2:D1411=D1412),2)*VLOOKUP(9^99,FILTER({ROW(O$2:O1411),O$2:O1411},D$2:D1411=D1412),2)-N141"&amp;"2)/O1412),J1412))"),"")</f>
        <v/>
      </c>
      <c r="Q1412" s="264" t="str">
        <f>IFERROR(__xludf.DUMMYFUNCTION("IFERROR(IF(F1412=""Crypto"",B1412,(IF(ISBLANK(D1412),"""",IF(D1412=""Cash"",B1412,IF(GOOGLEFINANCE(D1412,""CURRENCY"")=""GBX"",""GBP"",GOOGLEFINANCE(D1412,""CURRENCY"")))))),B1412)"),"")</f>
        <v/>
      </c>
      <c r="R1412" s="263" t="str">
        <f>IFERROR(__xludf.DUMMYFUNCTION("IF(ISBLANK(A1412),"""",IFERROR(IF(OR(Q1412=""GPB"",Q1412=""ZAR""),IF(Q1412=Dashboard!$L$1,K1412,(K1412*GOOGLEFINANCE(""CURRENCY:""&amp;Q1412&amp;""""&amp;Dashboard!$L$1&amp;""""))/100),IF(Q1412=Dashboard!$L$1,K1412,K1412*GOOGLEFINANCE(""CURRENCY:""&amp;Q1412&amp;""""&amp;Dashboard!$"&amp;"L$1&amp;""""))),K1412))"),"")</f>
        <v/>
      </c>
      <c r="S1412" s="266" t="str">
        <f>IFERROR(__xludf.DUMMYFUNCTION("IF(ISBLANK(A1412),"""",IFERROR(IF(OR(Q1412=""GPB"",Q1412=""ZAR""),IF(Q1412=Dashboard!$L$1,M1412,(M1412*GOOGLEFINANCE(""CURRENCY:""&amp;Q1412&amp;""""&amp;Dashboard!$L$1&amp;""""))/100),IF(Q1412=Dashboard!$L$1,M1412,M1412*GOOGLEFINANCE(""CURRENCY:""&amp;Q1412&amp;""""&amp;Dashboard!$"&amp;"L$1&amp;""""))),M1412))"),"")</f>
        <v/>
      </c>
      <c r="T1412" s="264" t="str">
        <f t="shared" si="4"/>
        <v/>
      </c>
      <c r="U1412" s="264" t="str">
        <f t="shared" si="5"/>
        <v/>
      </c>
      <c r="V1412" s="264" t="str">
        <f t="shared" si="6"/>
        <v/>
      </c>
      <c r="W1412" s="267" t="str">
        <f t="shared" si="8"/>
        <v/>
      </c>
      <c r="X1412" s="264" t="str">
        <f t="shared" si="7"/>
        <v/>
      </c>
    </row>
    <row r="1413" ht="15.75" customHeight="1">
      <c r="A1413" s="258"/>
      <c r="B1413" s="258"/>
      <c r="C1413" s="269"/>
      <c r="D1413" s="258"/>
      <c r="E1413" s="258"/>
      <c r="F1413" s="258"/>
      <c r="G1413" s="258"/>
      <c r="H1413" s="271"/>
      <c r="I1413" s="258"/>
      <c r="J1413" s="272"/>
      <c r="K1413" s="260"/>
      <c r="L1413" s="261"/>
      <c r="M1413" s="262" t="str">
        <f t="shared" si="1"/>
        <v/>
      </c>
      <c r="N1413" s="263" t="str">
        <f t="shared" si="2"/>
        <v/>
      </c>
      <c r="O1413" s="264" t="str">
        <f t="shared" si="3"/>
        <v/>
      </c>
      <c r="P1413" s="265" t="str">
        <f>IFERROR(__xludf.DUMMYFUNCTION("IF(ISBLANK(A1413),"""",IFERROR(IF(H1413=""Sell"",VLOOKUP(9^99,FILTER({ROW(P$2:P1412),P$2:P1412},D$2:D1412=D1413),2),(VLOOKUP(9^99,FILTER({ROW(P$2:P1412),P$2:P1412},D$2:D1412=D1413),2)*VLOOKUP(9^99,FILTER({ROW(O$2:O1412),O$2:O1412},D$2:D1412=D1413),2)-N141"&amp;"3)/O1413),J1413))"),"")</f>
        <v/>
      </c>
      <c r="Q1413" s="264" t="str">
        <f>IFERROR(__xludf.DUMMYFUNCTION("IFERROR(IF(F1413=""Crypto"",B1413,(IF(ISBLANK(D1413),"""",IF(D1413=""Cash"",B1413,IF(GOOGLEFINANCE(D1413,""CURRENCY"")=""GBX"",""GBP"",GOOGLEFINANCE(D1413,""CURRENCY"")))))),B1413)"),"")</f>
        <v/>
      </c>
      <c r="R1413" s="263" t="str">
        <f>IFERROR(__xludf.DUMMYFUNCTION("IF(ISBLANK(A1413),"""",IFERROR(IF(OR(Q1413=""GPB"",Q1413=""ZAR""),IF(Q1413=Dashboard!$L$1,K1413,(K1413*GOOGLEFINANCE(""CURRENCY:""&amp;Q1413&amp;""""&amp;Dashboard!$L$1&amp;""""))/100),IF(Q1413=Dashboard!$L$1,K1413,K1413*GOOGLEFINANCE(""CURRENCY:""&amp;Q1413&amp;""""&amp;Dashboard!$"&amp;"L$1&amp;""""))),K1413))"),"")</f>
        <v/>
      </c>
      <c r="S1413" s="266" t="str">
        <f>IFERROR(__xludf.DUMMYFUNCTION("IF(ISBLANK(A1413),"""",IFERROR(IF(OR(Q1413=""GPB"",Q1413=""ZAR""),IF(Q1413=Dashboard!$L$1,M1413,(M1413*GOOGLEFINANCE(""CURRENCY:""&amp;Q1413&amp;""""&amp;Dashboard!$L$1&amp;""""))/100),IF(Q1413=Dashboard!$L$1,M1413,M1413*GOOGLEFINANCE(""CURRENCY:""&amp;Q1413&amp;""""&amp;Dashboard!$"&amp;"L$1&amp;""""))),M1413))"),"")</f>
        <v/>
      </c>
      <c r="T1413" s="264" t="str">
        <f t="shared" si="4"/>
        <v/>
      </c>
      <c r="U1413" s="264" t="str">
        <f t="shared" si="5"/>
        <v/>
      </c>
      <c r="V1413" s="264" t="str">
        <f t="shared" si="6"/>
        <v/>
      </c>
      <c r="W1413" s="267" t="str">
        <f t="shared" si="8"/>
        <v/>
      </c>
      <c r="X1413" s="264" t="str">
        <f t="shared" si="7"/>
        <v/>
      </c>
    </row>
    <row r="1414" ht="15.75" customHeight="1">
      <c r="A1414" s="258"/>
      <c r="B1414" s="258"/>
      <c r="C1414" s="269"/>
      <c r="D1414" s="258"/>
      <c r="E1414" s="258"/>
      <c r="F1414" s="258"/>
      <c r="G1414" s="258"/>
      <c r="H1414" s="271"/>
      <c r="I1414" s="258"/>
      <c r="J1414" s="272"/>
      <c r="K1414" s="260"/>
      <c r="L1414" s="261"/>
      <c r="M1414" s="262" t="str">
        <f t="shared" si="1"/>
        <v/>
      </c>
      <c r="N1414" s="263" t="str">
        <f t="shared" si="2"/>
        <v/>
      </c>
      <c r="O1414" s="264" t="str">
        <f t="shared" si="3"/>
        <v/>
      </c>
      <c r="P1414" s="265" t="str">
        <f>IFERROR(__xludf.DUMMYFUNCTION("IF(ISBLANK(A1414),"""",IFERROR(IF(H1414=""Sell"",VLOOKUP(9^99,FILTER({ROW(P$2:P1413),P$2:P1413},D$2:D1413=D1414),2),(VLOOKUP(9^99,FILTER({ROW(P$2:P1413),P$2:P1413},D$2:D1413=D1414),2)*VLOOKUP(9^99,FILTER({ROW(O$2:O1413),O$2:O1413},D$2:D1413=D1414),2)-N141"&amp;"4)/O1414),J1414))"),"")</f>
        <v/>
      </c>
      <c r="Q1414" s="264" t="str">
        <f>IFERROR(__xludf.DUMMYFUNCTION("IFERROR(IF(F1414=""Crypto"",B1414,(IF(ISBLANK(D1414),"""",IF(D1414=""Cash"",B1414,IF(GOOGLEFINANCE(D1414,""CURRENCY"")=""GBX"",""GBP"",GOOGLEFINANCE(D1414,""CURRENCY"")))))),B1414)"),"")</f>
        <v/>
      </c>
      <c r="R1414" s="263" t="str">
        <f>IFERROR(__xludf.DUMMYFUNCTION("IF(ISBLANK(A1414),"""",IFERROR(IF(OR(Q1414=""GPB"",Q1414=""ZAR""),IF(Q1414=Dashboard!$L$1,K1414,(K1414*GOOGLEFINANCE(""CURRENCY:""&amp;Q1414&amp;""""&amp;Dashboard!$L$1&amp;""""))/100),IF(Q1414=Dashboard!$L$1,K1414,K1414*GOOGLEFINANCE(""CURRENCY:""&amp;Q1414&amp;""""&amp;Dashboard!$"&amp;"L$1&amp;""""))),K1414))"),"")</f>
        <v/>
      </c>
      <c r="S1414" s="266" t="str">
        <f>IFERROR(__xludf.DUMMYFUNCTION("IF(ISBLANK(A1414),"""",IFERROR(IF(OR(Q1414=""GPB"",Q1414=""ZAR""),IF(Q1414=Dashboard!$L$1,M1414,(M1414*GOOGLEFINANCE(""CURRENCY:""&amp;Q1414&amp;""""&amp;Dashboard!$L$1&amp;""""))/100),IF(Q1414=Dashboard!$L$1,M1414,M1414*GOOGLEFINANCE(""CURRENCY:""&amp;Q1414&amp;""""&amp;Dashboard!$"&amp;"L$1&amp;""""))),M1414))"),"")</f>
        <v/>
      </c>
      <c r="T1414" s="264" t="str">
        <f t="shared" si="4"/>
        <v/>
      </c>
      <c r="U1414" s="264" t="str">
        <f t="shared" si="5"/>
        <v/>
      </c>
      <c r="V1414" s="264" t="str">
        <f t="shared" si="6"/>
        <v/>
      </c>
      <c r="W1414" s="267" t="str">
        <f t="shared" si="8"/>
        <v/>
      </c>
      <c r="X1414" s="264" t="str">
        <f t="shared" si="7"/>
        <v/>
      </c>
    </row>
    <row r="1415" ht="15.75" customHeight="1">
      <c r="A1415" s="258"/>
      <c r="B1415" s="258"/>
      <c r="C1415" s="269"/>
      <c r="D1415" s="258"/>
      <c r="E1415" s="258"/>
      <c r="F1415" s="258"/>
      <c r="G1415" s="258"/>
      <c r="H1415" s="271"/>
      <c r="I1415" s="258"/>
      <c r="J1415" s="272"/>
      <c r="K1415" s="260"/>
      <c r="L1415" s="261"/>
      <c r="M1415" s="262" t="str">
        <f t="shared" si="1"/>
        <v/>
      </c>
      <c r="N1415" s="263" t="str">
        <f t="shared" si="2"/>
        <v/>
      </c>
      <c r="O1415" s="264" t="str">
        <f t="shared" si="3"/>
        <v/>
      </c>
      <c r="P1415" s="265" t="str">
        <f>IFERROR(__xludf.DUMMYFUNCTION("IF(ISBLANK(A1415),"""",IFERROR(IF(H1415=""Sell"",VLOOKUP(9^99,FILTER({ROW(P$2:P1414),P$2:P1414},D$2:D1414=D1415),2),(VLOOKUP(9^99,FILTER({ROW(P$2:P1414),P$2:P1414},D$2:D1414=D1415),2)*VLOOKUP(9^99,FILTER({ROW(O$2:O1414),O$2:O1414},D$2:D1414=D1415),2)-N141"&amp;"5)/O1415),J1415))"),"")</f>
        <v/>
      </c>
      <c r="Q1415" s="264" t="str">
        <f>IFERROR(__xludf.DUMMYFUNCTION("IFERROR(IF(F1415=""Crypto"",B1415,(IF(ISBLANK(D1415),"""",IF(D1415=""Cash"",B1415,IF(GOOGLEFINANCE(D1415,""CURRENCY"")=""GBX"",""GBP"",GOOGLEFINANCE(D1415,""CURRENCY"")))))),B1415)"),"")</f>
        <v/>
      </c>
      <c r="R1415" s="263" t="str">
        <f>IFERROR(__xludf.DUMMYFUNCTION("IF(ISBLANK(A1415),"""",IFERROR(IF(OR(Q1415=""GPB"",Q1415=""ZAR""),IF(Q1415=Dashboard!$L$1,K1415,(K1415*GOOGLEFINANCE(""CURRENCY:""&amp;Q1415&amp;""""&amp;Dashboard!$L$1&amp;""""))/100),IF(Q1415=Dashboard!$L$1,K1415,K1415*GOOGLEFINANCE(""CURRENCY:""&amp;Q1415&amp;""""&amp;Dashboard!$"&amp;"L$1&amp;""""))),K1415))"),"")</f>
        <v/>
      </c>
      <c r="S1415" s="266" t="str">
        <f>IFERROR(__xludf.DUMMYFUNCTION("IF(ISBLANK(A1415),"""",IFERROR(IF(OR(Q1415=""GPB"",Q1415=""ZAR""),IF(Q1415=Dashboard!$L$1,M1415,(M1415*GOOGLEFINANCE(""CURRENCY:""&amp;Q1415&amp;""""&amp;Dashboard!$L$1&amp;""""))/100),IF(Q1415=Dashboard!$L$1,M1415,M1415*GOOGLEFINANCE(""CURRENCY:""&amp;Q1415&amp;""""&amp;Dashboard!$"&amp;"L$1&amp;""""))),M1415))"),"")</f>
        <v/>
      </c>
      <c r="T1415" s="264" t="str">
        <f t="shared" si="4"/>
        <v/>
      </c>
      <c r="U1415" s="264" t="str">
        <f t="shared" si="5"/>
        <v/>
      </c>
      <c r="V1415" s="264" t="str">
        <f t="shared" si="6"/>
        <v/>
      </c>
      <c r="W1415" s="267" t="str">
        <f t="shared" si="8"/>
        <v/>
      </c>
      <c r="X1415" s="264" t="str">
        <f t="shared" si="7"/>
        <v/>
      </c>
    </row>
    <row r="1416" ht="15.75" customHeight="1">
      <c r="A1416" s="258"/>
      <c r="B1416" s="258"/>
      <c r="C1416" s="269"/>
      <c r="D1416" s="258"/>
      <c r="E1416" s="258"/>
      <c r="F1416" s="258"/>
      <c r="G1416" s="258"/>
      <c r="H1416" s="271"/>
      <c r="I1416" s="258"/>
      <c r="J1416" s="272"/>
      <c r="K1416" s="260"/>
      <c r="L1416" s="261"/>
      <c r="M1416" s="262" t="str">
        <f t="shared" si="1"/>
        <v/>
      </c>
      <c r="N1416" s="263" t="str">
        <f t="shared" si="2"/>
        <v/>
      </c>
      <c r="O1416" s="264" t="str">
        <f t="shared" si="3"/>
        <v/>
      </c>
      <c r="P1416" s="265" t="str">
        <f>IFERROR(__xludf.DUMMYFUNCTION("IF(ISBLANK(A1416),"""",IFERROR(IF(H1416=""Sell"",VLOOKUP(9^99,FILTER({ROW(P$2:P1415),P$2:P1415},D$2:D1415=D1416),2),(VLOOKUP(9^99,FILTER({ROW(P$2:P1415),P$2:P1415},D$2:D1415=D1416),2)*VLOOKUP(9^99,FILTER({ROW(O$2:O1415),O$2:O1415},D$2:D1415=D1416),2)-N141"&amp;"6)/O1416),J1416))"),"")</f>
        <v/>
      </c>
      <c r="Q1416" s="264" t="str">
        <f>IFERROR(__xludf.DUMMYFUNCTION("IFERROR(IF(F1416=""Crypto"",B1416,(IF(ISBLANK(D1416),"""",IF(D1416=""Cash"",B1416,IF(GOOGLEFINANCE(D1416,""CURRENCY"")=""GBX"",""GBP"",GOOGLEFINANCE(D1416,""CURRENCY"")))))),B1416)"),"")</f>
        <v/>
      </c>
      <c r="R1416" s="263" t="str">
        <f>IFERROR(__xludf.DUMMYFUNCTION("IF(ISBLANK(A1416),"""",IFERROR(IF(OR(Q1416=""GPB"",Q1416=""ZAR""),IF(Q1416=Dashboard!$L$1,K1416,(K1416*GOOGLEFINANCE(""CURRENCY:""&amp;Q1416&amp;""""&amp;Dashboard!$L$1&amp;""""))/100),IF(Q1416=Dashboard!$L$1,K1416,K1416*GOOGLEFINANCE(""CURRENCY:""&amp;Q1416&amp;""""&amp;Dashboard!$"&amp;"L$1&amp;""""))),K1416))"),"")</f>
        <v/>
      </c>
      <c r="S1416" s="266" t="str">
        <f>IFERROR(__xludf.DUMMYFUNCTION("IF(ISBLANK(A1416),"""",IFERROR(IF(OR(Q1416=""GPB"",Q1416=""ZAR""),IF(Q1416=Dashboard!$L$1,M1416,(M1416*GOOGLEFINANCE(""CURRENCY:""&amp;Q1416&amp;""""&amp;Dashboard!$L$1&amp;""""))/100),IF(Q1416=Dashboard!$L$1,M1416,M1416*GOOGLEFINANCE(""CURRENCY:""&amp;Q1416&amp;""""&amp;Dashboard!$"&amp;"L$1&amp;""""))),M1416))"),"")</f>
        <v/>
      </c>
      <c r="T1416" s="264" t="str">
        <f t="shared" si="4"/>
        <v/>
      </c>
      <c r="U1416" s="264" t="str">
        <f t="shared" si="5"/>
        <v/>
      </c>
      <c r="V1416" s="264" t="str">
        <f t="shared" si="6"/>
        <v/>
      </c>
      <c r="W1416" s="267" t="str">
        <f t="shared" si="8"/>
        <v/>
      </c>
      <c r="X1416" s="264" t="str">
        <f t="shared" si="7"/>
        <v/>
      </c>
    </row>
    <row r="1417" ht="15.75" customHeight="1">
      <c r="A1417" s="258"/>
      <c r="B1417" s="258"/>
      <c r="C1417" s="269"/>
      <c r="D1417" s="258"/>
      <c r="E1417" s="258"/>
      <c r="F1417" s="258"/>
      <c r="G1417" s="258"/>
      <c r="H1417" s="271"/>
      <c r="I1417" s="258"/>
      <c r="J1417" s="272"/>
      <c r="K1417" s="260"/>
      <c r="L1417" s="261"/>
      <c r="M1417" s="262" t="str">
        <f t="shared" si="1"/>
        <v/>
      </c>
      <c r="N1417" s="263" t="str">
        <f t="shared" si="2"/>
        <v/>
      </c>
      <c r="O1417" s="264" t="str">
        <f t="shared" si="3"/>
        <v/>
      </c>
      <c r="P1417" s="265" t="str">
        <f>IFERROR(__xludf.DUMMYFUNCTION("IF(ISBLANK(A1417),"""",IFERROR(IF(H1417=""Sell"",VLOOKUP(9^99,FILTER({ROW(P$2:P1416),P$2:P1416},D$2:D1416=D1417),2),(VLOOKUP(9^99,FILTER({ROW(P$2:P1416),P$2:P1416},D$2:D1416=D1417),2)*VLOOKUP(9^99,FILTER({ROW(O$2:O1416),O$2:O1416},D$2:D1416=D1417),2)-N141"&amp;"7)/O1417),J1417))"),"")</f>
        <v/>
      </c>
      <c r="Q1417" s="264" t="str">
        <f>IFERROR(__xludf.DUMMYFUNCTION("IFERROR(IF(F1417=""Crypto"",B1417,(IF(ISBLANK(D1417),"""",IF(D1417=""Cash"",B1417,IF(GOOGLEFINANCE(D1417,""CURRENCY"")=""GBX"",""GBP"",GOOGLEFINANCE(D1417,""CURRENCY"")))))),B1417)"),"")</f>
        <v/>
      </c>
      <c r="R1417" s="263" t="str">
        <f>IFERROR(__xludf.DUMMYFUNCTION("IF(ISBLANK(A1417),"""",IFERROR(IF(OR(Q1417=""GPB"",Q1417=""ZAR""),IF(Q1417=Dashboard!$L$1,K1417,(K1417*GOOGLEFINANCE(""CURRENCY:""&amp;Q1417&amp;""""&amp;Dashboard!$L$1&amp;""""))/100),IF(Q1417=Dashboard!$L$1,K1417,K1417*GOOGLEFINANCE(""CURRENCY:""&amp;Q1417&amp;""""&amp;Dashboard!$"&amp;"L$1&amp;""""))),K1417))"),"")</f>
        <v/>
      </c>
      <c r="S1417" s="266" t="str">
        <f>IFERROR(__xludf.DUMMYFUNCTION("IF(ISBLANK(A1417),"""",IFERROR(IF(OR(Q1417=""GPB"",Q1417=""ZAR""),IF(Q1417=Dashboard!$L$1,M1417,(M1417*GOOGLEFINANCE(""CURRENCY:""&amp;Q1417&amp;""""&amp;Dashboard!$L$1&amp;""""))/100),IF(Q1417=Dashboard!$L$1,M1417,M1417*GOOGLEFINANCE(""CURRENCY:""&amp;Q1417&amp;""""&amp;Dashboard!$"&amp;"L$1&amp;""""))),M1417))"),"")</f>
        <v/>
      </c>
      <c r="T1417" s="264" t="str">
        <f t="shared" si="4"/>
        <v/>
      </c>
      <c r="U1417" s="264" t="str">
        <f t="shared" si="5"/>
        <v/>
      </c>
      <c r="V1417" s="264" t="str">
        <f t="shared" si="6"/>
        <v/>
      </c>
      <c r="W1417" s="267" t="str">
        <f t="shared" si="8"/>
        <v/>
      </c>
      <c r="X1417" s="264" t="str">
        <f t="shared" si="7"/>
        <v/>
      </c>
    </row>
    <row r="1418" ht="15.75" customHeight="1">
      <c r="A1418" s="258"/>
      <c r="B1418" s="258"/>
      <c r="C1418" s="269"/>
      <c r="D1418" s="258"/>
      <c r="E1418" s="258"/>
      <c r="F1418" s="258"/>
      <c r="G1418" s="258"/>
      <c r="H1418" s="271"/>
      <c r="I1418" s="258"/>
      <c r="J1418" s="272"/>
      <c r="K1418" s="260"/>
      <c r="L1418" s="261"/>
      <c r="M1418" s="262" t="str">
        <f t="shared" si="1"/>
        <v/>
      </c>
      <c r="N1418" s="263" t="str">
        <f t="shared" si="2"/>
        <v/>
      </c>
      <c r="O1418" s="264" t="str">
        <f t="shared" si="3"/>
        <v/>
      </c>
      <c r="P1418" s="265" t="str">
        <f>IFERROR(__xludf.DUMMYFUNCTION("IF(ISBLANK(A1418),"""",IFERROR(IF(H1418=""Sell"",VLOOKUP(9^99,FILTER({ROW(P$2:P1417),P$2:P1417},D$2:D1417=D1418),2),(VLOOKUP(9^99,FILTER({ROW(P$2:P1417),P$2:P1417},D$2:D1417=D1418),2)*VLOOKUP(9^99,FILTER({ROW(O$2:O1417),O$2:O1417},D$2:D1417=D1418),2)-N141"&amp;"8)/O1418),J1418))"),"")</f>
        <v/>
      </c>
      <c r="Q1418" s="264" t="str">
        <f>IFERROR(__xludf.DUMMYFUNCTION("IFERROR(IF(F1418=""Crypto"",B1418,(IF(ISBLANK(D1418),"""",IF(D1418=""Cash"",B1418,IF(GOOGLEFINANCE(D1418,""CURRENCY"")=""GBX"",""GBP"",GOOGLEFINANCE(D1418,""CURRENCY"")))))),B1418)"),"")</f>
        <v/>
      </c>
      <c r="R1418" s="263" t="str">
        <f>IFERROR(__xludf.DUMMYFUNCTION("IF(ISBLANK(A1418),"""",IFERROR(IF(OR(Q1418=""GPB"",Q1418=""ZAR""),IF(Q1418=Dashboard!$L$1,K1418,(K1418*GOOGLEFINANCE(""CURRENCY:""&amp;Q1418&amp;""""&amp;Dashboard!$L$1&amp;""""))/100),IF(Q1418=Dashboard!$L$1,K1418,K1418*GOOGLEFINANCE(""CURRENCY:""&amp;Q1418&amp;""""&amp;Dashboard!$"&amp;"L$1&amp;""""))),K1418))"),"")</f>
        <v/>
      </c>
      <c r="S1418" s="266" t="str">
        <f>IFERROR(__xludf.DUMMYFUNCTION("IF(ISBLANK(A1418),"""",IFERROR(IF(OR(Q1418=""GPB"",Q1418=""ZAR""),IF(Q1418=Dashboard!$L$1,M1418,(M1418*GOOGLEFINANCE(""CURRENCY:""&amp;Q1418&amp;""""&amp;Dashboard!$L$1&amp;""""))/100),IF(Q1418=Dashboard!$L$1,M1418,M1418*GOOGLEFINANCE(""CURRENCY:""&amp;Q1418&amp;""""&amp;Dashboard!$"&amp;"L$1&amp;""""))),M1418))"),"")</f>
        <v/>
      </c>
      <c r="T1418" s="264" t="str">
        <f t="shared" si="4"/>
        <v/>
      </c>
      <c r="U1418" s="264" t="str">
        <f t="shared" si="5"/>
        <v/>
      </c>
      <c r="V1418" s="264" t="str">
        <f t="shared" si="6"/>
        <v/>
      </c>
      <c r="W1418" s="267" t="str">
        <f t="shared" si="8"/>
        <v/>
      </c>
      <c r="X1418" s="264" t="str">
        <f t="shared" si="7"/>
        <v/>
      </c>
    </row>
    <row r="1419" ht="15.75" customHeight="1">
      <c r="A1419" s="258"/>
      <c r="B1419" s="258"/>
      <c r="C1419" s="269"/>
      <c r="D1419" s="258"/>
      <c r="E1419" s="258"/>
      <c r="F1419" s="258"/>
      <c r="G1419" s="258"/>
      <c r="H1419" s="271"/>
      <c r="I1419" s="258"/>
      <c r="J1419" s="272"/>
      <c r="K1419" s="260"/>
      <c r="L1419" s="261"/>
      <c r="M1419" s="262" t="str">
        <f t="shared" si="1"/>
        <v/>
      </c>
      <c r="N1419" s="263" t="str">
        <f t="shared" si="2"/>
        <v/>
      </c>
      <c r="O1419" s="264" t="str">
        <f t="shared" si="3"/>
        <v/>
      </c>
      <c r="P1419" s="265" t="str">
        <f>IFERROR(__xludf.DUMMYFUNCTION("IF(ISBLANK(A1419),"""",IFERROR(IF(H1419=""Sell"",VLOOKUP(9^99,FILTER({ROW(P$2:P1418),P$2:P1418},D$2:D1418=D1419),2),(VLOOKUP(9^99,FILTER({ROW(P$2:P1418),P$2:P1418},D$2:D1418=D1419),2)*VLOOKUP(9^99,FILTER({ROW(O$2:O1418),O$2:O1418},D$2:D1418=D1419),2)-N141"&amp;"9)/O1419),J1419))"),"")</f>
        <v/>
      </c>
      <c r="Q1419" s="264" t="str">
        <f>IFERROR(__xludf.DUMMYFUNCTION("IFERROR(IF(F1419=""Crypto"",B1419,(IF(ISBLANK(D1419),"""",IF(D1419=""Cash"",B1419,IF(GOOGLEFINANCE(D1419,""CURRENCY"")=""GBX"",""GBP"",GOOGLEFINANCE(D1419,""CURRENCY"")))))),B1419)"),"")</f>
        <v/>
      </c>
      <c r="R1419" s="263" t="str">
        <f>IFERROR(__xludf.DUMMYFUNCTION("IF(ISBLANK(A1419),"""",IFERROR(IF(OR(Q1419=""GPB"",Q1419=""ZAR""),IF(Q1419=Dashboard!$L$1,K1419,(K1419*GOOGLEFINANCE(""CURRENCY:""&amp;Q1419&amp;""""&amp;Dashboard!$L$1&amp;""""))/100),IF(Q1419=Dashboard!$L$1,K1419,K1419*GOOGLEFINANCE(""CURRENCY:""&amp;Q1419&amp;""""&amp;Dashboard!$"&amp;"L$1&amp;""""))),K1419))"),"")</f>
        <v/>
      </c>
      <c r="S1419" s="266" t="str">
        <f>IFERROR(__xludf.DUMMYFUNCTION("IF(ISBLANK(A1419),"""",IFERROR(IF(OR(Q1419=""GPB"",Q1419=""ZAR""),IF(Q1419=Dashboard!$L$1,M1419,(M1419*GOOGLEFINANCE(""CURRENCY:""&amp;Q1419&amp;""""&amp;Dashboard!$L$1&amp;""""))/100),IF(Q1419=Dashboard!$L$1,M1419,M1419*GOOGLEFINANCE(""CURRENCY:""&amp;Q1419&amp;""""&amp;Dashboard!$"&amp;"L$1&amp;""""))),M1419))"),"")</f>
        <v/>
      </c>
      <c r="T1419" s="264" t="str">
        <f t="shared" si="4"/>
        <v/>
      </c>
      <c r="U1419" s="264" t="str">
        <f t="shared" si="5"/>
        <v/>
      </c>
      <c r="V1419" s="264" t="str">
        <f t="shared" si="6"/>
        <v/>
      </c>
      <c r="W1419" s="267" t="str">
        <f t="shared" si="8"/>
        <v/>
      </c>
      <c r="X1419" s="264" t="str">
        <f t="shared" si="7"/>
        <v/>
      </c>
    </row>
    <row r="1420" ht="15.75" customHeight="1">
      <c r="A1420" s="258"/>
      <c r="B1420" s="258"/>
      <c r="C1420" s="269"/>
      <c r="D1420" s="258"/>
      <c r="E1420" s="258"/>
      <c r="F1420" s="258"/>
      <c r="G1420" s="258"/>
      <c r="H1420" s="271"/>
      <c r="I1420" s="258"/>
      <c r="J1420" s="272"/>
      <c r="K1420" s="260"/>
      <c r="L1420" s="261"/>
      <c r="M1420" s="262" t="str">
        <f t="shared" si="1"/>
        <v/>
      </c>
      <c r="N1420" s="263" t="str">
        <f t="shared" si="2"/>
        <v/>
      </c>
      <c r="O1420" s="264" t="str">
        <f t="shared" si="3"/>
        <v/>
      </c>
      <c r="P1420" s="265" t="str">
        <f>IFERROR(__xludf.DUMMYFUNCTION("IF(ISBLANK(A1420),"""",IFERROR(IF(H1420=""Sell"",VLOOKUP(9^99,FILTER({ROW(P$2:P1419),P$2:P1419},D$2:D1419=D1420),2),(VLOOKUP(9^99,FILTER({ROW(P$2:P1419),P$2:P1419},D$2:D1419=D1420),2)*VLOOKUP(9^99,FILTER({ROW(O$2:O1419),O$2:O1419},D$2:D1419=D1420),2)-N142"&amp;"0)/O1420),J1420))"),"")</f>
        <v/>
      </c>
      <c r="Q1420" s="264" t="str">
        <f>IFERROR(__xludf.DUMMYFUNCTION("IFERROR(IF(F1420=""Crypto"",B1420,(IF(ISBLANK(D1420),"""",IF(D1420=""Cash"",B1420,IF(GOOGLEFINANCE(D1420,""CURRENCY"")=""GBX"",""GBP"",GOOGLEFINANCE(D1420,""CURRENCY"")))))),B1420)"),"")</f>
        <v/>
      </c>
      <c r="R1420" s="263" t="str">
        <f>IFERROR(__xludf.DUMMYFUNCTION("IF(ISBLANK(A1420),"""",IFERROR(IF(OR(Q1420=""GPB"",Q1420=""ZAR""),IF(Q1420=Dashboard!$L$1,K1420,(K1420*GOOGLEFINANCE(""CURRENCY:""&amp;Q1420&amp;""""&amp;Dashboard!$L$1&amp;""""))/100),IF(Q1420=Dashboard!$L$1,K1420,K1420*GOOGLEFINANCE(""CURRENCY:""&amp;Q1420&amp;""""&amp;Dashboard!$"&amp;"L$1&amp;""""))),K1420))"),"")</f>
        <v/>
      </c>
      <c r="S1420" s="266" t="str">
        <f>IFERROR(__xludf.DUMMYFUNCTION("IF(ISBLANK(A1420),"""",IFERROR(IF(OR(Q1420=""GPB"",Q1420=""ZAR""),IF(Q1420=Dashboard!$L$1,M1420,(M1420*GOOGLEFINANCE(""CURRENCY:""&amp;Q1420&amp;""""&amp;Dashboard!$L$1&amp;""""))/100),IF(Q1420=Dashboard!$L$1,M1420,M1420*GOOGLEFINANCE(""CURRENCY:""&amp;Q1420&amp;""""&amp;Dashboard!$"&amp;"L$1&amp;""""))),M1420))"),"")</f>
        <v/>
      </c>
      <c r="T1420" s="264" t="str">
        <f t="shared" si="4"/>
        <v/>
      </c>
      <c r="U1420" s="264" t="str">
        <f t="shared" si="5"/>
        <v/>
      </c>
      <c r="V1420" s="264" t="str">
        <f t="shared" si="6"/>
        <v/>
      </c>
      <c r="W1420" s="267" t="str">
        <f t="shared" si="8"/>
        <v/>
      </c>
      <c r="X1420" s="264" t="str">
        <f t="shared" si="7"/>
        <v/>
      </c>
    </row>
    <row r="1421" ht="15.75" customHeight="1">
      <c r="A1421" s="258"/>
      <c r="B1421" s="258"/>
      <c r="C1421" s="269"/>
      <c r="D1421" s="258"/>
      <c r="E1421" s="258"/>
      <c r="F1421" s="258"/>
      <c r="G1421" s="258"/>
      <c r="H1421" s="271"/>
      <c r="I1421" s="258"/>
      <c r="J1421" s="272"/>
      <c r="K1421" s="260"/>
      <c r="L1421" s="261"/>
      <c r="M1421" s="262" t="str">
        <f t="shared" si="1"/>
        <v/>
      </c>
      <c r="N1421" s="263" t="str">
        <f t="shared" si="2"/>
        <v/>
      </c>
      <c r="O1421" s="264" t="str">
        <f t="shared" si="3"/>
        <v/>
      </c>
      <c r="P1421" s="265" t="str">
        <f>IFERROR(__xludf.DUMMYFUNCTION("IF(ISBLANK(A1421),"""",IFERROR(IF(H1421=""Sell"",VLOOKUP(9^99,FILTER({ROW(P$2:P1420),P$2:P1420},D$2:D1420=D1421),2),(VLOOKUP(9^99,FILTER({ROW(P$2:P1420),P$2:P1420},D$2:D1420=D1421),2)*VLOOKUP(9^99,FILTER({ROW(O$2:O1420),O$2:O1420},D$2:D1420=D1421),2)-N142"&amp;"1)/O1421),J1421))"),"")</f>
        <v/>
      </c>
      <c r="Q1421" s="264" t="str">
        <f>IFERROR(__xludf.DUMMYFUNCTION("IFERROR(IF(F1421=""Crypto"",B1421,(IF(ISBLANK(D1421),"""",IF(D1421=""Cash"",B1421,IF(GOOGLEFINANCE(D1421,""CURRENCY"")=""GBX"",""GBP"",GOOGLEFINANCE(D1421,""CURRENCY"")))))),B1421)"),"")</f>
        <v/>
      </c>
      <c r="R1421" s="263" t="str">
        <f>IFERROR(__xludf.DUMMYFUNCTION("IF(ISBLANK(A1421),"""",IFERROR(IF(OR(Q1421=""GPB"",Q1421=""ZAR""),IF(Q1421=Dashboard!$L$1,K1421,(K1421*GOOGLEFINANCE(""CURRENCY:""&amp;Q1421&amp;""""&amp;Dashboard!$L$1&amp;""""))/100),IF(Q1421=Dashboard!$L$1,K1421,K1421*GOOGLEFINANCE(""CURRENCY:""&amp;Q1421&amp;""""&amp;Dashboard!$"&amp;"L$1&amp;""""))),K1421))"),"")</f>
        <v/>
      </c>
      <c r="S1421" s="266" t="str">
        <f>IFERROR(__xludf.DUMMYFUNCTION("IF(ISBLANK(A1421),"""",IFERROR(IF(OR(Q1421=""GPB"",Q1421=""ZAR""),IF(Q1421=Dashboard!$L$1,M1421,(M1421*GOOGLEFINANCE(""CURRENCY:""&amp;Q1421&amp;""""&amp;Dashboard!$L$1&amp;""""))/100),IF(Q1421=Dashboard!$L$1,M1421,M1421*GOOGLEFINANCE(""CURRENCY:""&amp;Q1421&amp;""""&amp;Dashboard!$"&amp;"L$1&amp;""""))),M1421))"),"")</f>
        <v/>
      </c>
      <c r="T1421" s="264" t="str">
        <f t="shared" si="4"/>
        <v/>
      </c>
      <c r="U1421" s="264" t="str">
        <f t="shared" si="5"/>
        <v/>
      </c>
      <c r="V1421" s="264" t="str">
        <f t="shared" si="6"/>
        <v/>
      </c>
      <c r="W1421" s="267" t="str">
        <f t="shared" si="8"/>
        <v/>
      </c>
      <c r="X1421" s="264" t="str">
        <f t="shared" si="7"/>
        <v/>
      </c>
    </row>
    <row r="1422" ht="15.75" customHeight="1">
      <c r="A1422" s="258"/>
      <c r="B1422" s="258"/>
      <c r="C1422" s="269"/>
      <c r="D1422" s="258"/>
      <c r="E1422" s="258"/>
      <c r="F1422" s="258"/>
      <c r="G1422" s="258"/>
      <c r="H1422" s="271"/>
      <c r="I1422" s="258"/>
      <c r="J1422" s="272"/>
      <c r="K1422" s="260"/>
      <c r="L1422" s="261"/>
      <c r="M1422" s="262" t="str">
        <f t="shared" si="1"/>
        <v/>
      </c>
      <c r="N1422" s="263" t="str">
        <f t="shared" si="2"/>
        <v/>
      </c>
      <c r="O1422" s="264" t="str">
        <f t="shared" si="3"/>
        <v/>
      </c>
      <c r="P1422" s="265" t="str">
        <f>IFERROR(__xludf.DUMMYFUNCTION("IF(ISBLANK(A1422),"""",IFERROR(IF(H1422=""Sell"",VLOOKUP(9^99,FILTER({ROW(P$2:P1421),P$2:P1421},D$2:D1421=D1422),2),(VLOOKUP(9^99,FILTER({ROW(P$2:P1421),P$2:P1421},D$2:D1421=D1422),2)*VLOOKUP(9^99,FILTER({ROW(O$2:O1421),O$2:O1421},D$2:D1421=D1422),2)-N142"&amp;"2)/O1422),J1422))"),"")</f>
        <v/>
      </c>
      <c r="Q1422" s="264" t="str">
        <f>IFERROR(__xludf.DUMMYFUNCTION("IFERROR(IF(F1422=""Crypto"",B1422,(IF(ISBLANK(D1422),"""",IF(D1422=""Cash"",B1422,IF(GOOGLEFINANCE(D1422,""CURRENCY"")=""GBX"",""GBP"",GOOGLEFINANCE(D1422,""CURRENCY"")))))),B1422)"),"")</f>
        <v/>
      </c>
      <c r="R1422" s="263" t="str">
        <f>IFERROR(__xludf.DUMMYFUNCTION("IF(ISBLANK(A1422),"""",IFERROR(IF(OR(Q1422=""GPB"",Q1422=""ZAR""),IF(Q1422=Dashboard!$L$1,K1422,(K1422*GOOGLEFINANCE(""CURRENCY:""&amp;Q1422&amp;""""&amp;Dashboard!$L$1&amp;""""))/100),IF(Q1422=Dashboard!$L$1,K1422,K1422*GOOGLEFINANCE(""CURRENCY:""&amp;Q1422&amp;""""&amp;Dashboard!$"&amp;"L$1&amp;""""))),K1422))"),"")</f>
        <v/>
      </c>
      <c r="S1422" s="266" t="str">
        <f>IFERROR(__xludf.DUMMYFUNCTION("IF(ISBLANK(A1422),"""",IFERROR(IF(OR(Q1422=""GPB"",Q1422=""ZAR""),IF(Q1422=Dashboard!$L$1,M1422,(M1422*GOOGLEFINANCE(""CURRENCY:""&amp;Q1422&amp;""""&amp;Dashboard!$L$1&amp;""""))/100),IF(Q1422=Dashboard!$L$1,M1422,M1422*GOOGLEFINANCE(""CURRENCY:""&amp;Q1422&amp;""""&amp;Dashboard!$"&amp;"L$1&amp;""""))),M1422))"),"")</f>
        <v/>
      </c>
      <c r="T1422" s="264" t="str">
        <f t="shared" si="4"/>
        <v/>
      </c>
      <c r="U1422" s="264" t="str">
        <f t="shared" si="5"/>
        <v/>
      </c>
      <c r="V1422" s="264" t="str">
        <f t="shared" si="6"/>
        <v/>
      </c>
      <c r="W1422" s="267" t="str">
        <f t="shared" si="8"/>
        <v/>
      </c>
      <c r="X1422" s="264" t="str">
        <f t="shared" si="7"/>
        <v/>
      </c>
    </row>
    <row r="1423" ht="15.75" customHeight="1">
      <c r="A1423" s="258"/>
      <c r="B1423" s="258"/>
      <c r="C1423" s="269"/>
      <c r="D1423" s="258"/>
      <c r="E1423" s="258"/>
      <c r="F1423" s="258"/>
      <c r="G1423" s="258"/>
      <c r="H1423" s="271"/>
      <c r="I1423" s="258"/>
      <c r="J1423" s="272"/>
      <c r="K1423" s="260"/>
      <c r="L1423" s="261"/>
      <c r="M1423" s="262" t="str">
        <f t="shared" si="1"/>
        <v/>
      </c>
      <c r="N1423" s="263" t="str">
        <f t="shared" si="2"/>
        <v/>
      </c>
      <c r="O1423" s="264" t="str">
        <f t="shared" si="3"/>
        <v/>
      </c>
      <c r="P1423" s="265" t="str">
        <f>IFERROR(__xludf.DUMMYFUNCTION("IF(ISBLANK(A1423),"""",IFERROR(IF(H1423=""Sell"",VLOOKUP(9^99,FILTER({ROW(P$2:P1422),P$2:P1422},D$2:D1422=D1423),2),(VLOOKUP(9^99,FILTER({ROW(P$2:P1422),P$2:P1422},D$2:D1422=D1423),2)*VLOOKUP(9^99,FILTER({ROW(O$2:O1422),O$2:O1422},D$2:D1422=D1423),2)-N142"&amp;"3)/O1423),J1423))"),"")</f>
        <v/>
      </c>
      <c r="Q1423" s="264" t="str">
        <f>IFERROR(__xludf.DUMMYFUNCTION("IFERROR(IF(F1423=""Crypto"",B1423,(IF(ISBLANK(D1423),"""",IF(D1423=""Cash"",B1423,IF(GOOGLEFINANCE(D1423,""CURRENCY"")=""GBX"",""GBP"",GOOGLEFINANCE(D1423,""CURRENCY"")))))),B1423)"),"")</f>
        <v/>
      </c>
      <c r="R1423" s="263" t="str">
        <f>IFERROR(__xludf.DUMMYFUNCTION("IF(ISBLANK(A1423),"""",IFERROR(IF(OR(Q1423=""GPB"",Q1423=""ZAR""),IF(Q1423=Dashboard!$L$1,K1423,(K1423*GOOGLEFINANCE(""CURRENCY:""&amp;Q1423&amp;""""&amp;Dashboard!$L$1&amp;""""))/100),IF(Q1423=Dashboard!$L$1,K1423,K1423*GOOGLEFINANCE(""CURRENCY:""&amp;Q1423&amp;""""&amp;Dashboard!$"&amp;"L$1&amp;""""))),K1423))"),"")</f>
        <v/>
      </c>
      <c r="S1423" s="266" t="str">
        <f>IFERROR(__xludf.DUMMYFUNCTION("IF(ISBLANK(A1423),"""",IFERROR(IF(OR(Q1423=""GPB"",Q1423=""ZAR""),IF(Q1423=Dashboard!$L$1,M1423,(M1423*GOOGLEFINANCE(""CURRENCY:""&amp;Q1423&amp;""""&amp;Dashboard!$L$1&amp;""""))/100),IF(Q1423=Dashboard!$L$1,M1423,M1423*GOOGLEFINANCE(""CURRENCY:""&amp;Q1423&amp;""""&amp;Dashboard!$"&amp;"L$1&amp;""""))),M1423))"),"")</f>
        <v/>
      </c>
      <c r="T1423" s="264" t="str">
        <f t="shared" si="4"/>
        <v/>
      </c>
      <c r="U1423" s="264" t="str">
        <f t="shared" si="5"/>
        <v/>
      </c>
      <c r="V1423" s="264" t="str">
        <f t="shared" si="6"/>
        <v/>
      </c>
      <c r="W1423" s="267" t="str">
        <f t="shared" si="8"/>
        <v/>
      </c>
      <c r="X1423" s="264" t="str">
        <f t="shared" si="7"/>
        <v/>
      </c>
    </row>
    <row r="1424" ht="15.75" customHeight="1">
      <c r="A1424" s="258"/>
      <c r="B1424" s="258"/>
      <c r="C1424" s="269"/>
      <c r="D1424" s="258"/>
      <c r="E1424" s="258"/>
      <c r="F1424" s="258"/>
      <c r="G1424" s="258"/>
      <c r="H1424" s="271"/>
      <c r="I1424" s="258"/>
      <c r="J1424" s="272"/>
      <c r="K1424" s="260"/>
      <c r="L1424" s="261"/>
      <c r="M1424" s="262" t="str">
        <f t="shared" si="1"/>
        <v/>
      </c>
      <c r="N1424" s="263" t="str">
        <f t="shared" si="2"/>
        <v/>
      </c>
      <c r="O1424" s="264" t="str">
        <f t="shared" si="3"/>
        <v/>
      </c>
      <c r="P1424" s="265" t="str">
        <f>IFERROR(__xludf.DUMMYFUNCTION("IF(ISBLANK(A1424),"""",IFERROR(IF(H1424=""Sell"",VLOOKUP(9^99,FILTER({ROW(P$2:P1423),P$2:P1423},D$2:D1423=D1424),2),(VLOOKUP(9^99,FILTER({ROW(P$2:P1423),P$2:P1423},D$2:D1423=D1424),2)*VLOOKUP(9^99,FILTER({ROW(O$2:O1423),O$2:O1423},D$2:D1423=D1424),2)-N142"&amp;"4)/O1424),J1424))"),"")</f>
        <v/>
      </c>
      <c r="Q1424" s="264" t="str">
        <f>IFERROR(__xludf.DUMMYFUNCTION("IFERROR(IF(F1424=""Crypto"",B1424,(IF(ISBLANK(D1424),"""",IF(D1424=""Cash"",B1424,IF(GOOGLEFINANCE(D1424,""CURRENCY"")=""GBX"",""GBP"",GOOGLEFINANCE(D1424,""CURRENCY"")))))),B1424)"),"")</f>
        <v/>
      </c>
      <c r="R1424" s="263" t="str">
        <f>IFERROR(__xludf.DUMMYFUNCTION("IF(ISBLANK(A1424),"""",IFERROR(IF(OR(Q1424=""GPB"",Q1424=""ZAR""),IF(Q1424=Dashboard!$L$1,K1424,(K1424*GOOGLEFINANCE(""CURRENCY:""&amp;Q1424&amp;""""&amp;Dashboard!$L$1&amp;""""))/100),IF(Q1424=Dashboard!$L$1,K1424,K1424*GOOGLEFINANCE(""CURRENCY:""&amp;Q1424&amp;""""&amp;Dashboard!$"&amp;"L$1&amp;""""))),K1424))"),"")</f>
        <v/>
      </c>
      <c r="S1424" s="266" t="str">
        <f>IFERROR(__xludf.DUMMYFUNCTION("IF(ISBLANK(A1424),"""",IFERROR(IF(OR(Q1424=""GPB"",Q1424=""ZAR""),IF(Q1424=Dashboard!$L$1,M1424,(M1424*GOOGLEFINANCE(""CURRENCY:""&amp;Q1424&amp;""""&amp;Dashboard!$L$1&amp;""""))/100),IF(Q1424=Dashboard!$L$1,M1424,M1424*GOOGLEFINANCE(""CURRENCY:""&amp;Q1424&amp;""""&amp;Dashboard!$"&amp;"L$1&amp;""""))),M1424))"),"")</f>
        <v/>
      </c>
      <c r="T1424" s="264" t="str">
        <f t="shared" si="4"/>
        <v/>
      </c>
      <c r="U1424" s="264" t="str">
        <f t="shared" si="5"/>
        <v/>
      </c>
      <c r="V1424" s="264" t="str">
        <f t="shared" si="6"/>
        <v/>
      </c>
      <c r="W1424" s="267" t="str">
        <f t="shared" si="8"/>
        <v/>
      </c>
      <c r="X1424" s="264" t="str">
        <f t="shared" si="7"/>
        <v/>
      </c>
    </row>
    <row r="1425" ht="15.75" customHeight="1">
      <c r="A1425" s="258"/>
      <c r="B1425" s="258"/>
      <c r="C1425" s="269"/>
      <c r="D1425" s="258"/>
      <c r="E1425" s="258"/>
      <c r="F1425" s="258"/>
      <c r="G1425" s="258"/>
      <c r="H1425" s="271"/>
      <c r="I1425" s="258"/>
      <c r="J1425" s="272"/>
      <c r="K1425" s="260"/>
      <c r="L1425" s="261"/>
      <c r="M1425" s="262" t="str">
        <f t="shared" si="1"/>
        <v/>
      </c>
      <c r="N1425" s="263" t="str">
        <f t="shared" si="2"/>
        <v/>
      </c>
      <c r="O1425" s="264" t="str">
        <f t="shared" si="3"/>
        <v/>
      </c>
      <c r="P1425" s="265" t="str">
        <f>IFERROR(__xludf.DUMMYFUNCTION("IF(ISBLANK(A1425),"""",IFERROR(IF(H1425=""Sell"",VLOOKUP(9^99,FILTER({ROW(P$2:P1424),P$2:P1424},D$2:D1424=D1425),2),(VLOOKUP(9^99,FILTER({ROW(P$2:P1424),P$2:P1424},D$2:D1424=D1425),2)*VLOOKUP(9^99,FILTER({ROW(O$2:O1424),O$2:O1424},D$2:D1424=D1425),2)-N142"&amp;"5)/O1425),J1425))"),"")</f>
        <v/>
      </c>
      <c r="Q1425" s="264" t="str">
        <f>IFERROR(__xludf.DUMMYFUNCTION("IFERROR(IF(F1425=""Crypto"",B1425,(IF(ISBLANK(D1425),"""",IF(D1425=""Cash"",B1425,IF(GOOGLEFINANCE(D1425,""CURRENCY"")=""GBX"",""GBP"",GOOGLEFINANCE(D1425,""CURRENCY"")))))),B1425)"),"")</f>
        <v/>
      </c>
      <c r="R1425" s="263" t="str">
        <f>IFERROR(__xludf.DUMMYFUNCTION("IF(ISBLANK(A1425),"""",IFERROR(IF(OR(Q1425=""GPB"",Q1425=""ZAR""),IF(Q1425=Dashboard!$L$1,K1425,(K1425*GOOGLEFINANCE(""CURRENCY:""&amp;Q1425&amp;""""&amp;Dashboard!$L$1&amp;""""))/100),IF(Q1425=Dashboard!$L$1,K1425,K1425*GOOGLEFINANCE(""CURRENCY:""&amp;Q1425&amp;""""&amp;Dashboard!$"&amp;"L$1&amp;""""))),K1425))"),"")</f>
        <v/>
      </c>
      <c r="S1425" s="266" t="str">
        <f>IFERROR(__xludf.DUMMYFUNCTION("IF(ISBLANK(A1425),"""",IFERROR(IF(OR(Q1425=""GPB"",Q1425=""ZAR""),IF(Q1425=Dashboard!$L$1,M1425,(M1425*GOOGLEFINANCE(""CURRENCY:""&amp;Q1425&amp;""""&amp;Dashboard!$L$1&amp;""""))/100),IF(Q1425=Dashboard!$L$1,M1425,M1425*GOOGLEFINANCE(""CURRENCY:""&amp;Q1425&amp;""""&amp;Dashboard!$"&amp;"L$1&amp;""""))),M1425))"),"")</f>
        <v/>
      </c>
      <c r="T1425" s="264" t="str">
        <f t="shared" si="4"/>
        <v/>
      </c>
      <c r="U1425" s="264" t="str">
        <f t="shared" si="5"/>
        <v/>
      </c>
      <c r="V1425" s="264" t="str">
        <f t="shared" si="6"/>
        <v/>
      </c>
      <c r="W1425" s="267" t="str">
        <f t="shared" si="8"/>
        <v/>
      </c>
      <c r="X1425" s="264" t="str">
        <f t="shared" si="7"/>
        <v/>
      </c>
    </row>
    <row r="1426" ht="15.75" customHeight="1">
      <c r="A1426" s="258"/>
      <c r="B1426" s="258"/>
      <c r="C1426" s="269"/>
      <c r="D1426" s="258"/>
      <c r="E1426" s="258"/>
      <c r="F1426" s="258"/>
      <c r="G1426" s="258"/>
      <c r="H1426" s="271"/>
      <c r="I1426" s="258"/>
      <c r="J1426" s="272"/>
      <c r="K1426" s="260"/>
      <c r="L1426" s="261"/>
      <c r="M1426" s="262" t="str">
        <f t="shared" si="1"/>
        <v/>
      </c>
      <c r="N1426" s="263" t="str">
        <f t="shared" si="2"/>
        <v/>
      </c>
      <c r="O1426" s="264" t="str">
        <f t="shared" si="3"/>
        <v/>
      </c>
      <c r="P1426" s="265" t="str">
        <f>IFERROR(__xludf.DUMMYFUNCTION("IF(ISBLANK(A1426),"""",IFERROR(IF(H1426=""Sell"",VLOOKUP(9^99,FILTER({ROW(P$2:P1425),P$2:P1425},D$2:D1425=D1426),2),(VLOOKUP(9^99,FILTER({ROW(P$2:P1425),P$2:P1425},D$2:D1425=D1426),2)*VLOOKUP(9^99,FILTER({ROW(O$2:O1425),O$2:O1425},D$2:D1425=D1426),2)-N142"&amp;"6)/O1426),J1426))"),"")</f>
        <v/>
      </c>
      <c r="Q1426" s="264" t="str">
        <f>IFERROR(__xludf.DUMMYFUNCTION("IFERROR(IF(F1426=""Crypto"",B1426,(IF(ISBLANK(D1426),"""",IF(D1426=""Cash"",B1426,IF(GOOGLEFINANCE(D1426,""CURRENCY"")=""GBX"",""GBP"",GOOGLEFINANCE(D1426,""CURRENCY"")))))),B1426)"),"")</f>
        <v/>
      </c>
      <c r="R1426" s="263" t="str">
        <f>IFERROR(__xludf.DUMMYFUNCTION("IF(ISBLANK(A1426),"""",IFERROR(IF(OR(Q1426=""GPB"",Q1426=""ZAR""),IF(Q1426=Dashboard!$L$1,K1426,(K1426*GOOGLEFINANCE(""CURRENCY:""&amp;Q1426&amp;""""&amp;Dashboard!$L$1&amp;""""))/100),IF(Q1426=Dashboard!$L$1,K1426,K1426*GOOGLEFINANCE(""CURRENCY:""&amp;Q1426&amp;""""&amp;Dashboard!$"&amp;"L$1&amp;""""))),K1426))"),"")</f>
        <v/>
      </c>
      <c r="S1426" s="266" t="str">
        <f>IFERROR(__xludf.DUMMYFUNCTION("IF(ISBLANK(A1426),"""",IFERROR(IF(OR(Q1426=""GPB"",Q1426=""ZAR""),IF(Q1426=Dashboard!$L$1,M1426,(M1426*GOOGLEFINANCE(""CURRENCY:""&amp;Q1426&amp;""""&amp;Dashboard!$L$1&amp;""""))/100),IF(Q1426=Dashboard!$L$1,M1426,M1426*GOOGLEFINANCE(""CURRENCY:""&amp;Q1426&amp;""""&amp;Dashboard!$"&amp;"L$1&amp;""""))),M1426))"),"")</f>
        <v/>
      </c>
      <c r="T1426" s="264" t="str">
        <f t="shared" si="4"/>
        <v/>
      </c>
      <c r="U1426" s="264" t="str">
        <f t="shared" si="5"/>
        <v/>
      </c>
      <c r="V1426" s="264" t="str">
        <f t="shared" si="6"/>
        <v/>
      </c>
      <c r="W1426" s="267" t="str">
        <f t="shared" si="8"/>
        <v/>
      </c>
      <c r="X1426" s="264" t="str">
        <f t="shared" si="7"/>
        <v/>
      </c>
    </row>
    <row r="1427" ht="15.75" customHeight="1">
      <c r="A1427" s="258"/>
      <c r="B1427" s="258"/>
      <c r="C1427" s="269"/>
      <c r="D1427" s="258"/>
      <c r="E1427" s="258"/>
      <c r="F1427" s="258"/>
      <c r="G1427" s="258"/>
      <c r="H1427" s="271"/>
      <c r="I1427" s="258"/>
      <c r="J1427" s="272"/>
      <c r="K1427" s="260"/>
      <c r="L1427" s="261"/>
      <c r="M1427" s="262" t="str">
        <f t="shared" si="1"/>
        <v/>
      </c>
      <c r="N1427" s="263" t="str">
        <f t="shared" si="2"/>
        <v/>
      </c>
      <c r="O1427" s="264" t="str">
        <f t="shared" si="3"/>
        <v/>
      </c>
      <c r="P1427" s="265" t="str">
        <f>IFERROR(__xludf.DUMMYFUNCTION("IF(ISBLANK(A1427),"""",IFERROR(IF(H1427=""Sell"",VLOOKUP(9^99,FILTER({ROW(P$2:P1426),P$2:P1426},D$2:D1426=D1427),2),(VLOOKUP(9^99,FILTER({ROW(P$2:P1426),P$2:P1426},D$2:D1426=D1427),2)*VLOOKUP(9^99,FILTER({ROW(O$2:O1426),O$2:O1426},D$2:D1426=D1427),2)-N142"&amp;"7)/O1427),J1427))"),"")</f>
        <v/>
      </c>
      <c r="Q1427" s="264" t="str">
        <f>IFERROR(__xludf.DUMMYFUNCTION("IFERROR(IF(F1427=""Crypto"",B1427,(IF(ISBLANK(D1427),"""",IF(D1427=""Cash"",B1427,IF(GOOGLEFINANCE(D1427,""CURRENCY"")=""GBX"",""GBP"",GOOGLEFINANCE(D1427,""CURRENCY"")))))),B1427)"),"")</f>
        <v/>
      </c>
      <c r="R1427" s="263" t="str">
        <f>IFERROR(__xludf.DUMMYFUNCTION("IF(ISBLANK(A1427),"""",IFERROR(IF(OR(Q1427=""GPB"",Q1427=""ZAR""),IF(Q1427=Dashboard!$L$1,K1427,(K1427*GOOGLEFINANCE(""CURRENCY:""&amp;Q1427&amp;""""&amp;Dashboard!$L$1&amp;""""))/100),IF(Q1427=Dashboard!$L$1,K1427,K1427*GOOGLEFINANCE(""CURRENCY:""&amp;Q1427&amp;""""&amp;Dashboard!$"&amp;"L$1&amp;""""))),K1427))"),"")</f>
        <v/>
      </c>
      <c r="S1427" s="266" t="str">
        <f>IFERROR(__xludf.DUMMYFUNCTION("IF(ISBLANK(A1427),"""",IFERROR(IF(OR(Q1427=""GPB"",Q1427=""ZAR""),IF(Q1427=Dashboard!$L$1,M1427,(M1427*GOOGLEFINANCE(""CURRENCY:""&amp;Q1427&amp;""""&amp;Dashboard!$L$1&amp;""""))/100),IF(Q1427=Dashboard!$L$1,M1427,M1427*GOOGLEFINANCE(""CURRENCY:""&amp;Q1427&amp;""""&amp;Dashboard!$"&amp;"L$1&amp;""""))),M1427))"),"")</f>
        <v/>
      </c>
      <c r="T1427" s="264" t="str">
        <f t="shared" si="4"/>
        <v/>
      </c>
      <c r="U1427" s="264" t="str">
        <f t="shared" si="5"/>
        <v/>
      </c>
      <c r="V1427" s="264" t="str">
        <f t="shared" si="6"/>
        <v/>
      </c>
      <c r="W1427" s="267" t="str">
        <f t="shared" si="8"/>
        <v/>
      </c>
      <c r="X1427" s="264" t="str">
        <f t="shared" si="7"/>
        <v/>
      </c>
    </row>
    <row r="1428" ht="15.75" customHeight="1">
      <c r="A1428" s="258"/>
      <c r="B1428" s="258"/>
      <c r="C1428" s="269"/>
      <c r="D1428" s="258"/>
      <c r="E1428" s="258"/>
      <c r="F1428" s="258"/>
      <c r="G1428" s="258"/>
      <c r="H1428" s="271"/>
      <c r="I1428" s="258"/>
      <c r="J1428" s="272"/>
      <c r="K1428" s="260"/>
      <c r="L1428" s="261"/>
      <c r="M1428" s="262" t="str">
        <f t="shared" si="1"/>
        <v/>
      </c>
      <c r="N1428" s="263" t="str">
        <f t="shared" si="2"/>
        <v/>
      </c>
      <c r="O1428" s="264" t="str">
        <f t="shared" si="3"/>
        <v/>
      </c>
      <c r="P1428" s="265" t="str">
        <f>IFERROR(__xludf.DUMMYFUNCTION("IF(ISBLANK(A1428),"""",IFERROR(IF(H1428=""Sell"",VLOOKUP(9^99,FILTER({ROW(P$2:P1427),P$2:P1427},D$2:D1427=D1428),2),(VLOOKUP(9^99,FILTER({ROW(P$2:P1427),P$2:P1427},D$2:D1427=D1428),2)*VLOOKUP(9^99,FILTER({ROW(O$2:O1427),O$2:O1427},D$2:D1427=D1428),2)-N142"&amp;"8)/O1428),J1428))"),"")</f>
        <v/>
      </c>
      <c r="Q1428" s="264" t="str">
        <f>IFERROR(__xludf.DUMMYFUNCTION("IFERROR(IF(F1428=""Crypto"",B1428,(IF(ISBLANK(D1428),"""",IF(D1428=""Cash"",B1428,IF(GOOGLEFINANCE(D1428,""CURRENCY"")=""GBX"",""GBP"",GOOGLEFINANCE(D1428,""CURRENCY"")))))),B1428)"),"")</f>
        <v/>
      </c>
      <c r="R1428" s="263" t="str">
        <f>IFERROR(__xludf.DUMMYFUNCTION("IF(ISBLANK(A1428),"""",IFERROR(IF(OR(Q1428=""GPB"",Q1428=""ZAR""),IF(Q1428=Dashboard!$L$1,K1428,(K1428*GOOGLEFINANCE(""CURRENCY:""&amp;Q1428&amp;""""&amp;Dashboard!$L$1&amp;""""))/100),IF(Q1428=Dashboard!$L$1,K1428,K1428*GOOGLEFINANCE(""CURRENCY:""&amp;Q1428&amp;""""&amp;Dashboard!$"&amp;"L$1&amp;""""))),K1428))"),"")</f>
        <v/>
      </c>
      <c r="S1428" s="266" t="str">
        <f>IFERROR(__xludf.DUMMYFUNCTION("IF(ISBLANK(A1428),"""",IFERROR(IF(OR(Q1428=""GPB"",Q1428=""ZAR""),IF(Q1428=Dashboard!$L$1,M1428,(M1428*GOOGLEFINANCE(""CURRENCY:""&amp;Q1428&amp;""""&amp;Dashboard!$L$1&amp;""""))/100),IF(Q1428=Dashboard!$L$1,M1428,M1428*GOOGLEFINANCE(""CURRENCY:""&amp;Q1428&amp;""""&amp;Dashboard!$"&amp;"L$1&amp;""""))),M1428))"),"")</f>
        <v/>
      </c>
      <c r="T1428" s="264" t="str">
        <f t="shared" si="4"/>
        <v/>
      </c>
      <c r="U1428" s="264" t="str">
        <f t="shared" si="5"/>
        <v/>
      </c>
      <c r="V1428" s="264" t="str">
        <f t="shared" si="6"/>
        <v/>
      </c>
      <c r="W1428" s="267" t="str">
        <f t="shared" si="8"/>
        <v/>
      </c>
      <c r="X1428" s="264" t="str">
        <f t="shared" si="7"/>
        <v/>
      </c>
    </row>
    <row r="1429" ht="15.75" customHeight="1">
      <c r="A1429" s="258"/>
      <c r="B1429" s="258"/>
      <c r="C1429" s="269"/>
      <c r="D1429" s="258"/>
      <c r="E1429" s="258"/>
      <c r="F1429" s="258"/>
      <c r="G1429" s="258"/>
      <c r="H1429" s="271"/>
      <c r="I1429" s="258"/>
      <c r="J1429" s="272"/>
      <c r="K1429" s="260"/>
      <c r="L1429" s="261"/>
      <c r="M1429" s="262" t="str">
        <f t="shared" si="1"/>
        <v/>
      </c>
      <c r="N1429" s="263" t="str">
        <f t="shared" si="2"/>
        <v/>
      </c>
      <c r="O1429" s="264" t="str">
        <f t="shared" si="3"/>
        <v/>
      </c>
      <c r="P1429" s="265" t="str">
        <f>IFERROR(__xludf.DUMMYFUNCTION("IF(ISBLANK(A1429),"""",IFERROR(IF(H1429=""Sell"",VLOOKUP(9^99,FILTER({ROW(P$2:P1428),P$2:P1428},D$2:D1428=D1429),2),(VLOOKUP(9^99,FILTER({ROW(P$2:P1428),P$2:P1428},D$2:D1428=D1429),2)*VLOOKUP(9^99,FILTER({ROW(O$2:O1428),O$2:O1428},D$2:D1428=D1429),2)-N142"&amp;"9)/O1429),J1429))"),"")</f>
        <v/>
      </c>
      <c r="Q1429" s="264" t="str">
        <f>IFERROR(__xludf.DUMMYFUNCTION("IFERROR(IF(F1429=""Crypto"",B1429,(IF(ISBLANK(D1429),"""",IF(D1429=""Cash"",B1429,IF(GOOGLEFINANCE(D1429,""CURRENCY"")=""GBX"",""GBP"",GOOGLEFINANCE(D1429,""CURRENCY"")))))),B1429)"),"")</f>
        <v/>
      </c>
      <c r="R1429" s="263" t="str">
        <f>IFERROR(__xludf.DUMMYFUNCTION("IF(ISBLANK(A1429),"""",IFERROR(IF(OR(Q1429=""GPB"",Q1429=""ZAR""),IF(Q1429=Dashboard!$L$1,K1429,(K1429*GOOGLEFINANCE(""CURRENCY:""&amp;Q1429&amp;""""&amp;Dashboard!$L$1&amp;""""))/100),IF(Q1429=Dashboard!$L$1,K1429,K1429*GOOGLEFINANCE(""CURRENCY:""&amp;Q1429&amp;""""&amp;Dashboard!$"&amp;"L$1&amp;""""))),K1429))"),"")</f>
        <v/>
      </c>
      <c r="S1429" s="266" t="str">
        <f>IFERROR(__xludf.DUMMYFUNCTION("IF(ISBLANK(A1429),"""",IFERROR(IF(OR(Q1429=""GPB"",Q1429=""ZAR""),IF(Q1429=Dashboard!$L$1,M1429,(M1429*GOOGLEFINANCE(""CURRENCY:""&amp;Q1429&amp;""""&amp;Dashboard!$L$1&amp;""""))/100),IF(Q1429=Dashboard!$L$1,M1429,M1429*GOOGLEFINANCE(""CURRENCY:""&amp;Q1429&amp;""""&amp;Dashboard!$"&amp;"L$1&amp;""""))),M1429))"),"")</f>
        <v/>
      </c>
      <c r="T1429" s="264" t="str">
        <f t="shared" si="4"/>
        <v/>
      </c>
      <c r="U1429" s="264" t="str">
        <f t="shared" si="5"/>
        <v/>
      </c>
      <c r="V1429" s="264" t="str">
        <f t="shared" si="6"/>
        <v/>
      </c>
      <c r="W1429" s="267" t="str">
        <f t="shared" si="8"/>
        <v/>
      </c>
      <c r="X1429" s="264" t="str">
        <f t="shared" si="7"/>
        <v/>
      </c>
    </row>
    <row r="1430" ht="15.75" customHeight="1">
      <c r="A1430" s="258"/>
      <c r="B1430" s="258"/>
      <c r="C1430" s="269"/>
      <c r="D1430" s="258"/>
      <c r="E1430" s="258"/>
      <c r="F1430" s="258"/>
      <c r="G1430" s="258"/>
      <c r="H1430" s="271"/>
      <c r="I1430" s="258"/>
      <c r="J1430" s="272"/>
      <c r="K1430" s="260"/>
      <c r="L1430" s="261"/>
      <c r="M1430" s="262" t="str">
        <f t="shared" si="1"/>
        <v/>
      </c>
      <c r="N1430" s="263" t="str">
        <f t="shared" si="2"/>
        <v/>
      </c>
      <c r="O1430" s="264" t="str">
        <f t="shared" si="3"/>
        <v/>
      </c>
      <c r="P1430" s="265" t="str">
        <f>IFERROR(__xludf.DUMMYFUNCTION("IF(ISBLANK(A1430),"""",IFERROR(IF(H1430=""Sell"",VLOOKUP(9^99,FILTER({ROW(P$2:P1429),P$2:P1429},D$2:D1429=D1430),2),(VLOOKUP(9^99,FILTER({ROW(P$2:P1429),P$2:P1429},D$2:D1429=D1430),2)*VLOOKUP(9^99,FILTER({ROW(O$2:O1429),O$2:O1429},D$2:D1429=D1430),2)-N143"&amp;"0)/O1430),J1430))"),"")</f>
        <v/>
      </c>
      <c r="Q1430" s="264" t="str">
        <f>IFERROR(__xludf.DUMMYFUNCTION("IFERROR(IF(F1430=""Crypto"",B1430,(IF(ISBLANK(D1430),"""",IF(D1430=""Cash"",B1430,IF(GOOGLEFINANCE(D1430,""CURRENCY"")=""GBX"",""GBP"",GOOGLEFINANCE(D1430,""CURRENCY"")))))),B1430)"),"")</f>
        <v/>
      </c>
      <c r="R1430" s="263" t="str">
        <f>IFERROR(__xludf.DUMMYFUNCTION("IF(ISBLANK(A1430),"""",IFERROR(IF(OR(Q1430=""GPB"",Q1430=""ZAR""),IF(Q1430=Dashboard!$L$1,K1430,(K1430*GOOGLEFINANCE(""CURRENCY:""&amp;Q1430&amp;""""&amp;Dashboard!$L$1&amp;""""))/100),IF(Q1430=Dashboard!$L$1,K1430,K1430*GOOGLEFINANCE(""CURRENCY:""&amp;Q1430&amp;""""&amp;Dashboard!$"&amp;"L$1&amp;""""))),K1430))"),"")</f>
        <v/>
      </c>
      <c r="S1430" s="266" t="str">
        <f>IFERROR(__xludf.DUMMYFUNCTION("IF(ISBLANK(A1430),"""",IFERROR(IF(OR(Q1430=""GPB"",Q1430=""ZAR""),IF(Q1430=Dashboard!$L$1,M1430,(M1430*GOOGLEFINANCE(""CURRENCY:""&amp;Q1430&amp;""""&amp;Dashboard!$L$1&amp;""""))/100),IF(Q1430=Dashboard!$L$1,M1430,M1430*GOOGLEFINANCE(""CURRENCY:""&amp;Q1430&amp;""""&amp;Dashboard!$"&amp;"L$1&amp;""""))),M1430))"),"")</f>
        <v/>
      </c>
      <c r="T1430" s="264" t="str">
        <f t="shared" si="4"/>
        <v/>
      </c>
      <c r="U1430" s="264" t="str">
        <f t="shared" si="5"/>
        <v/>
      </c>
      <c r="V1430" s="264" t="str">
        <f t="shared" si="6"/>
        <v/>
      </c>
      <c r="W1430" s="267" t="str">
        <f t="shared" si="8"/>
        <v/>
      </c>
      <c r="X1430" s="264" t="str">
        <f t="shared" si="7"/>
        <v/>
      </c>
    </row>
    <row r="1431" ht="15.75" customHeight="1">
      <c r="A1431" s="258"/>
      <c r="B1431" s="258"/>
      <c r="C1431" s="269"/>
      <c r="D1431" s="258"/>
      <c r="E1431" s="258"/>
      <c r="F1431" s="258"/>
      <c r="G1431" s="258"/>
      <c r="H1431" s="271"/>
      <c r="I1431" s="258"/>
      <c r="J1431" s="272"/>
      <c r="K1431" s="260"/>
      <c r="L1431" s="261"/>
      <c r="M1431" s="262" t="str">
        <f t="shared" si="1"/>
        <v/>
      </c>
      <c r="N1431" s="263" t="str">
        <f t="shared" si="2"/>
        <v/>
      </c>
      <c r="O1431" s="264" t="str">
        <f t="shared" si="3"/>
        <v/>
      </c>
      <c r="P1431" s="265" t="str">
        <f>IFERROR(__xludf.DUMMYFUNCTION("IF(ISBLANK(A1431),"""",IFERROR(IF(H1431=""Sell"",VLOOKUP(9^99,FILTER({ROW(P$2:P1430),P$2:P1430},D$2:D1430=D1431),2),(VLOOKUP(9^99,FILTER({ROW(P$2:P1430),P$2:P1430},D$2:D1430=D1431),2)*VLOOKUP(9^99,FILTER({ROW(O$2:O1430),O$2:O1430},D$2:D1430=D1431),2)-N143"&amp;"1)/O1431),J1431))"),"")</f>
        <v/>
      </c>
      <c r="Q1431" s="264" t="str">
        <f>IFERROR(__xludf.DUMMYFUNCTION("IFERROR(IF(F1431=""Crypto"",B1431,(IF(ISBLANK(D1431),"""",IF(D1431=""Cash"",B1431,IF(GOOGLEFINANCE(D1431,""CURRENCY"")=""GBX"",""GBP"",GOOGLEFINANCE(D1431,""CURRENCY"")))))),B1431)"),"")</f>
        <v/>
      </c>
      <c r="R1431" s="263" t="str">
        <f>IFERROR(__xludf.DUMMYFUNCTION("IF(ISBLANK(A1431),"""",IFERROR(IF(OR(Q1431=""GPB"",Q1431=""ZAR""),IF(Q1431=Dashboard!$L$1,K1431,(K1431*GOOGLEFINANCE(""CURRENCY:""&amp;Q1431&amp;""""&amp;Dashboard!$L$1&amp;""""))/100),IF(Q1431=Dashboard!$L$1,K1431,K1431*GOOGLEFINANCE(""CURRENCY:""&amp;Q1431&amp;""""&amp;Dashboard!$"&amp;"L$1&amp;""""))),K1431))"),"")</f>
        <v/>
      </c>
      <c r="S1431" s="266" t="str">
        <f>IFERROR(__xludf.DUMMYFUNCTION("IF(ISBLANK(A1431),"""",IFERROR(IF(OR(Q1431=""GPB"",Q1431=""ZAR""),IF(Q1431=Dashboard!$L$1,M1431,(M1431*GOOGLEFINANCE(""CURRENCY:""&amp;Q1431&amp;""""&amp;Dashboard!$L$1&amp;""""))/100),IF(Q1431=Dashboard!$L$1,M1431,M1431*GOOGLEFINANCE(""CURRENCY:""&amp;Q1431&amp;""""&amp;Dashboard!$"&amp;"L$1&amp;""""))),M1431))"),"")</f>
        <v/>
      </c>
      <c r="T1431" s="264" t="str">
        <f t="shared" si="4"/>
        <v/>
      </c>
      <c r="U1431" s="264" t="str">
        <f t="shared" si="5"/>
        <v/>
      </c>
      <c r="V1431" s="264" t="str">
        <f t="shared" si="6"/>
        <v/>
      </c>
      <c r="W1431" s="267" t="str">
        <f t="shared" si="8"/>
        <v/>
      </c>
      <c r="X1431" s="264" t="str">
        <f t="shared" si="7"/>
        <v/>
      </c>
    </row>
    <row r="1432" ht="15.75" customHeight="1">
      <c r="A1432" s="258"/>
      <c r="B1432" s="258"/>
      <c r="C1432" s="269"/>
      <c r="D1432" s="258"/>
      <c r="E1432" s="258"/>
      <c r="F1432" s="258"/>
      <c r="G1432" s="258"/>
      <c r="H1432" s="271"/>
      <c r="I1432" s="258"/>
      <c r="J1432" s="272"/>
      <c r="K1432" s="260"/>
      <c r="L1432" s="261"/>
      <c r="M1432" s="262" t="str">
        <f t="shared" si="1"/>
        <v/>
      </c>
      <c r="N1432" s="263" t="str">
        <f t="shared" si="2"/>
        <v/>
      </c>
      <c r="O1432" s="264" t="str">
        <f t="shared" si="3"/>
        <v/>
      </c>
      <c r="P1432" s="265" t="str">
        <f>IFERROR(__xludf.DUMMYFUNCTION("IF(ISBLANK(A1432),"""",IFERROR(IF(H1432=""Sell"",VLOOKUP(9^99,FILTER({ROW(P$2:P1431),P$2:P1431},D$2:D1431=D1432),2),(VLOOKUP(9^99,FILTER({ROW(P$2:P1431),P$2:P1431},D$2:D1431=D1432),2)*VLOOKUP(9^99,FILTER({ROW(O$2:O1431),O$2:O1431},D$2:D1431=D1432),2)-N143"&amp;"2)/O1432),J1432))"),"")</f>
        <v/>
      </c>
      <c r="Q1432" s="264" t="str">
        <f>IFERROR(__xludf.DUMMYFUNCTION("IFERROR(IF(F1432=""Crypto"",B1432,(IF(ISBLANK(D1432),"""",IF(D1432=""Cash"",B1432,IF(GOOGLEFINANCE(D1432,""CURRENCY"")=""GBX"",""GBP"",GOOGLEFINANCE(D1432,""CURRENCY"")))))),B1432)"),"")</f>
        <v/>
      </c>
      <c r="R1432" s="263" t="str">
        <f>IFERROR(__xludf.DUMMYFUNCTION("IF(ISBLANK(A1432),"""",IFERROR(IF(OR(Q1432=""GPB"",Q1432=""ZAR""),IF(Q1432=Dashboard!$L$1,K1432,(K1432*GOOGLEFINANCE(""CURRENCY:""&amp;Q1432&amp;""""&amp;Dashboard!$L$1&amp;""""))/100),IF(Q1432=Dashboard!$L$1,K1432,K1432*GOOGLEFINANCE(""CURRENCY:""&amp;Q1432&amp;""""&amp;Dashboard!$"&amp;"L$1&amp;""""))),K1432))"),"")</f>
        <v/>
      </c>
      <c r="S1432" s="266" t="str">
        <f>IFERROR(__xludf.DUMMYFUNCTION("IF(ISBLANK(A1432),"""",IFERROR(IF(OR(Q1432=""GPB"",Q1432=""ZAR""),IF(Q1432=Dashboard!$L$1,M1432,(M1432*GOOGLEFINANCE(""CURRENCY:""&amp;Q1432&amp;""""&amp;Dashboard!$L$1&amp;""""))/100),IF(Q1432=Dashboard!$L$1,M1432,M1432*GOOGLEFINANCE(""CURRENCY:""&amp;Q1432&amp;""""&amp;Dashboard!$"&amp;"L$1&amp;""""))),M1432))"),"")</f>
        <v/>
      </c>
      <c r="T1432" s="264" t="str">
        <f t="shared" si="4"/>
        <v/>
      </c>
      <c r="U1432" s="264" t="str">
        <f t="shared" si="5"/>
        <v/>
      </c>
      <c r="V1432" s="264" t="str">
        <f t="shared" si="6"/>
        <v/>
      </c>
      <c r="W1432" s="267" t="str">
        <f t="shared" si="8"/>
        <v/>
      </c>
      <c r="X1432" s="264" t="str">
        <f t="shared" si="7"/>
        <v/>
      </c>
    </row>
    <row r="1433" ht="15.75" customHeight="1">
      <c r="A1433" s="258"/>
      <c r="B1433" s="258"/>
      <c r="C1433" s="269"/>
      <c r="D1433" s="258"/>
      <c r="E1433" s="258"/>
      <c r="F1433" s="258"/>
      <c r="G1433" s="258"/>
      <c r="H1433" s="271"/>
      <c r="I1433" s="258"/>
      <c r="J1433" s="272"/>
      <c r="K1433" s="260"/>
      <c r="L1433" s="261"/>
      <c r="M1433" s="262" t="str">
        <f t="shared" si="1"/>
        <v/>
      </c>
      <c r="N1433" s="263" t="str">
        <f t="shared" si="2"/>
        <v/>
      </c>
      <c r="O1433" s="264" t="str">
        <f t="shared" si="3"/>
        <v/>
      </c>
      <c r="P1433" s="265" t="str">
        <f>IFERROR(__xludf.DUMMYFUNCTION("IF(ISBLANK(A1433),"""",IFERROR(IF(H1433=""Sell"",VLOOKUP(9^99,FILTER({ROW(P$2:P1432),P$2:P1432},D$2:D1432=D1433),2),(VLOOKUP(9^99,FILTER({ROW(P$2:P1432),P$2:P1432},D$2:D1432=D1433),2)*VLOOKUP(9^99,FILTER({ROW(O$2:O1432),O$2:O1432},D$2:D1432=D1433),2)-N143"&amp;"3)/O1433),J1433))"),"")</f>
        <v/>
      </c>
      <c r="Q1433" s="264" t="str">
        <f>IFERROR(__xludf.DUMMYFUNCTION("IFERROR(IF(F1433=""Crypto"",B1433,(IF(ISBLANK(D1433),"""",IF(D1433=""Cash"",B1433,IF(GOOGLEFINANCE(D1433,""CURRENCY"")=""GBX"",""GBP"",GOOGLEFINANCE(D1433,""CURRENCY"")))))),B1433)"),"")</f>
        <v/>
      </c>
      <c r="R1433" s="263" t="str">
        <f>IFERROR(__xludf.DUMMYFUNCTION("IF(ISBLANK(A1433),"""",IFERROR(IF(OR(Q1433=""GPB"",Q1433=""ZAR""),IF(Q1433=Dashboard!$L$1,K1433,(K1433*GOOGLEFINANCE(""CURRENCY:""&amp;Q1433&amp;""""&amp;Dashboard!$L$1&amp;""""))/100),IF(Q1433=Dashboard!$L$1,K1433,K1433*GOOGLEFINANCE(""CURRENCY:""&amp;Q1433&amp;""""&amp;Dashboard!$"&amp;"L$1&amp;""""))),K1433))"),"")</f>
        <v/>
      </c>
      <c r="S1433" s="266" t="str">
        <f>IFERROR(__xludf.DUMMYFUNCTION("IF(ISBLANK(A1433),"""",IFERROR(IF(OR(Q1433=""GPB"",Q1433=""ZAR""),IF(Q1433=Dashboard!$L$1,M1433,(M1433*GOOGLEFINANCE(""CURRENCY:""&amp;Q1433&amp;""""&amp;Dashboard!$L$1&amp;""""))/100),IF(Q1433=Dashboard!$L$1,M1433,M1433*GOOGLEFINANCE(""CURRENCY:""&amp;Q1433&amp;""""&amp;Dashboard!$"&amp;"L$1&amp;""""))),M1433))"),"")</f>
        <v/>
      </c>
      <c r="T1433" s="264" t="str">
        <f t="shared" si="4"/>
        <v/>
      </c>
      <c r="U1433" s="264" t="str">
        <f t="shared" si="5"/>
        <v/>
      </c>
      <c r="V1433" s="264" t="str">
        <f t="shared" si="6"/>
        <v/>
      </c>
      <c r="W1433" s="267" t="str">
        <f t="shared" si="8"/>
        <v/>
      </c>
      <c r="X1433" s="264" t="str">
        <f t="shared" si="7"/>
        <v/>
      </c>
    </row>
    <row r="1434" ht="15.75" customHeight="1">
      <c r="A1434" s="258"/>
      <c r="B1434" s="258"/>
      <c r="C1434" s="269"/>
      <c r="D1434" s="258"/>
      <c r="E1434" s="258"/>
      <c r="F1434" s="258"/>
      <c r="G1434" s="258"/>
      <c r="H1434" s="271"/>
      <c r="I1434" s="258"/>
      <c r="J1434" s="272"/>
      <c r="K1434" s="260"/>
      <c r="L1434" s="261"/>
      <c r="M1434" s="262" t="str">
        <f t="shared" si="1"/>
        <v/>
      </c>
      <c r="N1434" s="263" t="str">
        <f t="shared" si="2"/>
        <v/>
      </c>
      <c r="O1434" s="264" t="str">
        <f t="shared" si="3"/>
        <v/>
      </c>
      <c r="P1434" s="265" t="str">
        <f>IFERROR(__xludf.DUMMYFUNCTION("IF(ISBLANK(A1434),"""",IFERROR(IF(H1434=""Sell"",VLOOKUP(9^99,FILTER({ROW(P$2:P1433),P$2:P1433},D$2:D1433=D1434),2),(VLOOKUP(9^99,FILTER({ROW(P$2:P1433),P$2:P1433},D$2:D1433=D1434),2)*VLOOKUP(9^99,FILTER({ROW(O$2:O1433),O$2:O1433},D$2:D1433=D1434),2)-N143"&amp;"4)/O1434),J1434))"),"")</f>
        <v/>
      </c>
      <c r="Q1434" s="264" t="str">
        <f>IFERROR(__xludf.DUMMYFUNCTION("IFERROR(IF(F1434=""Crypto"",B1434,(IF(ISBLANK(D1434),"""",IF(D1434=""Cash"",B1434,IF(GOOGLEFINANCE(D1434,""CURRENCY"")=""GBX"",""GBP"",GOOGLEFINANCE(D1434,""CURRENCY"")))))),B1434)"),"")</f>
        <v/>
      </c>
      <c r="R1434" s="263" t="str">
        <f>IFERROR(__xludf.DUMMYFUNCTION("IF(ISBLANK(A1434),"""",IFERROR(IF(OR(Q1434=""GPB"",Q1434=""ZAR""),IF(Q1434=Dashboard!$L$1,K1434,(K1434*GOOGLEFINANCE(""CURRENCY:""&amp;Q1434&amp;""""&amp;Dashboard!$L$1&amp;""""))/100),IF(Q1434=Dashboard!$L$1,K1434,K1434*GOOGLEFINANCE(""CURRENCY:""&amp;Q1434&amp;""""&amp;Dashboard!$"&amp;"L$1&amp;""""))),K1434))"),"")</f>
        <v/>
      </c>
      <c r="S1434" s="266" t="str">
        <f>IFERROR(__xludf.DUMMYFUNCTION("IF(ISBLANK(A1434),"""",IFERROR(IF(OR(Q1434=""GPB"",Q1434=""ZAR""),IF(Q1434=Dashboard!$L$1,M1434,(M1434*GOOGLEFINANCE(""CURRENCY:""&amp;Q1434&amp;""""&amp;Dashboard!$L$1&amp;""""))/100),IF(Q1434=Dashboard!$L$1,M1434,M1434*GOOGLEFINANCE(""CURRENCY:""&amp;Q1434&amp;""""&amp;Dashboard!$"&amp;"L$1&amp;""""))),M1434))"),"")</f>
        <v/>
      </c>
      <c r="T1434" s="264" t="str">
        <f t="shared" si="4"/>
        <v/>
      </c>
      <c r="U1434" s="264" t="str">
        <f t="shared" si="5"/>
        <v/>
      </c>
      <c r="V1434" s="264" t="str">
        <f t="shared" si="6"/>
        <v/>
      </c>
      <c r="W1434" s="267" t="str">
        <f t="shared" si="8"/>
        <v/>
      </c>
      <c r="X1434" s="264" t="str">
        <f t="shared" si="7"/>
        <v/>
      </c>
    </row>
    <row r="1435" ht="15.75" customHeight="1">
      <c r="A1435" s="258"/>
      <c r="B1435" s="258"/>
      <c r="C1435" s="269"/>
      <c r="D1435" s="258"/>
      <c r="E1435" s="258"/>
      <c r="F1435" s="258"/>
      <c r="G1435" s="258"/>
      <c r="H1435" s="271"/>
      <c r="I1435" s="258"/>
      <c r="J1435" s="272"/>
      <c r="K1435" s="260"/>
      <c r="L1435" s="261"/>
      <c r="M1435" s="262" t="str">
        <f t="shared" si="1"/>
        <v/>
      </c>
      <c r="N1435" s="263" t="str">
        <f t="shared" si="2"/>
        <v/>
      </c>
      <c r="O1435" s="264" t="str">
        <f t="shared" si="3"/>
        <v/>
      </c>
      <c r="P1435" s="265" t="str">
        <f>IFERROR(__xludf.DUMMYFUNCTION("IF(ISBLANK(A1435),"""",IFERROR(IF(H1435=""Sell"",VLOOKUP(9^99,FILTER({ROW(P$2:P1434),P$2:P1434},D$2:D1434=D1435),2),(VLOOKUP(9^99,FILTER({ROW(P$2:P1434),P$2:P1434},D$2:D1434=D1435),2)*VLOOKUP(9^99,FILTER({ROW(O$2:O1434),O$2:O1434},D$2:D1434=D1435),2)-N143"&amp;"5)/O1435),J1435))"),"")</f>
        <v/>
      </c>
      <c r="Q1435" s="264" t="str">
        <f>IFERROR(__xludf.DUMMYFUNCTION("IFERROR(IF(F1435=""Crypto"",B1435,(IF(ISBLANK(D1435),"""",IF(D1435=""Cash"",B1435,IF(GOOGLEFINANCE(D1435,""CURRENCY"")=""GBX"",""GBP"",GOOGLEFINANCE(D1435,""CURRENCY"")))))),B1435)"),"")</f>
        <v/>
      </c>
      <c r="R1435" s="263" t="str">
        <f>IFERROR(__xludf.DUMMYFUNCTION("IF(ISBLANK(A1435),"""",IFERROR(IF(OR(Q1435=""GPB"",Q1435=""ZAR""),IF(Q1435=Dashboard!$L$1,K1435,(K1435*GOOGLEFINANCE(""CURRENCY:""&amp;Q1435&amp;""""&amp;Dashboard!$L$1&amp;""""))/100),IF(Q1435=Dashboard!$L$1,K1435,K1435*GOOGLEFINANCE(""CURRENCY:""&amp;Q1435&amp;""""&amp;Dashboard!$"&amp;"L$1&amp;""""))),K1435))"),"")</f>
        <v/>
      </c>
      <c r="S1435" s="266" t="str">
        <f>IFERROR(__xludf.DUMMYFUNCTION("IF(ISBLANK(A1435),"""",IFERROR(IF(OR(Q1435=""GPB"",Q1435=""ZAR""),IF(Q1435=Dashboard!$L$1,M1435,(M1435*GOOGLEFINANCE(""CURRENCY:""&amp;Q1435&amp;""""&amp;Dashboard!$L$1&amp;""""))/100),IF(Q1435=Dashboard!$L$1,M1435,M1435*GOOGLEFINANCE(""CURRENCY:""&amp;Q1435&amp;""""&amp;Dashboard!$"&amp;"L$1&amp;""""))),M1435))"),"")</f>
        <v/>
      </c>
      <c r="T1435" s="264" t="str">
        <f t="shared" si="4"/>
        <v/>
      </c>
      <c r="U1435" s="264" t="str">
        <f t="shared" si="5"/>
        <v/>
      </c>
      <c r="V1435" s="264" t="str">
        <f t="shared" si="6"/>
        <v/>
      </c>
      <c r="W1435" s="267" t="str">
        <f t="shared" si="8"/>
        <v/>
      </c>
      <c r="X1435" s="264" t="str">
        <f t="shared" si="7"/>
        <v/>
      </c>
    </row>
    <row r="1436" ht="15.75" customHeight="1">
      <c r="A1436" s="258"/>
      <c r="B1436" s="258"/>
      <c r="C1436" s="269"/>
      <c r="D1436" s="258"/>
      <c r="E1436" s="258"/>
      <c r="F1436" s="258"/>
      <c r="G1436" s="258"/>
      <c r="H1436" s="271"/>
      <c r="I1436" s="258"/>
      <c r="J1436" s="272"/>
      <c r="K1436" s="260"/>
      <c r="L1436" s="261"/>
      <c r="M1436" s="262" t="str">
        <f t="shared" si="1"/>
        <v/>
      </c>
      <c r="N1436" s="263" t="str">
        <f t="shared" si="2"/>
        <v/>
      </c>
      <c r="O1436" s="264" t="str">
        <f t="shared" si="3"/>
        <v/>
      </c>
      <c r="P1436" s="265" t="str">
        <f>IFERROR(__xludf.DUMMYFUNCTION("IF(ISBLANK(A1436),"""",IFERROR(IF(H1436=""Sell"",VLOOKUP(9^99,FILTER({ROW(P$2:P1435),P$2:P1435},D$2:D1435=D1436),2),(VLOOKUP(9^99,FILTER({ROW(P$2:P1435),P$2:P1435},D$2:D1435=D1436),2)*VLOOKUP(9^99,FILTER({ROW(O$2:O1435),O$2:O1435},D$2:D1435=D1436),2)-N143"&amp;"6)/O1436),J1436))"),"")</f>
        <v/>
      </c>
      <c r="Q1436" s="264" t="str">
        <f>IFERROR(__xludf.DUMMYFUNCTION("IFERROR(IF(F1436=""Crypto"",B1436,(IF(ISBLANK(D1436),"""",IF(D1436=""Cash"",B1436,IF(GOOGLEFINANCE(D1436,""CURRENCY"")=""GBX"",""GBP"",GOOGLEFINANCE(D1436,""CURRENCY"")))))),B1436)"),"")</f>
        <v/>
      </c>
      <c r="R1436" s="263" t="str">
        <f>IFERROR(__xludf.DUMMYFUNCTION("IF(ISBLANK(A1436),"""",IFERROR(IF(OR(Q1436=""GPB"",Q1436=""ZAR""),IF(Q1436=Dashboard!$L$1,K1436,(K1436*GOOGLEFINANCE(""CURRENCY:""&amp;Q1436&amp;""""&amp;Dashboard!$L$1&amp;""""))/100),IF(Q1436=Dashboard!$L$1,K1436,K1436*GOOGLEFINANCE(""CURRENCY:""&amp;Q1436&amp;""""&amp;Dashboard!$"&amp;"L$1&amp;""""))),K1436))"),"")</f>
        <v/>
      </c>
      <c r="S1436" s="266" t="str">
        <f>IFERROR(__xludf.DUMMYFUNCTION("IF(ISBLANK(A1436),"""",IFERROR(IF(OR(Q1436=""GPB"",Q1436=""ZAR""),IF(Q1436=Dashboard!$L$1,M1436,(M1436*GOOGLEFINANCE(""CURRENCY:""&amp;Q1436&amp;""""&amp;Dashboard!$L$1&amp;""""))/100),IF(Q1436=Dashboard!$L$1,M1436,M1436*GOOGLEFINANCE(""CURRENCY:""&amp;Q1436&amp;""""&amp;Dashboard!$"&amp;"L$1&amp;""""))),M1436))"),"")</f>
        <v/>
      </c>
      <c r="T1436" s="264" t="str">
        <f t="shared" si="4"/>
        <v/>
      </c>
      <c r="U1436" s="264" t="str">
        <f t="shared" si="5"/>
        <v/>
      </c>
      <c r="V1436" s="264" t="str">
        <f t="shared" si="6"/>
        <v/>
      </c>
      <c r="W1436" s="267" t="str">
        <f t="shared" si="8"/>
        <v/>
      </c>
      <c r="X1436" s="264" t="str">
        <f t="shared" si="7"/>
        <v/>
      </c>
    </row>
    <row r="1437" ht="15.75" customHeight="1">
      <c r="A1437" s="258"/>
      <c r="B1437" s="258"/>
      <c r="C1437" s="269"/>
      <c r="D1437" s="258"/>
      <c r="E1437" s="258"/>
      <c r="F1437" s="258"/>
      <c r="G1437" s="258"/>
      <c r="H1437" s="271"/>
      <c r="I1437" s="258"/>
      <c r="J1437" s="272"/>
      <c r="K1437" s="260"/>
      <c r="L1437" s="261"/>
      <c r="M1437" s="262" t="str">
        <f t="shared" si="1"/>
        <v/>
      </c>
      <c r="N1437" s="263" t="str">
        <f t="shared" si="2"/>
        <v/>
      </c>
      <c r="O1437" s="264" t="str">
        <f t="shared" si="3"/>
        <v/>
      </c>
      <c r="P1437" s="265" t="str">
        <f>IFERROR(__xludf.DUMMYFUNCTION("IF(ISBLANK(A1437),"""",IFERROR(IF(H1437=""Sell"",VLOOKUP(9^99,FILTER({ROW(P$2:P1436),P$2:P1436},D$2:D1436=D1437),2),(VLOOKUP(9^99,FILTER({ROW(P$2:P1436),P$2:P1436},D$2:D1436=D1437),2)*VLOOKUP(9^99,FILTER({ROW(O$2:O1436),O$2:O1436},D$2:D1436=D1437),2)-N143"&amp;"7)/O1437),J1437))"),"")</f>
        <v/>
      </c>
      <c r="Q1437" s="264" t="str">
        <f>IFERROR(__xludf.DUMMYFUNCTION("IFERROR(IF(F1437=""Crypto"",B1437,(IF(ISBLANK(D1437),"""",IF(D1437=""Cash"",B1437,IF(GOOGLEFINANCE(D1437,""CURRENCY"")=""GBX"",""GBP"",GOOGLEFINANCE(D1437,""CURRENCY"")))))),B1437)"),"")</f>
        <v/>
      </c>
      <c r="R1437" s="263" t="str">
        <f>IFERROR(__xludf.DUMMYFUNCTION("IF(ISBLANK(A1437),"""",IFERROR(IF(OR(Q1437=""GPB"",Q1437=""ZAR""),IF(Q1437=Dashboard!$L$1,K1437,(K1437*GOOGLEFINANCE(""CURRENCY:""&amp;Q1437&amp;""""&amp;Dashboard!$L$1&amp;""""))/100),IF(Q1437=Dashboard!$L$1,K1437,K1437*GOOGLEFINANCE(""CURRENCY:""&amp;Q1437&amp;""""&amp;Dashboard!$"&amp;"L$1&amp;""""))),K1437))"),"")</f>
        <v/>
      </c>
      <c r="S1437" s="266" t="str">
        <f>IFERROR(__xludf.DUMMYFUNCTION("IF(ISBLANK(A1437),"""",IFERROR(IF(OR(Q1437=""GPB"",Q1437=""ZAR""),IF(Q1437=Dashboard!$L$1,M1437,(M1437*GOOGLEFINANCE(""CURRENCY:""&amp;Q1437&amp;""""&amp;Dashboard!$L$1&amp;""""))/100),IF(Q1437=Dashboard!$L$1,M1437,M1437*GOOGLEFINANCE(""CURRENCY:""&amp;Q1437&amp;""""&amp;Dashboard!$"&amp;"L$1&amp;""""))),M1437))"),"")</f>
        <v/>
      </c>
      <c r="T1437" s="264" t="str">
        <f t="shared" si="4"/>
        <v/>
      </c>
      <c r="U1437" s="264" t="str">
        <f t="shared" si="5"/>
        <v/>
      </c>
      <c r="V1437" s="264" t="str">
        <f t="shared" si="6"/>
        <v/>
      </c>
      <c r="W1437" s="267" t="str">
        <f t="shared" si="8"/>
        <v/>
      </c>
      <c r="X1437" s="264" t="str">
        <f t="shared" si="7"/>
        <v/>
      </c>
    </row>
    <row r="1438" ht="15.75" customHeight="1">
      <c r="A1438" s="258"/>
      <c r="B1438" s="258"/>
      <c r="C1438" s="269"/>
      <c r="D1438" s="258"/>
      <c r="E1438" s="258"/>
      <c r="F1438" s="258"/>
      <c r="G1438" s="258"/>
      <c r="H1438" s="271"/>
      <c r="I1438" s="258"/>
      <c r="J1438" s="272"/>
      <c r="K1438" s="260"/>
      <c r="L1438" s="261"/>
      <c r="M1438" s="262" t="str">
        <f t="shared" si="1"/>
        <v/>
      </c>
      <c r="N1438" s="263" t="str">
        <f t="shared" si="2"/>
        <v/>
      </c>
      <c r="O1438" s="264" t="str">
        <f t="shared" si="3"/>
        <v/>
      </c>
      <c r="P1438" s="265" t="str">
        <f>IFERROR(__xludf.DUMMYFUNCTION("IF(ISBLANK(A1438),"""",IFERROR(IF(H1438=""Sell"",VLOOKUP(9^99,FILTER({ROW(P$2:P1437),P$2:P1437},D$2:D1437=D1438),2),(VLOOKUP(9^99,FILTER({ROW(P$2:P1437),P$2:P1437},D$2:D1437=D1438),2)*VLOOKUP(9^99,FILTER({ROW(O$2:O1437),O$2:O1437},D$2:D1437=D1438),2)-N143"&amp;"8)/O1438),J1438))"),"")</f>
        <v/>
      </c>
      <c r="Q1438" s="264" t="str">
        <f>IFERROR(__xludf.DUMMYFUNCTION("IFERROR(IF(F1438=""Crypto"",B1438,(IF(ISBLANK(D1438),"""",IF(D1438=""Cash"",B1438,IF(GOOGLEFINANCE(D1438,""CURRENCY"")=""GBX"",""GBP"",GOOGLEFINANCE(D1438,""CURRENCY"")))))),B1438)"),"")</f>
        <v/>
      </c>
      <c r="R1438" s="263" t="str">
        <f>IFERROR(__xludf.DUMMYFUNCTION("IF(ISBLANK(A1438),"""",IFERROR(IF(OR(Q1438=""GPB"",Q1438=""ZAR""),IF(Q1438=Dashboard!$L$1,K1438,(K1438*GOOGLEFINANCE(""CURRENCY:""&amp;Q1438&amp;""""&amp;Dashboard!$L$1&amp;""""))/100),IF(Q1438=Dashboard!$L$1,K1438,K1438*GOOGLEFINANCE(""CURRENCY:""&amp;Q1438&amp;""""&amp;Dashboard!$"&amp;"L$1&amp;""""))),K1438))"),"")</f>
        <v/>
      </c>
      <c r="S1438" s="266" t="str">
        <f>IFERROR(__xludf.DUMMYFUNCTION("IF(ISBLANK(A1438),"""",IFERROR(IF(OR(Q1438=""GPB"",Q1438=""ZAR""),IF(Q1438=Dashboard!$L$1,M1438,(M1438*GOOGLEFINANCE(""CURRENCY:""&amp;Q1438&amp;""""&amp;Dashboard!$L$1&amp;""""))/100),IF(Q1438=Dashboard!$L$1,M1438,M1438*GOOGLEFINANCE(""CURRENCY:""&amp;Q1438&amp;""""&amp;Dashboard!$"&amp;"L$1&amp;""""))),M1438))"),"")</f>
        <v/>
      </c>
      <c r="T1438" s="264" t="str">
        <f t="shared" si="4"/>
        <v/>
      </c>
      <c r="U1438" s="264" t="str">
        <f t="shared" si="5"/>
        <v/>
      </c>
      <c r="V1438" s="264" t="str">
        <f t="shared" si="6"/>
        <v/>
      </c>
      <c r="W1438" s="267" t="str">
        <f t="shared" si="8"/>
        <v/>
      </c>
      <c r="X1438" s="264" t="str">
        <f t="shared" si="7"/>
        <v/>
      </c>
    </row>
    <row r="1439" ht="15.75" customHeight="1">
      <c r="A1439" s="258"/>
      <c r="B1439" s="258"/>
      <c r="C1439" s="269"/>
      <c r="D1439" s="258"/>
      <c r="E1439" s="258"/>
      <c r="F1439" s="258"/>
      <c r="G1439" s="258"/>
      <c r="H1439" s="271"/>
      <c r="I1439" s="258"/>
      <c r="J1439" s="272"/>
      <c r="K1439" s="260"/>
      <c r="L1439" s="261"/>
      <c r="M1439" s="262" t="str">
        <f t="shared" si="1"/>
        <v/>
      </c>
      <c r="N1439" s="263" t="str">
        <f t="shared" si="2"/>
        <v/>
      </c>
      <c r="O1439" s="264" t="str">
        <f t="shared" si="3"/>
        <v/>
      </c>
      <c r="P1439" s="265" t="str">
        <f>IFERROR(__xludf.DUMMYFUNCTION("IF(ISBLANK(A1439),"""",IFERROR(IF(H1439=""Sell"",VLOOKUP(9^99,FILTER({ROW(P$2:P1438),P$2:P1438},D$2:D1438=D1439),2),(VLOOKUP(9^99,FILTER({ROW(P$2:P1438),P$2:P1438},D$2:D1438=D1439),2)*VLOOKUP(9^99,FILTER({ROW(O$2:O1438),O$2:O1438},D$2:D1438=D1439),2)-N143"&amp;"9)/O1439),J1439))"),"")</f>
        <v/>
      </c>
      <c r="Q1439" s="264" t="str">
        <f>IFERROR(__xludf.DUMMYFUNCTION("IFERROR(IF(F1439=""Crypto"",B1439,(IF(ISBLANK(D1439),"""",IF(D1439=""Cash"",B1439,IF(GOOGLEFINANCE(D1439,""CURRENCY"")=""GBX"",""GBP"",GOOGLEFINANCE(D1439,""CURRENCY"")))))),B1439)"),"")</f>
        <v/>
      </c>
      <c r="R1439" s="263" t="str">
        <f>IFERROR(__xludf.DUMMYFUNCTION("IF(ISBLANK(A1439),"""",IFERROR(IF(OR(Q1439=""GPB"",Q1439=""ZAR""),IF(Q1439=Dashboard!$L$1,K1439,(K1439*GOOGLEFINANCE(""CURRENCY:""&amp;Q1439&amp;""""&amp;Dashboard!$L$1&amp;""""))/100),IF(Q1439=Dashboard!$L$1,K1439,K1439*GOOGLEFINANCE(""CURRENCY:""&amp;Q1439&amp;""""&amp;Dashboard!$"&amp;"L$1&amp;""""))),K1439))"),"")</f>
        <v/>
      </c>
      <c r="S1439" s="266" t="str">
        <f>IFERROR(__xludf.DUMMYFUNCTION("IF(ISBLANK(A1439),"""",IFERROR(IF(OR(Q1439=""GPB"",Q1439=""ZAR""),IF(Q1439=Dashboard!$L$1,M1439,(M1439*GOOGLEFINANCE(""CURRENCY:""&amp;Q1439&amp;""""&amp;Dashboard!$L$1&amp;""""))/100),IF(Q1439=Dashboard!$L$1,M1439,M1439*GOOGLEFINANCE(""CURRENCY:""&amp;Q1439&amp;""""&amp;Dashboard!$"&amp;"L$1&amp;""""))),M1439))"),"")</f>
        <v/>
      </c>
      <c r="T1439" s="264" t="str">
        <f t="shared" si="4"/>
        <v/>
      </c>
      <c r="U1439" s="264" t="str">
        <f t="shared" si="5"/>
        <v/>
      </c>
      <c r="V1439" s="264" t="str">
        <f t="shared" si="6"/>
        <v/>
      </c>
      <c r="W1439" s="267" t="str">
        <f t="shared" si="8"/>
        <v/>
      </c>
      <c r="X1439" s="264" t="str">
        <f t="shared" si="7"/>
        <v/>
      </c>
    </row>
    <row r="1440" ht="15.75" customHeight="1">
      <c r="A1440" s="258"/>
      <c r="B1440" s="258"/>
      <c r="C1440" s="269"/>
      <c r="D1440" s="258"/>
      <c r="E1440" s="258"/>
      <c r="F1440" s="258"/>
      <c r="G1440" s="258"/>
      <c r="H1440" s="271"/>
      <c r="I1440" s="258"/>
      <c r="J1440" s="272"/>
      <c r="K1440" s="260"/>
      <c r="L1440" s="261"/>
      <c r="M1440" s="262" t="str">
        <f t="shared" si="1"/>
        <v/>
      </c>
      <c r="N1440" s="263" t="str">
        <f t="shared" si="2"/>
        <v/>
      </c>
      <c r="O1440" s="264" t="str">
        <f t="shared" si="3"/>
        <v/>
      </c>
      <c r="P1440" s="265" t="str">
        <f>IFERROR(__xludf.DUMMYFUNCTION("IF(ISBLANK(A1440),"""",IFERROR(IF(H1440=""Sell"",VLOOKUP(9^99,FILTER({ROW(P$2:P1439),P$2:P1439},D$2:D1439=D1440),2),(VLOOKUP(9^99,FILTER({ROW(P$2:P1439),P$2:P1439},D$2:D1439=D1440),2)*VLOOKUP(9^99,FILTER({ROW(O$2:O1439),O$2:O1439},D$2:D1439=D1440),2)-N144"&amp;"0)/O1440),J1440))"),"")</f>
        <v/>
      </c>
      <c r="Q1440" s="264" t="str">
        <f>IFERROR(__xludf.DUMMYFUNCTION("IFERROR(IF(F1440=""Crypto"",B1440,(IF(ISBLANK(D1440),"""",IF(D1440=""Cash"",B1440,IF(GOOGLEFINANCE(D1440,""CURRENCY"")=""GBX"",""GBP"",GOOGLEFINANCE(D1440,""CURRENCY"")))))),B1440)"),"")</f>
        <v/>
      </c>
      <c r="R1440" s="263" t="str">
        <f>IFERROR(__xludf.DUMMYFUNCTION("IF(ISBLANK(A1440),"""",IFERROR(IF(OR(Q1440=""GPB"",Q1440=""ZAR""),IF(Q1440=Dashboard!$L$1,K1440,(K1440*GOOGLEFINANCE(""CURRENCY:""&amp;Q1440&amp;""""&amp;Dashboard!$L$1&amp;""""))/100),IF(Q1440=Dashboard!$L$1,K1440,K1440*GOOGLEFINANCE(""CURRENCY:""&amp;Q1440&amp;""""&amp;Dashboard!$"&amp;"L$1&amp;""""))),K1440))"),"")</f>
        <v/>
      </c>
      <c r="S1440" s="266" t="str">
        <f>IFERROR(__xludf.DUMMYFUNCTION("IF(ISBLANK(A1440),"""",IFERROR(IF(OR(Q1440=""GPB"",Q1440=""ZAR""),IF(Q1440=Dashboard!$L$1,M1440,(M1440*GOOGLEFINANCE(""CURRENCY:""&amp;Q1440&amp;""""&amp;Dashboard!$L$1&amp;""""))/100),IF(Q1440=Dashboard!$L$1,M1440,M1440*GOOGLEFINANCE(""CURRENCY:""&amp;Q1440&amp;""""&amp;Dashboard!$"&amp;"L$1&amp;""""))),M1440))"),"")</f>
        <v/>
      </c>
      <c r="T1440" s="264" t="str">
        <f t="shared" si="4"/>
        <v/>
      </c>
      <c r="U1440" s="264" t="str">
        <f t="shared" si="5"/>
        <v/>
      </c>
      <c r="V1440" s="264" t="str">
        <f t="shared" si="6"/>
        <v/>
      </c>
      <c r="W1440" s="267" t="str">
        <f t="shared" si="8"/>
        <v/>
      </c>
      <c r="X1440" s="264" t="str">
        <f t="shared" si="7"/>
        <v/>
      </c>
    </row>
    <row r="1441" ht="15.75" customHeight="1">
      <c r="A1441" s="258"/>
      <c r="B1441" s="258"/>
      <c r="C1441" s="269"/>
      <c r="D1441" s="258"/>
      <c r="E1441" s="258"/>
      <c r="F1441" s="258"/>
      <c r="G1441" s="258"/>
      <c r="H1441" s="271"/>
      <c r="I1441" s="258"/>
      <c r="J1441" s="272"/>
      <c r="K1441" s="260"/>
      <c r="L1441" s="261"/>
      <c r="M1441" s="262" t="str">
        <f t="shared" si="1"/>
        <v/>
      </c>
      <c r="N1441" s="263" t="str">
        <f t="shared" si="2"/>
        <v/>
      </c>
      <c r="O1441" s="264" t="str">
        <f t="shared" si="3"/>
        <v/>
      </c>
      <c r="P1441" s="265" t="str">
        <f>IFERROR(__xludf.DUMMYFUNCTION("IF(ISBLANK(A1441),"""",IFERROR(IF(H1441=""Sell"",VLOOKUP(9^99,FILTER({ROW(P$2:P1440),P$2:P1440},D$2:D1440=D1441),2),(VLOOKUP(9^99,FILTER({ROW(P$2:P1440),P$2:P1440},D$2:D1440=D1441),2)*VLOOKUP(9^99,FILTER({ROW(O$2:O1440),O$2:O1440},D$2:D1440=D1441),2)-N144"&amp;"1)/O1441),J1441))"),"")</f>
        <v/>
      </c>
      <c r="Q1441" s="264" t="str">
        <f>IFERROR(__xludf.DUMMYFUNCTION("IFERROR(IF(F1441=""Crypto"",B1441,(IF(ISBLANK(D1441),"""",IF(D1441=""Cash"",B1441,IF(GOOGLEFINANCE(D1441,""CURRENCY"")=""GBX"",""GBP"",GOOGLEFINANCE(D1441,""CURRENCY"")))))),B1441)"),"")</f>
        <v/>
      </c>
      <c r="R1441" s="263" t="str">
        <f>IFERROR(__xludf.DUMMYFUNCTION("IF(ISBLANK(A1441),"""",IFERROR(IF(OR(Q1441=""GPB"",Q1441=""ZAR""),IF(Q1441=Dashboard!$L$1,K1441,(K1441*GOOGLEFINANCE(""CURRENCY:""&amp;Q1441&amp;""""&amp;Dashboard!$L$1&amp;""""))/100),IF(Q1441=Dashboard!$L$1,K1441,K1441*GOOGLEFINANCE(""CURRENCY:""&amp;Q1441&amp;""""&amp;Dashboard!$"&amp;"L$1&amp;""""))),K1441))"),"")</f>
        <v/>
      </c>
      <c r="S1441" s="266" t="str">
        <f>IFERROR(__xludf.DUMMYFUNCTION("IF(ISBLANK(A1441),"""",IFERROR(IF(OR(Q1441=""GPB"",Q1441=""ZAR""),IF(Q1441=Dashboard!$L$1,M1441,(M1441*GOOGLEFINANCE(""CURRENCY:""&amp;Q1441&amp;""""&amp;Dashboard!$L$1&amp;""""))/100),IF(Q1441=Dashboard!$L$1,M1441,M1441*GOOGLEFINANCE(""CURRENCY:""&amp;Q1441&amp;""""&amp;Dashboard!$"&amp;"L$1&amp;""""))),M1441))"),"")</f>
        <v/>
      </c>
      <c r="T1441" s="264" t="str">
        <f t="shared" si="4"/>
        <v/>
      </c>
      <c r="U1441" s="264" t="str">
        <f t="shared" si="5"/>
        <v/>
      </c>
      <c r="V1441" s="264" t="str">
        <f t="shared" si="6"/>
        <v/>
      </c>
      <c r="W1441" s="267" t="str">
        <f t="shared" si="8"/>
        <v/>
      </c>
      <c r="X1441" s="264" t="str">
        <f t="shared" si="7"/>
        <v/>
      </c>
    </row>
    <row r="1442" ht="15.75" customHeight="1">
      <c r="A1442" s="258"/>
      <c r="B1442" s="258"/>
      <c r="C1442" s="269"/>
      <c r="D1442" s="258"/>
      <c r="E1442" s="258"/>
      <c r="F1442" s="258"/>
      <c r="G1442" s="258"/>
      <c r="H1442" s="271"/>
      <c r="I1442" s="258"/>
      <c r="J1442" s="272"/>
      <c r="K1442" s="260"/>
      <c r="L1442" s="261"/>
      <c r="M1442" s="262" t="str">
        <f t="shared" si="1"/>
        <v/>
      </c>
      <c r="N1442" s="263" t="str">
        <f t="shared" si="2"/>
        <v/>
      </c>
      <c r="O1442" s="264" t="str">
        <f t="shared" si="3"/>
        <v/>
      </c>
      <c r="P1442" s="265" t="str">
        <f>IFERROR(__xludf.DUMMYFUNCTION("IF(ISBLANK(A1442),"""",IFERROR(IF(H1442=""Sell"",VLOOKUP(9^99,FILTER({ROW(P$2:P1441),P$2:P1441},D$2:D1441=D1442),2),(VLOOKUP(9^99,FILTER({ROW(P$2:P1441),P$2:P1441},D$2:D1441=D1442),2)*VLOOKUP(9^99,FILTER({ROW(O$2:O1441),O$2:O1441},D$2:D1441=D1442),2)-N144"&amp;"2)/O1442),J1442))"),"")</f>
        <v/>
      </c>
      <c r="Q1442" s="264" t="str">
        <f>IFERROR(__xludf.DUMMYFUNCTION("IFERROR(IF(F1442=""Crypto"",B1442,(IF(ISBLANK(D1442),"""",IF(D1442=""Cash"",B1442,IF(GOOGLEFINANCE(D1442,""CURRENCY"")=""GBX"",""GBP"",GOOGLEFINANCE(D1442,""CURRENCY"")))))),B1442)"),"")</f>
        <v/>
      </c>
      <c r="R1442" s="263" t="str">
        <f>IFERROR(__xludf.DUMMYFUNCTION("IF(ISBLANK(A1442),"""",IFERROR(IF(OR(Q1442=""GPB"",Q1442=""ZAR""),IF(Q1442=Dashboard!$L$1,K1442,(K1442*GOOGLEFINANCE(""CURRENCY:""&amp;Q1442&amp;""""&amp;Dashboard!$L$1&amp;""""))/100),IF(Q1442=Dashboard!$L$1,K1442,K1442*GOOGLEFINANCE(""CURRENCY:""&amp;Q1442&amp;""""&amp;Dashboard!$"&amp;"L$1&amp;""""))),K1442))"),"")</f>
        <v/>
      </c>
      <c r="S1442" s="266" t="str">
        <f>IFERROR(__xludf.DUMMYFUNCTION("IF(ISBLANK(A1442),"""",IFERROR(IF(OR(Q1442=""GPB"",Q1442=""ZAR""),IF(Q1442=Dashboard!$L$1,M1442,(M1442*GOOGLEFINANCE(""CURRENCY:""&amp;Q1442&amp;""""&amp;Dashboard!$L$1&amp;""""))/100),IF(Q1442=Dashboard!$L$1,M1442,M1442*GOOGLEFINANCE(""CURRENCY:""&amp;Q1442&amp;""""&amp;Dashboard!$"&amp;"L$1&amp;""""))),M1442))"),"")</f>
        <v/>
      </c>
      <c r="T1442" s="264" t="str">
        <f t="shared" si="4"/>
        <v/>
      </c>
      <c r="U1442" s="264" t="str">
        <f t="shared" si="5"/>
        <v/>
      </c>
      <c r="V1442" s="264" t="str">
        <f t="shared" si="6"/>
        <v/>
      </c>
      <c r="W1442" s="267" t="str">
        <f t="shared" si="8"/>
        <v/>
      </c>
      <c r="X1442" s="264" t="str">
        <f t="shared" si="7"/>
        <v/>
      </c>
    </row>
    <row r="1443" ht="15.75" customHeight="1">
      <c r="A1443" s="258"/>
      <c r="B1443" s="258"/>
      <c r="C1443" s="269"/>
      <c r="D1443" s="258"/>
      <c r="E1443" s="258"/>
      <c r="F1443" s="258"/>
      <c r="G1443" s="258"/>
      <c r="H1443" s="271"/>
      <c r="I1443" s="258"/>
      <c r="J1443" s="272"/>
      <c r="K1443" s="260"/>
      <c r="L1443" s="261"/>
      <c r="M1443" s="262" t="str">
        <f t="shared" si="1"/>
        <v/>
      </c>
      <c r="N1443" s="263" t="str">
        <f t="shared" si="2"/>
        <v/>
      </c>
      <c r="O1443" s="264" t="str">
        <f t="shared" si="3"/>
        <v/>
      </c>
      <c r="P1443" s="265" t="str">
        <f>IFERROR(__xludf.DUMMYFUNCTION("IF(ISBLANK(A1443),"""",IFERROR(IF(H1443=""Sell"",VLOOKUP(9^99,FILTER({ROW(P$2:P1442),P$2:P1442},D$2:D1442=D1443),2),(VLOOKUP(9^99,FILTER({ROW(P$2:P1442),P$2:P1442},D$2:D1442=D1443),2)*VLOOKUP(9^99,FILTER({ROW(O$2:O1442),O$2:O1442},D$2:D1442=D1443),2)-N144"&amp;"3)/O1443),J1443))"),"")</f>
        <v/>
      </c>
      <c r="Q1443" s="264" t="str">
        <f>IFERROR(__xludf.DUMMYFUNCTION("IFERROR(IF(F1443=""Crypto"",B1443,(IF(ISBLANK(D1443),"""",IF(D1443=""Cash"",B1443,IF(GOOGLEFINANCE(D1443,""CURRENCY"")=""GBX"",""GBP"",GOOGLEFINANCE(D1443,""CURRENCY"")))))),B1443)"),"")</f>
        <v/>
      </c>
      <c r="R1443" s="263" t="str">
        <f>IFERROR(__xludf.DUMMYFUNCTION("IF(ISBLANK(A1443),"""",IFERROR(IF(OR(Q1443=""GPB"",Q1443=""ZAR""),IF(Q1443=Dashboard!$L$1,K1443,(K1443*GOOGLEFINANCE(""CURRENCY:""&amp;Q1443&amp;""""&amp;Dashboard!$L$1&amp;""""))/100),IF(Q1443=Dashboard!$L$1,K1443,K1443*GOOGLEFINANCE(""CURRENCY:""&amp;Q1443&amp;""""&amp;Dashboard!$"&amp;"L$1&amp;""""))),K1443))"),"")</f>
        <v/>
      </c>
      <c r="S1443" s="266" t="str">
        <f>IFERROR(__xludf.DUMMYFUNCTION("IF(ISBLANK(A1443),"""",IFERROR(IF(OR(Q1443=""GPB"",Q1443=""ZAR""),IF(Q1443=Dashboard!$L$1,M1443,(M1443*GOOGLEFINANCE(""CURRENCY:""&amp;Q1443&amp;""""&amp;Dashboard!$L$1&amp;""""))/100),IF(Q1443=Dashboard!$L$1,M1443,M1443*GOOGLEFINANCE(""CURRENCY:""&amp;Q1443&amp;""""&amp;Dashboard!$"&amp;"L$1&amp;""""))),M1443))"),"")</f>
        <v/>
      </c>
      <c r="T1443" s="264" t="str">
        <f t="shared" si="4"/>
        <v/>
      </c>
      <c r="U1443" s="264" t="str">
        <f t="shared" si="5"/>
        <v/>
      </c>
      <c r="V1443" s="264" t="str">
        <f t="shared" si="6"/>
        <v/>
      </c>
      <c r="W1443" s="267" t="str">
        <f t="shared" si="8"/>
        <v/>
      </c>
      <c r="X1443" s="264" t="str">
        <f t="shared" si="7"/>
        <v/>
      </c>
    </row>
    <row r="1444" ht="15.75" customHeight="1">
      <c r="A1444" s="258"/>
      <c r="B1444" s="258"/>
      <c r="C1444" s="269"/>
      <c r="D1444" s="258"/>
      <c r="E1444" s="258"/>
      <c r="F1444" s="258"/>
      <c r="G1444" s="258"/>
      <c r="H1444" s="271"/>
      <c r="I1444" s="258"/>
      <c r="J1444" s="272"/>
      <c r="K1444" s="260"/>
      <c r="L1444" s="261"/>
      <c r="M1444" s="262" t="str">
        <f t="shared" si="1"/>
        <v/>
      </c>
      <c r="N1444" s="263" t="str">
        <f t="shared" si="2"/>
        <v/>
      </c>
      <c r="O1444" s="264" t="str">
        <f t="shared" si="3"/>
        <v/>
      </c>
      <c r="P1444" s="265" t="str">
        <f>IFERROR(__xludf.DUMMYFUNCTION("IF(ISBLANK(A1444),"""",IFERROR(IF(H1444=""Sell"",VLOOKUP(9^99,FILTER({ROW(P$2:P1443),P$2:P1443},D$2:D1443=D1444),2),(VLOOKUP(9^99,FILTER({ROW(P$2:P1443),P$2:P1443},D$2:D1443=D1444),2)*VLOOKUP(9^99,FILTER({ROW(O$2:O1443),O$2:O1443},D$2:D1443=D1444),2)-N144"&amp;"4)/O1444),J1444))"),"")</f>
        <v/>
      </c>
      <c r="Q1444" s="264" t="str">
        <f>IFERROR(__xludf.DUMMYFUNCTION("IFERROR(IF(F1444=""Crypto"",B1444,(IF(ISBLANK(D1444),"""",IF(D1444=""Cash"",B1444,IF(GOOGLEFINANCE(D1444,""CURRENCY"")=""GBX"",""GBP"",GOOGLEFINANCE(D1444,""CURRENCY"")))))),B1444)"),"")</f>
        <v/>
      </c>
      <c r="R1444" s="263" t="str">
        <f>IFERROR(__xludf.DUMMYFUNCTION("IF(ISBLANK(A1444),"""",IFERROR(IF(OR(Q1444=""GPB"",Q1444=""ZAR""),IF(Q1444=Dashboard!$L$1,K1444,(K1444*GOOGLEFINANCE(""CURRENCY:""&amp;Q1444&amp;""""&amp;Dashboard!$L$1&amp;""""))/100),IF(Q1444=Dashboard!$L$1,K1444,K1444*GOOGLEFINANCE(""CURRENCY:""&amp;Q1444&amp;""""&amp;Dashboard!$"&amp;"L$1&amp;""""))),K1444))"),"")</f>
        <v/>
      </c>
      <c r="S1444" s="266" t="str">
        <f>IFERROR(__xludf.DUMMYFUNCTION("IF(ISBLANK(A1444),"""",IFERROR(IF(OR(Q1444=""GPB"",Q1444=""ZAR""),IF(Q1444=Dashboard!$L$1,M1444,(M1444*GOOGLEFINANCE(""CURRENCY:""&amp;Q1444&amp;""""&amp;Dashboard!$L$1&amp;""""))/100),IF(Q1444=Dashboard!$L$1,M1444,M1444*GOOGLEFINANCE(""CURRENCY:""&amp;Q1444&amp;""""&amp;Dashboard!$"&amp;"L$1&amp;""""))),M1444))"),"")</f>
        <v/>
      </c>
      <c r="T1444" s="264" t="str">
        <f t="shared" si="4"/>
        <v/>
      </c>
      <c r="U1444" s="264" t="str">
        <f t="shared" si="5"/>
        <v/>
      </c>
      <c r="V1444" s="264" t="str">
        <f t="shared" si="6"/>
        <v/>
      </c>
      <c r="W1444" s="267" t="str">
        <f t="shared" si="8"/>
        <v/>
      </c>
      <c r="X1444" s="264" t="str">
        <f t="shared" si="7"/>
        <v/>
      </c>
    </row>
    <row r="1445" ht="15.75" customHeight="1">
      <c r="A1445" s="258"/>
      <c r="B1445" s="258"/>
      <c r="C1445" s="269"/>
      <c r="D1445" s="258"/>
      <c r="E1445" s="258"/>
      <c r="F1445" s="258"/>
      <c r="G1445" s="258"/>
      <c r="H1445" s="271"/>
      <c r="I1445" s="258"/>
      <c r="J1445" s="272"/>
      <c r="K1445" s="260"/>
      <c r="L1445" s="261"/>
      <c r="M1445" s="262" t="str">
        <f t="shared" si="1"/>
        <v/>
      </c>
      <c r="N1445" s="263" t="str">
        <f t="shared" si="2"/>
        <v/>
      </c>
      <c r="O1445" s="264" t="str">
        <f t="shared" si="3"/>
        <v/>
      </c>
      <c r="P1445" s="265" t="str">
        <f>IFERROR(__xludf.DUMMYFUNCTION("IF(ISBLANK(A1445),"""",IFERROR(IF(H1445=""Sell"",VLOOKUP(9^99,FILTER({ROW(P$2:P1444),P$2:P1444},D$2:D1444=D1445),2),(VLOOKUP(9^99,FILTER({ROW(P$2:P1444),P$2:P1444},D$2:D1444=D1445),2)*VLOOKUP(9^99,FILTER({ROW(O$2:O1444),O$2:O1444},D$2:D1444=D1445),2)-N144"&amp;"5)/O1445),J1445))"),"")</f>
        <v/>
      </c>
      <c r="Q1445" s="264" t="str">
        <f>IFERROR(__xludf.DUMMYFUNCTION("IFERROR(IF(F1445=""Crypto"",B1445,(IF(ISBLANK(D1445),"""",IF(D1445=""Cash"",B1445,IF(GOOGLEFINANCE(D1445,""CURRENCY"")=""GBX"",""GBP"",GOOGLEFINANCE(D1445,""CURRENCY"")))))),B1445)"),"")</f>
        <v/>
      </c>
      <c r="R1445" s="263" t="str">
        <f>IFERROR(__xludf.DUMMYFUNCTION("IF(ISBLANK(A1445),"""",IFERROR(IF(OR(Q1445=""GPB"",Q1445=""ZAR""),IF(Q1445=Dashboard!$L$1,K1445,(K1445*GOOGLEFINANCE(""CURRENCY:""&amp;Q1445&amp;""""&amp;Dashboard!$L$1&amp;""""))/100),IF(Q1445=Dashboard!$L$1,K1445,K1445*GOOGLEFINANCE(""CURRENCY:""&amp;Q1445&amp;""""&amp;Dashboard!$"&amp;"L$1&amp;""""))),K1445))"),"")</f>
        <v/>
      </c>
      <c r="S1445" s="266" t="str">
        <f>IFERROR(__xludf.DUMMYFUNCTION("IF(ISBLANK(A1445),"""",IFERROR(IF(OR(Q1445=""GPB"",Q1445=""ZAR""),IF(Q1445=Dashboard!$L$1,M1445,(M1445*GOOGLEFINANCE(""CURRENCY:""&amp;Q1445&amp;""""&amp;Dashboard!$L$1&amp;""""))/100),IF(Q1445=Dashboard!$L$1,M1445,M1445*GOOGLEFINANCE(""CURRENCY:""&amp;Q1445&amp;""""&amp;Dashboard!$"&amp;"L$1&amp;""""))),M1445))"),"")</f>
        <v/>
      </c>
      <c r="T1445" s="264" t="str">
        <f t="shared" si="4"/>
        <v/>
      </c>
      <c r="U1445" s="264" t="str">
        <f t="shared" si="5"/>
        <v/>
      </c>
      <c r="V1445" s="264" t="str">
        <f t="shared" si="6"/>
        <v/>
      </c>
      <c r="W1445" s="267" t="str">
        <f t="shared" si="8"/>
        <v/>
      </c>
      <c r="X1445" s="264" t="str">
        <f t="shared" si="7"/>
        <v/>
      </c>
    </row>
    <row r="1446" ht="15.75" customHeight="1">
      <c r="A1446" s="258"/>
      <c r="B1446" s="258"/>
      <c r="C1446" s="269"/>
      <c r="D1446" s="258"/>
      <c r="E1446" s="258"/>
      <c r="F1446" s="258"/>
      <c r="G1446" s="258"/>
      <c r="H1446" s="271"/>
      <c r="I1446" s="258"/>
      <c r="J1446" s="272"/>
      <c r="K1446" s="260"/>
      <c r="L1446" s="261"/>
      <c r="M1446" s="262" t="str">
        <f t="shared" si="1"/>
        <v/>
      </c>
      <c r="N1446" s="263" t="str">
        <f t="shared" si="2"/>
        <v/>
      </c>
      <c r="O1446" s="264" t="str">
        <f t="shared" si="3"/>
        <v/>
      </c>
      <c r="P1446" s="265" t="str">
        <f>IFERROR(__xludf.DUMMYFUNCTION("IF(ISBLANK(A1446),"""",IFERROR(IF(H1446=""Sell"",VLOOKUP(9^99,FILTER({ROW(P$2:P1445),P$2:P1445},D$2:D1445=D1446),2),(VLOOKUP(9^99,FILTER({ROW(P$2:P1445),P$2:P1445},D$2:D1445=D1446),2)*VLOOKUP(9^99,FILTER({ROW(O$2:O1445),O$2:O1445},D$2:D1445=D1446),2)-N144"&amp;"6)/O1446),J1446))"),"")</f>
        <v/>
      </c>
      <c r="Q1446" s="264" t="str">
        <f>IFERROR(__xludf.DUMMYFUNCTION("IFERROR(IF(F1446=""Crypto"",B1446,(IF(ISBLANK(D1446),"""",IF(D1446=""Cash"",B1446,IF(GOOGLEFINANCE(D1446,""CURRENCY"")=""GBX"",""GBP"",GOOGLEFINANCE(D1446,""CURRENCY"")))))),B1446)"),"")</f>
        <v/>
      </c>
      <c r="R1446" s="263" t="str">
        <f>IFERROR(__xludf.DUMMYFUNCTION("IF(ISBLANK(A1446),"""",IFERROR(IF(OR(Q1446=""GPB"",Q1446=""ZAR""),IF(Q1446=Dashboard!$L$1,K1446,(K1446*GOOGLEFINANCE(""CURRENCY:""&amp;Q1446&amp;""""&amp;Dashboard!$L$1&amp;""""))/100),IF(Q1446=Dashboard!$L$1,K1446,K1446*GOOGLEFINANCE(""CURRENCY:""&amp;Q1446&amp;""""&amp;Dashboard!$"&amp;"L$1&amp;""""))),K1446))"),"")</f>
        <v/>
      </c>
      <c r="S1446" s="266" t="str">
        <f>IFERROR(__xludf.DUMMYFUNCTION("IF(ISBLANK(A1446),"""",IFERROR(IF(OR(Q1446=""GPB"",Q1446=""ZAR""),IF(Q1446=Dashboard!$L$1,M1446,(M1446*GOOGLEFINANCE(""CURRENCY:""&amp;Q1446&amp;""""&amp;Dashboard!$L$1&amp;""""))/100),IF(Q1446=Dashboard!$L$1,M1446,M1446*GOOGLEFINANCE(""CURRENCY:""&amp;Q1446&amp;""""&amp;Dashboard!$"&amp;"L$1&amp;""""))),M1446))"),"")</f>
        <v/>
      </c>
      <c r="T1446" s="264" t="str">
        <f t="shared" si="4"/>
        <v/>
      </c>
      <c r="U1446" s="264" t="str">
        <f t="shared" si="5"/>
        <v/>
      </c>
      <c r="V1446" s="264" t="str">
        <f t="shared" si="6"/>
        <v/>
      </c>
      <c r="W1446" s="267" t="str">
        <f t="shared" si="8"/>
        <v/>
      </c>
      <c r="X1446" s="264" t="str">
        <f t="shared" si="7"/>
        <v/>
      </c>
    </row>
    <row r="1447" ht="15.75" customHeight="1">
      <c r="A1447" s="258"/>
      <c r="B1447" s="258"/>
      <c r="C1447" s="269"/>
      <c r="D1447" s="258"/>
      <c r="E1447" s="258"/>
      <c r="F1447" s="258"/>
      <c r="G1447" s="258"/>
      <c r="H1447" s="271"/>
      <c r="I1447" s="258"/>
      <c r="J1447" s="272"/>
      <c r="K1447" s="260"/>
      <c r="L1447" s="261"/>
      <c r="M1447" s="262" t="str">
        <f t="shared" si="1"/>
        <v/>
      </c>
      <c r="N1447" s="263" t="str">
        <f t="shared" si="2"/>
        <v/>
      </c>
      <c r="O1447" s="264" t="str">
        <f t="shared" si="3"/>
        <v/>
      </c>
      <c r="P1447" s="265" t="str">
        <f>IFERROR(__xludf.DUMMYFUNCTION("IF(ISBLANK(A1447),"""",IFERROR(IF(H1447=""Sell"",VLOOKUP(9^99,FILTER({ROW(P$2:P1446),P$2:P1446},D$2:D1446=D1447),2),(VLOOKUP(9^99,FILTER({ROW(P$2:P1446),P$2:P1446},D$2:D1446=D1447),2)*VLOOKUP(9^99,FILTER({ROW(O$2:O1446),O$2:O1446},D$2:D1446=D1447),2)-N144"&amp;"7)/O1447),J1447))"),"")</f>
        <v/>
      </c>
      <c r="Q1447" s="264" t="str">
        <f>IFERROR(__xludf.DUMMYFUNCTION("IFERROR(IF(F1447=""Crypto"",B1447,(IF(ISBLANK(D1447),"""",IF(D1447=""Cash"",B1447,IF(GOOGLEFINANCE(D1447,""CURRENCY"")=""GBX"",""GBP"",GOOGLEFINANCE(D1447,""CURRENCY"")))))),B1447)"),"")</f>
        <v/>
      </c>
      <c r="R1447" s="263" t="str">
        <f>IFERROR(__xludf.DUMMYFUNCTION("IF(ISBLANK(A1447),"""",IFERROR(IF(OR(Q1447=""GPB"",Q1447=""ZAR""),IF(Q1447=Dashboard!$L$1,K1447,(K1447*GOOGLEFINANCE(""CURRENCY:""&amp;Q1447&amp;""""&amp;Dashboard!$L$1&amp;""""))/100),IF(Q1447=Dashboard!$L$1,K1447,K1447*GOOGLEFINANCE(""CURRENCY:""&amp;Q1447&amp;""""&amp;Dashboard!$"&amp;"L$1&amp;""""))),K1447))"),"")</f>
        <v/>
      </c>
      <c r="S1447" s="266" t="str">
        <f>IFERROR(__xludf.DUMMYFUNCTION("IF(ISBLANK(A1447),"""",IFERROR(IF(OR(Q1447=""GPB"",Q1447=""ZAR""),IF(Q1447=Dashboard!$L$1,M1447,(M1447*GOOGLEFINANCE(""CURRENCY:""&amp;Q1447&amp;""""&amp;Dashboard!$L$1&amp;""""))/100),IF(Q1447=Dashboard!$L$1,M1447,M1447*GOOGLEFINANCE(""CURRENCY:""&amp;Q1447&amp;""""&amp;Dashboard!$"&amp;"L$1&amp;""""))),M1447))"),"")</f>
        <v/>
      </c>
      <c r="T1447" s="264" t="str">
        <f t="shared" si="4"/>
        <v/>
      </c>
      <c r="U1447" s="264" t="str">
        <f t="shared" si="5"/>
        <v/>
      </c>
      <c r="V1447" s="264" t="str">
        <f t="shared" si="6"/>
        <v/>
      </c>
      <c r="W1447" s="267" t="str">
        <f t="shared" si="8"/>
        <v/>
      </c>
      <c r="X1447" s="264" t="str">
        <f t="shared" si="7"/>
        <v/>
      </c>
    </row>
    <row r="1448" ht="15.75" customHeight="1">
      <c r="A1448" s="258"/>
      <c r="B1448" s="258"/>
      <c r="C1448" s="269"/>
      <c r="D1448" s="258"/>
      <c r="E1448" s="258"/>
      <c r="F1448" s="258"/>
      <c r="G1448" s="258"/>
      <c r="H1448" s="271"/>
      <c r="I1448" s="258"/>
      <c r="J1448" s="272"/>
      <c r="K1448" s="260"/>
      <c r="L1448" s="261"/>
      <c r="M1448" s="262" t="str">
        <f t="shared" si="1"/>
        <v/>
      </c>
      <c r="N1448" s="263" t="str">
        <f t="shared" si="2"/>
        <v/>
      </c>
      <c r="O1448" s="264" t="str">
        <f t="shared" si="3"/>
        <v/>
      </c>
      <c r="P1448" s="265" t="str">
        <f>IFERROR(__xludf.DUMMYFUNCTION("IF(ISBLANK(A1448),"""",IFERROR(IF(H1448=""Sell"",VLOOKUP(9^99,FILTER({ROW(P$2:P1447),P$2:P1447},D$2:D1447=D1448),2),(VLOOKUP(9^99,FILTER({ROW(P$2:P1447),P$2:P1447},D$2:D1447=D1448),2)*VLOOKUP(9^99,FILTER({ROW(O$2:O1447),O$2:O1447},D$2:D1447=D1448),2)-N144"&amp;"8)/O1448),J1448))"),"")</f>
        <v/>
      </c>
      <c r="Q1448" s="264" t="str">
        <f>IFERROR(__xludf.DUMMYFUNCTION("IFERROR(IF(F1448=""Crypto"",B1448,(IF(ISBLANK(D1448),"""",IF(D1448=""Cash"",B1448,IF(GOOGLEFINANCE(D1448,""CURRENCY"")=""GBX"",""GBP"",GOOGLEFINANCE(D1448,""CURRENCY"")))))),B1448)"),"")</f>
        <v/>
      </c>
      <c r="R1448" s="263" t="str">
        <f>IFERROR(__xludf.DUMMYFUNCTION("IF(ISBLANK(A1448),"""",IFERROR(IF(OR(Q1448=""GPB"",Q1448=""ZAR""),IF(Q1448=Dashboard!$L$1,K1448,(K1448*GOOGLEFINANCE(""CURRENCY:""&amp;Q1448&amp;""""&amp;Dashboard!$L$1&amp;""""))/100),IF(Q1448=Dashboard!$L$1,K1448,K1448*GOOGLEFINANCE(""CURRENCY:""&amp;Q1448&amp;""""&amp;Dashboard!$"&amp;"L$1&amp;""""))),K1448))"),"")</f>
        <v/>
      </c>
      <c r="S1448" s="266" t="str">
        <f>IFERROR(__xludf.DUMMYFUNCTION("IF(ISBLANK(A1448),"""",IFERROR(IF(OR(Q1448=""GPB"",Q1448=""ZAR""),IF(Q1448=Dashboard!$L$1,M1448,(M1448*GOOGLEFINANCE(""CURRENCY:""&amp;Q1448&amp;""""&amp;Dashboard!$L$1&amp;""""))/100),IF(Q1448=Dashboard!$L$1,M1448,M1448*GOOGLEFINANCE(""CURRENCY:""&amp;Q1448&amp;""""&amp;Dashboard!$"&amp;"L$1&amp;""""))),M1448))"),"")</f>
        <v/>
      </c>
      <c r="T1448" s="264" t="str">
        <f t="shared" si="4"/>
        <v/>
      </c>
      <c r="U1448" s="264" t="str">
        <f t="shared" si="5"/>
        <v/>
      </c>
      <c r="V1448" s="264" t="str">
        <f t="shared" si="6"/>
        <v/>
      </c>
      <c r="W1448" s="267" t="str">
        <f t="shared" si="8"/>
        <v/>
      </c>
      <c r="X1448" s="264" t="str">
        <f t="shared" si="7"/>
        <v/>
      </c>
    </row>
    <row r="1449" ht="15.75" customHeight="1">
      <c r="A1449" s="258"/>
      <c r="B1449" s="258"/>
      <c r="C1449" s="269"/>
      <c r="D1449" s="258"/>
      <c r="E1449" s="258"/>
      <c r="F1449" s="258"/>
      <c r="G1449" s="258"/>
      <c r="H1449" s="271"/>
      <c r="I1449" s="258"/>
      <c r="J1449" s="272"/>
      <c r="K1449" s="260"/>
      <c r="L1449" s="261"/>
      <c r="M1449" s="262" t="str">
        <f t="shared" si="1"/>
        <v/>
      </c>
      <c r="N1449" s="263" t="str">
        <f t="shared" si="2"/>
        <v/>
      </c>
      <c r="O1449" s="264" t="str">
        <f t="shared" si="3"/>
        <v/>
      </c>
      <c r="P1449" s="265" t="str">
        <f>IFERROR(__xludf.DUMMYFUNCTION("IF(ISBLANK(A1449),"""",IFERROR(IF(H1449=""Sell"",VLOOKUP(9^99,FILTER({ROW(P$2:P1448),P$2:P1448},D$2:D1448=D1449),2),(VLOOKUP(9^99,FILTER({ROW(P$2:P1448),P$2:P1448},D$2:D1448=D1449),2)*VLOOKUP(9^99,FILTER({ROW(O$2:O1448),O$2:O1448},D$2:D1448=D1449),2)-N144"&amp;"9)/O1449),J1449))"),"")</f>
        <v/>
      </c>
      <c r="Q1449" s="264" t="str">
        <f>IFERROR(__xludf.DUMMYFUNCTION("IFERROR(IF(F1449=""Crypto"",B1449,(IF(ISBLANK(D1449),"""",IF(D1449=""Cash"",B1449,IF(GOOGLEFINANCE(D1449,""CURRENCY"")=""GBX"",""GBP"",GOOGLEFINANCE(D1449,""CURRENCY"")))))),B1449)"),"")</f>
        <v/>
      </c>
      <c r="R1449" s="263" t="str">
        <f>IFERROR(__xludf.DUMMYFUNCTION("IF(ISBLANK(A1449),"""",IFERROR(IF(OR(Q1449=""GPB"",Q1449=""ZAR""),IF(Q1449=Dashboard!$L$1,K1449,(K1449*GOOGLEFINANCE(""CURRENCY:""&amp;Q1449&amp;""""&amp;Dashboard!$L$1&amp;""""))/100),IF(Q1449=Dashboard!$L$1,K1449,K1449*GOOGLEFINANCE(""CURRENCY:""&amp;Q1449&amp;""""&amp;Dashboard!$"&amp;"L$1&amp;""""))),K1449))"),"")</f>
        <v/>
      </c>
      <c r="S1449" s="266" t="str">
        <f>IFERROR(__xludf.DUMMYFUNCTION("IF(ISBLANK(A1449),"""",IFERROR(IF(OR(Q1449=""GPB"",Q1449=""ZAR""),IF(Q1449=Dashboard!$L$1,M1449,(M1449*GOOGLEFINANCE(""CURRENCY:""&amp;Q1449&amp;""""&amp;Dashboard!$L$1&amp;""""))/100),IF(Q1449=Dashboard!$L$1,M1449,M1449*GOOGLEFINANCE(""CURRENCY:""&amp;Q1449&amp;""""&amp;Dashboard!$"&amp;"L$1&amp;""""))),M1449))"),"")</f>
        <v/>
      </c>
      <c r="T1449" s="264" t="str">
        <f t="shared" si="4"/>
        <v/>
      </c>
      <c r="U1449" s="264" t="str">
        <f t="shared" si="5"/>
        <v/>
      </c>
      <c r="V1449" s="264" t="str">
        <f t="shared" si="6"/>
        <v/>
      </c>
      <c r="W1449" s="267" t="str">
        <f t="shared" si="8"/>
        <v/>
      </c>
      <c r="X1449" s="264" t="str">
        <f t="shared" si="7"/>
        <v/>
      </c>
    </row>
    <row r="1450" ht="15.75" customHeight="1">
      <c r="A1450" s="258"/>
      <c r="B1450" s="258"/>
      <c r="C1450" s="269"/>
      <c r="D1450" s="258"/>
      <c r="E1450" s="258"/>
      <c r="F1450" s="258"/>
      <c r="G1450" s="258"/>
      <c r="H1450" s="271"/>
      <c r="I1450" s="258"/>
      <c r="J1450" s="272"/>
      <c r="K1450" s="260"/>
      <c r="L1450" s="261"/>
      <c r="M1450" s="262" t="str">
        <f t="shared" si="1"/>
        <v/>
      </c>
      <c r="N1450" s="263" t="str">
        <f t="shared" si="2"/>
        <v/>
      </c>
      <c r="O1450" s="264" t="str">
        <f t="shared" si="3"/>
        <v/>
      </c>
      <c r="P1450" s="265" t="str">
        <f>IFERROR(__xludf.DUMMYFUNCTION("IF(ISBLANK(A1450),"""",IFERROR(IF(H1450=""Sell"",VLOOKUP(9^99,FILTER({ROW(P$2:P1449),P$2:P1449},D$2:D1449=D1450),2),(VLOOKUP(9^99,FILTER({ROW(P$2:P1449),P$2:P1449},D$2:D1449=D1450),2)*VLOOKUP(9^99,FILTER({ROW(O$2:O1449),O$2:O1449},D$2:D1449=D1450),2)-N145"&amp;"0)/O1450),J1450))"),"")</f>
        <v/>
      </c>
      <c r="Q1450" s="264" t="str">
        <f>IFERROR(__xludf.DUMMYFUNCTION("IFERROR(IF(F1450=""Crypto"",B1450,(IF(ISBLANK(D1450),"""",IF(D1450=""Cash"",B1450,IF(GOOGLEFINANCE(D1450,""CURRENCY"")=""GBX"",""GBP"",GOOGLEFINANCE(D1450,""CURRENCY"")))))),B1450)"),"")</f>
        <v/>
      </c>
      <c r="R1450" s="263" t="str">
        <f>IFERROR(__xludf.DUMMYFUNCTION("IF(ISBLANK(A1450),"""",IFERROR(IF(OR(Q1450=""GPB"",Q1450=""ZAR""),IF(Q1450=Dashboard!$L$1,K1450,(K1450*GOOGLEFINANCE(""CURRENCY:""&amp;Q1450&amp;""""&amp;Dashboard!$L$1&amp;""""))/100),IF(Q1450=Dashboard!$L$1,K1450,K1450*GOOGLEFINANCE(""CURRENCY:""&amp;Q1450&amp;""""&amp;Dashboard!$"&amp;"L$1&amp;""""))),K1450))"),"")</f>
        <v/>
      </c>
      <c r="S1450" s="266" t="str">
        <f>IFERROR(__xludf.DUMMYFUNCTION("IF(ISBLANK(A1450),"""",IFERROR(IF(OR(Q1450=""GPB"",Q1450=""ZAR""),IF(Q1450=Dashboard!$L$1,M1450,(M1450*GOOGLEFINANCE(""CURRENCY:""&amp;Q1450&amp;""""&amp;Dashboard!$L$1&amp;""""))/100),IF(Q1450=Dashboard!$L$1,M1450,M1450*GOOGLEFINANCE(""CURRENCY:""&amp;Q1450&amp;""""&amp;Dashboard!$"&amp;"L$1&amp;""""))),M1450))"),"")</f>
        <v/>
      </c>
      <c r="T1450" s="264" t="str">
        <f t="shared" si="4"/>
        <v/>
      </c>
      <c r="U1450" s="264" t="str">
        <f t="shared" si="5"/>
        <v/>
      </c>
      <c r="V1450" s="264" t="str">
        <f t="shared" si="6"/>
        <v/>
      </c>
      <c r="W1450" s="267" t="str">
        <f t="shared" si="8"/>
        <v/>
      </c>
      <c r="X1450" s="264" t="str">
        <f t="shared" si="7"/>
        <v/>
      </c>
    </row>
    <row r="1451" ht="15.75" customHeight="1">
      <c r="A1451" s="258"/>
      <c r="B1451" s="258"/>
      <c r="C1451" s="269"/>
      <c r="D1451" s="258"/>
      <c r="E1451" s="258"/>
      <c r="F1451" s="258"/>
      <c r="G1451" s="258"/>
      <c r="H1451" s="271"/>
      <c r="I1451" s="258"/>
      <c r="J1451" s="272"/>
      <c r="K1451" s="260"/>
      <c r="L1451" s="261"/>
      <c r="M1451" s="262" t="str">
        <f t="shared" si="1"/>
        <v/>
      </c>
      <c r="N1451" s="263" t="str">
        <f t="shared" si="2"/>
        <v/>
      </c>
      <c r="O1451" s="264" t="str">
        <f t="shared" si="3"/>
        <v/>
      </c>
      <c r="P1451" s="265" t="str">
        <f>IFERROR(__xludf.DUMMYFUNCTION("IF(ISBLANK(A1451),"""",IFERROR(IF(H1451=""Sell"",VLOOKUP(9^99,FILTER({ROW(P$2:P1450),P$2:P1450},D$2:D1450=D1451),2),(VLOOKUP(9^99,FILTER({ROW(P$2:P1450),P$2:P1450},D$2:D1450=D1451),2)*VLOOKUP(9^99,FILTER({ROW(O$2:O1450),O$2:O1450},D$2:D1450=D1451),2)-N145"&amp;"1)/O1451),J1451))"),"")</f>
        <v/>
      </c>
      <c r="Q1451" s="264" t="str">
        <f>IFERROR(__xludf.DUMMYFUNCTION("IFERROR(IF(F1451=""Crypto"",B1451,(IF(ISBLANK(D1451),"""",IF(D1451=""Cash"",B1451,IF(GOOGLEFINANCE(D1451,""CURRENCY"")=""GBX"",""GBP"",GOOGLEFINANCE(D1451,""CURRENCY"")))))),B1451)"),"")</f>
        <v/>
      </c>
      <c r="R1451" s="263" t="str">
        <f>IFERROR(__xludf.DUMMYFUNCTION("IF(ISBLANK(A1451),"""",IFERROR(IF(OR(Q1451=""GPB"",Q1451=""ZAR""),IF(Q1451=Dashboard!$L$1,K1451,(K1451*GOOGLEFINANCE(""CURRENCY:""&amp;Q1451&amp;""""&amp;Dashboard!$L$1&amp;""""))/100),IF(Q1451=Dashboard!$L$1,K1451,K1451*GOOGLEFINANCE(""CURRENCY:""&amp;Q1451&amp;""""&amp;Dashboard!$"&amp;"L$1&amp;""""))),K1451))"),"")</f>
        <v/>
      </c>
      <c r="S1451" s="266" t="str">
        <f>IFERROR(__xludf.DUMMYFUNCTION("IF(ISBLANK(A1451),"""",IFERROR(IF(OR(Q1451=""GPB"",Q1451=""ZAR""),IF(Q1451=Dashboard!$L$1,M1451,(M1451*GOOGLEFINANCE(""CURRENCY:""&amp;Q1451&amp;""""&amp;Dashboard!$L$1&amp;""""))/100),IF(Q1451=Dashboard!$L$1,M1451,M1451*GOOGLEFINANCE(""CURRENCY:""&amp;Q1451&amp;""""&amp;Dashboard!$"&amp;"L$1&amp;""""))),M1451))"),"")</f>
        <v/>
      </c>
      <c r="T1451" s="264" t="str">
        <f t="shared" si="4"/>
        <v/>
      </c>
      <c r="U1451" s="264" t="str">
        <f t="shared" si="5"/>
        <v/>
      </c>
      <c r="V1451" s="264" t="str">
        <f t="shared" si="6"/>
        <v/>
      </c>
      <c r="W1451" s="267" t="str">
        <f t="shared" si="8"/>
        <v/>
      </c>
      <c r="X1451" s="264" t="str">
        <f t="shared" si="7"/>
        <v/>
      </c>
    </row>
    <row r="1452" ht="15.75" customHeight="1">
      <c r="A1452" s="258"/>
      <c r="B1452" s="258"/>
      <c r="C1452" s="269"/>
      <c r="D1452" s="258"/>
      <c r="E1452" s="258"/>
      <c r="F1452" s="258"/>
      <c r="G1452" s="258"/>
      <c r="H1452" s="271"/>
      <c r="I1452" s="258"/>
      <c r="J1452" s="272"/>
      <c r="K1452" s="260"/>
      <c r="L1452" s="261"/>
      <c r="M1452" s="262" t="str">
        <f t="shared" si="1"/>
        <v/>
      </c>
      <c r="N1452" s="263" t="str">
        <f t="shared" si="2"/>
        <v/>
      </c>
      <c r="O1452" s="264" t="str">
        <f t="shared" si="3"/>
        <v/>
      </c>
      <c r="P1452" s="265" t="str">
        <f>IFERROR(__xludf.DUMMYFUNCTION("IF(ISBLANK(A1452),"""",IFERROR(IF(H1452=""Sell"",VLOOKUP(9^99,FILTER({ROW(P$2:P1451),P$2:P1451},D$2:D1451=D1452),2),(VLOOKUP(9^99,FILTER({ROW(P$2:P1451),P$2:P1451},D$2:D1451=D1452),2)*VLOOKUP(9^99,FILTER({ROW(O$2:O1451),O$2:O1451},D$2:D1451=D1452),2)-N145"&amp;"2)/O1452),J1452))"),"")</f>
        <v/>
      </c>
      <c r="Q1452" s="264" t="str">
        <f>IFERROR(__xludf.DUMMYFUNCTION("IFERROR(IF(F1452=""Crypto"",B1452,(IF(ISBLANK(D1452),"""",IF(D1452=""Cash"",B1452,IF(GOOGLEFINANCE(D1452,""CURRENCY"")=""GBX"",""GBP"",GOOGLEFINANCE(D1452,""CURRENCY"")))))),B1452)"),"")</f>
        <v/>
      </c>
      <c r="R1452" s="263" t="str">
        <f>IFERROR(__xludf.DUMMYFUNCTION("IF(ISBLANK(A1452),"""",IFERROR(IF(OR(Q1452=""GPB"",Q1452=""ZAR""),IF(Q1452=Dashboard!$L$1,K1452,(K1452*GOOGLEFINANCE(""CURRENCY:""&amp;Q1452&amp;""""&amp;Dashboard!$L$1&amp;""""))/100),IF(Q1452=Dashboard!$L$1,K1452,K1452*GOOGLEFINANCE(""CURRENCY:""&amp;Q1452&amp;""""&amp;Dashboard!$"&amp;"L$1&amp;""""))),K1452))"),"")</f>
        <v/>
      </c>
      <c r="S1452" s="266" t="str">
        <f>IFERROR(__xludf.DUMMYFUNCTION("IF(ISBLANK(A1452),"""",IFERROR(IF(OR(Q1452=""GPB"",Q1452=""ZAR""),IF(Q1452=Dashboard!$L$1,M1452,(M1452*GOOGLEFINANCE(""CURRENCY:""&amp;Q1452&amp;""""&amp;Dashboard!$L$1&amp;""""))/100),IF(Q1452=Dashboard!$L$1,M1452,M1452*GOOGLEFINANCE(""CURRENCY:""&amp;Q1452&amp;""""&amp;Dashboard!$"&amp;"L$1&amp;""""))),M1452))"),"")</f>
        <v/>
      </c>
      <c r="T1452" s="264" t="str">
        <f t="shared" si="4"/>
        <v/>
      </c>
      <c r="U1452" s="264" t="str">
        <f t="shared" si="5"/>
        <v/>
      </c>
      <c r="V1452" s="264" t="str">
        <f t="shared" si="6"/>
        <v/>
      </c>
      <c r="W1452" s="267" t="str">
        <f t="shared" si="8"/>
        <v/>
      </c>
      <c r="X1452" s="264" t="str">
        <f t="shared" si="7"/>
        <v/>
      </c>
    </row>
    <row r="1453" ht="15.75" customHeight="1">
      <c r="A1453" s="258"/>
      <c r="B1453" s="258"/>
      <c r="C1453" s="269"/>
      <c r="D1453" s="258"/>
      <c r="E1453" s="258"/>
      <c r="F1453" s="258"/>
      <c r="G1453" s="258"/>
      <c r="H1453" s="271"/>
      <c r="I1453" s="258"/>
      <c r="J1453" s="272"/>
      <c r="K1453" s="260"/>
      <c r="L1453" s="261"/>
      <c r="M1453" s="262" t="str">
        <f t="shared" si="1"/>
        <v/>
      </c>
      <c r="N1453" s="263" t="str">
        <f t="shared" si="2"/>
        <v/>
      </c>
      <c r="O1453" s="264" t="str">
        <f t="shared" si="3"/>
        <v/>
      </c>
      <c r="P1453" s="265" t="str">
        <f>IFERROR(__xludf.DUMMYFUNCTION("IF(ISBLANK(A1453),"""",IFERROR(IF(H1453=""Sell"",VLOOKUP(9^99,FILTER({ROW(P$2:P1452),P$2:P1452},D$2:D1452=D1453),2),(VLOOKUP(9^99,FILTER({ROW(P$2:P1452),P$2:P1452},D$2:D1452=D1453),2)*VLOOKUP(9^99,FILTER({ROW(O$2:O1452),O$2:O1452},D$2:D1452=D1453),2)-N145"&amp;"3)/O1453),J1453))"),"")</f>
        <v/>
      </c>
      <c r="Q1453" s="264" t="str">
        <f>IFERROR(__xludf.DUMMYFUNCTION("IFERROR(IF(F1453=""Crypto"",B1453,(IF(ISBLANK(D1453),"""",IF(D1453=""Cash"",B1453,IF(GOOGLEFINANCE(D1453,""CURRENCY"")=""GBX"",""GBP"",GOOGLEFINANCE(D1453,""CURRENCY"")))))),B1453)"),"")</f>
        <v/>
      </c>
      <c r="R1453" s="263" t="str">
        <f>IFERROR(__xludf.DUMMYFUNCTION("IF(ISBLANK(A1453),"""",IFERROR(IF(OR(Q1453=""GPB"",Q1453=""ZAR""),IF(Q1453=Dashboard!$L$1,K1453,(K1453*GOOGLEFINANCE(""CURRENCY:""&amp;Q1453&amp;""""&amp;Dashboard!$L$1&amp;""""))/100),IF(Q1453=Dashboard!$L$1,K1453,K1453*GOOGLEFINANCE(""CURRENCY:""&amp;Q1453&amp;""""&amp;Dashboard!$"&amp;"L$1&amp;""""))),K1453))"),"")</f>
        <v/>
      </c>
      <c r="S1453" s="266" t="str">
        <f>IFERROR(__xludf.DUMMYFUNCTION("IF(ISBLANK(A1453),"""",IFERROR(IF(OR(Q1453=""GPB"",Q1453=""ZAR""),IF(Q1453=Dashboard!$L$1,M1453,(M1453*GOOGLEFINANCE(""CURRENCY:""&amp;Q1453&amp;""""&amp;Dashboard!$L$1&amp;""""))/100),IF(Q1453=Dashboard!$L$1,M1453,M1453*GOOGLEFINANCE(""CURRENCY:""&amp;Q1453&amp;""""&amp;Dashboard!$"&amp;"L$1&amp;""""))),M1453))"),"")</f>
        <v/>
      </c>
      <c r="T1453" s="264" t="str">
        <f t="shared" si="4"/>
        <v/>
      </c>
      <c r="U1453" s="264" t="str">
        <f t="shared" si="5"/>
        <v/>
      </c>
      <c r="V1453" s="264" t="str">
        <f t="shared" si="6"/>
        <v/>
      </c>
      <c r="W1453" s="267" t="str">
        <f t="shared" si="8"/>
        <v/>
      </c>
      <c r="X1453" s="264" t="str">
        <f t="shared" si="7"/>
        <v/>
      </c>
    </row>
    <row r="1454" ht="15.75" customHeight="1">
      <c r="A1454" s="258"/>
      <c r="B1454" s="258"/>
      <c r="C1454" s="269"/>
      <c r="D1454" s="258"/>
      <c r="E1454" s="258"/>
      <c r="F1454" s="258"/>
      <c r="G1454" s="258"/>
      <c r="H1454" s="271"/>
      <c r="I1454" s="258"/>
      <c r="J1454" s="272"/>
      <c r="K1454" s="260"/>
      <c r="L1454" s="261"/>
      <c r="M1454" s="262" t="str">
        <f t="shared" si="1"/>
        <v/>
      </c>
      <c r="N1454" s="263" t="str">
        <f t="shared" si="2"/>
        <v/>
      </c>
      <c r="O1454" s="264" t="str">
        <f t="shared" si="3"/>
        <v/>
      </c>
      <c r="P1454" s="265" t="str">
        <f>IFERROR(__xludf.DUMMYFUNCTION("IF(ISBLANK(A1454),"""",IFERROR(IF(H1454=""Sell"",VLOOKUP(9^99,FILTER({ROW(P$2:P1453),P$2:P1453},D$2:D1453=D1454),2),(VLOOKUP(9^99,FILTER({ROW(P$2:P1453),P$2:P1453},D$2:D1453=D1454),2)*VLOOKUP(9^99,FILTER({ROW(O$2:O1453),O$2:O1453},D$2:D1453=D1454),2)-N145"&amp;"4)/O1454),J1454))"),"")</f>
        <v/>
      </c>
      <c r="Q1454" s="264" t="str">
        <f>IFERROR(__xludf.DUMMYFUNCTION("IFERROR(IF(F1454=""Crypto"",B1454,(IF(ISBLANK(D1454),"""",IF(D1454=""Cash"",B1454,IF(GOOGLEFINANCE(D1454,""CURRENCY"")=""GBX"",""GBP"",GOOGLEFINANCE(D1454,""CURRENCY"")))))),B1454)"),"")</f>
        <v/>
      </c>
      <c r="R1454" s="263" t="str">
        <f>IFERROR(__xludf.DUMMYFUNCTION("IF(ISBLANK(A1454),"""",IFERROR(IF(OR(Q1454=""GPB"",Q1454=""ZAR""),IF(Q1454=Dashboard!$L$1,K1454,(K1454*GOOGLEFINANCE(""CURRENCY:""&amp;Q1454&amp;""""&amp;Dashboard!$L$1&amp;""""))/100),IF(Q1454=Dashboard!$L$1,K1454,K1454*GOOGLEFINANCE(""CURRENCY:""&amp;Q1454&amp;""""&amp;Dashboard!$"&amp;"L$1&amp;""""))),K1454))"),"")</f>
        <v/>
      </c>
      <c r="S1454" s="266" t="str">
        <f>IFERROR(__xludf.DUMMYFUNCTION("IF(ISBLANK(A1454),"""",IFERROR(IF(OR(Q1454=""GPB"",Q1454=""ZAR""),IF(Q1454=Dashboard!$L$1,M1454,(M1454*GOOGLEFINANCE(""CURRENCY:""&amp;Q1454&amp;""""&amp;Dashboard!$L$1&amp;""""))/100),IF(Q1454=Dashboard!$L$1,M1454,M1454*GOOGLEFINANCE(""CURRENCY:""&amp;Q1454&amp;""""&amp;Dashboard!$"&amp;"L$1&amp;""""))),M1454))"),"")</f>
        <v/>
      </c>
      <c r="T1454" s="264" t="str">
        <f t="shared" si="4"/>
        <v/>
      </c>
      <c r="U1454" s="264" t="str">
        <f t="shared" si="5"/>
        <v/>
      </c>
      <c r="V1454" s="264" t="str">
        <f t="shared" si="6"/>
        <v/>
      </c>
      <c r="W1454" s="267" t="str">
        <f t="shared" si="8"/>
        <v/>
      </c>
      <c r="X1454" s="264" t="str">
        <f t="shared" si="7"/>
        <v/>
      </c>
    </row>
    <row r="1455" ht="15.75" customHeight="1">
      <c r="A1455" s="258"/>
      <c r="B1455" s="258"/>
      <c r="C1455" s="269"/>
      <c r="D1455" s="258"/>
      <c r="E1455" s="258"/>
      <c r="F1455" s="258"/>
      <c r="G1455" s="258"/>
      <c r="H1455" s="271"/>
      <c r="I1455" s="258"/>
      <c r="J1455" s="272"/>
      <c r="K1455" s="260"/>
      <c r="L1455" s="261"/>
      <c r="M1455" s="262" t="str">
        <f t="shared" si="1"/>
        <v/>
      </c>
      <c r="N1455" s="263" t="str">
        <f t="shared" si="2"/>
        <v/>
      </c>
      <c r="O1455" s="264" t="str">
        <f t="shared" si="3"/>
        <v/>
      </c>
      <c r="P1455" s="265" t="str">
        <f>IFERROR(__xludf.DUMMYFUNCTION("IF(ISBLANK(A1455),"""",IFERROR(IF(H1455=""Sell"",VLOOKUP(9^99,FILTER({ROW(P$2:P1454),P$2:P1454},D$2:D1454=D1455),2),(VLOOKUP(9^99,FILTER({ROW(P$2:P1454),P$2:P1454},D$2:D1454=D1455),2)*VLOOKUP(9^99,FILTER({ROW(O$2:O1454),O$2:O1454},D$2:D1454=D1455),2)-N145"&amp;"5)/O1455),J1455))"),"")</f>
        <v/>
      </c>
      <c r="Q1455" s="264" t="str">
        <f>IFERROR(__xludf.DUMMYFUNCTION("IFERROR(IF(F1455=""Crypto"",B1455,(IF(ISBLANK(D1455),"""",IF(D1455=""Cash"",B1455,IF(GOOGLEFINANCE(D1455,""CURRENCY"")=""GBX"",""GBP"",GOOGLEFINANCE(D1455,""CURRENCY"")))))),B1455)"),"")</f>
        <v/>
      </c>
      <c r="R1455" s="263" t="str">
        <f>IFERROR(__xludf.DUMMYFUNCTION("IF(ISBLANK(A1455),"""",IFERROR(IF(OR(Q1455=""GPB"",Q1455=""ZAR""),IF(Q1455=Dashboard!$L$1,K1455,(K1455*GOOGLEFINANCE(""CURRENCY:""&amp;Q1455&amp;""""&amp;Dashboard!$L$1&amp;""""))/100),IF(Q1455=Dashboard!$L$1,K1455,K1455*GOOGLEFINANCE(""CURRENCY:""&amp;Q1455&amp;""""&amp;Dashboard!$"&amp;"L$1&amp;""""))),K1455))"),"")</f>
        <v/>
      </c>
      <c r="S1455" s="266" t="str">
        <f>IFERROR(__xludf.DUMMYFUNCTION("IF(ISBLANK(A1455),"""",IFERROR(IF(OR(Q1455=""GPB"",Q1455=""ZAR""),IF(Q1455=Dashboard!$L$1,M1455,(M1455*GOOGLEFINANCE(""CURRENCY:""&amp;Q1455&amp;""""&amp;Dashboard!$L$1&amp;""""))/100),IF(Q1455=Dashboard!$L$1,M1455,M1455*GOOGLEFINANCE(""CURRENCY:""&amp;Q1455&amp;""""&amp;Dashboard!$"&amp;"L$1&amp;""""))),M1455))"),"")</f>
        <v/>
      </c>
      <c r="T1455" s="264" t="str">
        <f t="shared" si="4"/>
        <v/>
      </c>
      <c r="U1455" s="264" t="str">
        <f t="shared" si="5"/>
        <v/>
      </c>
      <c r="V1455" s="264" t="str">
        <f t="shared" si="6"/>
        <v/>
      </c>
      <c r="W1455" s="267" t="str">
        <f t="shared" si="8"/>
        <v/>
      </c>
      <c r="X1455" s="264" t="str">
        <f t="shared" si="7"/>
        <v/>
      </c>
    </row>
    <row r="1456" ht="15.75" customHeight="1">
      <c r="A1456" s="258"/>
      <c r="B1456" s="258"/>
      <c r="C1456" s="269"/>
      <c r="D1456" s="258"/>
      <c r="E1456" s="258"/>
      <c r="F1456" s="258"/>
      <c r="G1456" s="258"/>
      <c r="H1456" s="271"/>
      <c r="I1456" s="258"/>
      <c r="J1456" s="272"/>
      <c r="K1456" s="260"/>
      <c r="L1456" s="261"/>
      <c r="M1456" s="262" t="str">
        <f t="shared" si="1"/>
        <v/>
      </c>
      <c r="N1456" s="263" t="str">
        <f t="shared" si="2"/>
        <v/>
      </c>
      <c r="O1456" s="264" t="str">
        <f t="shared" si="3"/>
        <v/>
      </c>
      <c r="P1456" s="265" t="str">
        <f>IFERROR(__xludf.DUMMYFUNCTION("IF(ISBLANK(A1456),"""",IFERROR(IF(H1456=""Sell"",VLOOKUP(9^99,FILTER({ROW(P$2:P1455),P$2:P1455},D$2:D1455=D1456),2),(VLOOKUP(9^99,FILTER({ROW(P$2:P1455),P$2:P1455},D$2:D1455=D1456),2)*VLOOKUP(9^99,FILTER({ROW(O$2:O1455),O$2:O1455},D$2:D1455=D1456),2)-N145"&amp;"6)/O1456),J1456))"),"")</f>
        <v/>
      </c>
      <c r="Q1456" s="264" t="str">
        <f>IFERROR(__xludf.DUMMYFUNCTION("IFERROR(IF(F1456=""Crypto"",B1456,(IF(ISBLANK(D1456),"""",IF(D1456=""Cash"",B1456,IF(GOOGLEFINANCE(D1456,""CURRENCY"")=""GBX"",""GBP"",GOOGLEFINANCE(D1456,""CURRENCY"")))))),B1456)"),"")</f>
        <v/>
      </c>
      <c r="R1456" s="263" t="str">
        <f>IFERROR(__xludf.DUMMYFUNCTION("IF(ISBLANK(A1456),"""",IFERROR(IF(OR(Q1456=""GPB"",Q1456=""ZAR""),IF(Q1456=Dashboard!$L$1,K1456,(K1456*GOOGLEFINANCE(""CURRENCY:""&amp;Q1456&amp;""""&amp;Dashboard!$L$1&amp;""""))/100),IF(Q1456=Dashboard!$L$1,K1456,K1456*GOOGLEFINANCE(""CURRENCY:""&amp;Q1456&amp;""""&amp;Dashboard!$"&amp;"L$1&amp;""""))),K1456))"),"")</f>
        <v/>
      </c>
      <c r="S1456" s="266" t="str">
        <f>IFERROR(__xludf.DUMMYFUNCTION("IF(ISBLANK(A1456),"""",IFERROR(IF(OR(Q1456=""GPB"",Q1456=""ZAR""),IF(Q1456=Dashboard!$L$1,M1456,(M1456*GOOGLEFINANCE(""CURRENCY:""&amp;Q1456&amp;""""&amp;Dashboard!$L$1&amp;""""))/100),IF(Q1456=Dashboard!$L$1,M1456,M1456*GOOGLEFINANCE(""CURRENCY:""&amp;Q1456&amp;""""&amp;Dashboard!$"&amp;"L$1&amp;""""))),M1456))"),"")</f>
        <v/>
      </c>
      <c r="T1456" s="264" t="str">
        <f t="shared" si="4"/>
        <v/>
      </c>
      <c r="U1456" s="264" t="str">
        <f t="shared" si="5"/>
        <v/>
      </c>
      <c r="V1456" s="264" t="str">
        <f t="shared" si="6"/>
        <v/>
      </c>
      <c r="W1456" s="267" t="str">
        <f t="shared" si="8"/>
        <v/>
      </c>
      <c r="X1456" s="264" t="str">
        <f t="shared" si="7"/>
        <v/>
      </c>
    </row>
    <row r="1457" ht="15.75" customHeight="1">
      <c r="A1457" s="258"/>
      <c r="B1457" s="258"/>
      <c r="C1457" s="269"/>
      <c r="D1457" s="258"/>
      <c r="E1457" s="258"/>
      <c r="F1457" s="258"/>
      <c r="G1457" s="258"/>
      <c r="H1457" s="271"/>
      <c r="I1457" s="258"/>
      <c r="J1457" s="272"/>
      <c r="K1457" s="260"/>
      <c r="L1457" s="261"/>
      <c r="M1457" s="262" t="str">
        <f t="shared" si="1"/>
        <v/>
      </c>
      <c r="N1457" s="263" t="str">
        <f t="shared" si="2"/>
        <v/>
      </c>
      <c r="O1457" s="264" t="str">
        <f t="shared" si="3"/>
        <v/>
      </c>
      <c r="P1457" s="265" t="str">
        <f>IFERROR(__xludf.DUMMYFUNCTION("IF(ISBLANK(A1457),"""",IFERROR(IF(H1457=""Sell"",VLOOKUP(9^99,FILTER({ROW(P$2:P1456),P$2:P1456},D$2:D1456=D1457),2),(VLOOKUP(9^99,FILTER({ROW(P$2:P1456),P$2:P1456},D$2:D1456=D1457),2)*VLOOKUP(9^99,FILTER({ROW(O$2:O1456),O$2:O1456},D$2:D1456=D1457),2)-N145"&amp;"7)/O1457),J1457))"),"")</f>
        <v/>
      </c>
      <c r="Q1457" s="264" t="str">
        <f>IFERROR(__xludf.DUMMYFUNCTION("IFERROR(IF(F1457=""Crypto"",B1457,(IF(ISBLANK(D1457),"""",IF(D1457=""Cash"",B1457,IF(GOOGLEFINANCE(D1457,""CURRENCY"")=""GBX"",""GBP"",GOOGLEFINANCE(D1457,""CURRENCY"")))))),B1457)"),"")</f>
        <v/>
      </c>
      <c r="R1457" s="263" t="str">
        <f>IFERROR(__xludf.DUMMYFUNCTION("IF(ISBLANK(A1457),"""",IFERROR(IF(OR(Q1457=""GPB"",Q1457=""ZAR""),IF(Q1457=Dashboard!$L$1,K1457,(K1457*GOOGLEFINANCE(""CURRENCY:""&amp;Q1457&amp;""""&amp;Dashboard!$L$1&amp;""""))/100),IF(Q1457=Dashboard!$L$1,K1457,K1457*GOOGLEFINANCE(""CURRENCY:""&amp;Q1457&amp;""""&amp;Dashboard!$"&amp;"L$1&amp;""""))),K1457))"),"")</f>
        <v/>
      </c>
      <c r="S1457" s="266" t="str">
        <f>IFERROR(__xludf.DUMMYFUNCTION("IF(ISBLANK(A1457),"""",IFERROR(IF(OR(Q1457=""GPB"",Q1457=""ZAR""),IF(Q1457=Dashboard!$L$1,M1457,(M1457*GOOGLEFINANCE(""CURRENCY:""&amp;Q1457&amp;""""&amp;Dashboard!$L$1&amp;""""))/100),IF(Q1457=Dashboard!$L$1,M1457,M1457*GOOGLEFINANCE(""CURRENCY:""&amp;Q1457&amp;""""&amp;Dashboard!$"&amp;"L$1&amp;""""))),M1457))"),"")</f>
        <v/>
      </c>
      <c r="T1457" s="264" t="str">
        <f t="shared" si="4"/>
        <v/>
      </c>
      <c r="U1457" s="264" t="str">
        <f t="shared" si="5"/>
        <v/>
      </c>
      <c r="V1457" s="264" t="str">
        <f t="shared" si="6"/>
        <v/>
      </c>
      <c r="W1457" s="267" t="str">
        <f t="shared" si="8"/>
        <v/>
      </c>
      <c r="X1457" s="264" t="str">
        <f t="shared" si="7"/>
        <v/>
      </c>
    </row>
    <row r="1458" ht="15.75" customHeight="1">
      <c r="A1458" s="258"/>
      <c r="B1458" s="258"/>
      <c r="C1458" s="269"/>
      <c r="D1458" s="258"/>
      <c r="E1458" s="258"/>
      <c r="F1458" s="258"/>
      <c r="G1458" s="258"/>
      <c r="H1458" s="271"/>
      <c r="I1458" s="258"/>
      <c r="J1458" s="272"/>
      <c r="K1458" s="260"/>
      <c r="L1458" s="261"/>
      <c r="M1458" s="262" t="str">
        <f t="shared" si="1"/>
        <v/>
      </c>
      <c r="N1458" s="263" t="str">
        <f t="shared" si="2"/>
        <v/>
      </c>
      <c r="O1458" s="264" t="str">
        <f t="shared" si="3"/>
        <v/>
      </c>
      <c r="P1458" s="265" t="str">
        <f>IFERROR(__xludf.DUMMYFUNCTION("IF(ISBLANK(A1458),"""",IFERROR(IF(H1458=""Sell"",VLOOKUP(9^99,FILTER({ROW(P$2:P1457),P$2:P1457},D$2:D1457=D1458),2),(VLOOKUP(9^99,FILTER({ROW(P$2:P1457),P$2:P1457},D$2:D1457=D1458),2)*VLOOKUP(9^99,FILTER({ROW(O$2:O1457),O$2:O1457},D$2:D1457=D1458),2)-N145"&amp;"8)/O1458),J1458))"),"")</f>
        <v/>
      </c>
      <c r="Q1458" s="264" t="str">
        <f>IFERROR(__xludf.DUMMYFUNCTION("IFERROR(IF(F1458=""Crypto"",B1458,(IF(ISBLANK(D1458),"""",IF(D1458=""Cash"",B1458,IF(GOOGLEFINANCE(D1458,""CURRENCY"")=""GBX"",""GBP"",GOOGLEFINANCE(D1458,""CURRENCY"")))))),B1458)"),"")</f>
        <v/>
      </c>
      <c r="R1458" s="263" t="str">
        <f>IFERROR(__xludf.DUMMYFUNCTION("IF(ISBLANK(A1458),"""",IFERROR(IF(OR(Q1458=""GPB"",Q1458=""ZAR""),IF(Q1458=Dashboard!$L$1,K1458,(K1458*GOOGLEFINANCE(""CURRENCY:""&amp;Q1458&amp;""""&amp;Dashboard!$L$1&amp;""""))/100),IF(Q1458=Dashboard!$L$1,K1458,K1458*GOOGLEFINANCE(""CURRENCY:""&amp;Q1458&amp;""""&amp;Dashboard!$"&amp;"L$1&amp;""""))),K1458))"),"")</f>
        <v/>
      </c>
      <c r="S1458" s="266" t="str">
        <f>IFERROR(__xludf.DUMMYFUNCTION("IF(ISBLANK(A1458),"""",IFERROR(IF(OR(Q1458=""GPB"",Q1458=""ZAR""),IF(Q1458=Dashboard!$L$1,M1458,(M1458*GOOGLEFINANCE(""CURRENCY:""&amp;Q1458&amp;""""&amp;Dashboard!$L$1&amp;""""))/100),IF(Q1458=Dashboard!$L$1,M1458,M1458*GOOGLEFINANCE(""CURRENCY:""&amp;Q1458&amp;""""&amp;Dashboard!$"&amp;"L$1&amp;""""))),M1458))"),"")</f>
        <v/>
      </c>
      <c r="T1458" s="264" t="str">
        <f t="shared" si="4"/>
        <v/>
      </c>
      <c r="U1458" s="264" t="str">
        <f t="shared" si="5"/>
        <v/>
      </c>
      <c r="V1458" s="264" t="str">
        <f t="shared" si="6"/>
        <v/>
      </c>
      <c r="W1458" s="267" t="str">
        <f t="shared" si="8"/>
        <v/>
      </c>
      <c r="X1458" s="264" t="str">
        <f t="shared" si="7"/>
        <v/>
      </c>
    </row>
    <row r="1459" ht="15.75" customHeight="1">
      <c r="A1459" s="258"/>
      <c r="B1459" s="258"/>
      <c r="C1459" s="269"/>
      <c r="D1459" s="258"/>
      <c r="E1459" s="258"/>
      <c r="F1459" s="258"/>
      <c r="G1459" s="258"/>
      <c r="H1459" s="271"/>
      <c r="I1459" s="258"/>
      <c r="J1459" s="272"/>
      <c r="K1459" s="260"/>
      <c r="L1459" s="261"/>
      <c r="M1459" s="262" t="str">
        <f t="shared" si="1"/>
        <v/>
      </c>
      <c r="N1459" s="263" t="str">
        <f t="shared" si="2"/>
        <v/>
      </c>
      <c r="O1459" s="264" t="str">
        <f t="shared" si="3"/>
        <v/>
      </c>
      <c r="P1459" s="265" t="str">
        <f>IFERROR(__xludf.DUMMYFUNCTION("IF(ISBLANK(A1459),"""",IFERROR(IF(H1459=""Sell"",VLOOKUP(9^99,FILTER({ROW(P$2:P1458),P$2:P1458},D$2:D1458=D1459),2),(VLOOKUP(9^99,FILTER({ROW(P$2:P1458),P$2:P1458},D$2:D1458=D1459),2)*VLOOKUP(9^99,FILTER({ROW(O$2:O1458),O$2:O1458},D$2:D1458=D1459),2)-N145"&amp;"9)/O1459),J1459))"),"")</f>
        <v/>
      </c>
      <c r="Q1459" s="264" t="str">
        <f>IFERROR(__xludf.DUMMYFUNCTION("IFERROR(IF(F1459=""Crypto"",B1459,(IF(ISBLANK(D1459),"""",IF(D1459=""Cash"",B1459,IF(GOOGLEFINANCE(D1459,""CURRENCY"")=""GBX"",""GBP"",GOOGLEFINANCE(D1459,""CURRENCY"")))))),B1459)"),"")</f>
        <v/>
      </c>
      <c r="R1459" s="263" t="str">
        <f>IFERROR(__xludf.DUMMYFUNCTION("IF(ISBLANK(A1459),"""",IFERROR(IF(OR(Q1459=""GPB"",Q1459=""ZAR""),IF(Q1459=Dashboard!$L$1,K1459,(K1459*GOOGLEFINANCE(""CURRENCY:""&amp;Q1459&amp;""""&amp;Dashboard!$L$1&amp;""""))/100),IF(Q1459=Dashboard!$L$1,K1459,K1459*GOOGLEFINANCE(""CURRENCY:""&amp;Q1459&amp;""""&amp;Dashboard!$"&amp;"L$1&amp;""""))),K1459))"),"")</f>
        <v/>
      </c>
      <c r="S1459" s="266" t="str">
        <f>IFERROR(__xludf.DUMMYFUNCTION("IF(ISBLANK(A1459),"""",IFERROR(IF(OR(Q1459=""GPB"",Q1459=""ZAR""),IF(Q1459=Dashboard!$L$1,M1459,(M1459*GOOGLEFINANCE(""CURRENCY:""&amp;Q1459&amp;""""&amp;Dashboard!$L$1&amp;""""))/100),IF(Q1459=Dashboard!$L$1,M1459,M1459*GOOGLEFINANCE(""CURRENCY:""&amp;Q1459&amp;""""&amp;Dashboard!$"&amp;"L$1&amp;""""))),M1459))"),"")</f>
        <v/>
      </c>
      <c r="T1459" s="264" t="str">
        <f t="shared" si="4"/>
        <v/>
      </c>
      <c r="U1459" s="264" t="str">
        <f t="shared" si="5"/>
        <v/>
      </c>
      <c r="V1459" s="264" t="str">
        <f t="shared" si="6"/>
        <v/>
      </c>
      <c r="W1459" s="267" t="str">
        <f t="shared" si="8"/>
        <v/>
      </c>
      <c r="X1459" s="264" t="str">
        <f t="shared" si="7"/>
        <v/>
      </c>
    </row>
    <row r="1460" ht="15.75" customHeight="1">
      <c r="A1460" s="258"/>
      <c r="B1460" s="258"/>
      <c r="C1460" s="269"/>
      <c r="D1460" s="258"/>
      <c r="E1460" s="258"/>
      <c r="F1460" s="258"/>
      <c r="G1460" s="258"/>
      <c r="H1460" s="271"/>
      <c r="I1460" s="258"/>
      <c r="J1460" s="272"/>
      <c r="K1460" s="260"/>
      <c r="L1460" s="261"/>
      <c r="M1460" s="262" t="str">
        <f t="shared" si="1"/>
        <v/>
      </c>
      <c r="N1460" s="263" t="str">
        <f t="shared" si="2"/>
        <v/>
      </c>
      <c r="O1460" s="264" t="str">
        <f t="shared" si="3"/>
        <v/>
      </c>
      <c r="P1460" s="265" t="str">
        <f>IFERROR(__xludf.DUMMYFUNCTION("IF(ISBLANK(A1460),"""",IFERROR(IF(H1460=""Sell"",VLOOKUP(9^99,FILTER({ROW(P$2:P1459),P$2:P1459},D$2:D1459=D1460),2),(VLOOKUP(9^99,FILTER({ROW(P$2:P1459),P$2:P1459},D$2:D1459=D1460),2)*VLOOKUP(9^99,FILTER({ROW(O$2:O1459),O$2:O1459},D$2:D1459=D1460),2)-N146"&amp;"0)/O1460),J1460))"),"")</f>
        <v/>
      </c>
      <c r="Q1460" s="264" t="str">
        <f>IFERROR(__xludf.DUMMYFUNCTION("IFERROR(IF(F1460=""Crypto"",B1460,(IF(ISBLANK(D1460),"""",IF(D1460=""Cash"",B1460,IF(GOOGLEFINANCE(D1460,""CURRENCY"")=""GBX"",""GBP"",GOOGLEFINANCE(D1460,""CURRENCY"")))))),B1460)"),"")</f>
        <v/>
      </c>
      <c r="R1460" s="263" t="str">
        <f>IFERROR(__xludf.DUMMYFUNCTION("IF(ISBLANK(A1460),"""",IFERROR(IF(OR(Q1460=""GPB"",Q1460=""ZAR""),IF(Q1460=Dashboard!$L$1,K1460,(K1460*GOOGLEFINANCE(""CURRENCY:""&amp;Q1460&amp;""""&amp;Dashboard!$L$1&amp;""""))/100),IF(Q1460=Dashboard!$L$1,K1460,K1460*GOOGLEFINANCE(""CURRENCY:""&amp;Q1460&amp;""""&amp;Dashboard!$"&amp;"L$1&amp;""""))),K1460))"),"")</f>
        <v/>
      </c>
      <c r="S1460" s="266" t="str">
        <f>IFERROR(__xludf.DUMMYFUNCTION("IF(ISBLANK(A1460),"""",IFERROR(IF(OR(Q1460=""GPB"",Q1460=""ZAR""),IF(Q1460=Dashboard!$L$1,M1460,(M1460*GOOGLEFINANCE(""CURRENCY:""&amp;Q1460&amp;""""&amp;Dashboard!$L$1&amp;""""))/100),IF(Q1460=Dashboard!$L$1,M1460,M1460*GOOGLEFINANCE(""CURRENCY:""&amp;Q1460&amp;""""&amp;Dashboard!$"&amp;"L$1&amp;""""))),M1460))"),"")</f>
        <v/>
      </c>
      <c r="T1460" s="264" t="str">
        <f t="shared" si="4"/>
        <v/>
      </c>
      <c r="U1460" s="264" t="str">
        <f t="shared" si="5"/>
        <v/>
      </c>
      <c r="V1460" s="264" t="str">
        <f t="shared" si="6"/>
        <v/>
      </c>
      <c r="W1460" s="267" t="str">
        <f t="shared" si="8"/>
        <v/>
      </c>
      <c r="X1460" s="264" t="str">
        <f t="shared" si="7"/>
        <v/>
      </c>
    </row>
    <row r="1461" ht="15.75" customHeight="1">
      <c r="A1461" s="258"/>
      <c r="B1461" s="258"/>
      <c r="C1461" s="269"/>
      <c r="D1461" s="258"/>
      <c r="E1461" s="258"/>
      <c r="F1461" s="258"/>
      <c r="G1461" s="258"/>
      <c r="H1461" s="271"/>
      <c r="I1461" s="258"/>
      <c r="J1461" s="272"/>
      <c r="K1461" s="260"/>
      <c r="L1461" s="261"/>
      <c r="M1461" s="262" t="str">
        <f t="shared" si="1"/>
        <v/>
      </c>
      <c r="N1461" s="263" t="str">
        <f t="shared" si="2"/>
        <v/>
      </c>
      <c r="O1461" s="264" t="str">
        <f t="shared" si="3"/>
        <v/>
      </c>
      <c r="P1461" s="265" t="str">
        <f>IFERROR(__xludf.DUMMYFUNCTION("IF(ISBLANK(A1461),"""",IFERROR(IF(H1461=""Sell"",VLOOKUP(9^99,FILTER({ROW(P$2:P1460),P$2:P1460},D$2:D1460=D1461),2),(VLOOKUP(9^99,FILTER({ROW(P$2:P1460),P$2:P1460},D$2:D1460=D1461),2)*VLOOKUP(9^99,FILTER({ROW(O$2:O1460),O$2:O1460},D$2:D1460=D1461),2)-N146"&amp;"1)/O1461),J1461))"),"")</f>
        <v/>
      </c>
      <c r="Q1461" s="264" t="str">
        <f>IFERROR(__xludf.DUMMYFUNCTION("IFERROR(IF(F1461=""Crypto"",B1461,(IF(ISBLANK(D1461),"""",IF(D1461=""Cash"",B1461,IF(GOOGLEFINANCE(D1461,""CURRENCY"")=""GBX"",""GBP"",GOOGLEFINANCE(D1461,""CURRENCY"")))))),B1461)"),"")</f>
        <v/>
      </c>
      <c r="R1461" s="263" t="str">
        <f>IFERROR(__xludf.DUMMYFUNCTION("IF(ISBLANK(A1461),"""",IFERROR(IF(OR(Q1461=""GPB"",Q1461=""ZAR""),IF(Q1461=Dashboard!$L$1,K1461,(K1461*GOOGLEFINANCE(""CURRENCY:""&amp;Q1461&amp;""""&amp;Dashboard!$L$1&amp;""""))/100),IF(Q1461=Dashboard!$L$1,K1461,K1461*GOOGLEFINANCE(""CURRENCY:""&amp;Q1461&amp;""""&amp;Dashboard!$"&amp;"L$1&amp;""""))),K1461))"),"")</f>
        <v/>
      </c>
      <c r="S1461" s="266" t="str">
        <f>IFERROR(__xludf.DUMMYFUNCTION("IF(ISBLANK(A1461),"""",IFERROR(IF(OR(Q1461=""GPB"",Q1461=""ZAR""),IF(Q1461=Dashboard!$L$1,M1461,(M1461*GOOGLEFINANCE(""CURRENCY:""&amp;Q1461&amp;""""&amp;Dashboard!$L$1&amp;""""))/100),IF(Q1461=Dashboard!$L$1,M1461,M1461*GOOGLEFINANCE(""CURRENCY:""&amp;Q1461&amp;""""&amp;Dashboard!$"&amp;"L$1&amp;""""))),M1461))"),"")</f>
        <v/>
      </c>
      <c r="T1461" s="264" t="str">
        <f t="shared" si="4"/>
        <v/>
      </c>
      <c r="U1461" s="264" t="str">
        <f t="shared" si="5"/>
        <v/>
      </c>
      <c r="V1461" s="264" t="str">
        <f t="shared" si="6"/>
        <v/>
      </c>
      <c r="W1461" s="267" t="str">
        <f t="shared" si="8"/>
        <v/>
      </c>
      <c r="X1461" s="264" t="str">
        <f t="shared" si="7"/>
        <v/>
      </c>
    </row>
    <row r="1462" ht="15.75" customHeight="1">
      <c r="A1462" s="258"/>
      <c r="B1462" s="258"/>
      <c r="C1462" s="269"/>
      <c r="D1462" s="258"/>
      <c r="E1462" s="258"/>
      <c r="F1462" s="258"/>
      <c r="G1462" s="258"/>
      <c r="H1462" s="271"/>
      <c r="I1462" s="258"/>
      <c r="J1462" s="272"/>
      <c r="K1462" s="260"/>
      <c r="L1462" s="261"/>
      <c r="M1462" s="262" t="str">
        <f t="shared" si="1"/>
        <v/>
      </c>
      <c r="N1462" s="263" t="str">
        <f t="shared" si="2"/>
        <v/>
      </c>
      <c r="O1462" s="264" t="str">
        <f t="shared" si="3"/>
        <v/>
      </c>
      <c r="P1462" s="265" t="str">
        <f>IFERROR(__xludf.DUMMYFUNCTION("IF(ISBLANK(A1462),"""",IFERROR(IF(H1462=""Sell"",VLOOKUP(9^99,FILTER({ROW(P$2:P1461),P$2:P1461},D$2:D1461=D1462),2),(VLOOKUP(9^99,FILTER({ROW(P$2:P1461),P$2:P1461},D$2:D1461=D1462),2)*VLOOKUP(9^99,FILTER({ROW(O$2:O1461),O$2:O1461},D$2:D1461=D1462),2)-N146"&amp;"2)/O1462),J1462))"),"")</f>
        <v/>
      </c>
      <c r="Q1462" s="264" t="str">
        <f>IFERROR(__xludf.DUMMYFUNCTION("IFERROR(IF(F1462=""Crypto"",B1462,(IF(ISBLANK(D1462),"""",IF(D1462=""Cash"",B1462,IF(GOOGLEFINANCE(D1462,""CURRENCY"")=""GBX"",""GBP"",GOOGLEFINANCE(D1462,""CURRENCY"")))))),B1462)"),"")</f>
        <v/>
      </c>
      <c r="R1462" s="263" t="str">
        <f>IFERROR(__xludf.DUMMYFUNCTION("IF(ISBLANK(A1462),"""",IFERROR(IF(OR(Q1462=""GPB"",Q1462=""ZAR""),IF(Q1462=Dashboard!$L$1,K1462,(K1462*GOOGLEFINANCE(""CURRENCY:""&amp;Q1462&amp;""""&amp;Dashboard!$L$1&amp;""""))/100),IF(Q1462=Dashboard!$L$1,K1462,K1462*GOOGLEFINANCE(""CURRENCY:""&amp;Q1462&amp;""""&amp;Dashboard!$"&amp;"L$1&amp;""""))),K1462))"),"")</f>
        <v/>
      </c>
      <c r="S1462" s="266" t="str">
        <f>IFERROR(__xludf.DUMMYFUNCTION("IF(ISBLANK(A1462),"""",IFERROR(IF(OR(Q1462=""GPB"",Q1462=""ZAR""),IF(Q1462=Dashboard!$L$1,M1462,(M1462*GOOGLEFINANCE(""CURRENCY:""&amp;Q1462&amp;""""&amp;Dashboard!$L$1&amp;""""))/100),IF(Q1462=Dashboard!$L$1,M1462,M1462*GOOGLEFINANCE(""CURRENCY:""&amp;Q1462&amp;""""&amp;Dashboard!$"&amp;"L$1&amp;""""))),M1462))"),"")</f>
        <v/>
      </c>
      <c r="T1462" s="264" t="str">
        <f t="shared" si="4"/>
        <v/>
      </c>
      <c r="U1462" s="264" t="str">
        <f t="shared" si="5"/>
        <v/>
      </c>
      <c r="V1462" s="264" t="str">
        <f t="shared" si="6"/>
        <v/>
      </c>
      <c r="W1462" s="267" t="str">
        <f t="shared" si="8"/>
        <v/>
      </c>
      <c r="X1462" s="264" t="str">
        <f t="shared" si="7"/>
        <v/>
      </c>
    </row>
    <row r="1463" ht="15.75" customHeight="1">
      <c r="A1463" s="258"/>
      <c r="B1463" s="258"/>
      <c r="C1463" s="269"/>
      <c r="D1463" s="258"/>
      <c r="E1463" s="258"/>
      <c r="F1463" s="258"/>
      <c r="G1463" s="258"/>
      <c r="H1463" s="271"/>
      <c r="I1463" s="258"/>
      <c r="J1463" s="272"/>
      <c r="K1463" s="260"/>
      <c r="L1463" s="261"/>
      <c r="M1463" s="262" t="str">
        <f t="shared" si="1"/>
        <v/>
      </c>
      <c r="N1463" s="263" t="str">
        <f t="shared" si="2"/>
        <v/>
      </c>
      <c r="O1463" s="264" t="str">
        <f t="shared" si="3"/>
        <v/>
      </c>
      <c r="P1463" s="265" t="str">
        <f>IFERROR(__xludf.DUMMYFUNCTION("IF(ISBLANK(A1463),"""",IFERROR(IF(H1463=""Sell"",VLOOKUP(9^99,FILTER({ROW(P$2:P1462),P$2:P1462},D$2:D1462=D1463),2),(VLOOKUP(9^99,FILTER({ROW(P$2:P1462),P$2:P1462},D$2:D1462=D1463),2)*VLOOKUP(9^99,FILTER({ROW(O$2:O1462),O$2:O1462},D$2:D1462=D1463),2)-N146"&amp;"3)/O1463),J1463))"),"")</f>
        <v/>
      </c>
      <c r="Q1463" s="264" t="str">
        <f>IFERROR(__xludf.DUMMYFUNCTION("IFERROR(IF(F1463=""Crypto"",B1463,(IF(ISBLANK(D1463),"""",IF(D1463=""Cash"",B1463,IF(GOOGLEFINANCE(D1463,""CURRENCY"")=""GBX"",""GBP"",GOOGLEFINANCE(D1463,""CURRENCY"")))))),B1463)"),"")</f>
        <v/>
      </c>
      <c r="R1463" s="263" t="str">
        <f>IFERROR(__xludf.DUMMYFUNCTION("IF(ISBLANK(A1463),"""",IFERROR(IF(OR(Q1463=""GPB"",Q1463=""ZAR""),IF(Q1463=Dashboard!$L$1,K1463,(K1463*GOOGLEFINANCE(""CURRENCY:""&amp;Q1463&amp;""""&amp;Dashboard!$L$1&amp;""""))/100),IF(Q1463=Dashboard!$L$1,K1463,K1463*GOOGLEFINANCE(""CURRENCY:""&amp;Q1463&amp;""""&amp;Dashboard!$"&amp;"L$1&amp;""""))),K1463))"),"")</f>
        <v/>
      </c>
      <c r="S1463" s="266" t="str">
        <f>IFERROR(__xludf.DUMMYFUNCTION("IF(ISBLANK(A1463),"""",IFERROR(IF(OR(Q1463=""GPB"",Q1463=""ZAR""),IF(Q1463=Dashboard!$L$1,M1463,(M1463*GOOGLEFINANCE(""CURRENCY:""&amp;Q1463&amp;""""&amp;Dashboard!$L$1&amp;""""))/100),IF(Q1463=Dashboard!$L$1,M1463,M1463*GOOGLEFINANCE(""CURRENCY:""&amp;Q1463&amp;""""&amp;Dashboard!$"&amp;"L$1&amp;""""))),M1463))"),"")</f>
        <v/>
      </c>
      <c r="T1463" s="264" t="str">
        <f t="shared" si="4"/>
        <v/>
      </c>
      <c r="U1463" s="264" t="str">
        <f t="shared" si="5"/>
        <v/>
      </c>
      <c r="V1463" s="264" t="str">
        <f t="shared" si="6"/>
        <v/>
      </c>
      <c r="W1463" s="267" t="str">
        <f t="shared" si="8"/>
        <v/>
      </c>
      <c r="X1463" s="264" t="str">
        <f t="shared" si="7"/>
        <v/>
      </c>
    </row>
    <row r="1464" ht="15.75" customHeight="1">
      <c r="A1464" s="258"/>
      <c r="B1464" s="258"/>
      <c r="C1464" s="269"/>
      <c r="D1464" s="258"/>
      <c r="E1464" s="258"/>
      <c r="F1464" s="258"/>
      <c r="G1464" s="258"/>
      <c r="H1464" s="271"/>
      <c r="I1464" s="258"/>
      <c r="J1464" s="272"/>
      <c r="K1464" s="260"/>
      <c r="L1464" s="261"/>
      <c r="M1464" s="262" t="str">
        <f t="shared" si="1"/>
        <v/>
      </c>
      <c r="N1464" s="263" t="str">
        <f t="shared" si="2"/>
        <v/>
      </c>
      <c r="O1464" s="264" t="str">
        <f t="shared" si="3"/>
        <v/>
      </c>
      <c r="P1464" s="265" t="str">
        <f>IFERROR(__xludf.DUMMYFUNCTION("IF(ISBLANK(A1464),"""",IFERROR(IF(H1464=""Sell"",VLOOKUP(9^99,FILTER({ROW(P$2:P1463),P$2:P1463},D$2:D1463=D1464),2),(VLOOKUP(9^99,FILTER({ROW(P$2:P1463),P$2:P1463},D$2:D1463=D1464),2)*VLOOKUP(9^99,FILTER({ROW(O$2:O1463),O$2:O1463},D$2:D1463=D1464),2)-N146"&amp;"4)/O1464),J1464))"),"")</f>
        <v/>
      </c>
      <c r="Q1464" s="264" t="str">
        <f>IFERROR(__xludf.DUMMYFUNCTION("IFERROR(IF(F1464=""Crypto"",B1464,(IF(ISBLANK(D1464),"""",IF(D1464=""Cash"",B1464,IF(GOOGLEFINANCE(D1464,""CURRENCY"")=""GBX"",""GBP"",GOOGLEFINANCE(D1464,""CURRENCY"")))))),B1464)"),"")</f>
        <v/>
      </c>
      <c r="R1464" s="263" t="str">
        <f>IFERROR(__xludf.DUMMYFUNCTION("IF(ISBLANK(A1464),"""",IFERROR(IF(OR(Q1464=""GPB"",Q1464=""ZAR""),IF(Q1464=Dashboard!$L$1,K1464,(K1464*GOOGLEFINANCE(""CURRENCY:""&amp;Q1464&amp;""""&amp;Dashboard!$L$1&amp;""""))/100),IF(Q1464=Dashboard!$L$1,K1464,K1464*GOOGLEFINANCE(""CURRENCY:""&amp;Q1464&amp;""""&amp;Dashboard!$"&amp;"L$1&amp;""""))),K1464))"),"")</f>
        <v/>
      </c>
      <c r="S1464" s="266" t="str">
        <f>IFERROR(__xludf.DUMMYFUNCTION("IF(ISBLANK(A1464),"""",IFERROR(IF(OR(Q1464=""GPB"",Q1464=""ZAR""),IF(Q1464=Dashboard!$L$1,M1464,(M1464*GOOGLEFINANCE(""CURRENCY:""&amp;Q1464&amp;""""&amp;Dashboard!$L$1&amp;""""))/100),IF(Q1464=Dashboard!$L$1,M1464,M1464*GOOGLEFINANCE(""CURRENCY:""&amp;Q1464&amp;""""&amp;Dashboard!$"&amp;"L$1&amp;""""))),M1464))"),"")</f>
        <v/>
      </c>
      <c r="T1464" s="264" t="str">
        <f t="shared" si="4"/>
        <v/>
      </c>
      <c r="U1464" s="264" t="str">
        <f t="shared" si="5"/>
        <v/>
      </c>
      <c r="V1464" s="264" t="str">
        <f t="shared" si="6"/>
        <v/>
      </c>
      <c r="W1464" s="267" t="str">
        <f t="shared" si="8"/>
        <v/>
      </c>
      <c r="X1464" s="264" t="str">
        <f t="shared" si="7"/>
        <v/>
      </c>
    </row>
    <row r="1465" ht="15.75" customHeight="1">
      <c r="A1465" s="258"/>
      <c r="B1465" s="258"/>
      <c r="C1465" s="269"/>
      <c r="D1465" s="258"/>
      <c r="E1465" s="258"/>
      <c r="F1465" s="258"/>
      <c r="G1465" s="258"/>
      <c r="H1465" s="271"/>
      <c r="I1465" s="258"/>
      <c r="J1465" s="272"/>
      <c r="K1465" s="260"/>
      <c r="L1465" s="261"/>
      <c r="M1465" s="262" t="str">
        <f t="shared" si="1"/>
        <v/>
      </c>
      <c r="N1465" s="263" t="str">
        <f t="shared" si="2"/>
        <v/>
      </c>
      <c r="O1465" s="264" t="str">
        <f t="shared" si="3"/>
        <v/>
      </c>
      <c r="P1465" s="265" t="str">
        <f>IFERROR(__xludf.DUMMYFUNCTION("IF(ISBLANK(A1465),"""",IFERROR(IF(H1465=""Sell"",VLOOKUP(9^99,FILTER({ROW(P$2:P1464),P$2:P1464},D$2:D1464=D1465),2),(VLOOKUP(9^99,FILTER({ROW(P$2:P1464),P$2:P1464},D$2:D1464=D1465),2)*VLOOKUP(9^99,FILTER({ROW(O$2:O1464),O$2:O1464},D$2:D1464=D1465),2)-N146"&amp;"5)/O1465),J1465))"),"")</f>
        <v/>
      </c>
      <c r="Q1465" s="264" t="str">
        <f>IFERROR(__xludf.DUMMYFUNCTION("IFERROR(IF(F1465=""Crypto"",B1465,(IF(ISBLANK(D1465),"""",IF(D1465=""Cash"",B1465,IF(GOOGLEFINANCE(D1465,""CURRENCY"")=""GBX"",""GBP"",GOOGLEFINANCE(D1465,""CURRENCY"")))))),B1465)"),"")</f>
        <v/>
      </c>
      <c r="R1465" s="263" t="str">
        <f>IFERROR(__xludf.DUMMYFUNCTION("IF(ISBLANK(A1465),"""",IFERROR(IF(OR(Q1465=""GPB"",Q1465=""ZAR""),IF(Q1465=Dashboard!$L$1,K1465,(K1465*GOOGLEFINANCE(""CURRENCY:""&amp;Q1465&amp;""""&amp;Dashboard!$L$1&amp;""""))/100),IF(Q1465=Dashboard!$L$1,K1465,K1465*GOOGLEFINANCE(""CURRENCY:""&amp;Q1465&amp;""""&amp;Dashboard!$"&amp;"L$1&amp;""""))),K1465))"),"")</f>
        <v/>
      </c>
      <c r="S1465" s="266" t="str">
        <f>IFERROR(__xludf.DUMMYFUNCTION("IF(ISBLANK(A1465),"""",IFERROR(IF(OR(Q1465=""GPB"",Q1465=""ZAR""),IF(Q1465=Dashboard!$L$1,M1465,(M1465*GOOGLEFINANCE(""CURRENCY:""&amp;Q1465&amp;""""&amp;Dashboard!$L$1&amp;""""))/100),IF(Q1465=Dashboard!$L$1,M1465,M1465*GOOGLEFINANCE(""CURRENCY:""&amp;Q1465&amp;""""&amp;Dashboard!$"&amp;"L$1&amp;""""))),M1465))"),"")</f>
        <v/>
      </c>
      <c r="T1465" s="264" t="str">
        <f t="shared" si="4"/>
        <v/>
      </c>
      <c r="U1465" s="264" t="str">
        <f t="shared" si="5"/>
        <v/>
      </c>
      <c r="V1465" s="264" t="str">
        <f t="shared" si="6"/>
        <v/>
      </c>
      <c r="W1465" s="267" t="str">
        <f t="shared" si="8"/>
        <v/>
      </c>
      <c r="X1465" s="264" t="str">
        <f t="shared" si="7"/>
        <v/>
      </c>
    </row>
    <row r="1466" ht="15.75" customHeight="1">
      <c r="A1466" s="258"/>
      <c r="B1466" s="258"/>
      <c r="C1466" s="269"/>
      <c r="D1466" s="258"/>
      <c r="E1466" s="258"/>
      <c r="F1466" s="258"/>
      <c r="G1466" s="258"/>
      <c r="H1466" s="271"/>
      <c r="I1466" s="258"/>
      <c r="J1466" s="272"/>
      <c r="K1466" s="260"/>
      <c r="L1466" s="261"/>
      <c r="M1466" s="262" t="str">
        <f t="shared" si="1"/>
        <v/>
      </c>
      <c r="N1466" s="263" t="str">
        <f t="shared" si="2"/>
        <v/>
      </c>
      <c r="O1466" s="264" t="str">
        <f t="shared" si="3"/>
        <v/>
      </c>
      <c r="P1466" s="265" t="str">
        <f>IFERROR(__xludf.DUMMYFUNCTION("IF(ISBLANK(A1466),"""",IFERROR(IF(H1466=""Sell"",VLOOKUP(9^99,FILTER({ROW(P$2:P1465),P$2:P1465},D$2:D1465=D1466),2),(VLOOKUP(9^99,FILTER({ROW(P$2:P1465),P$2:P1465},D$2:D1465=D1466),2)*VLOOKUP(9^99,FILTER({ROW(O$2:O1465),O$2:O1465},D$2:D1465=D1466),2)-N146"&amp;"6)/O1466),J1466))"),"")</f>
        <v/>
      </c>
      <c r="Q1466" s="264" t="str">
        <f>IFERROR(__xludf.DUMMYFUNCTION("IFERROR(IF(F1466=""Crypto"",B1466,(IF(ISBLANK(D1466),"""",IF(D1466=""Cash"",B1466,IF(GOOGLEFINANCE(D1466,""CURRENCY"")=""GBX"",""GBP"",GOOGLEFINANCE(D1466,""CURRENCY"")))))),B1466)"),"")</f>
        <v/>
      </c>
      <c r="R1466" s="263" t="str">
        <f>IFERROR(__xludf.DUMMYFUNCTION("IF(ISBLANK(A1466),"""",IFERROR(IF(OR(Q1466=""GPB"",Q1466=""ZAR""),IF(Q1466=Dashboard!$L$1,K1466,(K1466*GOOGLEFINANCE(""CURRENCY:""&amp;Q1466&amp;""""&amp;Dashboard!$L$1&amp;""""))/100),IF(Q1466=Dashboard!$L$1,K1466,K1466*GOOGLEFINANCE(""CURRENCY:""&amp;Q1466&amp;""""&amp;Dashboard!$"&amp;"L$1&amp;""""))),K1466))"),"")</f>
        <v/>
      </c>
      <c r="S1466" s="266" t="str">
        <f>IFERROR(__xludf.DUMMYFUNCTION("IF(ISBLANK(A1466),"""",IFERROR(IF(OR(Q1466=""GPB"",Q1466=""ZAR""),IF(Q1466=Dashboard!$L$1,M1466,(M1466*GOOGLEFINANCE(""CURRENCY:""&amp;Q1466&amp;""""&amp;Dashboard!$L$1&amp;""""))/100),IF(Q1466=Dashboard!$L$1,M1466,M1466*GOOGLEFINANCE(""CURRENCY:""&amp;Q1466&amp;""""&amp;Dashboard!$"&amp;"L$1&amp;""""))),M1466))"),"")</f>
        <v/>
      </c>
      <c r="T1466" s="264" t="str">
        <f t="shared" si="4"/>
        <v/>
      </c>
      <c r="U1466" s="264" t="str">
        <f t="shared" si="5"/>
        <v/>
      </c>
      <c r="V1466" s="264" t="str">
        <f t="shared" si="6"/>
        <v/>
      </c>
      <c r="W1466" s="267" t="str">
        <f t="shared" si="8"/>
        <v/>
      </c>
      <c r="X1466" s="264" t="str">
        <f t="shared" si="7"/>
        <v/>
      </c>
    </row>
    <row r="1467" ht="15.75" customHeight="1">
      <c r="A1467" s="258"/>
      <c r="B1467" s="258"/>
      <c r="C1467" s="269"/>
      <c r="D1467" s="258"/>
      <c r="E1467" s="258"/>
      <c r="F1467" s="258"/>
      <c r="G1467" s="258"/>
      <c r="H1467" s="271"/>
      <c r="I1467" s="258"/>
      <c r="J1467" s="272"/>
      <c r="K1467" s="260"/>
      <c r="L1467" s="261"/>
      <c r="M1467" s="262" t="str">
        <f t="shared" si="1"/>
        <v/>
      </c>
      <c r="N1467" s="263" t="str">
        <f t="shared" si="2"/>
        <v/>
      </c>
      <c r="O1467" s="264" t="str">
        <f t="shared" si="3"/>
        <v/>
      </c>
      <c r="P1467" s="265" t="str">
        <f>IFERROR(__xludf.DUMMYFUNCTION("IF(ISBLANK(A1467),"""",IFERROR(IF(H1467=""Sell"",VLOOKUP(9^99,FILTER({ROW(P$2:P1466),P$2:P1466},D$2:D1466=D1467),2),(VLOOKUP(9^99,FILTER({ROW(P$2:P1466),P$2:P1466},D$2:D1466=D1467),2)*VLOOKUP(9^99,FILTER({ROW(O$2:O1466),O$2:O1466},D$2:D1466=D1467),2)-N146"&amp;"7)/O1467),J1467))"),"")</f>
        <v/>
      </c>
      <c r="Q1467" s="264" t="str">
        <f>IFERROR(__xludf.DUMMYFUNCTION("IFERROR(IF(F1467=""Crypto"",B1467,(IF(ISBLANK(D1467),"""",IF(D1467=""Cash"",B1467,IF(GOOGLEFINANCE(D1467,""CURRENCY"")=""GBX"",""GBP"",GOOGLEFINANCE(D1467,""CURRENCY"")))))),B1467)"),"")</f>
        <v/>
      </c>
      <c r="R1467" s="263" t="str">
        <f>IFERROR(__xludf.DUMMYFUNCTION("IF(ISBLANK(A1467),"""",IFERROR(IF(OR(Q1467=""GPB"",Q1467=""ZAR""),IF(Q1467=Dashboard!$L$1,K1467,(K1467*GOOGLEFINANCE(""CURRENCY:""&amp;Q1467&amp;""""&amp;Dashboard!$L$1&amp;""""))/100),IF(Q1467=Dashboard!$L$1,K1467,K1467*GOOGLEFINANCE(""CURRENCY:""&amp;Q1467&amp;""""&amp;Dashboard!$"&amp;"L$1&amp;""""))),K1467))"),"")</f>
        <v/>
      </c>
      <c r="S1467" s="266" t="str">
        <f>IFERROR(__xludf.DUMMYFUNCTION("IF(ISBLANK(A1467),"""",IFERROR(IF(OR(Q1467=""GPB"",Q1467=""ZAR""),IF(Q1467=Dashboard!$L$1,M1467,(M1467*GOOGLEFINANCE(""CURRENCY:""&amp;Q1467&amp;""""&amp;Dashboard!$L$1&amp;""""))/100),IF(Q1467=Dashboard!$L$1,M1467,M1467*GOOGLEFINANCE(""CURRENCY:""&amp;Q1467&amp;""""&amp;Dashboard!$"&amp;"L$1&amp;""""))),M1467))"),"")</f>
        <v/>
      </c>
      <c r="T1467" s="264" t="str">
        <f t="shared" si="4"/>
        <v/>
      </c>
      <c r="U1467" s="264" t="str">
        <f t="shared" si="5"/>
        <v/>
      </c>
      <c r="V1467" s="264" t="str">
        <f t="shared" si="6"/>
        <v/>
      </c>
      <c r="W1467" s="267" t="str">
        <f t="shared" si="8"/>
        <v/>
      </c>
      <c r="X1467" s="264" t="str">
        <f t="shared" si="7"/>
        <v/>
      </c>
    </row>
    <row r="1468" ht="15.75" customHeight="1">
      <c r="A1468" s="258"/>
      <c r="B1468" s="258"/>
      <c r="C1468" s="269"/>
      <c r="D1468" s="258"/>
      <c r="E1468" s="258"/>
      <c r="F1468" s="258"/>
      <c r="G1468" s="258"/>
      <c r="H1468" s="271"/>
      <c r="I1468" s="258"/>
      <c r="J1468" s="272"/>
      <c r="K1468" s="260"/>
      <c r="L1468" s="261"/>
      <c r="M1468" s="262" t="str">
        <f t="shared" si="1"/>
        <v/>
      </c>
      <c r="N1468" s="263" t="str">
        <f t="shared" si="2"/>
        <v/>
      </c>
      <c r="O1468" s="264" t="str">
        <f t="shared" si="3"/>
        <v/>
      </c>
      <c r="P1468" s="265" t="str">
        <f>IFERROR(__xludf.DUMMYFUNCTION("IF(ISBLANK(A1468),"""",IFERROR(IF(H1468=""Sell"",VLOOKUP(9^99,FILTER({ROW(P$2:P1467),P$2:P1467},D$2:D1467=D1468),2),(VLOOKUP(9^99,FILTER({ROW(P$2:P1467),P$2:P1467},D$2:D1467=D1468),2)*VLOOKUP(9^99,FILTER({ROW(O$2:O1467),O$2:O1467},D$2:D1467=D1468),2)-N146"&amp;"8)/O1468),J1468))"),"")</f>
        <v/>
      </c>
      <c r="Q1468" s="264" t="str">
        <f>IFERROR(__xludf.DUMMYFUNCTION("IFERROR(IF(F1468=""Crypto"",B1468,(IF(ISBLANK(D1468),"""",IF(D1468=""Cash"",B1468,IF(GOOGLEFINANCE(D1468,""CURRENCY"")=""GBX"",""GBP"",GOOGLEFINANCE(D1468,""CURRENCY"")))))),B1468)"),"")</f>
        <v/>
      </c>
      <c r="R1468" s="263" t="str">
        <f>IFERROR(__xludf.DUMMYFUNCTION("IF(ISBLANK(A1468),"""",IFERROR(IF(OR(Q1468=""GPB"",Q1468=""ZAR""),IF(Q1468=Dashboard!$L$1,K1468,(K1468*GOOGLEFINANCE(""CURRENCY:""&amp;Q1468&amp;""""&amp;Dashboard!$L$1&amp;""""))/100),IF(Q1468=Dashboard!$L$1,K1468,K1468*GOOGLEFINANCE(""CURRENCY:""&amp;Q1468&amp;""""&amp;Dashboard!$"&amp;"L$1&amp;""""))),K1468))"),"")</f>
        <v/>
      </c>
      <c r="S1468" s="266" t="str">
        <f>IFERROR(__xludf.DUMMYFUNCTION("IF(ISBLANK(A1468),"""",IFERROR(IF(OR(Q1468=""GPB"",Q1468=""ZAR""),IF(Q1468=Dashboard!$L$1,M1468,(M1468*GOOGLEFINANCE(""CURRENCY:""&amp;Q1468&amp;""""&amp;Dashboard!$L$1&amp;""""))/100),IF(Q1468=Dashboard!$L$1,M1468,M1468*GOOGLEFINANCE(""CURRENCY:""&amp;Q1468&amp;""""&amp;Dashboard!$"&amp;"L$1&amp;""""))),M1468))"),"")</f>
        <v/>
      </c>
      <c r="T1468" s="264" t="str">
        <f t="shared" si="4"/>
        <v/>
      </c>
      <c r="U1468" s="264" t="str">
        <f t="shared" si="5"/>
        <v/>
      </c>
      <c r="V1468" s="264" t="str">
        <f t="shared" si="6"/>
        <v/>
      </c>
      <c r="W1468" s="267" t="str">
        <f t="shared" si="8"/>
        <v/>
      </c>
      <c r="X1468" s="264" t="str">
        <f t="shared" si="7"/>
        <v/>
      </c>
    </row>
    <row r="1469" ht="15.75" customHeight="1">
      <c r="A1469" s="258"/>
      <c r="B1469" s="258"/>
      <c r="C1469" s="269"/>
      <c r="D1469" s="258"/>
      <c r="E1469" s="258"/>
      <c r="F1469" s="258"/>
      <c r="G1469" s="258"/>
      <c r="H1469" s="271"/>
      <c r="I1469" s="258"/>
      <c r="J1469" s="272"/>
      <c r="K1469" s="260"/>
      <c r="L1469" s="261"/>
      <c r="M1469" s="262" t="str">
        <f t="shared" si="1"/>
        <v/>
      </c>
      <c r="N1469" s="263" t="str">
        <f t="shared" si="2"/>
        <v/>
      </c>
      <c r="O1469" s="264" t="str">
        <f t="shared" si="3"/>
        <v/>
      </c>
      <c r="P1469" s="265" t="str">
        <f>IFERROR(__xludf.DUMMYFUNCTION("IF(ISBLANK(A1469),"""",IFERROR(IF(H1469=""Sell"",VLOOKUP(9^99,FILTER({ROW(P$2:P1468),P$2:P1468},D$2:D1468=D1469),2),(VLOOKUP(9^99,FILTER({ROW(P$2:P1468),P$2:P1468},D$2:D1468=D1469),2)*VLOOKUP(9^99,FILTER({ROW(O$2:O1468),O$2:O1468},D$2:D1468=D1469),2)-N146"&amp;"9)/O1469),J1469))"),"")</f>
        <v/>
      </c>
      <c r="Q1469" s="264" t="str">
        <f>IFERROR(__xludf.DUMMYFUNCTION("IFERROR(IF(F1469=""Crypto"",B1469,(IF(ISBLANK(D1469),"""",IF(D1469=""Cash"",B1469,IF(GOOGLEFINANCE(D1469,""CURRENCY"")=""GBX"",""GBP"",GOOGLEFINANCE(D1469,""CURRENCY"")))))),B1469)"),"")</f>
        <v/>
      </c>
      <c r="R1469" s="263" t="str">
        <f>IFERROR(__xludf.DUMMYFUNCTION("IF(ISBLANK(A1469),"""",IFERROR(IF(OR(Q1469=""GPB"",Q1469=""ZAR""),IF(Q1469=Dashboard!$L$1,K1469,(K1469*GOOGLEFINANCE(""CURRENCY:""&amp;Q1469&amp;""""&amp;Dashboard!$L$1&amp;""""))/100),IF(Q1469=Dashboard!$L$1,K1469,K1469*GOOGLEFINANCE(""CURRENCY:""&amp;Q1469&amp;""""&amp;Dashboard!$"&amp;"L$1&amp;""""))),K1469))"),"")</f>
        <v/>
      </c>
      <c r="S1469" s="266" t="str">
        <f>IFERROR(__xludf.DUMMYFUNCTION("IF(ISBLANK(A1469),"""",IFERROR(IF(OR(Q1469=""GPB"",Q1469=""ZAR""),IF(Q1469=Dashboard!$L$1,M1469,(M1469*GOOGLEFINANCE(""CURRENCY:""&amp;Q1469&amp;""""&amp;Dashboard!$L$1&amp;""""))/100),IF(Q1469=Dashboard!$L$1,M1469,M1469*GOOGLEFINANCE(""CURRENCY:""&amp;Q1469&amp;""""&amp;Dashboard!$"&amp;"L$1&amp;""""))),M1469))"),"")</f>
        <v/>
      </c>
      <c r="T1469" s="264" t="str">
        <f t="shared" si="4"/>
        <v/>
      </c>
      <c r="U1469" s="264" t="str">
        <f t="shared" si="5"/>
        <v/>
      </c>
      <c r="V1469" s="264" t="str">
        <f t="shared" si="6"/>
        <v/>
      </c>
      <c r="W1469" s="267" t="str">
        <f t="shared" si="8"/>
        <v/>
      </c>
      <c r="X1469" s="264" t="str">
        <f t="shared" si="7"/>
        <v/>
      </c>
    </row>
    <row r="1470" ht="15.75" customHeight="1">
      <c r="A1470" s="258"/>
      <c r="B1470" s="258"/>
      <c r="C1470" s="269"/>
      <c r="D1470" s="258"/>
      <c r="E1470" s="258"/>
      <c r="F1470" s="258"/>
      <c r="G1470" s="258"/>
      <c r="H1470" s="271"/>
      <c r="I1470" s="258"/>
      <c r="J1470" s="272"/>
      <c r="K1470" s="260"/>
      <c r="L1470" s="261"/>
      <c r="M1470" s="262" t="str">
        <f t="shared" si="1"/>
        <v/>
      </c>
      <c r="N1470" s="263" t="str">
        <f t="shared" si="2"/>
        <v/>
      </c>
      <c r="O1470" s="264" t="str">
        <f t="shared" si="3"/>
        <v/>
      </c>
      <c r="P1470" s="265" t="str">
        <f>IFERROR(__xludf.DUMMYFUNCTION("IF(ISBLANK(A1470),"""",IFERROR(IF(H1470=""Sell"",VLOOKUP(9^99,FILTER({ROW(P$2:P1469),P$2:P1469},D$2:D1469=D1470),2),(VLOOKUP(9^99,FILTER({ROW(P$2:P1469),P$2:P1469},D$2:D1469=D1470),2)*VLOOKUP(9^99,FILTER({ROW(O$2:O1469),O$2:O1469},D$2:D1469=D1470),2)-N147"&amp;"0)/O1470),J1470))"),"")</f>
        <v/>
      </c>
      <c r="Q1470" s="264" t="str">
        <f>IFERROR(__xludf.DUMMYFUNCTION("IFERROR(IF(F1470=""Crypto"",B1470,(IF(ISBLANK(D1470),"""",IF(D1470=""Cash"",B1470,IF(GOOGLEFINANCE(D1470,""CURRENCY"")=""GBX"",""GBP"",GOOGLEFINANCE(D1470,""CURRENCY"")))))),B1470)"),"")</f>
        <v/>
      </c>
      <c r="R1470" s="263" t="str">
        <f>IFERROR(__xludf.DUMMYFUNCTION("IF(ISBLANK(A1470),"""",IFERROR(IF(OR(Q1470=""GPB"",Q1470=""ZAR""),IF(Q1470=Dashboard!$L$1,K1470,(K1470*GOOGLEFINANCE(""CURRENCY:""&amp;Q1470&amp;""""&amp;Dashboard!$L$1&amp;""""))/100),IF(Q1470=Dashboard!$L$1,K1470,K1470*GOOGLEFINANCE(""CURRENCY:""&amp;Q1470&amp;""""&amp;Dashboard!$"&amp;"L$1&amp;""""))),K1470))"),"")</f>
        <v/>
      </c>
      <c r="S1470" s="266" t="str">
        <f>IFERROR(__xludf.DUMMYFUNCTION("IF(ISBLANK(A1470),"""",IFERROR(IF(OR(Q1470=""GPB"",Q1470=""ZAR""),IF(Q1470=Dashboard!$L$1,M1470,(M1470*GOOGLEFINANCE(""CURRENCY:""&amp;Q1470&amp;""""&amp;Dashboard!$L$1&amp;""""))/100),IF(Q1470=Dashboard!$L$1,M1470,M1470*GOOGLEFINANCE(""CURRENCY:""&amp;Q1470&amp;""""&amp;Dashboard!$"&amp;"L$1&amp;""""))),M1470))"),"")</f>
        <v/>
      </c>
      <c r="T1470" s="264" t="str">
        <f t="shared" si="4"/>
        <v/>
      </c>
      <c r="U1470" s="264" t="str">
        <f t="shared" si="5"/>
        <v/>
      </c>
      <c r="V1470" s="264" t="str">
        <f t="shared" si="6"/>
        <v/>
      </c>
      <c r="W1470" s="267" t="str">
        <f t="shared" si="8"/>
        <v/>
      </c>
      <c r="X1470" s="264" t="str">
        <f t="shared" si="7"/>
        <v/>
      </c>
    </row>
    <row r="1471" ht="15.75" customHeight="1">
      <c r="A1471" s="258"/>
      <c r="B1471" s="258"/>
      <c r="C1471" s="269"/>
      <c r="D1471" s="258"/>
      <c r="E1471" s="258"/>
      <c r="F1471" s="258"/>
      <c r="G1471" s="258"/>
      <c r="H1471" s="271"/>
      <c r="I1471" s="258"/>
      <c r="J1471" s="272"/>
      <c r="K1471" s="260"/>
      <c r="L1471" s="261"/>
      <c r="M1471" s="262" t="str">
        <f t="shared" si="1"/>
        <v/>
      </c>
      <c r="N1471" s="263" t="str">
        <f t="shared" si="2"/>
        <v/>
      </c>
      <c r="O1471" s="264" t="str">
        <f t="shared" si="3"/>
        <v/>
      </c>
      <c r="P1471" s="265" t="str">
        <f>IFERROR(__xludf.DUMMYFUNCTION("IF(ISBLANK(A1471),"""",IFERROR(IF(H1471=""Sell"",VLOOKUP(9^99,FILTER({ROW(P$2:P1470),P$2:P1470},D$2:D1470=D1471),2),(VLOOKUP(9^99,FILTER({ROW(P$2:P1470),P$2:P1470},D$2:D1470=D1471),2)*VLOOKUP(9^99,FILTER({ROW(O$2:O1470),O$2:O1470},D$2:D1470=D1471),2)-N147"&amp;"1)/O1471),J1471))"),"")</f>
        <v/>
      </c>
      <c r="Q1471" s="264" t="str">
        <f>IFERROR(__xludf.DUMMYFUNCTION("IFERROR(IF(F1471=""Crypto"",B1471,(IF(ISBLANK(D1471),"""",IF(D1471=""Cash"",B1471,IF(GOOGLEFINANCE(D1471,""CURRENCY"")=""GBX"",""GBP"",GOOGLEFINANCE(D1471,""CURRENCY"")))))),B1471)"),"")</f>
        <v/>
      </c>
      <c r="R1471" s="263" t="str">
        <f>IFERROR(__xludf.DUMMYFUNCTION("IF(ISBLANK(A1471),"""",IFERROR(IF(OR(Q1471=""GPB"",Q1471=""ZAR""),IF(Q1471=Dashboard!$L$1,K1471,(K1471*GOOGLEFINANCE(""CURRENCY:""&amp;Q1471&amp;""""&amp;Dashboard!$L$1&amp;""""))/100),IF(Q1471=Dashboard!$L$1,K1471,K1471*GOOGLEFINANCE(""CURRENCY:""&amp;Q1471&amp;""""&amp;Dashboard!$"&amp;"L$1&amp;""""))),K1471))"),"")</f>
        <v/>
      </c>
      <c r="S1471" s="266" t="str">
        <f>IFERROR(__xludf.DUMMYFUNCTION("IF(ISBLANK(A1471),"""",IFERROR(IF(OR(Q1471=""GPB"",Q1471=""ZAR""),IF(Q1471=Dashboard!$L$1,M1471,(M1471*GOOGLEFINANCE(""CURRENCY:""&amp;Q1471&amp;""""&amp;Dashboard!$L$1&amp;""""))/100),IF(Q1471=Dashboard!$L$1,M1471,M1471*GOOGLEFINANCE(""CURRENCY:""&amp;Q1471&amp;""""&amp;Dashboard!$"&amp;"L$1&amp;""""))),M1471))"),"")</f>
        <v/>
      </c>
      <c r="T1471" s="264" t="str">
        <f t="shared" si="4"/>
        <v/>
      </c>
      <c r="U1471" s="264" t="str">
        <f t="shared" si="5"/>
        <v/>
      </c>
      <c r="V1471" s="264" t="str">
        <f t="shared" si="6"/>
        <v/>
      </c>
      <c r="W1471" s="267" t="str">
        <f t="shared" si="8"/>
        <v/>
      </c>
      <c r="X1471" s="264" t="str">
        <f t="shared" si="7"/>
        <v/>
      </c>
    </row>
    <row r="1472" ht="15.75" customHeight="1">
      <c r="A1472" s="258"/>
      <c r="B1472" s="258"/>
      <c r="C1472" s="269"/>
      <c r="D1472" s="258"/>
      <c r="E1472" s="258"/>
      <c r="F1472" s="258"/>
      <c r="G1472" s="258"/>
      <c r="H1472" s="271"/>
      <c r="I1472" s="258"/>
      <c r="J1472" s="272"/>
      <c r="K1472" s="260"/>
      <c r="L1472" s="261"/>
      <c r="M1472" s="262" t="str">
        <f t="shared" si="1"/>
        <v/>
      </c>
      <c r="N1472" s="263" t="str">
        <f t="shared" si="2"/>
        <v/>
      </c>
      <c r="O1472" s="264" t="str">
        <f t="shared" si="3"/>
        <v/>
      </c>
      <c r="P1472" s="265" t="str">
        <f>IFERROR(__xludf.DUMMYFUNCTION("IF(ISBLANK(A1472),"""",IFERROR(IF(H1472=""Sell"",VLOOKUP(9^99,FILTER({ROW(P$2:P1471),P$2:P1471},D$2:D1471=D1472),2),(VLOOKUP(9^99,FILTER({ROW(P$2:P1471),P$2:P1471},D$2:D1471=D1472),2)*VLOOKUP(9^99,FILTER({ROW(O$2:O1471),O$2:O1471},D$2:D1471=D1472),2)-N147"&amp;"2)/O1472),J1472))"),"")</f>
        <v/>
      </c>
      <c r="Q1472" s="264" t="str">
        <f>IFERROR(__xludf.DUMMYFUNCTION("IFERROR(IF(F1472=""Crypto"",B1472,(IF(ISBLANK(D1472),"""",IF(D1472=""Cash"",B1472,IF(GOOGLEFINANCE(D1472,""CURRENCY"")=""GBX"",""GBP"",GOOGLEFINANCE(D1472,""CURRENCY"")))))),B1472)"),"")</f>
        <v/>
      </c>
      <c r="R1472" s="263" t="str">
        <f>IFERROR(__xludf.DUMMYFUNCTION("IF(ISBLANK(A1472),"""",IFERROR(IF(OR(Q1472=""GPB"",Q1472=""ZAR""),IF(Q1472=Dashboard!$L$1,K1472,(K1472*GOOGLEFINANCE(""CURRENCY:""&amp;Q1472&amp;""""&amp;Dashboard!$L$1&amp;""""))/100),IF(Q1472=Dashboard!$L$1,K1472,K1472*GOOGLEFINANCE(""CURRENCY:""&amp;Q1472&amp;""""&amp;Dashboard!$"&amp;"L$1&amp;""""))),K1472))"),"")</f>
        <v/>
      </c>
      <c r="S1472" s="266" t="str">
        <f>IFERROR(__xludf.DUMMYFUNCTION("IF(ISBLANK(A1472),"""",IFERROR(IF(OR(Q1472=""GPB"",Q1472=""ZAR""),IF(Q1472=Dashboard!$L$1,M1472,(M1472*GOOGLEFINANCE(""CURRENCY:""&amp;Q1472&amp;""""&amp;Dashboard!$L$1&amp;""""))/100),IF(Q1472=Dashboard!$L$1,M1472,M1472*GOOGLEFINANCE(""CURRENCY:""&amp;Q1472&amp;""""&amp;Dashboard!$"&amp;"L$1&amp;""""))),M1472))"),"")</f>
        <v/>
      </c>
      <c r="T1472" s="264" t="str">
        <f t="shared" si="4"/>
        <v/>
      </c>
      <c r="U1472" s="264" t="str">
        <f t="shared" si="5"/>
        <v/>
      </c>
      <c r="V1472" s="264" t="str">
        <f t="shared" si="6"/>
        <v/>
      </c>
      <c r="W1472" s="267" t="str">
        <f t="shared" si="8"/>
        <v/>
      </c>
      <c r="X1472" s="264" t="str">
        <f t="shared" si="7"/>
        <v/>
      </c>
    </row>
    <row r="1473" ht="15.75" customHeight="1">
      <c r="A1473" s="258"/>
      <c r="B1473" s="258"/>
      <c r="C1473" s="269"/>
      <c r="D1473" s="258"/>
      <c r="E1473" s="258"/>
      <c r="F1473" s="258"/>
      <c r="G1473" s="258"/>
      <c r="H1473" s="271"/>
      <c r="I1473" s="258"/>
      <c r="J1473" s="272"/>
      <c r="K1473" s="260"/>
      <c r="L1473" s="261"/>
      <c r="M1473" s="262" t="str">
        <f t="shared" si="1"/>
        <v/>
      </c>
      <c r="N1473" s="263" t="str">
        <f t="shared" si="2"/>
        <v/>
      </c>
      <c r="O1473" s="264" t="str">
        <f t="shared" si="3"/>
        <v/>
      </c>
      <c r="P1473" s="265" t="str">
        <f>IFERROR(__xludf.DUMMYFUNCTION("IF(ISBLANK(A1473),"""",IFERROR(IF(H1473=""Sell"",VLOOKUP(9^99,FILTER({ROW(P$2:P1472),P$2:P1472},D$2:D1472=D1473),2),(VLOOKUP(9^99,FILTER({ROW(P$2:P1472),P$2:P1472},D$2:D1472=D1473),2)*VLOOKUP(9^99,FILTER({ROW(O$2:O1472),O$2:O1472},D$2:D1472=D1473),2)-N147"&amp;"3)/O1473),J1473))"),"")</f>
        <v/>
      </c>
      <c r="Q1473" s="264" t="str">
        <f>IFERROR(__xludf.DUMMYFUNCTION("IFERROR(IF(F1473=""Crypto"",B1473,(IF(ISBLANK(D1473),"""",IF(D1473=""Cash"",B1473,IF(GOOGLEFINANCE(D1473,""CURRENCY"")=""GBX"",""GBP"",GOOGLEFINANCE(D1473,""CURRENCY"")))))),B1473)"),"")</f>
        <v/>
      </c>
      <c r="R1473" s="263" t="str">
        <f>IFERROR(__xludf.DUMMYFUNCTION("IF(ISBLANK(A1473),"""",IFERROR(IF(OR(Q1473=""GPB"",Q1473=""ZAR""),IF(Q1473=Dashboard!$L$1,K1473,(K1473*GOOGLEFINANCE(""CURRENCY:""&amp;Q1473&amp;""""&amp;Dashboard!$L$1&amp;""""))/100),IF(Q1473=Dashboard!$L$1,K1473,K1473*GOOGLEFINANCE(""CURRENCY:""&amp;Q1473&amp;""""&amp;Dashboard!$"&amp;"L$1&amp;""""))),K1473))"),"")</f>
        <v/>
      </c>
      <c r="S1473" s="266" t="str">
        <f>IFERROR(__xludf.DUMMYFUNCTION("IF(ISBLANK(A1473),"""",IFERROR(IF(OR(Q1473=""GPB"",Q1473=""ZAR""),IF(Q1473=Dashboard!$L$1,M1473,(M1473*GOOGLEFINANCE(""CURRENCY:""&amp;Q1473&amp;""""&amp;Dashboard!$L$1&amp;""""))/100),IF(Q1473=Dashboard!$L$1,M1473,M1473*GOOGLEFINANCE(""CURRENCY:""&amp;Q1473&amp;""""&amp;Dashboard!$"&amp;"L$1&amp;""""))),M1473))"),"")</f>
        <v/>
      </c>
      <c r="T1473" s="264" t="str">
        <f t="shared" si="4"/>
        <v/>
      </c>
      <c r="U1473" s="264" t="str">
        <f t="shared" si="5"/>
        <v/>
      </c>
      <c r="V1473" s="264" t="str">
        <f t="shared" si="6"/>
        <v/>
      </c>
      <c r="W1473" s="267" t="str">
        <f t="shared" si="8"/>
        <v/>
      </c>
      <c r="X1473" s="264" t="str">
        <f t="shared" si="7"/>
        <v/>
      </c>
    </row>
    <row r="1474" ht="15.75" customHeight="1">
      <c r="A1474" s="258"/>
      <c r="B1474" s="258"/>
      <c r="C1474" s="269"/>
      <c r="D1474" s="258"/>
      <c r="E1474" s="258"/>
      <c r="F1474" s="258"/>
      <c r="G1474" s="258"/>
      <c r="H1474" s="271"/>
      <c r="I1474" s="258"/>
      <c r="J1474" s="272"/>
      <c r="K1474" s="260"/>
      <c r="L1474" s="261"/>
      <c r="M1474" s="262" t="str">
        <f t="shared" si="1"/>
        <v/>
      </c>
      <c r="N1474" s="263" t="str">
        <f t="shared" si="2"/>
        <v/>
      </c>
      <c r="O1474" s="264" t="str">
        <f t="shared" si="3"/>
        <v/>
      </c>
      <c r="P1474" s="265" t="str">
        <f>IFERROR(__xludf.DUMMYFUNCTION("IF(ISBLANK(A1474),"""",IFERROR(IF(H1474=""Sell"",VLOOKUP(9^99,FILTER({ROW(P$2:P1473),P$2:P1473},D$2:D1473=D1474),2),(VLOOKUP(9^99,FILTER({ROW(P$2:P1473),P$2:P1473},D$2:D1473=D1474),2)*VLOOKUP(9^99,FILTER({ROW(O$2:O1473),O$2:O1473},D$2:D1473=D1474),2)-N147"&amp;"4)/O1474),J1474))"),"")</f>
        <v/>
      </c>
      <c r="Q1474" s="264" t="str">
        <f>IFERROR(__xludf.DUMMYFUNCTION("IFERROR(IF(F1474=""Crypto"",B1474,(IF(ISBLANK(D1474),"""",IF(D1474=""Cash"",B1474,IF(GOOGLEFINANCE(D1474,""CURRENCY"")=""GBX"",""GBP"",GOOGLEFINANCE(D1474,""CURRENCY"")))))),B1474)"),"")</f>
        <v/>
      </c>
      <c r="R1474" s="263" t="str">
        <f>IFERROR(__xludf.DUMMYFUNCTION("IF(ISBLANK(A1474),"""",IFERROR(IF(OR(Q1474=""GPB"",Q1474=""ZAR""),IF(Q1474=Dashboard!$L$1,K1474,(K1474*GOOGLEFINANCE(""CURRENCY:""&amp;Q1474&amp;""""&amp;Dashboard!$L$1&amp;""""))/100),IF(Q1474=Dashboard!$L$1,K1474,K1474*GOOGLEFINANCE(""CURRENCY:""&amp;Q1474&amp;""""&amp;Dashboard!$"&amp;"L$1&amp;""""))),K1474))"),"")</f>
        <v/>
      </c>
      <c r="S1474" s="266" t="str">
        <f>IFERROR(__xludf.DUMMYFUNCTION("IF(ISBLANK(A1474),"""",IFERROR(IF(OR(Q1474=""GPB"",Q1474=""ZAR""),IF(Q1474=Dashboard!$L$1,M1474,(M1474*GOOGLEFINANCE(""CURRENCY:""&amp;Q1474&amp;""""&amp;Dashboard!$L$1&amp;""""))/100),IF(Q1474=Dashboard!$L$1,M1474,M1474*GOOGLEFINANCE(""CURRENCY:""&amp;Q1474&amp;""""&amp;Dashboard!$"&amp;"L$1&amp;""""))),M1474))"),"")</f>
        <v/>
      </c>
      <c r="T1474" s="264" t="str">
        <f t="shared" si="4"/>
        <v/>
      </c>
      <c r="U1474" s="264" t="str">
        <f t="shared" si="5"/>
        <v/>
      </c>
      <c r="V1474" s="264" t="str">
        <f t="shared" si="6"/>
        <v/>
      </c>
      <c r="W1474" s="267" t="str">
        <f t="shared" si="8"/>
        <v/>
      </c>
      <c r="X1474" s="264" t="str">
        <f t="shared" si="7"/>
        <v/>
      </c>
    </row>
    <row r="1475" ht="15.75" customHeight="1">
      <c r="A1475" s="258"/>
      <c r="B1475" s="258"/>
      <c r="C1475" s="269"/>
      <c r="D1475" s="258"/>
      <c r="E1475" s="258"/>
      <c r="F1475" s="258"/>
      <c r="G1475" s="258"/>
      <c r="H1475" s="271"/>
      <c r="I1475" s="258"/>
      <c r="J1475" s="272"/>
      <c r="K1475" s="260"/>
      <c r="L1475" s="261"/>
      <c r="M1475" s="262" t="str">
        <f t="shared" si="1"/>
        <v/>
      </c>
      <c r="N1475" s="263" t="str">
        <f t="shared" si="2"/>
        <v/>
      </c>
      <c r="O1475" s="264" t="str">
        <f t="shared" si="3"/>
        <v/>
      </c>
      <c r="P1475" s="265" t="str">
        <f>IFERROR(__xludf.DUMMYFUNCTION("IF(ISBLANK(A1475),"""",IFERROR(IF(H1475=""Sell"",VLOOKUP(9^99,FILTER({ROW(P$2:P1474),P$2:P1474},D$2:D1474=D1475),2),(VLOOKUP(9^99,FILTER({ROW(P$2:P1474),P$2:P1474},D$2:D1474=D1475),2)*VLOOKUP(9^99,FILTER({ROW(O$2:O1474),O$2:O1474},D$2:D1474=D1475),2)-N147"&amp;"5)/O1475),J1475))"),"")</f>
        <v/>
      </c>
      <c r="Q1475" s="264" t="str">
        <f>IFERROR(__xludf.DUMMYFUNCTION("IFERROR(IF(F1475=""Crypto"",B1475,(IF(ISBLANK(D1475),"""",IF(D1475=""Cash"",B1475,IF(GOOGLEFINANCE(D1475,""CURRENCY"")=""GBX"",""GBP"",GOOGLEFINANCE(D1475,""CURRENCY"")))))),B1475)"),"")</f>
        <v/>
      </c>
      <c r="R1475" s="263" t="str">
        <f>IFERROR(__xludf.DUMMYFUNCTION("IF(ISBLANK(A1475),"""",IFERROR(IF(OR(Q1475=""GPB"",Q1475=""ZAR""),IF(Q1475=Dashboard!$L$1,K1475,(K1475*GOOGLEFINANCE(""CURRENCY:""&amp;Q1475&amp;""""&amp;Dashboard!$L$1&amp;""""))/100),IF(Q1475=Dashboard!$L$1,K1475,K1475*GOOGLEFINANCE(""CURRENCY:""&amp;Q1475&amp;""""&amp;Dashboard!$"&amp;"L$1&amp;""""))),K1475))"),"")</f>
        <v/>
      </c>
      <c r="S1475" s="266" t="str">
        <f>IFERROR(__xludf.DUMMYFUNCTION("IF(ISBLANK(A1475),"""",IFERROR(IF(OR(Q1475=""GPB"",Q1475=""ZAR""),IF(Q1475=Dashboard!$L$1,M1475,(M1475*GOOGLEFINANCE(""CURRENCY:""&amp;Q1475&amp;""""&amp;Dashboard!$L$1&amp;""""))/100),IF(Q1475=Dashboard!$L$1,M1475,M1475*GOOGLEFINANCE(""CURRENCY:""&amp;Q1475&amp;""""&amp;Dashboard!$"&amp;"L$1&amp;""""))),M1475))"),"")</f>
        <v/>
      </c>
      <c r="T1475" s="264" t="str">
        <f t="shared" si="4"/>
        <v/>
      </c>
      <c r="U1475" s="264" t="str">
        <f t="shared" si="5"/>
        <v/>
      </c>
      <c r="V1475" s="264" t="str">
        <f t="shared" si="6"/>
        <v/>
      </c>
      <c r="W1475" s="267" t="str">
        <f t="shared" si="8"/>
        <v/>
      </c>
      <c r="X1475" s="264" t="str">
        <f t="shared" si="7"/>
        <v/>
      </c>
    </row>
    <row r="1476" ht="15.75" customHeight="1">
      <c r="A1476" s="258"/>
      <c r="B1476" s="258"/>
      <c r="C1476" s="269"/>
      <c r="D1476" s="258"/>
      <c r="E1476" s="258"/>
      <c r="F1476" s="258"/>
      <c r="G1476" s="258"/>
      <c r="H1476" s="271"/>
      <c r="I1476" s="258"/>
      <c r="J1476" s="272"/>
      <c r="K1476" s="260"/>
      <c r="L1476" s="261"/>
      <c r="M1476" s="262" t="str">
        <f t="shared" si="1"/>
        <v/>
      </c>
      <c r="N1476" s="263" t="str">
        <f t="shared" si="2"/>
        <v/>
      </c>
      <c r="O1476" s="264" t="str">
        <f t="shared" si="3"/>
        <v/>
      </c>
      <c r="P1476" s="265" t="str">
        <f>IFERROR(__xludf.DUMMYFUNCTION("IF(ISBLANK(A1476),"""",IFERROR(IF(H1476=""Sell"",VLOOKUP(9^99,FILTER({ROW(P$2:P1475),P$2:P1475},D$2:D1475=D1476),2),(VLOOKUP(9^99,FILTER({ROW(P$2:P1475),P$2:P1475},D$2:D1475=D1476),2)*VLOOKUP(9^99,FILTER({ROW(O$2:O1475),O$2:O1475},D$2:D1475=D1476),2)-N147"&amp;"6)/O1476),J1476))"),"")</f>
        <v/>
      </c>
      <c r="Q1476" s="264" t="str">
        <f>IFERROR(__xludf.DUMMYFUNCTION("IFERROR(IF(F1476=""Crypto"",B1476,(IF(ISBLANK(D1476),"""",IF(D1476=""Cash"",B1476,IF(GOOGLEFINANCE(D1476,""CURRENCY"")=""GBX"",""GBP"",GOOGLEFINANCE(D1476,""CURRENCY"")))))),B1476)"),"")</f>
        <v/>
      </c>
      <c r="R1476" s="263" t="str">
        <f>IFERROR(__xludf.DUMMYFUNCTION("IF(ISBLANK(A1476),"""",IFERROR(IF(OR(Q1476=""GPB"",Q1476=""ZAR""),IF(Q1476=Dashboard!$L$1,K1476,(K1476*GOOGLEFINANCE(""CURRENCY:""&amp;Q1476&amp;""""&amp;Dashboard!$L$1&amp;""""))/100),IF(Q1476=Dashboard!$L$1,K1476,K1476*GOOGLEFINANCE(""CURRENCY:""&amp;Q1476&amp;""""&amp;Dashboard!$"&amp;"L$1&amp;""""))),K1476))"),"")</f>
        <v/>
      </c>
      <c r="S1476" s="266" t="str">
        <f>IFERROR(__xludf.DUMMYFUNCTION("IF(ISBLANK(A1476),"""",IFERROR(IF(OR(Q1476=""GPB"",Q1476=""ZAR""),IF(Q1476=Dashboard!$L$1,M1476,(M1476*GOOGLEFINANCE(""CURRENCY:""&amp;Q1476&amp;""""&amp;Dashboard!$L$1&amp;""""))/100),IF(Q1476=Dashboard!$L$1,M1476,M1476*GOOGLEFINANCE(""CURRENCY:""&amp;Q1476&amp;""""&amp;Dashboard!$"&amp;"L$1&amp;""""))),M1476))"),"")</f>
        <v/>
      </c>
      <c r="T1476" s="264" t="str">
        <f t="shared" si="4"/>
        <v/>
      </c>
      <c r="U1476" s="264" t="str">
        <f t="shared" si="5"/>
        <v/>
      </c>
      <c r="V1476" s="264" t="str">
        <f t="shared" si="6"/>
        <v/>
      </c>
      <c r="W1476" s="267" t="str">
        <f t="shared" si="8"/>
        <v/>
      </c>
      <c r="X1476" s="264" t="str">
        <f t="shared" si="7"/>
        <v/>
      </c>
    </row>
    <row r="1477" ht="15.75" customHeight="1">
      <c r="A1477" s="258"/>
      <c r="B1477" s="258"/>
      <c r="C1477" s="269"/>
      <c r="D1477" s="258"/>
      <c r="E1477" s="258"/>
      <c r="F1477" s="258"/>
      <c r="G1477" s="258"/>
      <c r="H1477" s="271"/>
      <c r="I1477" s="258"/>
      <c r="J1477" s="272"/>
      <c r="K1477" s="260"/>
      <c r="L1477" s="261"/>
      <c r="M1477" s="262" t="str">
        <f t="shared" si="1"/>
        <v/>
      </c>
      <c r="N1477" s="263" t="str">
        <f t="shared" si="2"/>
        <v/>
      </c>
      <c r="O1477" s="264" t="str">
        <f t="shared" si="3"/>
        <v/>
      </c>
      <c r="P1477" s="265" t="str">
        <f>IFERROR(__xludf.DUMMYFUNCTION("IF(ISBLANK(A1477),"""",IFERROR(IF(H1477=""Sell"",VLOOKUP(9^99,FILTER({ROW(P$2:P1476),P$2:P1476},D$2:D1476=D1477),2),(VLOOKUP(9^99,FILTER({ROW(P$2:P1476),P$2:P1476},D$2:D1476=D1477),2)*VLOOKUP(9^99,FILTER({ROW(O$2:O1476),O$2:O1476},D$2:D1476=D1477),2)-N147"&amp;"7)/O1477),J1477))"),"")</f>
        <v/>
      </c>
      <c r="Q1477" s="264" t="str">
        <f>IFERROR(__xludf.DUMMYFUNCTION("IFERROR(IF(F1477=""Crypto"",B1477,(IF(ISBLANK(D1477),"""",IF(D1477=""Cash"",B1477,IF(GOOGLEFINANCE(D1477,""CURRENCY"")=""GBX"",""GBP"",GOOGLEFINANCE(D1477,""CURRENCY"")))))),B1477)"),"")</f>
        <v/>
      </c>
      <c r="R1477" s="263" t="str">
        <f>IFERROR(__xludf.DUMMYFUNCTION("IF(ISBLANK(A1477),"""",IFERROR(IF(OR(Q1477=""GPB"",Q1477=""ZAR""),IF(Q1477=Dashboard!$L$1,K1477,(K1477*GOOGLEFINANCE(""CURRENCY:""&amp;Q1477&amp;""""&amp;Dashboard!$L$1&amp;""""))/100),IF(Q1477=Dashboard!$L$1,K1477,K1477*GOOGLEFINANCE(""CURRENCY:""&amp;Q1477&amp;""""&amp;Dashboard!$"&amp;"L$1&amp;""""))),K1477))"),"")</f>
        <v/>
      </c>
      <c r="S1477" s="266" t="str">
        <f>IFERROR(__xludf.DUMMYFUNCTION("IF(ISBLANK(A1477),"""",IFERROR(IF(OR(Q1477=""GPB"",Q1477=""ZAR""),IF(Q1477=Dashboard!$L$1,M1477,(M1477*GOOGLEFINANCE(""CURRENCY:""&amp;Q1477&amp;""""&amp;Dashboard!$L$1&amp;""""))/100),IF(Q1477=Dashboard!$L$1,M1477,M1477*GOOGLEFINANCE(""CURRENCY:""&amp;Q1477&amp;""""&amp;Dashboard!$"&amp;"L$1&amp;""""))),M1477))"),"")</f>
        <v/>
      </c>
      <c r="T1477" s="264" t="str">
        <f t="shared" si="4"/>
        <v/>
      </c>
      <c r="U1477" s="264" t="str">
        <f t="shared" si="5"/>
        <v/>
      </c>
      <c r="V1477" s="264" t="str">
        <f t="shared" si="6"/>
        <v/>
      </c>
      <c r="W1477" s="267" t="str">
        <f t="shared" si="8"/>
        <v/>
      </c>
      <c r="X1477" s="264" t="str">
        <f t="shared" si="7"/>
        <v/>
      </c>
    </row>
    <row r="1478" ht="15.75" customHeight="1">
      <c r="A1478" s="258"/>
      <c r="B1478" s="258"/>
      <c r="C1478" s="269"/>
      <c r="D1478" s="258"/>
      <c r="E1478" s="258"/>
      <c r="F1478" s="258"/>
      <c r="G1478" s="258"/>
      <c r="H1478" s="271"/>
      <c r="I1478" s="258"/>
      <c r="J1478" s="272"/>
      <c r="K1478" s="260"/>
      <c r="L1478" s="261"/>
      <c r="M1478" s="262" t="str">
        <f t="shared" si="1"/>
        <v/>
      </c>
      <c r="N1478" s="263" t="str">
        <f t="shared" si="2"/>
        <v/>
      </c>
      <c r="O1478" s="264" t="str">
        <f t="shared" si="3"/>
        <v/>
      </c>
      <c r="P1478" s="265" t="str">
        <f>IFERROR(__xludf.DUMMYFUNCTION("IF(ISBLANK(A1478),"""",IFERROR(IF(H1478=""Sell"",VLOOKUP(9^99,FILTER({ROW(P$2:P1477),P$2:P1477},D$2:D1477=D1478),2),(VLOOKUP(9^99,FILTER({ROW(P$2:P1477),P$2:P1477},D$2:D1477=D1478),2)*VLOOKUP(9^99,FILTER({ROW(O$2:O1477),O$2:O1477},D$2:D1477=D1478),2)-N147"&amp;"8)/O1478),J1478))"),"")</f>
        <v/>
      </c>
      <c r="Q1478" s="264" t="str">
        <f>IFERROR(__xludf.DUMMYFUNCTION("IFERROR(IF(F1478=""Crypto"",B1478,(IF(ISBLANK(D1478),"""",IF(D1478=""Cash"",B1478,IF(GOOGLEFINANCE(D1478,""CURRENCY"")=""GBX"",""GBP"",GOOGLEFINANCE(D1478,""CURRENCY"")))))),B1478)"),"")</f>
        <v/>
      </c>
      <c r="R1478" s="263" t="str">
        <f>IFERROR(__xludf.DUMMYFUNCTION("IF(ISBLANK(A1478),"""",IFERROR(IF(OR(Q1478=""GPB"",Q1478=""ZAR""),IF(Q1478=Dashboard!$L$1,K1478,(K1478*GOOGLEFINANCE(""CURRENCY:""&amp;Q1478&amp;""""&amp;Dashboard!$L$1&amp;""""))/100),IF(Q1478=Dashboard!$L$1,K1478,K1478*GOOGLEFINANCE(""CURRENCY:""&amp;Q1478&amp;""""&amp;Dashboard!$"&amp;"L$1&amp;""""))),K1478))"),"")</f>
        <v/>
      </c>
      <c r="S1478" s="266" t="str">
        <f>IFERROR(__xludf.DUMMYFUNCTION("IF(ISBLANK(A1478),"""",IFERROR(IF(OR(Q1478=""GPB"",Q1478=""ZAR""),IF(Q1478=Dashboard!$L$1,M1478,(M1478*GOOGLEFINANCE(""CURRENCY:""&amp;Q1478&amp;""""&amp;Dashboard!$L$1&amp;""""))/100),IF(Q1478=Dashboard!$L$1,M1478,M1478*GOOGLEFINANCE(""CURRENCY:""&amp;Q1478&amp;""""&amp;Dashboard!$"&amp;"L$1&amp;""""))),M1478))"),"")</f>
        <v/>
      </c>
      <c r="T1478" s="264" t="str">
        <f t="shared" si="4"/>
        <v/>
      </c>
      <c r="U1478" s="264" t="str">
        <f t="shared" si="5"/>
        <v/>
      </c>
      <c r="V1478" s="264" t="str">
        <f t="shared" si="6"/>
        <v/>
      </c>
      <c r="W1478" s="267" t="str">
        <f t="shared" si="8"/>
        <v/>
      </c>
      <c r="X1478" s="264" t="str">
        <f t="shared" si="7"/>
        <v/>
      </c>
    </row>
    <row r="1479" ht="15.75" customHeight="1">
      <c r="A1479" s="258"/>
      <c r="B1479" s="258"/>
      <c r="C1479" s="269"/>
      <c r="D1479" s="258"/>
      <c r="E1479" s="258"/>
      <c r="F1479" s="258"/>
      <c r="G1479" s="258"/>
      <c r="H1479" s="271"/>
      <c r="I1479" s="258"/>
      <c r="J1479" s="272"/>
      <c r="K1479" s="260"/>
      <c r="L1479" s="261"/>
      <c r="M1479" s="262" t="str">
        <f t="shared" si="1"/>
        <v/>
      </c>
      <c r="N1479" s="263" t="str">
        <f t="shared" si="2"/>
        <v/>
      </c>
      <c r="O1479" s="264" t="str">
        <f t="shared" si="3"/>
        <v/>
      </c>
      <c r="P1479" s="265" t="str">
        <f>IFERROR(__xludf.DUMMYFUNCTION("IF(ISBLANK(A1479),"""",IFERROR(IF(H1479=""Sell"",VLOOKUP(9^99,FILTER({ROW(P$2:P1478),P$2:P1478},D$2:D1478=D1479),2),(VLOOKUP(9^99,FILTER({ROW(P$2:P1478),P$2:P1478},D$2:D1478=D1479),2)*VLOOKUP(9^99,FILTER({ROW(O$2:O1478),O$2:O1478},D$2:D1478=D1479),2)-N147"&amp;"9)/O1479),J1479))"),"")</f>
        <v/>
      </c>
      <c r="Q1479" s="264" t="str">
        <f>IFERROR(__xludf.DUMMYFUNCTION("IFERROR(IF(F1479=""Crypto"",B1479,(IF(ISBLANK(D1479),"""",IF(D1479=""Cash"",B1479,IF(GOOGLEFINANCE(D1479,""CURRENCY"")=""GBX"",""GBP"",GOOGLEFINANCE(D1479,""CURRENCY"")))))),B1479)"),"")</f>
        <v/>
      </c>
      <c r="R1479" s="263" t="str">
        <f>IFERROR(__xludf.DUMMYFUNCTION("IF(ISBLANK(A1479),"""",IFERROR(IF(OR(Q1479=""GPB"",Q1479=""ZAR""),IF(Q1479=Dashboard!$L$1,K1479,(K1479*GOOGLEFINANCE(""CURRENCY:""&amp;Q1479&amp;""""&amp;Dashboard!$L$1&amp;""""))/100),IF(Q1479=Dashboard!$L$1,K1479,K1479*GOOGLEFINANCE(""CURRENCY:""&amp;Q1479&amp;""""&amp;Dashboard!$"&amp;"L$1&amp;""""))),K1479))"),"")</f>
        <v/>
      </c>
      <c r="S1479" s="266" t="str">
        <f>IFERROR(__xludf.DUMMYFUNCTION("IF(ISBLANK(A1479),"""",IFERROR(IF(OR(Q1479=""GPB"",Q1479=""ZAR""),IF(Q1479=Dashboard!$L$1,M1479,(M1479*GOOGLEFINANCE(""CURRENCY:""&amp;Q1479&amp;""""&amp;Dashboard!$L$1&amp;""""))/100),IF(Q1479=Dashboard!$L$1,M1479,M1479*GOOGLEFINANCE(""CURRENCY:""&amp;Q1479&amp;""""&amp;Dashboard!$"&amp;"L$1&amp;""""))),M1479))"),"")</f>
        <v/>
      </c>
      <c r="T1479" s="264" t="str">
        <f t="shared" si="4"/>
        <v/>
      </c>
      <c r="U1479" s="264" t="str">
        <f t="shared" si="5"/>
        <v/>
      </c>
      <c r="V1479" s="264" t="str">
        <f t="shared" si="6"/>
        <v/>
      </c>
      <c r="W1479" s="267" t="str">
        <f t="shared" si="8"/>
        <v/>
      </c>
      <c r="X1479" s="264" t="str">
        <f t="shared" si="7"/>
        <v/>
      </c>
    </row>
    <row r="1480" ht="15.75" customHeight="1">
      <c r="A1480" s="258"/>
      <c r="B1480" s="258"/>
      <c r="C1480" s="269"/>
      <c r="D1480" s="258"/>
      <c r="E1480" s="258"/>
      <c r="F1480" s="258"/>
      <c r="G1480" s="258"/>
      <c r="H1480" s="271"/>
      <c r="I1480" s="258"/>
      <c r="J1480" s="272"/>
      <c r="K1480" s="260"/>
      <c r="L1480" s="261"/>
      <c r="M1480" s="262" t="str">
        <f t="shared" si="1"/>
        <v/>
      </c>
      <c r="N1480" s="263" t="str">
        <f t="shared" si="2"/>
        <v/>
      </c>
      <c r="O1480" s="264" t="str">
        <f t="shared" si="3"/>
        <v/>
      </c>
      <c r="P1480" s="265" t="str">
        <f>IFERROR(__xludf.DUMMYFUNCTION("IF(ISBLANK(A1480),"""",IFERROR(IF(H1480=""Sell"",VLOOKUP(9^99,FILTER({ROW(P$2:P1479),P$2:P1479},D$2:D1479=D1480),2),(VLOOKUP(9^99,FILTER({ROW(P$2:P1479),P$2:P1479},D$2:D1479=D1480),2)*VLOOKUP(9^99,FILTER({ROW(O$2:O1479),O$2:O1479},D$2:D1479=D1480),2)-N148"&amp;"0)/O1480),J1480))"),"")</f>
        <v/>
      </c>
      <c r="Q1480" s="264" t="str">
        <f>IFERROR(__xludf.DUMMYFUNCTION("IFERROR(IF(F1480=""Crypto"",B1480,(IF(ISBLANK(D1480),"""",IF(D1480=""Cash"",B1480,IF(GOOGLEFINANCE(D1480,""CURRENCY"")=""GBX"",""GBP"",GOOGLEFINANCE(D1480,""CURRENCY"")))))),B1480)"),"")</f>
        <v/>
      </c>
      <c r="R1480" s="263" t="str">
        <f>IFERROR(__xludf.DUMMYFUNCTION("IF(ISBLANK(A1480),"""",IFERROR(IF(OR(Q1480=""GPB"",Q1480=""ZAR""),IF(Q1480=Dashboard!$L$1,K1480,(K1480*GOOGLEFINANCE(""CURRENCY:""&amp;Q1480&amp;""""&amp;Dashboard!$L$1&amp;""""))/100),IF(Q1480=Dashboard!$L$1,K1480,K1480*GOOGLEFINANCE(""CURRENCY:""&amp;Q1480&amp;""""&amp;Dashboard!$"&amp;"L$1&amp;""""))),K1480))"),"")</f>
        <v/>
      </c>
      <c r="S1480" s="266" t="str">
        <f>IFERROR(__xludf.DUMMYFUNCTION("IF(ISBLANK(A1480),"""",IFERROR(IF(OR(Q1480=""GPB"",Q1480=""ZAR""),IF(Q1480=Dashboard!$L$1,M1480,(M1480*GOOGLEFINANCE(""CURRENCY:""&amp;Q1480&amp;""""&amp;Dashboard!$L$1&amp;""""))/100),IF(Q1480=Dashboard!$L$1,M1480,M1480*GOOGLEFINANCE(""CURRENCY:""&amp;Q1480&amp;""""&amp;Dashboard!$"&amp;"L$1&amp;""""))),M1480))"),"")</f>
        <v/>
      </c>
      <c r="T1480" s="264" t="str">
        <f t="shared" si="4"/>
        <v/>
      </c>
      <c r="U1480" s="264" t="str">
        <f t="shared" si="5"/>
        <v/>
      </c>
      <c r="V1480" s="264" t="str">
        <f t="shared" si="6"/>
        <v/>
      </c>
      <c r="W1480" s="267" t="str">
        <f t="shared" si="8"/>
        <v/>
      </c>
      <c r="X1480" s="264" t="str">
        <f t="shared" si="7"/>
        <v/>
      </c>
    </row>
    <row r="1481" ht="15.75" customHeight="1">
      <c r="A1481" s="258"/>
      <c r="B1481" s="258"/>
      <c r="C1481" s="269"/>
      <c r="D1481" s="258"/>
      <c r="E1481" s="258"/>
      <c r="F1481" s="258"/>
      <c r="G1481" s="258"/>
      <c r="H1481" s="271"/>
      <c r="I1481" s="258"/>
      <c r="J1481" s="272"/>
      <c r="K1481" s="260"/>
      <c r="L1481" s="261"/>
      <c r="M1481" s="262" t="str">
        <f t="shared" si="1"/>
        <v/>
      </c>
      <c r="N1481" s="263" t="str">
        <f t="shared" si="2"/>
        <v/>
      </c>
      <c r="O1481" s="264" t="str">
        <f t="shared" si="3"/>
        <v/>
      </c>
      <c r="P1481" s="265" t="str">
        <f>IFERROR(__xludf.DUMMYFUNCTION("IF(ISBLANK(A1481),"""",IFERROR(IF(H1481=""Sell"",VLOOKUP(9^99,FILTER({ROW(P$2:P1480),P$2:P1480},D$2:D1480=D1481),2),(VLOOKUP(9^99,FILTER({ROW(P$2:P1480),P$2:P1480},D$2:D1480=D1481),2)*VLOOKUP(9^99,FILTER({ROW(O$2:O1480),O$2:O1480},D$2:D1480=D1481),2)-N148"&amp;"1)/O1481),J1481))"),"")</f>
        <v/>
      </c>
      <c r="Q1481" s="264" t="str">
        <f>IFERROR(__xludf.DUMMYFUNCTION("IFERROR(IF(F1481=""Crypto"",B1481,(IF(ISBLANK(D1481),"""",IF(D1481=""Cash"",B1481,IF(GOOGLEFINANCE(D1481,""CURRENCY"")=""GBX"",""GBP"",GOOGLEFINANCE(D1481,""CURRENCY"")))))),B1481)"),"")</f>
        <v/>
      </c>
      <c r="R1481" s="263" t="str">
        <f>IFERROR(__xludf.DUMMYFUNCTION("IF(ISBLANK(A1481),"""",IFERROR(IF(OR(Q1481=""GPB"",Q1481=""ZAR""),IF(Q1481=Dashboard!$L$1,K1481,(K1481*GOOGLEFINANCE(""CURRENCY:""&amp;Q1481&amp;""""&amp;Dashboard!$L$1&amp;""""))/100),IF(Q1481=Dashboard!$L$1,K1481,K1481*GOOGLEFINANCE(""CURRENCY:""&amp;Q1481&amp;""""&amp;Dashboard!$"&amp;"L$1&amp;""""))),K1481))"),"")</f>
        <v/>
      </c>
      <c r="S1481" s="266" t="str">
        <f>IFERROR(__xludf.DUMMYFUNCTION("IF(ISBLANK(A1481),"""",IFERROR(IF(OR(Q1481=""GPB"",Q1481=""ZAR""),IF(Q1481=Dashboard!$L$1,M1481,(M1481*GOOGLEFINANCE(""CURRENCY:""&amp;Q1481&amp;""""&amp;Dashboard!$L$1&amp;""""))/100),IF(Q1481=Dashboard!$L$1,M1481,M1481*GOOGLEFINANCE(""CURRENCY:""&amp;Q1481&amp;""""&amp;Dashboard!$"&amp;"L$1&amp;""""))),M1481))"),"")</f>
        <v/>
      </c>
      <c r="T1481" s="264" t="str">
        <f t="shared" si="4"/>
        <v/>
      </c>
      <c r="U1481" s="264" t="str">
        <f t="shared" si="5"/>
        <v/>
      </c>
      <c r="V1481" s="264" t="str">
        <f t="shared" si="6"/>
        <v/>
      </c>
      <c r="W1481" s="267" t="str">
        <f t="shared" si="8"/>
        <v/>
      </c>
      <c r="X1481" s="264" t="str">
        <f t="shared" si="7"/>
        <v/>
      </c>
    </row>
    <row r="1482" ht="15.75" customHeight="1">
      <c r="A1482" s="258"/>
      <c r="B1482" s="258"/>
      <c r="C1482" s="269"/>
      <c r="D1482" s="258"/>
      <c r="E1482" s="258"/>
      <c r="F1482" s="258"/>
      <c r="G1482" s="258"/>
      <c r="H1482" s="271"/>
      <c r="I1482" s="258"/>
      <c r="J1482" s="272"/>
      <c r="K1482" s="260"/>
      <c r="L1482" s="261"/>
      <c r="M1482" s="262" t="str">
        <f t="shared" si="1"/>
        <v/>
      </c>
      <c r="N1482" s="263" t="str">
        <f t="shared" si="2"/>
        <v/>
      </c>
      <c r="O1482" s="264" t="str">
        <f t="shared" si="3"/>
        <v/>
      </c>
      <c r="P1482" s="265" t="str">
        <f>IFERROR(__xludf.DUMMYFUNCTION("IF(ISBLANK(A1482),"""",IFERROR(IF(H1482=""Sell"",VLOOKUP(9^99,FILTER({ROW(P$2:P1481),P$2:P1481},D$2:D1481=D1482),2),(VLOOKUP(9^99,FILTER({ROW(P$2:P1481),P$2:P1481},D$2:D1481=D1482),2)*VLOOKUP(9^99,FILTER({ROW(O$2:O1481),O$2:O1481},D$2:D1481=D1482),2)-N148"&amp;"2)/O1482),J1482))"),"")</f>
        <v/>
      </c>
      <c r="Q1482" s="264" t="str">
        <f>IFERROR(__xludf.DUMMYFUNCTION("IFERROR(IF(F1482=""Crypto"",B1482,(IF(ISBLANK(D1482),"""",IF(D1482=""Cash"",B1482,IF(GOOGLEFINANCE(D1482,""CURRENCY"")=""GBX"",""GBP"",GOOGLEFINANCE(D1482,""CURRENCY"")))))),B1482)"),"")</f>
        <v/>
      </c>
      <c r="R1482" s="263" t="str">
        <f>IFERROR(__xludf.DUMMYFUNCTION("IF(ISBLANK(A1482),"""",IFERROR(IF(OR(Q1482=""GPB"",Q1482=""ZAR""),IF(Q1482=Dashboard!$L$1,K1482,(K1482*GOOGLEFINANCE(""CURRENCY:""&amp;Q1482&amp;""""&amp;Dashboard!$L$1&amp;""""))/100),IF(Q1482=Dashboard!$L$1,K1482,K1482*GOOGLEFINANCE(""CURRENCY:""&amp;Q1482&amp;""""&amp;Dashboard!$"&amp;"L$1&amp;""""))),K1482))"),"")</f>
        <v/>
      </c>
      <c r="S1482" s="266" t="str">
        <f>IFERROR(__xludf.DUMMYFUNCTION("IF(ISBLANK(A1482),"""",IFERROR(IF(OR(Q1482=""GPB"",Q1482=""ZAR""),IF(Q1482=Dashboard!$L$1,M1482,(M1482*GOOGLEFINANCE(""CURRENCY:""&amp;Q1482&amp;""""&amp;Dashboard!$L$1&amp;""""))/100),IF(Q1482=Dashboard!$L$1,M1482,M1482*GOOGLEFINANCE(""CURRENCY:""&amp;Q1482&amp;""""&amp;Dashboard!$"&amp;"L$1&amp;""""))),M1482))"),"")</f>
        <v/>
      </c>
      <c r="T1482" s="264" t="str">
        <f t="shared" si="4"/>
        <v/>
      </c>
      <c r="U1482" s="264" t="str">
        <f t="shared" si="5"/>
        <v/>
      </c>
      <c r="V1482" s="264" t="str">
        <f t="shared" si="6"/>
        <v/>
      </c>
      <c r="W1482" s="267" t="str">
        <f t="shared" si="8"/>
        <v/>
      </c>
      <c r="X1482" s="264" t="str">
        <f t="shared" si="7"/>
        <v/>
      </c>
    </row>
    <row r="1483" ht="15.75" customHeight="1">
      <c r="A1483" s="258"/>
      <c r="B1483" s="258"/>
      <c r="C1483" s="269"/>
      <c r="D1483" s="258"/>
      <c r="E1483" s="258"/>
      <c r="F1483" s="258"/>
      <c r="G1483" s="258"/>
      <c r="H1483" s="271"/>
      <c r="I1483" s="258"/>
      <c r="J1483" s="272"/>
      <c r="K1483" s="260"/>
      <c r="L1483" s="261"/>
      <c r="M1483" s="262" t="str">
        <f t="shared" si="1"/>
        <v/>
      </c>
      <c r="N1483" s="263" t="str">
        <f t="shared" si="2"/>
        <v/>
      </c>
      <c r="O1483" s="264" t="str">
        <f t="shared" si="3"/>
        <v/>
      </c>
      <c r="P1483" s="265" t="str">
        <f>IFERROR(__xludf.DUMMYFUNCTION("IF(ISBLANK(A1483),"""",IFERROR(IF(H1483=""Sell"",VLOOKUP(9^99,FILTER({ROW(P$2:P1482),P$2:P1482},D$2:D1482=D1483),2),(VLOOKUP(9^99,FILTER({ROW(P$2:P1482),P$2:P1482},D$2:D1482=D1483),2)*VLOOKUP(9^99,FILTER({ROW(O$2:O1482),O$2:O1482},D$2:D1482=D1483),2)-N148"&amp;"3)/O1483),J1483))"),"")</f>
        <v/>
      </c>
      <c r="Q1483" s="264" t="str">
        <f>IFERROR(__xludf.DUMMYFUNCTION("IFERROR(IF(F1483=""Crypto"",B1483,(IF(ISBLANK(D1483),"""",IF(D1483=""Cash"",B1483,IF(GOOGLEFINANCE(D1483,""CURRENCY"")=""GBX"",""GBP"",GOOGLEFINANCE(D1483,""CURRENCY"")))))),B1483)"),"")</f>
        <v/>
      </c>
      <c r="R1483" s="263" t="str">
        <f>IFERROR(__xludf.DUMMYFUNCTION("IF(ISBLANK(A1483),"""",IFERROR(IF(OR(Q1483=""GPB"",Q1483=""ZAR""),IF(Q1483=Dashboard!$L$1,K1483,(K1483*GOOGLEFINANCE(""CURRENCY:""&amp;Q1483&amp;""""&amp;Dashboard!$L$1&amp;""""))/100),IF(Q1483=Dashboard!$L$1,K1483,K1483*GOOGLEFINANCE(""CURRENCY:""&amp;Q1483&amp;""""&amp;Dashboard!$"&amp;"L$1&amp;""""))),K1483))"),"")</f>
        <v/>
      </c>
      <c r="S1483" s="266" t="str">
        <f>IFERROR(__xludf.DUMMYFUNCTION("IF(ISBLANK(A1483),"""",IFERROR(IF(OR(Q1483=""GPB"",Q1483=""ZAR""),IF(Q1483=Dashboard!$L$1,M1483,(M1483*GOOGLEFINANCE(""CURRENCY:""&amp;Q1483&amp;""""&amp;Dashboard!$L$1&amp;""""))/100),IF(Q1483=Dashboard!$L$1,M1483,M1483*GOOGLEFINANCE(""CURRENCY:""&amp;Q1483&amp;""""&amp;Dashboard!$"&amp;"L$1&amp;""""))),M1483))"),"")</f>
        <v/>
      </c>
      <c r="T1483" s="264" t="str">
        <f t="shared" si="4"/>
        <v/>
      </c>
      <c r="U1483" s="264" t="str">
        <f t="shared" si="5"/>
        <v/>
      </c>
      <c r="V1483" s="264" t="str">
        <f t="shared" si="6"/>
        <v/>
      </c>
      <c r="W1483" s="267" t="str">
        <f t="shared" si="8"/>
        <v/>
      </c>
      <c r="X1483" s="264" t="str">
        <f t="shared" si="7"/>
        <v/>
      </c>
    </row>
    <row r="1484" ht="15.75" customHeight="1">
      <c r="A1484" s="258"/>
      <c r="B1484" s="258"/>
      <c r="C1484" s="269"/>
      <c r="D1484" s="258"/>
      <c r="E1484" s="258"/>
      <c r="F1484" s="258"/>
      <c r="G1484" s="258"/>
      <c r="H1484" s="271"/>
      <c r="I1484" s="258"/>
      <c r="J1484" s="272"/>
      <c r="K1484" s="260"/>
      <c r="L1484" s="261"/>
      <c r="M1484" s="262" t="str">
        <f t="shared" si="1"/>
        <v/>
      </c>
      <c r="N1484" s="263" t="str">
        <f t="shared" si="2"/>
        <v/>
      </c>
      <c r="O1484" s="264" t="str">
        <f t="shared" si="3"/>
        <v/>
      </c>
      <c r="P1484" s="265" t="str">
        <f>IFERROR(__xludf.DUMMYFUNCTION("IF(ISBLANK(A1484),"""",IFERROR(IF(H1484=""Sell"",VLOOKUP(9^99,FILTER({ROW(P$2:P1483),P$2:P1483},D$2:D1483=D1484),2),(VLOOKUP(9^99,FILTER({ROW(P$2:P1483),P$2:P1483},D$2:D1483=D1484),2)*VLOOKUP(9^99,FILTER({ROW(O$2:O1483),O$2:O1483},D$2:D1483=D1484),2)-N148"&amp;"4)/O1484),J1484))"),"")</f>
        <v/>
      </c>
      <c r="Q1484" s="264" t="str">
        <f>IFERROR(__xludf.DUMMYFUNCTION("IFERROR(IF(F1484=""Crypto"",B1484,(IF(ISBLANK(D1484),"""",IF(D1484=""Cash"",B1484,IF(GOOGLEFINANCE(D1484,""CURRENCY"")=""GBX"",""GBP"",GOOGLEFINANCE(D1484,""CURRENCY"")))))),B1484)"),"")</f>
        <v/>
      </c>
      <c r="R1484" s="263" t="str">
        <f>IFERROR(__xludf.DUMMYFUNCTION("IF(ISBLANK(A1484),"""",IFERROR(IF(OR(Q1484=""GPB"",Q1484=""ZAR""),IF(Q1484=Dashboard!$L$1,K1484,(K1484*GOOGLEFINANCE(""CURRENCY:""&amp;Q1484&amp;""""&amp;Dashboard!$L$1&amp;""""))/100),IF(Q1484=Dashboard!$L$1,K1484,K1484*GOOGLEFINANCE(""CURRENCY:""&amp;Q1484&amp;""""&amp;Dashboard!$"&amp;"L$1&amp;""""))),K1484))"),"")</f>
        <v/>
      </c>
      <c r="S1484" s="266" t="str">
        <f>IFERROR(__xludf.DUMMYFUNCTION("IF(ISBLANK(A1484),"""",IFERROR(IF(OR(Q1484=""GPB"",Q1484=""ZAR""),IF(Q1484=Dashboard!$L$1,M1484,(M1484*GOOGLEFINANCE(""CURRENCY:""&amp;Q1484&amp;""""&amp;Dashboard!$L$1&amp;""""))/100),IF(Q1484=Dashboard!$L$1,M1484,M1484*GOOGLEFINANCE(""CURRENCY:""&amp;Q1484&amp;""""&amp;Dashboard!$"&amp;"L$1&amp;""""))),M1484))"),"")</f>
        <v/>
      </c>
      <c r="T1484" s="264" t="str">
        <f t="shared" si="4"/>
        <v/>
      </c>
      <c r="U1484" s="264" t="str">
        <f t="shared" si="5"/>
        <v/>
      </c>
      <c r="V1484" s="264" t="str">
        <f t="shared" si="6"/>
        <v/>
      </c>
      <c r="W1484" s="267" t="str">
        <f t="shared" si="8"/>
        <v/>
      </c>
      <c r="X1484" s="264" t="str">
        <f t="shared" si="7"/>
        <v/>
      </c>
    </row>
    <row r="1485" ht="15.75" customHeight="1">
      <c r="A1485" s="258"/>
      <c r="B1485" s="258"/>
      <c r="C1485" s="269"/>
      <c r="D1485" s="258"/>
      <c r="E1485" s="258"/>
      <c r="F1485" s="258"/>
      <c r="G1485" s="258"/>
      <c r="H1485" s="271"/>
      <c r="I1485" s="258"/>
      <c r="J1485" s="272"/>
      <c r="K1485" s="260"/>
      <c r="L1485" s="261"/>
      <c r="M1485" s="262" t="str">
        <f t="shared" si="1"/>
        <v/>
      </c>
      <c r="N1485" s="263" t="str">
        <f t="shared" si="2"/>
        <v/>
      </c>
      <c r="O1485" s="264" t="str">
        <f t="shared" si="3"/>
        <v/>
      </c>
      <c r="P1485" s="265" t="str">
        <f>IFERROR(__xludf.DUMMYFUNCTION("IF(ISBLANK(A1485),"""",IFERROR(IF(H1485=""Sell"",VLOOKUP(9^99,FILTER({ROW(P$2:P1484),P$2:P1484},D$2:D1484=D1485),2),(VLOOKUP(9^99,FILTER({ROW(P$2:P1484),P$2:P1484},D$2:D1484=D1485),2)*VLOOKUP(9^99,FILTER({ROW(O$2:O1484),O$2:O1484},D$2:D1484=D1485),2)-N148"&amp;"5)/O1485),J1485))"),"")</f>
        <v/>
      </c>
      <c r="Q1485" s="264" t="str">
        <f>IFERROR(__xludf.DUMMYFUNCTION("IFERROR(IF(F1485=""Crypto"",B1485,(IF(ISBLANK(D1485),"""",IF(D1485=""Cash"",B1485,IF(GOOGLEFINANCE(D1485,""CURRENCY"")=""GBX"",""GBP"",GOOGLEFINANCE(D1485,""CURRENCY"")))))),B1485)"),"")</f>
        <v/>
      </c>
      <c r="R1485" s="263" t="str">
        <f>IFERROR(__xludf.DUMMYFUNCTION("IF(ISBLANK(A1485),"""",IFERROR(IF(OR(Q1485=""GPB"",Q1485=""ZAR""),IF(Q1485=Dashboard!$L$1,K1485,(K1485*GOOGLEFINANCE(""CURRENCY:""&amp;Q1485&amp;""""&amp;Dashboard!$L$1&amp;""""))/100),IF(Q1485=Dashboard!$L$1,K1485,K1485*GOOGLEFINANCE(""CURRENCY:""&amp;Q1485&amp;""""&amp;Dashboard!$"&amp;"L$1&amp;""""))),K1485))"),"")</f>
        <v/>
      </c>
      <c r="S1485" s="266" t="str">
        <f>IFERROR(__xludf.DUMMYFUNCTION("IF(ISBLANK(A1485),"""",IFERROR(IF(OR(Q1485=""GPB"",Q1485=""ZAR""),IF(Q1485=Dashboard!$L$1,M1485,(M1485*GOOGLEFINANCE(""CURRENCY:""&amp;Q1485&amp;""""&amp;Dashboard!$L$1&amp;""""))/100),IF(Q1485=Dashboard!$L$1,M1485,M1485*GOOGLEFINANCE(""CURRENCY:""&amp;Q1485&amp;""""&amp;Dashboard!$"&amp;"L$1&amp;""""))),M1485))"),"")</f>
        <v/>
      </c>
      <c r="T1485" s="264" t="str">
        <f t="shared" si="4"/>
        <v/>
      </c>
      <c r="U1485" s="264" t="str">
        <f t="shared" si="5"/>
        <v/>
      </c>
      <c r="V1485" s="264" t="str">
        <f t="shared" si="6"/>
        <v/>
      </c>
      <c r="W1485" s="267" t="str">
        <f t="shared" si="8"/>
        <v/>
      </c>
      <c r="X1485" s="264" t="str">
        <f t="shared" si="7"/>
        <v/>
      </c>
    </row>
    <row r="1486" ht="15.75" customHeight="1">
      <c r="A1486" s="258"/>
      <c r="B1486" s="258"/>
      <c r="C1486" s="269"/>
      <c r="D1486" s="258"/>
      <c r="E1486" s="258"/>
      <c r="F1486" s="258"/>
      <c r="G1486" s="258"/>
      <c r="H1486" s="271"/>
      <c r="I1486" s="258"/>
      <c r="J1486" s="272"/>
      <c r="K1486" s="260"/>
      <c r="L1486" s="261"/>
      <c r="M1486" s="262" t="str">
        <f t="shared" si="1"/>
        <v/>
      </c>
      <c r="N1486" s="263" t="str">
        <f t="shared" si="2"/>
        <v/>
      </c>
      <c r="O1486" s="264" t="str">
        <f t="shared" si="3"/>
        <v/>
      </c>
      <c r="P1486" s="265" t="str">
        <f>IFERROR(__xludf.DUMMYFUNCTION("IF(ISBLANK(A1486),"""",IFERROR(IF(H1486=""Sell"",VLOOKUP(9^99,FILTER({ROW(P$2:P1485),P$2:P1485},D$2:D1485=D1486),2),(VLOOKUP(9^99,FILTER({ROW(P$2:P1485),P$2:P1485},D$2:D1485=D1486),2)*VLOOKUP(9^99,FILTER({ROW(O$2:O1485),O$2:O1485},D$2:D1485=D1486),2)-N148"&amp;"6)/O1486),J1486))"),"")</f>
        <v/>
      </c>
      <c r="Q1486" s="264" t="str">
        <f>IFERROR(__xludf.DUMMYFUNCTION("IFERROR(IF(F1486=""Crypto"",B1486,(IF(ISBLANK(D1486),"""",IF(D1486=""Cash"",B1486,IF(GOOGLEFINANCE(D1486,""CURRENCY"")=""GBX"",""GBP"",GOOGLEFINANCE(D1486,""CURRENCY"")))))),B1486)"),"")</f>
        <v/>
      </c>
      <c r="R1486" s="263" t="str">
        <f>IFERROR(__xludf.DUMMYFUNCTION("IF(ISBLANK(A1486),"""",IFERROR(IF(OR(Q1486=""GPB"",Q1486=""ZAR""),IF(Q1486=Dashboard!$L$1,K1486,(K1486*GOOGLEFINANCE(""CURRENCY:""&amp;Q1486&amp;""""&amp;Dashboard!$L$1&amp;""""))/100),IF(Q1486=Dashboard!$L$1,K1486,K1486*GOOGLEFINANCE(""CURRENCY:""&amp;Q1486&amp;""""&amp;Dashboard!$"&amp;"L$1&amp;""""))),K1486))"),"")</f>
        <v/>
      </c>
      <c r="S1486" s="266" t="str">
        <f>IFERROR(__xludf.DUMMYFUNCTION("IF(ISBLANK(A1486),"""",IFERROR(IF(OR(Q1486=""GPB"",Q1486=""ZAR""),IF(Q1486=Dashboard!$L$1,M1486,(M1486*GOOGLEFINANCE(""CURRENCY:""&amp;Q1486&amp;""""&amp;Dashboard!$L$1&amp;""""))/100),IF(Q1486=Dashboard!$L$1,M1486,M1486*GOOGLEFINANCE(""CURRENCY:""&amp;Q1486&amp;""""&amp;Dashboard!$"&amp;"L$1&amp;""""))),M1486))"),"")</f>
        <v/>
      </c>
      <c r="T1486" s="264" t="str">
        <f t="shared" si="4"/>
        <v/>
      </c>
      <c r="U1486" s="264" t="str">
        <f t="shared" si="5"/>
        <v/>
      </c>
      <c r="V1486" s="264" t="str">
        <f t="shared" si="6"/>
        <v/>
      </c>
      <c r="W1486" s="267" t="str">
        <f t="shared" si="8"/>
        <v/>
      </c>
      <c r="X1486" s="264" t="str">
        <f t="shared" si="7"/>
        <v/>
      </c>
    </row>
    <row r="1487" ht="15.75" customHeight="1">
      <c r="A1487" s="258"/>
      <c r="B1487" s="258"/>
      <c r="C1487" s="269"/>
      <c r="D1487" s="258"/>
      <c r="E1487" s="258"/>
      <c r="F1487" s="258"/>
      <c r="G1487" s="258"/>
      <c r="H1487" s="271"/>
      <c r="I1487" s="258"/>
      <c r="J1487" s="272"/>
      <c r="K1487" s="260"/>
      <c r="L1487" s="261"/>
      <c r="M1487" s="262" t="str">
        <f t="shared" si="1"/>
        <v/>
      </c>
      <c r="N1487" s="263" t="str">
        <f t="shared" si="2"/>
        <v/>
      </c>
      <c r="O1487" s="264" t="str">
        <f t="shared" si="3"/>
        <v/>
      </c>
      <c r="P1487" s="265" t="str">
        <f>IFERROR(__xludf.DUMMYFUNCTION("IF(ISBLANK(A1487),"""",IFERROR(IF(H1487=""Sell"",VLOOKUP(9^99,FILTER({ROW(P$2:P1486),P$2:P1486},D$2:D1486=D1487),2),(VLOOKUP(9^99,FILTER({ROW(P$2:P1486),P$2:P1486},D$2:D1486=D1487),2)*VLOOKUP(9^99,FILTER({ROW(O$2:O1486),O$2:O1486},D$2:D1486=D1487),2)-N148"&amp;"7)/O1487),J1487))"),"")</f>
        <v/>
      </c>
      <c r="Q1487" s="264" t="str">
        <f>IFERROR(__xludf.DUMMYFUNCTION("IFERROR(IF(F1487=""Crypto"",B1487,(IF(ISBLANK(D1487),"""",IF(D1487=""Cash"",B1487,IF(GOOGLEFINANCE(D1487,""CURRENCY"")=""GBX"",""GBP"",GOOGLEFINANCE(D1487,""CURRENCY"")))))),B1487)"),"")</f>
        <v/>
      </c>
      <c r="R1487" s="263" t="str">
        <f>IFERROR(__xludf.DUMMYFUNCTION("IF(ISBLANK(A1487),"""",IFERROR(IF(OR(Q1487=""GPB"",Q1487=""ZAR""),IF(Q1487=Dashboard!$L$1,K1487,(K1487*GOOGLEFINANCE(""CURRENCY:""&amp;Q1487&amp;""""&amp;Dashboard!$L$1&amp;""""))/100),IF(Q1487=Dashboard!$L$1,K1487,K1487*GOOGLEFINANCE(""CURRENCY:""&amp;Q1487&amp;""""&amp;Dashboard!$"&amp;"L$1&amp;""""))),K1487))"),"")</f>
        <v/>
      </c>
      <c r="S1487" s="266" t="str">
        <f>IFERROR(__xludf.DUMMYFUNCTION("IF(ISBLANK(A1487),"""",IFERROR(IF(OR(Q1487=""GPB"",Q1487=""ZAR""),IF(Q1487=Dashboard!$L$1,M1487,(M1487*GOOGLEFINANCE(""CURRENCY:""&amp;Q1487&amp;""""&amp;Dashboard!$L$1&amp;""""))/100),IF(Q1487=Dashboard!$L$1,M1487,M1487*GOOGLEFINANCE(""CURRENCY:""&amp;Q1487&amp;""""&amp;Dashboard!$"&amp;"L$1&amp;""""))),M1487))"),"")</f>
        <v/>
      </c>
      <c r="T1487" s="264" t="str">
        <f t="shared" si="4"/>
        <v/>
      </c>
      <c r="U1487" s="264" t="str">
        <f t="shared" si="5"/>
        <v/>
      </c>
      <c r="V1487" s="264" t="str">
        <f t="shared" si="6"/>
        <v/>
      </c>
      <c r="W1487" s="267" t="str">
        <f t="shared" si="8"/>
        <v/>
      </c>
      <c r="X1487" s="264" t="str">
        <f t="shared" si="7"/>
        <v/>
      </c>
    </row>
    <row r="1488" ht="15.75" customHeight="1">
      <c r="A1488" s="258"/>
      <c r="B1488" s="258"/>
      <c r="C1488" s="269"/>
      <c r="D1488" s="258"/>
      <c r="E1488" s="258"/>
      <c r="F1488" s="258"/>
      <c r="G1488" s="258"/>
      <c r="H1488" s="271"/>
      <c r="I1488" s="258"/>
      <c r="J1488" s="272"/>
      <c r="K1488" s="260"/>
      <c r="L1488" s="261"/>
      <c r="M1488" s="262" t="str">
        <f t="shared" si="1"/>
        <v/>
      </c>
      <c r="N1488" s="263" t="str">
        <f t="shared" si="2"/>
        <v/>
      </c>
      <c r="O1488" s="264" t="str">
        <f t="shared" si="3"/>
        <v/>
      </c>
      <c r="P1488" s="265" t="str">
        <f>IFERROR(__xludf.DUMMYFUNCTION("IF(ISBLANK(A1488),"""",IFERROR(IF(H1488=""Sell"",VLOOKUP(9^99,FILTER({ROW(P$2:P1487),P$2:P1487},D$2:D1487=D1488),2),(VLOOKUP(9^99,FILTER({ROW(P$2:P1487),P$2:P1487},D$2:D1487=D1488),2)*VLOOKUP(9^99,FILTER({ROW(O$2:O1487),O$2:O1487},D$2:D1487=D1488),2)-N148"&amp;"8)/O1488),J1488))"),"")</f>
        <v/>
      </c>
      <c r="Q1488" s="264" t="str">
        <f>IFERROR(__xludf.DUMMYFUNCTION("IFERROR(IF(F1488=""Crypto"",B1488,(IF(ISBLANK(D1488),"""",IF(D1488=""Cash"",B1488,IF(GOOGLEFINANCE(D1488,""CURRENCY"")=""GBX"",""GBP"",GOOGLEFINANCE(D1488,""CURRENCY"")))))),B1488)"),"")</f>
        <v/>
      </c>
      <c r="R1488" s="263" t="str">
        <f>IFERROR(__xludf.DUMMYFUNCTION("IF(ISBLANK(A1488),"""",IFERROR(IF(OR(Q1488=""GPB"",Q1488=""ZAR""),IF(Q1488=Dashboard!$L$1,K1488,(K1488*GOOGLEFINANCE(""CURRENCY:""&amp;Q1488&amp;""""&amp;Dashboard!$L$1&amp;""""))/100),IF(Q1488=Dashboard!$L$1,K1488,K1488*GOOGLEFINANCE(""CURRENCY:""&amp;Q1488&amp;""""&amp;Dashboard!$"&amp;"L$1&amp;""""))),K1488))"),"")</f>
        <v/>
      </c>
      <c r="S1488" s="266" t="str">
        <f>IFERROR(__xludf.DUMMYFUNCTION("IF(ISBLANK(A1488),"""",IFERROR(IF(OR(Q1488=""GPB"",Q1488=""ZAR""),IF(Q1488=Dashboard!$L$1,M1488,(M1488*GOOGLEFINANCE(""CURRENCY:""&amp;Q1488&amp;""""&amp;Dashboard!$L$1&amp;""""))/100),IF(Q1488=Dashboard!$L$1,M1488,M1488*GOOGLEFINANCE(""CURRENCY:""&amp;Q1488&amp;""""&amp;Dashboard!$"&amp;"L$1&amp;""""))),M1488))"),"")</f>
        <v/>
      </c>
      <c r="T1488" s="264" t="str">
        <f t="shared" si="4"/>
        <v/>
      </c>
      <c r="U1488" s="264" t="str">
        <f t="shared" si="5"/>
        <v/>
      </c>
      <c r="V1488" s="264" t="str">
        <f t="shared" si="6"/>
        <v/>
      </c>
      <c r="W1488" s="267" t="str">
        <f t="shared" si="8"/>
        <v/>
      </c>
      <c r="X1488" s="264" t="str">
        <f t="shared" si="7"/>
        <v/>
      </c>
    </row>
    <row r="1489" ht="15.75" customHeight="1">
      <c r="A1489" s="258"/>
      <c r="B1489" s="258"/>
      <c r="C1489" s="269"/>
      <c r="D1489" s="258"/>
      <c r="E1489" s="258"/>
      <c r="F1489" s="258"/>
      <c r="G1489" s="258"/>
      <c r="H1489" s="271"/>
      <c r="I1489" s="258"/>
      <c r="J1489" s="272"/>
      <c r="K1489" s="260"/>
      <c r="L1489" s="261"/>
      <c r="M1489" s="262" t="str">
        <f t="shared" si="1"/>
        <v/>
      </c>
      <c r="N1489" s="263" t="str">
        <f t="shared" si="2"/>
        <v/>
      </c>
      <c r="O1489" s="264" t="str">
        <f t="shared" si="3"/>
        <v/>
      </c>
      <c r="P1489" s="265" t="str">
        <f>IFERROR(__xludf.DUMMYFUNCTION("IF(ISBLANK(A1489),"""",IFERROR(IF(H1489=""Sell"",VLOOKUP(9^99,FILTER({ROW(P$2:P1488),P$2:P1488},D$2:D1488=D1489),2),(VLOOKUP(9^99,FILTER({ROW(P$2:P1488),P$2:P1488},D$2:D1488=D1489),2)*VLOOKUP(9^99,FILTER({ROW(O$2:O1488),O$2:O1488},D$2:D1488=D1489),2)-N148"&amp;"9)/O1489),J1489))"),"")</f>
        <v/>
      </c>
      <c r="Q1489" s="264" t="str">
        <f>IFERROR(__xludf.DUMMYFUNCTION("IFERROR(IF(F1489=""Crypto"",B1489,(IF(ISBLANK(D1489),"""",IF(D1489=""Cash"",B1489,IF(GOOGLEFINANCE(D1489,""CURRENCY"")=""GBX"",""GBP"",GOOGLEFINANCE(D1489,""CURRENCY"")))))),B1489)"),"")</f>
        <v/>
      </c>
      <c r="R1489" s="263" t="str">
        <f>IFERROR(__xludf.DUMMYFUNCTION("IF(ISBLANK(A1489),"""",IFERROR(IF(OR(Q1489=""GPB"",Q1489=""ZAR""),IF(Q1489=Dashboard!$L$1,K1489,(K1489*GOOGLEFINANCE(""CURRENCY:""&amp;Q1489&amp;""""&amp;Dashboard!$L$1&amp;""""))/100),IF(Q1489=Dashboard!$L$1,K1489,K1489*GOOGLEFINANCE(""CURRENCY:""&amp;Q1489&amp;""""&amp;Dashboard!$"&amp;"L$1&amp;""""))),K1489))"),"")</f>
        <v/>
      </c>
      <c r="S1489" s="266" t="str">
        <f>IFERROR(__xludf.DUMMYFUNCTION("IF(ISBLANK(A1489),"""",IFERROR(IF(OR(Q1489=""GPB"",Q1489=""ZAR""),IF(Q1489=Dashboard!$L$1,M1489,(M1489*GOOGLEFINANCE(""CURRENCY:""&amp;Q1489&amp;""""&amp;Dashboard!$L$1&amp;""""))/100),IF(Q1489=Dashboard!$L$1,M1489,M1489*GOOGLEFINANCE(""CURRENCY:""&amp;Q1489&amp;""""&amp;Dashboard!$"&amp;"L$1&amp;""""))),M1489))"),"")</f>
        <v/>
      </c>
      <c r="T1489" s="264" t="str">
        <f t="shared" si="4"/>
        <v/>
      </c>
      <c r="U1489" s="264" t="str">
        <f t="shared" si="5"/>
        <v/>
      </c>
      <c r="V1489" s="264" t="str">
        <f t="shared" si="6"/>
        <v/>
      </c>
      <c r="W1489" s="267" t="str">
        <f t="shared" si="8"/>
        <v/>
      </c>
      <c r="X1489" s="264" t="str">
        <f t="shared" si="7"/>
        <v/>
      </c>
    </row>
    <row r="1490" ht="15.75" customHeight="1">
      <c r="A1490" s="258"/>
      <c r="B1490" s="258"/>
      <c r="C1490" s="269"/>
      <c r="D1490" s="258"/>
      <c r="E1490" s="258"/>
      <c r="F1490" s="258"/>
      <c r="G1490" s="258"/>
      <c r="H1490" s="271"/>
      <c r="I1490" s="258"/>
      <c r="J1490" s="272"/>
      <c r="K1490" s="260"/>
      <c r="L1490" s="261"/>
      <c r="M1490" s="262" t="str">
        <f t="shared" si="1"/>
        <v/>
      </c>
      <c r="N1490" s="263" t="str">
        <f t="shared" si="2"/>
        <v/>
      </c>
      <c r="O1490" s="264" t="str">
        <f t="shared" si="3"/>
        <v/>
      </c>
      <c r="P1490" s="265" t="str">
        <f>IFERROR(__xludf.DUMMYFUNCTION("IF(ISBLANK(A1490),"""",IFERROR(IF(H1490=""Sell"",VLOOKUP(9^99,FILTER({ROW(P$2:P1489),P$2:P1489},D$2:D1489=D1490),2),(VLOOKUP(9^99,FILTER({ROW(P$2:P1489),P$2:P1489},D$2:D1489=D1490),2)*VLOOKUP(9^99,FILTER({ROW(O$2:O1489),O$2:O1489},D$2:D1489=D1490),2)-N149"&amp;"0)/O1490),J1490))"),"")</f>
        <v/>
      </c>
      <c r="Q1490" s="264" t="str">
        <f>IFERROR(__xludf.DUMMYFUNCTION("IFERROR(IF(F1490=""Crypto"",B1490,(IF(ISBLANK(D1490),"""",IF(D1490=""Cash"",B1490,IF(GOOGLEFINANCE(D1490,""CURRENCY"")=""GBX"",""GBP"",GOOGLEFINANCE(D1490,""CURRENCY"")))))),B1490)"),"")</f>
        <v/>
      </c>
      <c r="R1490" s="263" t="str">
        <f>IFERROR(__xludf.DUMMYFUNCTION("IF(ISBLANK(A1490),"""",IFERROR(IF(OR(Q1490=""GPB"",Q1490=""ZAR""),IF(Q1490=Dashboard!$L$1,K1490,(K1490*GOOGLEFINANCE(""CURRENCY:""&amp;Q1490&amp;""""&amp;Dashboard!$L$1&amp;""""))/100),IF(Q1490=Dashboard!$L$1,K1490,K1490*GOOGLEFINANCE(""CURRENCY:""&amp;Q1490&amp;""""&amp;Dashboard!$"&amp;"L$1&amp;""""))),K1490))"),"")</f>
        <v/>
      </c>
      <c r="S1490" s="266" t="str">
        <f>IFERROR(__xludf.DUMMYFUNCTION("IF(ISBLANK(A1490),"""",IFERROR(IF(OR(Q1490=""GPB"",Q1490=""ZAR""),IF(Q1490=Dashboard!$L$1,M1490,(M1490*GOOGLEFINANCE(""CURRENCY:""&amp;Q1490&amp;""""&amp;Dashboard!$L$1&amp;""""))/100),IF(Q1490=Dashboard!$L$1,M1490,M1490*GOOGLEFINANCE(""CURRENCY:""&amp;Q1490&amp;""""&amp;Dashboard!$"&amp;"L$1&amp;""""))),M1490))"),"")</f>
        <v/>
      </c>
      <c r="T1490" s="264" t="str">
        <f t="shared" si="4"/>
        <v/>
      </c>
      <c r="U1490" s="264" t="str">
        <f t="shared" si="5"/>
        <v/>
      </c>
      <c r="V1490" s="264" t="str">
        <f t="shared" si="6"/>
        <v/>
      </c>
      <c r="W1490" s="267" t="str">
        <f t="shared" si="8"/>
        <v/>
      </c>
      <c r="X1490" s="264" t="str">
        <f t="shared" si="7"/>
        <v/>
      </c>
    </row>
    <row r="1491" ht="15.75" customHeight="1">
      <c r="A1491" s="258"/>
      <c r="B1491" s="258"/>
      <c r="C1491" s="269"/>
      <c r="D1491" s="258"/>
      <c r="E1491" s="258"/>
      <c r="F1491" s="258"/>
      <c r="G1491" s="258"/>
      <c r="H1491" s="271"/>
      <c r="I1491" s="258"/>
      <c r="J1491" s="272"/>
      <c r="K1491" s="260"/>
      <c r="L1491" s="261"/>
      <c r="M1491" s="262" t="str">
        <f t="shared" si="1"/>
        <v/>
      </c>
      <c r="N1491" s="263" t="str">
        <f t="shared" si="2"/>
        <v/>
      </c>
      <c r="O1491" s="264" t="str">
        <f t="shared" si="3"/>
        <v/>
      </c>
      <c r="P1491" s="265" t="str">
        <f>IFERROR(__xludf.DUMMYFUNCTION("IF(ISBLANK(A1491),"""",IFERROR(IF(H1491=""Sell"",VLOOKUP(9^99,FILTER({ROW(P$2:P1490),P$2:P1490},D$2:D1490=D1491),2),(VLOOKUP(9^99,FILTER({ROW(P$2:P1490),P$2:P1490},D$2:D1490=D1491),2)*VLOOKUP(9^99,FILTER({ROW(O$2:O1490),O$2:O1490},D$2:D1490=D1491),2)-N149"&amp;"1)/O1491),J1491))"),"")</f>
        <v/>
      </c>
      <c r="Q1491" s="264" t="str">
        <f>IFERROR(__xludf.DUMMYFUNCTION("IFERROR(IF(F1491=""Crypto"",B1491,(IF(ISBLANK(D1491),"""",IF(D1491=""Cash"",B1491,IF(GOOGLEFINANCE(D1491,""CURRENCY"")=""GBX"",""GBP"",GOOGLEFINANCE(D1491,""CURRENCY"")))))),B1491)"),"")</f>
        <v/>
      </c>
      <c r="R1491" s="263" t="str">
        <f>IFERROR(__xludf.DUMMYFUNCTION("IF(ISBLANK(A1491),"""",IFERROR(IF(OR(Q1491=""GPB"",Q1491=""ZAR""),IF(Q1491=Dashboard!$L$1,K1491,(K1491*GOOGLEFINANCE(""CURRENCY:""&amp;Q1491&amp;""""&amp;Dashboard!$L$1&amp;""""))/100),IF(Q1491=Dashboard!$L$1,K1491,K1491*GOOGLEFINANCE(""CURRENCY:""&amp;Q1491&amp;""""&amp;Dashboard!$"&amp;"L$1&amp;""""))),K1491))"),"")</f>
        <v/>
      </c>
      <c r="S1491" s="266" t="str">
        <f>IFERROR(__xludf.DUMMYFUNCTION("IF(ISBLANK(A1491),"""",IFERROR(IF(OR(Q1491=""GPB"",Q1491=""ZAR""),IF(Q1491=Dashboard!$L$1,M1491,(M1491*GOOGLEFINANCE(""CURRENCY:""&amp;Q1491&amp;""""&amp;Dashboard!$L$1&amp;""""))/100),IF(Q1491=Dashboard!$L$1,M1491,M1491*GOOGLEFINANCE(""CURRENCY:""&amp;Q1491&amp;""""&amp;Dashboard!$"&amp;"L$1&amp;""""))),M1491))"),"")</f>
        <v/>
      </c>
      <c r="T1491" s="264" t="str">
        <f t="shared" si="4"/>
        <v/>
      </c>
      <c r="U1491" s="264" t="str">
        <f t="shared" si="5"/>
        <v/>
      </c>
      <c r="V1491" s="264" t="str">
        <f t="shared" si="6"/>
        <v/>
      </c>
      <c r="W1491" s="267" t="str">
        <f t="shared" si="8"/>
        <v/>
      </c>
      <c r="X1491" s="264" t="str">
        <f t="shared" si="7"/>
        <v/>
      </c>
    </row>
    <row r="1492" ht="15.75" customHeight="1">
      <c r="A1492" s="258"/>
      <c r="B1492" s="258"/>
      <c r="C1492" s="269"/>
      <c r="D1492" s="258"/>
      <c r="E1492" s="258"/>
      <c r="F1492" s="258"/>
      <c r="G1492" s="258"/>
      <c r="H1492" s="271"/>
      <c r="I1492" s="258"/>
      <c r="J1492" s="272"/>
      <c r="K1492" s="260"/>
      <c r="L1492" s="261"/>
      <c r="M1492" s="262" t="str">
        <f t="shared" si="1"/>
        <v/>
      </c>
      <c r="N1492" s="263" t="str">
        <f t="shared" si="2"/>
        <v/>
      </c>
      <c r="O1492" s="264" t="str">
        <f t="shared" si="3"/>
        <v/>
      </c>
      <c r="P1492" s="265" t="str">
        <f>IFERROR(__xludf.DUMMYFUNCTION("IF(ISBLANK(A1492),"""",IFERROR(IF(H1492=""Sell"",VLOOKUP(9^99,FILTER({ROW(P$2:P1491),P$2:P1491},D$2:D1491=D1492),2),(VLOOKUP(9^99,FILTER({ROW(P$2:P1491),P$2:P1491},D$2:D1491=D1492),2)*VLOOKUP(9^99,FILTER({ROW(O$2:O1491),O$2:O1491},D$2:D1491=D1492),2)-N149"&amp;"2)/O1492),J1492))"),"")</f>
        <v/>
      </c>
      <c r="Q1492" s="264" t="str">
        <f>IFERROR(__xludf.DUMMYFUNCTION("IFERROR(IF(F1492=""Crypto"",B1492,(IF(ISBLANK(D1492),"""",IF(D1492=""Cash"",B1492,IF(GOOGLEFINANCE(D1492,""CURRENCY"")=""GBX"",""GBP"",GOOGLEFINANCE(D1492,""CURRENCY"")))))),B1492)"),"")</f>
        <v/>
      </c>
      <c r="R1492" s="263" t="str">
        <f>IFERROR(__xludf.DUMMYFUNCTION("IF(ISBLANK(A1492),"""",IFERROR(IF(OR(Q1492=""GPB"",Q1492=""ZAR""),IF(Q1492=Dashboard!$L$1,K1492,(K1492*GOOGLEFINANCE(""CURRENCY:""&amp;Q1492&amp;""""&amp;Dashboard!$L$1&amp;""""))/100),IF(Q1492=Dashboard!$L$1,K1492,K1492*GOOGLEFINANCE(""CURRENCY:""&amp;Q1492&amp;""""&amp;Dashboard!$"&amp;"L$1&amp;""""))),K1492))"),"")</f>
        <v/>
      </c>
      <c r="S1492" s="266" t="str">
        <f>IFERROR(__xludf.DUMMYFUNCTION("IF(ISBLANK(A1492),"""",IFERROR(IF(OR(Q1492=""GPB"",Q1492=""ZAR""),IF(Q1492=Dashboard!$L$1,M1492,(M1492*GOOGLEFINANCE(""CURRENCY:""&amp;Q1492&amp;""""&amp;Dashboard!$L$1&amp;""""))/100),IF(Q1492=Dashboard!$L$1,M1492,M1492*GOOGLEFINANCE(""CURRENCY:""&amp;Q1492&amp;""""&amp;Dashboard!$"&amp;"L$1&amp;""""))),M1492))"),"")</f>
        <v/>
      </c>
      <c r="T1492" s="264" t="str">
        <f t="shared" si="4"/>
        <v/>
      </c>
      <c r="U1492" s="264" t="str">
        <f t="shared" si="5"/>
        <v/>
      </c>
      <c r="V1492" s="264" t="str">
        <f t="shared" si="6"/>
        <v/>
      </c>
      <c r="W1492" s="267" t="str">
        <f t="shared" si="8"/>
        <v/>
      </c>
      <c r="X1492" s="264" t="str">
        <f t="shared" si="7"/>
        <v/>
      </c>
    </row>
    <row r="1493" ht="15.75" customHeight="1">
      <c r="A1493" s="258"/>
      <c r="B1493" s="258"/>
      <c r="C1493" s="269"/>
      <c r="D1493" s="258"/>
      <c r="E1493" s="258"/>
      <c r="F1493" s="258"/>
      <c r="G1493" s="258"/>
      <c r="H1493" s="271"/>
      <c r="I1493" s="258"/>
      <c r="J1493" s="272"/>
      <c r="K1493" s="260"/>
      <c r="L1493" s="261"/>
      <c r="M1493" s="262" t="str">
        <f t="shared" si="1"/>
        <v/>
      </c>
      <c r="N1493" s="263" t="str">
        <f t="shared" si="2"/>
        <v/>
      </c>
      <c r="O1493" s="264" t="str">
        <f t="shared" si="3"/>
        <v/>
      </c>
      <c r="P1493" s="265" t="str">
        <f>IFERROR(__xludf.DUMMYFUNCTION("IF(ISBLANK(A1493),"""",IFERROR(IF(H1493=""Sell"",VLOOKUP(9^99,FILTER({ROW(P$2:P1492),P$2:P1492},D$2:D1492=D1493),2),(VLOOKUP(9^99,FILTER({ROW(P$2:P1492),P$2:P1492},D$2:D1492=D1493),2)*VLOOKUP(9^99,FILTER({ROW(O$2:O1492),O$2:O1492},D$2:D1492=D1493),2)-N149"&amp;"3)/O1493),J1493))"),"")</f>
        <v/>
      </c>
      <c r="Q1493" s="264" t="str">
        <f>IFERROR(__xludf.DUMMYFUNCTION("IFERROR(IF(F1493=""Crypto"",B1493,(IF(ISBLANK(D1493),"""",IF(D1493=""Cash"",B1493,IF(GOOGLEFINANCE(D1493,""CURRENCY"")=""GBX"",""GBP"",GOOGLEFINANCE(D1493,""CURRENCY"")))))),B1493)"),"")</f>
        <v/>
      </c>
      <c r="R1493" s="263" t="str">
        <f>IFERROR(__xludf.DUMMYFUNCTION("IF(ISBLANK(A1493),"""",IFERROR(IF(OR(Q1493=""GPB"",Q1493=""ZAR""),IF(Q1493=Dashboard!$L$1,K1493,(K1493*GOOGLEFINANCE(""CURRENCY:""&amp;Q1493&amp;""""&amp;Dashboard!$L$1&amp;""""))/100),IF(Q1493=Dashboard!$L$1,K1493,K1493*GOOGLEFINANCE(""CURRENCY:""&amp;Q1493&amp;""""&amp;Dashboard!$"&amp;"L$1&amp;""""))),K1493))"),"")</f>
        <v/>
      </c>
      <c r="S1493" s="266" t="str">
        <f>IFERROR(__xludf.DUMMYFUNCTION("IF(ISBLANK(A1493),"""",IFERROR(IF(OR(Q1493=""GPB"",Q1493=""ZAR""),IF(Q1493=Dashboard!$L$1,M1493,(M1493*GOOGLEFINANCE(""CURRENCY:""&amp;Q1493&amp;""""&amp;Dashboard!$L$1&amp;""""))/100),IF(Q1493=Dashboard!$L$1,M1493,M1493*GOOGLEFINANCE(""CURRENCY:""&amp;Q1493&amp;""""&amp;Dashboard!$"&amp;"L$1&amp;""""))),M1493))"),"")</f>
        <v/>
      </c>
      <c r="T1493" s="264" t="str">
        <f t="shared" si="4"/>
        <v/>
      </c>
      <c r="U1493" s="264" t="str">
        <f t="shared" si="5"/>
        <v/>
      </c>
      <c r="V1493" s="264" t="str">
        <f t="shared" si="6"/>
        <v/>
      </c>
      <c r="W1493" s="267" t="str">
        <f t="shared" si="8"/>
        <v/>
      </c>
      <c r="X1493" s="264" t="str">
        <f t="shared" si="7"/>
        <v/>
      </c>
    </row>
    <row r="1494" ht="15.75" customHeight="1">
      <c r="A1494" s="258"/>
      <c r="B1494" s="258"/>
      <c r="C1494" s="269"/>
      <c r="D1494" s="258"/>
      <c r="E1494" s="258"/>
      <c r="F1494" s="258"/>
      <c r="G1494" s="258"/>
      <c r="H1494" s="271"/>
      <c r="I1494" s="258"/>
      <c r="J1494" s="272"/>
      <c r="K1494" s="260"/>
      <c r="L1494" s="261"/>
      <c r="M1494" s="262" t="str">
        <f t="shared" si="1"/>
        <v/>
      </c>
      <c r="N1494" s="263" t="str">
        <f t="shared" si="2"/>
        <v/>
      </c>
      <c r="O1494" s="264" t="str">
        <f t="shared" si="3"/>
        <v/>
      </c>
      <c r="P1494" s="265" t="str">
        <f>IFERROR(__xludf.DUMMYFUNCTION("IF(ISBLANK(A1494),"""",IFERROR(IF(H1494=""Sell"",VLOOKUP(9^99,FILTER({ROW(P$2:P1493),P$2:P1493},D$2:D1493=D1494),2),(VLOOKUP(9^99,FILTER({ROW(P$2:P1493),P$2:P1493},D$2:D1493=D1494),2)*VLOOKUP(9^99,FILTER({ROW(O$2:O1493),O$2:O1493},D$2:D1493=D1494),2)-N149"&amp;"4)/O1494),J1494))"),"")</f>
        <v/>
      </c>
      <c r="Q1494" s="264" t="str">
        <f>IFERROR(__xludf.DUMMYFUNCTION("IFERROR(IF(F1494=""Crypto"",B1494,(IF(ISBLANK(D1494),"""",IF(D1494=""Cash"",B1494,IF(GOOGLEFINANCE(D1494,""CURRENCY"")=""GBX"",""GBP"",GOOGLEFINANCE(D1494,""CURRENCY"")))))),B1494)"),"")</f>
        <v/>
      </c>
      <c r="R1494" s="263" t="str">
        <f>IFERROR(__xludf.DUMMYFUNCTION("IF(ISBLANK(A1494),"""",IFERROR(IF(OR(Q1494=""GPB"",Q1494=""ZAR""),IF(Q1494=Dashboard!$L$1,K1494,(K1494*GOOGLEFINANCE(""CURRENCY:""&amp;Q1494&amp;""""&amp;Dashboard!$L$1&amp;""""))/100),IF(Q1494=Dashboard!$L$1,K1494,K1494*GOOGLEFINANCE(""CURRENCY:""&amp;Q1494&amp;""""&amp;Dashboard!$"&amp;"L$1&amp;""""))),K1494))"),"")</f>
        <v/>
      </c>
      <c r="S1494" s="266" t="str">
        <f>IFERROR(__xludf.DUMMYFUNCTION("IF(ISBLANK(A1494),"""",IFERROR(IF(OR(Q1494=""GPB"",Q1494=""ZAR""),IF(Q1494=Dashboard!$L$1,M1494,(M1494*GOOGLEFINANCE(""CURRENCY:""&amp;Q1494&amp;""""&amp;Dashboard!$L$1&amp;""""))/100),IF(Q1494=Dashboard!$L$1,M1494,M1494*GOOGLEFINANCE(""CURRENCY:""&amp;Q1494&amp;""""&amp;Dashboard!$"&amp;"L$1&amp;""""))),M1494))"),"")</f>
        <v/>
      </c>
      <c r="T1494" s="264" t="str">
        <f t="shared" si="4"/>
        <v/>
      </c>
      <c r="U1494" s="264" t="str">
        <f t="shared" si="5"/>
        <v/>
      </c>
      <c r="V1494" s="264" t="str">
        <f t="shared" si="6"/>
        <v/>
      </c>
      <c r="W1494" s="267" t="str">
        <f t="shared" si="8"/>
        <v/>
      </c>
      <c r="X1494" s="264" t="str">
        <f t="shared" si="7"/>
        <v/>
      </c>
    </row>
    <row r="1495" ht="15.75" customHeight="1">
      <c r="A1495" s="258"/>
      <c r="B1495" s="258"/>
      <c r="C1495" s="269"/>
      <c r="D1495" s="258"/>
      <c r="E1495" s="258"/>
      <c r="F1495" s="258"/>
      <c r="G1495" s="258"/>
      <c r="H1495" s="271"/>
      <c r="I1495" s="258"/>
      <c r="J1495" s="272"/>
      <c r="K1495" s="260"/>
      <c r="L1495" s="261"/>
      <c r="M1495" s="262" t="str">
        <f t="shared" si="1"/>
        <v/>
      </c>
      <c r="N1495" s="263" t="str">
        <f t="shared" si="2"/>
        <v/>
      </c>
      <c r="O1495" s="264" t="str">
        <f t="shared" si="3"/>
        <v/>
      </c>
      <c r="P1495" s="265" t="str">
        <f>IFERROR(__xludf.DUMMYFUNCTION("IF(ISBLANK(A1495),"""",IFERROR(IF(H1495=""Sell"",VLOOKUP(9^99,FILTER({ROW(P$2:P1494),P$2:P1494},D$2:D1494=D1495),2),(VLOOKUP(9^99,FILTER({ROW(P$2:P1494),P$2:P1494},D$2:D1494=D1495),2)*VLOOKUP(9^99,FILTER({ROW(O$2:O1494),O$2:O1494},D$2:D1494=D1495),2)-N149"&amp;"5)/O1495),J1495))"),"")</f>
        <v/>
      </c>
      <c r="Q1495" s="264" t="str">
        <f>IFERROR(__xludf.DUMMYFUNCTION("IFERROR(IF(F1495=""Crypto"",B1495,(IF(ISBLANK(D1495),"""",IF(D1495=""Cash"",B1495,IF(GOOGLEFINANCE(D1495,""CURRENCY"")=""GBX"",""GBP"",GOOGLEFINANCE(D1495,""CURRENCY"")))))),B1495)"),"")</f>
        <v/>
      </c>
      <c r="R1495" s="263" t="str">
        <f>IFERROR(__xludf.DUMMYFUNCTION("IF(ISBLANK(A1495),"""",IFERROR(IF(OR(Q1495=""GPB"",Q1495=""ZAR""),IF(Q1495=Dashboard!$L$1,K1495,(K1495*GOOGLEFINANCE(""CURRENCY:""&amp;Q1495&amp;""""&amp;Dashboard!$L$1&amp;""""))/100),IF(Q1495=Dashboard!$L$1,K1495,K1495*GOOGLEFINANCE(""CURRENCY:""&amp;Q1495&amp;""""&amp;Dashboard!$"&amp;"L$1&amp;""""))),K1495))"),"")</f>
        <v/>
      </c>
      <c r="S1495" s="266" t="str">
        <f>IFERROR(__xludf.DUMMYFUNCTION("IF(ISBLANK(A1495),"""",IFERROR(IF(OR(Q1495=""GPB"",Q1495=""ZAR""),IF(Q1495=Dashboard!$L$1,M1495,(M1495*GOOGLEFINANCE(""CURRENCY:""&amp;Q1495&amp;""""&amp;Dashboard!$L$1&amp;""""))/100),IF(Q1495=Dashboard!$L$1,M1495,M1495*GOOGLEFINANCE(""CURRENCY:""&amp;Q1495&amp;""""&amp;Dashboard!$"&amp;"L$1&amp;""""))),M1495))"),"")</f>
        <v/>
      </c>
      <c r="T1495" s="264" t="str">
        <f t="shared" si="4"/>
        <v/>
      </c>
      <c r="U1495" s="264" t="str">
        <f t="shared" si="5"/>
        <v/>
      </c>
      <c r="V1495" s="264" t="str">
        <f t="shared" si="6"/>
        <v/>
      </c>
      <c r="W1495" s="267" t="str">
        <f t="shared" si="8"/>
        <v/>
      </c>
      <c r="X1495" s="264" t="str">
        <f t="shared" si="7"/>
        <v/>
      </c>
    </row>
    <row r="1496" ht="15.75" customHeight="1">
      <c r="A1496" s="258"/>
      <c r="B1496" s="258"/>
      <c r="C1496" s="269"/>
      <c r="D1496" s="258"/>
      <c r="E1496" s="258"/>
      <c r="F1496" s="258"/>
      <c r="G1496" s="258"/>
      <c r="H1496" s="271"/>
      <c r="I1496" s="258"/>
      <c r="J1496" s="272"/>
      <c r="K1496" s="260"/>
      <c r="L1496" s="261"/>
      <c r="M1496" s="262" t="str">
        <f t="shared" si="1"/>
        <v/>
      </c>
      <c r="N1496" s="263" t="str">
        <f t="shared" si="2"/>
        <v/>
      </c>
      <c r="O1496" s="264" t="str">
        <f t="shared" si="3"/>
        <v/>
      </c>
      <c r="P1496" s="265" t="str">
        <f>IFERROR(__xludf.DUMMYFUNCTION("IF(ISBLANK(A1496),"""",IFERROR(IF(H1496=""Sell"",VLOOKUP(9^99,FILTER({ROW(P$2:P1495),P$2:P1495},D$2:D1495=D1496),2),(VLOOKUP(9^99,FILTER({ROW(P$2:P1495),P$2:P1495},D$2:D1495=D1496),2)*VLOOKUP(9^99,FILTER({ROW(O$2:O1495),O$2:O1495},D$2:D1495=D1496),2)-N149"&amp;"6)/O1496),J1496))"),"")</f>
        <v/>
      </c>
      <c r="Q1496" s="264" t="str">
        <f>IFERROR(__xludf.DUMMYFUNCTION("IFERROR(IF(F1496=""Crypto"",B1496,(IF(ISBLANK(D1496),"""",IF(D1496=""Cash"",B1496,IF(GOOGLEFINANCE(D1496,""CURRENCY"")=""GBX"",""GBP"",GOOGLEFINANCE(D1496,""CURRENCY"")))))),B1496)"),"")</f>
        <v/>
      </c>
      <c r="R1496" s="263" t="str">
        <f>IFERROR(__xludf.DUMMYFUNCTION("IF(ISBLANK(A1496),"""",IFERROR(IF(OR(Q1496=""GPB"",Q1496=""ZAR""),IF(Q1496=Dashboard!$L$1,K1496,(K1496*GOOGLEFINANCE(""CURRENCY:""&amp;Q1496&amp;""""&amp;Dashboard!$L$1&amp;""""))/100),IF(Q1496=Dashboard!$L$1,K1496,K1496*GOOGLEFINANCE(""CURRENCY:""&amp;Q1496&amp;""""&amp;Dashboard!$"&amp;"L$1&amp;""""))),K1496))"),"")</f>
        <v/>
      </c>
      <c r="S1496" s="266" t="str">
        <f>IFERROR(__xludf.DUMMYFUNCTION("IF(ISBLANK(A1496),"""",IFERROR(IF(OR(Q1496=""GPB"",Q1496=""ZAR""),IF(Q1496=Dashboard!$L$1,M1496,(M1496*GOOGLEFINANCE(""CURRENCY:""&amp;Q1496&amp;""""&amp;Dashboard!$L$1&amp;""""))/100),IF(Q1496=Dashboard!$L$1,M1496,M1496*GOOGLEFINANCE(""CURRENCY:""&amp;Q1496&amp;""""&amp;Dashboard!$"&amp;"L$1&amp;""""))),M1496))"),"")</f>
        <v/>
      </c>
      <c r="T1496" s="264" t="str">
        <f t="shared" si="4"/>
        <v/>
      </c>
      <c r="U1496" s="264" t="str">
        <f t="shared" si="5"/>
        <v/>
      </c>
      <c r="V1496" s="264" t="str">
        <f t="shared" si="6"/>
        <v/>
      </c>
      <c r="W1496" s="267" t="str">
        <f t="shared" si="8"/>
        <v/>
      </c>
      <c r="X1496" s="264" t="str">
        <f t="shared" si="7"/>
        <v/>
      </c>
    </row>
    <row r="1497" ht="15.75" customHeight="1">
      <c r="A1497" s="258"/>
      <c r="B1497" s="258"/>
      <c r="C1497" s="269"/>
      <c r="D1497" s="258"/>
      <c r="E1497" s="258"/>
      <c r="F1497" s="258"/>
      <c r="G1497" s="258"/>
      <c r="H1497" s="271"/>
      <c r="I1497" s="258"/>
      <c r="J1497" s="272"/>
      <c r="K1497" s="260"/>
      <c r="L1497" s="261"/>
      <c r="M1497" s="262" t="str">
        <f t="shared" si="1"/>
        <v/>
      </c>
      <c r="N1497" s="263" t="str">
        <f t="shared" si="2"/>
        <v/>
      </c>
      <c r="O1497" s="264" t="str">
        <f t="shared" si="3"/>
        <v/>
      </c>
      <c r="P1497" s="265" t="str">
        <f>IFERROR(__xludf.DUMMYFUNCTION("IF(ISBLANK(A1497),"""",IFERROR(IF(H1497=""Sell"",VLOOKUP(9^99,FILTER({ROW(P$2:P1496),P$2:P1496},D$2:D1496=D1497),2),(VLOOKUP(9^99,FILTER({ROW(P$2:P1496),P$2:P1496},D$2:D1496=D1497),2)*VLOOKUP(9^99,FILTER({ROW(O$2:O1496),O$2:O1496},D$2:D1496=D1497),2)-N149"&amp;"7)/O1497),J1497))"),"")</f>
        <v/>
      </c>
      <c r="Q1497" s="264" t="str">
        <f>IFERROR(__xludf.DUMMYFUNCTION("IFERROR(IF(F1497=""Crypto"",B1497,(IF(ISBLANK(D1497),"""",IF(D1497=""Cash"",B1497,IF(GOOGLEFINANCE(D1497,""CURRENCY"")=""GBX"",""GBP"",GOOGLEFINANCE(D1497,""CURRENCY"")))))),B1497)"),"")</f>
        <v/>
      </c>
      <c r="R1497" s="263" t="str">
        <f>IFERROR(__xludf.DUMMYFUNCTION("IF(ISBLANK(A1497),"""",IFERROR(IF(OR(Q1497=""GPB"",Q1497=""ZAR""),IF(Q1497=Dashboard!$L$1,K1497,(K1497*GOOGLEFINANCE(""CURRENCY:""&amp;Q1497&amp;""""&amp;Dashboard!$L$1&amp;""""))/100),IF(Q1497=Dashboard!$L$1,K1497,K1497*GOOGLEFINANCE(""CURRENCY:""&amp;Q1497&amp;""""&amp;Dashboard!$"&amp;"L$1&amp;""""))),K1497))"),"")</f>
        <v/>
      </c>
      <c r="S1497" s="266" t="str">
        <f>IFERROR(__xludf.DUMMYFUNCTION("IF(ISBLANK(A1497),"""",IFERROR(IF(OR(Q1497=""GPB"",Q1497=""ZAR""),IF(Q1497=Dashboard!$L$1,M1497,(M1497*GOOGLEFINANCE(""CURRENCY:""&amp;Q1497&amp;""""&amp;Dashboard!$L$1&amp;""""))/100),IF(Q1497=Dashboard!$L$1,M1497,M1497*GOOGLEFINANCE(""CURRENCY:""&amp;Q1497&amp;""""&amp;Dashboard!$"&amp;"L$1&amp;""""))),M1497))"),"")</f>
        <v/>
      </c>
      <c r="T1497" s="264" t="str">
        <f t="shared" si="4"/>
        <v/>
      </c>
      <c r="U1497" s="264" t="str">
        <f t="shared" si="5"/>
        <v/>
      </c>
      <c r="V1497" s="264" t="str">
        <f t="shared" si="6"/>
        <v/>
      </c>
      <c r="W1497" s="267" t="str">
        <f t="shared" si="8"/>
        <v/>
      </c>
      <c r="X1497" s="264" t="str">
        <f t="shared" si="7"/>
        <v/>
      </c>
    </row>
    <row r="1498" ht="15.75" customHeight="1">
      <c r="A1498" s="258"/>
      <c r="B1498" s="258"/>
      <c r="C1498" s="269"/>
      <c r="D1498" s="258"/>
      <c r="E1498" s="258"/>
      <c r="F1498" s="258"/>
      <c r="G1498" s="258"/>
      <c r="H1498" s="271"/>
      <c r="I1498" s="258"/>
      <c r="J1498" s="272"/>
      <c r="K1498" s="260"/>
      <c r="L1498" s="261"/>
      <c r="M1498" s="262" t="str">
        <f t="shared" si="1"/>
        <v/>
      </c>
      <c r="N1498" s="263" t="str">
        <f t="shared" si="2"/>
        <v/>
      </c>
      <c r="O1498" s="264" t="str">
        <f t="shared" si="3"/>
        <v/>
      </c>
      <c r="P1498" s="265" t="str">
        <f>IFERROR(__xludf.DUMMYFUNCTION("IF(ISBLANK(A1498),"""",IFERROR(IF(H1498=""Sell"",VLOOKUP(9^99,FILTER({ROW(P$2:P1497),P$2:P1497},D$2:D1497=D1498),2),(VLOOKUP(9^99,FILTER({ROW(P$2:P1497),P$2:P1497},D$2:D1497=D1498),2)*VLOOKUP(9^99,FILTER({ROW(O$2:O1497),O$2:O1497},D$2:D1497=D1498),2)-N149"&amp;"8)/O1498),J1498))"),"")</f>
        <v/>
      </c>
      <c r="Q1498" s="264" t="str">
        <f>IFERROR(__xludf.DUMMYFUNCTION("IFERROR(IF(F1498=""Crypto"",B1498,(IF(ISBLANK(D1498),"""",IF(D1498=""Cash"",B1498,IF(GOOGLEFINANCE(D1498,""CURRENCY"")=""GBX"",""GBP"",GOOGLEFINANCE(D1498,""CURRENCY"")))))),B1498)"),"")</f>
        <v/>
      </c>
      <c r="R1498" s="263" t="str">
        <f>IFERROR(__xludf.DUMMYFUNCTION("IF(ISBLANK(A1498),"""",IFERROR(IF(OR(Q1498=""GPB"",Q1498=""ZAR""),IF(Q1498=Dashboard!$L$1,K1498,(K1498*GOOGLEFINANCE(""CURRENCY:""&amp;Q1498&amp;""""&amp;Dashboard!$L$1&amp;""""))/100),IF(Q1498=Dashboard!$L$1,K1498,K1498*GOOGLEFINANCE(""CURRENCY:""&amp;Q1498&amp;""""&amp;Dashboard!$"&amp;"L$1&amp;""""))),K1498))"),"")</f>
        <v/>
      </c>
      <c r="S1498" s="266" t="str">
        <f>IFERROR(__xludf.DUMMYFUNCTION("IF(ISBLANK(A1498),"""",IFERROR(IF(OR(Q1498=""GPB"",Q1498=""ZAR""),IF(Q1498=Dashboard!$L$1,M1498,(M1498*GOOGLEFINANCE(""CURRENCY:""&amp;Q1498&amp;""""&amp;Dashboard!$L$1&amp;""""))/100),IF(Q1498=Dashboard!$L$1,M1498,M1498*GOOGLEFINANCE(""CURRENCY:""&amp;Q1498&amp;""""&amp;Dashboard!$"&amp;"L$1&amp;""""))),M1498))"),"")</f>
        <v/>
      </c>
      <c r="T1498" s="264" t="str">
        <f t="shared" si="4"/>
        <v/>
      </c>
      <c r="U1498" s="264" t="str">
        <f t="shared" si="5"/>
        <v/>
      </c>
      <c r="V1498" s="264" t="str">
        <f t="shared" si="6"/>
        <v/>
      </c>
      <c r="W1498" s="267" t="str">
        <f t="shared" si="8"/>
        <v/>
      </c>
      <c r="X1498" s="264" t="str">
        <f t="shared" si="7"/>
        <v/>
      </c>
    </row>
    <row r="1499" ht="15.75" customHeight="1">
      <c r="A1499" s="258"/>
      <c r="B1499" s="258"/>
      <c r="C1499" s="269"/>
      <c r="D1499" s="258"/>
      <c r="E1499" s="258"/>
      <c r="F1499" s="258"/>
      <c r="G1499" s="258"/>
      <c r="H1499" s="271"/>
      <c r="I1499" s="258"/>
      <c r="J1499" s="272"/>
      <c r="K1499" s="260"/>
      <c r="L1499" s="261"/>
      <c r="M1499" s="262" t="str">
        <f t="shared" si="1"/>
        <v/>
      </c>
      <c r="N1499" s="263" t="str">
        <f t="shared" si="2"/>
        <v/>
      </c>
      <c r="O1499" s="264" t="str">
        <f t="shared" si="3"/>
        <v/>
      </c>
      <c r="P1499" s="265" t="str">
        <f>IFERROR(__xludf.DUMMYFUNCTION("IF(ISBLANK(A1499),"""",IFERROR(IF(H1499=""Sell"",VLOOKUP(9^99,FILTER({ROW(P$2:P1498),P$2:P1498},D$2:D1498=D1499),2),(VLOOKUP(9^99,FILTER({ROW(P$2:P1498),P$2:P1498},D$2:D1498=D1499),2)*VLOOKUP(9^99,FILTER({ROW(O$2:O1498),O$2:O1498},D$2:D1498=D1499),2)-N149"&amp;"9)/O1499),J1499))"),"")</f>
        <v/>
      </c>
      <c r="Q1499" s="264" t="str">
        <f>IFERROR(__xludf.DUMMYFUNCTION("IFERROR(IF(F1499=""Crypto"",B1499,(IF(ISBLANK(D1499),"""",IF(D1499=""Cash"",B1499,IF(GOOGLEFINANCE(D1499,""CURRENCY"")=""GBX"",""GBP"",GOOGLEFINANCE(D1499,""CURRENCY"")))))),B1499)"),"")</f>
        <v/>
      </c>
      <c r="R1499" s="263" t="str">
        <f>IFERROR(__xludf.DUMMYFUNCTION("IF(ISBLANK(A1499),"""",IFERROR(IF(OR(Q1499=""GPB"",Q1499=""ZAR""),IF(Q1499=Dashboard!$L$1,K1499,(K1499*GOOGLEFINANCE(""CURRENCY:""&amp;Q1499&amp;""""&amp;Dashboard!$L$1&amp;""""))/100),IF(Q1499=Dashboard!$L$1,K1499,K1499*GOOGLEFINANCE(""CURRENCY:""&amp;Q1499&amp;""""&amp;Dashboard!$"&amp;"L$1&amp;""""))),K1499))"),"")</f>
        <v/>
      </c>
      <c r="S1499" s="266" t="str">
        <f>IFERROR(__xludf.DUMMYFUNCTION("IF(ISBLANK(A1499),"""",IFERROR(IF(OR(Q1499=""GPB"",Q1499=""ZAR""),IF(Q1499=Dashboard!$L$1,M1499,(M1499*GOOGLEFINANCE(""CURRENCY:""&amp;Q1499&amp;""""&amp;Dashboard!$L$1&amp;""""))/100),IF(Q1499=Dashboard!$L$1,M1499,M1499*GOOGLEFINANCE(""CURRENCY:""&amp;Q1499&amp;""""&amp;Dashboard!$"&amp;"L$1&amp;""""))),M1499))"),"")</f>
        <v/>
      </c>
      <c r="T1499" s="264" t="str">
        <f t="shared" si="4"/>
        <v/>
      </c>
      <c r="U1499" s="264" t="str">
        <f t="shared" si="5"/>
        <v/>
      </c>
      <c r="V1499" s="264" t="str">
        <f t="shared" si="6"/>
        <v/>
      </c>
      <c r="W1499" s="267" t="str">
        <f t="shared" si="8"/>
        <v/>
      </c>
      <c r="X1499" s="264" t="str">
        <f t="shared" si="7"/>
        <v/>
      </c>
    </row>
    <row r="1500" ht="15.75" customHeight="1">
      <c r="A1500" s="258"/>
      <c r="B1500" s="258"/>
      <c r="C1500" s="269"/>
      <c r="D1500" s="258"/>
      <c r="E1500" s="258"/>
      <c r="F1500" s="258"/>
      <c r="G1500" s="258"/>
      <c r="H1500" s="271"/>
      <c r="I1500" s="258"/>
      <c r="J1500" s="272"/>
      <c r="K1500" s="260"/>
      <c r="L1500" s="261"/>
      <c r="M1500" s="262" t="str">
        <f t="shared" si="1"/>
        <v/>
      </c>
      <c r="N1500" s="263" t="str">
        <f t="shared" si="2"/>
        <v/>
      </c>
      <c r="O1500" s="264" t="str">
        <f t="shared" si="3"/>
        <v/>
      </c>
      <c r="P1500" s="265" t="str">
        <f>IFERROR(__xludf.DUMMYFUNCTION("IF(ISBLANK(A1500),"""",IFERROR(IF(H1500=""Sell"",VLOOKUP(9^99,FILTER({ROW(P$2:P1499),P$2:P1499},D$2:D1499=D1500),2),(VLOOKUP(9^99,FILTER({ROW(P$2:P1499),P$2:P1499},D$2:D1499=D1500),2)*VLOOKUP(9^99,FILTER({ROW(O$2:O1499),O$2:O1499},D$2:D1499=D1500),2)-N150"&amp;"0)/O1500),J1500))"),"")</f>
        <v/>
      </c>
      <c r="Q1500" s="264" t="str">
        <f>IFERROR(__xludf.DUMMYFUNCTION("IFERROR(IF(F1500=""Crypto"",B1500,(IF(ISBLANK(D1500),"""",IF(D1500=""Cash"",B1500,IF(GOOGLEFINANCE(D1500,""CURRENCY"")=""GBX"",""GBP"",GOOGLEFINANCE(D1500,""CURRENCY"")))))),B1500)"),"")</f>
        <v/>
      </c>
      <c r="R1500" s="263" t="str">
        <f>IFERROR(__xludf.DUMMYFUNCTION("IF(ISBLANK(A1500),"""",IFERROR(IF(OR(Q1500=""GPB"",Q1500=""ZAR""),IF(Q1500=Dashboard!$L$1,K1500,(K1500*GOOGLEFINANCE(""CURRENCY:""&amp;Q1500&amp;""""&amp;Dashboard!$L$1&amp;""""))/100),IF(Q1500=Dashboard!$L$1,K1500,K1500*GOOGLEFINANCE(""CURRENCY:""&amp;Q1500&amp;""""&amp;Dashboard!$"&amp;"L$1&amp;""""))),K1500))"),"")</f>
        <v/>
      </c>
      <c r="S1500" s="266" t="str">
        <f>IFERROR(__xludf.DUMMYFUNCTION("IF(ISBLANK(A1500),"""",IFERROR(IF(OR(Q1500=""GPB"",Q1500=""ZAR""),IF(Q1500=Dashboard!$L$1,M1500,(M1500*GOOGLEFINANCE(""CURRENCY:""&amp;Q1500&amp;""""&amp;Dashboard!$L$1&amp;""""))/100),IF(Q1500=Dashboard!$L$1,M1500,M1500*GOOGLEFINANCE(""CURRENCY:""&amp;Q1500&amp;""""&amp;Dashboard!$"&amp;"L$1&amp;""""))),M1500))"),"")</f>
        <v/>
      </c>
      <c r="T1500" s="264" t="str">
        <f t="shared" si="4"/>
        <v/>
      </c>
      <c r="U1500" s="264" t="str">
        <f t="shared" si="5"/>
        <v/>
      </c>
      <c r="V1500" s="264" t="str">
        <f t="shared" si="6"/>
        <v/>
      </c>
      <c r="W1500" s="267" t="str">
        <f t="shared" si="8"/>
        <v/>
      </c>
      <c r="X1500" s="264" t="str">
        <f t="shared" si="7"/>
        <v/>
      </c>
    </row>
    <row r="1501" ht="15.75" customHeight="1">
      <c r="A1501" s="258"/>
      <c r="B1501" s="258"/>
      <c r="C1501" s="269"/>
      <c r="D1501" s="258"/>
      <c r="E1501" s="258"/>
      <c r="F1501" s="258"/>
      <c r="G1501" s="258"/>
      <c r="H1501" s="271"/>
      <c r="I1501" s="258"/>
      <c r="J1501" s="272"/>
      <c r="K1501" s="260"/>
      <c r="L1501" s="261"/>
      <c r="M1501" s="262" t="str">
        <f t="shared" si="1"/>
        <v/>
      </c>
      <c r="N1501" s="263" t="str">
        <f t="shared" si="2"/>
        <v/>
      </c>
      <c r="O1501" s="264" t="str">
        <f t="shared" si="3"/>
        <v/>
      </c>
      <c r="P1501" s="265" t="str">
        <f>IFERROR(__xludf.DUMMYFUNCTION("IF(ISBLANK(A1501),"""",IFERROR(IF(H1501=""Sell"",VLOOKUP(9^99,FILTER({ROW(P$2:P1500),P$2:P1500},D$2:D1500=D1501),2),(VLOOKUP(9^99,FILTER({ROW(P$2:P1500),P$2:P1500},D$2:D1500=D1501),2)*VLOOKUP(9^99,FILTER({ROW(O$2:O1500),O$2:O1500},D$2:D1500=D1501),2)-N150"&amp;"1)/O1501),J1501))"),"")</f>
        <v/>
      </c>
      <c r="Q1501" s="264" t="str">
        <f>IFERROR(__xludf.DUMMYFUNCTION("IFERROR(IF(F1501=""Crypto"",B1501,(IF(ISBLANK(D1501),"""",IF(D1501=""Cash"",B1501,IF(GOOGLEFINANCE(D1501,""CURRENCY"")=""GBX"",""GBP"",GOOGLEFINANCE(D1501,""CURRENCY"")))))),B1501)"),"")</f>
        <v/>
      </c>
      <c r="R1501" s="263" t="str">
        <f>IFERROR(__xludf.DUMMYFUNCTION("IF(ISBLANK(A1501),"""",IFERROR(IF(OR(Q1501=""GPB"",Q1501=""ZAR""),IF(Q1501=Dashboard!$L$1,K1501,(K1501*GOOGLEFINANCE(""CURRENCY:""&amp;Q1501&amp;""""&amp;Dashboard!$L$1&amp;""""))/100),IF(Q1501=Dashboard!$L$1,K1501,K1501*GOOGLEFINANCE(""CURRENCY:""&amp;Q1501&amp;""""&amp;Dashboard!$"&amp;"L$1&amp;""""))),K1501))"),"")</f>
        <v/>
      </c>
      <c r="S1501" s="266" t="str">
        <f>IFERROR(__xludf.DUMMYFUNCTION("IF(ISBLANK(A1501),"""",IFERROR(IF(OR(Q1501=""GPB"",Q1501=""ZAR""),IF(Q1501=Dashboard!$L$1,M1501,(M1501*GOOGLEFINANCE(""CURRENCY:""&amp;Q1501&amp;""""&amp;Dashboard!$L$1&amp;""""))/100),IF(Q1501=Dashboard!$L$1,M1501,M1501*GOOGLEFINANCE(""CURRENCY:""&amp;Q1501&amp;""""&amp;Dashboard!$"&amp;"L$1&amp;""""))),M1501))"),"")</f>
        <v/>
      </c>
      <c r="T1501" s="264" t="str">
        <f t="shared" si="4"/>
        <v/>
      </c>
      <c r="U1501" s="264" t="str">
        <f t="shared" si="5"/>
        <v/>
      </c>
      <c r="V1501" s="264" t="str">
        <f t="shared" si="6"/>
        <v/>
      </c>
      <c r="W1501" s="267" t="str">
        <f t="shared" si="8"/>
        <v/>
      </c>
      <c r="X1501" s="264" t="str">
        <f t="shared" si="7"/>
        <v/>
      </c>
    </row>
    <row r="1502" ht="15.75" customHeight="1">
      <c r="A1502" s="258"/>
      <c r="B1502" s="258"/>
      <c r="C1502" s="269"/>
      <c r="D1502" s="258"/>
      <c r="E1502" s="258"/>
      <c r="F1502" s="258"/>
      <c r="G1502" s="258"/>
      <c r="H1502" s="271"/>
      <c r="I1502" s="258"/>
      <c r="J1502" s="272"/>
      <c r="K1502" s="260"/>
      <c r="L1502" s="261"/>
      <c r="M1502" s="262" t="str">
        <f t="shared" si="1"/>
        <v/>
      </c>
      <c r="N1502" s="263" t="str">
        <f t="shared" si="2"/>
        <v/>
      </c>
      <c r="O1502" s="264" t="str">
        <f t="shared" si="3"/>
        <v/>
      </c>
      <c r="P1502" s="265" t="str">
        <f>IFERROR(__xludf.DUMMYFUNCTION("IF(ISBLANK(A1502),"""",IFERROR(IF(H1502=""Sell"",VLOOKUP(9^99,FILTER({ROW(P$2:P1501),P$2:P1501},D$2:D1501=D1502),2),(VLOOKUP(9^99,FILTER({ROW(P$2:P1501),P$2:P1501},D$2:D1501=D1502),2)*VLOOKUP(9^99,FILTER({ROW(O$2:O1501),O$2:O1501},D$2:D1501=D1502),2)-N150"&amp;"2)/O1502),J1502))"),"")</f>
        <v/>
      </c>
      <c r="Q1502" s="264" t="str">
        <f>IFERROR(__xludf.DUMMYFUNCTION("IFERROR(IF(F1502=""Crypto"",B1502,(IF(ISBLANK(D1502),"""",IF(D1502=""Cash"",B1502,IF(GOOGLEFINANCE(D1502,""CURRENCY"")=""GBX"",""GBP"",GOOGLEFINANCE(D1502,""CURRENCY"")))))),B1502)"),"")</f>
        <v/>
      </c>
      <c r="R1502" s="263" t="str">
        <f>IFERROR(__xludf.DUMMYFUNCTION("IF(ISBLANK(A1502),"""",IFERROR(IF(OR(Q1502=""GPB"",Q1502=""ZAR""),IF(Q1502=Dashboard!$L$1,K1502,(K1502*GOOGLEFINANCE(""CURRENCY:""&amp;Q1502&amp;""""&amp;Dashboard!$L$1&amp;""""))/100),IF(Q1502=Dashboard!$L$1,K1502,K1502*GOOGLEFINANCE(""CURRENCY:""&amp;Q1502&amp;""""&amp;Dashboard!$"&amp;"L$1&amp;""""))),K1502))"),"")</f>
        <v/>
      </c>
      <c r="S1502" s="266" t="str">
        <f>IFERROR(__xludf.DUMMYFUNCTION("IF(ISBLANK(A1502),"""",IFERROR(IF(OR(Q1502=""GPB"",Q1502=""ZAR""),IF(Q1502=Dashboard!$L$1,M1502,(M1502*GOOGLEFINANCE(""CURRENCY:""&amp;Q1502&amp;""""&amp;Dashboard!$L$1&amp;""""))/100),IF(Q1502=Dashboard!$L$1,M1502,M1502*GOOGLEFINANCE(""CURRENCY:""&amp;Q1502&amp;""""&amp;Dashboard!$"&amp;"L$1&amp;""""))),M1502))"),"")</f>
        <v/>
      </c>
      <c r="T1502" s="264" t="str">
        <f t="shared" si="4"/>
        <v/>
      </c>
      <c r="U1502" s="264" t="str">
        <f t="shared" si="5"/>
        <v/>
      </c>
      <c r="V1502" s="264" t="str">
        <f t="shared" si="6"/>
        <v/>
      </c>
      <c r="W1502" s="267" t="str">
        <f t="shared" si="8"/>
        <v/>
      </c>
      <c r="X1502" s="264" t="str">
        <f t="shared" si="7"/>
        <v/>
      </c>
    </row>
    <row r="1503" ht="15.75" customHeight="1">
      <c r="A1503" s="258"/>
      <c r="B1503" s="258"/>
      <c r="C1503" s="269"/>
      <c r="D1503" s="258"/>
      <c r="E1503" s="258"/>
      <c r="F1503" s="258"/>
      <c r="G1503" s="258"/>
      <c r="H1503" s="271"/>
      <c r="I1503" s="258"/>
      <c r="J1503" s="272"/>
      <c r="K1503" s="260"/>
      <c r="L1503" s="261"/>
      <c r="M1503" s="262" t="str">
        <f t="shared" si="1"/>
        <v/>
      </c>
      <c r="N1503" s="263" t="str">
        <f t="shared" si="2"/>
        <v/>
      </c>
      <c r="O1503" s="264" t="str">
        <f t="shared" si="3"/>
        <v/>
      </c>
      <c r="P1503" s="265" t="str">
        <f>IFERROR(__xludf.DUMMYFUNCTION("IF(ISBLANK(A1503),"""",IFERROR(IF(H1503=""Sell"",VLOOKUP(9^99,FILTER({ROW(P$2:P1502),P$2:P1502},D$2:D1502=D1503),2),(VLOOKUP(9^99,FILTER({ROW(P$2:P1502),P$2:P1502},D$2:D1502=D1503),2)*VLOOKUP(9^99,FILTER({ROW(O$2:O1502),O$2:O1502},D$2:D1502=D1503),2)-N150"&amp;"3)/O1503),J1503))"),"")</f>
        <v/>
      </c>
      <c r="Q1503" s="264" t="str">
        <f>IFERROR(__xludf.DUMMYFUNCTION("IFERROR(IF(F1503=""Crypto"",B1503,(IF(ISBLANK(D1503),"""",IF(D1503=""Cash"",B1503,IF(GOOGLEFINANCE(D1503,""CURRENCY"")=""GBX"",""GBP"",GOOGLEFINANCE(D1503,""CURRENCY"")))))),B1503)"),"")</f>
        <v/>
      </c>
      <c r="R1503" s="263" t="str">
        <f>IFERROR(__xludf.DUMMYFUNCTION("IF(ISBLANK(A1503),"""",IFERROR(IF(OR(Q1503=""GPB"",Q1503=""ZAR""),IF(Q1503=Dashboard!$L$1,K1503,(K1503*GOOGLEFINANCE(""CURRENCY:""&amp;Q1503&amp;""""&amp;Dashboard!$L$1&amp;""""))/100),IF(Q1503=Dashboard!$L$1,K1503,K1503*GOOGLEFINANCE(""CURRENCY:""&amp;Q1503&amp;""""&amp;Dashboard!$"&amp;"L$1&amp;""""))),K1503))"),"")</f>
        <v/>
      </c>
      <c r="S1503" s="266" t="str">
        <f>IFERROR(__xludf.DUMMYFUNCTION("IF(ISBLANK(A1503),"""",IFERROR(IF(OR(Q1503=""GPB"",Q1503=""ZAR""),IF(Q1503=Dashboard!$L$1,M1503,(M1503*GOOGLEFINANCE(""CURRENCY:""&amp;Q1503&amp;""""&amp;Dashboard!$L$1&amp;""""))/100),IF(Q1503=Dashboard!$L$1,M1503,M1503*GOOGLEFINANCE(""CURRENCY:""&amp;Q1503&amp;""""&amp;Dashboard!$"&amp;"L$1&amp;""""))),M1503))"),"")</f>
        <v/>
      </c>
      <c r="T1503" s="264" t="str">
        <f t="shared" si="4"/>
        <v/>
      </c>
      <c r="U1503" s="264" t="str">
        <f t="shared" si="5"/>
        <v/>
      </c>
      <c r="V1503" s="264" t="str">
        <f t="shared" si="6"/>
        <v/>
      </c>
      <c r="W1503" s="267" t="str">
        <f t="shared" si="8"/>
        <v/>
      </c>
      <c r="X1503" s="264" t="str">
        <f t="shared" si="7"/>
        <v/>
      </c>
    </row>
    <row r="1504" ht="15.75" customHeight="1">
      <c r="A1504" s="258"/>
      <c r="B1504" s="258"/>
      <c r="C1504" s="269"/>
      <c r="D1504" s="258"/>
      <c r="E1504" s="258"/>
      <c r="F1504" s="258"/>
      <c r="G1504" s="258"/>
      <c r="H1504" s="271"/>
      <c r="I1504" s="258"/>
      <c r="J1504" s="272"/>
      <c r="K1504" s="260"/>
      <c r="L1504" s="261"/>
      <c r="M1504" s="262" t="str">
        <f t="shared" si="1"/>
        <v/>
      </c>
      <c r="N1504" s="263" t="str">
        <f t="shared" si="2"/>
        <v/>
      </c>
      <c r="O1504" s="264" t="str">
        <f t="shared" si="3"/>
        <v/>
      </c>
      <c r="P1504" s="265" t="str">
        <f>IFERROR(__xludf.DUMMYFUNCTION("IF(ISBLANK(A1504),"""",IFERROR(IF(H1504=""Sell"",VLOOKUP(9^99,FILTER({ROW(P$2:P1503),P$2:P1503},D$2:D1503=D1504),2),(VLOOKUP(9^99,FILTER({ROW(P$2:P1503),P$2:P1503},D$2:D1503=D1504),2)*VLOOKUP(9^99,FILTER({ROW(O$2:O1503),O$2:O1503},D$2:D1503=D1504),2)-N150"&amp;"4)/O1504),J1504))"),"")</f>
        <v/>
      </c>
      <c r="Q1504" s="264" t="str">
        <f>IFERROR(__xludf.DUMMYFUNCTION("IFERROR(IF(F1504=""Crypto"",B1504,(IF(ISBLANK(D1504),"""",IF(D1504=""Cash"",B1504,IF(GOOGLEFINANCE(D1504,""CURRENCY"")=""GBX"",""GBP"",GOOGLEFINANCE(D1504,""CURRENCY"")))))),B1504)"),"")</f>
        <v/>
      </c>
      <c r="R1504" s="263" t="str">
        <f>IFERROR(__xludf.DUMMYFUNCTION("IF(ISBLANK(A1504),"""",IFERROR(IF(OR(Q1504=""GPB"",Q1504=""ZAR""),IF(Q1504=Dashboard!$L$1,K1504,(K1504*GOOGLEFINANCE(""CURRENCY:""&amp;Q1504&amp;""""&amp;Dashboard!$L$1&amp;""""))/100),IF(Q1504=Dashboard!$L$1,K1504,K1504*GOOGLEFINANCE(""CURRENCY:""&amp;Q1504&amp;""""&amp;Dashboard!$"&amp;"L$1&amp;""""))),K1504))"),"")</f>
        <v/>
      </c>
      <c r="S1504" s="266" t="str">
        <f>IFERROR(__xludf.DUMMYFUNCTION("IF(ISBLANK(A1504),"""",IFERROR(IF(OR(Q1504=""GPB"",Q1504=""ZAR""),IF(Q1504=Dashboard!$L$1,M1504,(M1504*GOOGLEFINANCE(""CURRENCY:""&amp;Q1504&amp;""""&amp;Dashboard!$L$1&amp;""""))/100),IF(Q1504=Dashboard!$L$1,M1504,M1504*GOOGLEFINANCE(""CURRENCY:""&amp;Q1504&amp;""""&amp;Dashboard!$"&amp;"L$1&amp;""""))),M1504))"),"")</f>
        <v/>
      </c>
      <c r="T1504" s="264" t="str">
        <f t="shared" si="4"/>
        <v/>
      </c>
      <c r="U1504" s="264" t="str">
        <f t="shared" si="5"/>
        <v/>
      </c>
      <c r="V1504" s="264" t="str">
        <f t="shared" si="6"/>
        <v/>
      </c>
      <c r="W1504" s="267" t="str">
        <f t="shared" si="8"/>
        <v/>
      </c>
      <c r="X1504" s="264" t="str">
        <f t="shared" si="7"/>
        <v/>
      </c>
    </row>
    <row r="1505" ht="15.75" customHeight="1">
      <c r="A1505" s="258"/>
      <c r="B1505" s="258"/>
      <c r="C1505" s="269"/>
      <c r="D1505" s="258"/>
      <c r="E1505" s="258"/>
      <c r="F1505" s="258"/>
      <c r="G1505" s="258"/>
      <c r="H1505" s="271"/>
      <c r="I1505" s="258"/>
      <c r="J1505" s="272"/>
      <c r="K1505" s="260"/>
      <c r="L1505" s="261"/>
      <c r="M1505" s="262" t="str">
        <f t="shared" si="1"/>
        <v/>
      </c>
      <c r="N1505" s="263" t="str">
        <f t="shared" si="2"/>
        <v/>
      </c>
      <c r="O1505" s="264" t="str">
        <f t="shared" si="3"/>
        <v/>
      </c>
      <c r="P1505" s="265" t="str">
        <f>IFERROR(__xludf.DUMMYFUNCTION("IF(ISBLANK(A1505),"""",IFERROR(IF(H1505=""Sell"",VLOOKUP(9^99,FILTER({ROW(P$2:P1504),P$2:P1504},D$2:D1504=D1505),2),(VLOOKUP(9^99,FILTER({ROW(P$2:P1504),P$2:P1504},D$2:D1504=D1505),2)*VLOOKUP(9^99,FILTER({ROW(O$2:O1504),O$2:O1504},D$2:D1504=D1505),2)-N150"&amp;"5)/O1505),J1505))"),"")</f>
        <v/>
      </c>
      <c r="Q1505" s="264" t="str">
        <f>IFERROR(__xludf.DUMMYFUNCTION("IFERROR(IF(F1505=""Crypto"",B1505,(IF(ISBLANK(D1505),"""",IF(D1505=""Cash"",B1505,IF(GOOGLEFINANCE(D1505,""CURRENCY"")=""GBX"",""GBP"",GOOGLEFINANCE(D1505,""CURRENCY"")))))),B1505)"),"")</f>
        <v/>
      </c>
      <c r="R1505" s="263" t="str">
        <f>IFERROR(__xludf.DUMMYFUNCTION("IF(ISBLANK(A1505),"""",IFERROR(IF(OR(Q1505=""GPB"",Q1505=""ZAR""),IF(Q1505=Dashboard!$L$1,K1505,(K1505*GOOGLEFINANCE(""CURRENCY:""&amp;Q1505&amp;""""&amp;Dashboard!$L$1&amp;""""))/100),IF(Q1505=Dashboard!$L$1,K1505,K1505*GOOGLEFINANCE(""CURRENCY:""&amp;Q1505&amp;""""&amp;Dashboard!$"&amp;"L$1&amp;""""))),K1505))"),"")</f>
        <v/>
      </c>
      <c r="S1505" s="266" t="str">
        <f>IFERROR(__xludf.DUMMYFUNCTION("IF(ISBLANK(A1505),"""",IFERROR(IF(OR(Q1505=""GPB"",Q1505=""ZAR""),IF(Q1505=Dashboard!$L$1,M1505,(M1505*GOOGLEFINANCE(""CURRENCY:""&amp;Q1505&amp;""""&amp;Dashboard!$L$1&amp;""""))/100),IF(Q1505=Dashboard!$L$1,M1505,M1505*GOOGLEFINANCE(""CURRENCY:""&amp;Q1505&amp;""""&amp;Dashboard!$"&amp;"L$1&amp;""""))),M1505))"),"")</f>
        <v/>
      </c>
      <c r="T1505" s="264" t="str">
        <f t="shared" si="4"/>
        <v/>
      </c>
      <c r="U1505" s="264" t="str">
        <f t="shared" si="5"/>
        <v/>
      </c>
      <c r="V1505" s="264" t="str">
        <f t="shared" si="6"/>
        <v/>
      </c>
      <c r="W1505" s="267" t="str">
        <f t="shared" si="8"/>
        <v/>
      </c>
      <c r="X1505" s="264" t="str">
        <f t="shared" si="7"/>
        <v/>
      </c>
    </row>
    <row r="1506" ht="15.75" customHeight="1">
      <c r="A1506" s="258"/>
      <c r="B1506" s="258"/>
      <c r="C1506" s="269"/>
      <c r="D1506" s="258"/>
      <c r="E1506" s="258"/>
      <c r="F1506" s="258"/>
      <c r="G1506" s="258"/>
      <c r="H1506" s="271"/>
      <c r="I1506" s="258"/>
      <c r="J1506" s="272"/>
      <c r="K1506" s="260"/>
      <c r="L1506" s="261"/>
      <c r="M1506" s="262" t="str">
        <f t="shared" si="1"/>
        <v/>
      </c>
      <c r="N1506" s="263" t="str">
        <f t="shared" si="2"/>
        <v/>
      </c>
      <c r="O1506" s="264" t="str">
        <f t="shared" si="3"/>
        <v/>
      </c>
      <c r="P1506" s="265" t="str">
        <f>IFERROR(__xludf.DUMMYFUNCTION("IF(ISBLANK(A1506),"""",IFERROR(IF(H1506=""Sell"",VLOOKUP(9^99,FILTER({ROW(P$2:P1505),P$2:P1505},D$2:D1505=D1506),2),(VLOOKUP(9^99,FILTER({ROW(P$2:P1505),P$2:P1505},D$2:D1505=D1506),2)*VLOOKUP(9^99,FILTER({ROW(O$2:O1505),O$2:O1505},D$2:D1505=D1506),2)-N150"&amp;"6)/O1506),J1506))"),"")</f>
        <v/>
      </c>
      <c r="Q1506" s="264" t="str">
        <f>IFERROR(__xludf.DUMMYFUNCTION("IFERROR(IF(F1506=""Crypto"",B1506,(IF(ISBLANK(D1506),"""",IF(D1506=""Cash"",B1506,IF(GOOGLEFINANCE(D1506,""CURRENCY"")=""GBX"",""GBP"",GOOGLEFINANCE(D1506,""CURRENCY"")))))),B1506)"),"")</f>
        <v/>
      </c>
      <c r="R1506" s="263" t="str">
        <f>IFERROR(__xludf.DUMMYFUNCTION("IF(ISBLANK(A1506),"""",IFERROR(IF(OR(Q1506=""GPB"",Q1506=""ZAR""),IF(Q1506=Dashboard!$L$1,K1506,(K1506*GOOGLEFINANCE(""CURRENCY:""&amp;Q1506&amp;""""&amp;Dashboard!$L$1&amp;""""))/100),IF(Q1506=Dashboard!$L$1,K1506,K1506*GOOGLEFINANCE(""CURRENCY:""&amp;Q1506&amp;""""&amp;Dashboard!$"&amp;"L$1&amp;""""))),K1506))"),"")</f>
        <v/>
      </c>
      <c r="S1506" s="266" t="str">
        <f>IFERROR(__xludf.DUMMYFUNCTION("IF(ISBLANK(A1506),"""",IFERROR(IF(OR(Q1506=""GPB"",Q1506=""ZAR""),IF(Q1506=Dashboard!$L$1,M1506,(M1506*GOOGLEFINANCE(""CURRENCY:""&amp;Q1506&amp;""""&amp;Dashboard!$L$1&amp;""""))/100),IF(Q1506=Dashboard!$L$1,M1506,M1506*GOOGLEFINANCE(""CURRENCY:""&amp;Q1506&amp;""""&amp;Dashboard!$"&amp;"L$1&amp;""""))),M1506))"),"")</f>
        <v/>
      </c>
      <c r="T1506" s="264" t="str">
        <f t="shared" si="4"/>
        <v/>
      </c>
      <c r="U1506" s="264" t="str">
        <f t="shared" si="5"/>
        <v/>
      </c>
      <c r="V1506" s="264" t="str">
        <f t="shared" si="6"/>
        <v/>
      </c>
      <c r="W1506" s="267" t="str">
        <f t="shared" si="8"/>
        <v/>
      </c>
      <c r="X1506" s="264" t="str">
        <f t="shared" si="7"/>
        <v/>
      </c>
    </row>
    <row r="1507" ht="15.75" customHeight="1">
      <c r="A1507" s="258"/>
      <c r="B1507" s="258"/>
      <c r="C1507" s="269"/>
      <c r="D1507" s="258"/>
      <c r="E1507" s="258"/>
      <c r="F1507" s="258"/>
      <c r="G1507" s="258"/>
      <c r="H1507" s="271"/>
      <c r="I1507" s="258"/>
      <c r="J1507" s="272"/>
      <c r="K1507" s="260"/>
      <c r="L1507" s="261"/>
      <c r="M1507" s="262" t="str">
        <f t="shared" si="1"/>
        <v/>
      </c>
      <c r="N1507" s="263" t="str">
        <f t="shared" si="2"/>
        <v/>
      </c>
      <c r="O1507" s="264" t="str">
        <f t="shared" si="3"/>
        <v/>
      </c>
      <c r="P1507" s="265" t="str">
        <f>IFERROR(__xludf.DUMMYFUNCTION("IF(ISBLANK(A1507),"""",IFERROR(IF(H1507=""Sell"",VLOOKUP(9^99,FILTER({ROW(P$2:P1506),P$2:P1506},D$2:D1506=D1507),2),(VLOOKUP(9^99,FILTER({ROW(P$2:P1506),P$2:P1506},D$2:D1506=D1507),2)*VLOOKUP(9^99,FILTER({ROW(O$2:O1506),O$2:O1506},D$2:D1506=D1507),2)-N150"&amp;"7)/O1507),J1507))"),"")</f>
        <v/>
      </c>
      <c r="Q1507" s="264" t="str">
        <f>IFERROR(__xludf.DUMMYFUNCTION("IFERROR(IF(F1507=""Crypto"",B1507,(IF(ISBLANK(D1507),"""",IF(D1507=""Cash"",B1507,IF(GOOGLEFINANCE(D1507,""CURRENCY"")=""GBX"",""GBP"",GOOGLEFINANCE(D1507,""CURRENCY"")))))),B1507)"),"")</f>
        <v/>
      </c>
      <c r="R1507" s="263" t="str">
        <f>IFERROR(__xludf.DUMMYFUNCTION("IF(ISBLANK(A1507),"""",IFERROR(IF(OR(Q1507=""GPB"",Q1507=""ZAR""),IF(Q1507=Dashboard!$L$1,K1507,(K1507*GOOGLEFINANCE(""CURRENCY:""&amp;Q1507&amp;""""&amp;Dashboard!$L$1&amp;""""))/100),IF(Q1507=Dashboard!$L$1,K1507,K1507*GOOGLEFINANCE(""CURRENCY:""&amp;Q1507&amp;""""&amp;Dashboard!$"&amp;"L$1&amp;""""))),K1507))"),"")</f>
        <v/>
      </c>
      <c r="S1507" s="266" t="str">
        <f>IFERROR(__xludf.DUMMYFUNCTION("IF(ISBLANK(A1507),"""",IFERROR(IF(OR(Q1507=""GPB"",Q1507=""ZAR""),IF(Q1507=Dashboard!$L$1,M1507,(M1507*GOOGLEFINANCE(""CURRENCY:""&amp;Q1507&amp;""""&amp;Dashboard!$L$1&amp;""""))/100),IF(Q1507=Dashboard!$L$1,M1507,M1507*GOOGLEFINANCE(""CURRENCY:""&amp;Q1507&amp;""""&amp;Dashboard!$"&amp;"L$1&amp;""""))),M1507))"),"")</f>
        <v/>
      </c>
      <c r="T1507" s="264" t="str">
        <f t="shared" si="4"/>
        <v/>
      </c>
      <c r="U1507" s="264" t="str">
        <f t="shared" si="5"/>
        <v/>
      </c>
      <c r="V1507" s="264" t="str">
        <f t="shared" si="6"/>
        <v/>
      </c>
      <c r="W1507" s="267" t="str">
        <f t="shared" si="8"/>
        <v/>
      </c>
      <c r="X1507" s="264" t="str">
        <f t="shared" si="7"/>
        <v/>
      </c>
    </row>
    <row r="1508" ht="15.75" customHeight="1">
      <c r="A1508" s="258"/>
      <c r="B1508" s="258"/>
      <c r="C1508" s="269"/>
      <c r="D1508" s="258"/>
      <c r="E1508" s="258"/>
      <c r="F1508" s="258"/>
      <c r="G1508" s="258"/>
      <c r="H1508" s="271"/>
      <c r="I1508" s="258"/>
      <c r="J1508" s="272"/>
      <c r="K1508" s="260"/>
      <c r="L1508" s="261"/>
      <c r="M1508" s="262" t="str">
        <f t="shared" si="1"/>
        <v/>
      </c>
      <c r="N1508" s="263" t="str">
        <f t="shared" si="2"/>
        <v/>
      </c>
      <c r="O1508" s="264" t="str">
        <f t="shared" si="3"/>
        <v/>
      </c>
      <c r="P1508" s="265" t="str">
        <f>IFERROR(__xludf.DUMMYFUNCTION("IF(ISBLANK(A1508),"""",IFERROR(IF(H1508=""Sell"",VLOOKUP(9^99,FILTER({ROW(P$2:P1507),P$2:P1507},D$2:D1507=D1508),2),(VLOOKUP(9^99,FILTER({ROW(P$2:P1507),P$2:P1507},D$2:D1507=D1508),2)*VLOOKUP(9^99,FILTER({ROW(O$2:O1507),O$2:O1507},D$2:D1507=D1508),2)-N150"&amp;"8)/O1508),J1508))"),"")</f>
        <v/>
      </c>
      <c r="Q1508" s="264" t="str">
        <f>IFERROR(__xludf.DUMMYFUNCTION("IFERROR(IF(F1508=""Crypto"",B1508,(IF(ISBLANK(D1508),"""",IF(D1508=""Cash"",B1508,IF(GOOGLEFINANCE(D1508,""CURRENCY"")=""GBX"",""GBP"",GOOGLEFINANCE(D1508,""CURRENCY"")))))),B1508)"),"")</f>
        <v/>
      </c>
      <c r="R1508" s="263" t="str">
        <f>IFERROR(__xludf.DUMMYFUNCTION("IF(ISBLANK(A1508),"""",IFERROR(IF(OR(Q1508=""GPB"",Q1508=""ZAR""),IF(Q1508=Dashboard!$L$1,K1508,(K1508*GOOGLEFINANCE(""CURRENCY:""&amp;Q1508&amp;""""&amp;Dashboard!$L$1&amp;""""))/100),IF(Q1508=Dashboard!$L$1,K1508,K1508*GOOGLEFINANCE(""CURRENCY:""&amp;Q1508&amp;""""&amp;Dashboard!$"&amp;"L$1&amp;""""))),K1508))"),"")</f>
        <v/>
      </c>
      <c r="S1508" s="266" t="str">
        <f>IFERROR(__xludf.DUMMYFUNCTION("IF(ISBLANK(A1508),"""",IFERROR(IF(OR(Q1508=""GPB"",Q1508=""ZAR""),IF(Q1508=Dashboard!$L$1,M1508,(M1508*GOOGLEFINANCE(""CURRENCY:""&amp;Q1508&amp;""""&amp;Dashboard!$L$1&amp;""""))/100),IF(Q1508=Dashboard!$L$1,M1508,M1508*GOOGLEFINANCE(""CURRENCY:""&amp;Q1508&amp;""""&amp;Dashboard!$"&amp;"L$1&amp;""""))),M1508))"),"")</f>
        <v/>
      </c>
      <c r="T1508" s="264" t="str">
        <f t="shared" si="4"/>
        <v/>
      </c>
      <c r="U1508" s="264" t="str">
        <f t="shared" si="5"/>
        <v/>
      </c>
      <c r="V1508" s="264" t="str">
        <f t="shared" si="6"/>
        <v/>
      </c>
      <c r="W1508" s="267" t="str">
        <f t="shared" si="8"/>
        <v/>
      </c>
      <c r="X1508" s="264" t="str">
        <f t="shared" si="7"/>
        <v/>
      </c>
    </row>
    <row r="1509" ht="15.75" customHeight="1">
      <c r="A1509" s="258"/>
      <c r="B1509" s="258"/>
      <c r="C1509" s="269"/>
      <c r="D1509" s="258"/>
      <c r="E1509" s="258"/>
      <c r="F1509" s="258"/>
      <c r="G1509" s="258"/>
      <c r="H1509" s="271"/>
      <c r="I1509" s="258"/>
      <c r="J1509" s="272"/>
      <c r="K1509" s="260"/>
      <c r="L1509" s="261"/>
      <c r="M1509" s="262" t="str">
        <f t="shared" si="1"/>
        <v/>
      </c>
      <c r="N1509" s="263" t="str">
        <f t="shared" si="2"/>
        <v/>
      </c>
      <c r="O1509" s="264" t="str">
        <f t="shared" si="3"/>
        <v/>
      </c>
      <c r="P1509" s="265" t="str">
        <f>IFERROR(__xludf.DUMMYFUNCTION("IF(ISBLANK(A1509),"""",IFERROR(IF(H1509=""Sell"",VLOOKUP(9^99,FILTER({ROW(P$2:P1508),P$2:P1508},D$2:D1508=D1509),2),(VLOOKUP(9^99,FILTER({ROW(P$2:P1508),P$2:P1508},D$2:D1508=D1509),2)*VLOOKUP(9^99,FILTER({ROW(O$2:O1508),O$2:O1508},D$2:D1508=D1509),2)-N150"&amp;"9)/O1509),J1509))"),"")</f>
        <v/>
      </c>
      <c r="Q1509" s="264" t="str">
        <f>IFERROR(__xludf.DUMMYFUNCTION("IFERROR(IF(F1509=""Crypto"",B1509,(IF(ISBLANK(D1509),"""",IF(D1509=""Cash"",B1509,IF(GOOGLEFINANCE(D1509,""CURRENCY"")=""GBX"",""GBP"",GOOGLEFINANCE(D1509,""CURRENCY"")))))),B1509)"),"")</f>
        <v/>
      </c>
      <c r="R1509" s="263" t="str">
        <f>IFERROR(__xludf.DUMMYFUNCTION("IF(ISBLANK(A1509),"""",IFERROR(IF(OR(Q1509=""GPB"",Q1509=""ZAR""),IF(Q1509=Dashboard!$L$1,K1509,(K1509*GOOGLEFINANCE(""CURRENCY:""&amp;Q1509&amp;""""&amp;Dashboard!$L$1&amp;""""))/100),IF(Q1509=Dashboard!$L$1,K1509,K1509*GOOGLEFINANCE(""CURRENCY:""&amp;Q1509&amp;""""&amp;Dashboard!$"&amp;"L$1&amp;""""))),K1509))"),"")</f>
        <v/>
      </c>
      <c r="S1509" s="266" t="str">
        <f>IFERROR(__xludf.DUMMYFUNCTION("IF(ISBLANK(A1509),"""",IFERROR(IF(OR(Q1509=""GPB"",Q1509=""ZAR""),IF(Q1509=Dashboard!$L$1,M1509,(M1509*GOOGLEFINANCE(""CURRENCY:""&amp;Q1509&amp;""""&amp;Dashboard!$L$1&amp;""""))/100),IF(Q1509=Dashboard!$L$1,M1509,M1509*GOOGLEFINANCE(""CURRENCY:""&amp;Q1509&amp;""""&amp;Dashboard!$"&amp;"L$1&amp;""""))),M1509))"),"")</f>
        <v/>
      </c>
      <c r="T1509" s="264" t="str">
        <f t="shared" si="4"/>
        <v/>
      </c>
      <c r="U1509" s="264" t="str">
        <f t="shared" si="5"/>
        <v/>
      </c>
      <c r="V1509" s="264" t="str">
        <f t="shared" si="6"/>
        <v/>
      </c>
      <c r="W1509" s="267" t="str">
        <f t="shared" si="8"/>
        <v/>
      </c>
      <c r="X1509" s="264" t="str">
        <f t="shared" si="7"/>
        <v/>
      </c>
    </row>
    <row r="1510" ht="15.75" customHeight="1">
      <c r="A1510" s="258"/>
      <c r="B1510" s="258"/>
      <c r="C1510" s="269"/>
      <c r="D1510" s="258"/>
      <c r="E1510" s="258"/>
      <c r="F1510" s="258"/>
      <c r="G1510" s="258"/>
      <c r="H1510" s="271"/>
      <c r="I1510" s="258"/>
      <c r="J1510" s="272"/>
      <c r="K1510" s="260"/>
      <c r="L1510" s="261"/>
      <c r="M1510" s="262" t="str">
        <f t="shared" si="1"/>
        <v/>
      </c>
      <c r="N1510" s="263" t="str">
        <f t="shared" si="2"/>
        <v/>
      </c>
      <c r="O1510" s="264" t="str">
        <f t="shared" si="3"/>
        <v/>
      </c>
      <c r="P1510" s="265" t="str">
        <f>IFERROR(__xludf.DUMMYFUNCTION("IF(ISBLANK(A1510),"""",IFERROR(IF(H1510=""Sell"",VLOOKUP(9^99,FILTER({ROW(P$2:P1509),P$2:P1509},D$2:D1509=D1510),2),(VLOOKUP(9^99,FILTER({ROW(P$2:P1509),P$2:P1509},D$2:D1509=D1510),2)*VLOOKUP(9^99,FILTER({ROW(O$2:O1509),O$2:O1509},D$2:D1509=D1510),2)-N151"&amp;"0)/O1510),J1510))"),"")</f>
        <v/>
      </c>
      <c r="Q1510" s="264" t="str">
        <f>IFERROR(__xludf.DUMMYFUNCTION("IFERROR(IF(F1510=""Crypto"",B1510,(IF(ISBLANK(D1510),"""",IF(D1510=""Cash"",B1510,IF(GOOGLEFINANCE(D1510,""CURRENCY"")=""GBX"",""GBP"",GOOGLEFINANCE(D1510,""CURRENCY"")))))),B1510)"),"")</f>
        <v/>
      </c>
      <c r="R1510" s="263" t="str">
        <f>IFERROR(__xludf.DUMMYFUNCTION("IF(ISBLANK(A1510),"""",IFERROR(IF(OR(Q1510=""GPB"",Q1510=""ZAR""),IF(Q1510=Dashboard!$L$1,K1510,(K1510*GOOGLEFINANCE(""CURRENCY:""&amp;Q1510&amp;""""&amp;Dashboard!$L$1&amp;""""))/100),IF(Q1510=Dashboard!$L$1,K1510,K1510*GOOGLEFINANCE(""CURRENCY:""&amp;Q1510&amp;""""&amp;Dashboard!$"&amp;"L$1&amp;""""))),K1510))"),"")</f>
        <v/>
      </c>
      <c r="S1510" s="266" t="str">
        <f>IFERROR(__xludf.DUMMYFUNCTION("IF(ISBLANK(A1510),"""",IFERROR(IF(OR(Q1510=""GPB"",Q1510=""ZAR""),IF(Q1510=Dashboard!$L$1,M1510,(M1510*GOOGLEFINANCE(""CURRENCY:""&amp;Q1510&amp;""""&amp;Dashboard!$L$1&amp;""""))/100),IF(Q1510=Dashboard!$L$1,M1510,M1510*GOOGLEFINANCE(""CURRENCY:""&amp;Q1510&amp;""""&amp;Dashboard!$"&amp;"L$1&amp;""""))),M1510))"),"")</f>
        <v/>
      </c>
      <c r="T1510" s="264" t="str">
        <f t="shared" si="4"/>
        <v/>
      </c>
      <c r="U1510" s="264" t="str">
        <f t="shared" si="5"/>
        <v/>
      </c>
      <c r="V1510" s="264" t="str">
        <f t="shared" si="6"/>
        <v/>
      </c>
      <c r="W1510" s="267" t="str">
        <f t="shared" si="8"/>
        <v/>
      </c>
      <c r="X1510" s="264" t="str">
        <f t="shared" si="7"/>
        <v/>
      </c>
    </row>
    <row r="1511" ht="15.75" customHeight="1">
      <c r="A1511" s="258"/>
      <c r="B1511" s="258"/>
      <c r="C1511" s="269"/>
      <c r="D1511" s="258"/>
      <c r="E1511" s="258"/>
      <c r="F1511" s="258"/>
      <c r="G1511" s="258"/>
      <c r="H1511" s="271"/>
      <c r="I1511" s="258"/>
      <c r="J1511" s="272"/>
      <c r="K1511" s="260"/>
      <c r="L1511" s="261"/>
      <c r="M1511" s="262" t="str">
        <f t="shared" si="1"/>
        <v/>
      </c>
      <c r="N1511" s="263" t="str">
        <f t="shared" si="2"/>
        <v/>
      </c>
      <c r="O1511" s="264" t="str">
        <f t="shared" si="3"/>
        <v/>
      </c>
      <c r="P1511" s="265" t="str">
        <f>IFERROR(__xludf.DUMMYFUNCTION("IF(ISBLANK(A1511),"""",IFERROR(IF(H1511=""Sell"",VLOOKUP(9^99,FILTER({ROW(P$2:P1510),P$2:P1510},D$2:D1510=D1511),2),(VLOOKUP(9^99,FILTER({ROW(P$2:P1510),P$2:P1510},D$2:D1510=D1511),2)*VLOOKUP(9^99,FILTER({ROW(O$2:O1510),O$2:O1510},D$2:D1510=D1511),2)-N151"&amp;"1)/O1511),J1511))"),"")</f>
        <v/>
      </c>
      <c r="Q1511" s="264" t="str">
        <f>IFERROR(__xludf.DUMMYFUNCTION("IFERROR(IF(F1511=""Crypto"",B1511,(IF(ISBLANK(D1511),"""",IF(D1511=""Cash"",B1511,IF(GOOGLEFINANCE(D1511,""CURRENCY"")=""GBX"",""GBP"",GOOGLEFINANCE(D1511,""CURRENCY"")))))),B1511)"),"")</f>
        <v/>
      </c>
      <c r="R1511" s="263" t="str">
        <f>IFERROR(__xludf.DUMMYFUNCTION("IF(ISBLANK(A1511),"""",IFERROR(IF(OR(Q1511=""GPB"",Q1511=""ZAR""),IF(Q1511=Dashboard!$L$1,K1511,(K1511*GOOGLEFINANCE(""CURRENCY:""&amp;Q1511&amp;""""&amp;Dashboard!$L$1&amp;""""))/100),IF(Q1511=Dashboard!$L$1,K1511,K1511*GOOGLEFINANCE(""CURRENCY:""&amp;Q1511&amp;""""&amp;Dashboard!$"&amp;"L$1&amp;""""))),K1511))"),"")</f>
        <v/>
      </c>
      <c r="S1511" s="266" t="str">
        <f>IFERROR(__xludf.DUMMYFUNCTION("IF(ISBLANK(A1511),"""",IFERROR(IF(OR(Q1511=""GPB"",Q1511=""ZAR""),IF(Q1511=Dashboard!$L$1,M1511,(M1511*GOOGLEFINANCE(""CURRENCY:""&amp;Q1511&amp;""""&amp;Dashboard!$L$1&amp;""""))/100),IF(Q1511=Dashboard!$L$1,M1511,M1511*GOOGLEFINANCE(""CURRENCY:""&amp;Q1511&amp;""""&amp;Dashboard!$"&amp;"L$1&amp;""""))),M1511))"),"")</f>
        <v/>
      </c>
      <c r="T1511" s="264" t="str">
        <f t="shared" si="4"/>
        <v/>
      </c>
      <c r="U1511" s="264" t="str">
        <f t="shared" si="5"/>
        <v/>
      </c>
      <c r="V1511" s="264" t="str">
        <f t="shared" si="6"/>
        <v/>
      </c>
      <c r="W1511" s="267" t="str">
        <f t="shared" si="8"/>
        <v/>
      </c>
      <c r="X1511" s="264" t="str">
        <f t="shared" si="7"/>
        <v/>
      </c>
    </row>
    <row r="1512" ht="15.75" customHeight="1">
      <c r="A1512" s="258"/>
      <c r="B1512" s="258"/>
      <c r="C1512" s="269"/>
      <c r="D1512" s="258"/>
      <c r="E1512" s="258"/>
      <c r="F1512" s="258"/>
      <c r="G1512" s="258"/>
      <c r="H1512" s="271"/>
      <c r="I1512" s="258"/>
      <c r="J1512" s="272"/>
      <c r="K1512" s="260"/>
      <c r="L1512" s="261"/>
      <c r="M1512" s="262" t="str">
        <f t="shared" si="1"/>
        <v/>
      </c>
      <c r="N1512" s="263" t="str">
        <f t="shared" si="2"/>
        <v/>
      </c>
      <c r="O1512" s="264" t="str">
        <f t="shared" si="3"/>
        <v/>
      </c>
      <c r="P1512" s="265" t="str">
        <f>IFERROR(__xludf.DUMMYFUNCTION("IF(ISBLANK(A1512),"""",IFERROR(IF(H1512=""Sell"",VLOOKUP(9^99,FILTER({ROW(P$2:P1511),P$2:P1511},D$2:D1511=D1512),2),(VLOOKUP(9^99,FILTER({ROW(P$2:P1511),P$2:P1511},D$2:D1511=D1512),2)*VLOOKUP(9^99,FILTER({ROW(O$2:O1511),O$2:O1511},D$2:D1511=D1512),2)-N151"&amp;"2)/O1512),J1512))"),"")</f>
        <v/>
      </c>
      <c r="Q1512" s="264" t="str">
        <f>IFERROR(__xludf.DUMMYFUNCTION("IFERROR(IF(F1512=""Crypto"",B1512,(IF(ISBLANK(D1512),"""",IF(D1512=""Cash"",B1512,IF(GOOGLEFINANCE(D1512,""CURRENCY"")=""GBX"",""GBP"",GOOGLEFINANCE(D1512,""CURRENCY"")))))),B1512)"),"")</f>
        <v/>
      </c>
      <c r="R1512" s="263" t="str">
        <f>IFERROR(__xludf.DUMMYFUNCTION("IF(ISBLANK(A1512),"""",IFERROR(IF(OR(Q1512=""GPB"",Q1512=""ZAR""),IF(Q1512=Dashboard!$L$1,K1512,(K1512*GOOGLEFINANCE(""CURRENCY:""&amp;Q1512&amp;""""&amp;Dashboard!$L$1&amp;""""))/100),IF(Q1512=Dashboard!$L$1,K1512,K1512*GOOGLEFINANCE(""CURRENCY:""&amp;Q1512&amp;""""&amp;Dashboard!$"&amp;"L$1&amp;""""))),K1512))"),"")</f>
        <v/>
      </c>
      <c r="S1512" s="266" t="str">
        <f>IFERROR(__xludf.DUMMYFUNCTION("IF(ISBLANK(A1512),"""",IFERROR(IF(OR(Q1512=""GPB"",Q1512=""ZAR""),IF(Q1512=Dashboard!$L$1,M1512,(M1512*GOOGLEFINANCE(""CURRENCY:""&amp;Q1512&amp;""""&amp;Dashboard!$L$1&amp;""""))/100),IF(Q1512=Dashboard!$L$1,M1512,M1512*GOOGLEFINANCE(""CURRENCY:""&amp;Q1512&amp;""""&amp;Dashboard!$"&amp;"L$1&amp;""""))),M1512))"),"")</f>
        <v/>
      </c>
      <c r="T1512" s="264" t="str">
        <f t="shared" si="4"/>
        <v/>
      </c>
      <c r="U1512" s="264" t="str">
        <f t="shared" si="5"/>
        <v/>
      </c>
      <c r="V1512" s="264" t="str">
        <f t="shared" si="6"/>
        <v/>
      </c>
      <c r="W1512" s="267" t="str">
        <f t="shared" si="8"/>
        <v/>
      </c>
      <c r="X1512" s="264" t="str">
        <f t="shared" si="7"/>
        <v/>
      </c>
    </row>
    <row r="1513" ht="15.75" customHeight="1">
      <c r="A1513" s="258"/>
      <c r="B1513" s="258"/>
      <c r="C1513" s="269"/>
      <c r="D1513" s="258"/>
      <c r="E1513" s="258"/>
      <c r="F1513" s="258"/>
      <c r="G1513" s="258"/>
      <c r="H1513" s="271"/>
      <c r="I1513" s="258"/>
      <c r="J1513" s="272"/>
      <c r="K1513" s="260"/>
      <c r="L1513" s="261"/>
      <c r="M1513" s="262" t="str">
        <f t="shared" si="1"/>
        <v/>
      </c>
      <c r="N1513" s="263" t="str">
        <f t="shared" si="2"/>
        <v/>
      </c>
      <c r="O1513" s="264" t="str">
        <f t="shared" si="3"/>
        <v/>
      </c>
      <c r="P1513" s="265" t="str">
        <f>IFERROR(__xludf.DUMMYFUNCTION("IF(ISBLANK(A1513),"""",IFERROR(IF(H1513=""Sell"",VLOOKUP(9^99,FILTER({ROW(P$2:P1512),P$2:P1512},D$2:D1512=D1513),2),(VLOOKUP(9^99,FILTER({ROW(P$2:P1512),P$2:P1512},D$2:D1512=D1513),2)*VLOOKUP(9^99,FILTER({ROW(O$2:O1512),O$2:O1512},D$2:D1512=D1513),2)-N151"&amp;"3)/O1513),J1513))"),"")</f>
        <v/>
      </c>
      <c r="Q1513" s="264" t="str">
        <f>IFERROR(__xludf.DUMMYFUNCTION("IFERROR(IF(F1513=""Crypto"",B1513,(IF(ISBLANK(D1513),"""",IF(D1513=""Cash"",B1513,IF(GOOGLEFINANCE(D1513,""CURRENCY"")=""GBX"",""GBP"",GOOGLEFINANCE(D1513,""CURRENCY"")))))),B1513)"),"")</f>
        <v/>
      </c>
      <c r="R1513" s="263" t="str">
        <f>IFERROR(__xludf.DUMMYFUNCTION("IF(ISBLANK(A1513),"""",IFERROR(IF(OR(Q1513=""GPB"",Q1513=""ZAR""),IF(Q1513=Dashboard!$L$1,K1513,(K1513*GOOGLEFINANCE(""CURRENCY:""&amp;Q1513&amp;""""&amp;Dashboard!$L$1&amp;""""))/100),IF(Q1513=Dashboard!$L$1,K1513,K1513*GOOGLEFINANCE(""CURRENCY:""&amp;Q1513&amp;""""&amp;Dashboard!$"&amp;"L$1&amp;""""))),K1513))"),"")</f>
        <v/>
      </c>
      <c r="S1513" s="266" t="str">
        <f>IFERROR(__xludf.DUMMYFUNCTION("IF(ISBLANK(A1513),"""",IFERROR(IF(OR(Q1513=""GPB"",Q1513=""ZAR""),IF(Q1513=Dashboard!$L$1,M1513,(M1513*GOOGLEFINANCE(""CURRENCY:""&amp;Q1513&amp;""""&amp;Dashboard!$L$1&amp;""""))/100),IF(Q1513=Dashboard!$L$1,M1513,M1513*GOOGLEFINANCE(""CURRENCY:""&amp;Q1513&amp;""""&amp;Dashboard!$"&amp;"L$1&amp;""""))),M1513))"),"")</f>
        <v/>
      </c>
      <c r="T1513" s="264" t="str">
        <f t="shared" si="4"/>
        <v/>
      </c>
      <c r="U1513" s="264" t="str">
        <f t="shared" si="5"/>
        <v/>
      </c>
      <c r="V1513" s="264" t="str">
        <f t="shared" si="6"/>
        <v/>
      </c>
      <c r="W1513" s="267" t="str">
        <f t="shared" si="8"/>
        <v/>
      </c>
      <c r="X1513" s="264" t="str">
        <f t="shared" si="7"/>
        <v/>
      </c>
    </row>
    <row r="1514" ht="15.75" customHeight="1">
      <c r="A1514" s="258"/>
      <c r="B1514" s="258"/>
      <c r="C1514" s="269"/>
      <c r="D1514" s="258"/>
      <c r="E1514" s="258"/>
      <c r="F1514" s="258"/>
      <c r="G1514" s="258"/>
      <c r="H1514" s="271"/>
      <c r="I1514" s="258"/>
      <c r="J1514" s="272"/>
      <c r="K1514" s="260"/>
      <c r="L1514" s="261"/>
      <c r="M1514" s="262" t="str">
        <f t="shared" si="1"/>
        <v/>
      </c>
      <c r="N1514" s="263" t="str">
        <f t="shared" si="2"/>
        <v/>
      </c>
      <c r="O1514" s="264" t="str">
        <f t="shared" si="3"/>
        <v/>
      </c>
      <c r="P1514" s="265" t="str">
        <f>IFERROR(__xludf.DUMMYFUNCTION("IF(ISBLANK(A1514),"""",IFERROR(IF(H1514=""Sell"",VLOOKUP(9^99,FILTER({ROW(P$2:P1513),P$2:P1513},D$2:D1513=D1514),2),(VLOOKUP(9^99,FILTER({ROW(P$2:P1513),P$2:P1513},D$2:D1513=D1514),2)*VLOOKUP(9^99,FILTER({ROW(O$2:O1513),O$2:O1513},D$2:D1513=D1514),2)-N151"&amp;"4)/O1514),J1514))"),"")</f>
        <v/>
      </c>
      <c r="Q1514" s="264" t="str">
        <f>IFERROR(__xludf.DUMMYFUNCTION("IFERROR(IF(F1514=""Crypto"",B1514,(IF(ISBLANK(D1514),"""",IF(D1514=""Cash"",B1514,IF(GOOGLEFINANCE(D1514,""CURRENCY"")=""GBX"",""GBP"",GOOGLEFINANCE(D1514,""CURRENCY"")))))),B1514)"),"")</f>
        <v/>
      </c>
      <c r="R1514" s="263" t="str">
        <f>IFERROR(__xludf.DUMMYFUNCTION("IF(ISBLANK(A1514),"""",IFERROR(IF(OR(Q1514=""GPB"",Q1514=""ZAR""),IF(Q1514=Dashboard!$L$1,K1514,(K1514*GOOGLEFINANCE(""CURRENCY:""&amp;Q1514&amp;""""&amp;Dashboard!$L$1&amp;""""))/100),IF(Q1514=Dashboard!$L$1,K1514,K1514*GOOGLEFINANCE(""CURRENCY:""&amp;Q1514&amp;""""&amp;Dashboard!$"&amp;"L$1&amp;""""))),K1514))"),"")</f>
        <v/>
      </c>
      <c r="S1514" s="266" t="str">
        <f>IFERROR(__xludf.DUMMYFUNCTION("IF(ISBLANK(A1514),"""",IFERROR(IF(OR(Q1514=""GPB"",Q1514=""ZAR""),IF(Q1514=Dashboard!$L$1,M1514,(M1514*GOOGLEFINANCE(""CURRENCY:""&amp;Q1514&amp;""""&amp;Dashboard!$L$1&amp;""""))/100),IF(Q1514=Dashboard!$L$1,M1514,M1514*GOOGLEFINANCE(""CURRENCY:""&amp;Q1514&amp;""""&amp;Dashboard!$"&amp;"L$1&amp;""""))),M1514))"),"")</f>
        <v/>
      </c>
      <c r="T1514" s="264" t="str">
        <f t="shared" si="4"/>
        <v/>
      </c>
      <c r="U1514" s="264" t="str">
        <f t="shared" si="5"/>
        <v/>
      </c>
      <c r="V1514" s="264" t="str">
        <f t="shared" si="6"/>
        <v/>
      </c>
      <c r="W1514" s="267" t="str">
        <f t="shared" si="8"/>
        <v/>
      </c>
      <c r="X1514" s="264" t="str">
        <f t="shared" si="7"/>
        <v/>
      </c>
    </row>
    <row r="1515" ht="15.75" customHeight="1">
      <c r="A1515" s="258"/>
      <c r="B1515" s="258"/>
      <c r="C1515" s="269"/>
      <c r="D1515" s="258"/>
      <c r="E1515" s="258"/>
      <c r="F1515" s="258"/>
      <c r="G1515" s="258"/>
      <c r="H1515" s="271"/>
      <c r="I1515" s="258"/>
      <c r="J1515" s="272"/>
      <c r="K1515" s="260"/>
      <c r="L1515" s="261"/>
      <c r="M1515" s="262" t="str">
        <f t="shared" si="1"/>
        <v/>
      </c>
      <c r="N1515" s="263" t="str">
        <f t="shared" si="2"/>
        <v/>
      </c>
      <c r="O1515" s="264" t="str">
        <f t="shared" si="3"/>
        <v/>
      </c>
      <c r="P1515" s="265" t="str">
        <f>IFERROR(__xludf.DUMMYFUNCTION("IF(ISBLANK(A1515),"""",IFERROR(IF(H1515=""Sell"",VLOOKUP(9^99,FILTER({ROW(P$2:P1514),P$2:P1514},D$2:D1514=D1515),2),(VLOOKUP(9^99,FILTER({ROW(P$2:P1514),P$2:P1514},D$2:D1514=D1515),2)*VLOOKUP(9^99,FILTER({ROW(O$2:O1514),O$2:O1514},D$2:D1514=D1515),2)-N151"&amp;"5)/O1515),J1515))"),"")</f>
        <v/>
      </c>
      <c r="Q1515" s="264" t="str">
        <f>IFERROR(__xludf.DUMMYFUNCTION("IFERROR(IF(F1515=""Crypto"",B1515,(IF(ISBLANK(D1515),"""",IF(D1515=""Cash"",B1515,IF(GOOGLEFINANCE(D1515,""CURRENCY"")=""GBX"",""GBP"",GOOGLEFINANCE(D1515,""CURRENCY"")))))),B1515)"),"")</f>
        <v/>
      </c>
      <c r="R1515" s="263" t="str">
        <f>IFERROR(__xludf.DUMMYFUNCTION("IF(ISBLANK(A1515),"""",IFERROR(IF(OR(Q1515=""GPB"",Q1515=""ZAR""),IF(Q1515=Dashboard!$L$1,K1515,(K1515*GOOGLEFINANCE(""CURRENCY:""&amp;Q1515&amp;""""&amp;Dashboard!$L$1&amp;""""))/100),IF(Q1515=Dashboard!$L$1,K1515,K1515*GOOGLEFINANCE(""CURRENCY:""&amp;Q1515&amp;""""&amp;Dashboard!$"&amp;"L$1&amp;""""))),K1515))"),"")</f>
        <v/>
      </c>
      <c r="S1515" s="266" t="str">
        <f>IFERROR(__xludf.DUMMYFUNCTION("IF(ISBLANK(A1515),"""",IFERROR(IF(OR(Q1515=""GPB"",Q1515=""ZAR""),IF(Q1515=Dashboard!$L$1,M1515,(M1515*GOOGLEFINANCE(""CURRENCY:""&amp;Q1515&amp;""""&amp;Dashboard!$L$1&amp;""""))/100),IF(Q1515=Dashboard!$L$1,M1515,M1515*GOOGLEFINANCE(""CURRENCY:""&amp;Q1515&amp;""""&amp;Dashboard!$"&amp;"L$1&amp;""""))),M1515))"),"")</f>
        <v/>
      </c>
      <c r="T1515" s="264" t="str">
        <f t="shared" si="4"/>
        <v/>
      </c>
      <c r="U1515" s="264" t="str">
        <f t="shared" si="5"/>
        <v/>
      </c>
      <c r="V1515" s="264" t="str">
        <f t="shared" si="6"/>
        <v/>
      </c>
      <c r="W1515" s="267" t="str">
        <f t="shared" si="8"/>
        <v/>
      </c>
      <c r="X1515" s="264" t="str">
        <f t="shared" si="7"/>
        <v/>
      </c>
    </row>
    <row r="1516" ht="15.75" customHeight="1">
      <c r="A1516" s="258"/>
      <c r="B1516" s="258"/>
      <c r="C1516" s="269"/>
      <c r="D1516" s="258"/>
      <c r="E1516" s="258"/>
      <c r="F1516" s="258"/>
      <c r="G1516" s="258"/>
      <c r="H1516" s="271"/>
      <c r="I1516" s="258"/>
      <c r="J1516" s="272"/>
      <c r="K1516" s="260"/>
      <c r="L1516" s="261"/>
      <c r="M1516" s="262" t="str">
        <f t="shared" si="1"/>
        <v/>
      </c>
      <c r="N1516" s="263" t="str">
        <f t="shared" si="2"/>
        <v/>
      </c>
      <c r="O1516" s="264" t="str">
        <f t="shared" si="3"/>
        <v/>
      </c>
      <c r="P1516" s="265" t="str">
        <f>IFERROR(__xludf.DUMMYFUNCTION("IF(ISBLANK(A1516),"""",IFERROR(IF(H1516=""Sell"",VLOOKUP(9^99,FILTER({ROW(P$2:P1515),P$2:P1515},D$2:D1515=D1516),2),(VLOOKUP(9^99,FILTER({ROW(P$2:P1515),P$2:P1515},D$2:D1515=D1516),2)*VLOOKUP(9^99,FILTER({ROW(O$2:O1515),O$2:O1515},D$2:D1515=D1516),2)-N151"&amp;"6)/O1516),J1516))"),"")</f>
        <v/>
      </c>
      <c r="Q1516" s="264" t="str">
        <f>IFERROR(__xludf.DUMMYFUNCTION("IFERROR(IF(F1516=""Crypto"",B1516,(IF(ISBLANK(D1516),"""",IF(D1516=""Cash"",B1516,IF(GOOGLEFINANCE(D1516,""CURRENCY"")=""GBX"",""GBP"",GOOGLEFINANCE(D1516,""CURRENCY"")))))),B1516)"),"")</f>
        <v/>
      </c>
      <c r="R1516" s="263" t="str">
        <f>IFERROR(__xludf.DUMMYFUNCTION("IF(ISBLANK(A1516),"""",IFERROR(IF(OR(Q1516=""GPB"",Q1516=""ZAR""),IF(Q1516=Dashboard!$L$1,K1516,(K1516*GOOGLEFINANCE(""CURRENCY:""&amp;Q1516&amp;""""&amp;Dashboard!$L$1&amp;""""))/100),IF(Q1516=Dashboard!$L$1,K1516,K1516*GOOGLEFINANCE(""CURRENCY:""&amp;Q1516&amp;""""&amp;Dashboard!$"&amp;"L$1&amp;""""))),K1516))"),"")</f>
        <v/>
      </c>
      <c r="S1516" s="266" t="str">
        <f>IFERROR(__xludf.DUMMYFUNCTION("IF(ISBLANK(A1516),"""",IFERROR(IF(OR(Q1516=""GPB"",Q1516=""ZAR""),IF(Q1516=Dashboard!$L$1,M1516,(M1516*GOOGLEFINANCE(""CURRENCY:""&amp;Q1516&amp;""""&amp;Dashboard!$L$1&amp;""""))/100),IF(Q1516=Dashboard!$L$1,M1516,M1516*GOOGLEFINANCE(""CURRENCY:""&amp;Q1516&amp;""""&amp;Dashboard!$"&amp;"L$1&amp;""""))),M1516))"),"")</f>
        <v/>
      </c>
      <c r="T1516" s="264" t="str">
        <f t="shared" si="4"/>
        <v/>
      </c>
      <c r="U1516" s="264" t="str">
        <f t="shared" si="5"/>
        <v/>
      </c>
      <c r="V1516" s="264" t="str">
        <f t="shared" si="6"/>
        <v/>
      </c>
      <c r="W1516" s="267" t="str">
        <f t="shared" si="8"/>
        <v/>
      </c>
      <c r="X1516" s="264" t="str">
        <f t="shared" si="7"/>
        <v/>
      </c>
    </row>
    <row r="1517" ht="15.75" customHeight="1">
      <c r="A1517" s="258"/>
      <c r="B1517" s="258"/>
      <c r="C1517" s="269"/>
      <c r="D1517" s="258"/>
      <c r="E1517" s="258"/>
      <c r="F1517" s="258"/>
      <c r="G1517" s="258"/>
      <c r="H1517" s="271"/>
      <c r="I1517" s="258"/>
      <c r="J1517" s="272"/>
      <c r="K1517" s="260"/>
      <c r="L1517" s="261"/>
      <c r="M1517" s="262" t="str">
        <f t="shared" si="1"/>
        <v/>
      </c>
      <c r="N1517" s="263" t="str">
        <f t="shared" si="2"/>
        <v/>
      </c>
      <c r="O1517" s="264" t="str">
        <f t="shared" si="3"/>
        <v/>
      </c>
      <c r="P1517" s="265" t="str">
        <f>IFERROR(__xludf.DUMMYFUNCTION("IF(ISBLANK(A1517),"""",IFERROR(IF(H1517=""Sell"",VLOOKUP(9^99,FILTER({ROW(P$2:P1516),P$2:P1516},D$2:D1516=D1517),2),(VLOOKUP(9^99,FILTER({ROW(P$2:P1516),P$2:P1516},D$2:D1516=D1517),2)*VLOOKUP(9^99,FILTER({ROW(O$2:O1516),O$2:O1516},D$2:D1516=D1517),2)-N151"&amp;"7)/O1517),J1517))"),"")</f>
        <v/>
      </c>
      <c r="Q1517" s="264" t="str">
        <f>IFERROR(__xludf.DUMMYFUNCTION("IFERROR(IF(F1517=""Crypto"",B1517,(IF(ISBLANK(D1517),"""",IF(D1517=""Cash"",B1517,IF(GOOGLEFINANCE(D1517,""CURRENCY"")=""GBX"",""GBP"",GOOGLEFINANCE(D1517,""CURRENCY"")))))),B1517)"),"")</f>
        <v/>
      </c>
      <c r="R1517" s="263" t="str">
        <f>IFERROR(__xludf.DUMMYFUNCTION("IF(ISBLANK(A1517),"""",IFERROR(IF(OR(Q1517=""GPB"",Q1517=""ZAR""),IF(Q1517=Dashboard!$L$1,K1517,(K1517*GOOGLEFINANCE(""CURRENCY:""&amp;Q1517&amp;""""&amp;Dashboard!$L$1&amp;""""))/100),IF(Q1517=Dashboard!$L$1,K1517,K1517*GOOGLEFINANCE(""CURRENCY:""&amp;Q1517&amp;""""&amp;Dashboard!$"&amp;"L$1&amp;""""))),K1517))"),"")</f>
        <v/>
      </c>
      <c r="S1517" s="266" t="str">
        <f>IFERROR(__xludf.DUMMYFUNCTION("IF(ISBLANK(A1517),"""",IFERROR(IF(OR(Q1517=""GPB"",Q1517=""ZAR""),IF(Q1517=Dashboard!$L$1,M1517,(M1517*GOOGLEFINANCE(""CURRENCY:""&amp;Q1517&amp;""""&amp;Dashboard!$L$1&amp;""""))/100),IF(Q1517=Dashboard!$L$1,M1517,M1517*GOOGLEFINANCE(""CURRENCY:""&amp;Q1517&amp;""""&amp;Dashboard!$"&amp;"L$1&amp;""""))),M1517))"),"")</f>
        <v/>
      </c>
      <c r="T1517" s="264" t="str">
        <f t="shared" si="4"/>
        <v/>
      </c>
      <c r="U1517" s="264" t="str">
        <f t="shared" si="5"/>
        <v/>
      </c>
      <c r="V1517" s="264" t="str">
        <f t="shared" si="6"/>
        <v/>
      </c>
      <c r="W1517" s="267" t="str">
        <f t="shared" si="8"/>
        <v/>
      </c>
      <c r="X1517" s="264" t="str">
        <f t="shared" si="7"/>
        <v/>
      </c>
    </row>
    <row r="1518" ht="15.75" customHeight="1">
      <c r="A1518" s="258"/>
      <c r="B1518" s="258"/>
      <c r="C1518" s="269"/>
      <c r="D1518" s="258"/>
      <c r="E1518" s="258"/>
      <c r="F1518" s="258"/>
      <c r="G1518" s="258"/>
      <c r="H1518" s="271"/>
      <c r="I1518" s="258"/>
      <c r="J1518" s="272"/>
      <c r="K1518" s="260"/>
      <c r="L1518" s="261"/>
      <c r="M1518" s="262" t="str">
        <f t="shared" si="1"/>
        <v/>
      </c>
      <c r="N1518" s="263" t="str">
        <f t="shared" si="2"/>
        <v/>
      </c>
      <c r="O1518" s="264" t="str">
        <f t="shared" si="3"/>
        <v/>
      </c>
      <c r="P1518" s="265" t="str">
        <f>IFERROR(__xludf.DUMMYFUNCTION("IF(ISBLANK(A1518),"""",IFERROR(IF(H1518=""Sell"",VLOOKUP(9^99,FILTER({ROW(P$2:P1517),P$2:P1517},D$2:D1517=D1518),2),(VLOOKUP(9^99,FILTER({ROW(P$2:P1517),P$2:P1517},D$2:D1517=D1518),2)*VLOOKUP(9^99,FILTER({ROW(O$2:O1517),O$2:O1517},D$2:D1517=D1518),2)-N151"&amp;"8)/O1518),J1518))"),"")</f>
        <v/>
      </c>
      <c r="Q1518" s="264" t="str">
        <f>IFERROR(__xludf.DUMMYFUNCTION("IFERROR(IF(F1518=""Crypto"",B1518,(IF(ISBLANK(D1518),"""",IF(D1518=""Cash"",B1518,IF(GOOGLEFINANCE(D1518,""CURRENCY"")=""GBX"",""GBP"",GOOGLEFINANCE(D1518,""CURRENCY"")))))),B1518)"),"")</f>
        <v/>
      </c>
      <c r="R1518" s="263" t="str">
        <f>IFERROR(__xludf.DUMMYFUNCTION("IF(ISBLANK(A1518),"""",IFERROR(IF(OR(Q1518=""GPB"",Q1518=""ZAR""),IF(Q1518=Dashboard!$L$1,K1518,(K1518*GOOGLEFINANCE(""CURRENCY:""&amp;Q1518&amp;""""&amp;Dashboard!$L$1&amp;""""))/100),IF(Q1518=Dashboard!$L$1,K1518,K1518*GOOGLEFINANCE(""CURRENCY:""&amp;Q1518&amp;""""&amp;Dashboard!$"&amp;"L$1&amp;""""))),K1518))"),"")</f>
        <v/>
      </c>
      <c r="S1518" s="266" t="str">
        <f>IFERROR(__xludf.DUMMYFUNCTION("IF(ISBLANK(A1518),"""",IFERROR(IF(OR(Q1518=""GPB"",Q1518=""ZAR""),IF(Q1518=Dashboard!$L$1,M1518,(M1518*GOOGLEFINANCE(""CURRENCY:""&amp;Q1518&amp;""""&amp;Dashboard!$L$1&amp;""""))/100),IF(Q1518=Dashboard!$L$1,M1518,M1518*GOOGLEFINANCE(""CURRENCY:""&amp;Q1518&amp;""""&amp;Dashboard!$"&amp;"L$1&amp;""""))),M1518))"),"")</f>
        <v/>
      </c>
      <c r="T1518" s="264" t="str">
        <f t="shared" si="4"/>
        <v/>
      </c>
      <c r="U1518" s="264" t="str">
        <f t="shared" si="5"/>
        <v/>
      </c>
      <c r="V1518" s="264" t="str">
        <f t="shared" si="6"/>
        <v/>
      </c>
      <c r="W1518" s="267" t="str">
        <f t="shared" si="8"/>
        <v/>
      </c>
      <c r="X1518" s="264" t="str">
        <f t="shared" si="7"/>
        <v/>
      </c>
    </row>
    <row r="1519" ht="15.75" customHeight="1">
      <c r="A1519" s="258"/>
      <c r="B1519" s="258"/>
      <c r="C1519" s="269"/>
      <c r="D1519" s="258"/>
      <c r="E1519" s="258"/>
      <c r="F1519" s="258"/>
      <c r="G1519" s="258"/>
      <c r="H1519" s="271"/>
      <c r="I1519" s="258"/>
      <c r="J1519" s="272"/>
      <c r="K1519" s="260"/>
      <c r="L1519" s="261"/>
      <c r="M1519" s="262" t="str">
        <f t="shared" si="1"/>
        <v/>
      </c>
      <c r="N1519" s="263" t="str">
        <f t="shared" si="2"/>
        <v/>
      </c>
      <c r="O1519" s="264" t="str">
        <f t="shared" si="3"/>
        <v/>
      </c>
      <c r="P1519" s="265" t="str">
        <f>IFERROR(__xludf.DUMMYFUNCTION("IF(ISBLANK(A1519),"""",IFERROR(IF(H1519=""Sell"",VLOOKUP(9^99,FILTER({ROW(P$2:P1518),P$2:P1518},D$2:D1518=D1519),2),(VLOOKUP(9^99,FILTER({ROW(P$2:P1518),P$2:P1518},D$2:D1518=D1519),2)*VLOOKUP(9^99,FILTER({ROW(O$2:O1518),O$2:O1518},D$2:D1518=D1519),2)-N151"&amp;"9)/O1519),J1519))"),"")</f>
        <v/>
      </c>
      <c r="Q1519" s="264" t="str">
        <f>IFERROR(__xludf.DUMMYFUNCTION("IFERROR(IF(F1519=""Crypto"",B1519,(IF(ISBLANK(D1519),"""",IF(D1519=""Cash"",B1519,IF(GOOGLEFINANCE(D1519,""CURRENCY"")=""GBX"",""GBP"",GOOGLEFINANCE(D1519,""CURRENCY"")))))),B1519)"),"")</f>
        <v/>
      </c>
      <c r="R1519" s="263" t="str">
        <f>IFERROR(__xludf.DUMMYFUNCTION("IF(ISBLANK(A1519),"""",IFERROR(IF(OR(Q1519=""GPB"",Q1519=""ZAR""),IF(Q1519=Dashboard!$L$1,K1519,(K1519*GOOGLEFINANCE(""CURRENCY:""&amp;Q1519&amp;""""&amp;Dashboard!$L$1&amp;""""))/100),IF(Q1519=Dashboard!$L$1,K1519,K1519*GOOGLEFINANCE(""CURRENCY:""&amp;Q1519&amp;""""&amp;Dashboard!$"&amp;"L$1&amp;""""))),K1519))"),"")</f>
        <v/>
      </c>
      <c r="S1519" s="266" t="str">
        <f>IFERROR(__xludf.DUMMYFUNCTION("IF(ISBLANK(A1519),"""",IFERROR(IF(OR(Q1519=""GPB"",Q1519=""ZAR""),IF(Q1519=Dashboard!$L$1,M1519,(M1519*GOOGLEFINANCE(""CURRENCY:""&amp;Q1519&amp;""""&amp;Dashboard!$L$1&amp;""""))/100),IF(Q1519=Dashboard!$L$1,M1519,M1519*GOOGLEFINANCE(""CURRENCY:""&amp;Q1519&amp;""""&amp;Dashboard!$"&amp;"L$1&amp;""""))),M1519))"),"")</f>
        <v/>
      </c>
      <c r="T1519" s="264" t="str">
        <f t="shared" si="4"/>
        <v/>
      </c>
      <c r="U1519" s="264" t="str">
        <f t="shared" si="5"/>
        <v/>
      </c>
      <c r="V1519" s="264" t="str">
        <f t="shared" si="6"/>
        <v/>
      </c>
      <c r="W1519" s="267" t="str">
        <f t="shared" si="8"/>
        <v/>
      </c>
      <c r="X1519" s="264" t="str">
        <f t="shared" si="7"/>
        <v/>
      </c>
    </row>
    <row r="1520" ht="15.75" customHeight="1">
      <c r="A1520" s="258"/>
      <c r="B1520" s="258"/>
      <c r="C1520" s="269"/>
      <c r="D1520" s="258"/>
      <c r="E1520" s="258"/>
      <c r="F1520" s="258"/>
      <c r="G1520" s="258"/>
      <c r="H1520" s="271"/>
      <c r="I1520" s="258"/>
      <c r="J1520" s="272"/>
      <c r="K1520" s="260"/>
      <c r="L1520" s="261"/>
      <c r="M1520" s="262" t="str">
        <f t="shared" si="1"/>
        <v/>
      </c>
      <c r="N1520" s="263" t="str">
        <f t="shared" si="2"/>
        <v/>
      </c>
      <c r="O1520" s="264" t="str">
        <f t="shared" si="3"/>
        <v/>
      </c>
      <c r="P1520" s="265" t="str">
        <f>IFERROR(__xludf.DUMMYFUNCTION("IF(ISBLANK(A1520),"""",IFERROR(IF(H1520=""Sell"",VLOOKUP(9^99,FILTER({ROW(P$2:P1519),P$2:P1519},D$2:D1519=D1520),2),(VLOOKUP(9^99,FILTER({ROW(P$2:P1519),P$2:P1519},D$2:D1519=D1520),2)*VLOOKUP(9^99,FILTER({ROW(O$2:O1519),O$2:O1519},D$2:D1519=D1520),2)-N152"&amp;"0)/O1520),J1520))"),"")</f>
        <v/>
      </c>
      <c r="Q1520" s="264" t="str">
        <f>IFERROR(__xludf.DUMMYFUNCTION("IFERROR(IF(F1520=""Crypto"",B1520,(IF(ISBLANK(D1520),"""",IF(D1520=""Cash"",B1520,IF(GOOGLEFINANCE(D1520,""CURRENCY"")=""GBX"",""GBP"",GOOGLEFINANCE(D1520,""CURRENCY"")))))),B1520)"),"")</f>
        <v/>
      </c>
      <c r="R1520" s="263" t="str">
        <f>IFERROR(__xludf.DUMMYFUNCTION("IF(ISBLANK(A1520),"""",IFERROR(IF(OR(Q1520=""GPB"",Q1520=""ZAR""),IF(Q1520=Dashboard!$L$1,K1520,(K1520*GOOGLEFINANCE(""CURRENCY:""&amp;Q1520&amp;""""&amp;Dashboard!$L$1&amp;""""))/100),IF(Q1520=Dashboard!$L$1,K1520,K1520*GOOGLEFINANCE(""CURRENCY:""&amp;Q1520&amp;""""&amp;Dashboard!$"&amp;"L$1&amp;""""))),K1520))"),"")</f>
        <v/>
      </c>
      <c r="S1520" s="266" t="str">
        <f>IFERROR(__xludf.DUMMYFUNCTION("IF(ISBLANK(A1520),"""",IFERROR(IF(OR(Q1520=""GPB"",Q1520=""ZAR""),IF(Q1520=Dashboard!$L$1,M1520,(M1520*GOOGLEFINANCE(""CURRENCY:""&amp;Q1520&amp;""""&amp;Dashboard!$L$1&amp;""""))/100),IF(Q1520=Dashboard!$L$1,M1520,M1520*GOOGLEFINANCE(""CURRENCY:""&amp;Q1520&amp;""""&amp;Dashboard!$"&amp;"L$1&amp;""""))),M1520))"),"")</f>
        <v/>
      </c>
      <c r="T1520" s="264" t="str">
        <f t="shared" si="4"/>
        <v/>
      </c>
      <c r="U1520" s="264" t="str">
        <f t="shared" si="5"/>
        <v/>
      </c>
      <c r="V1520" s="264" t="str">
        <f t="shared" si="6"/>
        <v/>
      </c>
      <c r="W1520" s="267" t="str">
        <f t="shared" si="8"/>
        <v/>
      </c>
      <c r="X1520" s="264" t="str">
        <f t="shared" si="7"/>
        <v/>
      </c>
    </row>
    <row r="1521" ht="15.75" customHeight="1">
      <c r="A1521" s="258"/>
      <c r="B1521" s="258"/>
      <c r="C1521" s="269"/>
      <c r="D1521" s="258"/>
      <c r="E1521" s="258"/>
      <c r="F1521" s="258"/>
      <c r="G1521" s="258"/>
      <c r="H1521" s="271"/>
      <c r="I1521" s="258"/>
      <c r="J1521" s="272"/>
      <c r="K1521" s="260"/>
      <c r="L1521" s="261"/>
      <c r="M1521" s="262" t="str">
        <f t="shared" si="1"/>
        <v/>
      </c>
      <c r="N1521" s="263" t="str">
        <f t="shared" si="2"/>
        <v/>
      </c>
      <c r="O1521" s="264" t="str">
        <f t="shared" si="3"/>
        <v/>
      </c>
      <c r="P1521" s="265" t="str">
        <f>IFERROR(__xludf.DUMMYFUNCTION("IF(ISBLANK(A1521),"""",IFERROR(IF(H1521=""Sell"",VLOOKUP(9^99,FILTER({ROW(P$2:P1520),P$2:P1520},D$2:D1520=D1521),2),(VLOOKUP(9^99,FILTER({ROW(P$2:P1520),P$2:P1520},D$2:D1520=D1521),2)*VLOOKUP(9^99,FILTER({ROW(O$2:O1520),O$2:O1520},D$2:D1520=D1521),2)-N152"&amp;"1)/O1521),J1521))"),"")</f>
        <v/>
      </c>
      <c r="Q1521" s="264" t="str">
        <f>IFERROR(__xludf.DUMMYFUNCTION("IFERROR(IF(F1521=""Crypto"",B1521,(IF(ISBLANK(D1521),"""",IF(D1521=""Cash"",B1521,IF(GOOGLEFINANCE(D1521,""CURRENCY"")=""GBX"",""GBP"",GOOGLEFINANCE(D1521,""CURRENCY"")))))),B1521)"),"")</f>
        <v/>
      </c>
      <c r="R1521" s="263" t="str">
        <f>IFERROR(__xludf.DUMMYFUNCTION("IF(ISBLANK(A1521),"""",IFERROR(IF(OR(Q1521=""GPB"",Q1521=""ZAR""),IF(Q1521=Dashboard!$L$1,K1521,(K1521*GOOGLEFINANCE(""CURRENCY:""&amp;Q1521&amp;""""&amp;Dashboard!$L$1&amp;""""))/100),IF(Q1521=Dashboard!$L$1,K1521,K1521*GOOGLEFINANCE(""CURRENCY:""&amp;Q1521&amp;""""&amp;Dashboard!$"&amp;"L$1&amp;""""))),K1521))"),"")</f>
        <v/>
      </c>
      <c r="S1521" s="266" t="str">
        <f>IFERROR(__xludf.DUMMYFUNCTION("IF(ISBLANK(A1521),"""",IFERROR(IF(OR(Q1521=""GPB"",Q1521=""ZAR""),IF(Q1521=Dashboard!$L$1,M1521,(M1521*GOOGLEFINANCE(""CURRENCY:""&amp;Q1521&amp;""""&amp;Dashboard!$L$1&amp;""""))/100),IF(Q1521=Dashboard!$L$1,M1521,M1521*GOOGLEFINANCE(""CURRENCY:""&amp;Q1521&amp;""""&amp;Dashboard!$"&amp;"L$1&amp;""""))),M1521))"),"")</f>
        <v/>
      </c>
      <c r="T1521" s="264" t="str">
        <f t="shared" si="4"/>
        <v/>
      </c>
      <c r="U1521" s="264" t="str">
        <f t="shared" si="5"/>
        <v/>
      </c>
      <c r="V1521" s="264" t="str">
        <f t="shared" si="6"/>
        <v/>
      </c>
      <c r="W1521" s="267" t="str">
        <f t="shared" si="8"/>
        <v/>
      </c>
      <c r="X1521" s="264" t="str">
        <f t="shared" si="7"/>
        <v/>
      </c>
    </row>
    <row r="1522" ht="15.75" customHeight="1">
      <c r="A1522" s="258"/>
      <c r="B1522" s="258"/>
      <c r="C1522" s="269"/>
      <c r="D1522" s="258"/>
      <c r="E1522" s="258"/>
      <c r="F1522" s="258"/>
      <c r="G1522" s="258"/>
      <c r="H1522" s="271"/>
      <c r="I1522" s="258"/>
      <c r="J1522" s="272"/>
      <c r="K1522" s="260"/>
      <c r="L1522" s="261"/>
      <c r="M1522" s="262" t="str">
        <f t="shared" si="1"/>
        <v/>
      </c>
      <c r="N1522" s="263" t="str">
        <f t="shared" si="2"/>
        <v/>
      </c>
      <c r="O1522" s="264" t="str">
        <f t="shared" si="3"/>
        <v/>
      </c>
      <c r="P1522" s="265" t="str">
        <f>IFERROR(__xludf.DUMMYFUNCTION("IF(ISBLANK(A1522),"""",IFERROR(IF(H1522=""Sell"",VLOOKUP(9^99,FILTER({ROW(P$2:P1521),P$2:P1521},D$2:D1521=D1522),2),(VLOOKUP(9^99,FILTER({ROW(P$2:P1521),P$2:P1521},D$2:D1521=D1522),2)*VLOOKUP(9^99,FILTER({ROW(O$2:O1521),O$2:O1521},D$2:D1521=D1522),2)-N152"&amp;"2)/O1522),J1522))"),"")</f>
        <v/>
      </c>
      <c r="Q1522" s="264" t="str">
        <f>IFERROR(__xludf.DUMMYFUNCTION("IFERROR(IF(F1522=""Crypto"",B1522,(IF(ISBLANK(D1522),"""",IF(D1522=""Cash"",B1522,IF(GOOGLEFINANCE(D1522,""CURRENCY"")=""GBX"",""GBP"",GOOGLEFINANCE(D1522,""CURRENCY"")))))),B1522)"),"")</f>
        <v/>
      </c>
      <c r="R1522" s="263" t="str">
        <f>IFERROR(__xludf.DUMMYFUNCTION("IF(ISBLANK(A1522),"""",IFERROR(IF(OR(Q1522=""GPB"",Q1522=""ZAR""),IF(Q1522=Dashboard!$L$1,K1522,(K1522*GOOGLEFINANCE(""CURRENCY:""&amp;Q1522&amp;""""&amp;Dashboard!$L$1&amp;""""))/100),IF(Q1522=Dashboard!$L$1,K1522,K1522*GOOGLEFINANCE(""CURRENCY:""&amp;Q1522&amp;""""&amp;Dashboard!$"&amp;"L$1&amp;""""))),K1522))"),"")</f>
        <v/>
      </c>
      <c r="S1522" s="266" t="str">
        <f>IFERROR(__xludf.DUMMYFUNCTION("IF(ISBLANK(A1522),"""",IFERROR(IF(OR(Q1522=""GPB"",Q1522=""ZAR""),IF(Q1522=Dashboard!$L$1,M1522,(M1522*GOOGLEFINANCE(""CURRENCY:""&amp;Q1522&amp;""""&amp;Dashboard!$L$1&amp;""""))/100),IF(Q1522=Dashboard!$L$1,M1522,M1522*GOOGLEFINANCE(""CURRENCY:""&amp;Q1522&amp;""""&amp;Dashboard!$"&amp;"L$1&amp;""""))),M1522))"),"")</f>
        <v/>
      </c>
      <c r="T1522" s="264" t="str">
        <f t="shared" si="4"/>
        <v/>
      </c>
      <c r="U1522" s="264" t="str">
        <f t="shared" si="5"/>
        <v/>
      </c>
      <c r="V1522" s="264" t="str">
        <f t="shared" si="6"/>
        <v/>
      </c>
      <c r="W1522" s="267" t="str">
        <f t="shared" si="8"/>
        <v/>
      </c>
      <c r="X1522" s="264" t="str">
        <f t="shared" si="7"/>
        <v/>
      </c>
    </row>
    <row r="1523" ht="15.75" customHeight="1">
      <c r="A1523" s="258"/>
      <c r="B1523" s="258"/>
      <c r="C1523" s="269"/>
      <c r="D1523" s="258"/>
      <c r="E1523" s="258"/>
      <c r="F1523" s="258"/>
      <c r="G1523" s="258"/>
      <c r="H1523" s="271"/>
      <c r="I1523" s="258"/>
      <c r="J1523" s="272"/>
      <c r="K1523" s="260"/>
      <c r="L1523" s="261"/>
      <c r="M1523" s="262" t="str">
        <f t="shared" si="1"/>
        <v/>
      </c>
      <c r="N1523" s="263" t="str">
        <f t="shared" si="2"/>
        <v/>
      </c>
      <c r="O1523" s="264" t="str">
        <f t="shared" si="3"/>
        <v/>
      </c>
      <c r="P1523" s="265" t="str">
        <f>IFERROR(__xludf.DUMMYFUNCTION("IF(ISBLANK(A1523),"""",IFERROR(IF(H1523=""Sell"",VLOOKUP(9^99,FILTER({ROW(P$2:P1522),P$2:P1522},D$2:D1522=D1523),2),(VLOOKUP(9^99,FILTER({ROW(P$2:P1522),P$2:P1522},D$2:D1522=D1523),2)*VLOOKUP(9^99,FILTER({ROW(O$2:O1522),O$2:O1522},D$2:D1522=D1523),2)-N152"&amp;"3)/O1523),J1523))"),"")</f>
        <v/>
      </c>
      <c r="Q1523" s="264" t="str">
        <f>IFERROR(__xludf.DUMMYFUNCTION("IFERROR(IF(F1523=""Crypto"",B1523,(IF(ISBLANK(D1523),"""",IF(D1523=""Cash"",B1523,IF(GOOGLEFINANCE(D1523,""CURRENCY"")=""GBX"",""GBP"",GOOGLEFINANCE(D1523,""CURRENCY"")))))),B1523)"),"")</f>
        <v/>
      </c>
      <c r="R1523" s="263" t="str">
        <f>IFERROR(__xludf.DUMMYFUNCTION("IF(ISBLANK(A1523),"""",IFERROR(IF(OR(Q1523=""GPB"",Q1523=""ZAR""),IF(Q1523=Dashboard!$L$1,K1523,(K1523*GOOGLEFINANCE(""CURRENCY:""&amp;Q1523&amp;""""&amp;Dashboard!$L$1&amp;""""))/100),IF(Q1523=Dashboard!$L$1,K1523,K1523*GOOGLEFINANCE(""CURRENCY:""&amp;Q1523&amp;""""&amp;Dashboard!$"&amp;"L$1&amp;""""))),K1523))"),"")</f>
        <v/>
      </c>
      <c r="S1523" s="266" t="str">
        <f>IFERROR(__xludf.DUMMYFUNCTION("IF(ISBLANK(A1523),"""",IFERROR(IF(OR(Q1523=""GPB"",Q1523=""ZAR""),IF(Q1523=Dashboard!$L$1,M1523,(M1523*GOOGLEFINANCE(""CURRENCY:""&amp;Q1523&amp;""""&amp;Dashboard!$L$1&amp;""""))/100),IF(Q1523=Dashboard!$L$1,M1523,M1523*GOOGLEFINANCE(""CURRENCY:""&amp;Q1523&amp;""""&amp;Dashboard!$"&amp;"L$1&amp;""""))),M1523))"),"")</f>
        <v/>
      </c>
      <c r="T1523" s="264" t="str">
        <f t="shared" si="4"/>
        <v/>
      </c>
      <c r="U1523" s="264" t="str">
        <f t="shared" si="5"/>
        <v/>
      </c>
      <c r="V1523" s="264" t="str">
        <f t="shared" si="6"/>
        <v/>
      </c>
      <c r="W1523" s="267" t="str">
        <f t="shared" si="8"/>
        <v/>
      </c>
      <c r="X1523" s="264" t="str">
        <f t="shared" si="7"/>
        <v/>
      </c>
    </row>
    <row r="1524" ht="15.75" customHeight="1">
      <c r="A1524" s="258"/>
      <c r="B1524" s="258"/>
      <c r="C1524" s="269"/>
      <c r="D1524" s="258"/>
      <c r="E1524" s="258"/>
      <c r="F1524" s="258"/>
      <c r="G1524" s="258"/>
      <c r="H1524" s="271"/>
      <c r="I1524" s="258"/>
      <c r="J1524" s="272"/>
      <c r="K1524" s="260"/>
      <c r="L1524" s="261"/>
      <c r="M1524" s="262" t="str">
        <f t="shared" si="1"/>
        <v/>
      </c>
      <c r="N1524" s="263" t="str">
        <f t="shared" si="2"/>
        <v/>
      </c>
      <c r="O1524" s="264" t="str">
        <f t="shared" si="3"/>
        <v/>
      </c>
      <c r="P1524" s="265" t="str">
        <f>IFERROR(__xludf.DUMMYFUNCTION("IF(ISBLANK(A1524),"""",IFERROR(IF(H1524=""Sell"",VLOOKUP(9^99,FILTER({ROW(P$2:P1523),P$2:P1523},D$2:D1523=D1524),2),(VLOOKUP(9^99,FILTER({ROW(P$2:P1523),P$2:P1523},D$2:D1523=D1524),2)*VLOOKUP(9^99,FILTER({ROW(O$2:O1523),O$2:O1523},D$2:D1523=D1524),2)-N152"&amp;"4)/O1524),J1524))"),"")</f>
        <v/>
      </c>
      <c r="Q1524" s="264" t="str">
        <f>IFERROR(__xludf.DUMMYFUNCTION("IFERROR(IF(F1524=""Crypto"",B1524,(IF(ISBLANK(D1524),"""",IF(D1524=""Cash"",B1524,IF(GOOGLEFINANCE(D1524,""CURRENCY"")=""GBX"",""GBP"",GOOGLEFINANCE(D1524,""CURRENCY"")))))),B1524)"),"")</f>
        <v/>
      </c>
      <c r="R1524" s="263" t="str">
        <f>IFERROR(__xludf.DUMMYFUNCTION("IF(ISBLANK(A1524),"""",IFERROR(IF(OR(Q1524=""GPB"",Q1524=""ZAR""),IF(Q1524=Dashboard!$L$1,K1524,(K1524*GOOGLEFINANCE(""CURRENCY:""&amp;Q1524&amp;""""&amp;Dashboard!$L$1&amp;""""))/100),IF(Q1524=Dashboard!$L$1,K1524,K1524*GOOGLEFINANCE(""CURRENCY:""&amp;Q1524&amp;""""&amp;Dashboard!$"&amp;"L$1&amp;""""))),K1524))"),"")</f>
        <v/>
      </c>
      <c r="S1524" s="266" t="str">
        <f>IFERROR(__xludf.DUMMYFUNCTION("IF(ISBLANK(A1524),"""",IFERROR(IF(OR(Q1524=""GPB"",Q1524=""ZAR""),IF(Q1524=Dashboard!$L$1,M1524,(M1524*GOOGLEFINANCE(""CURRENCY:""&amp;Q1524&amp;""""&amp;Dashboard!$L$1&amp;""""))/100),IF(Q1524=Dashboard!$L$1,M1524,M1524*GOOGLEFINANCE(""CURRENCY:""&amp;Q1524&amp;""""&amp;Dashboard!$"&amp;"L$1&amp;""""))),M1524))"),"")</f>
        <v/>
      </c>
      <c r="T1524" s="264" t="str">
        <f t="shared" si="4"/>
        <v/>
      </c>
      <c r="U1524" s="264" t="str">
        <f t="shared" si="5"/>
        <v/>
      </c>
      <c r="V1524" s="264" t="str">
        <f t="shared" si="6"/>
        <v/>
      </c>
      <c r="W1524" s="267" t="str">
        <f t="shared" si="8"/>
        <v/>
      </c>
      <c r="X1524" s="264" t="str">
        <f t="shared" si="7"/>
        <v/>
      </c>
    </row>
    <row r="1525" ht="15.75" customHeight="1">
      <c r="A1525" s="258"/>
      <c r="B1525" s="258"/>
      <c r="C1525" s="269"/>
      <c r="D1525" s="258"/>
      <c r="E1525" s="258"/>
      <c r="F1525" s="258"/>
      <c r="G1525" s="258"/>
      <c r="H1525" s="271"/>
      <c r="I1525" s="258"/>
      <c r="J1525" s="272"/>
      <c r="K1525" s="260"/>
      <c r="L1525" s="261"/>
      <c r="M1525" s="262" t="str">
        <f t="shared" si="1"/>
        <v/>
      </c>
      <c r="N1525" s="263" t="str">
        <f t="shared" si="2"/>
        <v/>
      </c>
      <c r="O1525" s="264" t="str">
        <f t="shared" si="3"/>
        <v/>
      </c>
      <c r="P1525" s="265" t="str">
        <f>IFERROR(__xludf.DUMMYFUNCTION("IF(ISBLANK(A1525),"""",IFERROR(IF(H1525=""Sell"",VLOOKUP(9^99,FILTER({ROW(P$2:P1524),P$2:P1524},D$2:D1524=D1525),2),(VLOOKUP(9^99,FILTER({ROW(P$2:P1524),P$2:P1524},D$2:D1524=D1525),2)*VLOOKUP(9^99,FILTER({ROW(O$2:O1524),O$2:O1524},D$2:D1524=D1525),2)-N152"&amp;"5)/O1525),J1525))"),"")</f>
        <v/>
      </c>
      <c r="Q1525" s="264" t="str">
        <f>IFERROR(__xludf.DUMMYFUNCTION("IFERROR(IF(F1525=""Crypto"",B1525,(IF(ISBLANK(D1525),"""",IF(D1525=""Cash"",B1525,IF(GOOGLEFINANCE(D1525,""CURRENCY"")=""GBX"",""GBP"",GOOGLEFINANCE(D1525,""CURRENCY"")))))),B1525)"),"")</f>
        <v/>
      </c>
      <c r="R1525" s="263" t="str">
        <f>IFERROR(__xludf.DUMMYFUNCTION("IF(ISBLANK(A1525),"""",IFERROR(IF(OR(Q1525=""GPB"",Q1525=""ZAR""),IF(Q1525=Dashboard!$L$1,K1525,(K1525*GOOGLEFINANCE(""CURRENCY:""&amp;Q1525&amp;""""&amp;Dashboard!$L$1&amp;""""))/100),IF(Q1525=Dashboard!$L$1,K1525,K1525*GOOGLEFINANCE(""CURRENCY:""&amp;Q1525&amp;""""&amp;Dashboard!$"&amp;"L$1&amp;""""))),K1525))"),"")</f>
        <v/>
      </c>
      <c r="S1525" s="266" t="str">
        <f>IFERROR(__xludf.DUMMYFUNCTION("IF(ISBLANK(A1525),"""",IFERROR(IF(OR(Q1525=""GPB"",Q1525=""ZAR""),IF(Q1525=Dashboard!$L$1,M1525,(M1525*GOOGLEFINANCE(""CURRENCY:""&amp;Q1525&amp;""""&amp;Dashboard!$L$1&amp;""""))/100),IF(Q1525=Dashboard!$L$1,M1525,M1525*GOOGLEFINANCE(""CURRENCY:""&amp;Q1525&amp;""""&amp;Dashboard!$"&amp;"L$1&amp;""""))),M1525))"),"")</f>
        <v/>
      </c>
      <c r="T1525" s="264" t="str">
        <f t="shared" si="4"/>
        <v/>
      </c>
      <c r="U1525" s="264" t="str">
        <f t="shared" si="5"/>
        <v/>
      </c>
      <c r="V1525" s="264" t="str">
        <f t="shared" si="6"/>
        <v/>
      </c>
      <c r="W1525" s="267" t="str">
        <f t="shared" si="8"/>
        <v/>
      </c>
      <c r="X1525" s="264" t="str">
        <f t="shared" si="7"/>
        <v/>
      </c>
    </row>
    <row r="1526" ht="15.75" customHeight="1">
      <c r="A1526" s="258"/>
      <c r="B1526" s="258"/>
      <c r="C1526" s="269"/>
      <c r="D1526" s="258"/>
      <c r="E1526" s="258"/>
      <c r="F1526" s="258"/>
      <c r="G1526" s="258"/>
      <c r="H1526" s="271"/>
      <c r="I1526" s="258"/>
      <c r="J1526" s="272"/>
      <c r="K1526" s="260"/>
      <c r="L1526" s="261"/>
      <c r="M1526" s="262" t="str">
        <f t="shared" si="1"/>
        <v/>
      </c>
      <c r="N1526" s="263" t="str">
        <f t="shared" si="2"/>
        <v/>
      </c>
      <c r="O1526" s="264" t="str">
        <f t="shared" si="3"/>
        <v/>
      </c>
      <c r="P1526" s="265" t="str">
        <f>IFERROR(__xludf.DUMMYFUNCTION("IF(ISBLANK(A1526),"""",IFERROR(IF(H1526=""Sell"",VLOOKUP(9^99,FILTER({ROW(P$2:P1525),P$2:P1525},D$2:D1525=D1526),2),(VLOOKUP(9^99,FILTER({ROW(P$2:P1525),P$2:P1525},D$2:D1525=D1526),2)*VLOOKUP(9^99,FILTER({ROW(O$2:O1525),O$2:O1525},D$2:D1525=D1526),2)-N152"&amp;"6)/O1526),J1526))"),"")</f>
        <v/>
      </c>
      <c r="Q1526" s="264" t="str">
        <f>IFERROR(__xludf.DUMMYFUNCTION("IFERROR(IF(F1526=""Crypto"",B1526,(IF(ISBLANK(D1526),"""",IF(D1526=""Cash"",B1526,IF(GOOGLEFINANCE(D1526,""CURRENCY"")=""GBX"",""GBP"",GOOGLEFINANCE(D1526,""CURRENCY"")))))),B1526)"),"")</f>
        <v/>
      </c>
      <c r="R1526" s="263" t="str">
        <f>IFERROR(__xludf.DUMMYFUNCTION("IF(ISBLANK(A1526),"""",IFERROR(IF(OR(Q1526=""GPB"",Q1526=""ZAR""),IF(Q1526=Dashboard!$L$1,K1526,(K1526*GOOGLEFINANCE(""CURRENCY:""&amp;Q1526&amp;""""&amp;Dashboard!$L$1&amp;""""))/100),IF(Q1526=Dashboard!$L$1,K1526,K1526*GOOGLEFINANCE(""CURRENCY:""&amp;Q1526&amp;""""&amp;Dashboard!$"&amp;"L$1&amp;""""))),K1526))"),"")</f>
        <v/>
      </c>
      <c r="S1526" s="266" t="str">
        <f>IFERROR(__xludf.DUMMYFUNCTION("IF(ISBLANK(A1526),"""",IFERROR(IF(OR(Q1526=""GPB"",Q1526=""ZAR""),IF(Q1526=Dashboard!$L$1,M1526,(M1526*GOOGLEFINANCE(""CURRENCY:""&amp;Q1526&amp;""""&amp;Dashboard!$L$1&amp;""""))/100),IF(Q1526=Dashboard!$L$1,M1526,M1526*GOOGLEFINANCE(""CURRENCY:""&amp;Q1526&amp;""""&amp;Dashboard!$"&amp;"L$1&amp;""""))),M1526))"),"")</f>
        <v/>
      </c>
      <c r="T1526" s="264" t="str">
        <f t="shared" si="4"/>
        <v/>
      </c>
      <c r="U1526" s="264" t="str">
        <f t="shared" si="5"/>
        <v/>
      </c>
      <c r="V1526" s="264" t="str">
        <f t="shared" si="6"/>
        <v/>
      </c>
      <c r="W1526" s="267" t="str">
        <f t="shared" si="8"/>
        <v/>
      </c>
      <c r="X1526" s="264" t="str">
        <f t="shared" si="7"/>
        <v/>
      </c>
    </row>
    <row r="1527" ht="15.75" customHeight="1">
      <c r="A1527" s="258"/>
      <c r="B1527" s="258"/>
      <c r="C1527" s="269"/>
      <c r="D1527" s="258"/>
      <c r="E1527" s="258"/>
      <c r="F1527" s="258"/>
      <c r="G1527" s="258"/>
      <c r="H1527" s="271"/>
      <c r="I1527" s="258"/>
      <c r="J1527" s="272"/>
      <c r="K1527" s="260"/>
      <c r="L1527" s="261"/>
      <c r="M1527" s="262" t="str">
        <f t="shared" si="1"/>
        <v/>
      </c>
      <c r="N1527" s="263" t="str">
        <f t="shared" si="2"/>
        <v/>
      </c>
      <c r="O1527" s="264" t="str">
        <f t="shared" si="3"/>
        <v/>
      </c>
      <c r="P1527" s="265" t="str">
        <f>IFERROR(__xludf.DUMMYFUNCTION("IF(ISBLANK(A1527),"""",IFERROR(IF(H1527=""Sell"",VLOOKUP(9^99,FILTER({ROW(P$2:P1526),P$2:P1526},D$2:D1526=D1527),2),(VLOOKUP(9^99,FILTER({ROW(P$2:P1526),P$2:P1526},D$2:D1526=D1527),2)*VLOOKUP(9^99,FILTER({ROW(O$2:O1526),O$2:O1526},D$2:D1526=D1527),2)-N152"&amp;"7)/O1527),J1527))"),"")</f>
        <v/>
      </c>
      <c r="Q1527" s="264" t="str">
        <f>IFERROR(__xludf.DUMMYFUNCTION("IFERROR(IF(F1527=""Crypto"",B1527,(IF(ISBLANK(D1527),"""",IF(D1527=""Cash"",B1527,IF(GOOGLEFINANCE(D1527,""CURRENCY"")=""GBX"",""GBP"",GOOGLEFINANCE(D1527,""CURRENCY"")))))),B1527)"),"")</f>
        <v/>
      </c>
      <c r="R1527" s="263" t="str">
        <f>IFERROR(__xludf.DUMMYFUNCTION("IF(ISBLANK(A1527),"""",IFERROR(IF(OR(Q1527=""GPB"",Q1527=""ZAR""),IF(Q1527=Dashboard!$L$1,K1527,(K1527*GOOGLEFINANCE(""CURRENCY:""&amp;Q1527&amp;""""&amp;Dashboard!$L$1&amp;""""))/100),IF(Q1527=Dashboard!$L$1,K1527,K1527*GOOGLEFINANCE(""CURRENCY:""&amp;Q1527&amp;""""&amp;Dashboard!$"&amp;"L$1&amp;""""))),K1527))"),"")</f>
        <v/>
      </c>
      <c r="S1527" s="266" t="str">
        <f>IFERROR(__xludf.DUMMYFUNCTION("IF(ISBLANK(A1527),"""",IFERROR(IF(OR(Q1527=""GPB"",Q1527=""ZAR""),IF(Q1527=Dashboard!$L$1,M1527,(M1527*GOOGLEFINANCE(""CURRENCY:""&amp;Q1527&amp;""""&amp;Dashboard!$L$1&amp;""""))/100),IF(Q1527=Dashboard!$L$1,M1527,M1527*GOOGLEFINANCE(""CURRENCY:""&amp;Q1527&amp;""""&amp;Dashboard!$"&amp;"L$1&amp;""""))),M1527))"),"")</f>
        <v/>
      </c>
      <c r="T1527" s="264" t="str">
        <f t="shared" si="4"/>
        <v/>
      </c>
      <c r="U1527" s="264" t="str">
        <f t="shared" si="5"/>
        <v/>
      </c>
      <c r="V1527" s="264" t="str">
        <f t="shared" si="6"/>
        <v/>
      </c>
      <c r="W1527" s="267" t="str">
        <f t="shared" si="8"/>
        <v/>
      </c>
      <c r="X1527" s="264" t="str">
        <f t="shared" si="7"/>
        <v/>
      </c>
    </row>
    <row r="1528" ht="15.75" customHeight="1">
      <c r="A1528" s="258"/>
      <c r="B1528" s="258"/>
      <c r="C1528" s="269"/>
      <c r="D1528" s="258"/>
      <c r="E1528" s="258"/>
      <c r="F1528" s="258"/>
      <c r="G1528" s="258"/>
      <c r="H1528" s="271"/>
      <c r="I1528" s="258"/>
      <c r="J1528" s="272"/>
      <c r="K1528" s="260"/>
      <c r="L1528" s="261"/>
      <c r="M1528" s="262" t="str">
        <f t="shared" si="1"/>
        <v/>
      </c>
      <c r="N1528" s="263" t="str">
        <f t="shared" si="2"/>
        <v/>
      </c>
      <c r="O1528" s="264" t="str">
        <f t="shared" si="3"/>
        <v/>
      </c>
      <c r="P1528" s="265" t="str">
        <f>IFERROR(__xludf.DUMMYFUNCTION("IF(ISBLANK(A1528),"""",IFERROR(IF(H1528=""Sell"",VLOOKUP(9^99,FILTER({ROW(P$2:P1527),P$2:P1527},D$2:D1527=D1528),2),(VLOOKUP(9^99,FILTER({ROW(P$2:P1527),P$2:P1527},D$2:D1527=D1528),2)*VLOOKUP(9^99,FILTER({ROW(O$2:O1527),O$2:O1527},D$2:D1527=D1528),2)-N152"&amp;"8)/O1528),J1528))"),"")</f>
        <v/>
      </c>
      <c r="Q1528" s="264" t="str">
        <f>IFERROR(__xludf.DUMMYFUNCTION("IFERROR(IF(F1528=""Crypto"",B1528,(IF(ISBLANK(D1528),"""",IF(D1528=""Cash"",B1528,IF(GOOGLEFINANCE(D1528,""CURRENCY"")=""GBX"",""GBP"",GOOGLEFINANCE(D1528,""CURRENCY"")))))),B1528)"),"")</f>
        <v/>
      </c>
      <c r="R1528" s="263" t="str">
        <f>IFERROR(__xludf.DUMMYFUNCTION("IF(ISBLANK(A1528),"""",IFERROR(IF(OR(Q1528=""GPB"",Q1528=""ZAR""),IF(Q1528=Dashboard!$L$1,K1528,(K1528*GOOGLEFINANCE(""CURRENCY:""&amp;Q1528&amp;""""&amp;Dashboard!$L$1&amp;""""))/100),IF(Q1528=Dashboard!$L$1,K1528,K1528*GOOGLEFINANCE(""CURRENCY:""&amp;Q1528&amp;""""&amp;Dashboard!$"&amp;"L$1&amp;""""))),K1528))"),"")</f>
        <v/>
      </c>
      <c r="S1528" s="266" t="str">
        <f>IFERROR(__xludf.DUMMYFUNCTION("IF(ISBLANK(A1528),"""",IFERROR(IF(OR(Q1528=""GPB"",Q1528=""ZAR""),IF(Q1528=Dashboard!$L$1,M1528,(M1528*GOOGLEFINANCE(""CURRENCY:""&amp;Q1528&amp;""""&amp;Dashboard!$L$1&amp;""""))/100),IF(Q1528=Dashboard!$L$1,M1528,M1528*GOOGLEFINANCE(""CURRENCY:""&amp;Q1528&amp;""""&amp;Dashboard!$"&amp;"L$1&amp;""""))),M1528))"),"")</f>
        <v/>
      </c>
      <c r="T1528" s="264" t="str">
        <f t="shared" si="4"/>
        <v/>
      </c>
      <c r="U1528" s="264" t="str">
        <f t="shared" si="5"/>
        <v/>
      </c>
      <c r="V1528" s="264" t="str">
        <f t="shared" si="6"/>
        <v/>
      </c>
      <c r="W1528" s="267" t="str">
        <f t="shared" si="8"/>
        <v/>
      </c>
      <c r="X1528" s="264" t="str">
        <f t="shared" si="7"/>
        <v/>
      </c>
    </row>
    <row r="1529" ht="15.75" customHeight="1">
      <c r="A1529" s="258"/>
      <c r="B1529" s="258"/>
      <c r="C1529" s="269"/>
      <c r="D1529" s="258"/>
      <c r="E1529" s="258"/>
      <c r="F1529" s="258"/>
      <c r="G1529" s="258"/>
      <c r="H1529" s="271"/>
      <c r="I1529" s="258"/>
      <c r="J1529" s="272"/>
      <c r="K1529" s="260"/>
      <c r="L1529" s="261"/>
      <c r="M1529" s="262" t="str">
        <f t="shared" si="1"/>
        <v/>
      </c>
      <c r="N1529" s="263" t="str">
        <f t="shared" si="2"/>
        <v/>
      </c>
      <c r="O1529" s="264" t="str">
        <f t="shared" si="3"/>
        <v/>
      </c>
      <c r="P1529" s="265" t="str">
        <f>IFERROR(__xludf.DUMMYFUNCTION("IF(ISBLANK(A1529),"""",IFERROR(IF(H1529=""Sell"",VLOOKUP(9^99,FILTER({ROW(P$2:P1528),P$2:P1528},D$2:D1528=D1529),2),(VLOOKUP(9^99,FILTER({ROW(P$2:P1528),P$2:P1528},D$2:D1528=D1529),2)*VLOOKUP(9^99,FILTER({ROW(O$2:O1528),O$2:O1528},D$2:D1528=D1529),2)-N152"&amp;"9)/O1529),J1529))"),"")</f>
        <v/>
      </c>
      <c r="Q1529" s="264" t="str">
        <f>IFERROR(__xludf.DUMMYFUNCTION("IFERROR(IF(F1529=""Crypto"",B1529,(IF(ISBLANK(D1529),"""",IF(D1529=""Cash"",B1529,IF(GOOGLEFINANCE(D1529,""CURRENCY"")=""GBX"",""GBP"",GOOGLEFINANCE(D1529,""CURRENCY"")))))),B1529)"),"")</f>
        <v/>
      </c>
      <c r="R1529" s="263" t="str">
        <f>IFERROR(__xludf.DUMMYFUNCTION("IF(ISBLANK(A1529),"""",IFERROR(IF(OR(Q1529=""GPB"",Q1529=""ZAR""),IF(Q1529=Dashboard!$L$1,K1529,(K1529*GOOGLEFINANCE(""CURRENCY:""&amp;Q1529&amp;""""&amp;Dashboard!$L$1&amp;""""))/100),IF(Q1529=Dashboard!$L$1,K1529,K1529*GOOGLEFINANCE(""CURRENCY:""&amp;Q1529&amp;""""&amp;Dashboard!$"&amp;"L$1&amp;""""))),K1529))"),"")</f>
        <v/>
      </c>
      <c r="S1529" s="266" t="str">
        <f>IFERROR(__xludf.DUMMYFUNCTION("IF(ISBLANK(A1529),"""",IFERROR(IF(OR(Q1529=""GPB"",Q1529=""ZAR""),IF(Q1529=Dashboard!$L$1,M1529,(M1529*GOOGLEFINANCE(""CURRENCY:""&amp;Q1529&amp;""""&amp;Dashboard!$L$1&amp;""""))/100),IF(Q1529=Dashboard!$L$1,M1529,M1529*GOOGLEFINANCE(""CURRENCY:""&amp;Q1529&amp;""""&amp;Dashboard!$"&amp;"L$1&amp;""""))),M1529))"),"")</f>
        <v/>
      </c>
      <c r="T1529" s="264" t="str">
        <f t="shared" si="4"/>
        <v/>
      </c>
      <c r="U1529" s="264" t="str">
        <f t="shared" si="5"/>
        <v/>
      </c>
      <c r="V1529" s="264" t="str">
        <f t="shared" si="6"/>
        <v/>
      </c>
      <c r="W1529" s="267" t="str">
        <f t="shared" si="8"/>
        <v/>
      </c>
      <c r="X1529" s="264" t="str">
        <f t="shared" si="7"/>
        <v/>
      </c>
    </row>
    <row r="1530" ht="15.75" customHeight="1">
      <c r="A1530" s="258"/>
      <c r="B1530" s="258"/>
      <c r="C1530" s="269"/>
      <c r="D1530" s="258"/>
      <c r="E1530" s="258"/>
      <c r="F1530" s="258"/>
      <c r="G1530" s="258"/>
      <c r="H1530" s="271"/>
      <c r="I1530" s="258"/>
      <c r="J1530" s="272"/>
      <c r="K1530" s="260"/>
      <c r="L1530" s="261"/>
      <c r="M1530" s="262" t="str">
        <f t="shared" si="1"/>
        <v/>
      </c>
      <c r="N1530" s="263" t="str">
        <f t="shared" si="2"/>
        <v/>
      </c>
      <c r="O1530" s="264" t="str">
        <f t="shared" si="3"/>
        <v/>
      </c>
      <c r="P1530" s="265" t="str">
        <f>IFERROR(__xludf.DUMMYFUNCTION("IF(ISBLANK(A1530),"""",IFERROR(IF(H1530=""Sell"",VLOOKUP(9^99,FILTER({ROW(P$2:P1529),P$2:P1529},D$2:D1529=D1530),2),(VLOOKUP(9^99,FILTER({ROW(P$2:P1529),P$2:P1529},D$2:D1529=D1530),2)*VLOOKUP(9^99,FILTER({ROW(O$2:O1529),O$2:O1529},D$2:D1529=D1530),2)-N153"&amp;"0)/O1530),J1530))"),"")</f>
        <v/>
      </c>
      <c r="Q1530" s="264" t="str">
        <f>IFERROR(__xludf.DUMMYFUNCTION("IFERROR(IF(F1530=""Crypto"",B1530,(IF(ISBLANK(D1530),"""",IF(D1530=""Cash"",B1530,IF(GOOGLEFINANCE(D1530,""CURRENCY"")=""GBX"",""GBP"",GOOGLEFINANCE(D1530,""CURRENCY"")))))),B1530)"),"")</f>
        <v/>
      </c>
      <c r="R1530" s="263" t="str">
        <f>IFERROR(__xludf.DUMMYFUNCTION("IF(ISBLANK(A1530),"""",IFERROR(IF(OR(Q1530=""GPB"",Q1530=""ZAR""),IF(Q1530=Dashboard!$L$1,K1530,(K1530*GOOGLEFINANCE(""CURRENCY:""&amp;Q1530&amp;""""&amp;Dashboard!$L$1&amp;""""))/100),IF(Q1530=Dashboard!$L$1,K1530,K1530*GOOGLEFINANCE(""CURRENCY:""&amp;Q1530&amp;""""&amp;Dashboard!$"&amp;"L$1&amp;""""))),K1530))"),"")</f>
        <v/>
      </c>
      <c r="S1530" s="266" t="str">
        <f>IFERROR(__xludf.DUMMYFUNCTION("IF(ISBLANK(A1530),"""",IFERROR(IF(OR(Q1530=""GPB"",Q1530=""ZAR""),IF(Q1530=Dashboard!$L$1,M1530,(M1530*GOOGLEFINANCE(""CURRENCY:""&amp;Q1530&amp;""""&amp;Dashboard!$L$1&amp;""""))/100),IF(Q1530=Dashboard!$L$1,M1530,M1530*GOOGLEFINANCE(""CURRENCY:""&amp;Q1530&amp;""""&amp;Dashboard!$"&amp;"L$1&amp;""""))),M1530))"),"")</f>
        <v/>
      </c>
      <c r="T1530" s="264" t="str">
        <f t="shared" si="4"/>
        <v/>
      </c>
      <c r="U1530" s="264" t="str">
        <f t="shared" si="5"/>
        <v/>
      </c>
      <c r="V1530" s="264" t="str">
        <f t="shared" si="6"/>
        <v/>
      </c>
      <c r="W1530" s="267" t="str">
        <f t="shared" si="8"/>
        <v/>
      </c>
      <c r="X1530" s="264" t="str">
        <f t="shared" si="7"/>
        <v/>
      </c>
    </row>
    <row r="1531" ht="15.75" customHeight="1">
      <c r="A1531" s="258"/>
      <c r="B1531" s="258"/>
      <c r="C1531" s="269"/>
      <c r="D1531" s="258"/>
      <c r="E1531" s="258"/>
      <c r="F1531" s="258"/>
      <c r="G1531" s="258"/>
      <c r="H1531" s="271"/>
      <c r="I1531" s="258"/>
      <c r="J1531" s="272"/>
      <c r="K1531" s="260"/>
      <c r="L1531" s="261"/>
      <c r="M1531" s="262" t="str">
        <f t="shared" si="1"/>
        <v/>
      </c>
      <c r="N1531" s="263" t="str">
        <f t="shared" si="2"/>
        <v/>
      </c>
      <c r="O1531" s="264" t="str">
        <f t="shared" si="3"/>
        <v/>
      </c>
      <c r="P1531" s="265" t="str">
        <f>IFERROR(__xludf.DUMMYFUNCTION("IF(ISBLANK(A1531),"""",IFERROR(IF(H1531=""Sell"",VLOOKUP(9^99,FILTER({ROW(P$2:P1530),P$2:P1530},D$2:D1530=D1531),2),(VLOOKUP(9^99,FILTER({ROW(P$2:P1530),P$2:P1530},D$2:D1530=D1531),2)*VLOOKUP(9^99,FILTER({ROW(O$2:O1530),O$2:O1530},D$2:D1530=D1531),2)-N153"&amp;"1)/O1531),J1531))"),"")</f>
        <v/>
      </c>
      <c r="Q1531" s="264" t="str">
        <f>IFERROR(__xludf.DUMMYFUNCTION("IFERROR(IF(F1531=""Crypto"",B1531,(IF(ISBLANK(D1531),"""",IF(D1531=""Cash"",B1531,IF(GOOGLEFINANCE(D1531,""CURRENCY"")=""GBX"",""GBP"",GOOGLEFINANCE(D1531,""CURRENCY"")))))),B1531)"),"")</f>
        <v/>
      </c>
      <c r="R1531" s="263" t="str">
        <f>IFERROR(__xludf.DUMMYFUNCTION("IF(ISBLANK(A1531),"""",IFERROR(IF(OR(Q1531=""GPB"",Q1531=""ZAR""),IF(Q1531=Dashboard!$L$1,K1531,(K1531*GOOGLEFINANCE(""CURRENCY:""&amp;Q1531&amp;""""&amp;Dashboard!$L$1&amp;""""))/100),IF(Q1531=Dashboard!$L$1,K1531,K1531*GOOGLEFINANCE(""CURRENCY:""&amp;Q1531&amp;""""&amp;Dashboard!$"&amp;"L$1&amp;""""))),K1531))"),"")</f>
        <v/>
      </c>
      <c r="S1531" s="266" t="str">
        <f>IFERROR(__xludf.DUMMYFUNCTION("IF(ISBLANK(A1531),"""",IFERROR(IF(OR(Q1531=""GPB"",Q1531=""ZAR""),IF(Q1531=Dashboard!$L$1,M1531,(M1531*GOOGLEFINANCE(""CURRENCY:""&amp;Q1531&amp;""""&amp;Dashboard!$L$1&amp;""""))/100),IF(Q1531=Dashboard!$L$1,M1531,M1531*GOOGLEFINANCE(""CURRENCY:""&amp;Q1531&amp;""""&amp;Dashboard!$"&amp;"L$1&amp;""""))),M1531))"),"")</f>
        <v/>
      </c>
      <c r="T1531" s="264" t="str">
        <f t="shared" si="4"/>
        <v/>
      </c>
      <c r="U1531" s="264" t="str">
        <f t="shared" si="5"/>
        <v/>
      </c>
      <c r="V1531" s="264" t="str">
        <f t="shared" si="6"/>
        <v/>
      </c>
      <c r="W1531" s="267" t="str">
        <f t="shared" si="8"/>
        <v/>
      </c>
      <c r="X1531" s="264" t="str">
        <f t="shared" si="7"/>
        <v/>
      </c>
    </row>
    <row r="1532" ht="15.75" customHeight="1">
      <c r="A1532" s="258"/>
      <c r="B1532" s="258"/>
      <c r="C1532" s="269"/>
      <c r="D1532" s="258"/>
      <c r="E1532" s="258"/>
      <c r="F1532" s="258"/>
      <c r="G1532" s="258"/>
      <c r="H1532" s="271"/>
      <c r="I1532" s="258"/>
      <c r="J1532" s="272"/>
      <c r="K1532" s="260"/>
      <c r="L1532" s="261"/>
      <c r="M1532" s="262" t="str">
        <f t="shared" si="1"/>
        <v/>
      </c>
      <c r="N1532" s="263" t="str">
        <f t="shared" si="2"/>
        <v/>
      </c>
      <c r="O1532" s="264" t="str">
        <f t="shared" si="3"/>
        <v/>
      </c>
      <c r="P1532" s="265" t="str">
        <f>IFERROR(__xludf.DUMMYFUNCTION("IF(ISBLANK(A1532),"""",IFERROR(IF(H1532=""Sell"",VLOOKUP(9^99,FILTER({ROW(P$2:P1531),P$2:P1531},D$2:D1531=D1532),2),(VLOOKUP(9^99,FILTER({ROW(P$2:P1531),P$2:P1531},D$2:D1531=D1532),2)*VLOOKUP(9^99,FILTER({ROW(O$2:O1531),O$2:O1531},D$2:D1531=D1532),2)-N153"&amp;"2)/O1532),J1532))"),"")</f>
        <v/>
      </c>
      <c r="Q1532" s="264" t="str">
        <f>IFERROR(__xludf.DUMMYFUNCTION("IFERROR(IF(F1532=""Crypto"",B1532,(IF(ISBLANK(D1532),"""",IF(D1532=""Cash"",B1532,IF(GOOGLEFINANCE(D1532,""CURRENCY"")=""GBX"",""GBP"",GOOGLEFINANCE(D1532,""CURRENCY"")))))),B1532)"),"")</f>
        <v/>
      </c>
      <c r="R1532" s="263" t="str">
        <f>IFERROR(__xludf.DUMMYFUNCTION("IF(ISBLANK(A1532),"""",IFERROR(IF(OR(Q1532=""GPB"",Q1532=""ZAR""),IF(Q1532=Dashboard!$L$1,K1532,(K1532*GOOGLEFINANCE(""CURRENCY:""&amp;Q1532&amp;""""&amp;Dashboard!$L$1&amp;""""))/100),IF(Q1532=Dashboard!$L$1,K1532,K1532*GOOGLEFINANCE(""CURRENCY:""&amp;Q1532&amp;""""&amp;Dashboard!$"&amp;"L$1&amp;""""))),K1532))"),"")</f>
        <v/>
      </c>
      <c r="S1532" s="266" t="str">
        <f>IFERROR(__xludf.DUMMYFUNCTION("IF(ISBLANK(A1532),"""",IFERROR(IF(OR(Q1532=""GPB"",Q1532=""ZAR""),IF(Q1532=Dashboard!$L$1,M1532,(M1532*GOOGLEFINANCE(""CURRENCY:""&amp;Q1532&amp;""""&amp;Dashboard!$L$1&amp;""""))/100),IF(Q1532=Dashboard!$L$1,M1532,M1532*GOOGLEFINANCE(""CURRENCY:""&amp;Q1532&amp;""""&amp;Dashboard!$"&amp;"L$1&amp;""""))),M1532))"),"")</f>
        <v/>
      </c>
      <c r="T1532" s="264" t="str">
        <f t="shared" si="4"/>
        <v/>
      </c>
      <c r="U1532" s="264" t="str">
        <f t="shared" si="5"/>
        <v/>
      </c>
      <c r="V1532" s="264" t="str">
        <f t="shared" si="6"/>
        <v/>
      </c>
      <c r="W1532" s="267" t="str">
        <f t="shared" si="8"/>
        <v/>
      </c>
      <c r="X1532" s="264" t="str">
        <f t="shared" si="7"/>
        <v/>
      </c>
    </row>
    <row r="1533" ht="15.75" customHeight="1">
      <c r="A1533" s="258"/>
      <c r="B1533" s="258"/>
      <c r="C1533" s="269"/>
      <c r="D1533" s="258"/>
      <c r="E1533" s="258"/>
      <c r="F1533" s="258"/>
      <c r="G1533" s="258"/>
      <c r="H1533" s="271"/>
      <c r="I1533" s="258"/>
      <c r="J1533" s="272"/>
      <c r="K1533" s="260"/>
      <c r="L1533" s="261"/>
      <c r="M1533" s="262" t="str">
        <f t="shared" si="1"/>
        <v/>
      </c>
      <c r="N1533" s="263" t="str">
        <f t="shared" si="2"/>
        <v/>
      </c>
      <c r="O1533" s="264" t="str">
        <f t="shared" si="3"/>
        <v/>
      </c>
      <c r="P1533" s="265" t="str">
        <f>IFERROR(__xludf.DUMMYFUNCTION("IF(ISBLANK(A1533),"""",IFERROR(IF(H1533=""Sell"",VLOOKUP(9^99,FILTER({ROW(P$2:P1532),P$2:P1532},D$2:D1532=D1533),2),(VLOOKUP(9^99,FILTER({ROW(P$2:P1532),P$2:P1532},D$2:D1532=D1533),2)*VLOOKUP(9^99,FILTER({ROW(O$2:O1532),O$2:O1532},D$2:D1532=D1533),2)-N153"&amp;"3)/O1533),J1533))"),"")</f>
        <v/>
      </c>
      <c r="Q1533" s="264" t="str">
        <f>IFERROR(__xludf.DUMMYFUNCTION("IFERROR(IF(F1533=""Crypto"",B1533,(IF(ISBLANK(D1533),"""",IF(D1533=""Cash"",B1533,IF(GOOGLEFINANCE(D1533,""CURRENCY"")=""GBX"",""GBP"",GOOGLEFINANCE(D1533,""CURRENCY"")))))),B1533)"),"")</f>
        <v/>
      </c>
      <c r="R1533" s="263" t="str">
        <f>IFERROR(__xludf.DUMMYFUNCTION("IF(ISBLANK(A1533),"""",IFERROR(IF(OR(Q1533=""GPB"",Q1533=""ZAR""),IF(Q1533=Dashboard!$L$1,K1533,(K1533*GOOGLEFINANCE(""CURRENCY:""&amp;Q1533&amp;""""&amp;Dashboard!$L$1&amp;""""))/100),IF(Q1533=Dashboard!$L$1,K1533,K1533*GOOGLEFINANCE(""CURRENCY:""&amp;Q1533&amp;""""&amp;Dashboard!$"&amp;"L$1&amp;""""))),K1533))"),"")</f>
        <v/>
      </c>
      <c r="S1533" s="266" t="str">
        <f>IFERROR(__xludf.DUMMYFUNCTION("IF(ISBLANK(A1533),"""",IFERROR(IF(OR(Q1533=""GPB"",Q1533=""ZAR""),IF(Q1533=Dashboard!$L$1,M1533,(M1533*GOOGLEFINANCE(""CURRENCY:""&amp;Q1533&amp;""""&amp;Dashboard!$L$1&amp;""""))/100),IF(Q1533=Dashboard!$L$1,M1533,M1533*GOOGLEFINANCE(""CURRENCY:""&amp;Q1533&amp;""""&amp;Dashboard!$"&amp;"L$1&amp;""""))),M1533))"),"")</f>
        <v/>
      </c>
      <c r="T1533" s="264" t="str">
        <f t="shared" si="4"/>
        <v/>
      </c>
      <c r="U1533" s="264" t="str">
        <f t="shared" si="5"/>
        <v/>
      </c>
      <c r="V1533" s="264" t="str">
        <f t="shared" si="6"/>
        <v/>
      </c>
      <c r="W1533" s="267" t="str">
        <f t="shared" si="8"/>
        <v/>
      </c>
      <c r="X1533" s="264" t="str">
        <f t="shared" si="7"/>
        <v/>
      </c>
    </row>
    <row r="1534" ht="15.75" customHeight="1">
      <c r="A1534" s="258"/>
      <c r="B1534" s="258"/>
      <c r="C1534" s="269"/>
      <c r="D1534" s="258"/>
      <c r="E1534" s="258"/>
      <c r="F1534" s="258"/>
      <c r="G1534" s="258"/>
      <c r="H1534" s="271"/>
      <c r="I1534" s="258"/>
      <c r="J1534" s="272"/>
      <c r="K1534" s="260"/>
      <c r="L1534" s="261"/>
      <c r="M1534" s="262" t="str">
        <f t="shared" si="1"/>
        <v/>
      </c>
      <c r="N1534" s="263" t="str">
        <f t="shared" si="2"/>
        <v/>
      </c>
      <c r="O1534" s="264" t="str">
        <f t="shared" si="3"/>
        <v/>
      </c>
      <c r="P1534" s="265" t="str">
        <f>IFERROR(__xludf.DUMMYFUNCTION("IF(ISBLANK(A1534),"""",IFERROR(IF(H1534=""Sell"",VLOOKUP(9^99,FILTER({ROW(P$2:P1533),P$2:P1533},D$2:D1533=D1534),2),(VLOOKUP(9^99,FILTER({ROW(P$2:P1533),P$2:P1533},D$2:D1533=D1534),2)*VLOOKUP(9^99,FILTER({ROW(O$2:O1533),O$2:O1533},D$2:D1533=D1534),2)-N153"&amp;"4)/O1534),J1534))"),"")</f>
        <v/>
      </c>
      <c r="Q1534" s="264" t="str">
        <f>IFERROR(__xludf.DUMMYFUNCTION("IFERROR(IF(F1534=""Crypto"",B1534,(IF(ISBLANK(D1534),"""",IF(D1534=""Cash"",B1534,IF(GOOGLEFINANCE(D1534,""CURRENCY"")=""GBX"",""GBP"",GOOGLEFINANCE(D1534,""CURRENCY"")))))),B1534)"),"")</f>
        <v/>
      </c>
      <c r="R1534" s="263" t="str">
        <f>IFERROR(__xludf.DUMMYFUNCTION("IF(ISBLANK(A1534),"""",IFERROR(IF(OR(Q1534=""GPB"",Q1534=""ZAR""),IF(Q1534=Dashboard!$L$1,K1534,(K1534*GOOGLEFINANCE(""CURRENCY:""&amp;Q1534&amp;""""&amp;Dashboard!$L$1&amp;""""))/100),IF(Q1534=Dashboard!$L$1,K1534,K1534*GOOGLEFINANCE(""CURRENCY:""&amp;Q1534&amp;""""&amp;Dashboard!$"&amp;"L$1&amp;""""))),K1534))"),"")</f>
        <v/>
      </c>
      <c r="S1534" s="266" t="str">
        <f>IFERROR(__xludf.DUMMYFUNCTION("IF(ISBLANK(A1534),"""",IFERROR(IF(OR(Q1534=""GPB"",Q1534=""ZAR""),IF(Q1534=Dashboard!$L$1,M1534,(M1534*GOOGLEFINANCE(""CURRENCY:""&amp;Q1534&amp;""""&amp;Dashboard!$L$1&amp;""""))/100),IF(Q1534=Dashboard!$L$1,M1534,M1534*GOOGLEFINANCE(""CURRENCY:""&amp;Q1534&amp;""""&amp;Dashboard!$"&amp;"L$1&amp;""""))),M1534))"),"")</f>
        <v/>
      </c>
      <c r="T1534" s="264" t="str">
        <f t="shared" si="4"/>
        <v/>
      </c>
      <c r="U1534" s="264" t="str">
        <f t="shared" si="5"/>
        <v/>
      </c>
      <c r="V1534" s="264" t="str">
        <f t="shared" si="6"/>
        <v/>
      </c>
      <c r="W1534" s="267" t="str">
        <f t="shared" si="8"/>
        <v/>
      </c>
      <c r="X1534" s="264" t="str">
        <f t="shared" si="7"/>
        <v/>
      </c>
    </row>
    <row r="1535" ht="15.75" customHeight="1">
      <c r="A1535" s="258"/>
      <c r="B1535" s="258"/>
      <c r="C1535" s="269"/>
      <c r="D1535" s="258"/>
      <c r="E1535" s="258"/>
      <c r="F1535" s="258"/>
      <c r="G1535" s="258"/>
      <c r="H1535" s="271"/>
      <c r="I1535" s="258"/>
      <c r="J1535" s="272"/>
      <c r="K1535" s="260"/>
      <c r="L1535" s="261"/>
      <c r="M1535" s="262" t="str">
        <f t="shared" si="1"/>
        <v/>
      </c>
      <c r="N1535" s="263" t="str">
        <f t="shared" si="2"/>
        <v/>
      </c>
      <c r="O1535" s="264" t="str">
        <f t="shared" si="3"/>
        <v/>
      </c>
      <c r="P1535" s="265" t="str">
        <f>IFERROR(__xludf.DUMMYFUNCTION("IF(ISBLANK(A1535),"""",IFERROR(IF(H1535=""Sell"",VLOOKUP(9^99,FILTER({ROW(P$2:P1534),P$2:P1534},D$2:D1534=D1535),2),(VLOOKUP(9^99,FILTER({ROW(P$2:P1534),P$2:P1534},D$2:D1534=D1535),2)*VLOOKUP(9^99,FILTER({ROW(O$2:O1534),O$2:O1534},D$2:D1534=D1535),2)-N153"&amp;"5)/O1535),J1535))"),"")</f>
        <v/>
      </c>
      <c r="Q1535" s="264" t="str">
        <f>IFERROR(__xludf.DUMMYFUNCTION("IFERROR(IF(F1535=""Crypto"",B1535,(IF(ISBLANK(D1535),"""",IF(D1535=""Cash"",B1535,IF(GOOGLEFINANCE(D1535,""CURRENCY"")=""GBX"",""GBP"",GOOGLEFINANCE(D1535,""CURRENCY"")))))),B1535)"),"")</f>
        <v/>
      </c>
      <c r="R1535" s="263" t="str">
        <f>IFERROR(__xludf.DUMMYFUNCTION("IF(ISBLANK(A1535),"""",IFERROR(IF(OR(Q1535=""GPB"",Q1535=""ZAR""),IF(Q1535=Dashboard!$L$1,K1535,(K1535*GOOGLEFINANCE(""CURRENCY:""&amp;Q1535&amp;""""&amp;Dashboard!$L$1&amp;""""))/100),IF(Q1535=Dashboard!$L$1,K1535,K1535*GOOGLEFINANCE(""CURRENCY:""&amp;Q1535&amp;""""&amp;Dashboard!$"&amp;"L$1&amp;""""))),K1535))"),"")</f>
        <v/>
      </c>
      <c r="S1535" s="266" t="str">
        <f>IFERROR(__xludf.DUMMYFUNCTION("IF(ISBLANK(A1535),"""",IFERROR(IF(OR(Q1535=""GPB"",Q1535=""ZAR""),IF(Q1535=Dashboard!$L$1,M1535,(M1535*GOOGLEFINANCE(""CURRENCY:""&amp;Q1535&amp;""""&amp;Dashboard!$L$1&amp;""""))/100),IF(Q1535=Dashboard!$L$1,M1535,M1535*GOOGLEFINANCE(""CURRENCY:""&amp;Q1535&amp;""""&amp;Dashboard!$"&amp;"L$1&amp;""""))),M1535))"),"")</f>
        <v/>
      </c>
      <c r="T1535" s="264" t="str">
        <f t="shared" si="4"/>
        <v/>
      </c>
      <c r="U1535" s="264" t="str">
        <f t="shared" si="5"/>
        <v/>
      </c>
      <c r="V1535" s="264" t="str">
        <f t="shared" si="6"/>
        <v/>
      </c>
      <c r="W1535" s="267" t="str">
        <f t="shared" si="8"/>
        <v/>
      </c>
      <c r="X1535" s="264" t="str">
        <f t="shared" si="7"/>
        <v/>
      </c>
    </row>
    <row r="1536" ht="15.75" customHeight="1">
      <c r="A1536" s="258"/>
      <c r="B1536" s="258"/>
      <c r="C1536" s="269"/>
      <c r="D1536" s="258"/>
      <c r="E1536" s="258"/>
      <c r="F1536" s="258"/>
      <c r="G1536" s="258"/>
      <c r="H1536" s="271"/>
      <c r="I1536" s="258"/>
      <c r="J1536" s="272"/>
      <c r="K1536" s="260"/>
      <c r="L1536" s="261"/>
      <c r="M1536" s="262" t="str">
        <f t="shared" si="1"/>
        <v/>
      </c>
      <c r="N1536" s="263" t="str">
        <f t="shared" si="2"/>
        <v/>
      </c>
      <c r="O1536" s="264" t="str">
        <f t="shared" si="3"/>
        <v/>
      </c>
      <c r="P1536" s="265" t="str">
        <f>IFERROR(__xludf.DUMMYFUNCTION("IF(ISBLANK(A1536),"""",IFERROR(IF(H1536=""Sell"",VLOOKUP(9^99,FILTER({ROW(P$2:P1535),P$2:P1535},D$2:D1535=D1536),2),(VLOOKUP(9^99,FILTER({ROW(P$2:P1535),P$2:P1535},D$2:D1535=D1536),2)*VLOOKUP(9^99,FILTER({ROW(O$2:O1535),O$2:O1535},D$2:D1535=D1536),2)-N153"&amp;"6)/O1536),J1536))"),"")</f>
        <v/>
      </c>
      <c r="Q1536" s="264" t="str">
        <f>IFERROR(__xludf.DUMMYFUNCTION("IFERROR(IF(F1536=""Crypto"",B1536,(IF(ISBLANK(D1536),"""",IF(D1536=""Cash"",B1536,IF(GOOGLEFINANCE(D1536,""CURRENCY"")=""GBX"",""GBP"",GOOGLEFINANCE(D1536,""CURRENCY"")))))),B1536)"),"")</f>
        <v/>
      </c>
      <c r="R1536" s="263" t="str">
        <f>IFERROR(__xludf.DUMMYFUNCTION("IF(ISBLANK(A1536),"""",IFERROR(IF(OR(Q1536=""GPB"",Q1536=""ZAR""),IF(Q1536=Dashboard!$L$1,K1536,(K1536*GOOGLEFINANCE(""CURRENCY:""&amp;Q1536&amp;""""&amp;Dashboard!$L$1&amp;""""))/100),IF(Q1536=Dashboard!$L$1,K1536,K1536*GOOGLEFINANCE(""CURRENCY:""&amp;Q1536&amp;""""&amp;Dashboard!$"&amp;"L$1&amp;""""))),K1536))"),"")</f>
        <v/>
      </c>
      <c r="S1536" s="266" t="str">
        <f>IFERROR(__xludf.DUMMYFUNCTION("IF(ISBLANK(A1536),"""",IFERROR(IF(OR(Q1536=""GPB"",Q1536=""ZAR""),IF(Q1536=Dashboard!$L$1,M1536,(M1536*GOOGLEFINANCE(""CURRENCY:""&amp;Q1536&amp;""""&amp;Dashboard!$L$1&amp;""""))/100),IF(Q1536=Dashboard!$L$1,M1536,M1536*GOOGLEFINANCE(""CURRENCY:""&amp;Q1536&amp;""""&amp;Dashboard!$"&amp;"L$1&amp;""""))),M1536))"),"")</f>
        <v/>
      </c>
      <c r="T1536" s="264" t="str">
        <f t="shared" si="4"/>
        <v/>
      </c>
      <c r="U1536" s="264" t="str">
        <f t="shared" si="5"/>
        <v/>
      </c>
      <c r="V1536" s="264" t="str">
        <f t="shared" si="6"/>
        <v/>
      </c>
      <c r="W1536" s="267" t="str">
        <f t="shared" si="8"/>
        <v/>
      </c>
      <c r="X1536" s="264" t="str">
        <f t="shared" si="7"/>
        <v/>
      </c>
    </row>
    <row r="1537" ht="15.75" customHeight="1">
      <c r="A1537" s="258"/>
      <c r="B1537" s="258"/>
      <c r="C1537" s="269"/>
      <c r="D1537" s="258"/>
      <c r="E1537" s="258"/>
      <c r="F1537" s="258"/>
      <c r="G1537" s="258"/>
      <c r="H1537" s="271"/>
      <c r="I1537" s="258"/>
      <c r="J1537" s="272"/>
      <c r="K1537" s="260"/>
      <c r="L1537" s="261"/>
      <c r="M1537" s="262" t="str">
        <f t="shared" si="1"/>
        <v/>
      </c>
      <c r="N1537" s="263" t="str">
        <f t="shared" si="2"/>
        <v/>
      </c>
      <c r="O1537" s="264" t="str">
        <f t="shared" si="3"/>
        <v/>
      </c>
      <c r="P1537" s="265" t="str">
        <f>IFERROR(__xludf.DUMMYFUNCTION("IF(ISBLANK(A1537),"""",IFERROR(IF(H1537=""Sell"",VLOOKUP(9^99,FILTER({ROW(P$2:P1536),P$2:P1536},D$2:D1536=D1537),2),(VLOOKUP(9^99,FILTER({ROW(P$2:P1536),P$2:P1536},D$2:D1536=D1537),2)*VLOOKUP(9^99,FILTER({ROW(O$2:O1536),O$2:O1536},D$2:D1536=D1537),2)-N153"&amp;"7)/O1537),J1537))"),"")</f>
        <v/>
      </c>
      <c r="Q1537" s="264" t="str">
        <f>IFERROR(__xludf.DUMMYFUNCTION("IFERROR(IF(F1537=""Crypto"",B1537,(IF(ISBLANK(D1537),"""",IF(D1537=""Cash"",B1537,IF(GOOGLEFINANCE(D1537,""CURRENCY"")=""GBX"",""GBP"",GOOGLEFINANCE(D1537,""CURRENCY"")))))),B1537)"),"")</f>
        <v/>
      </c>
      <c r="R1537" s="263" t="str">
        <f>IFERROR(__xludf.DUMMYFUNCTION("IF(ISBLANK(A1537),"""",IFERROR(IF(OR(Q1537=""GPB"",Q1537=""ZAR""),IF(Q1537=Dashboard!$L$1,K1537,(K1537*GOOGLEFINANCE(""CURRENCY:""&amp;Q1537&amp;""""&amp;Dashboard!$L$1&amp;""""))/100),IF(Q1537=Dashboard!$L$1,K1537,K1537*GOOGLEFINANCE(""CURRENCY:""&amp;Q1537&amp;""""&amp;Dashboard!$"&amp;"L$1&amp;""""))),K1537))"),"")</f>
        <v/>
      </c>
      <c r="S1537" s="266" t="str">
        <f>IFERROR(__xludf.DUMMYFUNCTION("IF(ISBLANK(A1537),"""",IFERROR(IF(OR(Q1537=""GPB"",Q1537=""ZAR""),IF(Q1537=Dashboard!$L$1,M1537,(M1537*GOOGLEFINANCE(""CURRENCY:""&amp;Q1537&amp;""""&amp;Dashboard!$L$1&amp;""""))/100),IF(Q1537=Dashboard!$L$1,M1537,M1537*GOOGLEFINANCE(""CURRENCY:""&amp;Q1537&amp;""""&amp;Dashboard!$"&amp;"L$1&amp;""""))),M1537))"),"")</f>
        <v/>
      </c>
      <c r="T1537" s="264" t="str">
        <f t="shared" si="4"/>
        <v/>
      </c>
      <c r="U1537" s="264" t="str">
        <f t="shared" si="5"/>
        <v/>
      </c>
      <c r="V1537" s="264" t="str">
        <f t="shared" si="6"/>
        <v/>
      </c>
      <c r="W1537" s="267" t="str">
        <f t="shared" si="8"/>
        <v/>
      </c>
      <c r="X1537" s="264" t="str">
        <f t="shared" si="7"/>
        <v/>
      </c>
    </row>
    <row r="1538" ht="15.75" customHeight="1">
      <c r="A1538" s="258"/>
      <c r="B1538" s="258"/>
      <c r="C1538" s="269"/>
      <c r="D1538" s="258"/>
      <c r="E1538" s="258"/>
      <c r="F1538" s="258"/>
      <c r="G1538" s="258"/>
      <c r="H1538" s="271"/>
      <c r="I1538" s="258"/>
      <c r="J1538" s="272"/>
      <c r="K1538" s="260"/>
      <c r="L1538" s="261"/>
      <c r="M1538" s="262" t="str">
        <f t="shared" si="1"/>
        <v/>
      </c>
      <c r="N1538" s="263" t="str">
        <f t="shared" si="2"/>
        <v/>
      </c>
      <c r="O1538" s="264" t="str">
        <f t="shared" si="3"/>
        <v/>
      </c>
      <c r="P1538" s="265" t="str">
        <f>IFERROR(__xludf.DUMMYFUNCTION("IF(ISBLANK(A1538),"""",IFERROR(IF(H1538=""Sell"",VLOOKUP(9^99,FILTER({ROW(P$2:P1537),P$2:P1537},D$2:D1537=D1538),2),(VLOOKUP(9^99,FILTER({ROW(P$2:P1537),P$2:P1537},D$2:D1537=D1538),2)*VLOOKUP(9^99,FILTER({ROW(O$2:O1537),O$2:O1537},D$2:D1537=D1538),2)-N153"&amp;"8)/O1538),J1538))"),"")</f>
        <v/>
      </c>
      <c r="Q1538" s="264" t="str">
        <f>IFERROR(__xludf.DUMMYFUNCTION("IFERROR(IF(F1538=""Crypto"",B1538,(IF(ISBLANK(D1538),"""",IF(D1538=""Cash"",B1538,IF(GOOGLEFINANCE(D1538,""CURRENCY"")=""GBX"",""GBP"",GOOGLEFINANCE(D1538,""CURRENCY"")))))),B1538)"),"")</f>
        <v/>
      </c>
      <c r="R1538" s="263" t="str">
        <f>IFERROR(__xludf.DUMMYFUNCTION("IF(ISBLANK(A1538),"""",IFERROR(IF(OR(Q1538=""GPB"",Q1538=""ZAR""),IF(Q1538=Dashboard!$L$1,K1538,(K1538*GOOGLEFINANCE(""CURRENCY:""&amp;Q1538&amp;""""&amp;Dashboard!$L$1&amp;""""))/100),IF(Q1538=Dashboard!$L$1,K1538,K1538*GOOGLEFINANCE(""CURRENCY:""&amp;Q1538&amp;""""&amp;Dashboard!$"&amp;"L$1&amp;""""))),K1538))"),"")</f>
        <v/>
      </c>
      <c r="S1538" s="266" t="str">
        <f>IFERROR(__xludf.DUMMYFUNCTION("IF(ISBLANK(A1538),"""",IFERROR(IF(OR(Q1538=""GPB"",Q1538=""ZAR""),IF(Q1538=Dashboard!$L$1,M1538,(M1538*GOOGLEFINANCE(""CURRENCY:""&amp;Q1538&amp;""""&amp;Dashboard!$L$1&amp;""""))/100),IF(Q1538=Dashboard!$L$1,M1538,M1538*GOOGLEFINANCE(""CURRENCY:""&amp;Q1538&amp;""""&amp;Dashboard!$"&amp;"L$1&amp;""""))),M1538))"),"")</f>
        <v/>
      </c>
      <c r="T1538" s="264" t="str">
        <f t="shared" si="4"/>
        <v/>
      </c>
      <c r="U1538" s="264" t="str">
        <f t="shared" si="5"/>
        <v/>
      </c>
      <c r="V1538" s="264" t="str">
        <f t="shared" si="6"/>
        <v/>
      </c>
      <c r="W1538" s="267" t="str">
        <f t="shared" si="8"/>
        <v/>
      </c>
      <c r="X1538" s="264" t="str">
        <f t="shared" si="7"/>
        <v/>
      </c>
    </row>
    <row r="1539" ht="15.75" customHeight="1">
      <c r="A1539" s="258"/>
      <c r="B1539" s="258"/>
      <c r="C1539" s="269"/>
      <c r="D1539" s="258"/>
      <c r="E1539" s="258"/>
      <c r="F1539" s="258"/>
      <c r="G1539" s="258"/>
      <c r="H1539" s="271"/>
      <c r="I1539" s="258"/>
      <c r="J1539" s="272"/>
      <c r="K1539" s="260"/>
      <c r="L1539" s="261"/>
      <c r="M1539" s="262" t="str">
        <f t="shared" si="1"/>
        <v/>
      </c>
      <c r="N1539" s="263" t="str">
        <f t="shared" si="2"/>
        <v/>
      </c>
      <c r="O1539" s="264" t="str">
        <f t="shared" si="3"/>
        <v/>
      </c>
      <c r="P1539" s="265" t="str">
        <f>IFERROR(__xludf.DUMMYFUNCTION("IF(ISBLANK(A1539),"""",IFERROR(IF(H1539=""Sell"",VLOOKUP(9^99,FILTER({ROW(P$2:P1538),P$2:P1538},D$2:D1538=D1539),2),(VLOOKUP(9^99,FILTER({ROW(P$2:P1538),P$2:P1538},D$2:D1538=D1539),2)*VLOOKUP(9^99,FILTER({ROW(O$2:O1538),O$2:O1538},D$2:D1538=D1539),2)-N153"&amp;"9)/O1539),J1539))"),"")</f>
        <v/>
      </c>
      <c r="Q1539" s="264" t="str">
        <f>IFERROR(__xludf.DUMMYFUNCTION("IFERROR(IF(F1539=""Crypto"",B1539,(IF(ISBLANK(D1539),"""",IF(D1539=""Cash"",B1539,IF(GOOGLEFINANCE(D1539,""CURRENCY"")=""GBX"",""GBP"",GOOGLEFINANCE(D1539,""CURRENCY"")))))),B1539)"),"")</f>
        <v/>
      </c>
      <c r="R1539" s="263" t="str">
        <f>IFERROR(__xludf.DUMMYFUNCTION("IF(ISBLANK(A1539),"""",IFERROR(IF(OR(Q1539=""GPB"",Q1539=""ZAR""),IF(Q1539=Dashboard!$L$1,K1539,(K1539*GOOGLEFINANCE(""CURRENCY:""&amp;Q1539&amp;""""&amp;Dashboard!$L$1&amp;""""))/100),IF(Q1539=Dashboard!$L$1,K1539,K1539*GOOGLEFINANCE(""CURRENCY:""&amp;Q1539&amp;""""&amp;Dashboard!$"&amp;"L$1&amp;""""))),K1539))"),"")</f>
        <v/>
      </c>
      <c r="S1539" s="266" t="str">
        <f>IFERROR(__xludf.DUMMYFUNCTION("IF(ISBLANK(A1539),"""",IFERROR(IF(OR(Q1539=""GPB"",Q1539=""ZAR""),IF(Q1539=Dashboard!$L$1,M1539,(M1539*GOOGLEFINANCE(""CURRENCY:""&amp;Q1539&amp;""""&amp;Dashboard!$L$1&amp;""""))/100),IF(Q1539=Dashboard!$L$1,M1539,M1539*GOOGLEFINANCE(""CURRENCY:""&amp;Q1539&amp;""""&amp;Dashboard!$"&amp;"L$1&amp;""""))),M1539))"),"")</f>
        <v/>
      </c>
      <c r="T1539" s="264" t="str">
        <f t="shared" si="4"/>
        <v/>
      </c>
      <c r="U1539" s="264" t="str">
        <f t="shared" si="5"/>
        <v/>
      </c>
      <c r="V1539" s="264" t="str">
        <f t="shared" si="6"/>
        <v/>
      </c>
      <c r="W1539" s="267" t="str">
        <f t="shared" si="8"/>
        <v/>
      </c>
      <c r="X1539" s="264" t="str">
        <f t="shared" si="7"/>
        <v/>
      </c>
    </row>
    <row r="1540" ht="15.75" customHeight="1">
      <c r="A1540" s="258"/>
      <c r="B1540" s="258"/>
      <c r="C1540" s="269"/>
      <c r="D1540" s="258"/>
      <c r="E1540" s="258"/>
      <c r="F1540" s="258"/>
      <c r="G1540" s="258"/>
      <c r="H1540" s="271"/>
      <c r="I1540" s="258"/>
      <c r="J1540" s="272"/>
      <c r="K1540" s="260"/>
      <c r="L1540" s="261"/>
      <c r="M1540" s="262" t="str">
        <f t="shared" si="1"/>
        <v/>
      </c>
      <c r="N1540" s="263" t="str">
        <f t="shared" si="2"/>
        <v/>
      </c>
      <c r="O1540" s="264" t="str">
        <f t="shared" si="3"/>
        <v/>
      </c>
      <c r="P1540" s="265" t="str">
        <f>IFERROR(__xludf.DUMMYFUNCTION("IF(ISBLANK(A1540),"""",IFERROR(IF(H1540=""Sell"",VLOOKUP(9^99,FILTER({ROW(P$2:P1539),P$2:P1539},D$2:D1539=D1540),2),(VLOOKUP(9^99,FILTER({ROW(P$2:P1539),P$2:P1539},D$2:D1539=D1540),2)*VLOOKUP(9^99,FILTER({ROW(O$2:O1539),O$2:O1539},D$2:D1539=D1540),2)-N154"&amp;"0)/O1540),J1540))"),"")</f>
        <v/>
      </c>
      <c r="Q1540" s="264" t="str">
        <f>IFERROR(__xludf.DUMMYFUNCTION("IFERROR(IF(F1540=""Crypto"",B1540,(IF(ISBLANK(D1540),"""",IF(D1540=""Cash"",B1540,IF(GOOGLEFINANCE(D1540,""CURRENCY"")=""GBX"",""GBP"",GOOGLEFINANCE(D1540,""CURRENCY"")))))),B1540)"),"")</f>
        <v/>
      </c>
      <c r="R1540" s="263" t="str">
        <f>IFERROR(__xludf.DUMMYFUNCTION("IF(ISBLANK(A1540),"""",IFERROR(IF(OR(Q1540=""GPB"",Q1540=""ZAR""),IF(Q1540=Dashboard!$L$1,K1540,(K1540*GOOGLEFINANCE(""CURRENCY:""&amp;Q1540&amp;""""&amp;Dashboard!$L$1&amp;""""))/100),IF(Q1540=Dashboard!$L$1,K1540,K1540*GOOGLEFINANCE(""CURRENCY:""&amp;Q1540&amp;""""&amp;Dashboard!$"&amp;"L$1&amp;""""))),K1540))"),"")</f>
        <v/>
      </c>
      <c r="S1540" s="266" t="str">
        <f>IFERROR(__xludf.DUMMYFUNCTION("IF(ISBLANK(A1540),"""",IFERROR(IF(OR(Q1540=""GPB"",Q1540=""ZAR""),IF(Q1540=Dashboard!$L$1,M1540,(M1540*GOOGLEFINANCE(""CURRENCY:""&amp;Q1540&amp;""""&amp;Dashboard!$L$1&amp;""""))/100),IF(Q1540=Dashboard!$L$1,M1540,M1540*GOOGLEFINANCE(""CURRENCY:""&amp;Q1540&amp;""""&amp;Dashboard!$"&amp;"L$1&amp;""""))),M1540))"),"")</f>
        <v/>
      </c>
      <c r="T1540" s="264" t="str">
        <f t="shared" si="4"/>
        <v/>
      </c>
      <c r="U1540" s="264" t="str">
        <f t="shared" si="5"/>
        <v/>
      </c>
      <c r="V1540" s="264" t="str">
        <f t="shared" si="6"/>
        <v/>
      </c>
      <c r="W1540" s="267" t="str">
        <f t="shared" si="8"/>
        <v/>
      </c>
      <c r="X1540" s="264" t="str">
        <f t="shared" si="7"/>
        <v/>
      </c>
    </row>
    <row r="1541" ht="15.75" customHeight="1">
      <c r="A1541" s="258"/>
      <c r="B1541" s="258"/>
      <c r="C1541" s="269"/>
      <c r="D1541" s="258"/>
      <c r="E1541" s="258"/>
      <c r="F1541" s="258"/>
      <c r="G1541" s="258"/>
      <c r="H1541" s="271"/>
      <c r="I1541" s="258"/>
      <c r="J1541" s="272"/>
      <c r="K1541" s="260"/>
      <c r="L1541" s="261"/>
      <c r="M1541" s="262" t="str">
        <f t="shared" si="1"/>
        <v/>
      </c>
      <c r="N1541" s="263" t="str">
        <f t="shared" si="2"/>
        <v/>
      </c>
      <c r="O1541" s="264" t="str">
        <f t="shared" si="3"/>
        <v/>
      </c>
      <c r="P1541" s="265" t="str">
        <f>IFERROR(__xludf.DUMMYFUNCTION("IF(ISBLANK(A1541),"""",IFERROR(IF(H1541=""Sell"",VLOOKUP(9^99,FILTER({ROW(P$2:P1540),P$2:P1540},D$2:D1540=D1541),2),(VLOOKUP(9^99,FILTER({ROW(P$2:P1540),P$2:P1540},D$2:D1540=D1541),2)*VLOOKUP(9^99,FILTER({ROW(O$2:O1540),O$2:O1540},D$2:D1540=D1541),2)-N154"&amp;"1)/O1541),J1541))"),"")</f>
        <v/>
      </c>
      <c r="Q1541" s="264" t="str">
        <f>IFERROR(__xludf.DUMMYFUNCTION("IFERROR(IF(F1541=""Crypto"",B1541,(IF(ISBLANK(D1541),"""",IF(D1541=""Cash"",B1541,IF(GOOGLEFINANCE(D1541,""CURRENCY"")=""GBX"",""GBP"",GOOGLEFINANCE(D1541,""CURRENCY"")))))),B1541)"),"")</f>
        <v/>
      </c>
      <c r="R1541" s="263" t="str">
        <f>IFERROR(__xludf.DUMMYFUNCTION("IF(ISBLANK(A1541),"""",IFERROR(IF(OR(Q1541=""GPB"",Q1541=""ZAR""),IF(Q1541=Dashboard!$L$1,K1541,(K1541*GOOGLEFINANCE(""CURRENCY:""&amp;Q1541&amp;""""&amp;Dashboard!$L$1&amp;""""))/100),IF(Q1541=Dashboard!$L$1,K1541,K1541*GOOGLEFINANCE(""CURRENCY:""&amp;Q1541&amp;""""&amp;Dashboard!$"&amp;"L$1&amp;""""))),K1541))"),"")</f>
        <v/>
      </c>
      <c r="S1541" s="266" t="str">
        <f>IFERROR(__xludf.DUMMYFUNCTION("IF(ISBLANK(A1541),"""",IFERROR(IF(OR(Q1541=""GPB"",Q1541=""ZAR""),IF(Q1541=Dashboard!$L$1,M1541,(M1541*GOOGLEFINANCE(""CURRENCY:""&amp;Q1541&amp;""""&amp;Dashboard!$L$1&amp;""""))/100),IF(Q1541=Dashboard!$L$1,M1541,M1541*GOOGLEFINANCE(""CURRENCY:""&amp;Q1541&amp;""""&amp;Dashboard!$"&amp;"L$1&amp;""""))),M1541))"),"")</f>
        <v/>
      </c>
      <c r="T1541" s="264" t="str">
        <f t="shared" si="4"/>
        <v/>
      </c>
      <c r="U1541" s="264" t="str">
        <f t="shared" si="5"/>
        <v/>
      </c>
      <c r="V1541" s="264" t="str">
        <f t="shared" si="6"/>
        <v/>
      </c>
      <c r="W1541" s="267" t="str">
        <f t="shared" si="8"/>
        <v/>
      </c>
      <c r="X1541" s="264" t="str">
        <f t="shared" si="7"/>
        <v/>
      </c>
    </row>
    <row r="1542" ht="15.75" customHeight="1">
      <c r="A1542" s="258"/>
      <c r="B1542" s="258"/>
      <c r="C1542" s="269"/>
      <c r="D1542" s="258"/>
      <c r="E1542" s="258"/>
      <c r="F1542" s="258"/>
      <c r="G1542" s="258"/>
      <c r="H1542" s="271"/>
      <c r="I1542" s="258"/>
      <c r="J1542" s="272"/>
      <c r="K1542" s="260"/>
      <c r="L1542" s="261"/>
      <c r="M1542" s="262" t="str">
        <f t="shared" si="1"/>
        <v/>
      </c>
      <c r="N1542" s="263" t="str">
        <f t="shared" si="2"/>
        <v/>
      </c>
      <c r="O1542" s="264" t="str">
        <f t="shared" si="3"/>
        <v/>
      </c>
      <c r="P1542" s="265" t="str">
        <f>IFERROR(__xludf.DUMMYFUNCTION("IF(ISBLANK(A1542),"""",IFERROR(IF(H1542=""Sell"",VLOOKUP(9^99,FILTER({ROW(P$2:P1541),P$2:P1541},D$2:D1541=D1542),2),(VLOOKUP(9^99,FILTER({ROW(P$2:P1541),P$2:P1541},D$2:D1541=D1542),2)*VLOOKUP(9^99,FILTER({ROW(O$2:O1541),O$2:O1541},D$2:D1541=D1542),2)-N154"&amp;"2)/O1542),J1542))"),"")</f>
        <v/>
      </c>
      <c r="Q1542" s="264" t="str">
        <f>IFERROR(__xludf.DUMMYFUNCTION("IFERROR(IF(F1542=""Crypto"",B1542,(IF(ISBLANK(D1542),"""",IF(D1542=""Cash"",B1542,IF(GOOGLEFINANCE(D1542,""CURRENCY"")=""GBX"",""GBP"",GOOGLEFINANCE(D1542,""CURRENCY"")))))),B1542)"),"")</f>
        <v/>
      </c>
      <c r="R1542" s="263" t="str">
        <f>IFERROR(__xludf.DUMMYFUNCTION("IF(ISBLANK(A1542),"""",IFERROR(IF(OR(Q1542=""GPB"",Q1542=""ZAR""),IF(Q1542=Dashboard!$L$1,K1542,(K1542*GOOGLEFINANCE(""CURRENCY:""&amp;Q1542&amp;""""&amp;Dashboard!$L$1&amp;""""))/100),IF(Q1542=Dashboard!$L$1,K1542,K1542*GOOGLEFINANCE(""CURRENCY:""&amp;Q1542&amp;""""&amp;Dashboard!$"&amp;"L$1&amp;""""))),K1542))"),"")</f>
        <v/>
      </c>
      <c r="S1542" s="266" t="str">
        <f>IFERROR(__xludf.DUMMYFUNCTION("IF(ISBLANK(A1542),"""",IFERROR(IF(OR(Q1542=""GPB"",Q1542=""ZAR""),IF(Q1542=Dashboard!$L$1,M1542,(M1542*GOOGLEFINANCE(""CURRENCY:""&amp;Q1542&amp;""""&amp;Dashboard!$L$1&amp;""""))/100),IF(Q1542=Dashboard!$L$1,M1542,M1542*GOOGLEFINANCE(""CURRENCY:""&amp;Q1542&amp;""""&amp;Dashboard!$"&amp;"L$1&amp;""""))),M1542))"),"")</f>
        <v/>
      </c>
      <c r="T1542" s="264" t="str">
        <f t="shared" si="4"/>
        <v/>
      </c>
      <c r="U1542" s="264" t="str">
        <f t="shared" si="5"/>
        <v/>
      </c>
      <c r="V1542" s="264" t="str">
        <f t="shared" si="6"/>
        <v/>
      </c>
      <c r="W1542" s="267" t="str">
        <f t="shared" si="8"/>
        <v/>
      </c>
      <c r="X1542" s="264" t="str">
        <f t="shared" si="7"/>
        <v/>
      </c>
    </row>
    <row r="1543" ht="15.75" customHeight="1">
      <c r="A1543" s="258"/>
      <c r="B1543" s="258"/>
      <c r="C1543" s="269"/>
      <c r="D1543" s="258"/>
      <c r="E1543" s="258"/>
      <c r="F1543" s="258"/>
      <c r="G1543" s="258"/>
      <c r="H1543" s="271"/>
      <c r="I1543" s="258"/>
      <c r="J1543" s="272"/>
      <c r="K1543" s="260"/>
      <c r="L1543" s="261"/>
      <c r="M1543" s="262" t="str">
        <f t="shared" si="1"/>
        <v/>
      </c>
      <c r="N1543" s="263" t="str">
        <f t="shared" si="2"/>
        <v/>
      </c>
      <c r="O1543" s="264" t="str">
        <f t="shared" si="3"/>
        <v/>
      </c>
      <c r="P1543" s="265" t="str">
        <f>IFERROR(__xludf.DUMMYFUNCTION("IF(ISBLANK(A1543),"""",IFERROR(IF(H1543=""Sell"",VLOOKUP(9^99,FILTER({ROW(P$2:P1542),P$2:P1542},D$2:D1542=D1543),2),(VLOOKUP(9^99,FILTER({ROW(P$2:P1542),P$2:P1542},D$2:D1542=D1543),2)*VLOOKUP(9^99,FILTER({ROW(O$2:O1542),O$2:O1542},D$2:D1542=D1543),2)-N154"&amp;"3)/O1543),J1543))"),"")</f>
        <v/>
      </c>
      <c r="Q1543" s="264" t="str">
        <f>IFERROR(__xludf.DUMMYFUNCTION("IFERROR(IF(F1543=""Crypto"",B1543,(IF(ISBLANK(D1543),"""",IF(D1543=""Cash"",B1543,IF(GOOGLEFINANCE(D1543,""CURRENCY"")=""GBX"",""GBP"",GOOGLEFINANCE(D1543,""CURRENCY"")))))),B1543)"),"")</f>
        <v/>
      </c>
      <c r="R1543" s="263" t="str">
        <f>IFERROR(__xludf.DUMMYFUNCTION("IF(ISBLANK(A1543),"""",IFERROR(IF(OR(Q1543=""GPB"",Q1543=""ZAR""),IF(Q1543=Dashboard!$L$1,K1543,(K1543*GOOGLEFINANCE(""CURRENCY:""&amp;Q1543&amp;""""&amp;Dashboard!$L$1&amp;""""))/100),IF(Q1543=Dashboard!$L$1,K1543,K1543*GOOGLEFINANCE(""CURRENCY:""&amp;Q1543&amp;""""&amp;Dashboard!$"&amp;"L$1&amp;""""))),K1543))"),"")</f>
        <v/>
      </c>
      <c r="S1543" s="266" t="str">
        <f>IFERROR(__xludf.DUMMYFUNCTION("IF(ISBLANK(A1543),"""",IFERROR(IF(OR(Q1543=""GPB"",Q1543=""ZAR""),IF(Q1543=Dashboard!$L$1,M1543,(M1543*GOOGLEFINANCE(""CURRENCY:""&amp;Q1543&amp;""""&amp;Dashboard!$L$1&amp;""""))/100),IF(Q1543=Dashboard!$L$1,M1543,M1543*GOOGLEFINANCE(""CURRENCY:""&amp;Q1543&amp;""""&amp;Dashboard!$"&amp;"L$1&amp;""""))),M1543))"),"")</f>
        <v/>
      </c>
      <c r="T1543" s="264" t="str">
        <f t="shared" si="4"/>
        <v/>
      </c>
      <c r="U1543" s="264" t="str">
        <f t="shared" si="5"/>
        <v/>
      </c>
      <c r="V1543" s="264" t="str">
        <f t="shared" si="6"/>
        <v/>
      </c>
      <c r="W1543" s="267" t="str">
        <f t="shared" si="8"/>
        <v/>
      </c>
      <c r="X1543" s="264" t="str">
        <f t="shared" si="7"/>
        <v/>
      </c>
    </row>
    <row r="1544" ht="15.75" customHeight="1">
      <c r="A1544" s="258"/>
      <c r="B1544" s="258"/>
      <c r="C1544" s="269"/>
      <c r="D1544" s="258"/>
      <c r="E1544" s="258"/>
      <c r="F1544" s="258"/>
      <c r="G1544" s="258"/>
      <c r="H1544" s="271"/>
      <c r="I1544" s="258"/>
      <c r="J1544" s="272"/>
      <c r="K1544" s="260"/>
      <c r="L1544" s="261"/>
      <c r="M1544" s="262" t="str">
        <f t="shared" si="1"/>
        <v/>
      </c>
      <c r="N1544" s="263" t="str">
        <f t="shared" si="2"/>
        <v/>
      </c>
      <c r="O1544" s="264" t="str">
        <f t="shared" si="3"/>
        <v/>
      </c>
      <c r="P1544" s="265" t="str">
        <f>IFERROR(__xludf.DUMMYFUNCTION("IF(ISBLANK(A1544),"""",IFERROR(IF(H1544=""Sell"",VLOOKUP(9^99,FILTER({ROW(P$2:P1543),P$2:P1543},D$2:D1543=D1544),2),(VLOOKUP(9^99,FILTER({ROW(P$2:P1543),P$2:P1543},D$2:D1543=D1544),2)*VLOOKUP(9^99,FILTER({ROW(O$2:O1543),O$2:O1543},D$2:D1543=D1544),2)-N154"&amp;"4)/O1544),J1544))"),"")</f>
        <v/>
      </c>
      <c r="Q1544" s="264" t="str">
        <f>IFERROR(__xludf.DUMMYFUNCTION("IFERROR(IF(F1544=""Crypto"",B1544,(IF(ISBLANK(D1544),"""",IF(D1544=""Cash"",B1544,IF(GOOGLEFINANCE(D1544,""CURRENCY"")=""GBX"",""GBP"",GOOGLEFINANCE(D1544,""CURRENCY"")))))),B1544)"),"")</f>
        <v/>
      </c>
      <c r="R1544" s="263" t="str">
        <f>IFERROR(__xludf.DUMMYFUNCTION("IF(ISBLANK(A1544),"""",IFERROR(IF(OR(Q1544=""GPB"",Q1544=""ZAR""),IF(Q1544=Dashboard!$L$1,K1544,(K1544*GOOGLEFINANCE(""CURRENCY:""&amp;Q1544&amp;""""&amp;Dashboard!$L$1&amp;""""))/100),IF(Q1544=Dashboard!$L$1,K1544,K1544*GOOGLEFINANCE(""CURRENCY:""&amp;Q1544&amp;""""&amp;Dashboard!$"&amp;"L$1&amp;""""))),K1544))"),"")</f>
        <v/>
      </c>
      <c r="S1544" s="266" t="str">
        <f>IFERROR(__xludf.DUMMYFUNCTION("IF(ISBLANK(A1544),"""",IFERROR(IF(OR(Q1544=""GPB"",Q1544=""ZAR""),IF(Q1544=Dashboard!$L$1,M1544,(M1544*GOOGLEFINANCE(""CURRENCY:""&amp;Q1544&amp;""""&amp;Dashboard!$L$1&amp;""""))/100),IF(Q1544=Dashboard!$L$1,M1544,M1544*GOOGLEFINANCE(""CURRENCY:""&amp;Q1544&amp;""""&amp;Dashboard!$"&amp;"L$1&amp;""""))),M1544))"),"")</f>
        <v/>
      </c>
      <c r="T1544" s="264" t="str">
        <f t="shared" si="4"/>
        <v/>
      </c>
      <c r="U1544" s="264" t="str">
        <f t="shared" si="5"/>
        <v/>
      </c>
      <c r="V1544" s="264" t="str">
        <f t="shared" si="6"/>
        <v/>
      </c>
      <c r="W1544" s="267" t="str">
        <f t="shared" si="8"/>
        <v/>
      </c>
      <c r="X1544" s="264" t="str">
        <f t="shared" si="7"/>
        <v/>
      </c>
    </row>
    <row r="1545" ht="15.75" customHeight="1">
      <c r="A1545" s="258"/>
      <c r="B1545" s="258"/>
      <c r="C1545" s="269"/>
      <c r="D1545" s="258"/>
      <c r="E1545" s="258"/>
      <c r="F1545" s="258"/>
      <c r="G1545" s="258"/>
      <c r="H1545" s="271"/>
      <c r="I1545" s="258"/>
      <c r="J1545" s="272"/>
      <c r="K1545" s="260"/>
      <c r="L1545" s="261"/>
      <c r="M1545" s="262" t="str">
        <f t="shared" si="1"/>
        <v/>
      </c>
      <c r="N1545" s="263" t="str">
        <f t="shared" si="2"/>
        <v/>
      </c>
      <c r="O1545" s="264" t="str">
        <f t="shared" si="3"/>
        <v/>
      </c>
      <c r="P1545" s="265" t="str">
        <f>IFERROR(__xludf.DUMMYFUNCTION("IF(ISBLANK(A1545),"""",IFERROR(IF(H1545=""Sell"",VLOOKUP(9^99,FILTER({ROW(P$2:P1544),P$2:P1544},D$2:D1544=D1545),2),(VLOOKUP(9^99,FILTER({ROW(P$2:P1544),P$2:P1544},D$2:D1544=D1545),2)*VLOOKUP(9^99,FILTER({ROW(O$2:O1544),O$2:O1544},D$2:D1544=D1545),2)-N154"&amp;"5)/O1545),J1545))"),"")</f>
        <v/>
      </c>
      <c r="Q1545" s="264" t="str">
        <f>IFERROR(__xludf.DUMMYFUNCTION("IFERROR(IF(F1545=""Crypto"",B1545,(IF(ISBLANK(D1545),"""",IF(D1545=""Cash"",B1545,IF(GOOGLEFINANCE(D1545,""CURRENCY"")=""GBX"",""GBP"",GOOGLEFINANCE(D1545,""CURRENCY"")))))),B1545)"),"")</f>
        <v/>
      </c>
      <c r="R1545" s="263" t="str">
        <f>IFERROR(__xludf.DUMMYFUNCTION("IF(ISBLANK(A1545),"""",IFERROR(IF(OR(Q1545=""GPB"",Q1545=""ZAR""),IF(Q1545=Dashboard!$L$1,K1545,(K1545*GOOGLEFINANCE(""CURRENCY:""&amp;Q1545&amp;""""&amp;Dashboard!$L$1&amp;""""))/100),IF(Q1545=Dashboard!$L$1,K1545,K1545*GOOGLEFINANCE(""CURRENCY:""&amp;Q1545&amp;""""&amp;Dashboard!$"&amp;"L$1&amp;""""))),K1545))"),"")</f>
        <v/>
      </c>
      <c r="S1545" s="266" t="str">
        <f>IFERROR(__xludf.DUMMYFUNCTION("IF(ISBLANK(A1545),"""",IFERROR(IF(OR(Q1545=""GPB"",Q1545=""ZAR""),IF(Q1545=Dashboard!$L$1,M1545,(M1545*GOOGLEFINANCE(""CURRENCY:""&amp;Q1545&amp;""""&amp;Dashboard!$L$1&amp;""""))/100),IF(Q1545=Dashboard!$L$1,M1545,M1545*GOOGLEFINANCE(""CURRENCY:""&amp;Q1545&amp;""""&amp;Dashboard!$"&amp;"L$1&amp;""""))),M1545))"),"")</f>
        <v/>
      </c>
      <c r="T1545" s="264" t="str">
        <f t="shared" si="4"/>
        <v/>
      </c>
      <c r="U1545" s="264" t="str">
        <f t="shared" si="5"/>
        <v/>
      </c>
      <c r="V1545" s="264" t="str">
        <f t="shared" si="6"/>
        <v/>
      </c>
      <c r="W1545" s="267" t="str">
        <f t="shared" si="8"/>
        <v/>
      </c>
      <c r="X1545" s="264" t="str">
        <f t="shared" si="7"/>
        <v/>
      </c>
    </row>
    <row r="1546" ht="15.75" customHeight="1">
      <c r="A1546" s="258"/>
      <c r="B1546" s="258"/>
      <c r="C1546" s="269"/>
      <c r="D1546" s="258"/>
      <c r="E1546" s="258"/>
      <c r="F1546" s="258"/>
      <c r="G1546" s="258"/>
      <c r="H1546" s="271"/>
      <c r="I1546" s="258"/>
      <c r="J1546" s="272"/>
      <c r="K1546" s="260"/>
      <c r="L1546" s="261"/>
      <c r="M1546" s="262" t="str">
        <f t="shared" si="1"/>
        <v/>
      </c>
      <c r="N1546" s="263" t="str">
        <f t="shared" si="2"/>
        <v/>
      </c>
      <c r="O1546" s="264" t="str">
        <f t="shared" si="3"/>
        <v/>
      </c>
      <c r="P1546" s="265" t="str">
        <f>IFERROR(__xludf.DUMMYFUNCTION("IF(ISBLANK(A1546),"""",IFERROR(IF(H1546=""Sell"",VLOOKUP(9^99,FILTER({ROW(P$2:P1545),P$2:P1545},D$2:D1545=D1546),2),(VLOOKUP(9^99,FILTER({ROW(P$2:P1545),P$2:P1545},D$2:D1545=D1546),2)*VLOOKUP(9^99,FILTER({ROW(O$2:O1545),O$2:O1545},D$2:D1545=D1546),2)-N154"&amp;"6)/O1546),J1546))"),"")</f>
        <v/>
      </c>
      <c r="Q1546" s="264" t="str">
        <f>IFERROR(__xludf.DUMMYFUNCTION("IFERROR(IF(F1546=""Crypto"",B1546,(IF(ISBLANK(D1546),"""",IF(D1546=""Cash"",B1546,IF(GOOGLEFINANCE(D1546,""CURRENCY"")=""GBX"",""GBP"",GOOGLEFINANCE(D1546,""CURRENCY"")))))),B1546)"),"")</f>
        <v/>
      </c>
      <c r="R1546" s="263" t="str">
        <f>IFERROR(__xludf.DUMMYFUNCTION("IF(ISBLANK(A1546),"""",IFERROR(IF(OR(Q1546=""GPB"",Q1546=""ZAR""),IF(Q1546=Dashboard!$L$1,K1546,(K1546*GOOGLEFINANCE(""CURRENCY:""&amp;Q1546&amp;""""&amp;Dashboard!$L$1&amp;""""))/100),IF(Q1546=Dashboard!$L$1,K1546,K1546*GOOGLEFINANCE(""CURRENCY:""&amp;Q1546&amp;""""&amp;Dashboard!$"&amp;"L$1&amp;""""))),K1546))"),"")</f>
        <v/>
      </c>
      <c r="S1546" s="266" t="str">
        <f>IFERROR(__xludf.DUMMYFUNCTION("IF(ISBLANK(A1546),"""",IFERROR(IF(OR(Q1546=""GPB"",Q1546=""ZAR""),IF(Q1546=Dashboard!$L$1,M1546,(M1546*GOOGLEFINANCE(""CURRENCY:""&amp;Q1546&amp;""""&amp;Dashboard!$L$1&amp;""""))/100),IF(Q1546=Dashboard!$L$1,M1546,M1546*GOOGLEFINANCE(""CURRENCY:""&amp;Q1546&amp;""""&amp;Dashboard!$"&amp;"L$1&amp;""""))),M1546))"),"")</f>
        <v/>
      </c>
      <c r="T1546" s="264" t="str">
        <f t="shared" si="4"/>
        <v/>
      </c>
      <c r="U1546" s="264" t="str">
        <f t="shared" si="5"/>
        <v/>
      </c>
      <c r="V1546" s="264" t="str">
        <f t="shared" si="6"/>
        <v/>
      </c>
      <c r="W1546" s="267" t="str">
        <f t="shared" si="8"/>
        <v/>
      </c>
      <c r="X1546" s="264" t="str">
        <f t="shared" si="7"/>
        <v/>
      </c>
    </row>
    <row r="1547" ht="15.75" customHeight="1">
      <c r="A1547" s="258"/>
      <c r="B1547" s="258"/>
      <c r="C1547" s="269"/>
      <c r="D1547" s="258"/>
      <c r="E1547" s="258"/>
      <c r="F1547" s="258"/>
      <c r="G1547" s="258"/>
      <c r="H1547" s="271"/>
      <c r="I1547" s="258"/>
      <c r="J1547" s="272"/>
      <c r="K1547" s="260"/>
      <c r="L1547" s="261"/>
      <c r="M1547" s="262" t="str">
        <f t="shared" si="1"/>
        <v/>
      </c>
      <c r="N1547" s="263" t="str">
        <f t="shared" si="2"/>
        <v/>
      </c>
      <c r="O1547" s="264" t="str">
        <f t="shared" si="3"/>
        <v/>
      </c>
      <c r="P1547" s="265" t="str">
        <f>IFERROR(__xludf.DUMMYFUNCTION("IF(ISBLANK(A1547),"""",IFERROR(IF(H1547=""Sell"",VLOOKUP(9^99,FILTER({ROW(P$2:P1546),P$2:P1546},D$2:D1546=D1547),2),(VLOOKUP(9^99,FILTER({ROW(P$2:P1546),P$2:P1546},D$2:D1546=D1547),2)*VLOOKUP(9^99,FILTER({ROW(O$2:O1546),O$2:O1546},D$2:D1546=D1547),2)-N154"&amp;"7)/O1547),J1547))"),"")</f>
        <v/>
      </c>
      <c r="Q1547" s="264" t="str">
        <f>IFERROR(__xludf.DUMMYFUNCTION("IFERROR(IF(F1547=""Crypto"",B1547,(IF(ISBLANK(D1547),"""",IF(D1547=""Cash"",B1547,IF(GOOGLEFINANCE(D1547,""CURRENCY"")=""GBX"",""GBP"",GOOGLEFINANCE(D1547,""CURRENCY"")))))),B1547)"),"")</f>
        <v/>
      </c>
      <c r="R1547" s="263" t="str">
        <f>IFERROR(__xludf.DUMMYFUNCTION("IF(ISBLANK(A1547),"""",IFERROR(IF(OR(Q1547=""GPB"",Q1547=""ZAR""),IF(Q1547=Dashboard!$L$1,K1547,(K1547*GOOGLEFINANCE(""CURRENCY:""&amp;Q1547&amp;""""&amp;Dashboard!$L$1&amp;""""))/100),IF(Q1547=Dashboard!$L$1,K1547,K1547*GOOGLEFINANCE(""CURRENCY:""&amp;Q1547&amp;""""&amp;Dashboard!$"&amp;"L$1&amp;""""))),K1547))"),"")</f>
        <v/>
      </c>
      <c r="S1547" s="266" t="str">
        <f>IFERROR(__xludf.DUMMYFUNCTION("IF(ISBLANK(A1547),"""",IFERROR(IF(OR(Q1547=""GPB"",Q1547=""ZAR""),IF(Q1547=Dashboard!$L$1,M1547,(M1547*GOOGLEFINANCE(""CURRENCY:""&amp;Q1547&amp;""""&amp;Dashboard!$L$1&amp;""""))/100),IF(Q1547=Dashboard!$L$1,M1547,M1547*GOOGLEFINANCE(""CURRENCY:""&amp;Q1547&amp;""""&amp;Dashboard!$"&amp;"L$1&amp;""""))),M1547))"),"")</f>
        <v/>
      </c>
      <c r="T1547" s="264" t="str">
        <f t="shared" si="4"/>
        <v/>
      </c>
      <c r="U1547" s="264" t="str">
        <f t="shared" si="5"/>
        <v/>
      </c>
      <c r="V1547" s="264" t="str">
        <f t="shared" si="6"/>
        <v/>
      </c>
      <c r="W1547" s="267" t="str">
        <f t="shared" si="8"/>
        <v/>
      </c>
      <c r="X1547" s="264" t="str">
        <f t="shared" si="7"/>
        <v/>
      </c>
    </row>
    <row r="1548" ht="15.75" customHeight="1">
      <c r="A1548" s="258"/>
      <c r="B1548" s="258"/>
      <c r="C1548" s="269"/>
      <c r="D1548" s="258"/>
      <c r="E1548" s="258"/>
      <c r="F1548" s="258"/>
      <c r="G1548" s="258"/>
      <c r="H1548" s="271"/>
      <c r="I1548" s="258"/>
      <c r="J1548" s="272"/>
      <c r="K1548" s="260"/>
      <c r="L1548" s="261"/>
      <c r="M1548" s="262" t="str">
        <f t="shared" si="1"/>
        <v/>
      </c>
      <c r="N1548" s="263" t="str">
        <f t="shared" si="2"/>
        <v/>
      </c>
      <c r="O1548" s="264" t="str">
        <f t="shared" si="3"/>
        <v/>
      </c>
      <c r="P1548" s="265" t="str">
        <f>IFERROR(__xludf.DUMMYFUNCTION("IF(ISBLANK(A1548),"""",IFERROR(IF(H1548=""Sell"",VLOOKUP(9^99,FILTER({ROW(P$2:P1547),P$2:P1547},D$2:D1547=D1548),2),(VLOOKUP(9^99,FILTER({ROW(P$2:P1547),P$2:P1547},D$2:D1547=D1548),2)*VLOOKUP(9^99,FILTER({ROW(O$2:O1547),O$2:O1547},D$2:D1547=D1548),2)-N154"&amp;"8)/O1548),J1548))"),"")</f>
        <v/>
      </c>
      <c r="Q1548" s="264" t="str">
        <f>IFERROR(__xludf.DUMMYFUNCTION("IFERROR(IF(F1548=""Crypto"",B1548,(IF(ISBLANK(D1548),"""",IF(D1548=""Cash"",B1548,IF(GOOGLEFINANCE(D1548,""CURRENCY"")=""GBX"",""GBP"",GOOGLEFINANCE(D1548,""CURRENCY"")))))),B1548)"),"")</f>
        <v/>
      </c>
      <c r="R1548" s="263" t="str">
        <f>IFERROR(__xludf.DUMMYFUNCTION("IF(ISBLANK(A1548),"""",IFERROR(IF(OR(Q1548=""GPB"",Q1548=""ZAR""),IF(Q1548=Dashboard!$L$1,K1548,(K1548*GOOGLEFINANCE(""CURRENCY:""&amp;Q1548&amp;""""&amp;Dashboard!$L$1&amp;""""))/100),IF(Q1548=Dashboard!$L$1,K1548,K1548*GOOGLEFINANCE(""CURRENCY:""&amp;Q1548&amp;""""&amp;Dashboard!$"&amp;"L$1&amp;""""))),K1548))"),"")</f>
        <v/>
      </c>
      <c r="S1548" s="266" t="str">
        <f>IFERROR(__xludf.DUMMYFUNCTION("IF(ISBLANK(A1548),"""",IFERROR(IF(OR(Q1548=""GPB"",Q1548=""ZAR""),IF(Q1548=Dashboard!$L$1,M1548,(M1548*GOOGLEFINANCE(""CURRENCY:""&amp;Q1548&amp;""""&amp;Dashboard!$L$1&amp;""""))/100),IF(Q1548=Dashboard!$L$1,M1548,M1548*GOOGLEFINANCE(""CURRENCY:""&amp;Q1548&amp;""""&amp;Dashboard!$"&amp;"L$1&amp;""""))),M1548))"),"")</f>
        <v/>
      </c>
      <c r="T1548" s="264" t="str">
        <f t="shared" si="4"/>
        <v/>
      </c>
      <c r="U1548" s="264" t="str">
        <f t="shared" si="5"/>
        <v/>
      </c>
      <c r="V1548" s="264" t="str">
        <f t="shared" si="6"/>
        <v/>
      </c>
      <c r="W1548" s="267" t="str">
        <f t="shared" si="8"/>
        <v/>
      </c>
      <c r="X1548" s="264" t="str">
        <f t="shared" si="7"/>
        <v/>
      </c>
    </row>
    <row r="1549" ht="15.75" customHeight="1">
      <c r="A1549" s="258"/>
      <c r="B1549" s="258"/>
      <c r="C1549" s="269"/>
      <c r="D1549" s="258"/>
      <c r="E1549" s="258"/>
      <c r="F1549" s="258"/>
      <c r="G1549" s="258"/>
      <c r="H1549" s="271"/>
      <c r="I1549" s="258"/>
      <c r="J1549" s="272"/>
      <c r="K1549" s="260"/>
      <c r="L1549" s="261"/>
      <c r="M1549" s="262" t="str">
        <f t="shared" si="1"/>
        <v/>
      </c>
      <c r="N1549" s="263" t="str">
        <f t="shared" si="2"/>
        <v/>
      </c>
      <c r="O1549" s="264" t="str">
        <f t="shared" si="3"/>
        <v/>
      </c>
      <c r="P1549" s="265" t="str">
        <f>IFERROR(__xludf.DUMMYFUNCTION("IF(ISBLANK(A1549),"""",IFERROR(IF(H1549=""Sell"",VLOOKUP(9^99,FILTER({ROW(P$2:P1548),P$2:P1548},D$2:D1548=D1549),2),(VLOOKUP(9^99,FILTER({ROW(P$2:P1548),P$2:P1548},D$2:D1548=D1549),2)*VLOOKUP(9^99,FILTER({ROW(O$2:O1548),O$2:O1548},D$2:D1548=D1549),2)-N154"&amp;"9)/O1549),J1549))"),"")</f>
        <v/>
      </c>
      <c r="Q1549" s="264" t="str">
        <f>IFERROR(__xludf.DUMMYFUNCTION("IFERROR(IF(F1549=""Crypto"",B1549,(IF(ISBLANK(D1549),"""",IF(D1549=""Cash"",B1549,IF(GOOGLEFINANCE(D1549,""CURRENCY"")=""GBX"",""GBP"",GOOGLEFINANCE(D1549,""CURRENCY"")))))),B1549)"),"")</f>
        <v/>
      </c>
      <c r="R1549" s="263" t="str">
        <f>IFERROR(__xludf.DUMMYFUNCTION("IF(ISBLANK(A1549),"""",IFERROR(IF(OR(Q1549=""GPB"",Q1549=""ZAR""),IF(Q1549=Dashboard!$L$1,K1549,(K1549*GOOGLEFINANCE(""CURRENCY:""&amp;Q1549&amp;""""&amp;Dashboard!$L$1&amp;""""))/100),IF(Q1549=Dashboard!$L$1,K1549,K1549*GOOGLEFINANCE(""CURRENCY:""&amp;Q1549&amp;""""&amp;Dashboard!$"&amp;"L$1&amp;""""))),K1549))"),"")</f>
        <v/>
      </c>
      <c r="S1549" s="266" t="str">
        <f>IFERROR(__xludf.DUMMYFUNCTION("IF(ISBLANK(A1549),"""",IFERROR(IF(OR(Q1549=""GPB"",Q1549=""ZAR""),IF(Q1549=Dashboard!$L$1,M1549,(M1549*GOOGLEFINANCE(""CURRENCY:""&amp;Q1549&amp;""""&amp;Dashboard!$L$1&amp;""""))/100),IF(Q1549=Dashboard!$L$1,M1549,M1549*GOOGLEFINANCE(""CURRENCY:""&amp;Q1549&amp;""""&amp;Dashboard!$"&amp;"L$1&amp;""""))),M1549))"),"")</f>
        <v/>
      </c>
      <c r="T1549" s="264" t="str">
        <f t="shared" si="4"/>
        <v/>
      </c>
      <c r="U1549" s="264" t="str">
        <f t="shared" si="5"/>
        <v/>
      </c>
      <c r="V1549" s="264" t="str">
        <f t="shared" si="6"/>
        <v/>
      </c>
      <c r="W1549" s="267" t="str">
        <f t="shared" si="8"/>
        <v/>
      </c>
      <c r="X1549" s="264" t="str">
        <f t="shared" si="7"/>
        <v/>
      </c>
    </row>
    <row r="1550" ht="15.75" customHeight="1">
      <c r="A1550" s="258"/>
      <c r="B1550" s="258"/>
      <c r="C1550" s="269"/>
      <c r="D1550" s="258"/>
      <c r="E1550" s="258"/>
      <c r="F1550" s="258"/>
      <c r="G1550" s="258"/>
      <c r="H1550" s="271"/>
      <c r="I1550" s="258"/>
      <c r="J1550" s="272"/>
      <c r="K1550" s="260"/>
      <c r="L1550" s="261"/>
      <c r="M1550" s="262" t="str">
        <f t="shared" si="1"/>
        <v/>
      </c>
      <c r="N1550" s="263" t="str">
        <f t="shared" si="2"/>
        <v/>
      </c>
      <c r="O1550" s="264" t="str">
        <f t="shared" si="3"/>
        <v/>
      </c>
      <c r="P1550" s="265" t="str">
        <f>IFERROR(__xludf.DUMMYFUNCTION("IF(ISBLANK(A1550),"""",IFERROR(IF(H1550=""Sell"",VLOOKUP(9^99,FILTER({ROW(P$2:P1549),P$2:P1549},D$2:D1549=D1550),2),(VLOOKUP(9^99,FILTER({ROW(P$2:P1549),P$2:P1549},D$2:D1549=D1550),2)*VLOOKUP(9^99,FILTER({ROW(O$2:O1549),O$2:O1549},D$2:D1549=D1550),2)-N155"&amp;"0)/O1550),J1550))"),"")</f>
        <v/>
      </c>
      <c r="Q1550" s="264" t="str">
        <f>IFERROR(__xludf.DUMMYFUNCTION("IFERROR(IF(F1550=""Crypto"",B1550,(IF(ISBLANK(D1550),"""",IF(D1550=""Cash"",B1550,IF(GOOGLEFINANCE(D1550,""CURRENCY"")=""GBX"",""GBP"",GOOGLEFINANCE(D1550,""CURRENCY"")))))),B1550)"),"")</f>
        <v/>
      </c>
      <c r="R1550" s="263" t="str">
        <f>IFERROR(__xludf.DUMMYFUNCTION("IF(ISBLANK(A1550),"""",IFERROR(IF(OR(Q1550=""GPB"",Q1550=""ZAR""),IF(Q1550=Dashboard!$L$1,K1550,(K1550*GOOGLEFINANCE(""CURRENCY:""&amp;Q1550&amp;""""&amp;Dashboard!$L$1&amp;""""))/100),IF(Q1550=Dashboard!$L$1,K1550,K1550*GOOGLEFINANCE(""CURRENCY:""&amp;Q1550&amp;""""&amp;Dashboard!$"&amp;"L$1&amp;""""))),K1550))"),"")</f>
        <v/>
      </c>
      <c r="S1550" s="266" t="str">
        <f>IFERROR(__xludf.DUMMYFUNCTION("IF(ISBLANK(A1550),"""",IFERROR(IF(OR(Q1550=""GPB"",Q1550=""ZAR""),IF(Q1550=Dashboard!$L$1,M1550,(M1550*GOOGLEFINANCE(""CURRENCY:""&amp;Q1550&amp;""""&amp;Dashboard!$L$1&amp;""""))/100),IF(Q1550=Dashboard!$L$1,M1550,M1550*GOOGLEFINANCE(""CURRENCY:""&amp;Q1550&amp;""""&amp;Dashboard!$"&amp;"L$1&amp;""""))),M1550))"),"")</f>
        <v/>
      </c>
      <c r="T1550" s="264" t="str">
        <f t="shared" si="4"/>
        <v/>
      </c>
      <c r="U1550" s="264" t="str">
        <f t="shared" si="5"/>
        <v/>
      </c>
      <c r="V1550" s="264" t="str">
        <f t="shared" si="6"/>
        <v/>
      </c>
      <c r="W1550" s="267" t="str">
        <f t="shared" si="8"/>
        <v/>
      </c>
      <c r="X1550" s="264" t="str">
        <f t="shared" si="7"/>
        <v/>
      </c>
    </row>
    <row r="1551" ht="15.75" customHeight="1">
      <c r="A1551" s="258"/>
      <c r="B1551" s="258"/>
      <c r="C1551" s="269"/>
      <c r="D1551" s="258"/>
      <c r="E1551" s="258"/>
      <c r="F1551" s="258"/>
      <c r="G1551" s="258"/>
      <c r="H1551" s="271"/>
      <c r="I1551" s="258"/>
      <c r="J1551" s="272"/>
      <c r="K1551" s="260"/>
      <c r="L1551" s="261"/>
      <c r="M1551" s="262" t="str">
        <f t="shared" si="1"/>
        <v/>
      </c>
      <c r="N1551" s="263" t="str">
        <f t="shared" si="2"/>
        <v/>
      </c>
      <c r="O1551" s="264" t="str">
        <f t="shared" si="3"/>
        <v/>
      </c>
      <c r="P1551" s="265" t="str">
        <f>IFERROR(__xludf.DUMMYFUNCTION("IF(ISBLANK(A1551),"""",IFERROR(IF(H1551=""Sell"",VLOOKUP(9^99,FILTER({ROW(P$2:P1550),P$2:P1550},D$2:D1550=D1551),2),(VLOOKUP(9^99,FILTER({ROW(P$2:P1550),P$2:P1550},D$2:D1550=D1551),2)*VLOOKUP(9^99,FILTER({ROW(O$2:O1550),O$2:O1550},D$2:D1550=D1551),2)-N155"&amp;"1)/O1551),J1551))"),"")</f>
        <v/>
      </c>
      <c r="Q1551" s="264" t="str">
        <f>IFERROR(__xludf.DUMMYFUNCTION("IFERROR(IF(F1551=""Crypto"",B1551,(IF(ISBLANK(D1551),"""",IF(D1551=""Cash"",B1551,IF(GOOGLEFINANCE(D1551,""CURRENCY"")=""GBX"",""GBP"",GOOGLEFINANCE(D1551,""CURRENCY"")))))),B1551)"),"")</f>
        <v/>
      </c>
      <c r="R1551" s="263" t="str">
        <f>IFERROR(__xludf.DUMMYFUNCTION("IF(ISBLANK(A1551),"""",IFERROR(IF(OR(Q1551=""GPB"",Q1551=""ZAR""),IF(Q1551=Dashboard!$L$1,K1551,(K1551*GOOGLEFINANCE(""CURRENCY:""&amp;Q1551&amp;""""&amp;Dashboard!$L$1&amp;""""))/100),IF(Q1551=Dashboard!$L$1,K1551,K1551*GOOGLEFINANCE(""CURRENCY:""&amp;Q1551&amp;""""&amp;Dashboard!$"&amp;"L$1&amp;""""))),K1551))"),"")</f>
        <v/>
      </c>
      <c r="S1551" s="266" t="str">
        <f>IFERROR(__xludf.DUMMYFUNCTION("IF(ISBLANK(A1551),"""",IFERROR(IF(OR(Q1551=""GPB"",Q1551=""ZAR""),IF(Q1551=Dashboard!$L$1,M1551,(M1551*GOOGLEFINANCE(""CURRENCY:""&amp;Q1551&amp;""""&amp;Dashboard!$L$1&amp;""""))/100),IF(Q1551=Dashboard!$L$1,M1551,M1551*GOOGLEFINANCE(""CURRENCY:""&amp;Q1551&amp;""""&amp;Dashboard!$"&amp;"L$1&amp;""""))),M1551))"),"")</f>
        <v/>
      </c>
      <c r="T1551" s="264" t="str">
        <f t="shared" si="4"/>
        <v/>
      </c>
      <c r="U1551" s="264" t="str">
        <f t="shared" si="5"/>
        <v/>
      </c>
      <c r="V1551" s="264" t="str">
        <f t="shared" si="6"/>
        <v/>
      </c>
      <c r="W1551" s="267" t="str">
        <f t="shared" si="8"/>
        <v/>
      </c>
      <c r="X1551" s="264" t="str">
        <f t="shared" si="7"/>
        <v/>
      </c>
    </row>
    <row r="1552" ht="15.75" customHeight="1">
      <c r="A1552" s="258"/>
      <c r="B1552" s="258"/>
      <c r="C1552" s="269"/>
      <c r="D1552" s="258"/>
      <c r="E1552" s="258"/>
      <c r="F1552" s="258"/>
      <c r="G1552" s="258"/>
      <c r="H1552" s="271"/>
      <c r="I1552" s="258"/>
      <c r="J1552" s="272"/>
      <c r="K1552" s="260"/>
      <c r="L1552" s="261"/>
      <c r="M1552" s="262" t="str">
        <f t="shared" si="1"/>
        <v/>
      </c>
      <c r="N1552" s="263" t="str">
        <f t="shared" si="2"/>
        <v/>
      </c>
      <c r="O1552" s="264" t="str">
        <f t="shared" si="3"/>
        <v/>
      </c>
      <c r="P1552" s="265" t="str">
        <f>IFERROR(__xludf.DUMMYFUNCTION("IF(ISBLANK(A1552),"""",IFERROR(IF(H1552=""Sell"",VLOOKUP(9^99,FILTER({ROW(P$2:P1551),P$2:P1551},D$2:D1551=D1552),2),(VLOOKUP(9^99,FILTER({ROW(P$2:P1551),P$2:P1551},D$2:D1551=D1552),2)*VLOOKUP(9^99,FILTER({ROW(O$2:O1551),O$2:O1551},D$2:D1551=D1552),2)-N155"&amp;"2)/O1552),J1552))"),"")</f>
        <v/>
      </c>
      <c r="Q1552" s="264" t="str">
        <f>IFERROR(__xludf.DUMMYFUNCTION("IFERROR(IF(F1552=""Crypto"",B1552,(IF(ISBLANK(D1552),"""",IF(D1552=""Cash"",B1552,IF(GOOGLEFINANCE(D1552,""CURRENCY"")=""GBX"",""GBP"",GOOGLEFINANCE(D1552,""CURRENCY"")))))),B1552)"),"")</f>
        <v/>
      </c>
      <c r="R1552" s="263" t="str">
        <f>IFERROR(__xludf.DUMMYFUNCTION("IF(ISBLANK(A1552),"""",IFERROR(IF(OR(Q1552=""GPB"",Q1552=""ZAR""),IF(Q1552=Dashboard!$L$1,K1552,(K1552*GOOGLEFINANCE(""CURRENCY:""&amp;Q1552&amp;""""&amp;Dashboard!$L$1&amp;""""))/100),IF(Q1552=Dashboard!$L$1,K1552,K1552*GOOGLEFINANCE(""CURRENCY:""&amp;Q1552&amp;""""&amp;Dashboard!$"&amp;"L$1&amp;""""))),K1552))"),"")</f>
        <v/>
      </c>
      <c r="S1552" s="266" t="str">
        <f>IFERROR(__xludf.DUMMYFUNCTION("IF(ISBLANK(A1552),"""",IFERROR(IF(OR(Q1552=""GPB"",Q1552=""ZAR""),IF(Q1552=Dashboard!$L$1,M1552,(M1552*GOOGLEFINANCE(""CURRENCY:""&amp;Q1552&amp;""""&amp;Dashboard!$L$1&amp;""""))/100),IF(Q1552=Dashboard!$L$1,M1552,M1552*GOOGLEFINANCE(""CURRENCY:""&amp;Q1552&amp;""""&amp;Dashboard!$"&amp;"L$1&amp;""""))),M1552))"),"")</f>
        <v/>
      </c>
      <c r="T1552" s="264" t="str">
        <f t="shared" si="4"/>
        <v/>
      </c>
      <c r="U1552" s="264" t="str">
        <f t="shared" si="5"/>
        <v/>
      </c>
      <c r="V1552" s="264" t="str">
        <f t="shared" si="6"/>
        <v/>
      </c>
      <c r="W1552" s="267" t="str">
        <f t="shared" si="8"/>
        <v/>
      </c>
      <c r="X1552" s="264" t="str">
        <f t="shared" si="7"/>
        <v/>
      </c>
    </row>
    <row r="1553" ht="15.75" customHeight="1">
      <c r="A1553" s="258"/>
      <c r="B1553" s="258"/>
      <c r="C1553" s="269"/>
      <c r="D1553" s="258"/>
      <c r="E1553" s="258"/>
      <c r="F1553" s="258"/>
      <c r="G1553" s="258"/>
      <c r="H1553" s="271"/>
      <c r="I1553" s="258"/>
      <c r="J1553" s="272"/>
      <c r="K1553" s="260"/>
      <c r="L1553" s="261"/>
      <c r="M1553" s="262" t="str">
        <f t="shared" si="1"/>
        <v/>
      </c>
      <c r="N1553" s="263" t="str">
        <f t="shared" si="2"/>
        <v/>
      </c>
      <c r="O1553" s="264" t="str">
        <f t="shared" si="3"/>
        <v/>
      </c>
      <c r="P1553" s="265" t="str">
        <f>IFERROR(__xludf.DUMMYFUNCTION("IF(ISBLANK(A1553),"""",IFERROR(IF(H1553=""Sell"",VLOOKUP(9^99,FILTER({ROW(P$2:P1552),P$2:P1552},D$2:D1552=D1553),2),(VLOOKUP(9^99,FILTER({ROW(P$2:P1552),P$2:P1552},D$2:D1552=D1553),2)*VLOOKUP(9^99,FILTER({ROW(O$2:O1552),O$2:O1552},D$2:D1552=D1553),2)-N155"&amp;"3)/O1553),J1553))"),"")</f>
        <v/>
      </c>
      <c r="Q1553" s="264" t="str">
        <f>IFERROR(__xludf.DUMMYFUNCTION("IFERROR(IF(F1553=""Crypto"",B1553,(IF(ISBLANK(D1553),"""",IF(D1553=""Cash"",B1553,IF(GOOGLEFINANCE(D1553,""CURRENCY"")=""GBX"",""GBP"",GOOGLEFINANCE(D1553,""CURRENCY"")))))),B1553)"),"")</f>
        <v/>
      </c>
      <c r="R1553" s="263" t="str">
        <f>IFERROR(__xludf.DUMMYFUNCTION("IF(ISBLANK(A1553),"""",IFERROR(IF(OR(Q1553=""GPB"",Q1553=""ZAR""),IF(Q1553=Dashboard!$L$1,K1553,(K1553*GOOGLEFINANCE(""CURRENCY:""&amp;Q1553&amp;""""&amp;Dashboard!$L$1&amp;""""))/100),IF(Q1553=Dashboard!$L$1,K1553,K1553*GOOGLEFINANCE(""CURRENCY:""&amp;Q1553&amp;""""&amp;Dashboard!$"&amp;"L$1&amp;""""))),K1553))"),"")</f>
        <v/>
      </c>
      <c r="S1553" s="266" t="str">
        <f>IFERROR(__xludf.DUMMYFUNCTION("IF(ISBLANK(A1553),"""",IFERROR(IF(OR(Q1553=""GPB"",Q1553=""ZAR""),IF(Q1553=Dashboard!$L$1,M1553,(M1553*GOOGLEFINANCE(""CURRENCY:""&amp;Q1553&amp;""""&amp;Dashboard!$L$1&amp;""""))/100),IF(Q1553=Dashboard!$L$1,M1553,M1553*GOOGLEFINANCE(""CURRENCY:""&amp;Q1553&amp;""""&amp;Dashboard!$"&amp;"L$1&amp;""""))),M1553))"),"")</f>
        <v/>
      </c>
      <c r="T1553" s="264" t="str">
        <f t="shared" si="4"/>
        <v/>
      </c>
      <c r="U1553" s="264" t="str">
        <f t="shared" si="5"/>
        <v/>
      </c>
      <c r="V1553" s="264" t="str">
        <f t="shared" si="6"/>
        <v/>
      </c>
      <c r="W1553" s="267" t="str">
        <f t="shared" si="8"/>
        <v/>
      </c>
      <c r="X1553" s="264" t="str">
        <f t="shared" si="7"/>
        <v/>
      </c>
    </row>
    <row r="1554" ht="15.75" customHeight="1">
      <c r="A1554" s="258"/>
      <c r="B1554" s="258"/>
      <c r="C1554" s="269"/>
      <c r="D1554" s="258"/>
      <c r="E1554" s="258"/>
      <c r="F1554" s="258"/>
      <c r="G1554" s="258"/>
      <c r="H1554" s="271"/>
      <c r="I1554" s="258"/>
      <c r="J1554" s="272"/>
      <c r="K1554" s="260"/>
      <c r="L1554" s="261"/>
      <c r="M1554" s="262" t="str">
        <f t="shared" si="1"/>
        <v/>
      </c>
      <c r="N1554" s="263" t="str">
        <f t="shared" si="2"/>
        <v/>
      </c>
      <c r="O1554" s="264" t="str">
        <f t="shared" si="3"/>
        <v/>
      </c>
      <c r="P1554" s="265" t="str">
        <f>IFERROR(__xludf.DUMMYFUNCTION("IF(ISBLANK(A1554),"""",IFERROR(IF(H1554=""Sell"",VLOOKUP(9^99,FILTER({ROW(P$2:P1553),P$2:P1553},D$2:D1553=D1554),2),(VLOOKUP(9^99,FILTER({ROW(P$2:P1553),P$2:P1553},D$2:D1553=D1554),2)*VLOOKUP(9^99,FILTER({ROW(O$2:O1553),O$2:O1553},D$2:D1553=D1554),2)-N155"&amp;"4)/O1554),J1554))"),"")</f>
        <v/>
      </c>
      <c r="Q1554" s="264" t="str">
        <f>IFERROR(__xludf.DUMMYFUNCTION("IFERROR(IF(F1554=""Crypto"",B1554,(IF(ISBLANK(D1554),"""",IF(D1554=""Cash"",B1554,IF(GOOGLEFINANCE(D1554,""CURRENCY"")=""GBX"",""GBP"",GOOGLEFINANCE(D1554,""CURRENCY"")))))),B1554)"),"")</f>
        <v/>
      </c>
      <c r="R1554" s="263" t="str">
        <f>IFERROR(__xludf.DUMMYFUNCTION("IF(ISBLANK(A1554),"""",IFERROR(IF(OR(Q1554=""GPB"",Q1554=""ZAR""),IF(Q1554=Dashboard!$L$1,K1554,(K1554*GOOGLEFINANCE(""CURRENCY:""&amp;Q1554&amp;""""&amp;Dashboard!$L$1&amp;""""))/100),IF(Q1554=Dashboard!$L$1,K1554,K1554*GOOGLEFINANCE(""CURRENCY:""&amp;Q1554&amp;""""&amp;Dashboard!$"&amp;"L$1&amp;""""))),K1554))"),"")</f>
        <v/>
      </c>
      <c r="S1554" s="266" t="str">
        <f>IFERROR(__xludf.DUMMYFUNCTION("IF(ISBLANK(A1554),"""",IFERROR(IF(OR(Q1554=""GPB"",Q1554=""ZAR""),IF(Q1554=Dashboard!$L$1,M1554,(M1554*GOOGLEFINANCE(""CURRENCY:""&amp;Q1554&amp;""""&amp;Dashboard!$L$1&amp;""""))/100),IF(Q1554=Dashboard!$L$1,M1554,M1554*GOOGLEFINANCE(""CURRENCY:""&amp;Q1554&amp;""""&amp;Dashboard!$"&amp;"L$1&amp;""""))),M1554))"),"")</f>
        <v/>
      </c>
      <c r="T1554" s="264" t="str">
        <f t="shared" si="4"/>
        <v/>
      </c>
      <c r="U1554" s="264" t="str">
        <f t="shared" si="5"/>
        <v/>
      </c>
      <c r="V1554" s="264" t="str">
        <f t="shared" si="6"/>
        <v/>
      </c>
      <c r="W1554" s="267" t="str">
        <f t="shared" si="8"/>
        <v/>
      </c>
      <c r="X1554" s="264" t="str">
        <f t="shared" si="7"/>
        <v/>
      </c>
    </row>
    <row r="1555" ht="15.75" customHeight="1">
      <c r="A1555" s="258"/>
      <c r="B1555" s="258"/>
      <c r="C1555" s="269"/>
      <c r="D1555" s="258"/>
      <c r="E1555" s="258"/>
      <c r="F1555" s="258"/>
      <c r="G1555" s="258"/>
      <c r="H1555" s="271"/>
      <c r="I1555" s="258"/>
      <c r="J1555" s="272"/>
      <c r="K1555" s="260"/>
      <c r="L1555" s="261"/>
      <c r="M1555" s="262" t="str">
        <f t="shared" si="1"/>
        <v/>
      </c>
      <c r="N1555" s="263" t="str">
        <f t="shared" si="2"/>
        <v/>
      </c>
      <c r="O1555" s="264" t="str">
        <f t="shared" si="3"/>
        <v/>
      </c>
      <c r="P1555" s="265" t="str">
        <f>IFERROR(__xludf.DUMMYFUNCTION("IF(ISBLANK(A1555),"""",IFERROR(IF(H1555=""Sell"",VLOOKUP(9^99,FILTER({ROW(P$2:P1554),P$2:P1554},D$2:D1554=D1555),2),(VLOOKUP(9^99,FILTER({ROW(P$2:P1554),P$2:P1554},D$2:D1554=D1555),2)*VLOOKUP(9^99,FILTER({ROW(O$2:O1554),O$2:O1554},D$2:D1554=D1555),2)-N155"&amp;"5)/O1555),J1555))"),"")</f>
        <v/>
      </c>
      <c r="Q1555" s="264" t="str">
        <f>IFERROR(__xludf.DUMMYFUNCTION("IFERROR(IF(F1555=""Crypto"",B1555,(IF(ISBLANK(D1555),"""",IF(D1555=""Cash"",B1555,IF(GOOGLEFINANCE(D1555,""CURRENCY"")=""GBX"",""GBP"",GOOGLEFINANCE(D1555,""CURRENCY"")))))),B1555)"),"")</f>
        <v/>
      </c>
      <c r="R1555" s="263" t="str">
        <f>IFERROR(__xludf.DUMMYFUNCTION("IF(ISBLANK(A1555),"""",IFERROR(IF(OR(Q1555=""GPB"",Q1555=""ZAR""),IF(Q1555=Dashboard!$L$1,K1555,(K1555*GOOGLEFINANCE(""CURRENCY:""&amp;Q1555&amp;""""&amp;Dashboard!$L$1&amp;""""))/100),IF(Q1555=Dashboard!$L$1,K1555,K1555*GOOGLEFINANCE(""CURRENCY:""&amp;Q1555&amp;""""&amp;Dashboard!$"&amp;"L$1&amp;""""))),K1555))"),"")</f>
        <v/>
      </c>
      <c r="S1555" s="266" t="str">
        <f>IFERROR(__xludf.DUMMYFUNCTION("IF(ISBLANK(A1555),"""",IFERROR(IF(OR(Q1555=""GPB"",Q1555=""ZAR""),IF(Q1555=Dashboard!$L$1,M1555,(M1555*GOOGLEFINANCE(""CURRENCY:""&amp;Q1555&amp;""""&amp;Dashboard!$L$1&amp;""""))/100),IF(Q1555=Dashboard!$L$1,M1555,M1555*GOOGLEFINANCE(""CURRENCY:""&amp;Q1555&amp;""""&amp;Dashboard!$"&amp;"L$1&amp;""""))),M1555))"),"")</f>
        <v/>
      </c>
      <c r="T1555" s="264" t="str">
        <f t="shared" si="4"/>
        <v/>
      </c>
      <c r="U1555" s="264" t="str">
        <f t="shared" si="5"/>
        <v/>
      </c>
      <c r="V1555" s="264" t="str">
        <f t="shared" si="6"/>
        <v/>
      </c>
      <c r="W1555" s="267" t="str">
        <f t="shared" si="8"/>
        <v/>
      </c>
      <c r="X1555" s="264" t="str">
        <f t="shared" si="7"/>
        <v/>
      </c>
    </row>
    <row r="1556" ht="15.75" customHeight="1">
      <c r="A1556" s="258"/>
      <c r="B1556" s="258"/>
      <c r="C1556" s="269"/>
      <c r="D1556" s="258"/>
      <c r="E1556" s="258"/>
      <c r="F1556" s="258"/>
      <c r="G1556" s="258"/>
      <c r="H1556" s="271"/>
      <c r="I1556" s="258"/>
      <c r="J1556" s="272"/>
      <c r="K1556" s="260"/>
      <c r="L1556" s="261"/>
      <c r="M1556" s="262" t="str">
        <f t="shared" si="1"/>
        <v/>
      </c>
      <c r="N1556" s="263" t="str">
        <f t="shared" si="2"/>
        <v/>
      </c>
      <c r="O1556" s="264" t="str">
        <f t="shared" si="3"/>
        <v/>
      </c>
      <c r="P1556" s="265" t="str">
        <f>IFERROR(__xludf.DUMMYFUNCTION("IF(ISBLANK(A1556),"""",IFERROR(IF(H1556=""Sell"",VLOOKUP(9^99,FILTER({ROW(P$2:P1555),P$2:P1555},D$2:D1555=D1556),2),(VLOOKUP(9^99,FILTER({ROW(P$2:P1555),P$2:P1555},D$2:D1555=D1556),2)*VLOOKUP(9^99,FILTER({ROW(O$2:O1555),O$2:O1555},D$2:D1555=D1556),2)-N155"&amp;"6)/O1556),J1556))"),"")</f>
        <v/>
      </c>
      <c r="Q1556" s="264" t="str">
        <f>IFERROR(__xludf.DUMMYFUNCTION("IFERROR(IF(F1556=""Crypto"",B1556,(IF(ISBLANK(D1556),"""",IF(D1556=""Cash"",B1556,IF(GOOGLEFINANCE(D1556,""CURRENCY"")=""GBX"",""GBP"",GOOGLEFINANCE(D1556,""CURRENCY"")))))),B1556)"),"")</f>
        <v/>
      </c>
      <c r="R1556" s="263" t="str">
        <f>IFERROR(__xludf.DUMMYFUNCTION("IF(ISBLANK(A1556),"""",IFERROR(IF(OR(Q1556=""GPB"",Q1556=""ZAR""),IF(Q1556=Dashboard!$L$1,K1556,(K1556*GOOGLEFINANCE(""CURRENCY:""&amp;Q1556&amp;""""&amp;Dashboard!$L$1&amp;""""))/100),IF(Q1556=Dashboard!$L$1,K1556,K1556*GOOGLEFINANCE(""CURRENCY:""&amp;Q1556&amp;""""&amp;Dashboard!$"&amp;"L$1&amp;""""))),K1556))"),"")</f>
        <v/>
      </c>
      <c r="S1556" s="266" t="str">
        <f>IFERROR(__xludf.DUMMYFUNCTION("IF(ISBLANK(A1556),"""",IFERROR(IF(OR(Q1556=""GPB"",Q1556=""ZAR""),IF(Q1556=Dashboard!$L$1,M1556,(M1556*GOOGLEFINANCE(""CURRENCY:""&amp;Q1556&amp;""""&amp;Dashboard!$L$1&amp;""""))/100),IF(Q1556=Dashboard!$L$1,M1556,M1556*GOOGLEFINANCE(""CURRENCY:""&amp;Q1556&amp;""""&amp;Dashboard!$"&amp;"L$1&amp;""""))),M1556))"),"")</f>
        <v/>
      </c>
      <c r="T1556" s="264" t="str">
        <f t="shared" si="4"/>
        <v/>
      </c>
      <c r="U1556" s="264" t="str">
        <f t="shared" si="5"/>
        <v/>
      </c>
      <c r="V1556" s="264" t="str">
        <f t="shared" si="6"/>
        <v/>
      </c>
      <c r="W1556" s="267" t="str">
        <f t="shared" si="8"/>
        <v/>
      </c>
      <c r="X1556" s="264" t="str">
        <f t="shared" si="7"/>
        <v/>
      </c>
    </row>
    <row r="1557" ht="15.75" customHeight="1">
      <c r="A1557" s="258"/>
      <c r="B1557" s="258"/>
      <c r="C1557" s="269"/>
      <c r="D1557" s="258"/>
      <c r="E1557" s="258"/>
      <c r="F1557" s="258"/>
      <c r="G1557" s="258"/>
      <c r="H1557" s="271"/>
      <c r="I1557" s="258"/>
      <c r="J1557" s="272"/>
      <c r="K1557" s="260"/>
      <c r="L1557" s="261"/>
      <c r="M1557" s="262" t="str">
        <f t="shared" si="1"/>
        <v/>
      </c>
      <c r="N1557" s="263" t="str">
        <f t="shared" si="2"/>
        <v/>
      </c>
      <c r="O1557" s="264" t="str">
        <f t="shared" si="3"/>
        <v/>
      </c>
      <c r="P1557" s="265" t="str">
        <f>IFERROR(__xludf.DUMMYFUNCTION("IF(ISBLANK(A1557),"""",IFERROR(IF(H1557=""Sell"",VLOOKUP(9^99,FILTER({ROW(P$2:P1556),P$2:P1556},D$2:D1556=D1557),2),(VLOOKUP(9^99,FILTER({ROW(P$2:P1556),P$2:P1556},D$2:D1556=D1557),2)*VLOOKUP(9^99,FILTER({ROW(O$2:O1556),O$2:O1556},D$2:D1556=D1557),2)-N155"&amp;"7)/O1557),J1557))"),"")</f>
        <v/>
      </c>
      <c r="Q1557" s="264" t="str">
        <f>IFERROR(__xludf.DUMMYFUNCTION("IFERROR(IF(F1557=""Crypto"",B1557,(IF(ISBLANK(D1557),"""",IF(D1557=""Cash"",B1557,IF(GOOGLEFINANCE(D1557,""CURRENCY"")=""GBX"",""GBP"",GOOGLEFINANCE(D1557,""CURRENCY"")))))),B1557)"),"")</f>
        <v/>
      </c>
      <c r="R1557" s="263" t="str">
        <f>IFERROR(__xludf.DUMMYFUNCTION("IF(ISBLANK(A1557),"""",IFERROR(IF(OR(Q1557=""GPB"",Q1557=""ZAR""),IF(Q1557=Dashboard!$L$1,K1557,(K1557*GOOGLEFINANCE(""CURRENCY:""&amp;Q1557&amp;""""&amp;Dashboard!$L$1&amp;""""))/100),IF(Q1557=Dashboard!$L$1,K1557,K1557*GOOGLEFINANCE(""CURRENCY:""&amp;Q1557&amp;""""&amp;Dashboard!$"&amp;"L$1&amp;""""))),K1557))"),"")</f>
        <v/>
      </c>
      <c r="S1557" s="266" t="str">
        <f>IFERROR(__xludf.DUMMYFUNCTION("IF(ISBLANK(A1557),"""",IFERROR(IF(OR(Q1557=""GPB"",Q1557=""ZAR""),IF(Q1557=Dashboard!$L$1,M1557,(M1557*GOOGLEFINANCE(""CURRENCY:""&amp;Q1557&amp;""""&amp;Dashboard!$L$1&amp;""""))/100),IF(Q1557=Dashboard!$L$1,M1557,M1557*GOOGLEFINANCE(""CURRENCY:""&amp;Q1557&amp;""""&amp;Dashboard!$"&amp;"L$1&amp;""""))),M1557))"),"")</f>
        <v/>
      </c>
      <c r="T1557" s="264" t="str">
        <f t="shared" si="4"/>
        <v/>
      </c>
      <c r="U1557" s="264" t="str">
        <f t="shared" si="5"/>
        <v/>
      </c>
      <c r="V1557" s="264" t="str">
        <f t="shared" si="6"/>
        <v/>
      </c>
      <c r="W1557" s="267" t="str">
        <f t="shared" si="8"/>
        <v/>
      </c>
      <c r="X1557" s="264" t="str">
        <f t="shared" si="7"/>
        <v/>
      </c>
    </row>
    <row r="1558" ht="15.75" customHeight="1">
      <c r="A1558" s="258"/>
      <c r="B1558" s="258"/>
      <c r="C1558" s="269"/>
      <c r="D1558" s="258"/>
      <c r="E1558" s="258"/>
      <c r="F1558" s="258"/>
      <c r="G1558" s="258"/>
      <c r="H1558" s="271"/>
      <c r="I1558" s="258"/>
      <c r="J1558" s="272"/>
      <c r="K1558" s="260"/>
      <c r="L1558" s="261"/>
      <c r="M1558" s="262" t="str">
        <f t="shared" si="1"/>
        <v/>
      </c>
      <c r="N1558" s="263" t="str">
        <f t="shared" si="2"/>
        <v/>
      </c>
      <c r="O1558" s="264" t="str">
        <f t="shared" si="3"/>
        <v/>
      </c>
      <c r="P1558" s="265" t="str">
        <f>IFERROR(__xludf.DUMMYFUNCTION("IF(ISBLANK(A1558),"""",IFERROR(IF(H1558=""Sell"",VLOOKUP(9^99,FILTER({ROW(P$2:P1557),P$2:P1557},D$2:D1557=D1558),2),(VLOOKUP(9^99,FILTER({ROW(P$2:P1557),P$2:P1557},D$2:D1557=D1558),2)*VLOOKUP(9^99,FILTER({ROW(O$2:O1557),O$2:O1557},D$2:D1557=D1558),2)-N155"&amp;"8)/O1558),J1558))"),"")</f>
        <v/>
      </c>
      <c r="Q1558" s="264" t="str">
        <f>IFERROR(__xludf.DUMMYFUNCTION("IFERROR(IF(F1558=""Crypto"",B1558,(IF(ISBLANK(D1558),"""",IF(D1558=""Cash"",B1558,IF(GOOGLEFINANCE(D1558,""CURRENCY"")=""GBX"",""GBP"",GOOGLEFINANCE(D1558,""CURRENCY"")))))),B1558)"),"")</f>
        <v/>
      </c>
      <c r="R1558" s="263" t="str">
        <f>IFERROR(__xludf.DUMMYFUNCTION("IF(ISBLANK(A1558),"""",IFERROR(IF(OR(Q1558=""GPB"",Q1558=""ZAR""),IF(Q1558=Dashboard!$L$1,K1558,(K1558*GOOGLEFINANCE(""CURRENCY:""&amp;Q1558&amp;""""&amp;Dashboard!$L$1&amp;""""))/100),IF(Q1558=Dashboard!$L$1,K1558,K1558*GOOGLEFINANCE(""CURRENCY:""&amp;Q1558&amp;""""&amp;Dashboard!$"&amp;"L$1&amp;""""))),K1558))"),"")</f>
        <v/>
      </c>
      <c r="S1558" s="266" t="str">
        <f>IFERROR(__xludf.DUMMYFUNCTION("IF(ISBLANK(A1558),"""",IFERROR(IF(OR(Q1558=""GPB"",Q1558=""ZAR""),IF(Q1558=Dashboard!$L$1,M1558,(M1558*GOOGLEFINANCE(""CURRENCY:""&amp;Q1558&amp;""""&amp;Dashboard!$L$1&amp;""""))/100),IF(Q1558=Dashboard!$L$1,M1558,M1558*GOOGLEFINANCE(""CURRENCY:""&amp;Q1558&amp;""""&amp;Dashboard!$"&amp;"L$1&amp;""""))),M1558))"),"")</f>
        <v/>
      </c>
      <c r="T1558" s="264" t="str">
        <f t="shared" si="4"/>
        <v/>
      </c>
      <c r="U1558" s="264" t="str">
        <f t="shared" si="5"/>
        <v/>
      </c>
      <c r="V1558" s="264" t="str">
        <f t="shared" si="6"/>
        <v/>
      </c>
      <c r="W1558" s="267" t="str">
        <f t="shared" si="8"/>
        <v/>
      </c>
      <c r="X1558" s="264" t="str">
        <f t="shared" si="7"/>
        <v/>
      </c>
    </row>
    <row r="1559" ht="15.75" customHeight="1">
      <c r="A1559" s="258"/>
      <c r="B1559" s="258"/>
      <c r="C1559" s="269"/>
      <c r="D1559" s="258"/>
      <c r="E1559" s="258"/>
      <c r="F1559" s="258"/>
      <c r="G1559" s="258"/>
      <c r="H1559" s="271"/>
      <c r="I1559" s="258"/>
      <c r="J1559" s="272"/>
      <c r="K1559" s="260"/>
      <c r="L1559" s="261"/>
      <c r="M1559" s="262" t="str">
        <f t="shared" si="1"/>
        <v/>
      </c>
      <c r="N1559" s="263" t="str">
        <f t="shared" si="2"/>
        <v/>
      </c>
      <c r="O1559" s="264" t="str">
        <f t="shared" si="3"/>
        <v/>
      </c>
      <c r="P1559" s="265" t="str">
        <f>IFERROR(__xludf.DUMMYFUNCTION("IF(ISBLANK(A1559),"""",IFERROR(IF(H1559=""Sell"",VLOOKUP(9^99,FILTER({ROW(P$2:P1558),P$2:P1558},D$2:D1558=D1559),2),(VLOOKUP(9^99,FILTER({ROW(P$2:P1558),P$2:P1558},D$2:D1558=D1559),2)*VLOOKUP(9^99,FILTER({ROW(O$2:O1558),O$2:O1558},D$2:D1558=D1559),2)-N155"&amp;"9)/O1559),J1559))"),"")</f>
        <v/>
      </c>
      <c r="Q1559" s="264" t="str">
        <f>IFERROR(__xludf.DUMMYFUNCTION("IFERROR(IF(F1559=""Crypto"",B1559,(IF(ISBLANK(D1559),"""",IF(D1559=""Cash"",B1559,IF(GOOGLEFINANCE(D1559,""CURRENCY"")=""GBX"",""GBP"",GOOGLEFINANCE(D1559,""CURRENCY"")))))),B1559)"),"")</f>
        <v/>
      </c>
      <c r="R1559" s="263" t="str">
        <f>IFERROR(__xludf.DUMMYFUNCTION("IF(ISBLANK(A1559),"""",IFERROR(IF(OR(Q1559=""GPB"",Q1559=""ZAR""),IF(Q1559=Dashboard!$L$1,K1559,(K1559*GOOGLEFINANCE(""CURRENCY:""&amp;Q1559&amp;""""&amp;Dashboard!$L$1&amp;""""))/100),IF(Q1559=Dashboard!$L$1,K1559,K1559*GOOGLEFINANCE(""CURRENCY:""&amp;Q1559&amp;""""&amp;Dashboard!$"&amp;"L$1&amp;""""))),K1559))"),"")</f>
        <v/>
      </c>
      <c r="S1559" s="266" t="str">
        <f>IFERROR(__xludf.DUMMYFUNCTION("IF(ISBLANK(A1559),"""",IFERROR(IF(OR(Q1559=""GPB"",Q1559=""ZAR""),IF(Q1559=Dashboard!$L$1,M1559,(M1559*GOOGLEFINANCE(""CURRENCY:""&amp;Q1559&amp;""""&amp;Dashboard!$L$1&amp;""""))/100),IF(Q1559=Dashboard!$L$1,M1559,M1559*GOOGLEFINANCE(""CURRENCY:""&amp;Q1559&amp;""""&amp;Dashboard!$"&amp;"L$1&amp;""""))),M1559))"),"")</f>
        <v/>
      </c>
      <c r="T1559" s="264" t="str">
        <f t="shared" si="4"/>
        <v/>
      </c>
      <c r="U1559" s="264" t="str">
        <f t="shared" si="5"/>
        <v/>
      </c>
      <c r="V1559" s="264" t="str">
        <f t="shared" si="6"/>
        <v/>
      </c>
      <c r="W1559" s="267" t="str">
        <f t="shared" si="8"/>
        <v/>
      </c>
      <c r="X1559" s="264" t="str">
        <f t="shared" si="7"/>
        <v/>
      </c>
    </row>
    <row r="1560" ht="15.75" customHeight="1">
      <c r="A1560" s="258"/>
      <c r="B1560" s="258"/>
      <c r="C1560" s="269"/>
      <c r="D1560" s="258"/>
      <c r="E1560" s="258"/>
      <c r="F1560" s="258"/>
      <c r="G1560" s="258"/>
      <c r="H1560" s="271"/>
      <c r="I1560" s="258"/>
      <c r="J1560" s="272"/>
      <c r="K1560" s="260"/>
      <c r="L1560" s="261"/>
      <c r="M1560" s="262" t="str">
        <f t="shared" si="1"/>
        <v/>
      </c>
      <c r="N1560" s="263" t="str">
        <f t="shared" si="2"/>
        <v/>
      </c>
      <c r="O1560" s="264" t="str">
        <f t="shared" si="3"/>
        <v/>
      </c>
      <c r="P1560" s="265" t="str">
        <f>IFERROR(__xludf.DUMMYFUNCTION("IF(ISBLANK(A1560),"""",IFERROR(IF(H1560=""Sell"",VLOOKUP(9^99,FILTER({ROW(P$2:P1559),P$2:P1559},D$2:D1559=D1560),2),(VLOOKUP(9^99,FILTER({ROW(P$2:P1559),P$2:P1559},D$2:D1559=D1560),2)*VLOOKUP(9^99,FILTER({ROW(O$2:O1559),O$2:O1559},D$2:D1559=D1560),2)-N156"&amp;"0)/O1560),J1560))"),"")</f>
        <v/>
      </c>
      <c r="Q1560" s="264" t="str">
        <f>IFERROR(__xludf.DUMMYFUNCTION("IFERROR(IF(F1560=""Crypto"",B1560,(IF(ISBLANK(D1560),"""",IF(D1560=""Cash"",B1560,IF(GOOGLEFINANCE(D1560,""CURRENCY"")=""GBX"",""GBP"",GOOGLEFINANCE(D1560,""CURRENCY"")))))),B1560)"),"")</f>
        <v/>
      </c>
      <c r="R1560" s="263" t="str">
        <f>IFERROR(__xludf.DUMMYFUNCTION("IF(ISBLANK(A1560),"""",IFERROR(IF(OR(Q1560=""GPB"",Q1560=""ZAR""),IF(Q1560=Dashboard!$L$1,K1560,(K1560*GOOGLEFINANCE(""CURRENCY:""&amp;Q1560&amp;""""&amp;Dashboard!$L$1&amp;""""))/100),IF(Q1560=Dashboard!$L$1,K1560,K1560*GOOGLEFINANCE(""CURRENCY:""&amp;Q1560&amp;""""&amp;Dashboard!$"&amp;"L$1&amp;""""))),K1560))"),"")</f>
        <v/>
      </c>
      <c r="S1560" s="266" t="str">
        <f>IFERROR(__xludf.DUMMYFUNCTION("IF(ISBLANK(A1560),"""",IFERROR(IF(OR(Q1560=""GPB"",Q1560=""ZAR""),IF(Q1560=Dashboard!$L$1,M1560,(M1560*GOOGLEFINANCE(""CURRENCY:""&amp;Q1560&amp;""""&amp;Dashboard!$L$1&amp;""""))/100),IF(Q1560=Dashboard!$L$1,M1560,M1560*GOOGLEFINANCE(""CURRENCY:""&amp;Q1560&amp;""""&amp;Dashboard!$"&amp;"L$1&amp;""""))),M1560))"),"")</f>
        <v/>
      </c>
      <c r="T1560" s="264" t="str">
        <f t="shared" si="4"/>
        <v/>
      </c>
      <c r="U1560" s="264" t="str">
        <f t="shared" si="5"/>
        <v/>
      </c>
      <c r="V1560" s="264" t="str">
        <f t="shared" si="6"/>
        <v/>
      </c>
      <c r="W1560" s="267" t="str">
        <f t="shared" si="8"/>
        <v/>
      </c>
      <c r="X1560" s="264" t="str">
        <f t="shared" si="7"/>
        <v/>
      </c>
    </row>
    <row r="1561" ht="15.75" customHeight="1">
      <c r="A1561" s="258"/>
      <c r="B1561" s="258"/>
      <c r="C1561" s="269"/>
      <c r="D1561" s="258"/>
      <c r="E1561" s="258"/>
      <c r="F1561" s="258"/>
      <c r="G1561" s="258"/>
      <c r="H1561" s="271"/>
      <c r="I1561" s="258"/>
      <c r="J1561" s="272"/>
      <c r="K1561" s="260"/>
      <c r="L1561" s="261"/>
      <c r="M1561" s="262" t="str">
        <f t="shared" si="1"/>
        <v/>
      </c>
      <c r="N1561" s="263" t="str">
        <f t="shared" si="2"/>
        <v/>
      </c>
      <c r="O1561" s="264" t="str">
        <f t="shared" si="3"/>
        <v/>
      </c>
      <c r="P1561" s="265" t="str">
        <f>IFERROR(__xludf.DUMMYFUNCTION("IF(ISBLANK(A1561),"""",IFERROR(IF(H1561=""Sell"",VLOOKUP(9^99,FILTER({ROW(P$2:P1560),P$2:P1560},D$2:D1560=D1561),2),(VLOOKUP(9^99,FILTER({ROW(P$2:P1560),P$2:P1560},D$2:D1560=D1561),2)*VLOOKUP(9^99,FILTER({ROW(O$2:O1560),O$2:O1560},D$2:D1560=D1561),2)-N156"&amp;"1)/O1561),J1561))"),"")</f>
        <v/>
      </c>
      <c r="Q1561" s="264" t="str">
        <f>IFERROR(__xludf.DUMMYFUNCTION("IFERROR(IF(F1561=""Crypto"",B1561,(IF(ISBLANK(D1561),"""",IF(D1561=""Cash"",B1561,IF(GOOGLEFINANCE(D1561,""CURRENCY"")=""GBX"",""GBP"",GOOGLEFINANCE(D1561,""CURRENCY"")))))),B1561)"),"")</f>
        <v/>
      </c>
      <c r="R1561" s="263" t="str">
        <f>IFERROR(__xludf.DUMMYFUNCTION("IF(ISBLANK(A1561),"""",IFERROR(IF(OR(Q1561=""GPB"",Q1561=""ZAR""),IF(Q1561=Dashboard!$L$1,K1561,(K1561*GOOGLEFINANCE(""CURRENCY:""&amp;Q1561&amp;""""&amp;Dashboard!$L$1&amp;""""))/100),IF(Q1561=Dashboard!$L$1,K1561,K1561*GOOGLEFINANCE(""CURRENCY:""&amp;Q1561&amp;""""&amp;Dashboard!$"&amp;"L$1&amp;""""))),K1561))"),"")</f>
        <v/>
      </c>
      <c r="S1561" s="266" t="str">
        <f>IFERROR(__xludf.DUMMYFUNCTION("IF(ISBLANK(A1561),"""",IFERROR(IF(OR(Q1561=""GPB"",Q1561=""ZAR""),IF(Q1561=Dashboard!$L$1,M1561,(M1561*GOOGLEFINANCE(""CURRENCY:""&amp;Q1561&amp;""""&amp;Dashboard!$L$1&amp;""""))/100),IF(Q1561=Dashboard!$L$1,M1561,M1561*GOOGLEFINANCE(""CURRENCY:""&amp;Q1561&amp;""""&amp;Dashboard!$"&amp;"L$1&amp;""""))),M1561))"),"")</f>
        <v/>
      </c>
      <c r="T1561" s="264" t="str">
        <f t="shared" si="4"/>
        <v/>
      </c>
      <c r="U1561" s="264" t="str">
        <f t="shared" si="5"/>
        <v/>
      </c>
      <c r="V1561" s="264" t="str">
        <f t="shared" si="6"/>
        <v/>
      </c>
      <c r="W1561" s="267" t="str">
        <f t="shared" si="8"/>
        <v/>
      </c>
      <c r="X1561" s="264" t="str">
        <f t="shared" si="7"/>
        <v/>
      </c>
    </row>
    <row r="1562" ht="15.75" customHeight="1">
      <c r="A1562" s="258"/>
      <c r="B1562" s="258"/>
      <c r="C1562" s="269"/>
      <c r="D1562" s="258"/>
      <c r="E1562" s="258"/>
      <c r="F1562" s="258"/>
      <c r="G1562" s="258"/>
      <c r="H1562" s="271"/>
      <c r="I1562" s="258"/>
      <c r="J1562" s="272"/>
      <c r="K1562" s="260"/>
      <c r="L1562" s="261"/>
      <c r="M1562" s="262" t="str">
        <f t="shared" si="1"/>
        <v/>
      </c>
      <c r="N1562" s="263" t="str">
        <f t="shared" si="2"/>
        <v/>
      </c>
      <c r="O1562" s="264" t="str">
        <f t="shared" si="3"/>
        <v/>
      </c>
      <c r="P1562" s="265" t="str">
        <f>IFERROR(__xludf.DUMMYFUNCTION("IF(ISBLANK(A1562),"""",IFERROR(IF(H1562=""Sell"",VLOOKUP(9^99,FILTER({ROW(P$2:P1561),P$2:P1561},D$2:D1561=D1562),2),(VLOOKUP(9^99,FILTER({ROW(P$2:P1561),P$2:P1561},D$2:D1561=D1562),2)*VLOOKUP(9^99,FILTER({ROW(O$2:O1561),O$2:O1561},D$2:D1561=D1562),2)-N156"&amp;"2)/O1562),J1562))"),"")</f>
        <v/>
      </c>
      <c r="Q1562" s="264" t="str">
        <f>IFERROR(__xludf.DUMMYFUNCTION("IFERROR(IF(F1562=""Crypto"",B1562,(IF(ISBLANK(D1562),"""",IF(D1562=""Cash"",B1562,IF(GOOGLEFINANCE(D1562,""CURRENCY"")=""GBX"",""GBP"",GOOGLEFINANCE(D1562,""CURRENCY"")))))),B1562)"),"")</f>
        <v/>
      </c>
      <c r="R1562" s="263" t="str">
        <f>IFERROR(__xludf.DUMMYFUNCTION("IF(ISBLANK(A1562),"""",IFERROR(IF(OR(Q1562=""GPB"",Q1562=""ZAR""),IF(Q1562=Dashboard!$L$1,K1562,(K1562*GOOGLEFINANCE(""CURRENCY:""&amp;Q1562&amp;""""&amp;Dashboard!$L$1&amp;""""))/100),IF(Q1562=Dashboard!$L$1,K1562,K1562*GOOGLEFINANCE(""CURRENCY:""&amp;Q1562&amp;""""&amp;Dashboard!$"&amp;"L$1&amp;""""))),K1562))"),"")</f>
        <v/>
      </c>
      <c r="S1562" s="266" t="str">
        <f>IFERROR(__xludf.DUMMYFUNCTION("IF(ISBLANK(A1562),"""",IFERROR(IF(OR(Q1562=""GPB"",Q1562=""ZAR""),IF(Q1562=Dashboard!$L$1,M1562,(M1562*GOOGLEFINANCE(""CURRENCY:""&amp;Q1562&amp;""""&amp;Dashboard!$L$1&amp;""""))/100),IF(Q1562=Dashboard!$L$1,M1562,M1562*GOOGLEFINANCE(""CURRENCY:""&amp;Q1562&amp;""""&amp;Dashboard!$"&amp;"L$1&amp;""""))),M1562))"),"")</f>
        <v/>
      </c>
      <c r="T1562" s="264" t="str">
        <f t="shared" si="4"/>
        <v/>
      </c>
      <c r="U1562" s="264" t="str">
        <f t="shared" si="5"/>
        <v/>
      </c>
      <c r="V1562" s="264" t="str">
        <f t="shared" si="6"/>
        <v/>
      </c>
      <c r="W1562" s="267" t="str">
        <f t="shared" si="8"/>
        <v/>
      </c>
      <c r="X1562" s="264" t="str">
        <f t="shared" si="7"/>
        <v/>
      </c>
    </row>
    <row r="1563" ht="15.75" customHeight="1">
      <c r="A1563" s="258"/>
      <c r="B1563" s="258"/>
      <c r="C1563" s="269"/>
      <c r="D1563" s="258"/>
      <c r="E1563" s="258"/>
      <c r="F1563" s="258"/>
      <c r="G1563" s="258"/>
      <c r="H1563" s="271"/>
      <c r="I1563" s="258"/>
      <c r="J1563" s="272"/>
      <c r="K1563" s="260"/>
      <c r="L1563" s="261"/>
      <c r="M1563" s="262" t="str">
        <f t="shared" si="1"/>
        <v/>
      </c>
      <c r="N1563" s="263" t="str">
        <f t="shared" si="2"/>
        <v/>
      </c>
      <c r="O1563" s="264" t="str">
        <f t="shared" si="3"/>
        <v/>
      </c>
      <c r="P1563" s="265" t="str">
        <f>IFERROR(__xludf.DUMMYFUNCTION("IF(ISBLANK(A1563),"""",IFERROR(IF(H1563=""Sell"",VLOOKUP(9^99,FILTER({ROW(P$2:P1562),P$2:P1562},D$2:D1562=D1563),2),(VLOOKUP(9^99,FILTER({ROW(P$2:P1562),P$2:P1562},D$2:D1562=D1563),2)*VLOOKUP(9^99,FILTER({ROW(O$2:O1562),O$2:O1562},D$2:D1562=D1563),2)-N156"&amp;"3)/O1563),J1563))"),"")</f>
        <v/>
      </c>
      <c r="Q1563" s="264" t="str">
        <f>IFERROR(__xludf.DUMMYFUNCTION("IFERROR(IF(F1563=""Crypto"",B1563,(IF(ISBLANK(D1563),"""",IF(D1563=""Cash"",B1563,IF(GOOGLEFINANCE(D1563,""CURRENCY"")=""GBX"",""GBP"",GOOGLEFINANCE(D1563,""CURRENCY"")))))),B1563)"),"")</f>
        <v/>
      </c>
      <c r="R1563" s="263" t="str">
        <f>IFERROR(__xludf.DUMMYFUNCTION("IF(ISBLANK(A1563),"""",IFERROR(IF(OR(Q1563=""GPB"",Q1563=""ZAR""),IF(Q1563=Dashboard!$L$1,K1563,(K1563*GOOGLEFINANCE(""CURRENCY:""&amp;Q1563&amp;""""&amp;Dashboard!$L$1&amp;""""))/100),IF(Q1563=Dashboard!$L$1,K1563,K1563*GOOGLEFINANCE(""CURRENCY:""&amp;Q1563&amp;""""&amp;Dashboard!$"&amp;"L$1&amp;""""))),K1563))"),"")</f>
        <v/>
      </c>
      <c r="S1563" s="266" t="str">
        <f>IFERROR(__xludf.DUMMYFUNCTION("IF(ISBLANK(A1563),"""",IFERROR(IF(OR(Q1563=""GPB"",Q1563=""ZAR""),IF(Q1563=Dashboard!$L$1,M1563,(M1563*GOOGLEFINANCE(""CURRENCY:""&amp;Q1563&amp;""""&amp;Dashboard!$L$1&amp;""""))/100),IF(Q1563=Dashboard!$L$1,M1563,M1563*GOOGLEFINANCE(""CURRENCY:""&amp;Q1563&amp;""""&amp;Dashboard!$"&amp;"L$1&amp;""""))),M1563))"),"")</f>
        <v/>
      </c>
      <c r="T1563" s="264" t="str">
        <f t="shared" si="4"/>
        <v/>
      </c>
      <c r="U1563" s="264" t="str">
        <f t="shared" si="5"/>
        <v/>
      </c>
      <c r="V1563" s="264" t="str">
        <f t="shared" si="6"/>
        <v/>
      </c>
      <c r="W1563" s="267" t="str">
        <f t="shared" si="8"/>
        <v/>
      </c>
      <c r="X1563" s="264" t="str">
        <f t="shared" si="7"/>
        <v/>
      </c>
    </row>
    <row r="1564" ht="15.75" customHeight="1">
      <c r="A1564" s="258"/>
      <c r="B1564" s="258"/>
      <c r="C1564" s="269"/>
      <c r="D1564" s="258"/>
      <c r="E1564" s="258"/>
      <c r="F1564" s="258"/>
      <c r="G1564" s="258"/>
      <c r="H1564" s="271"/>
      <c r="I1564" s="258"/>
      <c r="J1564" s="272"/>
      <c r="K1564" s="260"/>
      <c r="L1564" s="261"/>
      <c r="M1564" s="262" t="str">
        <f t="shared" si="1"/>
        <v/>
      </c>
      <c r="N1564" s="263" t="str">
        <f t="shared" si="2"/>
        <v/>
      </c>
      <c r="O1564" s="264" t="str">
        <f t="shared" si="3"/>
        <v/>
      </c>
      <c r="P1564" s="265" t="str">
        <f>IFERROR(__xludf.DUMMYFUNCTION("IF(ISBLANK(A1564),"""",IFERROR(IF(H1564=""Sell"",VLOOKUP(9^99,FILTER({ROW(P$2:P1563),P$2:P1563},D$2:D1563=D1564),2),(VLOOKUP(9^99,FILTER({ROW(P$2:P1563),P$2:P1563},D$2:D1563=D1564),2)*VLOOKUP(9^99,FILTER({ROW(O$2:O1563),O$2:O1563},D$2:D1563=D1564),2)-N156"&amp;"4)/O1564),J1564))"),"")</f>
        <v/>
      </c>
      <c r="Q1564" s="264" t="str">
        <f>IFERROR(__xludf.DUMMYFUNCTION("IFERROR(IF(F1564=""Crypto"",B1564,(IF(ISBLANK(D1564),"""",IF(D1564=""Cash"",B1564,IF(GOOGLEFINANCE(D1564,""CURRENCY"")=""GBX"",""GBP"",GOOGLEFINANCE(D1564,""CURRENCY"")))))),B1564)"),"")</f>
        <v/>
      </c>
      <c r="R1564" s="263" t="str">
        <f>IFERROR(__xludf.DUMMYFUNCTION("IF(ISBLANK(A1564),"""",IFERROR(IF(OR(Q1564=""GPB"",Q1564=""ZAR""),IF(Q1564=Dashboard!$L$1,K1564,(K1564*GOOGLEFINANCE(""CURRENCY:""&amp;Q1564&amp;""""&amp;Dashboard!$L$1&amp;""""))/100),IF(Q1564=Dashboard!$L$1,K1564,K1564*GOOGLEFINANCE(""CURRENCY:""&amp;Q1564&amp;""""&amp;Dashboard!$"&amp;"L$1&amp;""""))),K1564))"),"")</f>
        <v/>
      </c>
      <c r="S1564" s="266" t="str">
        <f>IFERROR(__xludf.DUMMYFUNCTION("IF(ISBLANK(A1564),"""",IFERROR(IF(OR(Q1564=""GPB"",Q1564=""ZAR""),IF(Q1564=Dashboard!$L$1,M1564,(M1564*GOOGLEFINANCE(""CURRENCY:""&amp;Q1564&amp;""""&amp;Dashboard!$L$1&amp;""""))/100),IF(Q1564=Dashboard!$L$1,M1564,M1564*GOOGLEFINANCE(""CURRENCY:""&amp;Q1564&amp;""""&amp;Dashboard!$"&amp;"L$1&amp;""""))),M1564))"),"")</f>
        <v/>
      </c>
      <c r="T1564" s="264" t="str">
        <f t="shared" si="4"/>
        <v/>
      </c>
      <c r="U1564" s="264" t="str">
        <f t="shared" si="5"/>
        <v/>
      </c>
      <c r="V1564" s="264" t="str">
        <f t="shared" si="6"/>
        <v/>
      </c>
      <c r="W1564" s="267" t="str">
        <f t="shared" si="8"/>
        <v/>
      </c>
      <c r="X1564" s="264" t="str">
        <f t="shared" si="7"/>
        <v/>
      </c>
    </row>
    <row r="1565" ht="15.75" customHeight="1">
      <c r="A1565" s="258"/>
      <c r="B1565" s="258"/>
      <c r="C1565" s="269"/>
      <c r="D1565" s="258"/>
      <c r="E1565" s="258"/>
      <c r="F1565" s="258"/>
      <c r="G1565" s="258"/>
      <c r="H1565" s="271"/>
      <c r="I1565" s="258"/>
      <c r="J1565" s="272"/>
      <c r="K1565" s="260"/>
      <c r="L1565" s="261"/>
      <c r="M1565" s="262" t="str">
        <f t="shared" si="1"/>
        <v/>
      </c>
      <c r="N1565" s="263" t="str">
        <f t="shared" si="2"/>
        <v/>
      </c>
      <c r="O1565" s="264" t="str">
        <f t="shared" si="3"/>
        <v/>
      </c>
      <c r="P1565" s="265" t="str">
        <f>IFERROR(__xludf.DUMMYFUNCTION("IF(ISBLANK(A1565),"""",IFERROR(IF(H1565=""Sell"",VLOOKUP(9^99,FILTER({ROW(P$2:P1564),P$2:P1564},D$2:D1564=D1565),2),(VLOOKUP(9^99,FILTER({ROW(P$2:P1564),P$2:P1564},D$2:D1564=D1565),2)*VLOOKUP(9^99,FILTER({ROW(O$2:O1564),O$2:O1564},D$2:D1564=D1565),2)-N156"&amp;"5)/O1565),J1565))"),"")</f>
        <v/>
      </c>
      <c r="Q1565" s="264" t="str">
        <f>IFERROR(__xludf.DUMMYFUNCTION("IFERROR(IF(F1565=""Crypto"",B1565,(IF(ISBLANK(D1565),"""",IF(D1565=""Cash"",B1565,IF(GOOGLEFINANCE(D1565,""CURRENCY"")=""GBX"",""GBP"",GOOGLEFINANCE(D1565,""CURRENCY"")))))),B1565)"),"")</f>
        <v/>
      </c>
      <c r="R1565" s="263" t="str">
        <f>IFERROR(__xludf.DUMMYFUNCTION("IF(ISBLANK(A1565),"""",IFERROR(IF(OR(Q1565=""GPB"",Q1565=""ZAR""),IF(Q1565=Dashboard!$L$1,K1565,(K1565*GOOGLEFINANCE(""CURRENCY:""&amp;Q1565&amp;""""&amp;Dashboard!$L$1&amp;""""))/100),IF(Q1565=Dashboard!$L$1,K1565,K1565*GOOGLEFINANCE(""CURRENCY:""&amp;Q1565&amp;""""&amp;Dashboard!$"&amp;"L$1&amp;""""))),K1565))"),"")</f>
        <v/>
      </c>
      <c r="S1565" s="266" t="str">
        <f>IFERROR(__xludf.DUMMYFUNCTION("IF(ISBLANK(A1565),"""",IFERROR(IF(OR(Q1565=""GPB"",Q1565=""ZAR""),IF(Q1565=Dashboard!$L$1,M1565,(M1565*GOOGLEFINANCE(""CURRENCY:""&amp;Q1565&amp;""""&amp;Dashboard!$L$1&amp;""""))/100),IF(Q1565=Dashboard!$L$1,M1565,M1565*GOOGLEFINANCE(""CURRENCY:""&amp;Q1565&amp;""""&amp;Dashboard!$"&amp;"L$1&amp;""""))),M1565))"),"")</f>
        <v/>
      </c>
      <c r="T1565" s="264" t="str">
        <f t="shared" si="4"/>
        <v/>
      </c>
      <c r="U1565" s="264" t="str">
        <f t="shared" si="5"/>
        <v/>
      </c>
      <c r="V1565" s="264" t="str">
        <f t="shared" si="6"/>
        <v/>
      </c>
      <c r="W1565" s="267" t="str">
        <f t="shared" si="8"/>
        <v/>
      </c>
      <c r="X1565" s="264" t="str">
        <f t="shared" si="7"/>
        <v/>
      </c>
    </row>
    <row r="1566" ht="15.75" customHeight="1">
      <c r="A1566" s="258"/>
      <c r="B1566" s="258"/>
      <c r="C1566" s="269"/>
      <c r="D1566" s="258"/>
      <c r="E1566" s="258"/>
      <c r="F1566" s="258"/>
      <c r="G1566" s="258"/>
      <c r="H1566" s="271"/>
      <c r="I1566" s="258"/>
      <c r="J1566" s="272"/>
      <c r="K1566" s="260"/>
      <c r="L1566" s="261"/>
      <c r="M1566" s="262" t="str">
        <f t="shared" si="1"/>
        <v/>
      </c>
      <c r="N1566" s="263" t="str">
        <f t="shared" si="2"/>
        <v/>
      </c>
      <c r="O1566" s="264" t="str">
        <f t="shared" si="3"/>
        <v/>
      </c>
      <c r="P1566" s="265" t="str">
        <f>IFERROR(__xludf.DUMMYFUNCTION("IF(ISBLANK(A1566),"""",IFERROR(IF(H1566=""Sell"",VLOOKUP(9^99,FILTER({ROW(P$2:P1565),P$2:P1565},D$2:D1565=D1566),2),(VLOOKUP(9^99,FILTER({ROW(P$2:P1565),P$2:P1565},D$2:D1565=D1566),2)*VLOOKUP(9^99,FILTER({ROW(O$2:O1565),O$2:O1565},D$2:D1565=D1566),2)-N156"&amp;"6)/O1566),J1566))"),"")</f>
        <v/>
      </c>
      <c r="Q1566" s="264" t="str">
        <f>IFERROR(__xludf.DUMMYFUNCTION("IFERROR(IF(F1566=""Crypto"",B1566,(IF(ISBLANK(D1566),"""",IF(D1566=""Cash"",B1566,IF(GOOGLEFINANCE(D1566,""CURRENCY"")=""GBX"",""GBP"",GOOGLEFINANCE(D1566,""CURRENCY"")))))),B1566)"),"")</f>
        <v/>
      </c>
      <c r="R1566" s="263" t="str">
        <f>IFERROR(__xludf.DUMMYFUNCTION("IF(ISBLANK(A1566),"""",IFERROR(IF(OR(Q1566=""GPB"",Q1566=""ZAR""),IF(Q1566=Dashboard!$L$1,K1566,(K1566*GOOGLEFINANCE(""CURRENCY:""&amp;Q1566&amp;""""&amp;Dashboard!$L$1&amp;""""))/100),IF(Q1566=Dashboard!$L$1,K1566,K1566*GOOGLEFINANCE(""CURRENCY:""&amp;Q1566&amp;""""&amp;Dashboard!$"&amp;"L$1&amp;""""))),K1566))"),"")</f>
        <v/>
      </c>
      <c r="S1566" s="266" t="str">
        <f>IFERROR(__xludf.DUMMYFUNCTION("IF(ISBLANK(A1566),"""",IFERROR(IF(OR(Q1566=""GPB"",Q1566=""ZAR""),IF(Q1566=Dashboard!$L$1,M1566,(M1566*GOOGLEFINANCE(""CURRENCY:""&amp;Q1566&amp;""""&amp;Dashboard!$L$1&amp;""""))/100),IF(Q1566=Dashboard!$L$1,M1566,M1566*GOOGLEFINANCE(""CURRENCY:""&amp;Q1566&amp;""""&amp;Dashboard!$"&amp;"L$1&amp;""""))),M1566))"),"")</f>
        <v/>
      </c>
      <c r="T1566" s="264" t="str">
        <f t="shared" si="4"/>
        <v/>
      </c>
      <c r="U1566" s="264" t="str">
        <f t="shared" si="5"/>
        <v/>
      </c>
      <c r="V1566" s="264" t="str">
        <f t="shared" si="6"/>
        <v/>
      </c>
      <c r="W1566" s="267" t="str">
        <f t="shared" si="8"/>
        <v/>
      </c>
      <c r="X1566" s="264" t="str">
        <f t="shared" si="7"/>
        <v/>
      </c>
    </row>
    <row r="1567" ht="15.75" customHeight="1">
      <c r="A1567" s="258"/>
      <c r="B1567" s="258"/>
      <c r="C1567" s="269"/>
      <c r="D1567" s="258"/>
      <c r="E1567" s="258"/>
      <c r="F1567" s="258"/>
      <c r="G1567" s="258"/>
      <c r="H1567" s="271"/>
      <c r="I1567" s="258"/>
      <c r="J1567" s="272"/>
      <c r="K1567" s="260"/>
      <c r="L1567" s="261"/>
      <c r="M1567" s="262" t="str">
        <f t="shared" si="1"/>
        <v/>
      </c>
      <c r="N1567" s="263" t="str">
        <f t="shared" si="2"/>
        <v/>
      </c>
      <c r="O1567" s="264" t="str">
        <f t="shared" si="3"/>
        <v/>
      </c>
      <c r="P1567" s="265" t="str">
        <f>IFERROR(__xludf.DUMMYFUNCTION("IF(ISBLANK(A1567),"""",IFERROR(IF(H1567=""Sell"",VLOOKUP(9^99,FILTER({ROW(P$2:P1566),P$2:P1566},D$2:D1566=D1567),2),(VLOOKUP(9^99,FILTER({ROW(P$2:P1566),P$2:P1566},D$2:D1566=D1567),2)*VLOOKUP(9^99,FILTER({ROW(O$2:O1566),O$2:O1566},D$2:D1566=D1567),2)-N156"&amp;"7)/O1567),J1567))"),"")</f>
        <v/>
      </c>
      <c r="Q1567" s="264" t="str">
        <f>IFERROR(__xludf.DUMMYFUNCTION("IFERROR(IF(F1567=""Crypto"",B1567,(IF(ISBLANK(D1567),"""",IF(D1567=""Cash"",B1567,IF(GOOGLEFINANCE(D1567,""CURRENCY"")=""GBX"",""GBP"",GOOGLEFINANCE(D1567,""CURRENCY"")))))),B1567)"),"")</f>
        <v/>
      </c>
      <c r="R1567" s="263" t="str">
        <f>IFERROR(__xludf.DUMMYFUNCTION("IF(ISBLANK(A1567),"""",IFERROR(IF(OR(Q1567=""GPB"",Q1567=""ZAR""),IF(Q1567=Dashboard!$L$1,K1567,(K1567*GOOGLEFINANCE(""CURRENCY:""&amp;Q1567&amp;""""&amp;Dashboard!$L$1&amp;""""))/100),IF(Q1567=Dashboard!$L$1,K1567,K1567*GOOGLEFINANCE(""CURRENCY:""&amp;Q1567&amp;""""&amp;Dashboard!$"&amp;"L$1&amp;""""))),K1567))"),"")</f>
        <v/>
      </c>
      <c r="S1567" s="266" t="str">
        <f>IFERROR(__xludf.DUMMYFUNCTION("IF(ISBLANK(A1567),"""",IFERROR(IF(OR(Q1567=""GPB"",Q1567=""ZAR""),IF(Q1567=Dashboard!$L$1,M1567,(M1567*GOOGLEFINANCE(""CURRENCY:""&amp;Q1567&amp;""""&amp;Dashboard!$L$1&amp;""""))/100),IF(Q1567=Dashboard!$L$1,M1567,M1567*GOOGLEFINANCE(""CURRENCY:""&amp;Q1567&amp;""""&amp;Dashboard!$"&amp;"L$1&amp;""""))),M1567))"),"")</f>
        <v/>
      </c>
      <c r="T1567" s="264" t="str">
        <f t="shared" si="4"/>
        <v/>
      </c>
      <c r="U1567" s="264" t="str">
        <f t="shared" si="5"/>
        <v/>
      </c>
      <c r="V1567" s="264" t="str">
        <f t="shared" si="6"/>
        <v/>
      </c>
      <c r="W1567" s="267" t="str">
        <f t="shared" si="8"/>
        <v/>
      </c>
      <c r="X1567" s="264" t="str">
        <f t="shared" si="7"/>
        <v/>
      </c>
    </row>
    <row r="1568" ht="15.75" customHeight="1">
      <c r="A1568" s="258"/>
      <c r="B1568" s="258"/>
      <c r="C1568" s="269"/>
      <c r="D1568" s="258"/>
      <c r="E1568" s="258"/>
      <c r="F1568" s="258"/>
      <c r="G1568" s="258"/>
      <c r="H1568" s="271"/>
      <c r="I1568" s="258"/>
      <c r="J1568" s="272"/>
      <c r="K1568" s="260"/>
      <c r="L1568" s="261"/>
      <c r="M1568" s="262" t="str">
        <f t="shared" si="1"/>
        <v/>
      </c>
      <c r="N1568" s="263" t="str">
        <f t="shared" si="2"/>
        <v/>
      </c>
      <c r="O1568" s="264" t="str">
        <f t="shared" si="3"/>
        <v/>
      </c>
      <c r="P1568" s="265" t="str">
        <f>IFERROR(__xludf.DUMMYFUNCTION("IF(ISBLANK(A1568),"""",IFERROR(IF(H1568=""Sell"",VLOOKUP(9^99,FILTER({ROW(P$2:P1567),P$2:P1567},D$2:D1567=D1568),2),(VLOOKUP(9^99,FILTER({ROW(P$2:P1567),P$2:P1567},D$2:D1567=D1568),2)*VLOOKUP(9^99,FILTER({ROW(O$2:O1567),O$2:O1567},D$2:D1567=D1568),2)-N156"&amp;"8)/O1568),J1568))"),"")</f>
        <v/>
      </c>
      <c r="Q1568" s="264" t="str">
        <f>IFERROR(__xludf.DUMMYFUNCTION("IFERROR(IF(F1568=""Crypto"",B1568,(IF(ISBLANK(D1568),"""",IF(D1568=""Cash"",B1568,IF(GOOGLEFINANCE(D1568,""CURRENCY"")=""GBX"",""GBP"",GOOGLEFINANCE(D1568,""CURRENCY"")))))),B1568)"),"")</f>
        <v/>
      </c>
      <c r="R1568" s="263" t="str">
        <f>IFERROR(__xludf.DUMMYFUNCTION("IF(ISBLANK(A1568),"""",IFERROR(IF(OR(Q1568=""GPB"",Q1568=""ZAR""),IF(Q1568=Dashboard!$L$1,K1568,(K1568*GOOGLEFINANCE(""CURRENCY:""&amp;Q1568&amp;""""&amp;Dashboard!$L$1&amp;""""))/100),IF(Q1568=Dashboard!$L$1,K1568,K1568*GOOGLEFINANCE(""CURRENCY:""&amp;Q1568&amp;""""&amp;Dashboard!$"&amp;"L$1&amp;""""))),K1568))"),"")</f>
        <v/>
      </c>
      <c r="S1568" s="266" t="str">
        <f>IFERROR(__xludf.DUMMYFUNCTION("IF(ISBLANK(A1568),"""",IFERROR(IF(OR(Q1568=""GPB"",Q1568=""ZAR""),IF(Q1568=Dashboard!$L$1,M1568,(M1568*GOOGLEFINANCE(""CURRENCY:""&amp;Q1568&amp;""""&amp;Dashboard!$L$1&amp;""""))/100),IF(Q1568=Dashboard!$L$1,M1568,M1568*GOOGLEFINANCE(""CURRENCY:""&amp;Q1568&amp;""""&amp;Dashboard!$"&amp;"L$1&amp;""""))),M1568))"),"")</f>
        <v/>
      </c>
      <c r="T1568" s="264" t="str">
        <f t="shared" si="4"/>
        <v/>
      </c>
      <c r="U1568" s="264" t="str">
        <f t="shared" si="5"/>
        <v/>
      </c>
      <c r="V1568" s="264" t="str">
        <f t="shared" si="6"/>
        <v/>
      </c>
      <c r="W1568" s="267" t="str">
        <f t="shared" si="8"/>
        <v/>
      </c>
      <c r="X1568" s="264" t="str">
        <f t="shared" si="7"/>
        <v/>
      </c>
    </row>
    <row r="1569" ht="15.75" customHeight="1">
      <c r="A1569" s="258"/>
      <c r="B1569" s="258"/>
      <c r="C1569" s="269"/>
      <c r="D1569" s="258"/>
      <c r="E1569" s="258"/>
      <c r="F1569" s="258"/>
      <c r="G1569" s="258"/>
      <c r="H1569" s="271"/>
      <c r="I1569" s="258"/>
      <c r="J1569" s="272"/>
      <c r="K1569" s="260"/>
      <c r="L1569" s="261"/>
      <c r="M1569" s="262" t="str">
        <f t="shared" si="1"/>
        <v/>
      </c>
      <c r="N1569" s="263" t="str">
        <f t="shared" si="2"/>
        <v/>
      </c>
      <c r="O1569" s="264" t="str">
        <f t="shared" si="3"/>
        <v/>
      </c>
      <c r="P1569" s="265" t="str">
        <f>IFERROR(__xludf.DUMMYFUNCTION("IF(ISBLANK(A1569),"""",IFERROR(IF(H1569=""Sell"",VLOOKUP(9^99,FILTER({ROW(P$2:P1568),P$2:P1568},D$2:D1568=D1569),2),(VLOOKUP(9^99,FILTER({ROW(P$2:P1568),P$2:P1568},D$2:D1568=D1569),2)*VLOOKUP(9^99,FILTER({ROW(O$2:O1568),O$2:O1568},D$2:D1568=D1569),2)-N156"&amp;"9)/O1569),J1569))"),"")</f>
        <v/>
      </c>
      <c r="Q1569" s="264" t="str">
        <f>IFERROR(__xludf.DUMMYFUNCTION("IFERROR(IF(F1569=""Crypto"",B1569,(IF(ISBLANK(D1569),"""",IF(D1569=""Cash"",B1569,IF(GOOGLEFINANCE(D1569,""CURRENCY"")=""GBX"",""GBP"",GOOGLEFINANCE(D1569,""CURRENCY"")))))),B1569)"),"")</f>
        <v/>
      </c>
      <c r="R1569" s="263" t="str">
        <f>IFERROR(__xludf.DUMMYFUNCTION("IF(ISBLANK(A1569),"""",IFERROR(IF(OR(Q1569=""GPB"",Q1569=""ZAR""),IF(Q1569=Dashboard!$L$1,K1569,(K1569*GOOGLEFINANCE(""CURRENCY:""&amp;Q1569&amp;""""&amp;Dashboard!$L$1&amp;""""))/100),IF(Q1569=Dashboard!$L$1,K1569,K1569*GOOGLEFINANCE(""CURRENCY:""&amp;Q1569&amp;""""&amp;Dashboard!$"&amp;"L$1&amp;""""))),K1569))"),"")</f>
        <v/>
      </c>
      <c r="S1569" s="266" t="str">
        <f>IFERROR(__xludf.DUMMYFUNCTION("IF(ISBLANK(A1569),"""",IFERROR(IF(OR(Q1569=""GPB"",Q1569=""ZAR""),IF(Q1569=Dashboard!$L$1,M1569,(M1569*GOOGLEFINANCE(""CURRENCY:""&amp;Q1569&amp;""""&amp;Dashboard!$L$1&amp;""""))/100),IF(Q1569=Dashboard!$L$1,M1569,M1569*GOOGLEFINANCE(""CURRENCY:""&amp;Q1569&amp;""""&amp;Dashboard!$"&amp;"L$1&amp;""""))),M1569))"),"")</f>
        <v/>
      </c>
      <c r="T1569" s="264" t="str">
        <f t="shared" si="4"/>
        <v/>
      </c>
      <c r="U1569" s="264" t="str">
        <f t="shared" si="5"/>
        <v/>
      </c>
      <c r="V1569" s="264" t="str">
        <f t="shared" si="6"/>
        <v/>
      </c>
      <c r="W1569" s="267" t="str">
        <f t="shared" si="8"/>
        <v/>
      </c>
      <c r="X1569" s="264" t="str">
        <f t="shared" si="7"/>
        <v/>
      </c>
    </row>
    <row r="1570" ht="15.75" customHeight="1">
      <c r="A1570" s="258"/>
      <c r="B1570" s="258"/>
      <c r="C1570" s="269"/>
      <c r="D1570" s="258"/>
      <c r="E1570" s="258"/>
      <c r="F1570" s="258"/>
      <c r="G1570" s="258"/>
      <c r="H1570" s="271"/>
      <c r="I1570" s="258"/>
      <c r="J1570" s="272"/>
      <c r="K1570" s="260"/>
      <c r="L1570" s="261"/>
      <c r="M1570" s="262" t="str">
        <f t="shared" si="1"/>
        <v/>
      </c>
      <c r="N1570" s="263" t="str">
        <f t="shared" si="2"/>
        <v/>
      </c>
      <c r="O1570" s="264" t="str">
        <f t="shared" si="3"/>
        <v/>
      </c>
      <c r="P1570" s="265" t="str">
        <f>IFERROR(__xludf.DUMMYFUNCTION("IF(ISBLANK(A1570),"""",IFERROR(IF(H1570=""Sell"",VLOOKUP(9^99,FILTER({ROW(P$2:P1569),P$2:P1569},D$2:D1569=D1570),2),(VLOOKUP(9^99,FILTER({ROW(P$2:P1569),P$2:P1569},D$2:D1569=D1570),2)*VLOOKUP(9^99,FILTER({ROW(O$2:O1569),O$2:O1569},D$2:D1569=D1570),2)-N157"&amp;"0)/O1570),J1570))"),"")</f>
        <v/>
      </c>
      <c r="Q1570" s="264" t="str">
        <f>IFERROR(__xludf.DUMMYFUNCTION("IFERROR(IF(F1570=""Crypto"",B1570,(IF(ISBLANK(D1570),"""",IF(D1570=""Cash"",B1570,IF(GOOGLEFINANCE(D1570,""CURRENCY"")=""GBX"",""GBP"",GOOGLEFINANCE(D1570,""CURRENCY"")))))),B1570)"),"")</f>
        <v/>
      </c>
      <c r="R1570" s="263" t="str">
        <f>IFERROR(__xludf.DUMMYFUNCTION("IF(ISBLANK(A1570),"""",IFERROR(IF(OR(Q1570=""GPB"",Q1570=""ZAR""),IF(Q1570=Dashboard!$L$1,K1570,(K1570*GOOGLEFINANCE(""CURRENCY:""&amp;Q1570&amp;""""&amp;Dashboard!$L$1&amp;""""))/100),IF(Q1570=Dashboard!$L$1,K1570,K1570*GOOGLEFINANCE(""CURRENCY:""&amp;Q1570&amp;""""&amp;Dashboard!$"&amp;"L$1&amp;""""))),K1570))"),"")</f>
        <v/>
      </c>
      <c r="S1570" s="266" t="str">
        <f>IFERROR(__xludf.DUMMYFUNCTION("IF(ISBLANK(A1570),"""",IFERROR(IF(OR(Q1570=""GPB"",Q1570=""ZAR""),IF(Q1570=Dashboard!$L$1,M1570,(M1570*GOOGLEFINANCE(""CURRENCY:""&amp;Q1570&amp;""""&amp;Dashboard!$L$1&amp;""""))/100),IF(Q1570=Dashboard!$L$1,M1570,M1570*GOOGLEFINANCE(""CURRENCY:""&amp;Q1570&amp;""""&amp;Dashboard!$"&amp;"L$1&amp;""""))),M1570))"),"")</f>
        <v/>
      </c>
      <c r="T1570" s="264" t="str">
        <f t="shared" si="4"/>
        <v/>
      </c>
      <c r="U1570" s="264" t="str">
        <f t="shared" si="5"/>
        <v/>
      </c>
      <c r="V1570" s="264" t="str">
        <f t="shared" si="6"/>
        <v/>
      </c>
      <c r="W1570" s="267" t="str">
        <f t="shared" si="8"/>
        <v/>
      </c>
      <c r="X1570" s="264" t="str">
        <f t="shared" si="7"/>
        <v/>
      </c>
    </row>
    <row r="1571" ht="15.75" customHeight="1">
      <c r="A1571" s="258"/>
      <c r="B1571" s="258"/>
      <c r="C1571" s="269"/>
      <c r="D1571" s="258"/>
      <c r="E1571" s="258"/>
      <c r="F1571" s="258"/>
      <c r="G1571" s="258"/>
      <c r="H1571" s="271"/>
      <c r="I1571" s="258"/>
      <c r="J1571" s="272"/>
      <c r="K1571" s="260"/>
      <c r="L1571" s="261"/>
      <c r="M1571" s="262" t="str">
        <f t="shared" si="1"/>
        <v/>
      </c>
      <c r="N1571" s="263" t="str">
        <f t="shared" si="2"/>
        <v/>
      </c>
      <c r="O1571" s="264" t="str">
        <f t="shared" si="3"/>
        <v/>
      </c>
      <c r="P1571" s="265" t="str">
        <f>IFERROR(__xludf.DUMMYFUNCTION("IF(ISBLANK(A1571),"""",IFERROR(IF(H1571=""Sell"",VLOOKUP(9^99,FILTER({ROW(P$2:P1570),P$2:P1570},D$2:D1570=D1571),2),(VLOOKUP(9^99,FILTER({ROW(P$2:P1570),P$2:P1570},D$2:D1570=D1571),2)*VLOOKUP(9^99,FILTER({ROW(O$2:O1570),O$2:O1570},D$2:D1570=D1571),2)-N157"&amp;"1)/O1571),J1571))"),"")</f>
        <v/>
      </c>
      <c r="Q1571" s="264" t="str">
        <f>IFERROR(__xludf.DUMMYFUNCTION("IFERROR(IF(F1571=""Crypto"",B1571,(IF(ISBLANK(D1571),"""",IF(D1571=""Cash"",B1571,IF(GOOGLEFINANCE(D1571,""CURRENCY"")=""GBX"",""GBP"",GOOGLEFINANCE(D1571,""CURRENCY"")))))),B1571)"),"")</f>
        <v/>
      </c>
      <c r="R1571" s="263" t="str">
        <f>IFERROR(__xludf.DUMMYFUNCTION("IF(ISBLANK(A1571),"""",IFERROR(IF(OR(Q1571=""GPB"",Q1571=""ZAR""),IF(Q1571=Dashboard!$L$1,K1571,(K1571*GOOGLEFINANCE(""CURRENCY:""&amp;Q1571&amp;""""&amp;Dashboard!$L$1&amp;""""))/100),IF(Q1571=Dashboard!$L$1,K1571,K1571*GOOGLEFINANCE(""CURRENCY:""&amp;Q1571&amp;""""&amp;Dashboard!$"&amp;"L$1&amp;""""))),K1571))"),"")</f>
        <v/>
      </c>
      <c r="S1571" s="266" t="str">
        <f>IFERROR(__xludf.DUMMYFUNCTION("IF(ISBLANK(A1571),"""",IFERROR(IF(OR(Q1571=""GPB"",Q1571=""ZAR""),IF(Q1571=Dashboard!$L$1,M1571,(M1571*GOOGLEFINANCE(""CURRENCY:""&amp;Q1571&amp;""""&amp;Dashboard!$L$1&amp;""""))/100),IF(Q1571=Dashboard!$L$1,M1571,M1571*GOOGLEFINANCE(""CURRENCY:""&amp;Q1571&amp;""""&amp;Dashboard!$"&amp;"L$1&amp;""""))),M1571))"),"")</f>
        <v/>
      </c>
      <c r="T1571" s="264" t="str">
        <f t="shared" si="4"/>
        <v/>
      </c>
      <c r="U1571" s="264" t="str">
        <f t="shared" si="5"/>
        <v/>
      </c>
      <c r="V1571" s="264" t="str">
        <f t="shared" si="6"/>
        <v/>
      </c>
      <c r="W1571" s="267" t="str">
        <f t="shared" si="8"/>
        <v/>
      </c>
      <c r="X1571" s="264" t="str">
        <f t="shared" si="7"/>
        <v/>
      </c>
    </row>
    <row r="1572" ht="15.75" customHeight="1">
      <c r="A1572" s="258"/>
      <c r="B1572" s="258"/>
      <c r="C1572" s="269"/>
      <c r="D1572" s="258"/>
      <c r="E1572" s="258"/>
      <c r="F1572" s="258"/>
      <c r="G1572" s="258"/>
      <c r="H1572" s="271"/>
      <c r="I1572" s="258"/>
      <c r="J1572" s="272"/>
      <c r="K1572" s="260"/>
      <c r="L1572" s="261"/>
      <c r="M1572" s="262" t="str">
        <f t="shared" si="1"/>
        <v/>
      </c>
      <c r="N1572" s="263" t="str">
        <f t="shared" si="2"/>
        <v/>
      </c>
      <c r="O1572" s="264" t="str">
        <f t="shared" si="3"/>
        <v/>
      </c>
      <c r="P1572" s="265" t="str">
        <f>IFERROR(__xludf.DUMMYFUNCTION("IF(ISBLANK(A1572),"""",IFERROR(IF(H1572=""Sell"",VLOOKUP(9^99,FILTER({ROW(P$2:P1571),P$2:P1571},D$2:D1571=D1572),2),(VLOOKUP(9^99,FILTER({ROW(P$2:P1571),P$2:P1571},D$2:D1571=D1572),2)*VLOOKUP(9^99,FILTER({ROW(O$2:O1571),O$2:O1571},D$2:D1571=D1572),2)-N157"&amp;"2)/O1572),J1572))"),"")</f>
        <v/>
      </c>
      <c r="Q1572" s="264" t="str">
        <f>IFERROR(__xludf.DUMMYFUNCTION("IFERROR(IF(F1572=""Crypto"",B1572,(IF(ISBLANK(D1572),"""",IF(D1572=""Cash"",B1572,IF(GOOGLEFINANCE(D1572,""CURRENCY"")=""GBX"",""GBP"",GOOGLEFINANCE(D1572,""CURRENCY"")))))),B1572)"),"")</f>
        <v/>
      </c>
      <c r="R1572" s="263" t="str">
        <f>IFERROR(__xludf.DUMMYFUNCTION("IF(ISBLANK(A1572),"""",IFERROR(IF(OR(Q1572=""GPB"",Q1572=""ZAR""),IF(Q1572=Dashboard!$L$1,K1572,(K1572*GOOGLEFINANCE(""CURRENCY:""&amp;Q1572&amp;""""&amp;Dashboard!$L$1&amp;""""))/100),IF(Q1572=Dashboard!$L$1,K1572,K1572*GOOGLEFINANCE(""CURRENCY:""&amp;Q1572&amp;""""&amp;Dashboard!$"&amp;"L$1&amp;""""))),K1572))"),"")</f>
        <v/>
      </c>
      <c r="S1572" s="266" t="str">
        <f>IFERROR(__xludf.DUMMYFUNCTION("IF(ISBLANK(A1572),"""",IFERROR(IF(OR(Q1572=""GPB"",Q1572=""ZAR""),IF(Q1572=Dashboard!$L$1,M1572,(M1572*GOOGLEFINANCE(""CURRENCY:""&amp;Q1572&amp;""""&amp;Dashboard!$L$1&amp;""""))/100),IF(Q1572=Dashboard!$L$1,M1572,M1572*GOOGLEFINANCE(""CURRENCY:""&amp;Q1572&amp;""""&amp;Dashboard!$"&amp;"L$1&amp;""""))),M1572))"),"")</f>
        <v/>
      </c>
      <c r="T1572" s="264" t="str">
        <f t="shared" si="4"/>
        <v/>
      </c>
      <c r="U1572" s="264" t="str">
        <f t="shared" si="5"/>
        <v/>
      </c>
      <c r="V1572" s="264" t="str">
        <f t="shared" si="6"/>
        <v/>
      </c>
      <c r="W1572" s="267" t="str">
        <f t="shared" si="8"/>
        <v/>
      </c>
      <c r="X1572" s="264" t="str">
        <f t="shared" si="7"/>
        <v/>
      </c>
    </row>
    <row r="1573" ht="15.75" customHeight="1">
      <c r="A1573" s="258"/>
      <c r="B1573" s="258"/>
      <c r="C1573" s="269"/>
      <c r="D1573" s="258"/>
      <c r="E1573" s="258"/>
      <c r="F1573" s="258"/>
      <c r="G1573" s="258"/>
      <c r="H1573" s="271"/>
      <c r="I1573" s="258"/>
      <c r="J1573" s="272"/>
      <c r="K1573" s="260"/>
      <c r="L1573" s="261"/>
      <c r="M1573" s="262" t="str">
        <f t="shared" si="1"/>
        <v/>
      </c>
      <c r="N1573" s="263" t="str">
        <f t="shared" si="2"/>
        <v/>
      </c>
      <c r="O1573" s="264" t="str">
        <f t="shared" si="3"/>
        <v/>
      </c>
      <c r="P1573" s="265" t="str">
        <f>IFERROR(__xludf.DUMMYFUNCTION("IF(ISBLANK(A1573),"""",IFERROR(IF(H1573=""Sell"",VLOOKUP(9^99,FILTER({ROW(P$2:P1572),P$2:P1572},D$2:D1572=D1573),2),(VLOOKUP(9^99,FILTER({ROW(P$2:P1572),P$2:P1572},D$2:D1572=D1573),2)*VLOOKUP(9^99,FILTER({ROW(O$2:O1572),O$2:O1572},D$2:D1572=D1573),2)-N157"&amp;"3)/O1573),J1573))"),"")</f>
        <v/>
      </c>
      <c r="Q1573" s="264" t="str">
        <f>IFERROR(__xludf.DUMMYFUNCTION("IFERROR(IF(F1573=""Crypto"",B1573,(IF(ISBLANK(D1573),"""",IF(D1573=""Cash"",B1573,IF(GOOGLEFINANCE(D1573,""CURRENCY"")=""GBX"",""GBP"",GOOGLEFINANCE(D1573,""CURRENCY"")))))),B1573)"),"")</f>
        <v/>
      </c>
      <c r="R1573" s="263" t="str">
        <f>IFERROR(__xludf.DUMMYFUNCTION("IF(ISBLANK(A1573),"""",IFERROR(IF(OR(Q1573=""GPB"",Q1573=""ZAR""),IF(Q1573=Dashboard!$L$1,K1573,(K1573*GOOGLEFINANCE(""CURRENCY:""&amp;Q1573&amp;""""&amp;Dashboard!$L$1&amp;""""))/100),IF(Q1573=Dashboard!$L$1,K1573,K1573*GOOGLEFINANCE(""CURRENCY:""&amp;Q1573&amp;""""&amp;Dashboard!$"&amp;"L$1&amp;""""))),K1573))"),"")</f>
        <v/>
      </c>
      <c r="S1573" s="266" t="str">
        <f>IFERROR(__xludf.DUMMYFUNCTION("IF(ISBLANK(A1573),"""",IFERROR(IF(OR(Q1573=""GPB"",Q1573=""ZAR""),IF(Q1573=Dashboard!$L$1,M1573,(M1573*GOOGLEFINANCE(""CURRENCY:""&amp;Q1573&amp;""""&amp;Dashboard!$L$1&amp;""""))/100),IF(Q1573=Dashboard!$L$1,M1573,M1573*GOOGLEFINANCE(""CURRENCY:""&amp;Q1573&amp;""""&amp;Dashboard!$"&amp;"L$1&amp;""""))),M1573))"),"")</f>
        <v/>
      </c>
      <c r="T1573" s="264" t="str">
        <f t="shared" si="4"/>
        <v/>
      </c>
      <c r="U1573" s="264" t="str">
        <f t="shared" si="5"/>
        <v/>
      </c>
      <c r="V1573" s="264" t="str">
        <f t="shared" si="6"/>
        <v/>
      </c>
      <c r="W1573" s="267" t="str">
        <f t="shared" si="8"/>
        <v/>
      </c>
      <c r="X1573" s="264" t="str">
        <f t="shared" si="7"/>
        <v/>
      </c>
    </row>
    <row r="1574" ht="15.75" customHeight="1">
      <c r="A1574" s="258"/>
      <c r="B1574" s="258"/>
      <c r="C1574" s="269"/>
      <c r="D1574" s="258"/>
      <c r="E1574" s="258"/>
      <c r="F1574" s="258"/>
      <c r="G1574" s="258"/>
      <c r="H1574" s="271"/>
      <c r="I1574" s="258"/>
      <c r="J1574" s="272"/>
      <c r="K1574" s="260"/>
      <c r="L1574" s="261"/>
      <c r="M1574" s="262" t="str">
        <f t="shared" si="1"/>
        <v/>
      </c>
      <c r="N1574" s="263" t="str">
        <f t="shared" si="2"/>
        <v/>
      </c>
      <c r="O1574" s="264" t="str">
        <f t="shared" si="3"/>
        <v/>
      </c>
      <c r="P1574" s="265" t="str">
        <f>IFERROR(__xludf.DUMMYFUNCTION("IF(ISBLANK(A1574),"""",IFERROR(IF(H1574=""Sell"",VLOOKUP(9^99,FILTER({ROW(P$2:P1573),P$2:P1573},D$2:D1573=D1574),2),(VLOOKUP(9^99,FILTER({ROW(P$2:P1573),P$2:P1573},D$2:D1573=D1574),2)*VLOOKUP(9^99,FILTER({ROW(O$2:O1573),O$2:O1573},D$2:D1573=D1574),2)-N157"&amp;"4)/O1574),J1574))"),"")</f>
        <v/>
      </c>
      <c r="Q1574" s="264" t="str">
        <f>IFERROR(__xludf.DUMMYFUNCTION("IFERROR(IF(F1574=""Crypto"",B1574,(IF(ISBLANK(D1574),"""",IF(D1574=""Cash"",B1574,IF(GOOGLEFINANCE(D1574,""CURRENCY"")=""GBX"",""GBP"",GOOGLEFINANCE(D1574,""CURRENCY"")))))),B1574)"),"")</f>
        <v/>
      </c>
      <c r="R1574" s="263" t="str">
        <f>IFERROR(__xludf.DUMMYFUNCTION("IF(ISBLANK(A1574),"""",IFERROR(IF(OR(Q1574=""GPB"",Q1574=""ZAR""),IF(Q1574=Dashboard!$L$1,K1574,(K1574*GOOGLEFINANCE(""CURRENCY:""&amp;Q1574&amp;""""&amp;Dashboard!$L$1&amp;""""))/100),IF(Q1574=Dashboard!$L$1,K1574,K1574*GOOGLEFINANCE(""CURRENCY:""&amp;Q1574&amp;""""&amp;Dashboard!$"&amp;"L$1&amp;""""))),K1574))"),"")</f>
        <v/>
      </c>
      <c r="S1574" s="266" t="str">
        <f>IFERROR(__xludf.DUMMYFUNCTION("IF(ISBLANK(A1574),"""",IFERROR(IF(OR(Q1574=""GPB"",Q1574=""ZAR""),IF(Q1574=Dashboard!$L$1,M1574,(M1574*GOOGLEFINANCE(""CURRENCY:""&amp;Q1574&amp;""""&amp;Dashboard!$L$1&amp;""""))/100),IF(Q1574=Dashboard!$L$1,M1574,M1574*GOOGLEFINANCE(""CURRENCY:""&amp;Q1574&amp;""""&amp;Dashboard!$"&amp;"L$1&amp;""""))),M1574))"),"")</f>
        <v/>
      </c>
      <c r="T1574" s="264" t="str">
        <f t="shared" si="4"/>
        <v/>
      </c>
      <c r="U1574" s="264" t="str">
        <f t="shared" si="5"/>
        <v/>
      </c>
      <c r="V1574" s="264" t="str">
        <f t="shared" si="6"/>
        <v/>
      </c>
      <c r="W1574" s="267" t="str">
        <f t="shared" si="8"/>
        <v/>
      </c>
      <c r="X1574" s="264" t="str">
        <f t="shared" si="7"/>
        <v/>
      </c>
    </row>
    <row r="1575" ht="15.75" customHeight="1">
      <c r="A1575" s="258"/>
      <c r="B1575" s="258"/>
      <c r="C1575" s="269"/>
      <c r="D1575" s="258"/>
      <c r="E1575" s="258"/>
      <c r="F1575" s="258"/>
      <c r="G1575" s="258"/>
      <c r="H1575" s="271"/>
      <c r="I1575" s="258"/>
      <c r="J1575" s="272"/>
      <c r="K1575" s="260"/>
      <c r="L1575" s="261"/>
      <c r="M1575" s="262" t="str">
        <f t="shared" si="1"/>
        <v/>
      </c>
      <c r="N1575" s="263" t="str">
        <f t="shared" si="2"/>
        <v/>
      </c>
      <c r="O1575" s="264" t="str">
        <f t="shared" si="3"/>
        <v/>
      </c>
      <c r="P1575" s="265" t="str">
        <f>IFERROR(__xludf.DUMMYFUNCTION("IF(ISBLANK(A1575),"""",IFERROR(IF(H1575=""Sell"",VLOOKUP(9^99,FILTER({ROW(P$2:P1574),P$2:P1574},D$2:D1574=D1575),2),(VLOOKUP(9^99,FILTER({ROW(P$2:P1574),P$2:P1574},D$2:D1574=D1575),2)*VLOOKUP(9^99,FILTER({ROW(O$2:O1574),O$2:O1574},D$2:D1574=D1575),2)-N157"&amp;"5)/O1575),J1575))"),"")</f>
        <v/>
      </c>
      <c r="Q1575" s="264" t="str">
        <f>IFERROR(__xludf.DUMMYFUNCTION("IFERROR(IF(F1575=""Crypto"",B1575,(IF(ISBLANK(D1575),"""",IF(D1575=""Cash"",B1575,IF(GOOGLEFINANCE(D1575,""CURRENCY"")=""GBX"",""GBP"",GOOGLEFINANCE(D1575,""CURRENCY"")))))),B1575)"),"")</f>
        <v/>
      </c>
      <c r="R1575" s="263" t="str">
        <f>IFERROR(__xludf.DUMMYFUNCTION("IF(ISBLANK(A1575),"""",IFERROR(IF(OR(Q1575=""GPB"",Q1575=""ZAR""),IF(Q1575=Dashboard!$L$1,K1575,(K1575*GOOGLEFINANCE(""CURRENCY:""&amp;Q1575&amp;""""&amp;Dashboard!$L$1&amp;""""))/100),IF(Q1575=Dashboard!$L$1,K1575,K1575*GOOGLEFINANCE(""CURRENCY:""&amp;Q1575&amp;""""&amp;Dashboard!$"&amp;"L$1&amp;""""))),K1575))"),"")</f>
        <v/>
      </c>
      <c r="S1575" s="266" t="str">
        <f>IFERROR(__xludf.DUMMYFUNCTION("IF(ISBLANK(A1575),"""",IFERROR(IF(OR(Q1575=""GPB"",Q1575=""ZAR""),IF(Q1575=Dashboard!$L$1,M1575,(M1575*GOOGLEFINANCE(""CURRENCY:""&amp;Q1575&amp;""""&amp;Dashboard!$L$1&amp;""""))/100),IF(Q1575=Dashboard!$L$1,M1575,M1575*GOOGLEFINANCE(""CURRENCY:""&amp;Q1575&amp;""""&amp;Dashboard!$"&amp;"L$1&amp;""""))),M1575))"),"")</f>
        <v/>
      </c>
      <c r="T1575" s="264" t="str">
        <f t="shared" si="4"/>
        <v/>
      </c>
      <c r="U1575" s="264" t="str">
        <f t="shared" si="5"/>
        <v/>
      </c>
      <c r="V1575" s="264" t="str">
        <f t="shared" si="6"/>
        <v/>
      </c>
      <c r="W1575" s="267" t="str">
        <f t="shared" si="8"/>
        <v/>
      </c>
      <c r="X1575" s="264" t="str">
        <f t="shared" si="7"/>
        <v/>
      </c>
    </row>
    <row r="1576" ht="15.75" customHeight="1">
      <c r="A1576" s="258"/>
      <c r="B1576" s="258"/>
      <c r="C1576" s="269"/>
      <c r="D1576" s="258"/>
      <c r="E1576" s="258"/>
      <c r="F1576" s="258"/>
      <c r="G1576" s="258"/>
      <c r="H1576" s="271"/>
      <c r="I1576" s="258"/>
      <c r="J1576" s="272"/>
      <c r="K1576" s="260"/>
      <c r="L1576" s="261"/>
      <c r="M1576" s="262" t="str">
        <f t="shared" si="1"/>
        <v/>
      </c>
      <c r="N1576" s="263" t="str">
        <f t="shared" si="2"/>
        <v/>
      </c>
      <c r="O1576" s="264" t="str">
        <f t="shared" si="3"/>
        <v/>
      </c>
      <c r="P1576" s="265" t="str">
        <f>IFERROR(__xludf.DUMMYFUNCTION("IF(ISBLANK(A1576),"""",IFERROR(IF(H1576=""Sell"",VLOOKUP(9^99,FILTER({ROW(P$2:P1575),P$2:P1575},D$2:D1575=D1576),2),(VLOOKUP(9^99,FILTER({ROW(P$2:P1575),P$2:P1575},D$2:D1575=D1576),2)*VLOOKUP(9^99,FILTER({ROW(O$2:O1575),O$2:O1575},D$2:D1575=D1576),2)-N157"&amp;"6)/O1576),J1576))"),"")</f>
        <v/>
      </c>
      <c r="Q1576" s="264" t="str">
        <f>IFERROR(__xludf.DUMMYFUNCTION("IFERROR(IF(F1576=""Crypto"",B1576,(IF(ISBLANK(D1576),"""",IF(D1576=""Cash"",B1576,IF(GOOGLEFINANCE(D1576,""CURRENCY"")=""GBX"",""GBP"",GOOGLEFINANCE(D1576,""CURRENCY"")))))),B1576)"),"")</f>
        <v/>
      </c>
      <c r="R1576" s="263" t="str">
        <f>IFERROR(__xludf.DUMMYFUNCTION("IF(ISBLANK(A1576),"""",IFERROR(IF(OR(Q1576=""GPB"",Q1576=""ZAR""),IF(Q1576=Dashboard!$L$1,K1576,(K1576*GOOGLEFINANCE(""CURRENCY:""&amp;Q1576&amp;""""&amp;Dashboard!$L$1&amp;""""))/100),IF(Q1576=Dashboard!$L$1,K1576,K1576*GOOGLEFINANCE(""CURRENCY:""&amp;Q1576&amp;""""&amp;Dashboard!$"&amp;"L$1&amp;""""))),K1576))"),"")</f>
        <v/>
      </c>
      <c r="S1576" s="266" t="str">
        <f>IFERROR(__xludf.DUMMYFUNCTION("IF(ISBLANK(A1576),"""",IFERROR(IF(OR(Q1576=""GPB"",Q1576=""ZAR""),IF(Q1576=Dashboard!$L$1,M1576,(M1576*GOOGLEFINANCE(""CURRENCY:""&amp;Q1576&amp;""""&amp;Dashboard!$L$1&amp;""""))/100),IF(Q1576=Dashboard!$L$1,M1576,M1576*GOOGLEFINANCE(""CURRENCY:""&amp;Q1576&amp;""""&amp;Dashboard!$"&amp;"L$1&amp;""""))),M1576))"),"")</f>
        <v/>
      </c>
      <c r="T1576" s="264" t="str">
        <f t="shared" si="4"/>
        <v/>
      </c>
      <c r="U1576" s="264" t="str">
        <f t="shared" si="5"/>
        <v/>
      </c>
      <c r="V1576" s="264" t="str">
        <f t="shared" si="6"/>
        <v/>
      </c>
      <c r="W1576" s="267" t="str">
        <f t="shared" si="8"/>
        <v/>
      </c>
      <c r="X1576" s="264" t="str">
        <f t="shared" si="7"/>
        <v/>
      </c>
    </row>
    <row r="1577" ht="15.75" customHeight="1">
      <c r="A1577" s="258"/>
      <c r="B1577" s="258"/>
      <c r="C1577" s="269"/>
      <c r="D1577" s="258"/>
      <c r="E1577" s="258"/>
      <c r="F1577" s="258"/>
      <c r="G1577" s="258"/>
      <c r="H1577" s="271"/>
      <c r="I1577" s="258"/>
      <c r="J1577" s="272"/>
      <c r="K1577" s="260"/>
      <c r="L1577" s="261"/>
      <c r="M1577" s="262" t="str">
        <f t="shared" si="1"/>
        <v/>
      </c>
      <c r="N1577" s="263" t="str">
        <f t="shared" si="2"/>
        <v/>
      </c>
      <c r="O1577" s="264" t="str">
        <f t="shared" si="3"/>
        <v/>
      </c>
      <c r="P1577" s="265" t="str">
        <f>IFERROR(__xludf.DUMMYFUNCTION("IF(ISBLANK(A1577),"""",IFERROR(IF(H1577=""Sell"",VLOOKUP(9^99,FILTER({ROW(P$2:P1576),P$2:P1576},D$2:D1576=D1577),2),(VLOOKUP(9^99,FILTER({ROW(P$2:P1576),P$2:P1576},D$2:D1576=D1577),2)*VLOOKUP(9^99,FILTER({ROW(O$2:O1576),O$2:O1576},D$2:D1576=D1577),2)-N157"&amp;"7)/O1577),J1577))"),"")</f>
        <v/>
      </c>
      <c r="Q1577" s="264" t="str">
        <f>IFERROR(__xludf.DUMMYFUNCTION("IFERROR(IF(F1577=""Crypto"",B1577,(IF(ISBLANK(D1577),"""",IF(D1577=""Cash"",B1577,IF(GOOGLEFINANCE(D1577,""CURRENCY"")=""GBX"",""GBP"",GOOGLEFINANCE(D1577,""CURRENCY"")))))),B1577)"),"")</f>
        <v/>
      </c>
      <c r="R1577" s="263" t="str">
        <f>IFERROR(__xludf.DUMMYFUNCTION("IF(ISBLANK(A1577),"""",IFERROR(IF(OR(Q1577=""GPB"",Q1577=""ZAR""),IF(Q1577=Dashboard!$L$1,K1577,(K1577*GOOGLEFINANCE(""CURRENCY:""&amp;Q1577&amp;""""&amp;Dashboard!$L$1&amp;""""))/100),IF(Q1577=Dashboard!$L$1,K1577,K1577*GOOGLEFINANCE(""CURRENCY:""&amp;Q1577&amp;""""&amp;Dashboard!$"&amp;"L$1&amp;""""))),K1577))"),"")</f>
        <v/>
      </c>
      <c r="S1577" s="266" t="str">
        <f>IFERROR(__xludf.DUMMYFUNCTION("IF(ISBLANK(A1577),"""",IFERROR(IF(OR(Q1577=""GPB"",Q1577=""ZAR""),IF(Q1577=Dashboard!$L$1,M1577,(M1577*GOOGLEFINANCE(""CURRENCY:""&amp;Q1577&amp;""""&amp;Dashboard!$L$1&amp;""""))/100),IF(Q1577=Dashboard!$L$1,M1577,M1577*GOOGLEFINANCE(""CURRENCY:""&amp;Q1577&amp;""""&amp;Dashboard!$"&amp;"L$1&amp;""""))),M1577))"),"")</f>
        <v/>
      </c>
      <c r="T1577" s="264" t="str">
        <f t="shared" si="4"/>
        <v/>
      </c>
      <c r="U1577" s="264" t="str">
        <f t="shared" si="5"/>
        <v/>
      </c>
      <c r="V1577" s="264" t="str">
        <f t="shared" si="6"/>
        <v/>
      </c>
      <c r="W1577" s="267" t="str">
        <f t="shared" si="8"/>
        <v/>
      </c>
      <c r="X1577" s="264" t="str">
        <f t="shared" si="7"/>
        <v/>
      </c>
    </row>
    <row r="1578" ht="15.75" customHeight="1">
      <c r="A1578" s="258"/>
      <c r="B1578" s="258"/>
      <c r="C1578" s="269"/>
      <c r="D1578" s="258"/>
      <c r="E1578" s="258"/>
      <c r="F1578" s="258"/>
      <c r="G1578" s="258"/>
      <c r="H1578" s="271"/>
      <c r="I1578" s="258"/>
      <c r="J1578" s="272"/>
      <c r="K1578" s="260"/>
      <c r="L1578" s="261"/>
      <c r="M1578" s="262" t="str">
        <f t="shared" si="1"/>
        <v/>
      </c>
      <c r="N1578" s="263" t="str">
        <f t="shared" si="2"/>
        <v/>
      </c>
      <c r="O1578" s="264" t="str">
        <f t="shared" si="3"/>
        <v/>
      </c>
      <c r="P1578" s="265" t="str">
        <f>IFERROR(__xludf.DUMMYFUNCTION("IF(ISBLANK(A1578),"""",IFERROR(IF(H1578=""Sell"",VLOOKUP(9^99,FILTER({ROW(P$2:P1577),P$2:P1577},D$2:D1577=D1578),2),(VLOOKUP(9^99,FILTER({ROW(P$2:P1577),P$2:P1577},D$2:D1577=D1578),2)*VLOOKUP(9^99,FILTER({ROW(O$2:O1577),O$2:O1577},D$2:D1577=D1578),2)-N157"&amp;"8)/O1578),J1578))"),"")</f>
        <v/>
      </c>
      <c r="Q1578" s="264" t="str">
        <f>IFERROR(__xludf.DUMMYFUNCTION("IFERROR(IF(F1578=""Crypto"",B1578,(IF(ISBLANK(D1578),"""",IF(D1578=""Cash"",B1578,IF(GOOGLEFINANCE(D1578,""CURRENCY"")=""GBX"",""GBP"",GOOGLEFINANCE(D1578,""CURRENCY"")))))),B1578)"),"")</f>
        <v/>
      </c>
      <c r="R1578" s="263" t="str">
        <f>IFERROR(__xludf.DUMMYFUNCTION("IF(ISBLANK(A1578),"""",IFERROR(IF(OR(Q1578=""GPB"",Q1578=""ZAR""),IF(Q1578=Dashboard!$L$1,K1578,(K1578*GOOGLEFINANCE(""CURRENCY:""&amp;Q1578&amp;""""&amp;Dashboard!$L$1&amp;""""))/100),IF(Q1578=Dashboard!$L$1,K1578,K1578*GOOGLEFINANCE(""CURRENCY:""&amp;Q1578&amp;""""&amp;Dashboard!$"&amp;"L$1&amp;""""))),K1578))"),"")</f>
        <v/>
      </c>
      <c r="S1578" s="266" t="str">
        <f>IFERROR(__xludf.DUMMYFUNCTION("IF(ISBLANK(A1578),"""",IFERROR(IF(OR(Q1578=""GPB"",Q1578=""ZAR""),IF(Q1578=Dashboard!$L$1,M1578,(M1578*GOOGLEFINANCE(""CURRENCY:""&amp;Q1578&amp;""""&amp;Dashboard!$L$1&amp;""""))/100),IF(Q1578=Dashboard!$L$1,M1578,M1578*GOOGLEFINANCE(""CURRENCY:""&amp;Q1578&amp;""""&amp;Dashboard!$"&amp;"L$1&amp;""""))),M1578))"),"")</f>
        <v/>
      </c>
      <c r="T1578" s="264" t="str">
        <f t="shared" si="4"/>
        <v/>
      </c>
      <c r="U1578" s="264" t="str">
        <f t="shared" si="5"/>
        <v/>
      </c>
      <c r="V1578" s="264" t="str">
        <f t="shared" si="6"/>
        <v/>
      </c>
      <c r="W1578" s="267" t="str">
        <f t="shared" si="8"/>
        <v/>
      </c>
      <c r="X1578" s="264" t="str">
        <f t="shared" si="7"/>
        <v/>
      </c>
    </row>
    <row r="1579" ht="15.75" customHeight="1">
      <c r="A1579" s="258"/>
      <c r="B1579" s="258"/>
      <c r="C1579" s="269"/>
      <c r="D1579" s="258"/>
      <c r="E1579" s="258"/>
      <c r="F1579" s="258"/>
      <c r="G1579" s="258"/>
      <c r="H1579" s="271"/>
      <c r="I1579" s="258"/>
      <c r="J1579" s="272"/>
      <c r="K1579" s="260"/>
      <c r="L1579" s="261"/>
      <c r="M1579" s="262" t="str">
        <f t="shared" si="1"/>
        <v/>
      </c>
      <c r="N1579" s="263" t="str">
        <f t="shared" si="2"/>
        <v/>
      </c>
      <c r="O1579" s="264" t="str">
        <f t="shared" si="3"/>
        <v/>
      </c>
      <c r="P1579" s="265" t="str">
        <f>IFERROR(__xludf.DUMMYFUNCTION("IF(ISBLANK(A1579),"""",IFERROR(IF(H1579=""Sell"",VLOOKUP(9^99,FILTER({ROW(P$2:P1578),P$2:P1578},D$2:D1578=D1579),2),(VLOOKUP(9^99,FILTER({ROW(P$2:P1578),P$2:P1578},D$2:D1578=D1579),2)*VLOOKUP(9^99,FILTER({ROW(O$2:O1578),O$2:O1578},D$2:D1578=D1579),2)-N157"&amp;"9)/O1579),J1579))"),"")</f>
        <v/>
      </c>
      <c r="Q1579" s="264" t="str">
        <f>IFERROR(__xludf.DUMMYFUNCTION("IFERROR(IF(F1579=""Crypto"",B1579,(IF(ISBLANK(D1579),"""",IF(D1579=""Cash"",B1579,IF(GOOGLEFINANCE(D1579,""CURRENCY"")=""GBX"",""GBP"",GOOGLEFINANCE(D1579,""CURRENCY"")))))),B1579)"),"")</f>
        <v/>
      </c>
      <c r="R1579" s="263" t="str">
        <f>IFERROR(__xludf.DUMMYFUNCTION("IF(ISBLANK(A1579),"""",IFERROR(IF(OR(Q1579=""GPB"",Q1579=""ZAR""),IF(Q1579=Dashboard!$L$1,K1579,(K1579*GOOGLEFINANCE(""CURRENCY:""&amp;Q1579&amp;""""&amp;Dashboard!$L$1&amp;""""))/100),IF(Q1579=Dashboard!$L$1,K1579,K1579*GOOGLEFINANCE(""CURRENCY:""&amp;Q1579&amp;""""&amp;Dashboard!$"&amp;"L$1&amp;""""))),K1579))"),"")</f>
        <v/>
      </c>
      <c r="S1579" s="266" t="str">
        <f>IFERROR(__xludf.DUMMYFUNCTION("IF(ISBLANK(A1579),"""",IFERROR(IF(OR(Q1579=""GPB"",Q1579=""ZAR""),IF(Q1579=Dashboard!$L$1,M1579,(M1579*GOOGLEFINANCE(""CURRENCY:""&amp;Q1579&amp;""""&amp;Dashboard!$L$1&amp;""""))/100),IF(Q1579=Dashboard!$L$1,M1579,M1579*GOOGLEFINANCE(""CURRENCY:""&amp;Q1579&amp;""""&amp;Dashboard!$"&amp;"L$1&amp;""""))),M1579))"),"")</f>
        <v/>
      </c>
      <c r="T1579" s="264" t="str">
        <f t="shared" si="4"/>
        <v/>
      </c>
      <c r="U1579" s="264" t="str">
        <f t="shared" si="5"/>
        <v/>
      </c>
      <c r="V1579" s="264" t="str">
        <f t="shared" si="6"/>
        <v/>
      </c>
      <c r="W1579" s="267" t="str">
        <f t="shared" si="8"/>
        <v/>
      </c>
      <c r="X1579" s="264" t="str">
        <f t="shared" si="7"/>
        <v/>
      </c>
    </row>
    <row r="1580" ht="15.75" customHeight="1">
      <c r="A1580" s="258"/>
      <c r="B1580" s="258"/>
      <c r="C1580" s="269"/>
      <c r="D1580" s="258"/>
      <c r="E1580" s="258"/>
      <c r="F1580" s="258"/>
      <c r="G1580" s="258"/>
      <c r="H1580" s="271"/>
      <c r="I1580" s="258"/>
      <c r="J1580" s="272"/>
      <c r="K1580" s="260"/>
      <c r="L1580" s="261"/>
      <c r="M1580" s="262" t="str">
        <f t="shared" si="1"/>
        <v/>
      </c>
      <c r="N1580" s="263" t="str">
        <f t="shared" si="2"/>
        <v/>
      </c>
      <c r="O1580" s="264" t="str">
        <f t="shared" si="3"/>
        <v/>
      </c>
      <c r="P1580" s="265" t="str">
        <f>IFERROR(__xludf.DUMMYFUNCTION("IF(ISBLANK(A1580),"""",IFERROR(IF(H1580=""Sell"",VLOOKUP(9^99,FILTER({ROW(P$2:P1579),P$2:P1579},D$2:D1579=D1580),2),(VLOOKUP(9^99,FILTER({ROW(P$2:P1579),P$2:P1579},D$2:D1579=D1580),2)*VLOOKUP(9^99,FILTER({ROW(O$2:O1579),O$2:O1579},D$2:D1579=D1580),2)-N158"&amp;"0)/O1580),J1580))"),"")</f>
        <v/>
      </c>
      <c r="Q1580" s="264" t="str">
        <f>IFERROR(__xludf.DUMMYFUNCTION("IFERROR(IF(F1580=""Crypto"",B1580,(IF(ISBLANK(D1580),"""",IF(D1580=""Cash"",B1580,IF(GOOGLEFINANCE(D1580,""CURRENCY"")=""GBX"",""GBP"",GOOGLEFINANCE(D1580,""CURRENCY"")))))),B1580)"),"")</f>
        <v/>
      </c>
      <c r="R1580" s="263" t="str">
        <f>IFERROR(__xludf.DUMMYFUNCTION("IF(ISBLANK(A1580),"""",IFERROR(IF(OR(Q1580=""GPB"",Q1580=""ZAR""),IF(Q1580=Dashboard!$L$1,K1580,(K1580*GOOGLEFINANCE(""CURRENCY:""&amp;Q1580&amp;""""&amp;Dashboard!$L$1&amp;""""))/100),IF(Q1580=Dashboard!$L$1,K1580,K1580*GOOGLEFINANCE(""CURRENCY:""&amp;Q1580&amp;""""&amp;Dashboard!$"&amp;"L$1&amp;""""))),K1580))"),"")</f>
        <v/>
      </c>
      <c r="S1580" s="266" t="str">
        <f>IFERROR(__xludf.DUMMYFUNCTION("IF(ISBLANK(A1580),"""",IFERROR(IF(OR(Q1580=""GPB"",Q1580=""ZAR""),IF(Q1580=Dashboard!$L$1,M1580,(M1580*GOOGLEFINANCE(""CURRENCY:""&amp;Q1580&amp;""""&amp;Dashboard!$L$1&amp;""""))/100),IF(Q1580=Dashboard!$L$1,M1580,M1580*GOOGLEFINANCE(""CURRENCY:""&amp;Q1580&amp;""""&amp;Dashboard!$"&amp;"L$1&amp;""""))),M1580))"),"")</f>
        <v/>
      </c>
      <c r="T1580" s="264" t="str">
        <f t="shared" si="4"/>
        <v/>
      </c>
      <c r="U1580" s="264" t="str">
        <f t="shared" si="5"/>
        <v/>
      </c>
      <c r="V1580" s="264" t="str">
        <f t="shared" si="6"/>
        <v/>
      </c>
      <c r="W1580" s="267" t="str">
        <f t="shared" si="8"/>
        <v/>
      </c>
      <c r="X1580" s="264" t="str">
        <f t="shared" si="7"/>
        <v/>
      </c>
    </row>
    <row r="1581" ht="15.75" customHeight="1">
      <c r="A1581" s="258"/>
      <c r="B1581" s="258"/>
      <c r="C1581" s="269"/>
      <c r="D1581" s="258"/>
      <c r="E1581" s="258"/>
      <c r="F1581" s="258"/>
      <c r="G1581" s="258"/>
      <c r="H1581" s="271"/>
      <c r="I1581" s="258"/>
      <c r="J1581" s="272"/>
      <c r="K1581" s="260"/>
      <c r="L1581" s="261"/>
      <c r="M1581" s="262" t="str">
        <f t="shared" si="1"/>
        <v/>
      </c>
      <c r="N1581" s="263" t="str">
        <f t="shared" si="2"/>
        <v/>
      </c>
      <c r="O1581" s="264" t="str">
        <f t="shared" si="3"/>
        <v/>
      </c>
      <c r="P1581" s="265" t="str">
        <f>IFERROR(__xludf.DUMMYFUNCTION("IF(ISBLANK(A1581),"""",IFERROR(IF(H1581=""Sell"",VLOOKUP(9^99,FILTER({ROW(P$2:P1580),P$2:P1580},D$2:D1580=D1581),2),(VLOOKUP(9^99,FILTER({ROW(P$2:P1580),P$2:P1580},D$2:D1580=D1581),2)*VLOOKUP(9^99,FILTER({ROW(O$2:O1580),O$2:O1580},D$2:D1580=D1581),2)-N158"&amp;"1)/O1581),J1581))"),"")</f>
        <v/>
      </c>
      <c r="Q1581" s="264" t="str">
        <f>IFERROR(__xludf.DUMMYFUNCTION("IFERROR(IF(F1581=""Crypto"",B1581,(IF(ISBLANK(D1581),"""",IF(D1581=""Cash"",B1581,IF(GOOGLEFINANCE(D1581,""CURRENCY"")=""GBX"",""GBP"",GOOGLEFINANCE(D1581,""CURRENCY"")))))),B1581)"),"")</f>
        <v/>
      </c>
      <c r="R1581" s="263" t="str">
        <f>IFERROR(__xludf.DUMMYFUNCTION("IF(ISBLANK(A1581),"""",IFERROR(IF(OR(Q1581=""GPB"",Q1581=""ZAR""),IF(Q1581=Dashboard!$L$1,K1581,(K1581*GOOGLEFINANCE(""CURRENCY:""&amp;Q1581&amp;""""&amp;Dashboard!$L$1&amp;""""))/100),IF(Q1581=Dashboard!$L$1,K1581,K1581*GOOGLEFINANCE(""CURRENCY:""&amp;Q1581&amp;""""&amp;Dashboard!$"&amp;"L$1&amp;""""))),K1581))"),"")</f>
        <v/>
      </c>
      <c r="S1581" s="266" t="str">
        <f>IFERROR(__xludf.DUMMYFUNCTION("IF(ISBLANK(A1581),"""",IFERROR(IF(OR(Q1581=""GPB"",Q1581=""ZAR""),IF(Q1581=Dashboard!$L$1,M1581,(M1581*GOOGLEFINANCE(""CURRENCY:""&amp;Q1581&amp;""""&amp;Dashboard!$L$1&amp;""""))/100),IF(Q1581=Dashboard!$L$1,M1581,M1581*GOOGLEFINANCE(""CURRENCY:""&amp;Q1581&amp;""""&amp;Dashboard!$"&amp;"L$1&amp;""""))),M1581))"),"")</f>
        <v/>
      </c>
      <c r="T1581" s="264" t="str">
        <f t="shared" si="4"/>
        <v/>
      </c>
      <c r="U1581" s="264" t="str">
        <f t="shared" si="5"/>
        <v/>
      </c>
      <c r="V1581" s="264" t="str">
        <f t="shared" si="6"/>
        <v/>
      </c>
      <c r="W1581" s="267" t="str">
        <f t="shared" si="8"/>
        <v/>
      </c>
      <c r="X1581" s="264" t="str">
        <f t="shared" si="7"/>
        <v/>
      </c>
    </row>
    <row r="1582" ht="15.75" customHeight="1">
      <c r="A1582" s="258"/>
      <c r="B1582" s="258"/>
      <c r="C1582" s="269"/>
      <c r="D1582" s="258"/>
      <c r="E1582" s="258"/>
      <c r="F1582" s="258"/>
      <c r="G1582" s="258"/>
      <c r="H1582" s="271"/>
      <c r="I1582" s="258"/>
      <c r="J1582" s="272"/>
      <c r="K1582" s="260"/>
      <c r="L1582" s="261"/>
      <c r="M1582" s="262" t="str">
        <f t="shared" si="1"/>
        <v/>
      </c>
      <c r="N1582" s="263" t="str">
        <f t="shared" si="2"/>
        <v/>
      </c>
      <c r="O1582" s="264" t="str">
        <f t="shared" si="3"/>
        <v/>
      </c>
      <c r="P1582" s="265" t="str">
        <f>IFERROR(__xludf.DUMMYFUNCTION("IF(ISBLANK(A1582),"""",IFERROR(IF(H1582=""Sell"",VLOOKUP(9^99,FILTER({ROW(P$2:P1581),P$2:P1581},D$2:D1581=D1582),2),(VLOOKUP(9^99,FILTER({ROW(P$2:P1581),P$2:P1581},D$2:D1581=D1582),2)*VLOOKUP(9^99,FILTER({ROW(O$2:O1581),O$2:O1581},D$2:D1581=D1582),2)-N158"&amp;"2)/O1582),J1582))"),"")</f>
        <v/>
      </c>
      <c r="Q1582" s="264" t="str">
        <f>IFERROR(__xludf.DUMMYFUNCTION("IFERROR(IF(F1582=""Crypto"",B1582,(IF(ISBLANK(D1582),"""",IF(D1582=""Cash"",B1582,IF(GOOGLEFINANCE(D1582,""CURRENCY"")=""GBX"",""GBP"",GOOGLEFINANCE(D1582,""CURRENCY"")))))),B1582)"),"")</f>
        <v/>
      </c>
      <c r="R1582" s="263" t="str">
        <f>IFERROR(__xludf.DUMMYFUNCTION("IF(ISBLANK(A1582),"""",IFERROR(IF(OR(Q1582=""GPB"",Q1582=""ZAR""),IF(Q1582=Dashboard!$L$1,K1582,(K1582*GOOGLEFINANCE(""CURRENCY:""&amp;Q1582&amp;""""&amp;Dashboard!$L$1&amp;""""))/100),IF(Q1582=Dashboard!$L$1,K1582,K1582*GOOGLEFINANCE(""CURRENCY:""&amp;Q1582&amp;""""&amp;Dashboard!$"&amp;"L$1&amp;""""))),K1582))"),"")</f>
        <v/>
      </c>
      <c r="S1582" s="266" t="str">
        <f>IFERROR(__xludf.DUMMYFUNCTION("IF(ISBLANK(A1582),"""",IFERROR(IF(OR(Q1582=""GPB"",Q1582=""ZAR""),IF(Q1582=Dashboard!$L$1,M1582,(M1582*GOOGLEFINANCE(""CURRENCY:""&amp;Q1582&amp;""""&amp;Dashboard!$L$1&amp;""""))/100),IF(Q1582=Dashboard!$L$1,M1582,M1582*GOOGLEFINANCE(""CURRENCY:""&amp;Q1582&amp;""""&amp;Dashboard!$"&amp;"L$1&amp;""""))),M1582))"),"")</f>
        <v/>
      </c>
      <c r="T1582" s="264" t="str">
        <f t="shared" si="4"/>
        <v/>
      </c>
      <c r="U1582" s="264" t="str">
        <f t="shared" si="5"/>
        <v/>
      </c>
      <c r="V1582" s="264" t="str">
        <f t="shared" si="6"/>
        <v/>
      </c>
      <c r="W1582" s="267" t="str">
        <f t="shared" si="8"/>
        <v/>
      </c>
      <c r="X1582" s="264" t="str">
        <f t="shared" si="7"/>
        <v/>
      </c>
    </row>
    <row r="1583" ht="15.75" customHeight="1">
      <c r="A1583" s="258"/>
      <c r="B1583" s="258"/>
      <c r="C1583" s="269"/>
      <c r="D1583" s="258"/>
      <c r="E1583" s="258"/>
      <c r="F1583" s="258"/>
      <c r="G1583" s="258"/>
      <c r="H1583" s="271"/>
      <c r="I1583" s="258"/>
      <c r="J1583" s="272"/>
      <c r="K1583" s="260"/>
      <c r="L1583" s="261"/>
      <c r="M1583" s="262" t="str">
        <f t="shared" si="1"/>
        <v/>
      </c>
      <c r="N1583" s="263" t="str">
        <f t="shared" si="2"/>
        <v/>
      </c>
      <c r="O1583" s="264" t="str">
        <f t="shared" si="3"/>
        <v/>
      </c>
      <c r="P1583" s="265" t="str">
        <f>IFERROR(__xludf.DUMMYFUNCTION("IF(ISBLANK(A1583),"""",IFERROR(IF(H1583=""Sell"",VLOOKUP(9^99,FILTER({ROW(P$2:P1582),P$2:P1582},D$2:D1582=D1583),2),(VLOOKUP(9^99,FILTER({ROW(P$2:P1582),P$2:P1582},D$2:D1582=D1583),2)*VLOOKUP(9^99,FILTER({ROW(O$2:O1582),O$2:O1582},D$2:D1582=D1583),2)-N158"&amp;"3)/O1583),J1583))"),"")</f>
        <v/>
      </c>
      <c r="Q1583" s="264" t="str">
        <f>IFERROR(__xludf.DUMMYFUNCTION("IFERROR(IF(F1583=""Crypto"",B1583,(IF(ISBLANK(D1583),"""",IF(D1583=""Cash"",B1583,IF(GOOGLEFINANCE(D1583,""CURRENCY"")=""GBX"",""GBP"",GOOGLEFINANCE(D1583,""CURRENCY"")))))),B1583)"),"")</f>
        <v/>
      </c>
      <c r="R1583" s="263" t="str">
        <f>IFERROR(__xludf.DUMMYFUNCTION("IF(ISBLANK(A1583),"""",IFERROR(IF(OR(Q1583=""GPB"",Q1583=""ZAR""),IF(Q1583=Dashboard!$L$1,K1583,(K1583*GOOGLEFINANCE(""CURRENCY:""&amp;Q1583&amp;""""&amp;Dashboard!$L$1&amp;""""))/100),IF(Q1583=Dashboard!$L$1,K1583,K1583*GOOGLEFINANCE(""CURRENCY:""&amp;Q1583&amp;""""&amp;Dashboard!$"&amp;"L$1&amp;""""))),K1583))"),"")</f>
        <v/>
      </c>
      <c r="S1583" s="266" t="str">
        <f>IFERROR(__xludf.DUMMYFUNCTION("IF(ISBLANK(A1583),"""",IFERROR(IF(OR(Q1583=""GPB"",Q1583=""ZAR""),IF(Q1583=Dashboard!$L$1,M1583,(M1583*GOOGLEFINANCE(""CURRENCY:""&amp;Q1583&amp;""""&amp;Dashboard!$L$1&amp;""""))/100),IF(Q1583=Dashboard!$L$1,M1583,M1583*GOOGLEFINANCE(""CURRENCY:""&amp;Q1583&amp;""""&amp;Dashboard!$"&amp;"L$1&amp;""""))),M1583))"),"")</f>
        <v/>
      </c>
      <c r="T1583" s="264" t="str">
        <f t="shared" si="4"/>
        <v/>
      </c>
      <c r="U1583" s="264" t="str">
        <f t="shared" si="5"/>
        <v/>
      </c>
      <c r="V1583" s="264" t="str">
        <f t="shared" si="6"/>
        <v/>
      </c>
      <c r="W1583" s="267" t="str">
        <f t="shared" si="8"/>
        <v/>
      </c>
      <c r="X1583" s="264" t="str">
        <f t="shared" si="7"/>
        <v/>
      </c>
    </row>
    <row r="1584" ht="15.75" customHeight="1">
      <c r="A1584" s="258"/>
      <c r="B1584" s="258"/>
      <c r="C1584" s="269"/>
      <c r="D1584" s="258"/>
      <c r="E1584" s="258"/>
      <c r="F1584" s="258"/>
      <c r="G1584" s="258"/>
      <c r="H1584" s="271"/>
      <c r="I1584" s="258"/>
      <c r="J1584" s="272"/>
      <c r="K1584" s="260"/>
      <c r="L1584" s="261"/>
      <c r="M1584" s="262" t="str">
        <f t="shared" si="1"/>
        <v/>
      </c>
      <c r="N1584" s="263" t="str">
        <f t="shared" si="2"/>
        <v/>
      </c>
      <c r="O1584" s="264" t="str">
        <f t="shared" si="3"/>
        <v/>
      </c>
      <c r="P1584" s="265" t="str">
        <f>IFERROR(__xludf.DUMMYFUNCTION("IF(ISBLANK(A1584),"""",IFERROR(IF(H1584=""Sell"",VLOOKUP(9^99,FILTER({ROW(P$2:P1583),P$2:P1583},D$2:D1583=D1584),2),(VLOOKUP(9^99,FILTER({ROW(P$2:P1583),P$2:P1583},D$2:D1583=D1584),2)*VLOOKUP(9^99,FILTER({ROW(O$2:O1583),O$2:O1583},D$2:D1583=D1584),2)-N158"&amp;"4)/O1584),J1584))"),"")</f>
        <v/>
      </c>
      <c r="Q1584" s="264" t="str">
        <f>IFERROR(__xludf.DUMMYFUNCTION("IFERROR(IF(F1584=""Crypto"",B1584,(IF(ISBLANK(D1584),"""",IF(D1584=""Cash"",B1584,IF(GOOGLEFINANCE(D1584,""CURRENCY"")=""GBX"",""GBP"",GOOGLEFINANCE(D1584,""CURRENCY"")))))),B1584)"),"")</f>
        <v/>
      </c>
      <c r="R1584" s="263" t="str">
        <f>IFERROR(__xludf.DUMMYFUNCTION("IF(ISBLANK(A1584),"""",IFERROR(IF(OR(Q1584=""GPB"",Q1584=""ZAR""),IF(Q1584=Dashboard!$L$1,K1584,(K1584*GOOGLEFINANCE(""CURRENCY:""&amp;Q1584&amp;""""&amp;Dashboard!$L$1&amp;""""))/100),IF(Q1584=Dashboard!$L$1,K1584,K1584*GOOGLEFINANCE(""CURRENCY:""&amp;Q1584&amp;""""&amp;Dashboard!$"&amp;"L$1&amp;""""))),K1584))"),"")</f>
        <v/>
      </c>
      <c r="S1584" s="266" t="str">
        <f>IFERROR(__xludf.DUMMYFUNCTION("IF(ISBLANK(A1584),"""",IFERROR(IF(OR(Q1584=""GPB"",Q1584=""ZAR""),IF(Q1584=Dashboard!$L$1,M1584,(M1584*GOOGLEFINANCE(""CURRENCY:""&amp;Q1584&amp;""""&amp;Dashboard!$L$1&amp;""""))/100),IF(Q1584=Dashboard!$L$1,M1584,M1584*GOOGLEFINANCE(""CURRENCY:""&amp;Q1584&amp;""""&amp;Dashboard!$"&amp;"L$1&amp;""""))),M1584))"),"")</f>
        <v/>
      </c>
      <c r="T1584" s="264" t="str">
        <f t="shared" si="4"/>
        <v/>
      </c>
      <c r="U1584" s="264" t="str">
        <f t="shared" si="5"/>
        <v/>
      </c>
      <c r="V1584" s="264" t="str">
        <f t="shared" si="6"/>
        <v/>
      </c>
      <c r="W1584" s="267" t="str">
        <f t="shared" si="8"/>
        <v/>
      </c>
      <c r="X1584" s="264" t="str">
        <f t="shared" si="7"/>
        <v/>
      </c>
    </row>
    <row r="1585" ht="15.75" customHeight="1">
      <c r="A1585" s="258"/>
      <c r="B1585" s="258"/>
      <c r="C1585" s="269"/>
      <c r="D1585" s="258"/>
      <c r="E1585" s="258"/>
      <c r="F1585" s="258"/>
      <c r="G1585" s="258"/>
      <c r="H1585" s="271"/>
      <c r="I1585" s="258"/>
      <c r="J1585" s="272"/>
      <c r="K1585" s="260"/>
      <c r="L1585" s="261"/>
      <c r="M1585" s="262" t="str">
        <f t="shared" si="1"/>
        <v/>
      </c>
      <c r="N1585" s="263" t="str">
        <f t="shared" si="2"/>
        <v/>
      </c>
      <c r="O1585" s="264" t="str">
        <f t="shared" si="3"/>
        <v/>
      </c>
      <c r="P1585" s="265" t="str">
        <f>IFERROR(__xludf.DUMMYFUNCTION("IF(ISBLANK(A1585),"""",IFERROR(IF(H1585=""Sell"",VLOOKUP(9^99,FILTER({ROW(P$2:P1584),P$2:P1584},D$2:D1584=D1585),2),(VLOOKUP(9^99,FILTER({ROW(P$2:P1584),P$2:P1584},D$2:D1584=D1585),2)*VLOOKUP(9^99,FILTER({ROW(O$2:O1584),O$2:O1584},D$2:D1584=D1585),2)-N158"&amp;"5)/O1585),J1585))"),"")</f>
        <v/>
      </c>
      <c r="Q1585" s="264" t="str">
        <f>IFERROR(__xludf.DUMMYFUNCTION("IFERROR(IF(F1585=""Crypto"",B1585,(IF(ISBLANK(D1585),"""",IF(D1585=""Cash"",B1585,IF(GOOGLEFINANCE(D1585,""CURRENCY"")=""GBX"",""GBP"",GOOGLEFINANCE(D1585,""CURRENCY"")))))),B1585)"),"")</f>
        <v/>
      </c>
      <c r="R1585" s="263" t="str">
        <f>IFERROR(__xludf.DUMMYFUNCTION("IF(ISBLANK(A1585),"""",IFERROR(IF(OR(Q1585=""GPB"",Q1585=""ZAR""),IF(Q1585=Dashboard!$L$1,K1585,(K1585*GOOGLEFINANCE(""CURRENCY:""&amp;Q1585&amp;""""&amp;Dashboard!$L$1&amp;""""))/100),IF(Q1585=Dashboard!$L$1,K1585,K1585*GOOGLEFINANCE(""CURRENCY:""&amp;Q1585&amp;""""&amp;Dashboard!$"&amp;"L$1&amp;""""))),K1585))"),"")</f>
        <v/>
      </c>
      <c r="S1585" s="266" t="str">
        <f>IFERROR(__xludf.DUMMYFUNCTION("IF(ISBLANK(A1585),"""",IFERROR(IF(OR(Q1585=""GPB"",Q1585=""ZAR""),IF(Q1585=Dashboard!$L$1,M1585,(M1585*GOOGLEFINANCE(""CURRENCY:""&amp;Q1585&amp;""""&amp;Dashboard!$L$1&amp;""""))/100),IF(Q1585=Dashboard!$L$1,M1585,M1585*GOOGLEFINANCE(""CURRENCY:""&amp;Q1585&amp;""""&amp;Dashboard!$"&amp;"L$1&amp;""""))),M1585))"),"")</f>
        <v/>
      </c>
      <c r="T1585" s="264" t="str">
        <f t="shared" si="4"/>
        <v/>
      </c>
      <c r="U1585" s="264" t="str">
        <f t="shared" si="5"/>
        <v/>
      </c>
      <c r="V1585" s="264" t="str">
        <f t="shared" si="6"/>
        <v/>
      </c>
      <c r="W1585" s="267" t="str">
        <f t="shared" si="8"/>
        <v/>
      </c>
      <c r="X1585" s="264" t="str">
        <f t="shared" si="7"/>
        <v/>
      </c>
    </row>
    <row r="1586" ht="15.75" customHeight="1">
      <c r="A1586" s="258"/>
      <c r="B1586" s="258"/>
      <c r="C1586" s="269"/>
      <c r="D1586" s="258"/>
      <c r="E1586" s="258"/>
      <c r="F1586" s="258"/>
      <c r="G1586" s="258"/>
      <c r="H1586" s="271"/>
      <c r="I1586" s="258"/>
      <c r="J1586" s="272"/>
      <c r="K1586" s="260"/>
      <c r="L1586" s="261"/>
      <c r="M1586" s="262" t="str">
        <f t="shared" si="1"/>
        <v/>
      </c>
      <c r="N1586" s="263" t="str">
        <f t="shared" si="2"/>
        <v/>
      </c>
      <c r="O1586" s="264" t="str">
        <f t="shared" si="3"/>
        <v/>
      </c>
      <c r="P1586" s="265" t="str">
        <f>IFERROR(__xludf.DUMMYFUNCTION("IF(ISBLANK(A1586),"""",IFERROR(IF(H1586=""Sell"",VLOOKUP(9^99,FILTER({ROW(P$2:P1585),P$2:P1585},D$2:D1585=D1586),2),(VLOOKUP(9^99,FILTER({ROW(P$2:P1585),P$2:P1585},D$2:D1585=D1586),2)*VLOOKUP(9^99,FILTER({ROW(O$2:O1585),O$2:O1585},D$2:D1585=D1586),2)-N158"&amp;"6)/O1586),J1586))"),"")</f>
        <v/>
      </c>
      <c r="Q1586" s="264" t="str">
        <f>IFERROR(__xludf.DUMMYFUNCTION("IFERROR(IF(F1586=""Crypto"",B1586,(IF(ISBLANK(D1586),"""",IF(D1586=""Cash"",B1586,IF(GOOGLEFINANCE(D1586,""CURRENCY"")=""GBX"",""GBP"",GOOGLEFINANCE(D1586,""CURRENCY"")))))),B1586)"),"")</f>
        <v/>
      </c>
      <c r="R1586" s="263" t="str">
        <f>IFERROR(__xludf.DUMMYFUNCTION("IF(ISBLANK(A1586),"""",IFERROR(IF(OR(Q1586=""GPB"",Q1586=""ZAR""),IF(Q1586=Dashboard!$L$1,K1586,(K1586*GOOGLEFINANCE(""CURRENCY:""&amp;Q1586&amp;""""&amp;Dashboard!$L$1&amp;""""))/100),IF(Q1586=Dashboard!$L$1,K1586,K1586*GOOGLEFINANCE(""CURRENCY:""&amp;Q1586&amp;""""&amp;Dashboard!$"&amp;"L$1&amp;""""))),K1586))"),"")</f>
        <v/>
      </c>
      <c r="S1586" s="266" t="str">
        <f>IFERROR(__xludf.DUMMYFUNCTION("IF(ISBLANK(A1586),"""",IFERROR(IF(OR(Q1586=""GPB"",Q1586=""ZAR""),IF(Q1586=Dashboard!$L$1,M1586,(M1586*GOOGLEFINANCE(""CURRENCY:""&amp;Q1586&amp;""""&amp;Dashboard!$L$1&amp;""""))/100),IF(Q1586=Dashboard!$L$1,M1586,M1586*GOOGLEFINANCE(""CURRENCY:""&amp;Q1586&amp;""""&amp;Dashboard!$"&amp;"L$1&amp;""""))),M1586))"),"")</f>
        <v/>
      </c>
      <c r="T1586" s="264" t="str">
        <f t="shared" si="4"/>
        <v/>
      </c>
      <c r="U1586" s="264" t="str">
        <f t="shared" si="5"/>
        <v/>
      </c>
      <c r="V1586" s="264" t="str">
        <f t="shared" si="6"/>
        <v/>
      </c>
      <c r="W1586" s="267" t="str">
        <f t="shared" si="8"/>
        <v/>
      </c>
      <c r="X1586" s="264" t="str">
        <f t="shared" si="7"/>
        <v/>
      </c>
    </row>
    <row r="1587" ht="15.75" customHeight="1">
      <c r="A1587" s="258"/>
      <c r="B1587" s="258"/>
      <c r="C1587" s="269"/>
      <c r="D1587" s="258"/>
      <c r="E1587" s="258"/>
      <c r="F1587" s="258"/>
      <c r="G1587" s="258"/>
      <c r="H1587" s="271"/>
      <c r="I1587" s="258"/>
      <c r="J1587" s="272"/>
      <c r="K1587" s="260"/>
      <c r="L1587" s="261"/>
      <c r="M1587" s="262" t="str">
        <f t="shared" si="1"/>
        <v/>
      </c>
      <c r="N1587" s="263" t="str">
        <f t="shared" si="2"/>
        <v/>
      </c>
      <c r="O1587" s="264" t="str">
        <f t="shared" si="3"/>
        <v/>
      </c>
      <c r="P1587" s="265" t="str">
        <f>IFERROR(__xludf.DUMMYFUNCTION("IF(ISBLANK(A1587),"""",IFERROR(IF(H1587=""Sell"",VLOOKUP(9^99,FILTER({ROW(P$2:P1586),P$2:P1586},D$2:D1586=D1587),2),(VLOOKUP(9^99,FILTER({ROW(P$2:P1586),P$2:P1586},D$2:D1586=D1587),2)*VLOOKUP(9^99,FILTER({ROW(O$2:O1586),O$2:O1586},D$2:D1586=D1587),2)-N158"&amp;"7)/O1587),J1587))"),"")</f>
        <v/>
      </c>
      <c r="Q1587" s="264" t="str">
        <f>IFERROR(__xludf.DUMMYFUNCTION("IFERROR(IF(F1587=""Crypto"",B1587,(IF(ISBLANK(D1587),"""",IF(D1587=""Cash"",B1587,IF(GOOGLEFINANCE(D1587,""CURRENCY"")=""GBX"",""GBP"",GOOGLEFINANCE(D1587,""CURRENCY"")))))),B1587)"),"")</f>
        <v/>
      </c>
      <c r="R1587" s="263" t="str">
        <f>IFERROR(__xludf.DUMMYFUNCTION("IF(ISBLANK(A1587),"""",IFERROR(IF(OR(Q1587=""GPB"",Q1587=""ZAR""),IF(Q1587=Dashboard!$L$1,K1587,(K1587*GOOGLEFINANCE(""CURRENCY:""&amp;Q1587&amp;""""&amp;Dashboard!$L$1&amp;""""))/100),IF(Q1587=Dashboard!$L$1,K1587,K1587*GOOGLEFINANCE(""CURRENCY:""&amp;Q1587&amp;""""&amp;Dashboard!$"&amp;"L$1&amp;""""))),K1587))"),"")</f>
        <v/>
      </c>
      <c r="S1587" s="266" t="str">
        <f>IFERROR(__xludf.DUMMYFUNCTION("IF(ISBLANK(A1587),"""",IFERROR(IF(OR(Q1587=""GPB"",Q1587=""ZAR""),IF(Q1587=Dashboard!$L$1,M1587,(M1587*GOOGLEFINANCE(""CURRENCY:""&amp;Q1587&amp;""""&amp;Dashboard!$L$1&amp;""""))/100),IF(Q1587=Dashboard!$L$1,M1587,M1587*GOOGLEFINANCE(""CURRENCY:""&amp;Q1587&amp;""""&amp;Dashboard!$"&amp;"L$1&amp;""""))),M1587))"),"")</f>
        <v/>
      </c>
      <c r="T1587" s="264" t="str">
        <f t="shared" si="4"/>
        <v/>
      </c>
      <c r="U1587" s="264" t="str">
        <f t="shared" si="5"/>
        <v/>
      </c>
      <c r="V1587" s="264" t="str">
        <f t="shared" si="6"/>
        <v/>
      </c>
      <c r="W1587" s="267" t="str">
        <f t="shared" si="8"/>
        <v/>
      </c>
      <c r="X1587" s="264" t="str">
        <f t="shared" si="7"/>
        <v/>
      </c>
    </row>
    <row r="1588" ht="15.75" customHeight="1">
      <c r="A1588" s="258"/>
      <c r="B1588" s="258"/>
      <c r="C1588" s="269"/>
      <c r="D1588" s="258"/>
      <c r="E1588" s="258"/>
      <c r="F1588" s="258"/>
      <c r="G1588" s="258"/>
      <c r="H1588" s="271"/>
      <c r="I1588" s="258"/>
      <c r="J1588" s="272"/>
      <c r="K1588" s="260"/>
      <c r="L1588" s="261"/>
      <c r="M1588" s="262" t="str">
        <f t="shared" si="1"/>
        <v/>
      </c>
      <c r="N1588" s="263" t="str">
        <f t="shared" si="2"/>
        <v/>
      </c>
      <c r="O1588" s="264" t="str">
        <f t="shared" si="3"/>
        <v/>
      </c>
      <c r="P1588" s="265" t="str">
        <f>IFERROR(__xludf.DUMMYFUNCTION("IF(ISBLANK(A1588),"""",IFERROR(IF(H1588=""Sell"",VLOOKUP(9^99,FILTER({ROW(P$2:P1587),P$2:P1587},D$2:D1587=D1588),2),(VLOOKUP(9^99,FILTER({ROW(P$2:P1587),P$2:P1587},D$2:D1587=D1588),2)*VLOOKUP(9^99,FILTER({ROW(O$2:O1587),O$2:O1587},D$2:D1587=D1588),2)-N158"&amp;"8)/O1588),J1588))"),"")</f>
        <v/>
      </c>
      <c r="Q1588" s="264" t="str">
        <f>IFERROR(__xludf.DUMMYFUNCTION("IFERROR(IF(F1588=""Crypto"",B1588,(IF(ISBLANK(D1588),"""",IF(D1588=""Cash"",B1588,IF(GOOGLEFINANCE(D1588,""CURRENCY"")=""GBX"",""GBP"",GOOGLEFINANCE(D1588,""CURRENCY"")))))),B1588)"),"")</f>
        <v/>
      </c>
      <c r="R1588" s="263" t="str">
        <f>IFERROR(__xludf.DUMMYFUNCTION("IF(ISBLANK(A1588),"""",IFERROR(IF(OR(Q1588=""GPB"",Q1588=""ZAR""),IF(Q1588=Dashboard!$L$1,K1588,(K1588*GOOGLEFINANCE(""CURRENCY:""&amp;Q1588&amp;""""&amp;Dashboard!$L$1&amp;""""))/100),IF(Q1588=Dashboard!$L$1,K1588,K1588*GOOGLEFINANCE(""CURRENCY:""&amp;Q1588&amp;""""&amp;Dashboard!$"&amp;"L$1&amp;""""))),K1588))"),"")</f>
        <v/>
      </c>
      <c r="S1588" s="266" t="str">
        <f>IFERROR(__xludf.DUMMYFUNCTION("IF(ISBLANK(A1588),"""",IFERROR(IF(OR(Q1588=""GPB"",Q1588=""ZAR""),IF(Q1588=Dashboard!$L$1,M1588,(M1588*GOOGLEFINANCE(""CURRENCY:""&amp;Q1588&amp;""""&amp;Dashboard!$L$1&amp;""""))/100),IF(Q1588=Dashboard!$L$1,M1588,M1588*GOOGLEFINANCE(""CURRENCY:""&amp;Q1588&amp;""""&amp;Dashboard!$"&amp;"L$1&amp;""""))),M1588))"),"")</f>
        <v/>
      </c>
      <c r="T1588" s="264" t="str">
        <f t="shared" si="4"/>
        <v/>
      </c>
      <c r="U1588" s="264" t="str">
        <f t="shared" si="5"/>
        <v/>
      </c>
      <c r="V1588" s="264" t="str">
        <f t="shared" si="6"/>
        <v/>
      </c>
      <c r="W1588" s="267" t="str">
        <f t="shared" si="8"/>
        <v/>
      </c>
      <c r="X1588" s="264" t="str">
        <f t="shared" si="7"/>
        <v/>
      </c>
    </row>
    <row r="1589" ht="15.75" customHeight="1">
      <c r="A1589" s="258"/>
      <c r="B1589" s="258"/>
      <c r="C1589" s="269"/>
      <c r="D1589" s="258"/>
      <c r="E1589" s="258"/>
      <c r="F1589" s="258"/>
      <c r="G1589" s="258"/>
      <c r="H1589" s="271"/>
      <c r="I1589" s="258"/>
      <c r="J1589" s="272"/>
      <c r="K1589" s="260"/>
      <c r="L1589" s="261"/>
      <c r="M1589" s="262" t="str">
        <f t="shared" si="1"/>
        <v/>
      </c>
      <c r="N1589" s="263" t="str">
        <f t="shared" si="2"/>
        <v/>
      </c>
      <c r="O1589" s="264" t="str">
        <f t="shared" si="3"/>
        <v/>
      </c>
      <c r="P1589" s="265" t="str">
        <f>IFERROR(__xludf.DUMMYFUNCTION("IF(ISBLANK(A1589),"""",IFERROR(IF(H1589=""Sell"",VLOOKUP(9^99,FILTER({ROW(P$2:P1588),P$2:P1588},D$2:D1588=D1589),2),(VLOOKUP(9^99,FILTER({ROW(P$2:P1588),P$2:P1588},D$2:D1588=D1589),2)*VLOOKUP(9^99,FILTER({ROW(O$2:O1588),O$2:O1588},D$2:D1588=D1589),2)-N158"&amp;"9)/O1589),J1589))"),"")</f>
        <v/>
      </c>
      <c r="Q1589" s="264" t="str">
        <f>IFERROR(__xludf.DUMMYFUNCTION("IFERROR(IF(F1589=""Crypto"",B1589,(IF(ISBLANK(D1589),"""",IF(D1589=""Cash"",B1589,IF(GOOGLEFINANCE(D1589,""CURRENCY"")=""GBX"",""GBP"",GOOGLEFINANCE(D1589,""CURRENCY"")))))),B1589)"),"")</f>
        <v/>
      </c>
      <c r="R1589" s="263" t="str">
        <f>IFERROR(__xludf.DUMMYFUNCTION("IF(ISBLANK(A1589),"""",IFERROR(IF(OR(Q1589=""GPB"",Q1589=""ZAR""),IF(Q1589=Dashboard!$L$1,K1589,(K1589*GOOGLEFINANCE(""CURRENCY:""&amp;Q1589&amp;""""&amp;Dashboard!$L$1&amp;""""))/100),IF(Q1589=Dashboard!$L$1,K1589,K1589*GOOGLEFINANCE(""CURRENCY:""&amp;Q1589&amp;""""&amp;Dashboard!$"&amp;"L$1&amp;""""))),K1589))"),"")</f>
        <v/>
      </c>
      <c r="S1589" s="266" t="str">
        <f>IFERROR(__xludf.DUMMYFUNCTION("IF(ISBLANK(A1589),"""",IFERROR(IF(OR(Q1589=""GPB"",Q1589=""ZAR""),IF(Q1589=Dashboard!$L$1,M1589,(M1589*GOOGLEFINANCE(""CURRENCY:""&amp;Q1589&amp;""""&amp;Dashboard!$L$1&amp;""""))/100),IF(Q1589=Dashboard!$L$1,M1589,M1589*GOOGLEFINANCE(""CURRENCY:""&amp;Q1589&amp;""""&amp;Dashboard!$"&amp;"L$1&amp;""""))),M1589))"),"")</f>
        <v/>
      </c>
      <c r="T1589" s="264" t="str">
        <f t="shared" si="4"/>
        <v/>
      </c>
      <c r="U1589" s="264" t="str">
        <f t="shared" si="5"/>
        <v/>
      </c>
      <c r="V1589" s="264" t="str">
        <f t="shared" si="6"/>
        <v/>
      </c>
      <c r="W1589" s="267" t="str">
        <f t="shared" si="8"/>
        <v/>
      </c>
      <c r="X1589" s="264" t="str">
        <f t="shared" si="7"/>
        <v/>
      </c>
    </row>
    <row r="1590" ht="15.75" customHeight="1">
      <c r="A1590" s="258"/>
      <c r="B1590" s="258"/>
      <c r="C1590" s="269"/>
      <c r="D1590" s="258"/>
      <c r="E1590" s="258"/>
      <c r="F1590" s="258"/>
      <c r="G1590" s="258"/>
      <c r="H1590" s="271"/>
      <c r="I1590" s="258"/>
      <c r="J1590" s="272"/>
      <c r="K1590" s="260"/>
      <c r="L1590" s="261"/>
      <c r="M1590" s="262" t="str">
        <f t="shared" si="1"/>
        <v/>
      </c>
      <c r="N1590" s="263" t="str">
        <f t="shared" si="2"/>
        <v/>
      </c>
      <c r="O1590" s="264" t="str">
        <f t="shared" si="3"/>
        <v/>
      </c>
      <c r="P1590" s="265" t="str">
        <f>IFERROR(__xludf.DUMMYFUNCTION("IF(ISBLANK(A1590),"""",IFERROR(IF(H1590=""Sell"",VLOOKUP(9^99,FILTER({ROW(P$2:P1589),P$2:P1589},D$2:D1589=D1590),2),(VLOOKUP(9^99,FILTER({ROW(P$2:P1589),P$2:P1589},D$2:D1589=D1590),2)*VLOOKUP(9^99,FILTER({ROW(O$2:O1589),O$2:O1589},D$2:D1589=D1590),2)-N159"&amp;"0)/O1590),J1590))"),"")</f>
        <v/>
      </c>
      <c r="Q1590" s="264" t="str">
        <f>IFERROR(__xludf.DUMMYFUNCTION("IFERROR(IF(F1590=""Crypto"",B1590,(IF(ISBLANK(D1590),"""",IF(D1590=""Cash"",B1590,IF(GOOGLEFINANCE(D1590,""CURRENCY"")=""GBX"",""GBP"",GOOGLEFINANCE(D1590,""CURRENCY"")))))),B1590)"),"")</f>
        <v/>
      </c>
      <c r="R1590" s="263" t="str">
        <f>IFERROR(__xludf.DUMMYFUNCTION("IF(ISBLANK(A1590),"""",IFERROR(IF(OR(Q1590=""GPB"",Q1590=""ZAR""),IF(Q1590=Dashboard!$L$1,K1590,(K1590*GOOGLEFINANCE(""CURRENCY:""&amp;Q1590&amp;""""&amp;Dashboard!$L$1&amp;""""))/100),IF(Q1590=Dashboard!$L$1,K1590,K1590*GOOGLEFINANCE(""CURRENCY:""&amp;Q1590&amp;""""&amp;Dashboard!$"&amp;"L$1&amp;""""))),K1590))"),"")</f>
        <v/>
      </c>
      <c r="S1590" s="266" t="str">
        <f>IFERROR(__xludf.DUMMYFUNCTION("IF(ISBLANK(A1590),"""",IFERROR(IF(OR(Q1590=""GPB"",Q1590=""ZAR""),IF(Q1590=Dashboard!$L$1,M1590,(M1590*GOOGLEFINANCE(""CURRENCY:""&amp;Q1590&amp;""""&amp;Dashboard!$L$1&amp;""""))/100),IF(Q1590=Dashboard!$L$1,M1590,M1590*GOOGLEFINANCE(""CURRENCY:""&amp;Q1590&amp;""""&amp;Dashboard!$"&amp;"L$1&amp;""""))),M1590))"),"")</f>
        <v/>
      </c>
      <c r="T1590" s="264" t="str">
        <f t="shared" si="4"/>
        <v/>
      </c>
      <c r="U1590" s="264" t="str">
        <f t="shared" si="5"/>
        <v/>
      </c>
      <c r="V1590" s="264" t="str">
        <f t="shared" si="6"/>
        <v/>
      </c>
      <c r="W1590" s="267" t="str">
        <f t="shared" si="8"/>
        <v/>
      </c>
      <c r="X1590" s="264" t="str">
        <f t="shared" si="7"/>
        <v/>
      </c>
    </row>
    <row r="1591" ht="15.75" customHeight="1">
      <c r="A1591" s="258"/>
      <c r="B1591" s="258"/>
      <c r="C1591" s="269"/>
      <c r="D1591" s="258"/>
      <c r="E1591" s="258"/>
      <c r="F1591" s="258"/>
      <c r="G1591" s="258"/>
      <c r="H1591" s="271"/>
      <c r="I1591" s="258"/>
      <c r="J1591" s="272"/>
      <c r="K1591" s="260"/>
      <c r="L1591" s="261"/>
      <c r="M1591" s="262" t="str">
        <f t="shared" si="1"/>
        <v/>
      </c>
      <c r="N1591" s="263" t="str">
        <f t="shared" si="2"/>
        <v/>
      </c>
      <c r="O1591" s="264" t="str">
        <f t="shared" si="3"/>
        <v/>
      </c>
      <c r="P1591" s="265" t="str">
        <f>IFERROR(__xludf.DUMMYFUNCTION("IF(ISBLANK(A1591),"""",IFERROR(IF(H1591=""Sell"",VLOOKUP(9^99,FILTER({ROW(P$2:P1590),P$2:P1590},D$2:D1590=D1591),2),(VLOOKUP(9^99,FILTER({ROW(P$2:P1590),P$2:P1590},D$2:D1590=D1591),2)*VLOOKUP(9^99,FILTER({ROW(O$2:O1590),O$2:O1590},D$2:D1590=D1591),2)-N159"&amp;"1)/O1591),J1591))"),"")</f>
        <v/>
      </c>
      <c r="Q1591" s="264" t="str">
        <f>IFERROR(__xludf.DUMMYFUNCTION("IFERROR(IF(F1591=""Crypto"",B1591,(IF(ISBLANK(D1591),"""",IF(D1591=""Cash"",B1591,IF(GOOGLEFINANCE(D1591,""CURRENCY"")=""GBX"",""GBP"",GOOGLEFINANCE(D1591,""CURRENCY"")))))),B1591)"),"")</f>
        <v/>
      </c>
      <c r="R1591" s="263" t="str">
        <f>IFERROR(__xludf.DUMMYFUNCTION("IF(ISBLANK(A1591),"""",IFERROR(IF(OR(Q1591=""GPB"",Q1591=""ZAR""),IF(Q1591=Dashboard!$L$1,K1591,(K1591*GOOGLEFINANCE(""CURRENCY:""&amp;Q1591&amp;""""&amp;Dashboard!$L$1&amp;""""))/100),IF(Q1591=Dashboard!$L$1,K1591,K1591*GOOGLEFINANCE(""CURRENCY:""&amp;Q1591&amp;""""&amp;Dashboard!$"&amp;"L$1&amp;""""))),K1591))"),"")</f>
        <v/>
      </c>
      <c r="S1591" s="266" t="str">
        <f>IFERROR(__xludf.DUMMYFUNCTION("IF(ISBLANK(A1591),"""",IFERROR(IF(OR(Q1591=""GPB"",Q1591=""ZAR""),IF(Q1591=Dashboard!$L$1,M1591,(M1591*GOOGLEFINANCE(""CURRENCY:""&amp;Q1591&amp;""""&amp;Dashboard!$L$1&amp;""""))/100),IF(Q1591=Dashboard!$L$1,M1591,M1591*GOOGLEFINANCE(""CURRENCY:""&amp;Q1591&amp;""""&amp;Dashboard!$"&amp;"L$1&amp;""""))),M1591))"),"")</f>
        <v/>
      </c>
      <c r="T1591" s="264" t="str">
        <f t="shared" si="4"/>
        <v/>
      </c>
      <c r="U1591" s="264" t="str">
        <f t="shared" si="5"/>
        <v/>
      </c>
      <c r="V1591" s="264" t="str">
        <f t="shared" si="6"/>
        <v/>
      </c>
      <c r="W1591" s="267" t="str">
        <f t="shared" si="8"/>
        <v/>
      </c>
      <c r="X1591" s="264" t="str">
        <f t="shared" si="7"/>
        <v/>
      </c>
    </row>
    <row r="1592" ht="15.75" customHeight="1">
      <c r="A1592" s="258"/>
      <c r="B1592" s="258"/>
      <c r="C1592" s="269"/>
      <c r="D1592" s="258"/>
      <c r="E1592" s="258"/>
      <c r="F1592" s="258"/>
      <c r="G1592" s="258"/>
      <c r="H1592" s="271"/>
      <c r="I1592" s="258"/>
      <c r="J1592" s="272"/>
      <c r="K1592" s="260"/>
      <c r="L1592" s="261"/>
      <c r="M1592" s="262" t="str">
        <f t="shared" si="1"/>
        <v/>
      </c>
      <c r="N1592" s="263" t="str">
        <f t="shared" si="2"/>
        <v/>
      </c>
      <c r="O1592" s="264" t="str">
        <f t="shared" si="3"/>
        <v/>
      </c>
      <c r="P1592" s="265" t="str">
        <f>IFERROR(__xludf.DUMMYFUNCTION("IF(ISBLANK(A1592),"""",IFERROR(IF(H1592=""Sell"",VLOOKUP(9^99,FILTER({ROW(P$2:P1591),P$2:P1591},D$2:D1591=D1592),2),(VLOOKUP(9^99,FILTER({ROW(P$2:P1591),P$2:P1591},D$2:D1591=D1592),2)*VLOOKUP(9^99,FILTER({ROW(O$2:O1591),O$2:O1591},D$2:D1591=D1592),2)-N159"&amp;"2)/O1592),J1592))"),"")</f>
        <v/>
      </c>
      <c r="Q1592" s="264" t="str">
        <f>IFERROR(__xludf.DUMMYFUNCTION("IFERROR(IF(F1592=""Crypto"",B1592,(IF(ISBLANK(D1592),"""",IF(D1592=""Cash"",B1592,IF(GOOGLEFINANCE(D1592,""CURRENCY"")=""GBX"",""GBP"",GOOGLEFINANCE(D1592,""CURRENCY"")))))),B1592)"),"")</f>
        <v/>
      </c>
      <c r="R1592" s="263" t="str">
        <f>IFERROR(__xludf.DUMMYFUNCTION("IF(ISBLANK(A1592),"""",IFERROR(IF(OR(Q1592=""GPB"",Q1592=""ZAR""),IF(Q1592=Dashboard!$L$1,K1592,(K1592*GOOGLEFINANCE(""CURRENCY:""&amp;Q1592&amp;""""&amp;Dashboard!$L$1&amp;""""))/100),IF(Q1592=Dashboard!$L$1,K1592,K1592*GOOGLEFINANCE(""CURRENCY:""&amp;Q1592&amp;""""&amp;Dashboard!$"&amp;"L$1&amp;""""))),K1592))"),"")</f>
        <v/>
      </c>
      <c r="S1592" s="266" t="str">
        <f>IFERROR(__xludf.DUMMYFUNCTION("IF(ISBLANK(A1592),"""",IFERROR(IF(OR(Q1592=""GPB"",Q1592=""ZAR""),IF(Q1592=Dashboard!$L$1,M1592,(M1592*GOOGLEFINANCE(""CURRENCY:""&amp;Q1592&amp;""""&amp;Dashboard!$L$1&amp;""""))/100),IF(Q1592=Dashboard!$L$1,M1592,M1592*GOOGLEFINANCE(""CURRENCY:""&amp;Q1592&amp;""""&amp;Dashboard!$"&amp;"L$1&amp;""""))),M1592))"),"")</f>
        <v/>
      </c>
      <c r="T1592" s="264" t="str">
        <f t="shared" si="4"/>
        <v/>
      </c>
      <c r="U1592" s="264" t="str">
        <f t="shared" si="5"/>
        <v/>
      </c>
      <c r="V1592" s="264" t="str">
        <f t="shared" si="6"/>
        <v/>
      </c>
      <c r="W1592" s="267" t="str">
        <f t="shared" si="8"/>
        <v/>
      </c>
      <c r="X1592" s="264" t="str">
        <f t="shared" si="7"/>
        <v/>
      </c>
    </row>
    <row r="1593" ht="15.75" customHeight="1">
      <c r="A1593" s="258"/>
      <c r="B1593" s="258"/>
      <c r="C1593" s="269"/>
      <c r="D1593" s="258"/>
      <c r="E1593" s="258"/>
      <c r="F1593" s="258"/>
      <c r="G1593" s="258"/>
      <c r="H1593" s="271"/>
      <c r="I1593" s="258"/>
      <c r="J1593" s="272"/>
      <c r="K1593" s="260"/>
      <c r="L1593" s="261"/>
      <c r="M1593" s="262" t="str">
        <f t="shared" si="1"/>
        <v/>
      </c>
      <c r="N1593" s="263" t="str">
        <f t="shared" si="2"/>
        <v/>
      </c>
      <c r="O1593" s="264" t="str">
        <f t="shared" si="3"/>
        <v/>
      </c>
      <c r="P1593" s="265" t="str">
        <f>IFERROR(__xludf.DUMMYFUNCTION("IF(ISBLANK(A1593),"""",IFERROR(IF(H1593=""Sell"",VLOOKUP(9^99,FILTER({ROW(P$2:P1592),P$2:P1592},D$2:D1592=D1593),2),(VLOOKUP(9^99,FILTER({ROW(P$2:P1592),P$2:P1592},D$2:D1592=D1593),2)*VLOOKUP(9^99,FILTER({ROW(O$2:O1592),O$2:O1592},D$2:D1592=D1593),2)-N159"&amp;"3)/O1593),J1593))"),"")</f>
        <v/>
      </c>
      <c r="Q1593" s="264" t="str">
        <f>IFERROR(__xludf.DUMMYFUNCTION("IFERROR(IF(F1593=""Crypto"",B1593,(IF(ISBLANK(D1593),"""",IF(D1593=""Cash"",B1593,IF(GOOGLEFINANCE(D1593,""CURRENCY"")=""GBX"",""GBP"",GOOGLEFINANCE(D1593,""CURRENCY"")))))),B1593)"),"")</f>
        <v/>
      </c>
      <c r="R1593" s="263" t="str">
        <f>IFERROR(__xludf.DUMMYFUNCTION("IF(ISBLANK(A1593),"""",IFERROR(IF(OR(Q1593=""GPB"",Q1593=""ZAR""),IF(Q1593=Dashboard!$L$1,K1593,(K1593*GOOGLEFINANCE(""CURRENCY:""&amp;Q1593&amp;""""&amp;Dashboard!$L$1&amp;""""))/100),IF(Q1593=Dashboard!$L$1,K1593,K1593*GOOGLEFINANCE(""CURRENCY:""&amp;Q1593&amp;""""&amp;Dashboard!$"&amp;"L$1&amp;""""))),K1593))"),"")</f>
        <v/>
      </c>
      <c r="S1593" s="266" t="str">
        <f>IFERROR(__xludf.DUMMYFUNCTION("IF(ISBLANK(A1593),"""",IFERROR(IF(OR(Q1593=""GPB"",Q1593=""ZAR""),IF(Q1593=Dashboard!$L$1,M1593,(M1593*GOOGLEFINANCE(""CURRENCY:""&amp;Q1593&amp;""""&amp;Dashboard!$L$1&amp;""""))/100),IF(Q1593=Dashboard!$L$1,M1593,M1593*GOOGLEFINANCE(""CURRENCY:""&amp;Q1593&amp;""""&amp;Dashboard!$"&amp;"L$1&amp;""""))),M1593))"),"")</f>
        <v/>
      </c>
      <c r="T1593" s="264" t="str">
        <f t="shared" si="4"/>
        <v/>
      </c>
      <c r="U1593" s="264" t="str">
        <f t="shared" si="5"/>
        <v/>
      </c>
      <c r="V1593" s="264" t="str">
        <f t="shared" si="6"/>
        <v/>
      </c>
      <c r="W1593" s="267" t="str">
        <f t="shared" si="8"/>
        <v/>
      </c>
      <c r="X1593" s="264" t="str">
        <f t="shared" si="7"/>
        <v/>
      </c>
    </row>
    <row r="1594" ht="15.75" customHeight="1">
      <c r="A1594" s="258"/>
      <c r="B1594" s="258"/>
      <c r="C1594" s="269"/>
      <c r="D1594" s="258"/>
      <c r="E1594" s="258"/>
      <c r="F1594" s="258"/>
      <c r="G1594" s="258"/>
      <c r="H1594" s="271"/>
      <c r="I1594" s="258"/>
      <c r="J1594" s="272"/>
      <c r="K1594" s="260"/>
      <c r="L1594" s="261"/>
      <c r="M1594" s="262" t="str">
        <f t="shared" si="1"/>
        <v/>
      </c>
      <c r="N1594" s="263" t="str">
        <f t="shared" si="2"/>
        <v/>
      </c>
      <c r="O1594" s="264" t="str">
        <f t="shared" si="3"/>
        <v/>
      </c>
      <c r="P1594" s="265" t="str">
        <f>IFERROR(__xludf.DUMMYFUNCTION("IF(ISBLANK(A1594),"""",IFERROR(IF(H1594=""Sell"",VLOOKUP(9^99,FILTER({ROW(P$2:P1593),P$2:P1593},D$2:D1593=D1594),2),(VLOOKUP(9^99,FILTER({ROW(P$2:P1593),P$2:P1593},D$2:D1593=D1594),2)*VLOOKUP(9^99,FILTER({ROW(O$2:O1593),O$2:O1593},D$2:D1593=D1594),2)-N159"&amp;"4)/O1594),J1594))"),"")</f>
        <v/>
      </c>
      <c r="Q1594" s="264" t="str">
        <f>IFERROR(__xludf.DUMMYFUNCTION("IFERROR(IF(F1594=""Crypto"",B1594,(IF(ISBLANK(D1594),"""",IF(D1594=""Cash"",B1594,IF(GOOGLEFINANCE(D1594,""CURRENCY"")=""GBX"",""GBP"",GOOGLEFINANCE(D1594,""CURRENCY"")))))),B1594)"),"")</f>
        <v/>
      </c>
      <c r="R1594" s="263" t="str">
        <f>IFERROR(__xludf.DUMMYFUNCTION("IF(ISBLANK(A1594),"""",IFERROR(IF(OR(Q1594=""GPB"",Q1594=""ZAR""),IF(Q1594=Dashboard!$L$1,K1594,(K1594*GOOGLEFINANCE(""CURRENCY:""&amp;Q1594&amp;""""&amp;Dashboard!$L$1&amp;""""))/100),IF(Q1594=Dashboard!$L$1,K1594,K1594*GOOGLEFINANCE(""CURRENCY:""&amp;Q1594&amp;""""&amp;Dashboard!$"&amp;"L$1&amp;""""))),K1594))"),"")</f>
        <v/>
      </c>
      <c r="S1594" s="266" t="str">
        <f>IFERROR(__xludf.DUMMYFUNCTION("IF(ISBLANK(A1594),"""",IFERROR(IF(OR(Q1594=""GPB"",Q1594=""ZAR""),IF(Q1594=Dashboard!$L$1,M1594,(M1594*GOOGLEFINANCE(""CURRENCY:""&amp;Q1594&amp;""""&amp;Dashboard!$L$1&amp;""""))/100),IF(Q1594=Dashboard!$L$1,M1594,M1594*GOOGLEFINANCE(""CURRENCY:""&amp;Q1594&amp;""""&amp;Dashboard!$"&amp;"L$1&amp;""""))),M1594))"),"")</f>
        <v/>
      </c>
      <c r="T1594" s="264" t="str">
        <f t="shared" si="4"/>
        <v/>
      </c>
      <c r="U1594" s="264" t="str">
        <f t="shared" si="5"/>
        <v/>
      </c>
      <c r="V1594" s="264" t="str">
        <f t="shared" si="6"/>
        <v/>
      </c>
      <c r="W1594" s="267" t="str">
        <f t="shared" si="8"/>
        <v/>
      </c>
      <c r="X1594" s="264" t="str">
        <f t="shared" si="7"/>
        <v/>
      </c>
    </row>
    <row r="1595" ht="15.75" customHeight="1">
      <c r="A1595" s="258"/>
      <c r="B1595" s="258"/>
      <c r="C1595" s="269"/>
      <c r="D1595" s="258"/>
      <c r="E1595" s="258"/>
      <c r="F1595" s="258"/>
      <c r="G1595" s="258"/>
      <c r="H1595" s="271"/>
      <c r="I1595" s="258"/>
      <c r="J1595" s="272"/>
      <c r="K1595" s="260"/>
      <c r="L1595" s="261"/>
      <c r="M1595" s="262" t="str">
        <f t="shared" si="1"/>
        <v/>
      </c>
      <c r="N1595" s="263" t="str">
        <f t="shared" si="2"/>
        <v/>
      </c>
      <c r="O1595" s="264" t="str">
        <f t="shared" si="3"/>
        <v/>
      </c>
      <c r="P1595" s="265" t="str">
        <f>IFERROR(__xludf.DUMMYFUNCTION("IF(ISBLANK(A1595),"""",IFERROR(IF(H1595=""Sell"",VLOOKUP(9^99,FILTER({ROW(P$2:P1594),P$2:P1594},D$2:D1594=D1595),2),(VLOOKUP(9^99,FILTER({ROW(P$2:P1594),P$2:P1594},D$2:D1594=D1595),2)*VLOOKUP(9^99,FILTER({ROW(O$2:O1594),O$2:O1594},D$2:D1594=D1595),2)-N159"&amp;"5)/O1595),J1595))"),"")</f>
        <v/>
      </c>
      <c r="Q1595" s="264" t="str">
        <f>IFERROR(__xludf.DUMMYFUNCTION("IFERROR(IF(F1595=""Crypto"",B1595,(IF(ISBLANK(D1595),"""",IF(D1595=""Cash"",B1595,IF(GOOGLEFINANCE(D1595,""CURRENCY"")=""GBX"",""GBP"",GOOGLEFINANCE(D1595,""CURRENCY"")))))),B1595)"),"")</f>
        <v/>
      </c>
      <c r="R1595" s="263" t="str">
        <f>IFERROR(__xludf.DUMMYFUNCTION("IF(ISBLANK(A1595),"""",IFERROR(IF(OR(Q1595=""GPB"",Q1595=""ZAR""),IF(Q1595=Dashboard!$L$1,K1595,(K1595*GOOGLEFINANCE(""CURRENCY:""&amp;Q1595&amp;""""&amp;Dashboard!$L$1&amp;""""))/100),IF(Q1595=Dashboard!$L$1,K1595,K1595*GOOGLEFINANCE(""CURRENCY:""&amp;Q1595&amp;""""&amp;Dashboard!$"&amp;"L$1&amp;""""))),K1595))"),"")</f>
        <v/>
      </c>
      <c r="S1595" s="266" t="str">
        <f>IFERROR(__xludf.DUMMYFUNCTION("IF(ISBLANK(A1595),"""",IFERROR(IF(OR(Q1595=""GPB"",Q1595=""ZAR""),IF(Q1595=Dashboard!$L$1,M1595,(M1595*GOOGLEFINANCE(""CURRENCY:""&amp;Q1595&amp;""""&amp;Dashboard!$L$1&amp;""""))/100),IF(Q1595=Dashboard!$L$1,M1595,M1595*GOOGLEFINANCE(""CURRENCY:""&amp;Q1595&amp;""""&amp;Dashboard!$"&amp;"L$1&amp;""""))),M1595))"),"")</f>
        <v/>
      </c>
      <c r="T1595" s="264" t="str">
        <f t="shared" si="4"/>
        <v/>
      </c>
      <c r="U1595" s="264" t="str">
        <f t="shared" si="5"/>
        <v/>
      </c>
      <c r="V1595" s="264" t="str">
        <f t="shared" si="6"/>
        <v/>
      </c>
      <c r="W1595" s="267" t="str">
        <f t="shared" si="8"/>
        <v/>
      </c>
      <c r="X1595" s="264" t="str">
        <f t="shared" si="7"/>
        <v/>
      </c>
    </row>
    <row r="1596" ht="15.75" customHeight="1">
      <c r="A1596" s="258"/>
      <c r="B1596" s="258"/>
      <c r="C1596" s="269"/>
      <c r="D1596" s="258"/>
      <c r="E1596" s="258"/>
      <c r="F1596" s="258"/>
      <c r="G1596" s="258"/>
      <c r="H1596" s="271"/>
      <c r="I1596" s="258"/>
      <c r="J1596" s="272"/>
      <c r="K1596" s="260"/>
      <c r="L1596" s="261"/>
      <c r="M1596" s="262" t="str">
        <f t="shared" si="1"/>
        <v/>
      </c>
      <c r="N1596" s="263" t="str">
        <f t="shared" si="2"/>
        <v/>
      </c>
      <c r="O1596" s="264" t="str">
        <f t="shared" si="3"/>
        <v/>
      </c>
      <c r="P1596" s="265" t="str">
        <f>IFERROR(__xludf.DUMMYFUNCTION("IF(ISBLANK(A1596),"""",IFERROR(IF(H1596=""Sell"",VLOOKUP(9^99,FILTER({ROW(P$2:P1595),P$2:P1595},D$2:D1595=D1596),2),(VLOOKUP(9^99,FILTER({ROW(P$2:P1595),P$2:P1595},D$2:D1595=D1596),2)*VLOOKUP(9^99,FILTER({ROW(O$2:O1595),O$2:O1595},D$2:D1595=D1596),2)-N159"&amp;"6)/O1596),J1596))"),"")</f>
        <v/>
      </c>
      <c r="Q1596" s="264" t="str">
        <f>IFERROR(__xludf.DUMMYFUNCTION("IFERROR(IF(F1596=""Crypto"",B1596,(IF(ISBLANK(D1596),"""",IF(D1596=""Cash"",B1596,IF(GOOGLEFINANCE(D1596,""CURRENCY"")=""GBX"",""GBP"",GOOGLEFINANCE(D1596,""CURRENCY"")))))),B1596)"),"")</f>
        <v/>
      </c>
      <c r="R1596" s="263" t="str">
        <f>IFERROR(__xludf.DUMMYFUNCTION("IF(ISBLANK(A1596),"""",IFERROR(IF(OR(Q1596=""GPB"",Q1596=""ZAR""),IF(Q1596=Dashboard!$L$1,K1596,(K1596*GOOGLEFINANCE(""CURRENCY:""&amp;Q1596&amp;""""&amp;Dashboard!$L$1&amp;""""))/100),IF(Q1596=Dashboard!$L$1,K1596,K1596*GOOGLEFINANCE(""CURRENCY:""&amp;Q1596&amp;""""&amp;Dashboard!$"&amp;"L$1&amp;""""))),K1596))"),"")</f>
        <v/>
      </c>
      <c r="S1596" s="266" t="str">
        <f>IFERROR(__xludf.DUMMYFUNCTION("IF(ISBLANK(A1596),"""",IFERROR(IF(OR(Q1596=""GPB"",Q1596=""ZAR""),IF(Q1596=Dashboard!$L$1,M1596,(M1596*GOOGLEFINANCE(""CURRENCY:""&amp;Q1596&amp;""""&amp;Dashboard!$L$1&amp;""""))/100),IF(Q1596=Dashboard!$L$1,M1596,M1596*GOOGLEFINANCE(""CURRENCY:""&amp;Q1596&amp;""""&amp;Dashboard!$"&amp;"L$1&amp;""""))),M1596))"),"")</f>
        <v/>
      </c>
      <c r="T1596" s="264" t="str">
        <f t="shared" si="4"/>
        <v/>
      </c>
      <c r="U1596" s="264" t="str">
        <f t="shared" si="5"/>
        <v/>
      </c>
      <c r="V1596" s="264" t="str">
        <f t="shared" si="6"/>
        <v/>
      </c>
      <c r="W1596" s="267" t="str">
        <f t="shared" si="8"/>
        <v/>
      </c>
      <c r="X1596" s="264" t="str">
        <f t="shared" si="7"/>
        <v/>
      </c>
    </row>
    <row r="1597" ht="15.75" customHeight="1">
      <c r="A1597" s="258"/>
      <c r="B1597" s="258"/>
      <c r="C1597" s="269"/>
      <c r="D1597" s="258"/>
      <c r="E1597" s="258"/>
      <c r="F1597" s="258"/>
      <c r="G1597" s="258"/>
      <c r="H1597" s="271"/>
      <c r="I1597" s="258"/>
      <c r="J1597" s="272"/>
      <c r="K1597" s="260"/>
      <c r="L1597" s="261"/>
      <c r="M1597" s="262" t="str">
        <f t="shared" si="1"/>
        <v/>
      </c>
      <c r="N1597" s="263" t="str">
        <f t="shared" si="2"/>
        <v/>
      </c>
      <c r="O1597" s="264" t="str">
        <f t="shared" si="3"/>
        <v/>
      </c>
      <c r="P1597" s="265" t="str">
        <f>IFERROR(__xludf.DUMMYFUNCTION("IF(ISBLANK(A1597),"""",IFERROR(IF(H1597=""Sell"",VLOOKUP(9^99,FILTER({ROW(P$2:P1596),P$2:P1596},D$2:D1596=D1597),2),(VLOOKUP(9^99,FILTER({ROW(P$2:P1596),P$2:P1596},D$2:D1596=D1597),2)*VLOOKUP(9^99,FILTER({ROW(O$2:O1596),O$2:O1596},D$2:D1596=D1597),2)-N159"&amp;"7)/O1597),J1597))"),"")</f>
        <v/>
      </c>
      <c r="Q1597" s="264" t="str">
        <f>IFERROR(__xludf.DUMMYFUNCTION("IFERROR(IF(F1597=""Crypto"",B1597,(IF(ISBLANK(D1597),"""",IF(D1597=""Cash"",B1597,IF(GOOGLEFINANCE(D1597,""CURRENCY"")=""GBX"",""GBP"",GOOGLEFINANCE(D1597,""CURRENCY"")))))),B1597)"),"")</f>
        <v/>
      </c>
      <c r="R1597" s="263" t="str">
        <f>IFERROR(__xludf.DUMMYFUNCTION("IF(ISBLANK(A1597),"""",IFERROR(IF(OR(Q1597=""GPB"",Q1597=""ZAR""),IF(Q1597=Dashboard!$L$1,K1597,(K1597*GOOGLEFINANCE(""CURRENCY:""&amp;Q1597&amp;""""&amp;Dashboard!$L$1&amp;""""))/100),IF(Q1597=Dashboard!$L$1,K1597,K1597*GOOGLEFINANCE(""CURRENCY:""&amp;Q1597&amp;""""&amp;Dashboard!$"&amp;"L$1&amp;""""))),K1597))"),"")</f>
        <v/>
      </c>
      <c r="S1597" s="266" t="str">
        <f>IFERROR(__xludf.DUMMYFUNCTION("IF(ISBLANK(A1597),"""",IFERROR(IF(OR(Q1597=""GPB"",Q1597=""ZAR""),IF(Q1597=Dashboard!$L$1,M1597,(M1597*GOOGLEFINANCE(""CURRENCY:""&amp;Q1597&amp;""""&amp;Dashboard!$L$1&amp;""""))/100),IF(Q1597=Dashboard!$L$1,M1597,M1597*GOOGLEFINANCE(""CURRENCY:""&amp;Q1597&amp;""""&amp;Dashboard!$"&amp;"L$1&amp;""""))),M1597))"),"")</f>
        <v/>
      </c>
      <c r="T1597" s="264" t="str">
        <f t="shared" si="4"/>
        <v/>
      </c>
      <c r="U1597" s="264" t="str">
        <f t="shared" si="5"/>
        <v/>
      </c>
      <c r="V1597" s="264" t="str">
        <f t="shared" si="6"/>
        <v/>
      </c>
      <c r="W1597" s="267" t="str">
        <f t="shared" si="8"/>
        <v/>
      </c>
      <c r="X1597" s="264" t="str">
        <f t="shared" si="7"/>
        <v/>
      </c>
    </row>
    <row r="1598" ht="15.75" customHeight="1">
      <c r="A1598" s="258"/>
      <c r="B1598" s="258"/>
      <c r="C1598" s="269"/>
      <c r="D1598" s="258"/>
      <c r="E1598" s="258"/>
      <c r="F1598" s="258"/>
      <c r="G1598" s="258"/>
      <c r="H1598" s="271"/>
      <c r="I1598" s="258"/>
      <c r="J1598" s="272"/>
      <c r="K1598" s="260"/>
      <c r="L1598" s="261"/>
      <c r="M1598" s="262" t="str">
        <f t="shared" si="1"/>
        <v/>
      </c>
      <c r="N1598" s="263" t="str">
        <f t="shared" si="2"/>
        <v/>
      </c>
      <c r="O1598" s="264" t="str">
        <f t="shared" si="3"/>
        <v/>
      </c>
      <c r="P1598" s="265" t="str">
        <f>IFERROR(__xludf.DUMMYFUNCTION("IF(ISBLANK(A1598),"""",IFERROR(IF(H1598=""Sell"",VLOOKUP(9^99,FILTER({ROW(P$2:P1597),P$2:P1597},D$2:D1597=D1598),2),(VLOOKUP(9^99,FILTER({ROW(P$2:P1597),P$2:P1597},D$2:D1597=D1598),2)*VLOOKUP(9^99,FILTER({ROW(O$2:O1597),O$2:O1597},D$2:D1597=D1598),2)-N159"&amp;"8)/O1598),J1598))"),"")</f>
        <v/>
      </c>
      <c r="Q1598" s="264" t="str">
        <f>IFERROR(__xludf.DUMMYFUNCTION("IFERROR(IF(F1598=""Crypto"",B1598,(IF(ISBLANK(D1598),"""",IF(D1598=""Cash"",B1598,IF(GOOGLEFINANCE(D1598,""CURRENCY"")=""GBX"",""GBP"",GOOGLEFINANCE(D1598,""CURRENCY"")))))),B1598)"),"")</f>
        <v/>
      </c>
      <c r="R1598" s="263" t="str">
        <f>IFERROR(__xludf.DUMMYFUNCTION("IF(ISBLANK(A1598),"""",IFERROR(IF(OR(Q1598=""GPB"",Q1598=""ZAR""),IF(Q1598=Dashboard!$L$1,K1598,(K1598*GOOGLEFINANCE(""CURRENCY:""&amp;Q1598&amp;""""&amp;Dashboard!$L$1&amp;""""))/100),IF(Q1598=Dashboard!$L$1,K1598,K1598*GOOGLEFINANCE(""CURRENCY:""&amp;Q1598&amp;""""&amp;Dashboard!$"&amp;"L$1&amp;""""))),K1598))"),"")</f>
        <v/>
      </c>
      <c r="S1598" s="266" t="str">
        <f>IFERROR(__xludf.DUMMYFUNCTION("IF(ISBLANK(A1598),"""",IFERROR(IF(OR(Q1598=""GPB"",Q1598=""ZAR""),IF(Q1598=Dashboard!$L$1,M1598,(M1598*GOOGLEFINANCE(""CURRENCY:""&amp;Q1598&amp;""""&amp;Dashboard!$L$1&amp;""""))/100),IF(Q1598=Dashboard!$L$1,M1598,M1598*GOOGLEFINANCE(""CURRENCY:""&amp;Q1598&amp;""""&amp;Dashboard!$"&amp;"L$1&amp;""""))),M1598))"),"")</f>
        <v/>
      </c>
      <c r="T1598" s="264" t="str">
        <f t="shared" si="4"/>
        <v/>
      </c>
      <c r="U1598" s="264" t="str">
        <f t="shared" si="5"/>
        <v/>
      </c>
      <c r="V1598" s="264" t="str">
        <f t="shared" si="6"/>
        <v/>
      </c>
      <c r="W1598" s="267" t="str">
        <f t="shared" si="8"/>
        <v/>
      </c>
      <c r="X1598" s="264" t="str">
        <f t="shared" si="7"/>
        <v/>
      </c>
    </row>
    <row r="1599" ht="15.75" customHeight="1">
      <c r="A1599" s="258"/>
      <c r="B1599" s="258"/>
      <c r="C1599" s="269"/>
      <c r="D1599" s="258"/>
      <c r="E1599" s="258"/>
      <c r="F1599" s="258"/>
      <c r="G1599" s="258"/>
      <c r="H1599" s="271"/>
      <c r="I1599" s="258"/>
      <c r="J1599" s="272"/>
      <c r="K1599" s="260"/>
      <c r="L1599" s="261"/>
      <c r="M1599" s="262" t="str">
        <f t="shared" si="1"/>
        <v/>
      </c>
      <c r="N1599" s="263" t="str">
        <f t="shared" si="2"/>
        <v/>
      </c>
      <c r="O1599" s="264" t="str">
        <f t="shared" si="3"/>
        <v/>
      </c>
      <c r="P1599" s="265" t="str">
        <f>IFERROR(__xludf.DUMMYFUNCTION("IF(ISBLANK(A1599),"""",IFERROR(IF(H1599=""Sell"",VLOOKUP(9^99,FILTER({ROW(P$2:P1598),P$2:P1598},D$2:D1598=D1599),2),(VLOOKUP(9^99,FILTER({ROW(P$2:P1598),P$2:P1598},D$2:D1598=D1599),2)*VLOOKUP(9^99,FILTER({ROW(O$2:O1598),O$2:O1598},D$2:D1598=D1599),2)-N159"&amp;"9)/O1599),J1599))"),"")</f>
        <v/>
      </c>
      <c r="Q1599" s="264" t="str">
        <f>IFERROR(__xludf.DUMMYFUNCTION("IFERROR(IF(F1599=""Crypto"",B1599,(IF(ISBLANK(D1599),"""",IF(D1599=""Cash"",B1599,IF(GOOGLEFINANCE(D1599,""CURRENCY"")=""GBX"",""GBP"",GOOGLEFINANCE(D1599,""CURRENCY"")))))),B1599)"),"")</f>
        <v/>
      </c>
      <c r="R1599" s="263" t="str">
        <f>IFERROR(__xludf.DUMMYFUNCTION("IF(ISBLANK(A1599),"""",IFERROR(IF(OR(Q1599=""GPB"",Q1599=""ZAR""),IF(Q1599=Dashboard!$L$1,K1599,(K1599*GOOGLEFINANCE(""CURRENCY:""&amp;Q1599&amp;""""&amp;Dashboard!$L$1&amp;""""))/100),IF(Q1599=Dashboard!$L$1,K1599,K1599*GOOGLEFINANCE(""CURRENCY:""&amp;Q1599&amp;""""&amp;Dashboard!$"&amp;"L$1&amp;""""))),K1599))"),"")</f>
        <v/>
      </c>
      <c r="S1599" s="266" t="str">
        <f>IFERROR(__xludf.DUMMYFUNCTION("IF(ISBLANK(A1599),"""",IFERROR(IF(OR(Q1599=""GPB"",Q1599=""ZAR""),IF(Q1599=Dashboard!$L$1,M1599,(M1599*GOOGLEFINANCE(""CURRENCY:""&amp;Q1599&amp;""""&amp;Dashboard!$L$1&amp;""""))/100),IF(Q1599=Dashboard!$L$1,M1599,M1599*GOOGLEFINANCE(""CURRENCY:""&amp;Q1599&amp;""""&amp;Dashboard!$"&amp;"L$1&amp;""""))),M1599))"),"")</f>
        <v/>
      </c>
      <c r="T1599" s="264" t="str">
        <f t="shared" si="4"/>
        <v/>
      </c>
      <c r="U1599" s="264" t="str">
        <f t="shared" si="5"/>
        <v/>
      </c>
      <c r="V1599" s="264" t="str">
        <f t="shared" si="6"/>
        <v/>
      </c>
      <c r="W1599" s="267" t="str">
        <f t="shared" si="8"/>
        <v/>
      </c>
      <c r="X1599" s="264" t="str">
        <f t="shared" si="7"/>
        <v/>
      </c>
    </row>
    <row r="1600" ht="15.75" customHeight="1">
      <c r="A1600" s="258"/>
      <c r="B1600" s="258"/>
      <c r="C1600" s="269"/>
      <c r="D1600" s="258"/>
      <c r="E1600" s="258"/>
      <c r="F1600" s="258"/>
      <c r="G1600" s="258"/>
      <c r="H1600" s="271"/>
      <c r="I1600" s="258"/>
      <c r="J1600" s="272"/>
      <c r="K1600" s="260"/>
      <c r="L1600" s="261"/>
      <c r="M1600" s="262" t="str">
        <f t="shared" si="1"/>
        <v/>
      </c>
      <c r="N1600" s="263" t="str">
        <f t="shared" si="2"/>
        <v/>
      </c>
      <c r="O1600" s="264" t="str">
        <f t="shared" si="3"/>
        <v/>
      </c>
      <c r="P1600" s="265" t="str">
        <f>IFERROR(__xludf.DUMMYFUNCTION("IF(ISBLANK(A1600),"""",IFERROR(IF(H1600=""Sell"",VLOOKUP(9^99,FILTER({ROW(P$2:P1599),P$2:P1599},D$2:D1599=D1600),2),(VLOOKUP(9^99,FILTER({ROW(P$2:P1599),P$2:P1599},D$2:D1599=D1600),2)*VLOOKUP(9^99,FILTER({ROW(O$2:O1599),O$2:O1599},D$2:D1599=D1600),2)-N160"&amp;"0)/O1600),J1600))"),"")</f>
        <v/>
      </c>
      <c r="Q1600" s="264" t="str">
        <f>IFERROR(__xludf.DUMMYFUNCTION("IFERROR(IF(F1600=""Crypto"",B1600,(IF(ISBLANK(D1600),"""",IF(D1600=""Cash"",B1600,IF(GOOGLEFINANCE(D1600,""CURRENCY"")=""GBX"",""GBP"",GOOGLEFINANCE(D1600,""CURRENCY"")))))),B1600)"),"")</f>
        <v/>
      </c>
      <c r="R1600" s="263" t="str">
        <f>IFERROR(__xludf.DUMMYFUNCTION("IF(ISBLANK(A1600),"""",IFERROR(IF(OR(Q1600=""GPB"",Q1600=""ZAR""),IF(Q1600=Dashboard!$L$1,K1600,(K1600*GOOGLEFINANCE(""CURRENCY:""&amp;Q1600&amp;""""&amp;Dashboard!$L$1&amp;""""))/100),IF(Q1600=Dashboard!$L$1,K1600,K1600*GOOGLEFINANCE(""CURRENCY:""&amp;Q1600&amp;""""&amp;Dashboard!$"&amp;"L$1&amp;""""))),K1600))"),"")</f>
        <v/>
      </c>
      <c r="S1600" s="266" t="str">
        <f>IFERROR(__xludf.DUMMYFUNCTION("IF(ISBLANK(A1600),"""",IFERROR(IF(OR(Q1600=""GPB"",Q1600=""ZAR""),IF(Q1600=Dashboard!$L$1,M1600,(M1600*GOOGLEFINANCE(""CURRENCY:""&amp;Q1600&amp;""""&amp;Dashboard!$L$1&amp;""""))/100),IF(Q1600=Dashboard!$L$1,M1600,M1600*GOOGLEFINANCE(""CURRENCY:""&amp;Q1600&amp;""""&amp;Dashboard!$"&amp;"L$1&amp;""""))),M1600))"),"")</f>
        <v/>
      </c>
      <c r="T1600" s="264" t="str">
        <f t="shared" si="4"/>
        <v/>
      </c>
      <c r="U1600" s="264" t="str">
        <f t="shared" si="5"/>
        <v/>
      </c>
      <c r="V1600" s="264" t="str">
        <f t="shared" si="6"/>
        <v/>
      </c>
      <c r="W1600" s="267" t="str">
        <f t="shared" si="8"/>
        <v/>
      </c>
      <c r="X1600" s="264" t="str">
        <f t="shared" si="7"/>
        <v/>
      </c>
    </row>
    <row r="1601" ht="15.75" customHeight="1">
      <c r="A1601" s="258"/>
      <c r="B1601" s="258"/>
      <c r="C1601" s="269"/>
      <c r="D1601" s="258"/>
      <c r="E1601" s="258"/>
      <c r="F1601" s="258"/>
      <c r="G1601" s="258"/>
      <c r="H1601" s="271"/>
      <c r="I1601" s="258"/>
      <c r="J1601" s="272"/>
      <c r="K1601" s="260"/>
      <c r="L1601" s="261"/>
      <c r="M1601" s="262" t="str">
        <f t="shared" si="1"/>
        <v/>
      </c>
      <c r="N1601" s="263" t="str">
        <f t="shared" si="2"/>
        <v/>
      </c>
      <c r="O1601" s="264" t="str">
        <f t="shared" si="3"/>
        <v/>
      </c>
      <c r="P1601" s="265" t="str">
        <f>IFERROR(__xludf.DUMMYFUNCTION("IF(ISBLANK(A1601),"""",IFERROR(IF(H1601=""Sell"",VLOOKUP(9^99,FILTER({ROW(P$2:P1600),P$2:P1600},D$2:D1600=D1601),2),(VLOOKUP(9^99,FILTER({ROW(P$2:P1600),P$2:P1600},D$2:D1600=D1601),2)*VLOOKUP(9^99,FILTER({ROW(O$2:O1600),O$2:O1600},D$2:D1600=D1601),2)-N160"&amp;"1)/O1601),J1601))"),"")</f>
        <v/>
      </c>
      <c r="Q1601" s="264" t="str">
        <f>IFERROR(__xludf.DUMMYFUNCTION("IFERROR(IF(F1601=""Crypto"",B1601,(IF(ISBLANK(D1601),"""",IF(D1601=""Cash"",B1601,IF(GOOGLEFINANCE(D1601,""CURRENCY"")=""GBX"",""GBP"",GOOGLEFINANCE(D1601,""CURRENCY"")))))),B1601)"),"")</f>
        <v/>
      </c>
      <c r="R1601" s="263" t="str">
        <f>IFERROR(__xludf.DUMMYFUNCTION("IF(ISBLANK(A1601),"""",IFERROR(IF(OR(Q1601=""GPB"",Q1601=""ZAR""),IF(Q1601=Dashboard!$L$1,K1601,(K1601*GOOGLEFINANCE(""CURRENCY:""&amp;Q1601&amp;""""&amp;Dashboard!$L$1&amp;""""))/100),IF(Q1601=Dashboard!$L$1,K1601,K1601*GOOGLEFINANCE(""CURRENCY:""&amp;Q1601&amp;""""&amp;Dashboard!$"&amp;"L$1&amp;""""))),K1601))"),"")</f>
        <v/>
      </c>
      <c r="S1601" s="266" t="str">
        <f>IFERROR(__xludf.DUMMYFUNCTION("IF(ISBLANK(A1601),"""",IFERROR(IF(OR(Q1601=""GPB"",Q1601=""ZAR""),IF(Q1601=Dashboard!$L$1,M1601,(M1601*GOOGLEFINANCE(""CURRENCY:""&amp;Q1601&amp;""""&amp;Dashboard!$L$1&amp;""""))/100),IF(Q1601=Dashboard!$L$1,M1601,M1601*GOOGLEFINANCE(""CURRENCY:""&amp;Q1601&amp;""""&amp;Dashboard!$"&amp;"L$1&amp;""""))),M1601))"),"")</f>
        <v/>
      </c>
      <c r="T1601" s="264" t="str">
        <f t="shared" si="4"/>
        <v/>
      </c>
      <c r="U1601" s="264" t="str">
        <f t="shared" si="5"/>
        <v/>
      </c>
      <c r="V1601" s="264" t="str">
        <f t="shared" si="6"/>
        <v/>
      </c>
      <c r="W1601" s="267" t="str">
        <f t="shared" si="8"/>
        <v/>
      </c>
      <c r="X1601" s="264" t="str">
        <f t="shared" si="7"/>
        <v/>
      </c>
    </row>
    <row r="1602" ht="15.75" customHeight="1">
      <c r="A1602" s="258"/>
      <c r="B1602" s="258"/>
      <c r="C1602" s="269"/>
      <c r="D1602" s="258"/>
      <c r="E1602" s="258"/>
      <c r="F1602" s="258"/>
      <c r="G1602" s="258"/>
      <c r="H1602" s="271"/>
      <c r="I1602" s="258"/>
      <c r="J1602" s="272"/>
      <c r="K1602" s="260"/>
      <c r="L1602" s="261"/>
      <c r="M1602" s="262" t="str">
        <f t="shared" si="1"/>
        <v/>
      </c>
      <c r="N1602" s="263" t="str">
        <f t="shared" si="2"/>
        <v/>
      </c>
      <c r="O1602" s="264" t="str">
        <f t="shared" si="3"/>
        <v/>
      </c>
      <c r="P1602" s="265" t="str">
        <f>IFERROR(__xludf.DUMMYFUNCTION("IF(ISBLANK(A1602),"""",IFERROR(IF(H1602=""Sell"",VLOOKUP(9^99,FILTER({ROW(P$2:P1601),P$2:P1601},D$2:D1601=D1602),2),(VLOOKUP(9^99,FILTER({ROW(P$2:P1601),P$2:P1601},D$2:D1601=D1602),2)*VLOOKUP(9^99,FILTER({ROW(O$2:O1601),O$2:O1601},D$2:D1601=D1602),2)-N160"&amp;"2)/O1602),J1602))"),"")</f>
        <v/>
      </c>
      <c r="Q1602" s="264" t="str">
        <f>IFERROR(__xludf.DUMMYFUNCTION("IFERROR(IF(F1602=""Crypto"",B1602,(IF(ISBLANK(D1602),"""",IF(D1602=""Cash"",B1602,IF(GOOGLEFINANCE(D1602,""CURRENCY"")=""GBX"",""GBP"",GOOGLEFINANCE(D1602,""CURRENCY"")))))),B1602)"),"")</f>
        <v/>
      </c>
      <c r="R1602" s="263" t="str">
        <f>IFERROR(__xludf.DUMMYFUNCTION("IF(ISBLANK(A1602),"""",IFERROR(IF(OR(Q1602=""GPB"",Q1602=""ZAR""),IF(Q1602=Dashboard!$L$1,K1602,(K1602*GOOGLEFINANCE(""CURRENCY:""&amp;Q1602&amp;""""&amp;Dashboard!$L$1&amp;""""))/100),IF(Q1602=Dashboard!$L$1,K1602,K1602*GOOGLEFINANCE(""CURRENCY:""&amp;Q1602&amp;""""&amp;Dashboard!$"&amp;"L$1&amp;""""))),K1602))"),"")</f>
        <v/>
      </c>
      <c r="S1602" s="266" t="str">
        <f>IFERROR(__xludf.DUMMYFUNCTION("IF(ISBLANK(A1602),"""",IFERROR(IF(OR(Q1602=""GPB"",Q1602=""ZAR""),IF(Q1602=Dashboard!$L$1,M1602,(M1602*GOOGLEFINANCE(""CURRENCY:""&amp;Q1602&amp;""""&amp;Dashboard!$L$1&amp;""""))/100),IF(Q1602=Dashboard!$L$1,M1602,M1602*GOOGLEFINANCE(""CURRENCY:""&amp;Q1602&amp;""""&amp;Dashboard!$"&amp;"L$1&amp;""""))),M1602))"),"")</f>
        <v/>
      </c>
      <c r="T1602" s="264" t="str">
        <f t="shared" si="4"/>
        <v/>
      </c>
      <c r="U1602" s="264" t="str">
        <f t="shared" si="5"/>
        <v/>
      </c>
      <c r="V1602" s="264" t="str">
        <f t="shared" si="6"/>
        <v/>
      </c>
      <c r="W1602" s="267" t="str">
        <f t="shared" si="8"/>
        <v/>
      </c>
      <c r="X1602" s="264" t="str">
        <f t="shared" si="7"/>
        <v/>
      </c>
    </row>
    <row r="1603" ht="15.75" customHeight="1">
      <c r="A1603" s="258"/>
      <c r="B1603" s="258"/>
      <c r="C1603" s="269"/>
      <c r="D1603" s="258"/>
      <c r="E1603" s="258"/>
      <c r="F1603" s="258"/>
      <c r="G1603" s="258"/>
      <c r="H1603" s="271"/>
      <c r="I1603" s="258"/>
      <c r="J1603" s="272"/>
      <c r="K1603" s="260"/>
      <c r="L1603" s="261"/>
      <c r="M1603" s="262" t="str">
        <f t="shared" si="1"/>
        <v/>
      </c>
      <c r="N1603" s="263" t="str">
        <f t="shared" si="2"/>
        <v/>
      </c>
      <c r="O1603" s="264" t="str">
        <f t="shared" si="3"/>
        <v/>
      </c>
      <c r="P1603" s="265" t="str">
        <f>IFERROR(__xludf.DUMMYFUNCTION("IF(ISBLANK(A1603),"""",IFERROR(IF(H1603=""Sell"",VLOOKUP(9^99,FILTER({ROW(P$2:P1602),P$2:P1602},D$2:D1602=D1603),2),(VLOOKUP(9^99,FILTER({ROW(P$2:P1602),P$2:P1602},D$2:D1602=D1603),2)*VLOOKUP(9^99,FILTER({ROW(O$2:O1602),O$2:O1602},D$2:D1602=D1603),2)-N160"&amp;"3)/O1603),J1603))"),"")</f>
        <v/>
      </c>
      <c r="Q1603" s="264" t="str">
        <f>IFERROR(__xludf.DUMMYFUNCTION("IFERROR(IF(F1603=""Crypto"",B1603,(IF(ISBLANK(D1603),"""",IF(D1603=""Cash"",B1603,IF(GOOGLEFINANCE(D1603,""CURRENCY"")=""GBX"",""GBP"",GOOGLEFINANCE(D1603,""CURRENCY"")))))),B1603)"),"")</f>
        <v/>
      </c>
      <c r="R1603" s="263" t="str">
        <f>IFERROR(__xludf.DUMMYFUNCTION("IF(ISBLANK(A1603),"""",IFERROR(IF(OR(Q1603=""GPB"",Q1603=""ZAR""),IF(Q1603=Dashboard!$L$1,K1603,(K1603*GOOGLEFINANCE(""CURRENCY:""&amp;Q1603&amp;""""&amp;Dashboard!$L$1&amp;""""))/100),IF(Q1603=Dashboard!$L$1,K1603,K1603*GOOGLEFINANCE(""CURRENCY:""&amp;Q1603&amp;""""&amp;Dashboard!$"&amp;"L$1&amp;""""))),K1603))"),"")</f>
        <v/>
      </c>
      <c r="S1603" s="266" t="str">
        <f>IFERROR(__xludf.DUMMYFUNCTION("IF(ISBLANK(A1603),"""",IFERROR(IF(OR(Q1603=""GPB"",Q1603=""ZAR""),IF(Q1603=Dashboard!$L$1,M1603,(M1603*GOOGLEFINANCE(""CURRENCY:""&amp;Q1603&amp;""""&amp;Dashboard!$L$1&amp;""""))/100),IF(Q1603=Dashboard!$L$1,M1603,M1603*GOOGLEFINANCE(""CURRENCY:""&amp;Q1603&amp;""""&amp;Dashboard!$"&amp;"L$1&amp;""""))),M1603))"),"")</f>
        <v/>
      </c>
      <c r="T1603" s="264" t="str">
        <f t="shared" si="4"/>
        <v/>
      </c>
      <c r="U1603" s="264" t="str">
        <f t="shared" si="5"/>
        <v/>
      </c>
      <c r="V1603" s="264" t="str">
        <f t="shared" si="6"/>
        <v/>
      </c>
      <c r="W1603" s="267" t="str">
        <f t="shared" si="8"/>
        <v/>
      </c>
      <c r="X1603" s="264" t="str">
        <f t="shared" si="7"/>
        <v/>
      </c>
    </row>
    <row r="1604" ht="15.75" customHeight="1">
      <c r="A1604" s="258"/>
      <c r="B1604" s="258"/>
      <c r="C1604" s="269"/>
      <c r="D1604" s="258"/>
      <c r="E1604" s="258"/>
      <c r="F1604" s="258"/>
      <c r="G1604" s="258"/>
      <c r="H1604" s="271"/>
      <c r="I1604" s="258"/>
      <c r="J1604" s="272"/>
      <c r="K1604" s="260"/>
      <c r="L1604" s="261"/>
      <c r="M1604" s="262" t="str">
        <f t="shared" si="1"/>
        <v/>
      </c>
      <c r="N1604" s="263" t="str">
        <f t="shared" si="2"/>
        <v/>
      </c>
      <c r="O1604" s="264" t="str">
        <f t="shared" si="3"/>
        <v/>
      </c>
      <c r="P1604" s="265" t="str">
        <f>IFERROR(__xludf.DUMMYFUNCTION("IF(ISBLANK(A1604),"""",IFERROR(IF(H1604=""Sell"",VLOOKUP(9^99,FILTER({ROW(P$2:P1603),P$2:P1603},D$2:D1603=D1604),2),(VLOOKUP(9^99,FILTER({ROW(P$2:P1603),P$2:P1603},D$2:D1603=D1604),2)*VLOOKUP(9^99,FILTER({ROW(O$2:O1603),O$2:O1603},D$2:D1603=D1604),2)-N160"&amp;"4)/O1604),J1604))"),"")</f>
        <v/>
      </c>
      <c r="Q1604" s="264" t="str">
        <f>IFERROR(__xludf.DUMMYFUNCTION("IFERROR(IF(F1604=""Crypto"",B1604,(IF(ISBLANK(D1604),"""",IF(D1604=""Cash"",B1604,IF(GOOGLEFINANCE(D1604,""CURRENCY"")=""GBX"",""GBP"",GOOGLEFINANCE(D1604,""CURRENCY"")))))),B1604)"),"")</f>
        <v/>
      </c>
      <c r="R1604" s="263" t="str">
        <f>IFERROR(__xludf.DUMMYFUNCTION("IF(ISBLANK(A1604),"""",IFERROR(IF(OR(Q1604=""GPB"",Q1604=""ZAR""),IF(Q1604=Dashboard!$L$1,K1604,(K1604*GOOGLEFINANCE(""CURRENCY:""&amp;Q1604&amp;""""&amp;Dashboard!$L$1&amp;""""))/100),IF(Q1604=Dashboard!$L$1,K1604,K1604*GOOGLEFINANCE(""CURRENCY:""&amp;Q1604&amp;""""&amp;Dashboard!$"&amp;"L$1&amp;""""))),K1604))"),"")</f>
        <v/>
      </c>
      <c r="S1604" s="266" t="str">
        <f>IFERROR(__xludf.DUMMYFUNCTION("IF(ISBLANK(A1604),"""",IFERROR(IF(OR(Q1604=""GPB"",Q1604=""ZAR""),IF(Q1604=Dashboard!$L$1,M1604,(M1604*GOOGLEFINANCE(""CURRENCY:""&amp;Q1604&amp;""""&amp;Dashboard!$L$1&amp;""""))/100),IF(Q1604=Dashboard!$L$1,M1604,M1604*GOOGLEFINANCE(""CURRENCY:""&amp;Q1604&amp;""""&amp;Dashboard!$"&amp;"L$1&amp;""""))),M1604))"),"")</f>
        <v/>
      </c>
      <c r="T1604" s="264" t="str">
        <f t="shared" si="4"/>
        <v/>
      </c>
      <c r="U1604" s="264" t="str">
        <f t="shared" si="5"/>
        <v/>
      </c>
      <c r="V1604" s="264" t="str">
        <f t="shared" si="6"/>
        <v/>
      </c>
      <c r="W1604" s="267" t="str">
        <f t="shared" si="8"/>
        <v/>
      </c>
      <c r="X1604" s="264" t="str">
        <f t="shared" si="7"/>
        <v/>
      </c>
    </row>
    <row r="1605" ht="15.75" customHeight="1">
      <c r="A1605" s="258"/>
      <c r="B1605" s="258"/>
      <c r="C1605" s="269"/>
      <c r="D1605" s="258"/>
      <c r="E1605" s="258"/>
      <c r="F1605" s="258"/>
      <c r="G1605" s="258"/>
      <c r="H1605" s="271"/>
      <c r="I1605" s="258"/>
      <c r="J1605" s="272"/>
      <c r="K1605" s="260"/>
      <c r="L1605" s="261"/>
      <c r="M1605" s="262" t="str">
        <f t="shared" si="1"/>
        <v/>
      </c>
      <c r="N1605" s="263" t="str">
        <f t="shared" si="2"/>
        <v/>
      </c>
      <c r="O1605" s="264" t="str">
        <f t="shared" si="3"/>
        <v/>
      </c>
      <c r="P1605" s="265" t="str">
        <f>IFERROR(__xludf.DUMMYFUNCTION("IF(ISBLANK(A1605),"""",IFERROR(IF(H1605=""Sell"",VLOOKUP(9^99,FILTER({ROW(P$2:P1604),P$2:P1604},D$2:D1604=D1605),2),(VLOOKUP(9^99,FILTER({ROW(P$2:P1604),P$2:P1604},D$2:D1604=D1605),2)*VLOOKUP(9^99,FILTER({ROW(O$2:O1604),O$2:O1604},D$2:D1604=D1605),2)-N160"&amp;"5)/O1605),J1605))"),"")</f>
        <v/>
      </c>
      <c r="Q1605" s="264" t="str">
        <f>IFERROR(__xludf.DUMMYFUNCTION("IFERROR(IF(F1605=""Crypto"",B1605,(IF(ISBLANK(D1605),"""",IF(D1605=""Cash"",B1605,IF(GOOGLEFINANCE(D1605,""CURRENCY"")=""GBX"",""GBP"",GOOGLEFINANCE(D1605,""CURRENCY"")))))),B1605)"),"")</f>
        <v/>
      </c>
      <c r="R1605" s="263" t="str">
        <f>IFERROR(__xludf.DUMMYFUNCTION("IF(ISBLANK(A1605),"""",IFERROR(IF(OR(Q1605=""GPB"",Q1605=""ZAR""),IF(Q1605=Dashboard!$L$1,K1605,(K1605*GOOGLEFINANCE(""CURRENCY:""&amp;Q1605&amp;""""&amp;Dashboard!$L$1&amp;""""))/100),IF(Q1605=Dashboard!$L$1,K1605,K1605*GOOGLEFINANCE(""CURRENCY:""&amp;Q1605&amp;""""&amp;Dashboard!$"&amp;"L$1&amp;""""))),K1605))"),"")</f>
        <v/>
      </c>
      <c r="S1605" s="266" t="str">
        <f>IFERROR(__xludf.DUMMYFUNCTION("IF(ISBLANK(A1605),"""",IFERROR(IF(OR(Q1605=""GPB"",Q1605=""ZAR""),IF(Q1605=Dashboard!$L$1,M1605,(M1605*GOOGLEFINANCE(""CURRENCY:""&amp;Q1605&amp;""""&amp;Dashboard!$L$1&amp;""""))/100),IF(Q1605=Dashboard!$L$1,M1605,M1605*GOOGLEFINANCE(""CURRENCY:""&amp;Q1605&amp;""""&amp;Dashboard!$"&amp;"L$1&amp;""""))),M1605))"),"")</f>
        <v/>
      </c>
      <c r="T1605" s="264" t="str">
        <f t="shared" si="4"/>
        <v/>
      </c>
      <c r="U1605" s="264" t="str">
        <f t="shared" si="5"/>
        <v/>
      </c>
      <c r="V1605" s="264" t="str">
        <f t="shared" si="6"/>
        <v/>
      </c>
      <c r="W1605" s="267" t="str">
        <f t="shared" si="8"/>
        <v/>
      </c>
      <c r="X1605" s="264" t="str">
        <f t="shared" si="7"/>
        <v/>
      </c>
    </row>
    <row r="1606" ht="15.75" customHeight="1">
      <c r="A1606" s="258"/>
      <c r="B1606" s="258"/>
      <c r="C1606" s="269"/>
      <c r="D1606" s="258"/>
      <c r="E1606" s="258"/>
      <c r="F1606" s="258"/>
      <c r="G1606" s="258"/>
      <c r="H1606" s="271"/>
      <c r="I1606" s="258"/>
      <c r="J1606" s="272"/>
      <c r="K1606" s="260"/>
      <c r="L1606" s="261"/>
      <c r="M1606" s="262" t="str">
        <f t="shared" si="1"/>
        <v/>
      </c>
      <c r="N1606" s="263" t="str">
        <f t="shared" si="2"/>
        <v/>
      </c>
      <c r="O1606" s="264" t="str">
        <f t="shared" si="3"/>
        <v/>
      </c>
      <c r="P1606" s="265" t="str">
        <f>IFERROR(__xludf.DUMMYFUNCTION("IF(ISBLANK(A1606),"""",IFERROR(IF(H1606=""Sell"",VLOOKUP(9^99,FILTER({ROW(P$2:P1605),P$2:P1605},D$2:D1605=D1606),2),(VLOOKUP(9^99,FILTER({ROW(P$2:P1605),P$2:P1605},D$2:D1605=D1606),2)*VLOOKUP(9^99,FILTER({ROW(O$2:O1605),O$2:O1605},D$2:D1605=D1606),2)-N160"&amp;"6)/O1606),J1606))"),"")</f>
        <v/>
      </c>
      <c r="Q1606" s="264" t="str">
        <f>IFERROR(__xludf.DUMMYFUNCTION("IFERROR(IF(F1606=""Crypto"",B1606,(IF(ISBLANK(D1606),"""",IF(D1606=""Cash"",B1606,IF(GOOGLEFINANCE(D1606,""CURRENCY"")=""GBX"",""GBP"",GOOGLEFINANCE(D1606,""CURRENCY"")))))),B1606)"),"")</f>
        <v/>
      </c>
      <c r="R1606" s="263" t="str">
        <f>IFERROR(__xludf.DUMMYFUNCTION("IF(ISBLANK(A1606),"""",IFERROR(IF(OR(Q1606=""GPB"",Q1606=""ZAR""),IF(Q1606=Dashboard!$L$1,K1606,(K1606*GOOGLEFINANCE(""CURRENCY:""&amp;Q1606&amp;""""&amp;Dashboard!$L$1&amp;""""))/100),IF(Q1606=Dashboard!$L$1,K1606,K1606*GOOGLEFINANCE(""CURRENCY:""&amp;Q1606&amp;""""&amp;Dashboard!$"&amp;"L$1&amp;""""))),K1606))"),"")</f>
        <v/>
      </c>
      <c r="S1606" s="266" t="str">
        <f>IFERROR(__xludf.DUMMYFUNCTION("IF(ISBLANK(A1606),"""",IFERROR(IF(OR(Q1606=""GPB"",Q1606=""ZAR""),IF(Q1606=Dashboard!$L$1,M1606,(M1606*GOOGLEFINANCE(""CURRENCY:""&amp;Q1606&amp;""""&amp;Dashboard!$L$1&amp;""""))/100),IF(Q1606=Dashboard!$L$1,M1606,M1606*GOOGLEFINANCE(""CURRENCY:""&amp;Q1606&amp;""""&amp;Dashboard!$"&amp;"L$1&amp;""""))),M1606))"),"")</f>
        <v/>
      </c>
      <c r="T1606" s="264" t="str">
        <f t="shared" si="4"/>
        <v/>
      </c>
      <c r="U1606" s="264" t="str">
        <f t="shared" si="5"/>
        <v/>
      </c>
      <c r="V1606" s="264" t="str">
        <f t="shared" si="6"/>
        <v/>
      </c>
      <c r="W1606" s="267" t="str">
        <f t="shared" si="8"/>
        <v/>
      </c>
      <c r="X1606" s="264" t="str">
        <f t="shared" si="7"/>
        <v/>
      </c>
    </row>
    <row r="1607" ht="15.75" customHeight="1">
      <c r="A1607" s="258"/>
      <c r="B1607" s="258"/>
      <c r="C1607" s="269"/>
      <c r="D1607" s="258"/>
      <c r="E1607" s="258"/>
      <c r="F1607" s="258"/>
      <c r="G1607" s="258"/>
      <c r="H1607" s="271"/>
      <c r="I1607" s="258"/>
      <c r="J1607" s="272"/>
      <c r="K1607" s="260"/>
      <c r="L1607" s="261"/>
      <c r="M1607" s="262" t="str">
        <f t="shared" si="1"/>
        <v/>
      </c>
      <c r="N1607" s="263" t="str">
        <f t="shared" si="2"/>
        <v/>
      </c>
      <c r="O1607" s="264" t="str">
        <f t="shared" si="3"/>
        <v/>
      </c>
      <c r="P1607" s="265" t="str">
        <f>IFERROR(__xludf.DUMMYFUNCTION("IF(ISBLANK(A1607),"""",IFERROR(IF(H1607=""Sell"",VLOOKUP(9^99,FILTER({ROW(P$2:P1606),P$2:P1606},D$2:D1606=D1607),2),(VLOOKUP(9^99,FILTER({ROW(P$2:P1606),P$2:P1606},D$2:D1606=D1607),2)*VLOOKUP(9^99,FILTER({ROW(O$2:O1606),O$2:O1606},D$2:D1606=D1607),2)-N160"&amp;"7)/O1607),J1607))"),"")</f>
        <v/>
      </c>
      <c r="Q1607" s="264" t="str">
        <f>IFERROR(__xludf.DUMMYFUNCTION("IFERROR(IF(F1607=""Crypto"",B1607,(IF(ISBLANK(D1607),"""",IF(D1607=""Cash"",B1607,IF(GOOGLEFINANCE(D1607,""CURRENCY"")=""GBX"",""GBP"",GOOGLEFINANCE(D1607,""CURRENCY"")))))),B1607)"),"")</f>
        <v/>
      </c>
      <c r="R1607" s="263" t="str">
        <f>IFERROR(__xludf.DUMMYFUNCTION("IF(ISBLANK(A1607),"""",IFERROR(IF(OR(Q1607=""GPB"",Q1607=""ZAR""),IF(Q1607=Dashboard!$L$1,K1607,(K1607*GOOGLEFINANCE(""CURRENCY:""&amp;Q1607&amp;""""&amp;Dashboard!$L$1&amp;""""))/100),IF(Q1607=Dashboard!$L$1,K1607,K1607*GOOGLEFINANCE(""CURRENCY:""&amp;Q1607&amp;""""&amp;Dashboard!$"&amp;"L$1&amp;""""))),K1607))"),"")</f>
        <v/>
      </c>
      <c r="S1607" s="266" t="str">
        <f>IFERROR(__xludf.DUMMYFUNCTION("IF(ISBLANK(A1607),"""",IFERROR(IF(OR(Q1607=""GPB"",Q1607=""ZAR""),IF(Q1607=Dashboard!$L$1,M1607,(M1607*GOOGLEFINANCE(""CURRENCY:""&amp;Q1607&amp;""""&amp;Dashboard!$L$1&amp;""""))/100),IF(Q1607=Dashboard!$L$1,M1607,M1607*GOOGLEFINANCE(""CURRENCY:""&amp;Q1607&amp;""""&amp;Dashboard!$"&amp;"L$1&amp;""""))),M1607))"),"")</f>
        <v/>
      </c>
      <c r="T1607" s="264" t="str">
        <f t="shared" si="4"/>
        <v/>
      </c>
      <c r="U1607" s="264" t="str">
        <f t="shared" si="5"/>
        <v/>
      </c>
      <c r="V1607" s="264" t="str">
        <f t="shared" si="6"/>
        <v/>
      </c>
      <c r="W1607" s="267" t="str">
        <f t="shared" si="8"/>
        <v/>
      </c>
      <c r="X1607" s="264" t="str">
        <f t="shared" si="7"/>
        <v/>
      </c>
    </row>
    <row r="1608" ht="15.75" customHeight="1">
      <c r="A1608" s="258"/>
      <c r="B1608" s="258"/>
      <c r="C1608" s="269"/>
      <c r="D1608" s="258"/>
      <c r="E1608" s="258"/>
      <c r="F1608" s="258"/>
      <c r="G1608" s="258"/>
      <c r="H1608" s="271"/>
      <c r="I1608" s="258"/>
      <c r="J1608" s="272"/>
      <c r="K1608" s="260"/>
      <c r="L1608" s="261"/>
      <c r="M1608" s="262" t="str">
        <f t="shared" si="1"/>
        <v/>
      </c>
      <c r="N1608" s="263" t="str">
        <f t="shared" si="2"/>
        <v/>
      </c>
      <c r="O1608" s="264" t="str">
        <f t="shared" si="3"/>
        <v/>
      </c>
      <c r="P1608" s="265" t="str">
        <f>IFERROR(__xludf.DUMMYFUNCTION("IF(ISBLANK(A1608),"""",IFERROR(IF(H1608=""Sell"",VLOOKUP(9^99,FILTER({ROW(P$2:P1607),P$2:P1607},D$2:D1607=D1608),2),(VLOOKUP(9^99,FILTER({ROW(P$2:P1607),P$2:P1607},D$2:D1607=D1608),2)*VLOOKUP(9^99,FILTER({ROW(O$2:O1607),O$2:O1607},D$2:D1607=D1608),2)-N160"&amp;"8)/O1608),J1608))"),"")</f>
        <v/>
      </c>
      <c r="Q1608" s="264" t="str">
        <f>IFERROR(__xludf.DUMMYFUNCTION("IFERROR(IF(F1608=""Crypto"",B1608,(IF(ISBLANK(D1608),"""",IF(D1608=""Cash"",B1608,IF(GOOGLEFINANCE(D1608,""CURRENCY"")=""GBX"",""GBP"",GOOGLEFINANCE(D1608,""CURRENCY"")))))),B1608)"),"")</f>
        <v/>
      </c>
      <c r="R1608" s="263" t="str">
        <f>IFERROR(__xludf.DUMMYFUNCTION("IF(ISBLANK(A1608),"""",IFERROR(IF(OR(Q1608=""GPB"",Q1608=""ZAR""),IF(Q1608=Dashboard!$L$1,K1608,(K1608*GOOGLEFINANCE(""CURRENCY:""&amp;Q1608&amp;""""&amp;Dashboard!$L$1&amp;""""))/100),IF(Q1608=Dashboard!$L$1,K1608,K1608*GOOGLEFINANCE(""CURRENCY:""&amp;Q1608&amp;""""&amp;Dashboard!$"&amp;"L$1&amp;""""))),K1608))"),"")</f>
        <v/>
      </c>
      <c r="S1608" s="266" t="str">
        <f>IFERROR(__xludf.DUMMYFUNCTION("IF(ISBLANK(A1608),"""",IFERROR(IF(OR(Q1608=""GPB"",Q1608=""ZAR""),IF(Q1608=Dashboard!$L$1,M1608,(M1608*GOOGLEFINANCE(""CURRENCY:""&amp;Q1608&amp;""""&amp;Dashboard!$L$1&amp;""""))/100),IF(Q1608=Dashboard!$L$1,M1608,M1608*GOOGLEFINANCE(""CURRENCY:""&amp;Q1608&amp;""""&amp;Dashboard!$"&amp;"L$1&amp;""""))),M1608))"),"")</f>
        <v/>
      </c>
      <c r="T1608" s="264" t="str">
        <f t="shared" si="4"/>
        <v/>
      </c>
      <c r="U1608" s="264" t="str">
        <f t="shared" si="5"/>
        <v/>
      </c>
      <c r="V1608" s="264" t="str">
        <f t="shared" si="6"/>
        <v/>
      </c>
      <c r="W1608" s="267" t="str">
        <f t="shared" si="8"/>
        <v/>
      </c>
      <c r="X1608" s="264" t="str">
        <f t="shared" si="7"/>
        <v/>
      </c>
    </row>
    <row r="1609" ht="15.75" customHeight="1">
      <c r="A1609" s="258"/>
      <c r="B1609" s="258"/>
      <c r="C1609" s="269"/>
      <c r="D1609" s="258"/>
      <c r="E1609" s="258"/>
      <c r="F1609" s="258"/>
      <c r="G1609" s="258"/>
      <c r="H1609" s="271"/>
      <c r="I1609" s="258"/>
      <c r="J1609" s="272"/>
      <c r="K1609" s="260"/>
      <c r="L1609" s="261"/>
      <c r="M1609" s="262" t="str">
        <f t="shared" si="1"/>
        <v/>
      </c>
      <c r="N1609" s="263" t="str">
        <f t="shared" si="2"/>
        <v/>
      </c>
      <c r="O1609" s="264" t="str">
        <f t="shared" si="3"/>
        <v/>
      </c>
      <c r="P1609" s="265" t="str">
        <f>IFERROR(__xludf.DUMMYFUNCTION("IF(ISBLANK(A1609),"""",IFERROR(IF(H1609=""Sell"",VLOOKUP(9^99,FILTER({ROW(P$2:P1608),P$2:P1608},D$2:D1608=D1609),2),(VLOOKUP(9^99,FILTER({ROW(P$2:P1608),P$2:P1608},D$2:D1608=D1609),2)*VLOOKUP(9^99,FILTER({ROW(O$2:O1608),O$2:O1608},D$2:D1608=D1609),2)-N160"&amp;"9)/O1609),J1609))"),"")</f>
        <v/>
      </c>
      <c r="Q1609" s="264" t="str">
        <f>IFERROR(__xludf.DUMMYFUNCTION("IFERROR(IF(F1609=""Crypto"",B1609,(IF(ISBLANK(D1609),"""",IF(D1609=""Cash"",B1609,IF(GOOGLEFINANCE(D1609,""CURRENCY"")=""GBX"",""GBP"",GOOGLEFINANCE(D1609,""CURRENCY"")))))),B1609)"),"")</f>
        <v/>
      </c>
      <c r="R1609" s="263" t="str">
        <f>IFERROR(__xludf.DUMMYFUNCTION("IF(ISBLANK(A1609),"""",IFERROR(IF(OR(Q1609=""GPB"",Q1609=""ZAR""),IF(Q1609=Dashboard!$L$1,K1609,(K1609*GOOGLEFINANCE(""CURRENCY:""&amp;Q1609&amp;""""&amp;Dashboard!$L$1&amp;""""))/100),IF(Q1609=Dashboard!$L$1,K1609,K1609*GOOGLEFINANCE(""CURRENCY:""&amp;Q1609&amp;""""&amp;Dashboard!$"&amp;"L$1&amp;""""))),K1609))"),"")</f>
        <v/>
      </c>
      <c r="S1609" s="266" t="str">
        <f>IFERROR(__xludf.DUMMYFUNCTION("IF(ISBLANK(A1609),"""",IFERROR(IF(OR(Q1609=""GPB"",Q1609=""ZAR""),IF(Q1609=Dashboard!$L$1,M1609,(M1609*GOOGLEFINANCE(""CURRENCY:""&amp;Q1609&amp;""""&amp;Dashboard!$L$1&amp;""""))/100),IF(Q1609=Dashboard!$L$1,M1609,M1609*GOOGLEFINANCE(""CURRENCY:""&amp;Q1609&amp;""""&amp;Dashboard!$"&amp;"L$1&amp;""""))),M1609))"),"")</f>
        <v/>
      </c>
      <c r="T1609" s="264" t="str">
        <f t="shared" si="4"/>
        <v/>
      </c>
      <c r="U1609" s="264" t="str">
        <f t="shared" si="5"/>
        <v/>
      </c>
      <c r="V1609" s="264" t="str">
        <f t="shared" si="6"/>
        <v/>
      </c>
      <c r="W1609" s="267" t="str">
        <f t="shared" si="8"/>
        <v/>
      </c>
      <c r="X1609" s="264" t="str">
        <f t="shared" si="7"/>
        <v/>
      </c>
    </row>
    <row r="1610" ht="15.75" customHeight="1">
      <c r="A1610" s="258"/>
      <c r="B1610" s="258"/>
      <c r="C1610" s="269"/>
      <c r="D1610" s="258"/>
      <c r="E1610" s="258"/>
      <c r="F1610" s="258"/>
      <c r="G1610" s="258"/>
      <c r="H1610" s="271"/>
      <c r="I1610" s="258"/>
      <c r="J1610" s="272"/>
      <c r="K1610" s="260"/>
      <c r="L1610" s="261"/>
      <c r="M1610" s="262" t="str">
        <f t="shared" si="1"/>
        <v/>
      </c>
      <c r="N1610" s="263" t="str">
        <f t="shared" si="2"/>
        <v/>
      </c>
      <c r="O1610" s="264" t="str">
        <f t="shared" si="3"/>
        <v/>
      </c>
      <c r="P1610" s="265" t="str">
        <f>IFERROR(__xludf.DUMMYFUNCTION("IF(ISBLANK(A1610),"""",IFERROR(IF(H1610=""Sell"",VLOOKUP(9^99,FILTER({ROW(P$2:P1609),P$2:P1609},D$2:D1609=D1610),2),(VLOOKUP(9^99,FILTER({ROW(P$2:P1609),P$2:P1609},D$2:D1609=D1610),2)*VLOOKUP(9^99,FILTER({ROW(O$2:O1609),O$2:O1609},D$2:D1609=D1610),2)-N161"&amp;"0)/O1610),J1610))"),"")</f>
        <v/>
      </c>
      <c r="Q1610" s="264" t="str">
        <f>IFERROR(__xludf.DUMMYFUNCTION("IFERROR(IF(F1610=""Crypto"",B1610,(IF(ISBLANK(D1610),"""",IF(D1610=""Cash"",B1610,IF(GOOGLEFINANCE(D1610,""CURRENCY"")=""GBX"",""GBP"",GOOGLEFINANCE(D1610,""CURRENCY"")))))),B1610)"),"")</f>
        <v/>
      </c>
      <c r="R1610" s="263" t="str">
        <f>IFERROR(__xludf.DUMMYFUNCTION("IF(ISBLANK(A1610),"""",IFERROR(IF(OR(Q1610=""GPB"",Q1610=""ZAR""),IF(Q1610=Dashboard!$L$1,K1610,(K1610*GOOGLEFINANCE(""CURRENCY:""&amp;Q1610&amp;""""&amp;Dashboard!$L$1&amp;""""))/100),IF(Q1610=Dashboard!$L$1,K1610,K1610*GOOGLEFINANCE(""CURRENCY:""&amp;Q1610&amp;""""&amp;Dashboard!$"&amp;"L$1&amp;""""))),K1610))"),"")</f>
        <v/>
      </c>
      <c r="S1610" s="266" t="str">
        <f>IFERROR(__xludf.DUMMYFUNCTION("IF(ISBLANK(A1610),"""",IFERROR(IF(OR(Q1610=""GPB"",Q1610=""ZAR""),IF(Q1610=Dashboard!$L$1,M1610,(M1610*GOOGLEFINANCE(""CURRENCY:""&amp;Q1610&amp;""""&amp;Dashboard!$L$1&amp;""""))/100),IF(Q1610=Dashboard!$L$1,M1610,M1610*GOOGLEFINANCE(""CURRENCY:""&amp;Q1610&amp;""""&amp;Dashboard!$"&amp;"L$1&amp;""""))),M1610))"),"")</f>
        <v/>
      </c>
      <c r="T1610" s="264" t="str">
        <f t="shared" si="4"/>
        <v/>
      </c>
      <c r="U1610" s="264" t="str">
        <f t="shared" si="5"/>
        <v/>
      </c>
      <c r="V1610" s="264" t="str">
        <f t="shared" si="6"/>
        <v/>
      </c>
      <c r="W1610" s="267" t="str">
        <f t="shared" si="8"/>
        <v/>
      </c>
      <c r="X1610" s="264" t="str">
        <f t="shared" si="7"/>
        <v/>
      </c>
    </row>
    <row r="1611" ht="15.75" customHeight="1">
      <c r="A1611" s="258"/>
      <c r="B1611" s="258"/>
      <c r="C1611" s="269"/>
      <c r="D1611" s="258"/>
      <c r="E1611" s="258"/>
      <c r="F1611" s="258"/>
      <c r="G1611" s="258"/>
      <c r="H1611" s="271"/>
      <c r="I1611" s="258"/>
      <c r="J1611" s="272"/>
      <c r="K1611" s="260"/>
      <c r="L1611" s="261"/>
      <c r="M1611" s="262" t="str">
        <f t="shared" si="1"/>
        <v/>
      </c>
      <c r="N1611" s="263" t="str">
        <f t="shared" si="2"/>
        <v/>
      </c>
      <c r="O1611" s="264" t="str">
        <f t="shared" si="3"/>
        <v/>
      </c>
      <c r="P1611" s="265" t="str">
        <f>IFERROR(__xludf.DUMMYFUNCTION("IF(ISBLANK(A1611),"""",IFERROR(IF(H1611=""Sell"",VLOOKUP(9^99,FILTER({ROW(P$2:P1610),P$2:P1610},D$2:D1610=D1611),2),(VLOOKUP(9^99,FILTER({ROW(P$2:P1610),P$2:P1610},D$2:D1610=D1611),2)*VLOOKUP(9^99,FILTER({ROW(O$2:O1610),O$2:O1610},D$2:D1610=D1611),2)-N161"&amp;"1)/O1611),J1611))"),"")</f>
        <v/>
      </c>
      <c r="Q1611" s="264" t="str">
        <f>IFERROR(__xludf.DUMMYFUNCTION("IFERROR(IF(F1611=""Crypto"",B1611,(IF(ISBLANK(D1611),"""",IF(D1611=""Cash"",B1611,IF(GOOGLEFINANCE(D1611,""CURRENCY"")=""GBX"",""GBP"",GOOGLEFINANCE(D1611,""CURRENCY"")))))),B1611)"),"")</f>
        <v/>
      </c>
      <c r="R1611" s="263" t="str">
        <f>IFERROR(__xludf.DUMMYFUNCTION("IF(ISBLANK(A1611),"""",IFERROR(IF(OR(Q1611=""GPB"",Q1611=""ZAR""),IF(Q1611=Dashboard!$L$1,K1611,(K1611*GOOGLEFINANCE(""CURRENCY:""&amp;Q1611&amp;""""&amp;Dashboard!$L$1&amp;""""))/100),IF(Q1611=Dashboard!$L$1,K1611,K1611*GOOGLEFINANCE(""CURRENCY:""&amp;Q1611&amp;""""&amp;Dashboard!$"&amp;"L$1&amp;""""))),K1611))"),"")</f>
        <v/>
      </c>
      <c r="S1611" s="266" t="str">
        <f>IFERROR(__xludf.DUMMYFUNCTION("IF(ISBLANK(A1611),"""",IFERROR(IF(OR(Q1611=""GPB"",Q1611=""ZAR""),IF(Q1611=Dashboard!$L$1,M1611,(M1611*GOOGLEFINANCE(""CURRENCY:""&amp;Q1611&amp;""""&amp;Dashboard!$L$1&amp;""""))/100),IF(Q1611=Dashboard!$L$1,M1611,M1611*GOOGLEFINANCE(""CURRENCY:""&amp;Q1611&amp;""""&amp;Dashboard!$"&amp;"L$1&amp;""""))),M1611))"),"")</f>
        <v/>
      </c>
      <c r="T1611" s="264" t="str">
        <f t="shared" si="4"/>
        <v/>
      </c>
      <c r="U1611" s="264" t="str">
        <f t="shared" si="5"/>
        <v/>
      </c>
      <c r="V1611" s="264" t="str">
        <f t="shared" si="6"/>
        <v/>
      </c>
      <c r="W1611" s="267" t="str">
        <f t="shared" si="8"/>
        <v/>
      </c>
      <c r="X1611" s="264" t="str">
        <f t="shared" si="7"/>
        <v/>
      </c>
    </row>
    <row r="1612" ht="15.75" customHeight="1">
      <c r="A1612" s="258"/>
      <c r="B1612" s="258"/>
      <c r="C1612" s="269"/>
      <c r="D1612" s="258"/>
      <c r="E1612" s="258"/>
      <c r="F1612" s="258"/>
      <c r="G1612" s="258"/>
      <c r="H1612" s="271"/>
      <c r="I1612" s="258"/>
      <c r="J1612" s="272"/>
      <c r="K1612" s="260"/>
      <c r="L1612" s="261"/>
      <c r="M1612" s="262" t="str">
        <f t="shared" si="1"/>
        <v/>
      </c>
      <c r="N1612" s="263" t="str">
        <f t="shared" si="2"/>
        <v/>
      </c>
      <c r="O1612" s="264" t="str">
        <f t="shared" si="3"/>
        <v/>
      </c>
      <c r="P1612" s="265" t="str">
        <f>IFERROR(__xludf.DUMMYFUNCTION("IF(ISBLANK(A1612),"""",IFERROR(IF(H1612=""Sell"",VLOOKUP(9^99,FILTER({ROW(P$2:P1611),P$2:P1611},D$2:D1611=D1612),2),(VLOOKUP(9^99,FILTER({ROW(P$2:P1611),P$2:P1611},D$2:D1611=D1612),2)*VLOOKUP(9^99,FILTER({ROW(O$2:O1611),O$2:O1611},D$2:D1611=D1612),2)-N161"&amp;"2)/O1612),J1612))"),"")</f>
        <v/>
      </c>
      <c r="Q1612" s="264" t="str">
        <f>IFERROR(__xludf.DUMMYFUNCTION("IFERROR(IF(F1612=""Crypto"",B1612,(IF(ISBLANK(D1612),"""",IF(D1612=""Cash"",B1612,IF(GOOGLEFINANCE(D1612,""CURRENCY"")=""GBX"",""GBP"",GOOGLEFINANCE(D1612,""CURRENCY"")))))),B1612)"),"")</f>
        <v/>
      </c>
      <c r="R1612" s="263" t="str">
        <f>IFERROR(__xludf.DUMMYFUNCTION("IF(ISBLANK(A1612),"""",IFERROR(IF(OR(Q1612=""GPB"",Q1612=""ZAR""),IF(Q1612=Dashboard!$L$1,K1612,(K1612*GOOGLEFINANCE(""CURRENCY:""&amp;Q1612&amp;""""&amp;Dashboard!$L$1&amp;""""))/100),IF(Q1612=Dashboard!$L$1,K1612,K1612*GOOGLEFINANCE(""CURRENCY:""&amp;Q1612&amp;""""&amp;Dashboard!$"&amp;"L$1&amp;""""))),K1612))"),"")</f>
        <v/>
      </c>
      <c r="S1612" s="266" t="str">
        <f>IFERROR(__xludf.DUMMYFUNCTION("IF(ISBLANK(A1612),"""",IFERROR(IF(OR(Q1612=""GPB"",Q1612=""ZAR""),IF(Q1612=Dashboard!$L$1,M1612,(M1612*GOOGLEFINANCE(""CURRENCY:""&amp;Q1612&amp;""""&amp;Dashboard!$L$1&amp;""""))/100),IF(Q1612=Dashboard!$L$1,M1612,M1612*GOOGLEFINANCE(""CURRENCY:""&amp;Q1612&amp;""""&amp;Dashboard!$"&amp;"L$1&amp;""""))),M1612))"),"")</f>
        <v/>
      </c>
      <c r="T1612" s="264" t="str">
        <f t="shared" si="4"/>
        <v/>
      </c>
      <c r="U1612" s="264" t="str">
        <f t="shared" si="5"/>
        <v/>
      </c>
      <c r="V1612" s="264" t="str">
        <f t="shared" si="6"/>
        <v/>
      </c>
      <c r="W1612" s="267" t="str">
        <f t="shared" si="8"/>
        <v/>
      </c>
      <c r="X1612" s="264" t="str">
        <f t="shared" si="7"/>
        <v/>
      </c>
    </row>
    <row r="1613" ht="15.75" customHeight="1">
      <c r="A1613" s="258"/>
      <c r="B1613" s="258"/>
      <c r="C1613" s="269"/>
      <c r="D1613" s="258"/>
      <c r="E1613" s="258"/>
      <c r="F1613" s="258"/>
      <c r="G1613" s="258"/>
      <c r="H1613" s="271"/>
      <c r="I1613" s="258"/>
      <c r="J1613" s="272"/>
      <c r="K1613" s="260"/>
      <c r="L1613" s="261"/>
      <c r="M1613" s="262" t="str">
        <f t="shared" si="1"/>
        <v/>
      </c>
      <c r="N1613" s="263" t="str">
        <f t="shared" si="2"/>
        <v/>
      </c>
      <c r="O1613" s="264" t="str">
        <f t="shared" si="3"/>
        <v/>
      </c>
      <c r="P1613" s="265" t="str">
        <f>IFERROR(__xludf.DUMMYFUNCTION("IF(ISBLANK(A1613),"""",IFERROR(IF(H1613=""Sell"",VLOOKUP(9^99,FILTER({ROW(P$2:P1612),P$2:P1612},D$2:D1612=D1613),2),(VLOOKUP(9^99,FILTER({ROW(P$2:P1612),P$2:P1612},D$2:D1612=D1613),2)*VLOOKUP(9^99,FILTER({ROW(O$2:O1612),O$2:O1612},D$2:D1612=D1613),2)-N161"&amp;"3)/O1613),J1613))"),"")</f>
        <v/>
      </c>
      <c r="Q1613" s="264" t="str">
        <f>IFERROR(__xludf.DUMMYFUNCTION("IFERROR(IF(F1613=""Crypto"",B1613,(IF(ISBLANK(D1613),"""",IF(D1613=""Cash"",B1613,IF(GOOGLEFINANCE(D1613,""CURRENCY"")=""GBX"",""GBP"",GOOGLEFINANCE(D1613,""CURRENCY"")))))),B1613)"),"")</f>
        <v/>
      </c>
      <c r="R1613" s="263" t="str">
        <f>IFERROR(__xludf.DUMMYFUNCTION("IF(ISBLANK(A1613),"""",IFERROR(IF(OR(Q1613=""GPB"",Q1613=""ZAR""),IF(Q1613=Dashboard!$L$1,K1613,(K1613*GOOGLEFINANCE(""CURRENCY:""&amp;Q1613&amp;""""&amp;Dashboard!$L$1&amp;""""))/100),IF(Q1613=Dashboard!$L$1,K1613,K1613*GOOGLEFINANCE(""CURRENCY:""&amp;Q1613&amp;""""&amp;Dashboard!$"&amp;"L$1&amp;""""))),K1613))"),"")</f>
        <v/>
      </c>
      <c r="S1613" s="266" t="str">
        <f>IFERROR(__xludf.DUMMYFUNCTION("IF(ISBLANK(A1613),"""",IFERROR(IF(OR(Q1613=""GPB"",Q1613=""ZAR""),IF(Q1613=Dashboard!$L$1,M1613,(M1613*GOOGLEFINANCE(""CURRENCY:""&amp;Q1613&amp;""""&amp;Dashboard!$L$1&amp;""""))/100),IF(Q1613=Dashboard!$L$1,M1613,M1613*GOOGLEFINANCE(""CURRENCY:""&amp;Q1613&amp;""""&amp;Dashboard!$"&amp;"L$1&amp;""""))),M1613))"),"")</f>
        <v/>
      </c>
      <c r="T1613" s="264" t="str">
        <f t="shared" si="4"/>
        <v/>
      </c>
      <c r="U1613" s="264" t="str">
        <f t="shared" si="5"/>
        <v/>
      </c>
      <c r="V1613" s="264" t="str">
        <f t="shared" si="6"/>
        <v/>
      </c>
      <c r="W1613" s="267" t="str">
        <f t="shared" si="8"/>
        <v/>
      </c>
      <c r="X1613" s="264" t="str">
        <f t="shared" si="7"/>
        <v/>
      </c>
    </row>
    <row r="1614" ht="15.75" customHeight="1">
      <c r="A1614" s="258"/>
      <c r="B1614" s="258"/>
      <c r="C1614" s="269"/>
      <c r="D1614" s="258"/>
      <c r="E1614" s="258"/>
      <c r="F1614" s="258"/>
      <c r="G1614" s="258"/>
      <c r="H1614" s="271"/>
      <c r="I1614" s="258"/>
      <c r="J1614" s="272"/>
      <c r="K1614" s="260"/>
      <c r="L1614" s="261"/>
      <c r="M1614" s="262" t="str">
        <f t="shared" si="1"/>
        <v/>
      </c>
      <c r="N1614" s="263" t="str">
        <f t="shared" si="2"/>
        <v/>
      </c>
      <c r="O1614" s="264" t="str">
        <f t="shared" si="3"/>
        <v/>
      </c>
      <c r="P1614" s="265" t="str">
        <f>IFERROR(__xludf.DUMMYFUNCTION("IF(ISBLANK(A1614),"""",IFERROR(IF(H1614=""Sell"",VLOOKUP(9^99,FILTER({ROW(P$2:P1613),P$2:P1613},D$2:D1613=D1614),2),(VLOOKUP(9^99,FILTER({ROW(P$2:P1613),P$2:P1613},D$2:D1613=D1614),2)*VLOOKUP(9^99,FILTER({ROW(O$2:O1613),O$2:O1613},D$2:D1613=D1614),2)-N161"&amp;"4)/O1614),J1614))"),"")</f>
        <v/>
      </c>
      <c r="Q1614" s="264" t="str">
        <f>IFERROR(__xludf.DUMMYFUNCTION("IFERROR(IF(F1614=""Crypto"",B1614,(IF(ISBLANK(D1614),"""",IF(D1614=""Cash"",B1614,IF(GOOGLEFINANCE(D1614,""CURRENCY"")=""GBX"",""GBP"",GOOGLEFINANCE(D1614,""CURRENCY"")))))),B1614)"),"")</f>
        <v/>
      </c>
      <c r="R1614" s="263" t="str">
        <f>IFERROR(__xludf.DUMMYFUNCTION("IF(ISBLANK(A1614),"""",IFERROR(IF(OR(Q1614=""GPB"",Q1614=""ZAR""),IF(Q1614=Dashboard!$L$1,K1614,(K1614*GOOGLEFINANCE(""CURRENCY:""&amp;Q1614&amp;""""&amp;Dashboard!$L$1&amp;""""))/100),IF(Q1614=Dashboard!$L$1,K1614,K1614*GOOGLEFINANCE(""CURRENCY:""&amp;Q1614&amp;""""&amp;Dashboard!$"&amp;"L$1&amp;""""))),K1614))"),"")</f>
        <v/>
      </c>
      <c r="S1614" s="266" t="str">
        <f>IFERROR(__xludf.DUMMYFUNCTION("IF(ISBLANK(A1614),"""",IFERROR(IF(OR(Q1614=""GPB"",Q1614=""ZAR""),IF(Q1614=Dashboard!$L$1,M1614,(M1614*GOOGLEFINANCE(""CURRENCY:""&amp;Q1614&amp;""""&amp;Dashboard!$L$1&amp;""""))/100),IF(Q1614=Dashboard!$L$1,M1614,M1614*GOOGLEFINANCE(""CURRENCY:""&amp;Q1614&amp;""""&amp;Dashboard!$"&amp;"L$1&amp;""""))),M1614))"),"")</f>
        <v/>
      </c>
      <c r="T1614" s="264" t="str">
        <f t="shared" si="4"/>
        <v/>
      </c>
      <c r="U1614" s="264" t="str">
        <f t="shared" si="5"/>
        <v/>
      </c>
      <c r="V1614" s="264" t="str">
        <f t="shared" si="6"/>
        <v/>
      </c>
      <c r="W1614" s="267" t="str">
        <f t="shared" si="8"/>
        <v/>
      </c>
      <c r="X1614" s="264" t="str">
        <f t="shared" si="7"/>
        <v/>
      </c>
    </row>
    <row r="1615" ht="15.75" customHeight="1">
      <c r="A1615" s="258"/>
      <c r="B1615" s="258"/>
      <c r="C1615" s="269"/>
      <c r="D1615" s="258"/>
      <c r="E1615" s="258"/>
      <c r="F1615" s="258"/>
      <c r="G1615" s="258"/>
      <c r="H1615" s="271"/>
      <c r="I1615" s="258"/>
      <c r="J1615" s="272"/>
      <c r="K1615" s="260"/>
      <c r="L1615" s="261"/>
      <c r="M1615" s="262" t="str">
        <f t="shared" si="1"/>
        <v/>
      </c>
      <c r="N1615" s="263" t="str">
        <f t="shared" si="2"/>
        <v/>
      </c>
      <c r="O1615" s="264" t="str">
        <f t="shared" si="3"/>
        <v/>
      </c>
      <c r="P1615" s="265" t="str">
        <f>IFERROR(__xludf.DUMMYFUNCTION("IF(ISBLANK(A1615),"""",IFERROR(IF(H1615=""Sell"",VLOOKUP(9^99,FILTER({ROW(P$2:P1614),P$2:P1614},D$2:D1614=D1615),2),(VLOOKUP(9^99,FILTER({ROW(P$2:P1614),P$2:P1614},D$2:D1614=D1615),2)*VLOOKUP(9^99,FILTER({ROW(O$2:O1614),O$2:O1614},D$2:D1614=D1615),2)-N161"&amp;"5)/O1615),J1615))"),"")</f>
        <v/>
      </c>
      <c r="Q1615" s="264" t="str">
        <f>IFERROR(__xludf.DUMMYFUNCTION("IFERROR(IF(F1615=""Crypto"",B1615,(IF(ISBLANK(D1615),"""",IF(D1615=""Cash"",B1615,IF(GOOGLEFINANCE(D1615,""CURRENCY"")=""GBX"",""GBP"",GOOGLEFINANCE(D1615,""CURRENCY"")))))),B1615)"),"")</f>
        <v/>
      </c>
      <c r="R1615" s="263" t="str">
        <f>IFERROR(__xludf.DUMMYFUNCTION("IF(ISBLANK(A1615),"""",IFERROR(IF(OR(Q1615=""GPB"",Q1615=""ZAR""),IF(Q1615=Dashboard!$L$1,K1615,(K1615*GOOGLEFINANCE(""CURRENCY:""&amp;Q1615&amp;""""&amp;Dashboard!$L$1&amp;""""))/100),IF(Q1615=Dashboard!$L$1,K1615,K1615*GOOGLEFINANCE(""CURRENCY:""&amp;Q1615&amp;""""&amp;Dashboard!$"&amp;"L$1&amp;""""))),K1615))"),"")</f>
        <v/>
      </c>
      <c r="S1615" s="266" t="str">
        <f>IFERROR(__xludf.DUMMYFUNCTION("IF(ISBLANK(A1615),"""",IFERROR(IF(OR(Q1615=""GPB"",Q1615=""ZAR""),IF(Q1615=Dashboard!$L$1,M1615,(M1615*GOOGLEFINANCE(""CURRENCY:""&amp;Q1615&amp;""""&amp;Dashboard!$L$1&amp;""""))/100),IF(Q1615=Dashboard!$L$1,M1615,M1615*GOOGLEFINANCE(""CURRENCY:""&amp;Q1615&amp;""""&amp;Dashboard!$"&amp;"L$1&amp;""""))),M1615))"),"")</f>
        <v/>
      </c>
      <c r="T1615" s="264" t="str">
        <f t="shared" si="4"/>
        <v/>
      </c>
      <c r="U1615" s="264" t="str">
        <f t="shared" si="5"/>
        <v/>
      </c>
      <c r="V1615" s="264" t="str">
        <f t="shared" si="6"/>
        <v/>
      </c>
      <c r="W1615" s="267" t="str">
        <f t="shared" si="8"/>
        <v/>
      </c>
      <c r="X1615" s="264" t="str">
        <f t="shared" si="7"/>
        <v/>
      </c>
    </row>
    <row r="1616" ht="15.75" customHeight="1">
      <c r="A1616" s="258"/>
      <c r="B1616" s="258"/>
      <c r="C1616" s="269"/>
      <c r="D1616" s="258"/>
      <c r="E1616" s="258"/>
      <c r="F1616" s="258"/>
      <c r="G1616" s="258"/>
      <c r="H1616" s="271"/>
      <c r="I1616" s="258"/>
      <c r="J1616" s="272"/>
      <c r="K1616" s="260"/>
      <c r="L1616" s="261"/>
      <c r="M1616" s="262" t="str">
        <f t="shared" si="1"/>
        <v/>
      </c>
      <c r="N1616" s="263" t="str">
        <f t="shared" si="2"/>
        <v/>
      </c>
      <c r="O1616" s="264" t="str">
        <f t="shared" si="3"/>
        <v/>
      </c>
      <c r="P1616" s="265" t="str">
        <f>IFERROR(__xludf.DUMMYFUNCTION("IF(ISBLANK(A1616),"""",IFERROR(IF(H1616=""Sell"",VLOOKUP(9^99,FILTER({ROW(P$2:P1615),P$2:P1615},D$2:D1615=D1616),2),(VLOOKUP(9^99,FILTER({ROW(P$2:P1615),P$2:P1615},D$2:D1615=D1616),2)*VLOOKUP(9^99,FILTER({ROW(O$2:O1615),O$2:O1615},D$2:D1615=D1616),2)-N161"&amp;"6)/O1616),J1616))"),"")</f>
        <v/>
      </c>
      <c r="Q1616" s="264" t="str">
        <f>IFERROR(__xludf.DUMMYFUNCTION("IFERROR(IF(F1616=""Crypto"",B1616,(IF(ISBLANK(D1616),"""",IF(D1616=""Cash"",B1616,IF(GOOGLEFINANCE(D1616,""CURRENCY"")=""GBX"",""GBP"",GOOGLEFINANCE(D1616,""CURRENCY"")))))),B1616)"),"")</f>
        <v/>
      </c>
      <c r="R1616" s="263" t="str">
        <f>IFERROR(__xludf.DUMMYFUNCTION("IF(ISBLANK(A1616),"""",IFERROR(IF(OR(Q1616=""GPB"",Q1616=""ZAR""),IF(Q1616=Dashboard!$L$1,K1616,(K1616*GOOGLEFINANCE(""CURRENCY:""&amp;Q1616&amp;""""&amp;Dashboard!$L$1&amp;""""))/100),IF(Q1616=Dashboard!$L$1,K1616,K1616*GOOGLEFINANCE(""CURRENCY:""&amp;Q1616&amp;""""&amp;Dashboard!$"&amp;"L$1&amp;""""))),K1616))"),"")</f>
        <v/>
      </c>
      <c r="S1616" s="266" t="str">
        <f>IFERROR(__xludf.DUMMYFUNCTION("IF(ISBLANK(A1616),"""",IFERROR(IF(OR(Q1616=""GPB"",Q1616=""ZAR""),IF(Q1616=Dashboard!$L$1,M1616,(M1616*GOOGLEFINANCE(""CURRENCY:""&amp;Q1616&amp;""""&amp;Dashboard!$L$1&amp;""""))/100),IF(Q1616=Dashboard!$L$1,M1616,M1616*GOOGLEFINANCE(""CURRENCY:""&amp;Q1616&amp;""""&amp;Dashboard!$"&amp;"L$1&amp;""""))),M1616))"),"")</f>
        <v/>
      </c>
      <c r="T1616" s="264" t="str">
        <f t="shared" si="4"/>
        <v/>
      </c>
      <c r="U1616" s="264" t="str">
        <f t="shared" si="5"/>
        <v/>
      </c>
      <c r="V1616" s="264" t="str">
        <f t="shared" si="6"/>
        <v/>
      </c>
      <c r="W1616" s="267" t="str">
        <f t="shared" si="8"/>
        <v/>
      </c>
      <c r="X1616" s="264" t="str">
        <f t="shared" si="7"/>
        <v/>
      </c>
    </row>
    <row r="1617" ht="15.75" customHeight="1">
      <c r="A1617" s="258"/>
      <c r="B1617" s="258"/>
      <c r="C1617" s="269"/>
      <c r="D1617" s="258"/>
      <c r="E1617" s="258"/>
      <c r="F1617" s="258"/>
      <c r="G1617" s="258"/>
      <c r="H1617" s="271"/>
      <c r="I1617" s="258"/>
      <c r="J1617" s="272"/>
      <c r="K1617" s="260"/>
      <c r="L1617" s="261"/>
      <c r="M1617" s="262" t="str">
        <f t="shared" si="1"/>
        <v/>
      </c>
      <c r="N1617" s="263" t="str">
        <f t="shared" si="2"/>
        <v/>
      </c>
      <c r="O1617" s="264" t="str">
        <f t="shared" si="3"/>
        <v/>
      </c>
      <c r="P1617" s="265" t="str">
        <f>IFERROR(__xludf.DUMMYFUNCTION("IF(ISBLANK(A1617),"""",IFERROR(IF(H1617=""Sell"",VLOOKUP(9^99,FILTER({ROW(P$2:P1616),P$2:P1616},D$2:D1616=D1617),2),(VLOOKUP(9^99,FILTER({ROW(P$2:P1616),P$2:P1616},D$2:D1616=D1617),2)*VLOOKUP(9^99,FILTER({ROW(O$2:O1616),O$2:O1616},D$2:D1616=D1617),2)-N161"&amp;"7)/O1617),J1617))"),"")</f>
        <v/>
      </c>
      <c r="Q1617" s="264" t="str">
        <f>IFERROR(__xludf.DUMMYFUNCTION("IFERROR(IF(F1617=""Crypto"",B1617,(IF(ISBLANK(D1617),"""",IF(D1617=""Cash"",B1617,IF(GOOGLEFINANCE(D1617,""CURRENCY"")=""GBX"",""GBP"",GOOGLEFINANCE(D1617,""CURRENCY"")))))),B1617)"),"")</f>
        <v/>
      </c>
      <c r="R1617" s="263" t="str">
        <f>IFERROR(__xludf.DUMMYFUNCTION("IF(ISBLANK(A1617),"""",IFERROR(IF(OR(Q1617=""GPB"",Q1617=""ZAR""),IF(Q1617=Dashboard!$L$1,K1617,(K1617*GOOGLEFINANCE(""CURRENCY:""&amp;Q1617&amp;""""&amp;Dashboard!$L$1&amp;""""))/100),IF(Q1617=Dashboard!$L$1,K1617,K1617*GOOGLEFINANCE(""CURRENCY:""&amp;Q1617&amp;""""&amp;Dashboard!$"&amp;"L$1&amp;""""))),K1617))"),"")</f>
        <v/>
      </c>
      <c r="S1617" s="266" t="str">
        <f>IFERROR(__xludf.DUMMYFUNCTION("IF(ISBLANK(A1617),"""",IFERROR(IF(OR(Q1617=""GPB"",Q1617=""ZAR""),IF(Q1617=Dashboard!$L$1,M1617,(M1617*GOOGLEFINANCE(""CURRENCY:""&amp;Q1617&amp;""""&amp;Dashboard!$L$1&amp;""""))/100),IF(Q1617=Dashboard!$L$1,M1617,M1617*GOOGLEFINANCE(""CURRENCY:""&amp;Q1617&amp;""""&amp;Dashboard!$"&amp;"L$1&amp;""""))),M1617))"),"")</f>
        <v/>
      </c>
      <c r="T1617" s="264" t="str">
        <f t="shared" si="4"/>
        <v/>
      </c>
      <c r="U1617" s="264" t="str">
        <f t="shared" si="5"/>
        <v/>
      </c>
      <c r="V1617" s="264" t="str">
        <f t="shared" si="6"/>
        <v/>
      </c>
      <c r="W1617" s="267" t="str">
        <f t="shared" si="8"/>
        <v/>
      </c>
      <c r="X1617" s="264" t="str">
        <f t="shared" si="7"/>
        <v/>
      </c>
    </row>
    <row r="1618" ht="15.75" customHeight="1">
      <c r="A1618" s="258"/>
      <c r="B1618" s="258"/>
      <c r="C1618" s="269"/>
      <c r="D1618" s="258"/>
      <c r="E1618" s="258"/>
      <c r="F1618" s="258"/>
      <c r="G1618" s="258"/>
      <c r="H1618" s="271"/>
      <c r="I1618" s="258"/>
      <c r="J1618" s="272"/>
      <c r="K1618" s="260"/>
      <c r="L1618" s="261"/>
      <c r="M1618" s="262" t="str">
        <f t="shared" si="1"/>
        <v/>
      </c>
      <c r="N1618" s="263" t="str">
        <f t="shared" si="2"/>
        <v/>
      </c>
      <c r="O1618" s="264" t="str">
        <f t="shared" si="3"/>
        <v/>
      </c>
      <c r="P1618" s="265" t="str">
        <f>IFERROR(__xludf.DUMMYFUNCTION("IF(ISBLANK(A1618),"""",IFERROR(IF(H1618=""Sell"",VLOOKUP(9^99,FILTER({ROW(P$2:P1617),P$2:P1617},D$2:D1617=D1618),2),(VLOOKUP(9^99,FILTER({ROW(P$2:P1617),P$2:P1617},D$2:D1617=D1618),2)*VLOOKUP(9^99,FILTER({ROW(O$2:O1617),O$2:O1617},D$2:D1617=D1618),2)-N161"&amp;"8)/O1618),J1618))"),"")</f>
        <v/>
      </c>
      <c r="Q1618" s="264" t="str">
        <f>IFERROR(__xludf.DUMMYFUNCTION("IFERROR(IF(F1618=""Crypto"",B1618,(IF(ISBLANK(D1618),"""",IF(D1618=""Cash"",B1618,IF(GOOGLEFINANCE(D1618,""CURRENCY"")=""GBX"",""GBP"",GOOGLEFINANCE(D1618,""CURRENCY"")))))),B1618)"),"")</f>
        <v/>
      </c>
      <c r="R1618" s="263" t="str">
        <f>IFERROR(__xludf.DUMMYFUNCTION("IF(ISBLANK(A1618),"""",IFERROR(IF(OR(Q1618=""GPB"",Q1618=""ZAR""),IF(Q1618=Dashboard!$L$1,K1618,(K1618*GOOGLEFINANCE(""CURRENCY:""&amp;Q1618&amp;""""&amp;Dashboard!$L$1&amp;""""))/100),IF(Q1618=Dashboard!$L$1,K1618,K1618*GOOGLEFINANCE(""CURRENCY:""&amp;Q1618&amp;""""&amp;Dashboard!$"&amp;"L$1&amp;""""))),K1618))"),"")</f>
        <v/>
      </c>
      <c r="S1618" s="266" t="str">
        <f>IFERROR(__xludf.DUMMYFUNCTION("IF(ISBLANK(A1618),"""",IFERROR(IF(OR(Q1618=""GPB"",Q1618=""ZAR""),IF(Q1618=Dashboard!$L$1,M1618,(M1618*GOOGLEFINANCE(""CURRENCY:""&amp;Q1618&amp;""""&amp;Dashboard!$L$1&amp;""""))/100),IF(Q1618=Dashboard!$L$1,M1618,M1618*GOOGLEFINANCE(""CURRENCY:""&amp;Q1618&amp;""""&amp;Dashboard!$"&amp;"L$1&amp;""""))),M1618))"),"")</f>
        <v/>
      </c>
      <c r="T1618" s="264" t="str">
        <f t="shared" si="4"/>
        <v/>
      </c>
      <c r="U1618" s="264" t="str">
        <f t="shared" si="5"/>
        <v/>
      </c>
      <c r="V1618" s="264" t="str">
        <f t="shared" si="6"/>
        <v/>
      </c>
      <c r="W1618" s="267" t="str">
        <f t="shared" si="8"/>
        <v/>
      </c>
      <c r="X1618" s="264" t="str">
        <f t="shared" si="7"/>
        <v/>
      </c>
    </row>
    <row r="1619" ht="15.75" customHeight="1">
      <c r="A1619" s="258"/>
      <c r="B1619" s="258"/>
      <c r="C1619" s="269"/>
      <c r="D1619" s="258"/>
      <c r="E1619" s="258"/>
      <c r="F1619" s="258"/>
      <c r="G1619" s="258"/>
      <c r="H1619" s="271"/>
      <c r="I1619" s="258"/>
      <c r="J1619" s="272"/>
      <c r="K1619" s="260"/>
      <c r="L1619" s="261"/>
      <c r="M1619" s="262" t="str">
        <f t="shared" si="1"/>
        <v/>
      </c>
      <c r="N1619" s="263" t="str">
        <f t="shared" si="2"/>
        <v/>
      </c>
      <c r="O1619" s="264" t="str">
        <f t="shared" si="3"/>
        <v/>
      </c>
      <c r="P1619" s="265" t="str">
        <f>IFERROR(__xludf.DUMMYFUNCTION("IF(ISBLANK(A1619),"""",IFERROR(IF(H1619=""Sell"",VLOOKUP(9^99,FILTER({ROW(P$2:P1618),P$2:P1618},D$2:D1618=D1619),2),(VLOOKUP(9^99,FILTER({ROW(P$2:P1618),P$2:P1618},D$2:D1618=D1619),2)*VLOOKUP(9^99,FILTER({ROW(O$2:O1618),O$2:O1618},D$2:D1618=D1619),2)-N161"&amp;"9)/O1619),J1619))"),"")</f>
        <v/>
      </c>
      <c r="Q1619" s="264" t="str">
        <f>IFERROR(__xludf.DUMMYFUNCTION("IFERROR(IF(F1619=""Crypto"",B1619,(IF(ISBLANK(D1619),"""",IF(D1619=""Cash"",B1619,IF(GOOGLEFINANCE(D1619,""CURRENCY"")=""GBX"",""GBP"",GOOGLEFINANCE(D1619,""CURRENCY"")))))),B1619)"),"")</f>
        <v/>
      </c>
      <c r="R1619" s="263" t="str">
        <f>IFERROR(__xludf.DUMMYFUNCTION("IF(ISBLANK(A1619),"""",IFERROR(IF(OR(Q1619=""GPB"",Q1619=""ZAR""),IF(Q1619=Dashboard!$L$1,K1619,(K1619*GOOGLEFINANCE(""CURRENCY:""&amp;Q1619&amp;""""&amp;Dashboard!$L$1&amp;""""))/100),IF(Q1619=Dashboard!$L$1,K1619,K1619*GOOGLEFINANCE(""CURRENCY:""&amp;Q1619&amp;""""&amp;Dashboard!$"&amp;"L$1&amp;""""))),K1619))"),"")</f>
        <v/>
      </c>
      <c r="S1619" s="266" t="str">
        <f>IFERROR(__xludf.DUMMYFUNCTION("IF(ISBLANK(A1619),"""",IFERROR(IF(OR(Q1619=""GPB"",Q1619=""ZAR""),IF(Q1619=Dashboard!$L$1,M1619,(M1619*GOOGLEFINANCE(""CURRENCY:""&amp;Q1619&amp;""""&amp;Dashboard!$L$1&amp;""""))/100),IF(Q1619=Dashboard!$L$1,M1619,M1619*GOOGLEFINANCE(""CURRENCY:""&amp;Q1619&amp;""""&amp;Dashboard!$"&amp;"L$1&amp;""""))),M1619))"),"")</f>
        <v/>
      </c>
      <c r="T1619" s="264" t="str">
        <f t="shared" si="4"/>
        <v/>
      </c>
      <c r="U1619" s="264" t="str">
        <f t="shared" si="5"/>
        <v/>
      </c>
      <c r="V1619" s="264" t="str">
        <f t="shared" si="6"/>
        <v/>
      </c>
      <c r="W1619" s="267" t="str">
        <f t="shared" si="8"/>
        <v/>
      </c>
      <c r="X1619" s="264" t="str">
        <f t="shared" si="7"/>
        <v/>
      </c>
    </row>
    <row r="1620" ht="15.75" customHeight="1">
      <c r="A1620" s="258"/>
      <c r="B1620" s="258"/>
      <c r="C1620" s="269"/>
      <c r="D1620" s="258"/>
      <c r="E1620" s="258"/>
      <c r="F1620" s="258"/>
      <c r="G1620" s="258"/>
      <c r="H1620" s="271"/>
      <c r="I1620" s="258"/>
      <c r="J1620" s="272"/>
      <c r="K1620" s="260"/>
      <c r="L1620" s="261"/>
      <c r="M1620" s="262" t="str">
        <f t="shared" si="1"/>
        <v/>
      </c>
      <c r="N1620" s="263" t="str">
        <f t="shared" si="2"/>
        <v/>
      </c>
      <c r="O1620" s="264" t="str">
        <f t="shared" si="3"/>
        <v/>
      </c>
      <c r="P1620" s="265" t="str">
        <f>IFERROR(__xludf.DUMMYFUNCTION("IF(ISBLANK(A1620),"""",IFERROR(IF(H1620=""Sell"",VLOOKUP(9^99,FILTER({ROW(P$2:P1619),P$2:P1619},D$2:D1619=D1620),2),(VLOOKUP(9^99,FILTER({ROW(P$2:P1619),P$2:P1619},D$2:D1619=D1620),2)*VLOOKUP(9^99,FILTER({ROW(O$2:O1619),O$2:O1619},D$2:D1619=D1620),2)-N162"&amp;"0)/O1620),J1620))"),"")</f>
        <v/>
      </c>
      <c r="Q1620" s="264" t="str">
        <f>IFERROR(__xludf.DUMMYFUNCTION("IFERROR(IF(F1620=""Crypto"",B1620,(IF(ISBLANK(D1620),"""",IF(D1620=""Cash"",B1620,IF(GOOGLEFINANCE(D1620,""CURRENCY"")=""GBX"",""GBP"",GOOGLEFINANCE(D1620,""CURRENCY"")))))),B1620)"),"")</f>
        <v/>
      </c>
      <c r="R1620" s="263" t="str">
        <f>IFERROR(__xludf.DUMMYFUNCTION("IF(ISBLANK(A1620),"""",IFERROR(IF(OR(Q1620=""GPB"",Q1620=""ZAR""),IF(Q1620=Dashboard!$L$1,K1620,(K1620*GOOGLEFINANCE(""CURRENCY:""&amp;Q1620&amp;""""&amp;Dashboard!$L$1&amp;""""))/100),IF(Q1620=Dashboard!$L$1,K1620,K1620*GOOGLEFINANCE(""CURRENCY:""&amp;Q1620&amp;""""&amp;Dashboard!$"&amp;"L$1&amp;""""))),K1620))"),"")</f>
        <v/>
      </c>
      <c r="S1620" s="266" t="str">
        <f>IFERROR(__xludf.DUMMYFUNCTION("IF(ISBLANK(A1620),"""",IFERROR(IF(OR(Q1620=""GPB"",Q1620=""ZAR""),IF(Q1620=Dashboard!$L$1,M1620,(M1620*GOOGLEFINANCE(""CURRENCY:""&amp;Q1620&amp;""""&amp;Dashboard!$L$1&amp;""""))/100),IF(Q1620=Dashboard!$L$1,M1620,M1620*GOOGLEFINANCE(""CURRENCY:""&amp;Q1620&amp;""""&amp;Dashboard!$"&amp;"L$1&amp;""""))),M1620))"),"")</f>
        <v/>
      </c>
      <c r="T1620" s="264" t="str">
        <f t="shared" si="4"/>
        <v/>
      </c>
      <c r="U1620" s="264" t="str">
        <f t="shared" si="5"/>
        <v/>
      </c>
      <c r="V1620" s="264" t="str">
        <f t="shared" si="6"/>
        <v/>
      </c>
      <c r="W1620" s="267" t="str">
        <f t="shared" si="8"/>
        <v/>
      </c>
      <c r="X1620" s="264" t="str">
        <f t="shared" si="7"/>
        <v/>
      </c>
    </row>
    <row r="1621" ht="15.75" customHeight="1">
      <c r="A1621" s="258"/>
      <c r="B1621" s="258"/>
      <c r="C1621" s="269"/>
      <c r="D1621" s="258"/>
      <c r="E1621" s="258"/>
      <c r="F1621" s="258"/>
      <c r="G1621" s="258"/>
      <c r="H1621" s="271"/>
      <c r="I1621" s="258"/>
      <c r="J1621" s="272"/>
      <c r="K1621" s="260"/>
      <c r="L1621" s="261"/>
      <c r="M1621" s="262" t="str">
        <f t="shared" si="1"/>
        <v/>
      </c>
      <c r="N1621" s="263" t="str">
        <f t="shared" si="2"/>
        <v/>
      </c>
      <c r="O1621" s="264" t="str">
        <f t="shared" si="3"/>
        <v/>
      </c>
      <c r="P1621" s="265" t="str">
        <f>IFERROR(__xludf.DUMMYFUNCTION("IF(ISBLANK(A1621),"""",IFERROR(IF(H1621=""Sell"",VLOOKUP(9^99,FILTER({ROW(P$2:P1620),P$2:P1620},D$2:D1620=D1621),2),(VLOOKUP(9^99,FILTER({ROW(P$2:P1620),P$2:P1620},D$2:D1620=D1621),2)*VLOOKUP(9^99,FILTER({ROW(O$2:O1620),O$2:O1620},D$2:D1620=D1621),2)-N162"&amp;"1)/O1621),J1621))"),"")</f>
        <v/>
      </c>
      <c r="Q1621" s="264" t="str">
        <f>IFERROR(__xludf.DUMMYFUNCTION("IFERROR(IF(F1621=""Crypto"",B1621,(IF(ISBLANK(D1621),"""",IF(D1621=""Cash"",B1621,IF(GOOGLEFINANCE(D1621,""CURRENCY"")=""GBX"",""GBP"",GOOGLEFINANCE(D1621,""CURRENCY"")))))),B1621)"),"")</f>
        <v/>
      </c>
      <c r="R1621" s="263" t="str">
        <f>IFERROR(__xludf.DUMMYFUNCTION("IF(ISBLANK(A1621),"""",IFERROR(IF(OR(Q1621=""GPB"",Q1621=""ZAR""),IF(Q1621=Dashboard!$L$1,K1621,(K1621*GOOGLEFINANCE(""CURRENCY:""&amp;Q1621&amp;""""&amp;Dashboard!$L$1&amp;""""))/100),IF(Q1621=Dashboard!$L$1,K1621,K1621*GOOGLEFINANCE(""CURRENCY:""&amp;Q1621&amp;""""&amp;Dashboard!$"&amp;"L$1&amp;""""))),K1621))"),"")</f>
        <v/>
      </c>
      <c r="S1621" s="266" t="str">
        <f>IFERROR(__xludf.DUMMYFUNCTION("IF(ISBLANK(A1621),"""",IFERROR(IF(OR(Q1621=""GPB"",Q1621=""ZAR""),IF(Q1621=Dashboard!$L$1,M1621,(M1621*GOOGLEFINANCE(""CURRENCY:""&amp;Q1621&amp;""""&amp;Dashboard!$L$1&amp;""""))/100),IF(Q1621=Dashboard!$L$1,M1621,M1621*GOOGLEFINANCE(""CURRENCY:""&amp;Q1621&amp;""""&amp;Dashboard!$"&amp;"L$1&amp;""""))),M1621))"),"")</f>
        <v/>
      </c>
      <c r="T1621" s="264" t="str">
        <f t="shared" si="4"/>
        <v/>
      </c>
      <c r="U1621" s="264" t="str">
        <f t="shared" si="5"/>
        <v/>
      </c>
      <c r="V1621" s="264" t="str">
        <f t="shared" si="6"/>
        <v/>
      </c>
      <c r="W1621" s="267" t="str">
        <f t="shared" si="8"/>
        <v/>
      </c>
      <c r="X1621" s="264" t="str">
        <f t="shared" si="7"/>
        <v/>
      </c>
    </row>
    <row r="1622" ht="15.75" customHeight="1">
      <c r="A1622" s="258"/>
      <c r="B1622" s="258"/>
      <c r="C1622" s="269"/>
      <c r="D1622" s="258"/>
      <c r="E1622" s="258"/>
      <c r="F1622" s="258"/>
      <c r="G1622" s="258"/>
      <c r="H1622" s="271"/>
      <c r="I1622" s="258"/>
      <c r="J1622" s="272"/>
      <c r="K1622" s="260"/>
      <c r="L1622" s="261"/>
      <c r="M1622" s="262" t="str">
        <f t="shared" si="1"/>
        <v/>
      </c>
      <c r="N1622" s="263" t="str">
        <f t="shared" si="2"/>
        <v/>
      </c>
      <c r="O1622" s="264" t="str">
        <f t="shared" si="3"/>
        <v/>
      </c>
      <c r="P1622" s="265" t="str">
        <f>IFERROR(__xludf.DUMMYFUNCTION("IF(ISBLANK(A1622),"""",IFERROR(IF(H1622=""Sell"",VLOOKUP(9^99,FILTER({ROW(P$2:P1621),P$2:P1621},D$2:D1621=D1622),2),(VLOOKUP(9^99,FILTER({ROW(P$2:P1621),P$2:P1621},D$2:D1621=D1622),2)*VLOOKUP(9^99,FILTER({ROW(O$2:O1621),O$2:O1621},D$2:D1621=D1622),2)-N162"&amp;"2)/O1622),J1622))"),"")</f>
        <v/>
      </c>
      <c r="Q1622" s="264" t="str">
        <f>IFERROR(__xludf.DUMMYFUNCTION("IFERROR(IF(F1622=""Crypto"",B1622,(IF(ISBLANK(D1622),"""",IF(D1622=""Cash"",B1622,IF(GOOGLEFINANCE(D1622,""CURRENCY"")=""GBX"",""GBP"",GOOGLEFINANCE(D1622,""CURRENCY"")))))),B1622)"),"")</f>
        <v/>
      </c>
      <c r="R1622" s="263" t="str">
        <f>IFERROR(__xludf.DUMMYFUNCTION("IF(ISBLANK(A1622),"""",IFERROR(IF(OR(Q1622=""GPB"",Q1622=""ZAR""),IF(Q1622=Dashboard!$L$1,K1622,(K1622*GOOGLEFINANCE(""CURRENCY:""&amp;Q1622&amp;""""&amp;Dashboard!$L$1&amp;""""))/100),IF(Q1622=Dashboard!$L$1,K1622,K1622*GOOGLEFINANCE(""CURRENCY:""&amp;Q1622&amp;""""&amp;Dashboard!$"&amp;"L$1&amp;""""))),K1622))"),"")</f>
        <v/>
      </c>
      <c r="S1622" s="266" t="str">
        <f>IFERROR(__xludf.DUMMYFUNCTION("IF(ISBLANK(A1622),"""",IFERROR(IF(OR(Q1622=""GPB"",Q1622=""ZAR""),IF(Q1622=Dashboard!$L$1,M1622,(M1622*GOOGLEFINANCE(""CURRENCY:""&amp;Q1622&amp;""""&amp;Dashboard!$L$1&amp;""""))/100),IF(Q1622=Dashboard!$L$1,M1622,M1622*GOOGLEFINANCE(""CURRENCY:""&amp;Q1622&amp;""""&amp;Dashboard!$"&amp;"L$1&amp;""""))),M1622))"),"")</f>
        <v/>
      </c>
      <c r="T1622" s="264" t="str">
        <f t="shared" si="4"/>
        <v/>
      </c>
      <c r="U1622" s="264" t="str">
        <f t="shared" si="5"/>
        <v/>
      </c>
      <c r="V1622" s="264" t="str">
        <f t="shared" si="6"/>
        <v/>
      </c>
      <c r="W1622" s="267" t="str">
        <f t="shared" si="8"/>
        <v/>
      </c>
      <c r="X1622" s="264" t="str">
        <f t="shared" si="7"/>
        <v/>
      </c>
    </row>
    <row r="1623" ht="15.75" customHeight="1">
      <c r="A1623" s="258"/>
      <c r="B1623" s="258"/>
      <c r="C1623" s="269"/>
      <c r="D1623" s="258"/>
      <c r="E1623" s="258"/>
      <c r="F1623" s="258"/>
      <c r="G1623" s="258"/>
      <c r="H1623" s="271"/>
      <c r="I1623" s="258"/>
      <c r="J1623" s="272"/>
      <c r="K1623" s="260"/>
      <c r="L1623" s="261"/>
      <c r="M1623" s="262" t="str">
        <f t="shared" si="1"/>
        <v/>
      </c>
      <c r="N1623" s="263" t="str">
        <f t="shared" si="2"/>
        <v/>
      </c>
      <c r="O1623" s="264" t="str">
        <f t="shared" si="3"/>
        <v/>
      </c>
      <c r="P1623" s="265" t="str">
        <f>IFERROR(__xludf.DUMMYFUNCTION("IF(ISBLANK(A1623),"""",IFERROR(IF(H1623=""Sell"",VLOOKUP(9^99,FILTER({ROW(P$2:P1622),P$2:P1622},D$2:D1622=D1623),2),(VLOOKUP(9^99,FILTER({ROW(P$2:P1622),P$2:P1622},D$2:D1622=D1623),2)*VLOOKUP(9^99,FILTER({ROW(O$2:O1622),O$2:O1622},D$2:D1622=D1623),2)-N162"&amp;"3)/O1623),J1623))"),"")</f>
        <v/>
      </c>
      <c r="Q1623" s="264" t="str">
        <f>IFERROR(__xludf.DUMMYFUNCTION("IFERROR(IF(F1623=""Crypto"",B1623,(IF(ISBLANK(D1623),"""",IF(D1623=""Cash"",B1623,IF(GOOGLEFINANCE(D1623,""CURRENCY"")=""GBX"",""GBP"",GOOGLEFINANCE(D1623,""CURRENCY"")))))),B1623)"),"")</f>
        <v/>
      </c>
      <c r="R1623" s="263" t="str">
        <f>IFERROR(__xludf.DUMMYFUNCTION("IF(ISBLANK(A1623),"""",IFERROR(IF(OR(Q1623=""GPB"",Q1623=""ZAR""),IF(Q1623=Dashboard!$L$1,K1623,(K1623*GOOGLEFINANCE(""CURRENCY:""&amp;Q1623&amp;""""&amp;Dashboard!$L$1&amp;""""))/100),IF(Q1623=Dashboard!$L$1,K1623,K1623*GOOGLEFINANCE(""CURRENCY:""&amp;Q1623&amp;""""&amp;Dashboard!$"&amp;"L$1&amp;""""))),K1623))"),"")</f>
        <v/>
      </c>
      <c r="S1623" s="266" t="str">
        <f>IFERROR(__xludf.DUMMYFUNCTION("IF(ISBLANK(A1623),"""",IFERROR(IF(OR(Q1623=""GPB"",Q1623=""ZAR""),IF(Q1623=Dashboard!$L$1,M1623,(M1623*GOOGLEFINANCE(""CURRENCY:""&amp;Q1623&amp;""""&amp;Dashboard!$L$1&amp;""""))/100),IF(Q1623=Dashboard!$L$1,M1623,M1623*GOOGLEFINANCE(""CURRENCY:""&amp;Q1623&amp;""""&amp;Dashboard!$"&amp;"L$1&amp;""""))),M1623))"),"")</f>
        <v/>
      </c>
      <c r="T1623" s="264" t="str">
        <f t="shared" si="4"/>
        <v/>
      </c>
      <c r="U1623" s="264" t="str">
        <f t="shared" si="5"/>
        <v/>
      </c>
      <c r="V1623" s="264" t="str">
        <f t="shared" si="6"/>
        <v/>
      </c>
      <c r="W1623" s="267" t="str">
        <f t="shared" si="8"/>
        <v/>
      </c>
      <c r="X1623" s="264" t="str">
        <f t="shared" si="7"/>
        <v/>
      </c>
    </row>
    <row r="1624" ht="15.75" customHeight="1">
      <c r="A1624" s="258"/>
      <c r="B1624" s="258"/>
      <c r="C1624" s="269"/>
      <c r="D1624" s="258"/>
      <c r="E1624" s="258"/>
      <c r="F1624" s="258"/>
      <c r="G1624" s="258"/>
      <c r="H1624" s="271"/>
      <c r="I1624" s="258"/>
      <c r="J1624" s="272"/>
      <c r="K1624" s="260"/>
      <c r="L1624" s="261"/>
      <c r="M1624" s="262" t="str">
        <f t="shared" si="1"/>
        <v/>
      </c>
      <c r="N1624" s="263" t="str">
        <f t="shared" si="2"/>
        <v/>
      </c>
      <c r="O1624" s="264" t="str">
        <f t="shared" si="3"/>
        <v/>
      </c>
      <c r="P1624" s="265" t="str">
        <f>IFERROR(__xludf.DUMMYFUNCTION("IF(ISBLANK(A1624),"""",IFERROR(IF(H1624=""Sell"",VLOOKUP(9^99,FILTER({ROW(P$2:P1623),P$2:P1623},D$2:D1623=D1624),2),(VLOOKUP(9^99,FILTER({ROW(P$2:P1623),P$2:P1623},D$2:D1623=D1624),2)*VLOOKUP(9^99,FILTER({ROW(O$2:O1623),O$2:O1623},D$2:D1623=D1624),2)-N162"&amp;"4)/O1624),J1624))"),"")</f>
        <v/>
      </c>
      <c r="Q1624" s="264" t="str">
        <f>IFERROR(__xludf.DUMMYFUNCTION("IFERROR(IF(F1624=""Crypto"",B1624,(IF(ISBLANK(D1624),"""",IF(D1624=""Cash"",B1624,IF(GOOGLEFINANCE(D1624,""CURRENCY"")=""GBX"",""GBP"",GOOGLEFINANCE(D1624,""CURRENCY"")))))),B1624)"),"")</f>
        <v/>
      </c>
      <c r="R1624" s="263" t="str">
        <f>IFERROR(__xludf.DUMMYFUNCTION("IF(ISBLANK(A1624),"""",IFERROR(IF(OR(Q1624=""GPB"",Q1624=""ZAR""),IF(Q1624=Dashboard!$L$1,K1624,(K1624*GOOGLEFINANCE(""CURRENCY:""&amp;Q1624&amp;""""&amp;Dashboard!$L$1&amp;""""))/100),IF(Q1624=Dashboard!$L$1,K1624,K1624*GOOGLEFINANCE(""CURRENCY:""&amp;Q1624&amp;""""&amp;Dashboard!$"&amp;"L$1&amp;""""))),K1624))"),"")</f>
        <v/>
      </c>
      <c r="S1624" s="266" t="str">
        <f>IFERROR(__xludf.DUMMYFUNCTION("IF(ISBLANK(A1624),"""",IFERROR(IF(OR(Q1624=""GPB"",Q1624=""ZAR""),IF(Q1624=Dashboard!$L$1,M1624,(M1624*GOOGLEFINANCE(""CURRENCY:""&amp;Q1624&amp;""""&amp;Dashboard!$L$1&amp;""""))/100),IF(Q1624=Dashboard!$L$1,M1624,M1624*GOOGLEFINANCE(""CURRENCY:""&amp;Q1624&amp;""""&amp;Dashboard!$"&amp;"L$1&amp;""""))),M1624))"),"")</f>
        <v/>
      </c>
      <c r="T1624" s="264" t="str">
        <f t="shared" si="4"/>
        <v/>
      </c>
      <c r="U1624" s="264" t="str">
        <f t="shared" si="5"/>
        <v/>
      </c>
      <c r="V1624" s="264" t="str">
        <f t="shared" si="6"/>
        <v/>
      </c>
      <c r="W1624" s="267" t="str">
        <f t="shared" si="8"/>
        <v/>
      </c>
      <c r="X1624" s="264" t="str">
        <f t="shared" si="7"/>
        <v/>
      </c>
    </row>
    <row r="1625" ht="15.75" customHeight="1">
      <c r="A1625" s="258"/>
      <c r="B1625" s="258"/>
      <c r="C1625" s="269"/>
      <c r="D1625" s="258"/>
      <c r="E1625" s="258"/>
      <c r="F1625" s="258"/>
      <c r="G1625" s="258"/>
      <c r="H1625" s="271"/>
      <c r="I1625" s="258"/>
      <c r="J1625" s="272"/>
      <c r="K1625" s="260"/>
      <c r="L1625" s="261"/>
      <c r="M1625" s="262" t="str">
        <f t="shared" si="1"/>
        <v/>
      </c>
      <c r="N1625" s="263" t="str">
        <f t="shared" si="2"/>
        <v/>
      </c>
      <c r="O1625" s="264" t="str">
        <f t="shared" si="3"/>
        <v/>
      </c>
      <c r="P1625" s="265" t="str">
        <f>IFERROR(__xludf.DUMMYFUNCTION("IF(ISBLANK(A1625),"""",IFERROR(IF(H1625=""Sell"",VLOOKUP(9^99,FILTER({ROW(P$2:P1624),P$2:P1624},D$2:D1624=D1625),2),(VLOOKUP(9^99,FILTER({ROW(P$2:P1624),P$2:P1624},D$2:D1624=D1625),2)*VLOOKUP(9^99,FILTER({ROW(O$2:O1624),O$2:O1624},D$2:D1624=D1625),2)-N162"&amp;"5)/O1625),J1625))"),"")</f>
        <v/>
      </c>
      <c r="Q1625" s="264" t="str">
        <f>IFERROR(__xludf.DUMMYFUNCTION("IFERROR(IF(F1625=""Crypto"",B1625,(IF(ISBLANK(D1625),"""",IF(D1625=""Cash"",B1625,IF(GOOGLEFINANCE(D1625,""CURRENCY"")=""GBX"",""GBP"",GOOGLEFINANCE(D1625,""CURRENCY"")))))),B1625)"),"")</f>
        <v/>
      </c>
      <c r="R1625" s="263" t="str">
        <f>IFERROR(__xludf.DUMMYFUNCTION("IF(ISBLANK(A1625),"""",IFERROR(IF(OR(Q1625=""GPB"",Q1625=""ZAR""),IF(Q1625=Dashboard!$L$1,K1625,(K1625*GOOGLEFINANCE(""CURRENCY:""&amp;Q1625&amp;""""&amp;Dashboard!$L$1&amp;""""))/100),IF(Q1625=Dashboard!$L$1,K1625,K1625*GOOGLEFINANCE(""CURRENCY:""&amp;Q1625&amp;""""&amp;Dashboard!$"&amp;"L$1&amp;""""))),K1625))"),"")</f>
        <v/>
      </c>
      <c r="S1625" s="266" t="str">
        <f>IFERROR(__xludf.DUMMYFUNCTION("IF(ISBLANK(A1625),"""",IFERROR(IF(OR(Q1625=""GPB"",Q1625=""ZAR""),IF(Q1625=Dashboard!$L$1,M1625,(M1625*GOOGLEFINANCE(""CURRENCY:""&amp;Q1625&amp;""""&amp;Dashboard!$L$1&amp;""""))/100),IF(Q1625=Dashboard!$L$1,M1625,M1625*GOOGLEFINANCE(""CURRENCY:""&amp;Q1625&amp;""""&amp;Dashboard!$"&amp;"L$1&amp;""""))),M1625))"),"")</f>
        <v/>
      </c>
      <c r="T1625" s="264" t="str">
        <f t="shared" si="4"/>
        <v/>
      </c>
      <c r="U1625" s="264" t="str">
        <f t="shared" si="5"/>
        <v/>
      </c>
      <c r="V1625" s="264" t="str">
        <f t="shared" si="6"/>
        <v/>
      </c>
      <c r="W1625" s="267" t="str">
        <f t="shared" si="8"/>
        <v/>
      </c>
      <c r="X1625" s="264" t="str">
        <f t="shared" si="7"/>
        <v/>
      </c>
    </row>
    <row r="1626" ht="15.75" customHeight="1">
      <c r="A1626" s="258"/>
      <c r="B1626" s="258"/>
      <c r="C1626" s="269"/>
      <c r="D1626" s="258"/>
      <c r="E1626" s="258"/>
      <c r="F1626" s="258"/>
      <c r="G1626" s="258"/>
      <c r="H1626" s="271"/>
      <c r="I1626" s="258"/>
      <c r="J1626" s="272"/>
      <c r="K1626" s="260"/>
      <c r="L1626" s="261"/>
      <c r="M1626" s="262" t="str">
        <f t="shared" si="1"/>
        <v/>
      </c>
      <c r="N1626" s="263" t="str">
        <f t="shared" si="2"/>
        <v/>
      </c>
      <c r="O1626" s="264" t="str">
        <f t="shared" si="3"/>
        <v/>
      </c>
      <c r="P1626" s="265" t="str">
        <f>IFERROR(__xludf.DUMMYFUNCTION("IF(ISBLANK(A1626),"""",IFERROR(IF(H1626=""Sell"",VLOOKUP(9^99,FILTER({ROW(P$2:P1625),P$2:P1625},D$2:D1625=D1626),2),(VLOOKUP(9^99,FILTER({ROW(P$2:P1625),P$2:P1625},D$2:D1625=D1626),2)*VLOOKUP(9^99,FILTER({ROW(O$2:O1625),O$2:O1625},D$2:D1625=D1626),2)-N162"&amp;"6)/O1626),J1626))"),"")</f>
        <v/>
      </c>
      <c r="Q1626" s="264" t="str">
        <f>IFERROR(__xludf.DUMMYFUNCTION("IFERROR(IF(F1626=""Crypto"",B1626,(IF(ISBLANK(D1626),"""",IF(D1626=""Cash"",B1626,IF(GOOGLEFINANCE(D1626,""CURRENCY"")=""GBX"",""GBP"",GOOGLEFINANCE(D1626,""CURRENCY"")))))),B1626)"),"")</f>
        <v/>
      </c>
      <c r="R1626" s="263" t="str">
        <f>IFERROR(__xludf.DUMMYFUNCTION("IF(ISBLANK(A1626),"""",IFERROR(IF(OR(Q1626=""GPB"",Q1626=""ZAR""),IF(Q1626=Dashboard!$L$1,K1626,(K1626*GOOGLEFINANCE(""CURRENCY:""&amp;Q1626&amp;""""&amp;Dashboard!$L$1&amp;""""))/100),IF(Q1626=Dashboard!$L$1,K1626,K1626*GOOGLEFINANCE(""CURRENCY:""&amp;Q1626&amp;""""&amp;Dashboard!$"&amp;"L$1&amp;""""))),K1626))"),"")</f>
        <v/>
      </c>
      <c r="S1626" s="266" t="str">
        <f>IFERROR(__xludf.DUMMYFUNCTION("IF(ISBLANK(A1626),"""",IFERROR(IF(OR(Q1626=""GPB"",Q1626=""ZAR""),IF(Q1626=Dashboard!$L$1,M1626,(M1626*GOOGLEFINANCE(""CURRENCY:""&amp;Q1626&amp;""""&amp;Dashboard!$L$1&amp;""""))/100),IF(Q1626=Dashboard!$L$1,M1626,M1626*GOOGLEFINANCE(""CURRENCY:""&amp;Q1626&amp;""""&amp;Dashboard!$"&amp;"L$1&amp;""""))),M1626))"),"")</f>
        <v/>
      </c>
      <c r="T1626" s="264" t="str">
        <f t="shared" si="4"/>
        <v/>
      </c>
      <c r="U1626" s="264" t="str">
        <f t="shared" si="5"/>
        <v/>
      </c>
      <c r="V1626" s="264" t="str">
        <f t="shared" si="6"/>
        <v/>
      </c>
      <c r="W1626" s="267" t="str">
        <f t="shared" si="8"/>
        <v/>
      </c>
      <c r="X1626" s="264" t="str">
        <f t="shared" si="7"/>
        <v/>
      </c>
    </row>
    <row r="1627" ht="15.75" customHeight="1">
      <c r="A1627" s="258"/>
      <c r="B1627" s="258"/>
      <c r="C1627" s="269"/>
      <c r="D1627" s="258"/>
      <c r="E1627" s="258"/>
      <c r="F1627" s="258"/>
      <c r="G1627" s="258"/>
      <c r="H1627" s="271"/>
      <c r="I1627" s="258"/>
      <c r="J1627" s="272"/>
      <c r="K1627" s="260"/>
      <c r="L1627" s="261"/>
      <c r="M1627" s="262" t="str">
        <f t="shared" si="1"/>
        <v/>
      </c>
      <c r="N1627" s="263" t="str">
        <f t="shared" si="2"/>
        <v/>
      </c>
      <c r="O1627" s="264" t="str">
        <f t="shared" si="3"/>
        <v/>
      </c>
      <c r="P1627" s="265" t="str">
        <f>IFERROR(__xludf.DUMMYFUNCTION("IF(ISBLANK(A1627),"""",IFERROR(IF(H1627=""Sell"",VLOOKUP(9^99,FILTER({ROW(P$2:P1626),P$2:P1626},D$2:D1626=D1627),2),(VLOOKUP(9^99,FILTER({ROW(P$2:P1626),P$2:P1626},D$2:D1626=D1627),2)*VLOOKUP(9^99,FILTER({ROW(O$2:O1626),O$2:O1626},D$2:D1626=D1627),2)-N162"&amp;"7)/O1627),J1627))"),"")</f>
        <v/>
      </c>
      <c r="Q1627" s="264" t="str">
        <f>IFERROR(__xludf.DUMMYFUNCTION("IFERROR(IF(F1627=""Crypto"",B1627,(IF(ISBLANK(D1627),"""",IF(D1627=""Cash"",B1627,IF(GOOGLEFINANCE(D1627,""CURRENCY"")=""GBX"",""GBP"",GOOGLEFINANCE(D1627,""CURRENCY"")))))),B1627)"),"")</f>
        <v/>
      </c>
      <c r="R1627" s="263" t="str">
        <f>IFERROR(__xludf.DUMMYFUNCTION("IF(ISBLANK(A1627),"""",IFERROR(IF(OR(Q1627=""GPB"",Q1627=""ZAR""),IF(Q1627=Dashboard!$L$1,K1627,(K1627*GOOGLEFINANCE(""CURRENCY:""&amp;Q1627&amp;""""&amp;Dashboard!$L$1&amp;""""))/100),IF(Q1627=Dashboard!$L$1,K1627,K1627*GOOGLEFINANCE(""CURRENCY:""&amp;Q1627&amp;""""&amp;Dashboard!$"&amp;"L$1&amp;""""))),K1627))"),"")</f>
        <v/>
      </c>
      <c r="S1627" s="266" t="str">
        <f>IFERROR(__xludf.DUMMYFUNCTION("IF(ISBLANK(A1627),"""",IFERROR(IF(OR(Q1627=""GPB"",Q1627=""ZAR""),IF(Q1627=Dashboard!$L$1,M1627,(M1627*GOOGLEFINANCE(""CURRENCY:""&amp;Q1627&amp;""""&amp;Dashboard!$L$1&amp;""""))/100),IF(Q1627=Dashboard!$L$1,M1627,M1627*GOOGLEFINANCE(""CURRENCY:""&amp;Q1627&amp;""""&amp;Dashboard!$"&amp;"L$1&amp;""""))),M1627))"),"")</f>
        <v/>
      </c>
      <c r="T1627" s="264" t="str">
        <f t="shared" si="4"/>
        <v/>
      </c>
      <c r="U1627" s="264" t="str">
        <f t="shared" si="5"/>
        <v/>
      </c>
      <c r="V1627" s="264" t="str">
        <f t="shared" si="6"/>
        <v/>
      </c>
      <c r="W1627" s="267" t="str">
        <f t="shared" si="8"/>
        <v/>
      </c>
      <c r="X1627" s="264" t="str">
        <f t="shared" si="7"/>
        <v/>
      </c>
    </row>
    <row r="1628" ht="15.75" customHeight="1">
      <c r="A1628" s="258"/>
      <c r="B1628" s="258"/>
      <c r="C1628" s="269"/>
      <c r="D1628" s="258"/>
      <c r="E1628" s="258"/>
      <c r="F1628" s="258"/>
      <c r="G1628" s="258"/>
      <c r="H1628" s="271"/>
      <c r="I1628" s="258"/>
      <c r="J1628" s="272"/>
      <c r="K1628" s="260"/>
      <c r="L1628" s="261"/>
      <c r="M1628" s="262" t="str">
        <f t="shared" si="1"/>
        <v/>
      </c>
      <c r="N1628" s="263" t="str">
        <f t="shared" si="2"/>
        <v/>
      </c>
      <c r="O1628" s="264" t="str">
        <f t="shared" si="3"/>
        <v/>
      </c>
      <c r="P1628" s="265" t="str">
        <f>IFERROR(__xludf.DUMMYFUNCTION("IF(ISBLANK(A1628),"""",IFERROR(IF(H1628=""Sell"",VLOOKUP(9^99,FILTER({ROW(P$2:P1627),P$2:P1627},D$2:D1627=D1628),2),(VLOOKUP(9^99,FILTER({ROW(P$2:P1627),P$2:P1627},D$2:D1627=D1628),2)*VLOOKUP(9^99,FILTER({ROW(O$2:O1627),O$2:O1627},D$2:D1627=D1628),2)-N162"&amp;"8)/O1628),J1628))"),"")</f>
        <v/>
      </c>
      <c r="Q1628" s="264" t="str">
        <f>IFERROR(__xludf.DUMMYFUNCTION("IFERROR(IF(F1628=""Crypto"",B1628,(IF(ISBLANK(D1628),"""",IF(D1628=""Cash"",B1628,IF(GOOGLEFINANCE(D1628,""CURRENCY"")=""GBX"",""GBP"",GOOGLEFINANCE(D1628,""CURRENCY"")))))),B1628)"),"")</f>
        <v/>
      </c>
      <c r="R1628" s="263" t="str">
        <f>IFERROR(__xludf.DUMMYFUNCTION("IF(ISBLANK(A1628),"""",IFERROR(IF(OR(Q1628=""GPB"",Q1628=""ZAR""),IF(Q1628=Dashboard!$L$1,K1628,(K1628*GOOGLEFINANCE(""CURRENCY:""&amp;Q1628&amp;""""&amp;Dashboard!$L$1&amp;""""))/100),IF(Q1628=Dashboard!$L$1,K1628,K1628*GOOGLEFINANCE(""CURRENCY:""&amp;Q1628&amp;""""&amp;Dashboard!$"&amp;"L$1&amp;""""))),K1628))"),"")</f>
        <v/>
      </c>
      <c r="S1628" s="266" t="str">
        <f>IFERROR(__xludf.DUMMYFUNCTION("IF(ISBLANK(A1628),"""",IFERROR(IF(OR(Q1628=""GPB"",Q1628=""ZAR""),IF(Q1628=Dashboard!$L$1,M1628,(M1628*GOOGLEFINANCE(""CURRENCY:""&amp;Q1628&amp;""""&amp;Dashboard!$L$1&amp;""""))/100),IF(Q1628=Dashboard!$L$1,M1628,M1628*GOOGLEFINANCE(""CURRENCY:""&amp;Q1628&amp;""""&amp;Dashboard!$"&amp;"L$1&amp;""""))),M1628))"),"")</f>
        <v/>
      </c>
      <c r="T1628" s="264" t="str">
        <f t="shared" si="4"/>
        <v/>
      </c>
      <c r="U1628" s="264" t="str">
        <f t="shared" si="5"/>
        <v/>
      </c>
      <c r="V1628" s="264" t="str">
        <f t="shared" si="6"/>
        <v/>
      </c>
      <c r="W1628" s="267" t="str">
        <f t="shared" si="8"/>
        <v/>
      </c>
      <c r="X1628" s="264" t="str">
        <f t="shared" si="7"/>
        <v/>
      </c>
    </row>
    <row r="1629" ht="15.75" customHeight="1">
      <c r="A1629" s="258"/>
      <c r="B1629" s="258"/>
      <c r="C1629" s="269"/>
      <c r="D1629" s="258"/>
      <c r="E1629" s="258"/>
      <c r="F1629" s="258"/>
      <c r="G1629" s="258"/>
      <c r="H1629" s="271"/>
      <c r="I1629" s="258"/>
      <c r="J1629" s="272"/>
      <c r="K1629" s="260"/>
      <c r="L1629" s="261"/>
      <c r="M1629" s="262" t="str">
        <f t="shared" si="1"/>
        <v/>
      </c>
      <c r="N1629" s="263" t="str">
        <f t="shared" si="2"/>
        <v/>
      </c>
      <c r="O1629" s="264" t="str">
        <f t="shared" si="3"/>
        <v/>
      </c>
      <c r="P1629" s="265" t="str">
        <f>IFERROR(__xludf.DUMMYFUNCTION("IF(ISBLANK(A1629),"""",IFERROR(IF(H1629=""Sell"",VLOOKUP(9^99,FILTER({ROW(P$2:P1628),P$2:P1628},D$2:D1628=D1629),2),(VLOOKUP(9^99,FILTER({ROW(P$2:P1628),P$2:P1628},D$2:D1628=D1629),2)*VLOOKUP(9^99,FILTER({ROW(O$2:O1628),O$2:O1628},D$2:D1628=D1629),2)-N162"&amp;"9)/O1629),J1629))"),"")</f>
        <v/>
      </c>
      <c r="Q1629" s="264" t="str">
        <f>IFERROR(__xludf.DUMMYFUNCTION("IFERROR(IF(F1629=""Crypto"",B1629,(IF(ISBLANK(D1629),"""",IF(D1629=""Cash"",B1629,IF(GOOGLEFINANCE(D1629,""CURRENCY"")=""GBX"",""GBP"",GOOGLEFINANCE(D1629,""CURRENCY"")))))),B1629)"),"")</f>
        <v/>
      </c>
      <c r="R1629" s="263" t="str">
        <f>IFERROR(__xludf.DUMMYFUNCTION("IF(ISBLANK(A1629),"""",IFERROR(IF(OR(Q1629=""GPB"",Q1629=""ZAR""),IF(Q1629=Dashboard!$L$1,K1629,(K1629*GOOGLEFINANCE(""CURRENCY:""&amp;Q1629&amp;""""&amp;Dashboard!$L$1&amp;""""))/100),IF(Q1629=Dashboard!$L$1,K1629,K1629*GOOGLEFINANCE(""CURRENCY:""&amp;Q1629&amp;""""&amp;Dashboard!$"&amp;"L$1&amp;""""))),K1629))"),"")</f>
        <v/>
      </c>
      <c r="S1629" s="266" t="str">
        <f>IFERROR(__xludf.DUMMYFUNCTION("IF(ISBLANK(A1629),"""",IFERROR(IF(OR(Q1629=""GPB"",Q1629=""ZAR""),IF(Q1629=Dashboard!$L$1,M1629,(M1629*GOOGLEFINANCE(""CURRENCY:""&amp;Q1629&amp;""""&amp;Dashboard!$L$1&amp;""""))/100),IF(Q1629=Dashboard!$L$1,M1629,M1629*GOOGLEFINANCE(""CURRENCY:""&amp;Q1629&amp;""""&amp;Dashboard!$"&amp;"L$1&amp;""""))),M1629))"),"")</f>
        <v/>
      </c>
      <c r="T1629" s="264" t="str">
        <f t="shared" si="4"/>
        <v/>
      </c>
      <c r="U1629" s="264" t="str">
        <f t="shared" si="5"/>
        <v/>
      </c>
      <c r="V1629" s="264" t="str">
        <f t="shared" si="6"/>
        <v/>
      </c>
      <c r="W1629" s="267" t="str">
        <f t="shared" si="8"/>
        <v/>
      </c>
      <c r="X1629" s="264" t="str">
        <f t="shared" si="7"/>
        <v/>
      </c>
    </row>
    <row r="1630" ht="15.75" customHeight="1">
      <c r="A1630" s="258"/>
      <c r="B1630" s="258"/>
      <c r="C1630" s="269"/>
      <c r="D1630" s="258"/>
      <c r="E1630" s="258"/>
      <c r="F1630" s="258"/>
      <c r="G1630" s="258"/>
      <c r="H1630" s="271"/>
      <c r="I1630" s="258"/>
      <c r="J1630" s="272"/>
      <c r="K1630" s="260"/>
      <c r="L1630" s="261"/>
      <c r="M1630" s="262" t="str">
        <f t="shared" si="1"/>
        <v/>
      </c>
      <c r="N1630" s="263" t="str">
        <f t="shared" si="2"/>
        <v/>
      </c>
      <c r="O1630" s="264" t="str">
        <f t="shared" si="3"/>
        <v/>
      </c>
      <c r="P1630" s="265" t="str">
        <f>IFERROR(__xludf.DUMMYFUNCTION("IF(ISBLANK(A1630),"""",IFERROR(IF(H1630=""Sell"",VLOOKUP(9^99,FILTER({ROW(P$2:P1629),P$2:P1629},D$2:D1629=D1630),2),(VLOOKUP(9^99,FILTER({ROW(P$2:P1629),P$2:P1629},D$2:D1629=D1630),2)*VLOOKUP(9^99,FILTER({ROW(O$2:O1629),O$2:O1629},D$2:D1629=D1630),2)-N163"&amp;"0)/O1630),J1630))"),"")</f>
        <v/>
      </c>
      <c r="Q1630" s="264" t="str">
        <f>IFERROR(__xludf.DUMMYFUNCTION("IFERROR(IF(F1630=""Crypto"",B1630,(IF(ISBLANK(D1630),"""",IF(D1630=""Cash"",B1630,IF(GOOGLEFINANCE(D1630,""CURRENCY"")=""GBX"",""GBP"",GOOGLEFINANCE(D1630,""CURRENCY"")))))),B1630)"),"")</f>
        <v/>
      </c>
      <c r="R1630" s="263" t="str">
        <f>IFERROR(__xludf.DUMMYFUNCTION("IF(ISBLANK(A1630),"""",IFERROR(IF(OR(Q1630=""GPB"",Q1630=""ZAR""),IF(Q1630=Dashboard!$L$1,K1630,(K1630*GOOGLEFINANCE(""CURRENCY:""&amp;Q1630&amp;""""&amp;Dashboard!$L$1&amp;""""))/100),IF(Q1630=Dashboard!$L$1,K1630,K1630*GOOGLEFINANCE(""CURRENCY:""&amp;Q1630&amp;""""&amp;Dashboard!$"&amp;"L$1&amp;""""))),K1630))"),"")</f>
        <v/>
      </c>
      <c r="S1630" s="266" t="str">
        <f>IFERROR(__xludf.DUMMYFUNCTION("IF(ISBLANK(A1630),"""",IFERROR(IF(OR(Q1630=""GPB"",Q1630=""ZAR""),IF(Q1630=Dashboard!$L$1,M1630,(M1630*GOOGLEFINANCE(""CURRENCY:""&amp;Q1630&amp;""""&amp;Dashboard!$L$1&amp;""""))/100),IF(Q1630=Dashboard!$L$1,M1630,M1630*GOOGLEFINANCE(""CURRENCY:""&amp;Q1630&amp;""""&amp;Dashboard!$"&amp;"L$1&amp;""""))),M1630))"),"")</f>
        <v/>
      </c>
      <c r="T1630" s="264" t="str">
        <f t="shared" si="4"/>
        <v/>
      </c>
      <c r="U1630" s="264" t="str">
        <f t="shared" si="5"/>
        <v/>
      </c>
      <c r="V1630" s="264" t="str">
        <f t="shared" si="6"/>
        <v/>
      </c>
      <c r="W1630" s="267" t="str">
        <f t="shared" si="8"/>
        <v/>
      </c>
      <c r="X1630" s="264" t="str">
        <f t="shared" si="7"/>
        <v/>
      </c>
    </row>
    <row r="1631" ht="15.75" customHeight="1">
      <c r="A1631" s="258"/>
      <c r="B1631" s="258"/>
      <c r="C1631" s="269"/>
      <c r="D1631" s="258"/>
      <c r="E1631" s="258"/>
      <c r="F1631" s="258"/>
      <c r="G1631" s="258"/>
      <c r="H1631" s="271"/>
      <c r="I1631" s="258"/>
      <c r="J1631" s="272"/>
      <c r="K1631" s="260"/>
      <c r="L1631" s="261"/>
      <c r="M1631" s="262" t="str">
        <f t="shared" si="1"/>
        <v/>
      </c>
      <c r="N1631" s="263" t="str">
        <f t="shared" si="2"/>
        <v/>
      </c>
      <c r="O1631" s="264" t="str">
        <f t="shared" si="3"/>
        <v/>
      </c>
      <c r="P1631" s="265" t="str">
        <f>IFERROR(__xludf.DUMMYFUNCTION("IF(ISBLANK(A1631),"""",IFERROR(IF(H1631=""Sell"",VLOOKUP(9^99,FILTER({ROW(P$2:P1630),P$2:P1630},D$2:D1630=D1631),2),(VLOOKUP(9^99,FILTER({ROW(P$2:P1630),P$2:P1630},D$2:D1630=D1631),2)*VLOOKUP(9^99,FILTER({ROW(O$2:O1630),O$2:O1630},D$2:D1630=D1631),2)-N163"&amp;"1)/O1631),J1631))"),"")</f>
        <v/>
      </c>
      <c r="Q1631" s="264" t="str">
        <f>IFERROR(__xludf.DUMMYFUNCTION("IFERROR(IF(F1631=""Crypto"",B1631,(IF(ISBLANK(D1631),"""",IF(D1631=""Cash"",B1631,IF(GOOGLEFINANCE(D1631,""CURRENCY"")=""GBX"",""GBP"",GOOGLEFINANCE(D1631,""CURRENCY"")))))),B1631)"),"")</f>
        <v/>
      </c>
      <c r="R1631" s="263" t="str">
        <f>IFERROR(__xludf.DUMMYFUNCTION("IF(ISBLANK(A1631),"""",IFERROR(IF(OR(Q1631=""GPB"",Q1631=""ZAR""),IF(Q1631=Dashboard!$L$1,K1631,(K1631*GOOGLEFINANCE(""CURRENCY:""&amp;Q1631&amp;""""&amp;Dashboard!$L$1&amp;""""))/100),IF(Q1631=Dashboard!$L$1,K1631,K1631*GOOGLEFINANCE(""CURRENCY:""&amp;Q1631&amp;""""&amp;Dashboard!$"&amp;"L$1&amp;""""))),K1631))"),"")</f>
        <v/>
      </c>
      <c r="S1631" s="266" t="str">
        <f>IFERROR(__xludf.DUMMYFUNCTION("IF(ISBLANK(A1631),"""",IFERROR(IF(OR(Q1631=""GPB"",Q1631=""ZAR""),IF(Q1631=Dashboard!$L$1,M1631,(M1631*GOOGLEFINANCE(""CURRENCY:""&amp;Q1631&amp;""""&amp;Dashboard!$L$1&amp;""""))/100),IF(Q1631=Dashboard!$L$1,M1631,M1631*GOOGLEFINANCE(""CURRENCY:""&amp;Q1631&amp;""""&amp;Dashboard!$"&amp;"L$1&amp;""""))),M1631))"),"")</f>
        <v/>
      </c>
      <c r="T1631" s="264" t="str">
        <f t="shared" si="4"/>
        <v/>
      </c>
      <c r="U1631" s="264" t="str">
        <f t="shared" si="5"/>
        <v/>
      </c>
      <c r="V1631" s="264" t="str">
        <f t="shared" si="6"/>
        <v/>
      </c>
      <c r="W1631" s="267" t="str">
        <f t="shared" si="8"/>
        <v/>
      </c>
      <c r="X1631" s="264" t="str">
        <f t="shared" si="7"/>
        <v/>
      </c>
    </row>
    <row r="1632" ht="15.75" customHeight="1">
      <c r="A1632" s="258"/>
      <c r="B1632" s="258"/>
      <c r="C1632" s="269"/>
      <c r="D1632" s="258"/>
      <c r="E1632" s="258"/>
      <c r="F1632" s="258"/>
      <c r="G1632" s="258"/>
      <c r="H1632" s="271"/>
      <c r="I1632" s="258"/>
      <c r="J1632" s="272"/>
      <c r="K1632" s="260"/>
      <c r="L1632" s="261"/>
      <c r="M1632" s="262" t="str">
        <f t="shared" si="1"/>
        <v/>
      </c>
      <c r="N1632" s="263" t="str">
        <f t="shared" si="2"/>
        <v/>
      </c>
      <c r="O1632" s="264" t="str">
        <f t="shared" si="3"/>
        <v/>
      </c>
      <c r="P1632" s="265" t="str">
        <f>IFERROR(__xludf.DUMMYFUNCTION("IF(ISBLANK(A1632),"""",IFERROR(IF(H1632=""Sell"",VLOOKUP(9^99,FILTER({ROW(P$2:P1631),P$2:P1631},D$2:D1631=D1632),2),(VLOOKUP(9^99,FILTER({ROW(P$2:P1631),P$2:P1631},D$2:D1631=D1632),2)*VLOOKUP(9^99,FILTER({ROW(O$2:O1631),O$2:O1631},D$2:D1631=D1632),2)-N163"&amp;"2)/O1632),J1632))"),"")</f>
        <v/>
      </c>
      <c r="Q1632" s="264" t="str">
        <f>IFERROR(__xludf.DUMMYFUNCTION("IFERROR(IF(F1632=""Crypto"",B1632,(IF(ISBLANK(D1632),"""",IF(D1632=""Cash"",B1632,IF(GOOGLEFINANCE(D1632,""CURRENCY"")=""GBX"",""GBP"",GOOGLEFINANCE(D1632,""CURRENCY"")))))),B1632)"),"")</f>
        <v/>
      </c>
      <c r="R1632" s="263" t="str">
        <f>IFERROR(__xludf.DUMMYFUNCTION("IF(ISBLANK(A1632),"""",IFERROR(IF(OR(Q1632=""GPB"",Q1632=""ZAR""),IF(Q1632=Dashboard!$L$1,K1632,(K1632*GOOGLEFINANCE(""CURRENCY:""&amp;Q1632&amp;""""&amp;Dashboard!$L$1&amp;""""))/100),IF(Q1632=Dashboard!$L$1,K1632,K1632*GOOGLEFINANCE(""CURRENCY:""&amp;Q1632&amp;""""&amp;Dashboard!$"&amp;"L$1&amp;""""))),K1632))"),"")</f>
        <v/>
      </c>
      <c r="S1632" s="266" t="str">
        <f>IFERROR(__xludf.DUMMYFUNCTION("IF(ISBLANK(A1632),"""",IFERROR(IF(OR(Q1632=""GPB"",Q1632=""ZAR""),IF(Q1632=Dashboard!$L$1,M1632,(M1632*GOOGLEFINANCE(""CURRENCY:""&amp;Q1632&amp;""""&amp;Dashboard!$L$1&amp;""""))/100),IF(Q1632=Dashboard!$L$1,M1632,M1632*GOOGLEFINANCE(""CURRENCY:""&amp;Q1632&amp;""""&amp;Dashboard!$"&amp;"L$1&amp;""""))),M1632))"),"")</f>
        <v/>
      </c>
      <c r="T1632" s="264" t="str">
        <f t="shared" si="4"/>
        <v/>
      </c>
      <c r="U1632" s="264" t="str">
        <f t="shared" si="5"/>
        <v/>
      </c>
      <c r="V1632" s="264" t="str">
        <f t="shared" si="6"/>
        <v/>
      </c>
      <c r="W1632" s="267" t="str">
        <f t="shared" si="8"/>
        <v/>
      </c>
      <c r="X1632" s="264" t="str">
        <f t="shared" si="7"/>
        <v/>
      </c>
    </row>
    <row r="1633" ht="15.75" customHeight="1">
      <c r="A1633" s="258"/>
      <c r="B1633" s="258"/>
      <c r="C1633" s="269"/>
      <c r="D1633" s="258"/>
      <c r="E1633" s="258"/>
      <c r="F1633" s="258"/>
      <c r="G1633" s="258"/>
      <c r="H1633" s="271"/>
      <c r="I1633" s="258"/>
      <c r="J1633" s="272"/>
      <c r="K1633" s="260"/>
      <c r="L1633" s="261"/>
      <c r="M1633" s="262" t="str">
        <f t="shared" si="1"/>
        <v/>
      </c>
      <c r="N1633" s="263" t="str">
        <f t="shared" si="2"/>
        <v/>
      </c>
      <c r="O1633" s="264" t="str">
        <f t="shared" si="3"/>
        <v/>
      </c>
      <c r="P1633" s="265" t="str">
        <f>IFERROR(__xludf.DUMMYFUNCTION("IF(ISBLANK(A1633),"""",IFERROR(IF(H1633=""Sell"",VLOOKUP(9^99,FILTER({ROW(P$2:P1632),P$2:P1632},D$2:D1632=D1633),2),(VLOOKUP(9^99,FILTER({ROW(P$2:P1632),P$2:P1632},D$2:D1632=D1633),2)*VLOOKUP(9^99,FILTER({ROW(O$2:O1632),O$2:O1632},D$2:D1632=D1633),2)-N163"&amp;"3)/O1633),J1633))"),"")</f>
        <v/>
      </c>
      <c r="Q1633" s="264" t="str">
        <f>IFERROR(__xludf.DUMMYFUNCTION("IFERROR(IF(F1633=""Crypto"",B1633,(IF(ISBLANK(D1633),"""",IF(D1633=""Cash"",B1633,IF(GOOGLEFINANCE(D1633,""CURRENCY"")=""GBX"",""GBP"",GOOGLEFINANCE(D1633,""CURRENCY"")))))),B1633)"),"")</f>
        <v/>
      </c>
      <c r="R1633" s="263" t="str">
        <f>IFERROR(__xludf.DUMMYFUNCTION("IF(ISBLANK(A1633),"""",IFERROR(IF(OR(Q1633=""GPB"",Q1633=""ZAR""),IF(Q1633=Dashboard!$L$1,K1633,(K1633*GOOGLEFINANCE(""CURRENCY:""&amp;Q1633&amp;""""&amp;Dashboard!$L$1&amp;""""))/100),IF(Q1633=Dashboard!$L$1,K1633,K1633*GOOGLEFINANCE(""CURRENCY:""&amp;Q1633&amp;""""&amp;Dashboard!$"&amp;"L$1&amp;""""))),K1633))"),"")</f>
        <v/>
      </c>
      <c r="S1633" s="266" t="str">
        <f>IFERROR(__xludf.DUMMYFUNCTION("IF(ISBLANK(A1633),"""",IFERROR(IF(OR(Q1633=""GPB"",Q1633=""ZAR""),IF(Q1633=Dashboard!$L$1,M1633,(M1633*GOOGLEFINANCE(""CURRENCY:""&amp;Q1633&amp;""""&amp;Dashboard!$L$1&amp;""""))/100),IF(Q1633=Dashboard!$L$1,M1633,M1633*GOOGLEFINANCE(""CURRENCY:""&amp;Q1633&amp;""""&amp;Dashboard!$"&amp;"L$1&amp;""""))),M1633))"),"")</f>
        <v/>
      </c>
      <c r="T1633" s="264" t="str">
        <f t="shared" si="4"/>
        <v/>
      </c>
      <c r="U1633" s="264" t="str">
        <f t="shared" si="5"/>
        <v/>
      </c>
      <c r="V1633" s="264" t="str">
        <f t="shared" si="6"/>
        <v/>
      </c>
      <c r="W1633" s="267" t="str">
        <f t="shared" si="8"/>
        <v/>
      </c>
      <c r="X1633" s="264" t="str">
        <f t="shared" si="7"/>
        <v/>
      </c>
    </row>
    <row r="1634" ht="15.75" customHeight="1">
      <c r="A1634" s="258"/>
      <c r="B1634" s="258"/>
      <c r="C1634" s="269"/>
      <c r="D1634" s="258"/>
      <c r="E1634" s="258"/>
      <c r="F1634" s="258"/>
      <c r="G1634" s="258"/>
      <c r="H1634" s="271"/>
      <c r="I1634" s="258"/>
      <c r="J1634" s="272"/>
      <c r="K1634" s="260"/>
      <c r="L1634" s="261"/>
      <c r="M1634" s="262" t="str">
        <f t="shared" si="1"/>
        <v/>
      </c>
      <c r="N1634" s="263" t="str">
        <f t="shared" si="2"/>
        <v/>
      </c>
      <c r="O1634" s="264" t="str">
        <f t="shared" si="3"/>
        <v/>
      </c>
      <c r="P1634" s="265" t="str">
        <f>IFERROR(__xludf.DUMMYFUNCTION("IF(ISBLANK(A1634),"""",IFERROR(IF(H1634=""Sell"",VLOOKUP(9^99,FILTER({ROW(P$2:P1633),P$2:P1633},D$2:D1633=D1634),2),(VLOOKUP(9^99,FILTER({ROW(P$2:P1633),P$2:P1633},D$2:D1633=D1634),2)*VLOOKUP(9^99,FILTER({ROW(O$2:O1633),O$2:O1633},D$2:D1633=D1634),2)-N163"&amp;"4)/O1634),J1634))"),"")</f>
        <v/>
      </c>
      <c r="Q1634" s="264" t="str">
        <f>IFERROR(__xludf.DUMMYFUNCTION("IFERROR(IF(F1634=""Crypto"",B1634,(IF(ISBLANK(D1634),"""",IF(D1634=""Cash"",B1634,IF(GOOGLEFINANCE(D1634,""CURRENCY"")=""GBX"",""GBP"",GOOGLEFINANCE(D1634,""CURRENCY"")))))),B1634)"),"")</f>
        <v/>
      </c>
      <c r="R1634" s="263" t="str">
        <f>IFERROR(__xludf.DUMMYFUNCTION("IF(ISBLANK(A1634),"""",IFERROR(IF(OR(Q1634=""GPB"",Q1634=""ZAR""),IF(Q1634=Dashboard!$L$1,K1634,(K1634*GOOGLEFINANCE(""CURRENCY:""&amp;Q1634&amp;""""&amp;Dashboard!$L$1&amp;""""))/100),IF(Q1634=Dashboard!$L$1,K1634,K1634*GOOGLEFINANCE(""CURRENCY:""&amp;Q1634&amp;""""&amp;Dashboard!$"&amp;"L$1&amp;""""))),K1634))"),"")</f>
        <v/>
      </c>
      <c r="S1634" s="266" t="str">
        <f>IFERROR(__xludf.DUMMYFUNCTION("IF(ISBLANK(A1634),"""",IFERROR(IF(OR(Q1634=""GPB"",Q1634=""ZAR""),IF(Q1634=Dashboard!$L$1,M1634,(M1634*GOOGLEFINANCE(""CURRENCY:""&amp;Q1634&amp;""""&amp;Dashboard!$L$1&amp;""""))/100),IF(Q1634=Dashboard!$L$1,M1634,M1634*GOOGLEFINANCE(""CURRENCY:""&amp;Q1634&amp;""""&amp;Dashboard!$"&amp;"L$1&amp;""""))),M1634))"),"")</f>
        <v/>
      </c>
      <c r="T1634" s="264" t="str">
        <f t="shared" si="4"/>
        <v/>
      </c>
      <c r="U1634" s="264" t="str">
        <f t="shared" si="5"/>
        <v/>
      </c>
      <c r="V1634" s="264" t="str">
        <f t="shared" si="6"/>
        <v/>
      </c>
      <c r="W1634" s="267" t="str">
        <f t="shared" si="8"/>
        <v/>
      </c>
      <c r="X1634" s="264" t="str">
        <f t="shared" si="7"/>
        <v/>
      </c>
    </row>
    <row r="1635" ht="15.75" customHeight="1">
      <c r="A1635" s="258"/>
      <c r="B1635" s="258"/>
      <c r="C1635" s="269"/>
      <c r="D1635" s="258"/>
      <c r="E1635" s="258"/>
      <c r="F1635" s="258"/>
      <c r="G1635" s="258"/>
      <c r="H1635" s="271"/>
      <c r="I1635" s="258"/>
      <c r="J1635" s="272"/>
      <c r="K1635" s="260"/>
      <c r="L1635" s="261"/>
      <c r="M1635" s="262" t="str">
        <f t="shared" si="1"/>
        <v/>
      </c>
      <c r="N1635" s="263" t="str">
        <f t="shared" si="2"/>
        <v/>
      </c>
      <c r="O1635" s="264" t="str">
        <f t="shared" si="3"/>
        <v/>
      </c>
      <c r="P1635" s="265" t="str">
        <f>IFERROR(__xludf.DUMMYFUNCTION("IF(ISBLANK(A1635),"""",IFERROR(IF(H1635=""Sell"",VLOOKUP(9^99,FILTER({ROW(P$2:P1634),P$2:P1634},D$2:D1634=D1635),2),(VLOOKUP(9^99,FILTER({ROW(P$2:P1634),P$2:P1634},D$2:D1634=D1635),2)*VLOOKUP(9^99,FILTER({ROW(O$2:O1634),O$2:O1634},D$2:D1634=D1635),2)-N163"&amp;"5)/O1635),J1635))"),"")</f>
        <v/>
      </c>
      <c r="Q1635" s="264" t="str">
        <f>IFERROR(__xludf.DUMMYFUNCTION("IFERROR(IF(F1635=""Crypto"",B1635,(IF(ISBLANK(D1635),"""",IF(D1635=""Cash"",B1635,IF(GOOGLEFINANCE(D1635,""CURRENCY"")=""GBX"",""GBP"",GOOGLEFINANCE(D1635,""CURRENCY"")))))),B1635)"),"")</f>
        <v/>
      </c>
      <c r="R1635" s="263" t="str">
        <f>IFERROR(__xludf.DUMMYFUNCTION("IF(ISBLANK(A1635),"""",IFERROR(IF(OR(Q1635=""GPB"",Q1635=""ZAR""),IF(Q1635=Dashboard!$L$1,K1635,(K1635*GOOGLEFINANCE(""CURRENCY:""&amp;Q1635&amp;""""&amp;Dashboard!$L$1&amp;""""))/100),IF(Q1635=Dashboard!$L$1,K1635,K1635*GOOGLEFINANCE(""CURRENCY:""&amp;Q1635&amp;""""&amp;Dashboard!$"&amp;"L$1&amp;""""))),K1635))"),"")</f>
        <v/>
      </c>
      <c r="S1635" s="266" t="str">
        <f>IFERROR(__xludf.DUMMYFUNCTION("IF(ISBLANK(A1635),"""",IFERROR(IF(OR(Q1635=""GPB"",Q1635=""ZAR""),IF(Q1635=Dashboard!$L$1,M1635,(M1635*GOOGLEFINANCE(""CURRENCY:""&amp;Q1635&amp;""""&amp;Dashboard!$L$1&amp;""""))/100),IF(Q1635=Dashboard!$L$1,M1635,M1635*GOOGLEFINANCE(""CURRENCY:""&amp;Q1635&amp;""""&amp;Dashboard!$"&amp;"L$1&amp;""""))),M1635))"),"")</f>
        <v/>
      </c>
      <c r="T1635" s="264" t="str">
        <f t="shared" si="4"/>
        <v/>
      </c>
      <c r="U1635" s="264" t="str">
        <f t="shared" si="5"/>
        <v/>
      </c>
      <c r="V1635" s="264" t="str">
        <f t="shared" si="6"/>
        <v/>
      </c>
      <c r="W1635" s="267" t="str">
        <f t="shared" si="8"/>
        <v/>
      </c>
      <c r="X1635" s="264" t="str">
        <f t="shared" si="7"/>
        <v/>
      </c>
    </row>
    <row r="1636" ht="15.75" customHeight="1">
      <c r="A1636" s="258"/>
      <c r="B1636" s="258"/>
      <c r="C1636" s="269"/>
      <c r="D1636" s="258"/>
      <c r="E1636" s="258"/>
      <c r="F1636" s="258"/>
      <c r="G1636" s="258"/>
      <c r="H1636" s="271"/>
      <c r="I1636" s="258"/>
      <c r="J1636" s="272"/>
      <c r="K1636" s="260"/>
      <c r="L1636" s="261"/>
      <c r="M1636" s="262" t="str">
        <f t="shared" si="1"/>
        <v/>
      </c>
      <c r="N1636" s="263" t="str">
        <f t="shared" si="2"/>
        <v/>
      </c>
      <c r="O1636" s="264" t="str">
        <f t="shared" si="3"/>
        <v/>
      </c>
      <c r="P1636" s="265" t="str">
        <f>IFERROR(__xludf.DUMMYFUNCTION("IF(ISBLANK(A1636),"""",IFERROR(IF(H1636=""Sell"",VLOOKUP(9^99,FILTER({ROW(P$2:P1635),P$2:P1635},D$2:D1635=D1636),2),(VLOOKUP(9^99,FILTER({ROW(P$2:P1635),P$2:P1635},D$2:D1635=D1636),2)*VLOOKUP(9^99,FILTER({ROW(O$2:O1635),O$2:O1635},D$2:D1635=D1636),2)-N163"&amp;"6)/O1636),J1636))"),"")</f>
        <v/>
      </c>
      <c r="Q1636" s="264" t="str">
        <f>IFERROR(__xludf.DUMMYFUNCTION("IFERROR(IF(F1636=""Crypto"",B1636,(IF(ISBLANK(D1636),"""",IF(D1636=""Cash"",B1636,IF(GOOGLEFINANCE(D1636,""CURRENCY"")=""GBX"",""GBP"",GOOGLEFINANCE(D1636,""CURRENCY"")))))),B1636)"),"")</f>
        <v/>
      </c>
      <c r="R1636" s="263" t="str">
        <f>IFERROR(__xludf.DUMMYFUNCTION("IF(ISBLANK(A1636),"""",IFERROR(IF(OR(Q1636=""GPB"",Q1636=""ZAR""),IF(Q1636=Dashboard!$L$1,K1636,(K1636*GOOGLEFINANCE(""CURRENCY:""&amp;Q1636&amp;""""&amp;Dashboard!$L$1&amp;""""))/100),IF(Q1636=Dashboard!$L$1,K1636,K1636*GOOGLEFINANCE(""CURRENCY:""&amp;Q1636&amp;""""&amp;Dashboard!$"&amp;"L$1&amp;""""))),K1636))"),"")</f>
        <v/>
      </c>
      <c r="S1636" s="266" t="str">
        <f>IFERROR(__xludf.DUMMYFUNCTION("IF(ISBLANK(A1636),"""",IFERROR(IF(OR(Q1636=""GPB"",Q1636=""ZAR""),IF(Q1636=Dashboard!$L$1,M1636,(M1636*GOOGLEFINANCE(""CURRENCY:""&amp;Q1636&amp;""""&amp;Dashboard!$L$1&amp;""""))/100),IF(Q1636=Dashboard!$L$1,M1636,M1636*GOOGLEFINANCE(""CURRENCY:""&amp;Q1636&amp;""""&amp;Dashboard!$"&amp;"L$1&amp;""""))),M1636))"),"")</f>
        <v/>
      </c>
      <c r="T1636" s="264" t="str">
        <f t="shared" si="4"/>
        <v/>
      </c>
      <c r="U1636" s="264" t="str">
        <f t="shared" si="5"/>
        <v/>
      </c>
      <c r="V1636" s="264" t="str">
        <f t="shared" si="6"/>
        <v/>
      </c>
      <c r="W1636" s="267" t="str">
        <f t="shared" si="8"/>
        <v/>
      </c>
      <c r="X1636" s="264" t="str">
        <f t="shared" si="7"/>
        <v/>
      </c>
    </row>
    <row r="1637" ht="15.75" customHeight="1">
      <c r="A1637" s="258"/>
      <c r="B1637" s="258"/>
      <c r="C1637" s="269"/>
      <c r="D1637" s="258"/>
      <c r="E1637" s="258"/>
      <c r="F1637" s="258"/>
      <c r="G1637" s="258"/>
      <c r="H1637" s="271"/>
      <c r="I1637" s="258"/>
      <c r="J1637" s="272"/>
      <c r="K1637" s="260"/>
      <c r="L1637" s="261"/>
      <c r="M1637" s="262" t="str">
        <f t="shared" si="1"/>
        <v/>
      </c>
      <c r="N1637" s="263" t="str">
        <f t="shared" si="2"/>
        <v/>
      </c>
      <c r="O1637" s="264" t="str">
        <f t="shared" si="3"/>
        <v/>
      </c>
      <c r="P1637" s="265" t="str">
        <f>IFERROR(__xludf.DUMMYFUNCTION("IF(ISBLANK(A1637),"""",IFERROR(IF(H1637=""Sell"",VLOOKUP(9^99,FILTER({ROW(P$2:P1636),P$2:P1636},D$2:D1636=D1637),2),(VLOOKUP(9^99,FILTER({ROW(P$2:P1636),P$2:P1636},D$2:D1636=D1637),2)*VLOOKUP(9^99,FILTER({ROW(O$2:O1636),O$2:O1636},D$2:D1636=D1637),2)-N163"&amp;"7)/O1637),J1637))"),"")</f>
        <v/>
      </c>
      <c r="Q1637" s="264" t="str">
        <f>IFERROR(__xludf.DUMMYFUNCTION("IFERROR(IF(F1637=""Crypto"",B1637,(IF(ISBLANK(D1637),"""",IF(D1637=""Cash"",B1637,IF(GOOGLEFINANCE(D1637,""CURRENCY"")=""GBX"",""GBP"",GOOGLEFINANCE(D1637,""CURRENCY"")))))),B1637)"),"")</f>
        <v/>
      </c>
      <c r="R1637" s="263" t="str">
        <f>IFERROR(__xludf.DUMMYFUNCTION("IF(ISBLANK(A1637),"""",IFERROR(IF(OR(Q1637=""GPB"",Q1637=""ZAR""),IF(Q1637=Dashboard!$L$1,K1637,(K1637*GOOGLEFINANCE(""CURRENCY:""&amp;Q1637&amp;""""&amp;Dashboard!$L$1&amp;""""))/100),IF(Q1637=Dashboard!$L$1,K1637,K1637*GOOGLEFINANCE(""CURRENCY:""&amp;Q1637&amp;""""&amp;Dashboard!$"&amp;"L$1&amp;""""))),K1637))"),"")</f>
        <v/>
      </c>
      <c r="S1637" s="266" t="str">
        <f>IFERROR(__xludf.DUMMYFUNCTION("IF(ISBLANK(A1637),"""",IFERROR(IF(OR(Q1637=""GPB"",Q1637=""ZAR""),IF(Q1637=Dashboard!$L$1,M1637,(M1637*GOOGLEFINANCE(""CURRENCY:""&amp;Q1637&amp;""""&amp;Dashboard!$L$1&amp;""""))/100),IF(Q1637=Dashboard!$L$1,M1637,M1637*GOOGLEFINANCE(""CURRENCY:""&amp;Q1637&amp;""""&amp;Dashboard!$"&amp;"L$1&amp;""""))),M1637))"),"")</f>
        <v/>
      </c>
      <c r="T1637" s="264" t="str">
        <f t="shared" si="4"/>
        <v/>
      </c>
      <c r="U1637" s="264" t="str">
        <f t="shared" si="5"/>
        <v/>
      </c>
      <c r="V1637" s="264" t="str">
        <f t="shared" si="6"/>
        <v/>
      </c>
      <c r="W1637" s="267" t="str">
        <f t="shared" si="8"/>
        <v/>
      </c>
      <c r="X1637" s="264" t="str">
        <f t="shared" si="7"/>
        <v/>
      </c>
    </row>
    <row r="1638" ht="15.75" customHeight="1">
      <c r="A1638" s="258"/>
      <c r="B1638" s="258"/>
      <c r="C1638" s="269"/>
      <c r="D1638" s="258"/>
      <c r="E1638" s="258"/>
      <c r="F1638" s="258"/>
      <c r="G1638" s="258"/>
      <c r="H1638" s="271"/>
      <c r="I1638" s="258"/>
      <c r="J1638" s="272"/>
      <c r="K1638" s="260"/>
      <c r="L1638" s="261"/>
      <c r="M1638" s="262" t="str">
        <f t="shared" si="1"/>
        <v/>
      </c>
      <c r="N1638" s="263" t="str">
        <f t="shared" si="2"/>
        <v/>
      </c>
      <c r="O1638" s="264" t="str">
        <f t="shared" si="3"/>
        <v/>
      </c>
      <c r="P1638" s="265" t="str">
        <f>IFERROR(__xludf.DUMMYFUNCTION("IF(ISBLANK(A1638),"""",IFERROR(IF(H1638=""Sell"",VLOOKUP(9^99,FILTER({ROW(P$2:P1637),P$2:P1637},D$2:D1637=D1638),2),(VLOOKUP(9^99,FILTER({ROW(P$2:P1637),P$2:P1637},D$2:D1637=D1638),2)*VLOOKUP(9^99,FILTER({ROW(O$2:O1637),O$2:O1637},D$2:D1637=D1638),2)-N163"&amp;"8)/O1638),J1638))"),"")</f>
        <v/>
      </c>
      <c r="Q1638" s="264" t="str">
        <f>IFERROR(__xludf.DUMMYFUNCTION("IFERROR(IF(F1638=""Crypto"",B1638,(IF(ISBLANK(D1638),"""",IF(D1638=""Cash"",B1638,IF(GOOGLEFINANCE(D1638,""CURRENCY"")=""GBX"",""GBP"",GOOGLEFINANCE(D1638,""CURRENCY"")))))),B1638)"),"")</f>
        <v/>
      </c>
      <c r="R1638" s="263" t="str">
        <f>IFERROR(__xludf.DUMMYFUNCTION("IF(ISBLANK(A1638),"""",IFERROR(IF(OR(Q1638=""GPB"",Q1638=""ZAR""),IF(Q1638=Dashboard!$L$1,K1638,(K1638*GOOGLEFINANCE(""CURRENCY:""&amp;Q1638&amp;""""&amp;Dashboard!$L$1&amp;""""))/100),IF(Q1638=Dashboard!$L$1,K1638,K1638*GOOGLEFINANCE(""CURRENCY:""&amp;Q1638&amp;""""&amp;Dashboard!$"&amp;"L$1&amp;""""))),K1638))"),"")</f>
        <v/>
      </c>
      <c r="S1638" s="266" t="str">
        <f>IFERROR(__xludf.DUMMYFUNCTION("IF(ISBLANK(A1638),"""",IFERROR(IF(OR(Q1638=""GPB"",Q1638=""ZAR""),IF(Q1638=Dashboard!$L$1,M1638,(M1638*GOOGLEFINANCE(""CURRENCY:""&amp;Q1638&amp;""""&amp;Dashboard!$L$1&amp;""""))/100),IF(Q1638=Dashboard!$L$1,M1638,M1638*GOOGLEFINANCE(""CURRENCY:""&amp;Q1638&amp;""""&amp;Dashboard!$"&amp;"L$1&amp;""""))),M1638))"),"")</f>
        <v/>
      </c>
      <c r="T1638" s="264" t="str">
        <f t="shared" si="4"/>
        <v/>
      </c>
      <c r="U1638" s="264" t="str">
        <f t="shared" si="5"/>
        <v/>
      </c>
      <c r="V1638" s="264" t="str">
        <f t="shared" si="6"/>
        <v/>
      </c>
      <c r="W1638" s="267" t="str">
        <f t="shared" si="8"/>
        <v/>
      </c>
      <c r="X1638" s="264" t="str">
        <f t="shared" si="7"/>
        <v/>
      </c>
    </row>
    <row r="1639" ht="15.75" customHeight="1">
      <c r="A1639" s="258"/>
      <c r="B1639" s="258"/>
      <c r="C1639" s="269"/>
      <c r="D1639" s="258"/>
      <c r="E1639" s="258"/>
      <c r="F1639" s="258"/>
      <c r="G1639" s="258"/>
      <c r="H1639" s="271"/>
      <c r="I1639" s="258"/>
      <c r="J1639" s="272"/>
      <c r="K1639" s="260"/>
      <c r="L1639" s="261"/>
      <c r="M1639" s="262" t="str">
        <f t="shared" si="1"/>
        <v/>
      </c>
      <c r="N1639" s="263" t="str">
        <f t="shared" si="2"/>
        <v/>
      </c>
      <c r="O1639" s="264" t="str">
        <f t="shared" si="3"/>
        <v/>
      </c>
      <c r="P1639" s="265" t="str">
        <f>IFERROR(__xludf.DUMMYFUNCTION("IF(ISBLANK(A1639),"""",IFERROR(IF(H1639=""Sell"",VLOOKUP(9^99,FILTER({ROW(P$2:P1638),P$2:P1638},D$2:D1638=D1639),2),(VLOOKUP(9^99,FILTER({ROW(P$2:P1638),P$2:P1638},D$2:D1638=D1639),2)*VLOOKUP(9^99,FILTER({ROW(O$2:O1638),O$2:O1638},D$2:D1638=D1639),2)-N163"&amp;"9)/O1639),J1639))"),"")</f>
        <v/>
      </c>
      <c r="Q1639" s="264" t="str">
        <f>IFERROR(__xludf.DUMMYFUNCTION("IFERROR(IF(F1639=""Crypto"",B1639,(IF(ISBLANK(D1639),"""",IF(D1639=""Cash"",B1639,IF(GOOGLEFINANCE(D1639,""CURRENCY"")=""GBX"",""GBP"",GOOGLEFINANCE(D1639,""CURRENCY"")))))),B1639)"),"")</f>
        <v/>
      </c>
      <c r="R1639" s="263" t="str">
        <f>IFERROR(__xludf.DUMMYFUNCTION("IF(ISBLANK(A1639),"""",IFERROR(IF(OR(Q1639=""GPB"",Q1639=""ZAR""),IF(Q1639=Dashboard!$L$1,K1639,(K1639*GOOGLEFINANCE(""CURRENCY:""&amp;Q1639&amp;""""&amp;Dashboard!$L$1&amp;""""))/100),IF(Q1639=Dashboard!$L$1,K1639,K1639*GOOGLEFINANCE(""CURRENCY:""&amp;Q1639&amp;""""&amp;Dashboard!$"&amp;"L$1&amp;""""))),K1639))"),"")</f>
        <v/>
      </c>
      <c r="S1639" s="266" t="str">
        <f>IFERROR(__xludf.DUMMYFUNCTION("IF(ISBLANK(A1639),"""",IFERROR(IF(OR(Q1639=""GPB"",Q1639=""ZAR""),IF(Q1639=Dashboard!$L$1,M1639,(M1639*GOOGLEFINANCE(""CURRENCY:""&amp;Q1639&amp;""""&amp;Dashboard!$L$1&amp;""""))/100),IF(Q1639=Dashboard!$L$1,M1639,M1639*GOOGLEFINANCE(""CURRENCY:""&amp;Q1639&amp;""""&amp;Dashboard!$"&amp;"L$1&amp;""""))),M1639))"),"")</f>
        <v/>
      </c>
      <c r="T1639" s="264" t="str">
        <f t="shared" si="4"/>
        <v/>
      </c>
      <c r="U1639" s="264" t="str">
        <f t="shared" si="5"/>
        <v/>
      </c>
      <c r="V1639" s="264" t="str">
        <f t="shared" si="6"/>
        <v/>
      </c>
      <c r="W1639" s="267" t="str">
        <f t="shared" si="8"/>
        <v/>
      </c>
      <c r="X1639" s="264" t="str">
        <f t="shared" si="7"/>
        <v/>
      </c>
    </row>
    <row r="1640" ht="15.75" customHeight="1">
      <c r="A1640" s="258"/>
      <c r="B1640" s="258"/>
      <c r="C1640" s="269"/>
      <c r="D1640" s="258"/>
      <c r="E1640" s="258"/>
      <c r="F1640" s="258"/>
      <c r="G1640" s="258"/>
      <c r="H1640" s="271"/>
      <c r="I1640" s="258"/>
      <c r="J1640" s="272"/>
      <c r="K1640" s="260"/>
      <c r="L1640" s="261"/>
      <c r="M1640" s="262" t="str">
        <f t="shared" si="1"/>
        <v/>
      </c>
      <c r="N1640" s="263" t="str">
        <f t="shared" si="2"/>
        <v/>
      </c>
      <c r="O1640" s="264" t="str">
        <f t="shared" si="3"/>
        <v/>
      </c>
      <c r="P1640" s="265" t="str">
        <f>IFERROR(__xludf.DUMMYFUNCTION("IF(ISBLANK(A1640),"""",IFERROR(IF(H1640=""Sell"",VLOOKUP(9^99,FILTER({ROW(P$2:P1639),P$2:P1639},D$2:D1639=D1640),2),(VLOOKUP(9^99,FILTER({ROW(P$2:P1639),P$2:P1639},D$2:D1639=D1640),2)*VLOOKUP(9^99,FILTER({ROW(O$2:O1639),O$2:O1639},D$2:D1639=D1640),2)-N164"&amp;"0)/O1640),J1640))"),"")</f>
        <v/>
      </c>
      <c r="Q1640" s="264" t="str">
        <f>IFERROR(__xludf.DUMMYFUNCTION("IFERROR(IF(F1640=""Crypto"",B1640,(IF(ISBLANK(D1640),"""",IF(D1640=""Cash"",B1640,IF(GOOGLEFINANCE(D1640,""CURRENCY"")=""GBX"",""GBP"",GOOGLEFINANCE(D1640,""CURRENCY"")))))),B1640)"),"")</f>
        <v/>
      </c>
      <c r="R1640" s="263" t="str">
        <f>IFERROR(__xludf.DUMMYFUNCTION("IF(ISBLANK(A1640),"""",IFERROR(IF(OR(Q1640=""GPB"",Q1640=""ZAR""),IF(Q1640=Dashboard!$L$1,K1640,(K1640*GOOGLEFINANCE(""CURRENCY:""&amp;Q1640&amp;""""&amp;Dashboard!$L$1&amp;""""))/100),IF(Q1640=Dashboard!$L$1,K1640,K1640*GOOGLEFINANCE(""CURRENCY:""&amp;Q1640&amp;""""&amp;Dashboard!$"&amp;"L$1&amp;""""))),K1640))"),"")</f>
        <v/>
      </c>
      <c r="S1640" s="266" t="str">
        <f>IFERROR(__xludf.DUMMYFUNCTION("IF(ISBLANK(A1640),"""",IFERROR(IF(OR(Q1640=""GPB"",Q1640=""ZAR""),IF(Q1640=Dashboard!$L$1,M1640,(M1640*GOOGLEFINANCE(""CURRENCY:""&amp;Q1640&amp;""""&amp;Dashboard!$L$1&amp;""""))/100),IF(Q1640=Dashboard!$L$1,M1640,M1640*GOOGLEFINANCE(""CURRENCY:""&amp;Q1640&amp;""""&amp;Dashboard!$"&amp;"L$1&amp;""""))),M1640))"),"")</f>
        <v/>
      </c>
      <c r="T1640" s="264" t="str">
        <f t="shared" si="4"/>
        <v/>
      </c>
      <c r="U1640" s="264" t="str">
        <f t="shared" si="5"/>
        <v/>
      </c>
      <c r="V1640" s="264" t="str">
        <f t="shared" si="6"/>
        <v/>
      </c>
      <c r="W1640" s="267" t="str">
        <f t="shared" si="8"/>
        <v/>
      </c>
      <c r="X1640" s="264" t="str">
        <f t="shared" si="7"/>
        <v/>
      </c>
    </row>
    <row r="1641" ht="15.75" customHeight="1">
      <c r="A1641" s="258"/>
      <c r="B1641" s="258"/>
      <c r="C1641" s="269"/>
      <c r="D1641" s="258"/>
      <c r="E1641" s="258"/>
      <c r="F1641" s="258"/>
      <c r="G1641" s="258"/>
      <c r="H1641" s="271"/>
      <c r="I1641" s="258"/>
      <c r="J1641" s="272"/>
      <c r="K1641" s="260"/>
      <c r="L1641" s="261"/>
      <c r="M1641" s="262" t="str">
        <f t="shared" si="1"/>
        <v/>
      </c>
      <c r="N1641" s="263" t="str">
        <f t="shared" si="2"/>
        <v/>
      </c>
      <c r="O1641" s="264" t="str">
        <f t="shared" si="3"/>
        <v/>
      </c>
      <c r="P1641" s="265" t="str">
        <f>IFERROR(__xludf.DUMMYFUNCTION("IF(ISBLANK(A1641),"""",IFERROR(IF(H1641=""Sell"",VLOOKUP(9^99,FILTER({ROW(P$2:P1640),P$2:P1640},D$2:D1640=D1641),2),(VLOOKUP(9^99,FILTER({ROW(P$2:P1640),P$2:P1640},D$2:D1640=D1641),2)*VLOOKUP(9^99,FILTER({ROW(O$2:O1640),O$2:O1640},D$2:D1640=D1641),2)-N164"&amp;"1)/O1641),J1641))"),"")</f>
        <v/>
      </c>
      <c r="Q1641" s="264" t="str">
        <f>IFERROR(__xludf.DUMMYFUNCTION("IFERROR(IF(F1641=""Crypto"",B1641,(IF(ISBLANK(D1641),"""",IF(D1641=""Cash"",B1641,IF(GOOGLEFINANCE(D1641,""CURRENCY"")=""GBX"",""GBP"",GOOGLEFINANCE(D1641,""CURRENCY"")))))),B1641)"),"")</f>
        <v/>
      </c>
      <c r="R1641" s="263" t="str">
        <f>IFERROR(__xludf.DUMMYFUNCTION("IF(ISBLANK(A1641),"""",IFERROR(IF(OR(Q1641=""GPB"",Q1641=""ZAR""),IF(Q1641=Dashboard!$L$1,K1641,(K1641*GOOGLEFINANCE(""CURRENCY:""&amp;Q1641&amp;""""&amp;Dashboard!$L$1&amp;""""))/100),IF(Q1641=Dashboard!$L$1,K1641,K1641*GOOGLEFINANCE(""CURRENCY:""&amp;Q1641&amp;""""&amp;Dashboard!$"&amp;"L$1&amp;""""))),K1641))"),"")</f>
        <v/>
      </c>
      <c r="S1641" s="266" t="str">
        <f>IFERROR(__xludf.DUMMYFUNCTION("IF(ISBLANK(A1641),"""",IFERROR(IF(OR(Q1641=""GPB"",Q1641=""ZAR""),IF(Q1641=Dashboard!$L$1,M1641,(M1641*GOOGLEFINANCE(""CURRENCY:""&amp;Q1641&amp;""""&amp;Dashboard!$L$1&amp;""""))/100),IF(Q1641=Dashboard!$L$1,M1641,M1641*GOOGLEFINANCE(""CURRENCY:""&amp;Q1641&amp;""""&amp;Dashboard!$"&amp;"L$1&amp;""""))),M1641))"),"")</f>
        <v/>
      </c>
      <c r="T1641" s="264" t="str">
        <f t="shared" si="4"/>
        <v/>
      </c>
      <c r="U1641" s="264" t="str">
        <f t="shared" si="5"/>
        <v/>
      </c>
      <c r="V1641" s="264" t="str">
        <f t="shared" si="6"/>
        <v/>
      </c>
      <c r="W1641" s="267" t="str">
        <f t="shared" si="8"/>
        <v/>
      </c>
      <c r="X1641" s="264" t="str">
        <f t="shared" si="7"/>
        <v/>
      </c>
    </row>
    <row r="1642" ht="15.75" customHeight="1">
      <c r="A1642" s="258"/>
      <c r="B1642" s="258"/>
      <c r="C1642" s="269"/>
      <c r="D1642" s="258"/>
      <c r="E1642" s="258"/>
      <c r="F1642" s="258"/>
      <c r="G1642" s="258"/>
      <c r="H1642" s="271"/>
      <c r="I1642" s="258"/>
      <c r="J1642" s="272"/>
      <c r="K1642" s="260"/>
      <c r="L1642" s="261"/>
      <c r="M1642" s="262" t="str">
        <f t="shared" si="1"/>
        <v/>
      </c>
      <c r="N1642" s="263" t="str">
        <f t="shared" si="2"/>
        <v/>
      </c>
      <c r="O1642" s="264" t="str">
        <f t="shared" si="3"/>
        <v/>
      </c>
      <c r="P1642" s="265" t="str">
        <f>IFERROR(__xludf.DUMMYFUNCTION("IF(ISBLANK(A1642),"""",IFERROR(IF(H1642=""Sell"",VLOOKUP(9^99,FILTER({ROW(P$2:P1641),P$2:P1641},D$2:D1641=D1642),2),(VLOOKUP(9^99,FILTER({ROW(P$2:P1641),P$2:P1641},D$2:D1641=D1642),2)*VLOOKUP(9^99,FILTER({ROW(O$2:O1641),O$2:O1641},D$2:D1641=D1642),2)-N164"&amp;"2)/O1642),J1642))"),"")</f>
        <v/>
      </c>
      <c r="Q1642" s="264" t="str">
        <f>IFERROR(__xludf.DUMMYFUNCTION("IFERROR(IF(F1642=""Crypto"",B1642,(IF(ISBLANK(D1642),"""",IF(D1642=""Cash"",B1642,IF(GOOGLEFINANCE(D1642,""CURRENCY"")=""GBX"",""GBP"",GOOGLEFINANCE(D1642,""CURRENCY"")))))),B1642)"),"")</f>
        <v/>
      </c>
      <c r="R1642" s="263" t="str">
        <f>IFERROR(__xludf.DUMMYFUNCTION("IF(ISBLANK(A1642),"""",IFERROR(IF(OR(Q1642=""GPB"",Q1642=""ZAR""),IF(Q1642=Dashboard!$L$1,K1642,(K1642*GOOGLEFINANCE(""CURRENCY:""&amp;Q1642&amp;""""&amp;Dashboard!$L$1&amp;""""))/100),IF(Q1642=Dashboard!$L$1,K1642,K1642*GOOGLEFINANCE(""CURRENCY:""&amp;Q1642&amp;""""&amp;Dashboard!$"&amp;"L$1&amp;""""))),K1642))"),"")</f>
        <v/>
      </c>
      <c r="S1642" s="266" t="str">
        <f>IFERROR(__xludf.DUMMYFUNCTION("IF(ISBLANK(A1642),"""",IFERROR(IF(OR(Q1642=""GPB"",Q1642=""ZAR""),IF(Q1642=Dashboard!$L$1,M1642,(M1642*GOOGLEFINANCE(""CURRENCY:""&amp;Q1642&amp;""""&amp;Dashboard!$L$1&amp;""""))/100),IF(Q1642=Dashboard!$L$1,M1642,M1642*GOOGLEFINANCE(""CURRENCY:""&amp;Q1642&amp;""""&amp;Dashboard!$"&amp;"L$1&amp;""""))),M1642))"),"")</f>
        <v/>
      </c>
      <c r="T1642" s="264" t="str">
        <f t="shared" si="4"/>
        <v/>
      </c>
      <c r="U1642" s="264" t="str">
        <f t="shared" si="5"/>
        <v/>
      </c>
      <c r="V1642" s="264" t="str">
        <f t="shared" si="6"/>
        <v/>
      </c>
      <c r="W1642" s="267" t="str">
        <f t="shared" si="8"/>
        <v/>
      </c>
      <c r="X1642" s="264" t="str">
        <f t="shared" si="7"/>
        <v/>
      </c>
    </row>
    <row r="1643" ht="15.75" customHeight="1">
      <c r="A1643" s="258"/>
      <c r="B1643" s="258"/>
      <c r="C1643" s="269"/>
      <c r="D1643" s="258"/>
      <c r="E1643" s="258"/>
      <c r="F1643" s="258"/>
      <c r="G1643" s="258"/>
      <c r="H1643" s="271"/>
      <c r="I1643" s="258"/>
      <c r="J1643" s="272"/>
      <c r="K1643" s="260"/>
      <c r="L1643" s="261"/>
      <c r="M1643" s="262" t="str">
        <f t="shared" si="1"/>
        <v/>
      </c>
      <c r="N1643" s="263" t="str">
        <f t="shared" si="2"/>
        <v/>
      </c>
      <c r="O1643" s="264" t="str">
        <f t="shared" si="3"/>
        <v/>
      </c>
      <c r="P1643" s="265" t="str">
        <f>IFERROR(__xludf.DUMMYFUNCTION("IF(ISBLANK(A1643),"""",IFERROR(IF(H1643=""Sell"",VLOOKUP(9^99,FILTER({ROW(P$2:P1642),P$2:P1642},D$2:D1642=D1643),2),(VLOOKUP(9^99,FILTER({ROW(P$2:P1642),P$2:P1642},D$2:D1642=D1643),2)*VLOOKUP(9^99,FILTER({ROW(O$2:O1642),O$2:O1642},D$2:D1642=D1643),2)-N164"&amp;"3)/O1643),J1643))"),"")</f>
        <v/>
      </c>
      <c r="Q1643" s="264" t="str">
        <f>IFERROR(__xludf.DUMMYFUNCTION("IFERROR(IF(F1643=""Crypto"",B1643,(IF(ISBLANK(D1643),"""",IF(D1643=""Cash"",B1643,IF(GOOGLEFINANCE(D1643,""CURRENCY"")=""GBX"",""GBP"",GOOGLEFINANCE(D1643,""CURRENCY"")))))),B1643)"),"")</f>
        <v/>
      </c>
      <c r="R1643" s="263" t="str">
        <f>IFERROR(__xludf.DUMMYFUNCTION("IF(ISBLANK(A1643),"""",IFERROR(IF(OR(Q1643=""GPB"",Q1643=""ZAR""),IF(Q1643=Dashboard!$L$1,K1643,(K1643*GOOGLEFINANCE(""CURRENCY:""&amp;Q1643&amp;""""&amp;Dashboard!$L$1&amp;""""))/100),IF(Q1643=Dashboard!$L$1,K1643,K1643*GOOGLEFINANCE(""CURRENCY:""&amp;Q1643&amp;""""&amp;Dashboard!$"&amp;"L$1&amp;""""))),K1643))"),"")</f>
        <v/>
      </c>
      <c r="S1643" s="266" t="str">
        <f>IFERROR(__xludf.DUMMYFUNCTION("IF(ISBLANK(A1643),"""",IFERROR(IF(OR(Q1643=""GPB"",Q1643=""ZAR""),IF(Q1643=Dashboard!$L$1,M1643,(M1643*GOOGLEFINANCE(""CURRENCY:""&amp;Q1643&amp;""""&amp;Dashboard!$L$1&amp;""""))/100),IF(Q1643=Dashboard!$L$1,M1643,M1643*GOOGLEFINANCE(""CURRENCY:""&amp;Q1643&amp;""""&amp;Dashboard!$"&amp;"L$1&amp;""""))),M1643))"),"")</f>
        <v/>
      </c>
      <c r="T1643" s="264" t="str">
        <f t="shared" si="4"/>
        <v/>
      </c>
      <c r="U1643" s="264" t="str">
        <f t="shared" si="5"/>
        <v/>
      </c>
      <c r="V1643" s="264" t="str">
        <f t="shared" si="6"/>
        <v/>
      </c>
      <c r="W1643" s="267" t="str">
        <f t="shared" si="8"/>
        <v/>
      </c>
      <c r="X1643" s="264" t="str">
        <f t="shared" si="7"/>
        <v/>
      </c>
    </row>
    <row r="1644" ht="15.75" customHeight="1">
      <c r="A1644" s="258"/>
      <c r="B1644" s="258"/>
      <c r="C1644" s="269"/>
      <c r="D1644" s="258"/>
      <c r="E1644" s="258"/>
      <c r="F1644" s="258"/>
      <c r="G1644" s="258"/>
      <c r="H1644" s="271"/>
      <c r="I1644" s="258"/>
      <c r="J1644" s="272"/>
      <c r="K1644" s="260"/>
      <c r="L1644" s="261"/>
      <c r="M1644" s="262" t="str">
        <f t="shared" si="1"/>
        <v/>
      </c>
      <c r="N1644" s="263" t="str">
        <f t="shared" si="2"/>
        <v/>
      </c>
      <c r="O1644" s="264" t="str">
        <f t="shared" si="3"/>
        <v/>
      </c>
      <c r="P1644" s="265" t="str">
        <f>IFERROR(__xludf.DUMMYFUNCTION("IF(ISBLANK(A1644),"""",IFERROR(IF(H1644=""Sell"",VLOOKUP(9^99,FILTER({ROW(P$2:P1643),P$2:P1643},D$2:D1643=D1644),2),(VLOOKUP(9^99,FILTER({ROW(P$2:P1643),P$2:P1643},D$2:D1643=D1644),2)*VLOOKUP(9^99,FILTER({ROW(O$2:O1643),O$2:O1643},D$2:D1643=D1644),2)-N164"&amp;"4)/O1644),J1644))"),"")</f>
        <v/>
      </c>
      <c r="Q1644" s="264" t="str">
        <f>IFERROR(__xludf.DUMMYFUNCTION("IFERROR(IF(F1644=""Crypto"",B1644,(IF(ISBLANK(D1644),"""",IF(D1644=""Cash"",B1644,IF(GOOGLEFINANCE(D1644,""CURRENCY"")=""GBX"",""GBP"",GOOGLEFINANCE(D1644,""CURRENCY"")))))),B1644)"),"")</f>
        <v/>
      </c>
      <c r="R1644" s="263" t="str">
        <f>IFERROR(__xludf.DUMMYFUNCTION("IF(ISBLANK(A1644),"""",IFERROR(IF(OR(Q1644=""GPB"",Q1644=""ZAR""),IF(Q1644=Dashboard!$L$1,K1644,(K1644*GOOGLEFINANCE(""CURRENCY:""&amp;Q1644&amp;""""&amp;Dashboard!$L$1&amp;""""))/100),IF(Q1644=Dashboard!$L$1,K1644,K1644*GOOGLEFINANCE(""CURRENCY:""&amp;Q1644&amp;""""&amp;Dashboard!$"&amp;"L$1&amp;""""))),K1644))"),"")</f>
        <v/>
      </c>
      <c r="S1644" s="266" t="str">
        <f>IFERROR(__xludf.DUMMYFUNCTION("IF(ISBLANK(A1644),"""",IFERROR(IF(OR(Q1644=""GPB"",Q1644=""ZAR""),IF(Q1644=Dashboard!$L$1,M1644,(M1644*GOOGLEFINANCE(""CURRENCY:""&amp;Q1644&amp;""""&amp;Dashboard!$L$1&amp;""""))/100),IF(Q1644=Dashboard!$L$1,M1644,M1644*GOOGLEFINANCE(""CURRENCY:""&amp;Q1644&amp;""""&amp;Dashboard!$"&amp;"L$1&amp;""""))),M1644))"),"")</f>
        <v/>
      </c>
      <c r="T1644" s="264" t="str">
        <f t="shared" si="4"/>
        <v/>
      </c>
      <c r="U1644" s="264" t="str">
        <f t="shared" si="5"/>
        <v/>
      </c>
      <c r="V1644" s="264" t="str">
        <f t="shared" si="6"/>
        <v/>
      </c>
      <c r="W1644" s="267" t="str">
        <f t="shared" si="8"/>
        <v/>
      </c>
      <c r="X1644" s="264" t="str">
        <f t="shared" si="7"/>
        <v/>
      </c>
    </row>
    <row r="1645" ht="15.75" customHeight="1">
      <c r="A1645" s="258"/>
      <c r="B1645" s="258"/>
      <c r="C1645" s="269"/>
      <c r="D1645" s="258"/>
      <c r="E1645" s="258"/>
      <c r="F1645" s="258"/>
      <c r="G1645" s="258"/>
      <c r="H1645" s="271"/>
      <c r="I1645" s="258"/>
      <c r="J1645" s="272"/>
      <c r="K1645" s="260"/>
      <c r="L1645" s="261"/>
      <c r="M1645" s="262" t="str">
        <f t="shared" si="1"/>
        <v/>
      </c>
      <c r="N1645" s="263" t="str">
        <f t="shared" si="2"/>
        <v/>
      </c>
      <c r="O1645" s="264" t="str">
        <f t="shared" si="3"/>
        <v/>
      </c>
      <c r="P1645" s="265" t="str">
        <f>IFERROR(__xludf.DUMMYFUNCTION("IF(ISBLANK(A1645),"""",IFERROR(IF(H1645=""Sell"",VLOOKUP(9^99,FILTER({ROW(P$2:P1644),P$2:P1644},D$2:D1644=D1645),2),(VLOOKUP(9^99,FILTER({ROW(P$2:P1644),P$2:P1644},D$2:D1644=D1645),2)*VLOOKUP(9^99,FILTER({ROW(O$2:O1644),O$2:O1644},D$2:D1644=D1645),2)-N164"&amp;"5)/O1645),J1645))"),"")</f>
        <v/>
      </c>
      <c r="Q1645" s="264" t="str">
        <f>IFERROR(__xludf.DUMMYFUNCTION("IFERROR(IF(F1645=""Crypto"",B1645,(IF(ISBLANK(D1645),"""",IF(D1645=""Cash"",B1645,IF(GOOGLEFINANCE(D1645,""CURRENCY"")=""GBX"",""GBP"",GOOGLEFINANCE(D1645,""CURRENCY"")))))),B1645)"),"")</f>
        <v/>
      </c>
      <c r="R1645" s="263" t="str">
        <f>IFERROR(__xludf.DUMMYFUNCTION("IF(ISBLANK(A1645),"""",IFERROR(IF(OR(Q1645=""GPB"",Q1645=""ZAR""),IF(Q1645=Dashboard!$L$1,K1645,(K1645*GOOGLEFINANCE(""CURRENCY:""&amp;Q1645&amp;""""&amp;Dashboard!$L$1&amp;""""))/100),IF(Q1645=Dashboard!$L$1,K1645,K1645*GOOGLEFINANCE(""CURRENCY:""&amp;Q1645&amp;""""&amp;Dashboard!$"&amp;"L$1&amp;""""))),K1645))"),"")</f>
        <v/>
      </c>
      <c r="S1645" s="266" t="str">
        <f>IFERROR(__xludf.DUMMYFUNCTION("IF(ISBLANK(A1645),"""",IFERROR(IF(OR(Q1645=""GPB"",Q1645=""ZAR""),IF(Q1645=Dashboard!$L$1,M1645,(M1645*GOOGLEFINANCE(""CURRENCY:""&amp;Q1645&amp;""""&amp;Dashboard!$L$1&amp;""""))/100),IF(Q1645=Dashboard!$L$1,M1645,M1645*GOOGLEFINANCE(""CURRENCY:""&amp;Q1645&amp;""""&amp;Dashboard!$"&amp;"L$1&amp;""""))),M1645))"),"")</f>
        <v/>
      </c>
      <c r="T1645" s="264" t="str">
        <f t="shared" si="4"/>
        <v/>
      </c>
      <c r="U1645" s="264" t="str">
        <f t="shared" si="5"/>
        <v/>
      </c>
      <c r="V1645" s="264" t="str">
        <f t="shared" si="6"/>
        <v/>
      </c>
      <c r="W1645" s="267" t="str">
        <f t="shared" si="8"/>
        <v/>
      </c>
      <c r="X1645" s="264" t="str">
        <f t="shared" si="7"/>
        <v/>
      </c>
    </row>
    <row r="1646" ht="15.75" customHeight="1">
      <c r="A1646" s="258"/>
      <c r="B1646" s="258"/>
      <c r="C1646" s="269"/>
      <c r="D1646" s="258"/>
      <c r="E1646" s="258"/>
      <c r="F1646" s="258"/>
      <c r="G1646" s="258"/>
      <c r="H1646" s="271"/>
      <c r="I1646" s="258"/>
      <c r="J1646" s="272"/>
      <c r="K1646" s="260"/>
      <c r="L1646" s="261"/>
      <c r="M1646" s="262" t="str">
        <f t="shared" si="1"/>
        <v/>
      </c>
      <c r="N1646" s="263" t="str">
        <f t="shared" si="2"/>
        <v/>
      </c>
      <c r="O1646" s="264" t="str">
        <f t="shared" si="3"/>
        <v/>
      </c>
      <c r="P1646" s="265" t="str">
        <f>IFERROR(__xludf.DUMMYFUNCTION("IF(ISBLANK(A1646),"""",IFERROR(IF(H1646=""Sell"",VLOOKUP(9^99,FILTER({ROW(P$2:P1645),P$2:P1645},D$2:D1645=D1646),2),(VLOOKUP(9^99,FILTER({ROW(P$2:P1645),P$2:P1645},D$2:D1645=D1646),2)*VLOOKUP(9^99,FILTER({ROW(O$2:O1645),O$2:O1645},D$2:D1645=D1646),2)-N164"&amp;"6)/O1646),J1646))"),"")</f>
        <v/>
      </c>
      <c r="Q1646" s="264" t="str">
        <f>IFERROR(__xludf.DUMMYFUNCTION("IFERROR(IF(F1646=""Crypto"",B1646,(IF(ISBLANK(D1646),"""",IF(D1646=""Cash"",B1646,IF(GOOGLEFINANCE(D1646,""CURRENCY"")=""GBX"",""GBP"",GOOGLEFINANCE(D1646,""CURRENCY"")))))),B1646)"),"")</f>
        <v/>
      </c>
      <c r="R1646" s="263" t="str">
        <f>IFERROR(__xludf.DUMMYFUNCTION("IF(ISBLANK(A1646),"""",IFERROR(IF(OR(Q1646=""GPB"",Q1646=""ZAR""),IF(Q1646=Dashboard!$L$1,K1646,(K1646*GOOGLEFINANCE(""CURRENCY:""&amp;Q1646&amp;""""&amp;Dashboard!$L$1&amp;""""))/100),IF(Q1646=Dashboard!$L$1,K1646,K1646*GOOGLEFINANCE(""CURRENCY:""&amp;Q1646&amp;""""&amp;Dashboard!$"&amp;"L$1&amp;""""))),K1646))"),"")</f>
        <v/>
      </c>
      <c r="S1646" s="266" t="str">
        <f>IFERROR(__xludf.DUMMYFUNCTION("IF(ISBLANK(A1646),"""",IFERROR(IF(OR(Q1646=""GPB"",Q1646=""ZAR""),IF(Q1646=Dashboard!$L$1,M1646,(M1646*GOOGLEFINANCE(""CURRENCY:""&amp;Q1646&amp;""""&amp;Dashboard!$L$1&amp;""""))/100),IF(Q1646=Dashboard!$L$1,M1646,M1646*GOOGLEFINANCE(""CURRENCY:""&amp;Q1646&amp;""""&amp;Dashboard!$"&amp;"L$1&amp;""""))),M1646))"),"")</f>
        <v/>
      </c>
      <c r="T1646" s="264" t="str">
        <f t="shared" si="4"/>
        <v/>
      </c>
      <c r="U1646" s="264" t="str">
        <f t="shared" si="5"/>
        <v/>
      </c>
      <c r="V1646" s="264" t="str">
        <f t="shared" si="6"/>
        <v/>
      </c>
      <c r="W1646" s="267" t="str">
        <f t="shared" si="8"/>
        <v/>
      </c>
      <c r="X1646" s="264" t="str">
        <f t="shared" si="7"/>
        <v/>
      </c>
    </row>
    <row r="1647" ht="15.75" customHeight="1">
      <c r="A1647" s="258"/>
      <c r="B1647" s="258"/>
      <c r="C1647" s="269"/>
      <c r="D1647" s="258"/>
      <c r="E1647" s="258"/>
      <c r="F1647" s="258"/>
      <c r="G1647" s="258"/>
      <c r="H1647" s="271"/>
      <c r="I1647" s="258"/>
      <c r="J1647" s="272"/>
      <c r="K1647" s="260"/>
      <c r="L1647" s="261"/>
      <c r="M1647" s="262" t="str">
        <f t="shared" si="1"/>
        <v/>
      </c>
      <c r="N1647" s="263" t="str">
        <f t="shared" si="2"/>
        <v/>
      </c>
      <c r="O1647" s="264" t="str">
        <f t="shared" si="3"/>
        <v/>
      </c>
      <c r="P1647" s="265" t="str">
        <f>IFERROR(__xludf.DUMMYFUNCTION("IF(ISBLANK(A1647),"""",IFERROR(IF(H1647=""Sell"",VLOOKUP(9^99,FILTER({ROW(P$2:P1646),P$2:P1646},D$2:D1646=D1647),2),(VLOOKUP(9^99,FILTER({ROW(P$2:P1646),P$2:P1646},D$2:D1646=D1647),2)*VLOOKUP(9^99,FILTER({ROW(O$2:O1646),O$2:O1646},D$2:D1646=D1647),2)-N164"&amp;"7)/O1647),J1647))"),"")</f>
        <v/>
      </c>
      <c r="Q1647" s="264" t="str">
        <f>IFERROR(__xludf.DUMMYFUNCTION("IFERROR(IF(F1647=""Crypto"",B1647,(IF(ISBLANK(D1647),"""",IF(D1647=""Cash"",B1647,IF(GOOGLEFINANCE(D1647,""CURRENCY"")=""GBX"",""GBP"",GOOGLEFINANCE(D1647,""CURRENCY"")))))),B1647)"),"")</f>
        <v/>
      </c>
      <c r="R1647" s="263" t="str">
        <f>IFERROR(__xludf.DUMMYFUNCTION("IF(ISBLANK(A1647),"""",IFERROR(IF(OR(Q1647=""GPB"",Q1647=""ZAR""),IF(Q1647=Dashboard!$L$1,K1647,(K1647*GOOGLEFINANCE(""CURRENCY:""&amp;Q1647&amp;""""&amp;Dashboard!$L$1&amp;""""))/100),IF(Q1647=Dashboard!$L$1,K1647,K1647*GOOGLEFINANCE(""CURRENCY:""&amp;Q1647&amp;""""&amp;Dashboard!$"&amp;"L$1&amp;""""))),K1647))"),"")</f>
        <v/>
      </c>
      <c r="S1647" s="266" t="str">
        <f>IFERROR(__xludf.DUMMYFUNCTION("IF(ISBLANK(A1647),"""",IFERROR(IF(OR(Q1647=""GPB"",Q1647=""ZAR""),IF(Q1647=Dashboard!$L$1,M1647,(M1647*GOOGLEFINANCE(""CURRENCY:""&amp;Q1647&amp;""""&amp;Dashboard!$L$1&amp;""""))/100),IF(Q1647=Dashboard!$L$1,M1647,M1647*GOOGLEFINANCE(""CURRENCY:""&amp;Q1647&amp;""""&amp;Dashboard!$"&amp;"L$1&amp;""""))),M1647))"),"")</f>
        <v/>
      </c>
      <c r="T1647" s="264" t="str">
        <f t="shared" si="4"/>
        <v/>
      </c>
      <c r="U1647" s="264" t="str">
        <f t="shared" si="5"/>
        <v/>
      </c>
      <c r="V1647" s="264" t="str">
        <f t="shared" si="6"/>
        <v/>
      </c>
      <c r="W1647" s="267" t="str">
        <f t="shared" si="8"/>
        <v/>
      </c>
      <c r="X1647" s="264" t="str">
        <f t="shared" si="7"/>
        <v/>
      </c>
    </row>
    <row r="1648" ht="15.75" customHeight="1">
      <c r="A1648" s="258"/>
      <c r="B1648" s="258"/>
      <c r="C1648" s="269"/>
      <c r="D1648" s="258"/>
      <c r="E1648" s="258"/>
      <c r="F1648" s="258"/>
      <c r="G1648" s="258"/>
      <c r="H1648" s="271"/>
      <c r="I1648" s="258"/>
      <c r="J1648" s="272"/>
      <c r="K1648" s="260"/>
      <c r="L1648" s="261"/>
      <c r="M1648" s="262" t="str">
        <f t="shared" si="1"/>
        <v/>
      </c>
      <c r="N1648" s="263" t="str">
        <f t="shared" si="2"/>
        <v/>
      </c>
      <c r="O1648" s="264" t="str">
        <f t="shared" si="3"/>
        <v/>
      </c>
      <c r="P1648" s="265" t="str">
        <f>IFERROR(__xludf.DUMMYFUNCTION("IF(ISBLANK(A1648),"""",IFERROR(IF(H1648=""Sell"",VLOOKUP(9^99,FILTER({ROW(P$2:P1647),P$2:P1647},D$2:D1647=D1648),2),(VLOOKUP(9^99,FILTER({ROW(P$2:P1647),P$2:P1647},D$2:D1647=D1648),2)*VLOOKUP(9^99,FILTER({ROW(O$2:O1647),O$2:O1647},D$2:D1647=D1648),2)-N164"&amp;"8)/O1648),J1648))"),"")</f>
        <v/>
      </c>
      <c r="Q1648" s="264" t="str">
        <f>IFERROR(__xludf.DUMMYFUNCTION("IFERROR(IF(F1648=""Crypto"",B1648,(IF(ISBLANK(D1648),"""",IF(D1648=""Cash"",B1648,IF(GOOGLEFINANCE(D1648,""CURRENCY"")=""GBX"",""GBP"",GOOGLEFINANCE(D1648,""CURRENCY"")))))),B1648)"),"")</f>
        <v/>
      </c>
      <c r="R1648" s="263" t="str">
        <f>IFERROR(__xludf.DUMMYFUNCTION("IF(ISBLANK(A1648),"""",IFERROR(IF(OR(Q1648=""GPB"",Q1648=""ZAR""),IF(Q1648=Dashboard!$L$1,K1648,(K1648*GOOGLEFINANCE(""CURRENCY:""&amp;Q1648&amp;""""&amp;Dashboard!$L$1&amp;""""))/100),IF(Q1648=Dashboard!$L$1,K1648,K1648*GOOGLEFINANCE(""CURRENCY:""&amp;Q1648&amp;""""&amp;Dashboard!$"&amp;"L$1&amp;""""))),K1648))"),"")</f>
        <v/>
      </c>
      <c r="S1648" s="266" t="str">
        <f>IFERROR(__xludf.DUMMYFUNCTION("IF(ISBLANK(A1648),"""",IFERROR(IF(OR(Q1648=""GPB"",Q1648=""ZAR""),IF(Q1648=Dashboard!$L$1,M1648,(M1648*GOOGLEFINANCE(""CURRENCY:""&amp;Q1648&amp;""""&amp;Dashboard!$L$1&amp;""""))/100),IF(Q1648=Dashboard!$L$1,M1648,M1648*GOOGLEFINANCE(""CURRENCY:""&amp;Q1648&amp;""""&amp;Dashboard!$"&amp;"L$1&amp;""""))),M1648))"),"")</f>
        <v/>
      </c>
      <c r="T1648" s="264" t="str">
        <f t="shared" si="4"/>
        <v/>
      </c>
      <c r="U1648" s="264" t="str">
        <f t="shared" si="5"/>
        <v/>
      </c>
      <c r="V1648" s="264" t="str">
        <f t="shared" si="6"/>
        <v/>
      </c>
      <c r="W1648" s="267" t="str">
        <f t="shared" si="8"/>
        <v/>
      </c>
      <c r="X1648" s="264" t="str">
        <f t="shared" si="7"/>
        <v/>
      </c>
    </row>
    <row r="1649" ht="15.75" customHeight="1">
      <c r="A1649" s="258"/>
      <c r="B1649" s="258"/>
      <c r="C1649" s="269"/>
      <c r="D1649" s="258"/>
      <c r="E1649" s="258"/>
      <c r="F1649" s="258"/>
      <c r="G1649" s="258"/>
      <c r="H1649" s="271"/>
      <c r="I1649" s="258"/>
      <c r="J1649" s="272"/>
      <c r="K1649" s="260"/>
      <c r="L1649" s="261"/>
      <c r="M1649" s="262" t="str">
        <f t="shared" si="1"/>
        <v/>
      </c>
      <c r="N1649" s="263" t="str">
        <f t="shared" si="2"/>
        <v/>
      </c>
      <c r="O1649" s="264" t="str">
        <f t="shared" si="3"/>
        <v/>
      </c>
      <c r="P1649" s="265" t="str">
        <f>IFERROR(__xludf.DUMMYFUNCTION("IF(ISBLANK(A1649),"""",IFERROR(IF(H1649=""Sell"",VLOOKUP(9^99,FILTER({ROW(P$2:P1648),P$2:P1648},D$2:D1648=D1649),2),(VLOOKUP(9^99,FILTER({ROW(P$2:P1648),P$2:P1648},D$2:D1648=D1649),2)*VLOOKUP(9^99,FILTER({ROW(O$2:O1648),O$2:O1648},D$2:D1648=D1649),2)-N164"&amp;"9)/O1649),J1649))"),"")</f>
        <v/>
      </c>
      <c r="Q1649" s="264" t="str">
        <f>IFERROR(__xludf.DUMMYFUNCTION("IFERROR(IF(F1649=""Crypto"",B1649,(IF(ISBLANK(D1649),"""",IF(D1649=""Cash"",B1649,IF(GOOGLEFINANCE(D1649,""CURRENCY"")=""GBX"",""GBP"",GOOGLEFINANCE(D1649,""CURRENCY"")))))),B1649)"),"")</f>
        <v/>
      </c>
      <c r="R1649" s="263" t="str">
        <f>IFERROR(__xludf.DUMMYFUNCTION("IF(ISBLANK(A1649),"""",IFERROR(IF(OR(Q1649=""GPB"",Q1649=""ZAR""),IF(Q1649=Dashboard!$L$1,K1649,(K1649*GOOGLEFINANCE(""CURRENCY:""&amp;Q1649&amp;""""&amp;Dashboard!$L$1&amp;""""))/100),IF(Q1649=Dashboard!$L$1,K1649,K1649*GOOGLEFINANCE(""CURRENCY:""&amp;Q1649&amp;""""&amp;Dashboard!$"&amp;"L$1&amp;""""))),K1649))"),"")</f>
        <v/>
      </c>
      <c r="S1649" s="266" t="str">
        <f>IFERROR(__xludf.DUMMYFUNCTION("IF(ISBLANK(A1649),"""",IFERROR(IF(OR(Q1649=""GPB"",Q1649=""ZAR""),IF(Q1649=Dashboard!$L$1,M1649,(M1649*GOOGLEFINANCE(""CURRENCY:""&amp;Q1649&amp;""""&amp;Dashboard!$L$1&amp;""""))/100),IF(Q1649=Dashboard!$L$1,M1649,M1649*GOOGLEFINANCE(""CURRENCY:""&amp;Q1649&amp;""""&amp;Dashboard!$"&amp;"L$1&amp;""""))),M1649))"),"")</f>
        <v/>
      </c>
      <c r="T1649" s="264" t="str">
        <f t="shared" si="4"/>
        <v/>
      </c>
      <c r="U1649" s="264" t="str">
        <f t="shared" si="5"/>
        <v/>
      </c>
      <c r="V1649" s="264" t="str">
        <f t="shared" si="6"/>
        <v/>
      </c>
      <c r="W1649" s="267" t="str">
        <f t="shared" si="8"/>
        <v/>
      </c>
      <c r="X1649" s="264" t="str">
        <f t="shared" si="7"/>
        <v/>
      </c>
    </row>
    <row r="1650" ht="15.75" customHeight="1">
      <c r="A1650" s="258"/>
      <c r="B1650" s="258"/>
      <c r="C1650" s="269"/>
      <c r="D1650" s="258"/>
      <c r="E1650" s="258"/>
      <c r="F1650" s="258"/>
      <c r="G1650" s="258"/>
      <c r="H1650" s="271"/>
      <c r="I1650" s="258"/>
      <c r="J1650" s="272"/>
      <c r="K1650" s="260"/>
      <c r="L1650" s="261"/>
      <c r="M1650" s="262" t="str">
        <f t="shared" si="1"/>
        <v/>
      </c>
      <c r="N1650" s="263" t="str">
        <f t="shared" si="2"/>
        <v/>
      </c>
      <c r="O1650" s="264" t="str">
        <f t="shared" si="3"/>
        <v/>
      </c>
      <c r="P1650" s="265" t="str">
        <f>IFERROR(__xludf.DUMMYFUNCTION("IF(ISBLANK(A1650),"""",IFERROR(IF(H1650=""Sell"",VLOOKUP(9^99,FILTER({ROW(P$2:P1649),P$2:P1649},D$2:D1649=D1650),2),(VLOOKUP(9^99,FILTER({ROW(P$2:P1649),P$2:P1649},D$2:D1649=D1650),2)*VLOOKUP(9^99,FILTER({ROW(O$2:O1649),O$2:O1649},D$2:D1649=D1650),2)-N165"&amp;"0)/O1650),J1650))"),"")</f>
        <v/>
      </c>
      <c r="Q1650" s="264" t="str">
        <f>IFERROR(__xludf.DUMMYFUNCTION("IFERROR(IF(F1650=""Crypto"",B1650,(IF(ISBLANK(D1650),"""",IF(D1650=""Cash"",B1650,IF(GOOGLEFINANCE(D1650,""CURRENCY"")=""GBX"",""GBP"",GOOGLEFINANCE(D1650,""CURRENCY"")))))),B1650)"),"")</f>
        <v/>
      </c>
      <c r="R1650" s="263" t="str">
        <f>IFERROR(__xludf.DUMMYFUNCTION("IF(ISBLANK(A1650),"""",IFERROR(IF(OR(Q1650=""GPB"",Q1650=""ZAR""),IF(Q1650=Dashboard!$L$1,K1650,(K1650*GOOGLEFINANCE(""CURRENCY:""&amp;Q1650&amp;""""&amp;Dashboard!$L$1&amp;""""))/100),IF(Q1650=Dashboard!$L$1,K1650,K1650*GOOGLEFINANCE(""CURRENCY:""&amp;Q1650&amp;""""&amp;Dashboard!$"&amp;"L$1&amp;""""))),K1650))"),"")</f>
        <v/>
      </c>
      <c r="S1650" s="266" t="str">
        <f>IFERROR(__xludf.DUMMYFUNCTION("IF(ISBLANK(A1650),"""",IFERROR(IF(OR(Q1650=""GPB"",Q1650=""ZAR""),IF(Q1650=Dashboard!$L$1,M1650,(M1650*GOOGLEFINANCE(""CURRENCY:""&amp;Q1650&amp;""""&amp;Dashboard!$L$1&amp;""""))/100),IF(Q1650=Dashboard!$L$1,M1650,M1650*GOOGLEFINANCE(""CURRENCY:""&amp;Q1650&amp;""""&amp;Dashboard!$"&amp;"L$1&amp;""""))),M1650))"),"")</f>
        <v/>
      </c>
      <c r="T1650" s="264" t="str">
        <f t="shared" si="4"/>
        <v/>
      </c>
      <c r="U1650" s="264" t="str">
        <f t="shared" si="5"/>
        <v/>
      </c>
      <c r="V1650" s="264" t="str">
        <f t="shared" si="6"/>
        <v/>
      </c>
      <c r="W1650" s="267" t="str">
        <f t="shared" si="8"/>
        <v/>
      </c>
      <c r="X1650" s="264" t="str">
        <f t="shared" si="7"/>
        <v/>
      </c>
    </row>
    <row r="1651" ht="15.75" customHeight="1">
      <c r="A1651" s="258"/>
      <c r="B1651" s="258"/>
      <c r="C1651" s="269"/>
      <c r="D1651" s="258"/>
      <c r="E1651" s="258"/>
      <c r="F1651" s="258"/>
      <c r="G1651" s="258"/>
      <c r="H1651" s="271"/>
      <c r="I1651" s="258"/>
      <c r="J1651" s="272"/>
      <c r="K1651" s="260"/>
      <c r="L1651" s="261"/>
      <c r="M1651" s="262" t="str">
        <f t="shared" si="1"/>
        <v/>
      </c>
      <c r="N1651" s="263" t="str">
        <f t="shared" si="2"/>
        <v/>
      </c>
      <c r="O1651" s="264" t="str">
        <f t="shared" si="3"/>
        <v/>
      </c>
      <c r="P1651" s="265" t="str">
        <f>IFERROR(__xludf.DUMMYFUNCTION("IF(ISBLANK(A1651),"""",IFERROR(IF(H1651=""Sell"",VLOOKUP(9^99,FILTER({ROW(P$2:P1650),P$2:P1650},D$2:D1650=D1651),2),(VLOOKUP(9^99,FILTER({ROW(P$2:P1650),P$2:P1650},D$2:D1650=D1651),2)*VLOOKUP(9^99,FILTER({ROW(O$2:O1650),O$2:O1650},D$2:D1650=D1651),2)-N165"&amp;"1)/O1651),J1651))"),"")</f>
        <v/>
      </c>
      <c r="Q1651" s="264" t="str">
        <f>IFERROR(__xludf.DUMMYFUNCTION("IFERROR(IF(F1651=""Crypto"",B1651,(IF(ISBLANK(D1651),"""",IF(D1651=""Cash"",B1651,IF(GOOGLEFINANCE(D1651,""CURRENCY"")=""GBX"",""GBP"",GOOGLEFINANCE(D1651,""CURRENCY"")))))),B1651)"),"")</f>
        <v/>
      </c>
      <c r="R1651" s="263" t="str">
        <f>IFERROR(__xludf.DUMMYFUNCTION("IF(ISBLANK(A1651),"""",IFERROR(IF(OR(Q1651=""GPB"",Q1651=""ZAR""),IF(Q1651=Dashboard!$L$1,K1651,(K1651*GOOGLEFINANCE(""CURRENCY:""&amp;Q1651&amp;""""&amp;Dashboard!$L$1&amp;""""))/100),IF(Q1651=Dashboard!$L$1,K1651,K1651*GOOGLEFINANCE(""CURRENCY:""&amp;Q1651&amp;""""&amp;Dashboard!$"&amp;"L$1&amp;""""))),K1651))"),"")</f>
        <v/>
      </c>
      <c r="S1651" s="266" t="str">
        <f>IFERROR(__xludf.DUMMYFUNCTION("IF(ISBLANK(A1651),"""",IFERROR(IF(OR(Q1651=""GPB"",Q1651=""ZAR""),IF(Q1651=Dashboard!$L$1,M1651,(M1651*GOOGLEFINANCE(""CURRENCY:""&amp;Q1651&amp;""""&amp;Dashboard!$L$1&amp;""""))/100),IF(Q1651=Dashboard!$L$1,M1651,M1651*GOOGLEFINANCE(""CURRENCY:""&amp;Q1651&amp;""""&amp;Dashboard!$"&amp;"L$1&amp;""""))),M1651))"),"")</f>
        <v/>
      </c>
      <c r="T1651" s="264" t="str">
        <f t="shared" si="4"/>
        <v/>
      </c>
      <c r="U1651" s="264" t="str">
        <f t="shared" si="5"/>
        <v/>
      </c>
      <c r="V1651" s="264" t="str">
        <f t="shared" si="6"/>
        <v/>
      </c>
      <c r="W1651" s="267" t="str">
        <f t="shared" si="8"/>
        <v/>
      </c>
      <c r="X1651" s="264" t="str">
        <f t="shared" si="7"/>
        <v/>
      </c>
    </row>
    <row r="1652" ht="15.75" customHeight="1">
      <c r="A1652" s="258"/>
      <c r="B1652" s="258"/>
      <c r="C1652" s="269"/>
      <c r="D1652" s="258"/>
      <c r="E1652" s="258"/>
      <c r="F1652" s="258"/>
      <c r="G1652" s="258"/>
      <c r="H1652" s="271"/>
      <c r="I1652" s="258"/>
      <c r="J1652" s="272"/>
      <c r="K1652" s="260"/>
      <c r="L1652" s="261"/>
      <c r="M1652" s="262" t="str">
        <f t="shared" si="1"/>
        <v/>
      </c>
      <c r="N1652" s="263" t="str">
        <f t="shared" si="2"/>
        <v/>
      </c>
      <c r="O1652" s="264" t="str">
        <f t="shared" si="3"/>
        <v/>
      </c>
      <c r="P1652" s="265" t="str">
        <f>IFERROR(__xludf.DUMMYFUNCTION("IF(ISBLANK(A1652),"""",IFERROR(IF(H1652=""Sell"",VLOOKUP(9^99,FILTER({ROW(P$2:P1651),P$2:P1651},D$2:D1651=D1652),2),(VLOOKUP(9^99,FILTER({ROW(P$2:P1651),P$2:P1651},D$2:D1651=D1652),2)*VLOOKUP(9^99,FILTER({ROW(O$2:O1651),O$2:O1651},D$2:D1651=D1652),2)-N165"&amp;"2)/O1652),J1652))"),"")</f>
        <v/>
      </c>
      <c r="Q1652" s="264" t="str">
        <f>IFERROR(__xludf.DUMMYFUNCTION("IFERROR(IF(F1652=""Crypto"",B1652,(IF(ISBLANK(D1652),"""",IF(D1652=""Cash"",B1652,IF(GOOGLEFINANCE(D1652,""CURRENCY"")=""GBX"",""GBP"",GOOGLEFINANCE(D1652,""CURRENCY"")))))),B1652)"),"")</f>
        <v/>
      </c>
      <c r="R1652" s="263" t="str">
        <f>IFERROR(__xludf.DUMMYFUNCTION("IF(ISBLANK(A1652),"""",IFERROR(IF(OR(Q1652=""GPB"",Q1652=""ZAR""),IF(Q1652=Dashboard!$L$1,K1652,(K1652*GOOGLEFINANCE(""CURRENCY:""&amp;Q1652&amp;""""&amp;Dashboard!$L$1&amp;""""))/100),IF(Q1652=Dashboard!$L$1,K1652,K1652*GOOGLEFINANCE(""CURRENCY:""&amp;Q1652&amp;""""&amp;Dashboard!$"&amp;"L$1&amp;""""))),K1652))"),"")</f>
        <v/>
      </c>
      <c r="S1652" s="266" t="str">
        <f>IFERROR(__xludf.DUMMYFUNCTION("IF(ISBLANK(A1652),"""",IFERROR(IF(OR(Q1652=""GPB"",Q1652=""ZAR""),IF(Q1652=Dashboard!$L$1,M1652,(M1652*GOOGLEFINANCE(""CURRENCY:""&amp;Q1652&amp;""""&amp;Dashboard!$L$1&amp;""""))/100),IF(Q1652=Dashboard!$L$1,M1652,M1652*GOOGLEFINANCE(""CURRENCY:""&amp;Q1652&amp;""""&amp;Dashboard!$"&amp;"L$1&amp;""""))),M1652))"),"")</f>
        <v/>
      </c>
      <c r="T1652" s="264" t="str">
        <f t="shared" si="4"/>
        <v/>
      </c>
      <c r="U1652" s="264" t="str">
        <f t="shared" si="5"/>
        <v/>
      </c>
      <c r="V1652" s="264" t="str">
        <f t="shared" si="6"/>
        <v/>
      </c>
      <c r="W1652" s="267" t="str">
        <f t="shared" si="8"/>
        <v/>
      </c>
      <c r="X1652" s="264" t="str">
        <f t="shared" si="7"/>
        <v/>
      </c>
    </row>
    <row r="1653" ht="15.75" customHeight="1">
      <c r="A1653" s="258"/>
      <c r="B1653" s="258"/>
      <c r="C1653" s="269"/>
      <c r="D1653" s="258"/>
      <c r="E1653" s="258"/>
      <c r="F1653" s="258"/>
      <c r="G1653" s="258"/>
      <c r="H1653" s="271"/>
      <c r="I1653" s="258"/>
      <c r="J1653" s="272"/>
      <c r="K1653" s="260"/>
      <c r="L1653" s="261"/>
      <c r="M1653" s="262" t="str">
        <f t="shared" si="1"/>
        <v/>
      </c>
      <c r="N1653" s="263" t="str">
        <f t="shared" si="2"/>
        <v/>
      </c>
      <c r="O1653" s="264" t="str">
        <f t="shared" si="3"/>
        <v/>
      </c>
      <c r="P1653" s="265" t="str">
        <f>IFERROR(__xludf.DUMMYFUNCTION("IF(ISBLANK(A1653),"""",IFERROR(IF(H1653=""Sell"",VLOOKUP(9^99,FILTER({ROW(P$2:P1652),P$2:P1652},D$2:D1652=D1653),2),(VLOOKUP(9^99,FILTER({ROW(P$2:P1652),P$2:P1652},D$2:D1652=D1653),2)*VLOOKUP(9^99,FILTER({ROW(O$2:O1652),O$2:O1652},D$2:D1652=D1653),2)-N165"&amp;"3)/O1653),J1653))"),"")</f>
        <v/>
      </c>
      <c r="Q1653" s="264" t="str">
        <f>IFERROR(__xludf.DUMMYFUNCTION("IFERROR(IF(F1653=""Crypto"",B1653,(IF(ISBLANK(D1653),"""",IF(D1653=""Cash"",B1653,IF(GOOGLEFINANCE(D1653,""CURRENCY"")=""GBX"",""GBP"",GOOGLEFINANCE(D1653,""CURRENCY"")))))),B1653)"),"")</f>
        <v/>
      </c>
      <c r="R1653" s="263" t="str">
        <f>IFERROR(__xludf.DUMMYFUNCTION("IF(ISBLANK(A1653),"""",IFERROR(IF(OR(Q1653=""GPB"",Q1653=""ZAR""),IF(Q1653=Dashboard!$L$1,K1653,(K1653*GOOGLEFINANCE(""CURRENCY:""&amp;Q1653&amp;""""&amp;Dashboard!$L$1&amp;""""))/100),IF(Q1653=Dashboard!$L$1,K1653,K1653*GOOGLEFINANCE(""CURRENCY:""&amp;Q1653&amp;""""&amp;Dashboard!$"&amp;"L$1&amp;""""))),K1653))"),"")</f>
        <v/>
      </c>
      <c r="S1653" s="266" t="str">
        <f>IFERROR(__xludf.DUMMYFUNCTION("IF(ISBLANK(A1653),"""",IFERROR(IF(OR(Q1653=""GPB"",Q1653=""ZAR""),IF(Q1653=Dashboard!$L$1,M1653,(M1653*GOOGLEFINANCE(""CURRENCY:""&amp;Q1653&amp;""""&amp;Dashboard!$L$1&amp;""""))/100),IF(Q1653=Dashboard!$L$1,M1653,M1653*GOOGLEFINANCE(""CURRENCY:""&amp;Q1653&amp;""""&amp;Dashboard!$"&amp;"L$1&amp;""""))),M1653))"),"")</f>
        <v/>
      </c>
      <c r="T1653" s="264" t="str">
        <f t="shared" si="4"/>
        <v/>
      </c>
      <c r="U1653" s="264" t="str">
        <f t="shared" si="5"/>
        <v/>
      </c>
      <c r="V1653" s="264" t="str">
        <f t="shared" si="6"/>
        <v/>
      </c>
      <c r="W1653" s="267" t="str">
        <f t="shared" si="8"/>
        <v/>
      </c>
      <c r="X1653" s="264" t="str">
        <f t="shared" si="7"/>
        <v/>
      </c>
    </row>
    <row r="1654" ht="15.75" customHeight="1">
      <c r="A1654" s="258"/>
      <c r="B1654" s="258"/>
      <c r="C1654" s="269"/>
      <c r="D1654" s="258"/>
      <c r="E1654" s="258"/>
      <c r="F1654" s="258"/>
      <c r="G1654" s="258"/>
      <c r="H1654" s="271"/>
      <c r="I1654" s="258"/>
      <c r="J1654" s="272"/>
      <c r="K1654" s="260"/>
      <c r="L1654" s="261"/>
      <c r="M1654" s="262" t="str">
        <f t="shared" si="1"/>
        <v/>
      </c>
      <c r="N1654" s="263" t="str">
        <f t="shared" si="2"/>
        <v/>
      </c>
      <c r="O1654" s="264" t="str">
        <f t="shared" si="3"/>
        <v/>
      </c>
      <c r="P1654" s="265" t="str">
        <f>IFERROR(__xludf.DUMMYFUNCTION("IF(ISBLANK(A1654),"""",IFERROR(IF(H1654=""Sell"",VLOOKUP(9^99,FILTER({ROW(P$2:P1653),P$2:P1653},D$2:D1653=D1654),2),(VLOOKUP(9^99,FILTER({ROW(P$2:P1653),P$2:P1653},D$2:D1653=D1654),2)*VLOOKUP(9^99,FILTER({ROW(O$2:O1653),O$2:O1653},D$2:D1653=D1654),2)-N165"&amp;"4)/O1654),J1654))"),"")</f>
        <v/>
      </c>
      <c r="Q1654" s="264" t="str">
        <f>IFERROR(__xludf.DUMMYFUNCTION("IFERROR(IF(F1654=""Crypto"",B1654,(IF(ISBLANK(D1654),"""",IF(D1654=""Cash"",B1654,IF(GOOGLEFINANCE(D1654,""CURRENCY"")=""GBX"",""GBP"",GOOGLEFINANCE(D1654,""CURRENCY"")))))),B1654)"),"")</f>
        <v/>
      </c>
      <c r="R1654" s="263" t="str">
        <f>IFERROR(__xludf.DUMMYFUNCTION("IF(ISBLANK(A1654),"""",IFERROR(IF(OR(Q1654=""GPB"",Q1654=""ZAR""),IF(Q1654=Dashboard!$L$1,K1654,(K1654*GOOGLEFINANCE(""CURRENCY:""&amp;Q1654&amp;""""&amp;Dashboard!$L$1&amp;""""))/100),IF(Q1654=Dashboard!$L$1,K1654,K1654*GOOGLEFINANCE(""CURRENCY:""&amp;Q1654&amp;""""&amp;Dashboard!$"&amp;"L$1&amp;""""))),K1654))"),"")</f>
        <v/>
      </c>
      <c r="S1654" s="266" t="str">
        <f>IFERROR(__xludf.DUMMYFUNCTION("IF(ISBLANK(A1654),"""",IFERROR(IF(OR(Q1654=""GPB"",Q1654=""ZAR""),IF(Q1654=Dashboard!$L$1,M1654,(M1654*GOOGLEFINANCE(""CURRENCY:""&amp;Q1654&amp;""""&amp;Dashboard!$L$1&amp;""""))/100),IF(Q1654=Dashboard!$L$1,M1654,M1654*GOOGLEFINANCE(""CURRENCY:""&amp;Q1654&amp;""""&amp;Dashboard!$"&amp;"L$1&amp;""""))),M1654))"),"")</f>
        <v/>
      </c>
      <c r="T1654" s="264" t="str">
        <f t="shared" si="4"/>
        <v/>
      </c>
      <c r="U1654" s="264" t="str">
        <f t="shared" si="5"/>
        <v/>
      </c>
      <c r="V1654" s="264" t="str">
        <f t="shared" si="6"/>
        <v/>
      </c>
      <c r="W1654" s="267" t="str">
        <f t="shared" si="8"/>
        <v/>
      </c>
      <c r="X1654" s="264" t="str">
        <f t="shared" si="7"/>
        <v/>
      </c>
    </row>
    <row r="1655" ht="15.75" customHeight="1">
      <c r="A1655" s="258"/>
      <c r="B1655" s="258"/>
      <c r="C1655" s="269"/>
      <c r="D1655" s="258"/>
      <c r="E1655" s="258"/>
      <c r="F1655" s="258"/>
      <c r="G1655" s="258"/>
      <c r="H1655" s="271"/>
      <c r="I1655" s="258"/>
      <c r="J1655" s="272"/>
      <c r="K1655" s="260"/>
      <c r="L1655" s="261"/>
      <c r="M1655" s="262" t="str">
        <f t="shared" si="1"/>
        <v/>
      </c>
      <c r="N1655" s="263" t="str">
        <f t="shared" si="2"/>
        <v/>
      </c>
      <c r="O1655" s="264" t="str">
        <f t="shared" si="3"/>
        <v/>
      </c>
      <c r="P1655" s="265" t="str">
        <f>IFERROR(__xludf.DUMMYFUNCTION("IF(ISBLANK(A1655),"""",IFERROR(IF(H1655=""Sell"",VLOOKUP(9^99,FILTER({ROW(P$2:P1654),P$2:P1654},D$2:D1654=D1655),2),(VLOOKUP(9^99,FILTER({ROW(P$2:P1654),P$2:P1654},D$2:D1654=D1655),2)*VLOOKUP(9^99,FILTER({ROW(O$2:O1654),O$2:O1654},D$2:D1654=D1655),2)-N165"&amp;"5)/O1655),J1655))"),"")</f>
        <v/>
      </c>
      <c r="Q1655" s="264" t="str">
        <f>IFERROR(__xludf.DUMMYFUNCTION("IFERROR(IF(F1655=""Crypto"",B1655,(IF(ISBLANK(D1655),"""",IF(D1655=""Cash"",B1655,IF(GOOGLEFINANCE(D1655,""CURRENCY"")=""GBX"",""GBP"",GOOGLEFINANCE(D1655,""CURRENCY"")))))),B1655)"),"")</f>
        <v/>
      </c>
      <c r="R1655" s="263" t="str">
        <f>IFERROR(__xludf.DUMMYFUNCTION("IF(ISBLANK(A1655),"""",IFERROR(IF(OR(Q1655=""GPB"",Q1655=""ZAR""),IF(Q1655=Dashboard!$L$1,K1655,(K1655*GOOGLEFINANCE(""CURRENCY:""&amp;Q1655&amp;""""&amp;Dashboard!$L$1&amp;""""))/100),IF(Q1655=Dashboard!$L$1,K1655,K1655*GOOGLEFINANCE(""CURRENCY:""&amp;Q1655&amp;""""&amp;Dashboard!$"&amp;"L$1&amp;""""))),K1655))"),"")</f>
        <v/>
      </c>
      <c r="S1655" s="266" t="str">
        <f>IFERROR(__xludf.DUMMYFUNCTION("IF(ISBLANK(A1655),"""",IFERROR(IF(OR(Q1655=""GPB"",Q1655=""ZAR""),IF(Q1655=Dashboard!$L$1,M1655,(M1655*GOOGLEFINANCE(""CURRENCY:""&amp;Q1655&amp;""""&amp;Dashboard!$L$1&amp;""""))/100),IF(Q1655=Dashboard!$L$1,M1655,M1655*GOOGLEFINANCE(""CURRENCY:""&amp;Q1655&amp;""""&amp;Dashboard!$"&amp;"L$1&amp;""""))),M1655))"),"")</f>
        <v/>
      </c>
      <c r="T1655" s="264" t="str">
        <f t="shared" si="4"/>
        <v/>
      </c>
      <c r="U1655" s="264" t="str">
        <f t="shared" si="5"/>
        <v/>
      </c>
      <c r="V1655" s="264" t="str">
        <f t="shared" si="6"/>
        <v/>
      </c>
      <c r="W1655" s="267" t="str">
        <f t="shared" si="8"/>
        <v/>
      </c>
      <c r="X1655" s="264" t="str">
        <f t="shared" si="7"/>
        <v/>
      </c>
    </row>
    <row r="1656" ht="15.75" customHeight="1">
      <c r="A1656" s="258"/>
      <c r="B1656" s="258"/>
      <c r="C1656" s="269"/>
      <c r="D1656" s="258"/>
      <c r="E1656" s="258"/>
      <c r="F1656" s="258"/>
      <c r="G1656" s="258"/>
      <c r="H1656" s="271"/>
      <c r="I1656" s="258"/>
      <c r="J1656" s="272"/>
      <c r="K1656" s="260"/>
      <c r="L1656" s="261"/>
      <c r="M1656" s="262" t="str">
        <f t="shared" si="1"/>
        <v/>
      </c>
      <c r="N1656" s="263" t="str">
        <f t="shared" si="2"/>
        <v/>
      </c>
      <c r="O1656" s="264" t="str">
        <f t="shared" si="3"/>
        <v/>
      </c>
      <c r="P1656" s="265" t="str">
        <f>IFERROR(__xludf.DUMMYFUNCTION("IF(ISBLANK(A1656),"""",IFERROR(IF(H1656=""Sell"",VLOOKUP(9^99,FILTER({ROW(P$2:P1655),P$2:P1655},D$2:D1655=D1656),2),(VLOOKUP(9^99,FILTER({ROW(P$2:P1655),P$2:P1655},D$2:D1655=D1656),2)*VLOOKUP(9^99,FILTER({ROW(O$2:O1655),O$2:O1655},D$2:D1655=D1656),2)-N165"&amp;"6)/O1656),J1656))"),"")</f>
        <v/>
      </c>
      <c r="Q1656" s="264" t="str">
        <f>IFERROR(__xludf.DUMMYFUNCTION("IFERROR(IF(F1656=""Crypto"",B1656,(IF(ISBLANK(D1656),"""",IF(D1656=""Cash"",B1656,IF(GOOGLEFINANCE(D1656,""CURRENCY"")=""GBX"",""GBP"",GOOGLEFINANCE(D1656,""CURRENCY"")))))),B1656)"),"")</f>
        <v/>
      </c>
      <c r="R1656" s="263" t="str">
        <f>IFERROR(__xludf.DUMMYFUNCTION("IF(ISBLANK(A1656),"""",IFERROR(IF(OR(Q1656=""GPB"",Q1656=""ZAR""),IF(Q1656=Dashboard!$L$1,K1656,(K1656*GOOGLEFINANCE(""CURRENCY:""&amp;Q1656&amp;""""&amp;Dashboard!$L$1&amp;""""))/100),IF(Q1656=Dashboard!$L$1,K1656,K1656*GOOGLEFINANCE(""CURRENCY:""&amp;Q1656&amp;""""&amp;Dashboard!$"&amp;"L$1&amp;""""))),K1656))"),"")</f>
        <v/>
      </c>
      <c r="S1656" s="266" t="str">
        <f>IFERROR(__xludf.DUMMYFUNCTION("IF(ISBLANK(A1656),"""",IFERROR(IF(OR(Q1656=""GPB"",Q1656=""ZAR""),IF(Q1656=Dashboard!$L$1,M1656,(M1656*GOOGLEFINANCE(""CURRENCY:""&amp;Q1656&amp;""""&amp;Dashboard!$L$1&amp;""""))/100),IF(Q1656=Dashboard!$L$1,M1656,M1656*GOOGLEFINANCE(""CURRENCY:""&amp;Q1656&amp;""""&amp;Dashboard!$"&amp;"L$1&amp;""""))),M1656))"),"")</f>
        <v/>
      </c>
      <c r="T1656" s="264" t="str">
        <f t="shared" si="4"/>
        <v/>
      </c>
      <c r="U1656" s="264" t="str">
        <f t="shared" si="5"/>
        <v/>
      </c>
      <c r="V1656" s="264" t="str">
        <f t="shared" si="6"/>
        <v/>
      </c>
      <c r="W1656" s="267" t="str">
        <f t="shared" si="8"/>
        <v/>
      </c>
      <c r="X1656" s="264" t="str">
        <f t="shared" si="7"/>
        <v/>
      </c>
    </row>
    <row r="1657" ht="15.75" customHeight="1">
      <c r="A1657" s="258"/>
      <c r="B1657" s="258"/>
      <c r="C1657" s="269"/>
      <c r="D1657" s="258"/>
      <c r="E1657" s="258"/>
      <c r="F1657" s="258"/>
      <c r="G1657" s="258"/>
      <c r="H1657" s="271"/>
      <c r="I1657" s="258"/>
      <c r="J1657" s="272"/>
      <c r="K1657" s="260"/>
      <c r="L1657" s="261"/>
      <c r="M1657" s="262" t="str">
        <f t="shared" si="1"/>
        <v/>
      </c>
      <c r="N1657" s="263" t="str">
        <f t="shared" si="2"/>
        <v/>
      </c>
      <c r="O1657" s="264" t="str">
        <f t="shared" si="3"/>
        <v/>
      </c>
      <c r="P1657" s="265" t="str">
        <f>IFERROR(__xludf.DUMMYFUNCTION("IF(ISBLANK(A1657),"""",IFERROR(IF(H1657=""Sell"",VLOOKUP(9^99,FILTER({ROW(P$2:P1656),P$2:P1656},D$2:D1656=D1657),2),(VLOOKUP(9^99,FILTER({ROW(P$2:P1656),P$2:P1656},D$2:D1656=D1657),2)*VLOOKUP(9^99,FILTER({ROW(O$2:O1656),O$2:O1656},D$2:D1656=D1657),2)-N165"&amp;"7)/O1657),J1657))"),"")</f>
        <v/>
      </c>
      <c r="Q1657" s="264" t="str">
        <f>IFERROR(__xludf.DUMMYFUNCTION("IFERROR(IF(F1657=""Crypto"",B1657,(IF(ISBLANK(D1657),"""",IF(D1657=""Cash"",B1657,IF(GOOGLEFINANCE(D1657,""CURRENCY"")=""GBX"",""GBP"",GOOGLEFINANCE(D1657,""CURRENCY"")))))),B1657)"),"")</f>
        <v/>
      </c>
      <c r="R1657" s="263" t="str">
        <f>IFERROR(__xludf.DUMMYFUNCTION("IF(ISBLANK(A1657),"""",IFERROR(IF(OR(Q1657=""GPB"",Q1657=""ZAR""),IF(Q1657=Dashboard!$L$1,K1657,(K1657*GOOGLEFINANCE(""CURRENCY:""&amp;Q1657&amp;""""&amp;Dashboard!$L$1&amp;""""))/100),IF(Q1657=Dashboard!$L$1,K1657,K1657*GOOGLEFINANCE(""CURRENCY:""&amp;Q1657&amp;""""&amp;Dashboard!$"&amp;"L$1&amp;""""))),K1657))"),"")</f>
        <v/>
      </c>
      <c r="S1657" s="266" t="str">
        <f>IFERROR(__xludf.DUMMYFUNCTION("IF(ISBLANK(A1657),"""",IFERROR(IF(OR(Q1657=""GPB"",Q1657=""ZAR""),IF(Q1657=Dashboard!$L$1,M1657,(M1657*GOOGLEFINANCE(""CURRENCY:""&amp;Q1657&amp;""""&amp;Dashboard!$L$1&amp;""""))/100),IF(Q1657=Dashboard!$L$1,M1657,M1657*GOOGLEFINANCE(""CURRENCY:""&amp;Q1657&amp;""""&amp;Dashboard!$"&amp;"L$1&amp;""""))),M1657))"),"")</f>
        <v/>
      </c>
      <c r="T1657" s="264" t="str">
        <f t="shared" si="4"/>
        <v/>
      </c>
      <c r="U1657" s="264" t="str">
        <f t="shared" si="5"/>
        <v/>
      </c>
      <c r="V1657" s="264" t="str">
        <f t="shared" si="6"/>
        <v/>
      </c>
      <c r="W1657" s="267" t="str">
        <f t="shared" si="8"/>
        <v/>
      </c>
      <c r="X1657" s="264" t="str">
        <f t="shared" si="7"/>
        <v/>
      </c>
    </row>
    <row r="1658" ht="15.75" customHeight="1">
      <c r="A1658" s="258"/>
      <c r="B1658" s="258"/>
      <c r="C1658" s="269"/>
      <c r="D1658" s="258"/>
      <c r="E1658" s="258"/>
      <c r="F1658" s="258"/>
      <c r="G1658" s="258"/>
      <c r="H1658" s="271"/>
      <c r="I1658" s="258"/>
      <c r="J1658" s="272"/>
      <c r="K1658" s="260"/>
      <c r="L1658" s="261"/>
      <c r="M1658" s="262" t="str">
        <f t="shared" si="1"/>
        <v/>
      </c>
      <c r="N1658" s="263" t="str">
        <f t="shared" si="2"/>
        <v/>
      </c>
      <c r="O1658" s="264" t="str">
        <f t="shared" si="3"/>
        <v/>
      </c>
      <c r="P1658" s="265" t="str">
        <f>IFERROR(__xludf.DUMMYFUNCTION("IF(ISBLANK(A1658),"""",IFERROR(IF(H1658=""Sell"",VLOOKUP(9^99,FILTER({ROW(P$2:P1657),P$2:P1657},D$2:D1657=D1658),2),(VLOOKUP(9^99,FILTER({ROW(P$2:P1657),P$2:P1657},D$2:D1657=D1658),2)*VLOOKUP(9^99,FILTER({ROW(O$2:O1657),O$2:O1657},D$2:D1657=D1658),2)-N165"&amp;"8)/O1658),J1658))"),"")</f>
        <v/>
      </c>
      <c r="Q1658" s="264" t="str">
        <f>IFERROR(__xludf.DUMMYFUNCTION("IFERROR(IF(F1658=""Crypto"",B1658,(IF(ISBLANK(D1658),"""",IF(D1658=""Cash"",B1658,IF(GOOGLEFINANCE(D1658,""CURRENCY"")=""GBX"",""GBP"",GOOGLEFINANCE(D1658,""CURRENCY"")))))),B1658)"),"")</f>
        <v/>
      </c>
      <c r="R1658" s="263" t="str">
        <f>IFERROR(__xludf.DUMMYFUNCTION("IF(ISBLANK(A1658),"""",IFERROR(IF(OR(Q1658=""GPB"",Q1658=""ZAR""),IF(Q1658=Dashboard!$L$1,K1658,(K1658*GOOGLEFINANCE(""CURRENCY:""&amp;Q1658&amp;""""&amp;Dashboard!$L$1&amp;""""))/100),IF(Q1658=Dashboard!$L$1,K1658,K1658*GOOGLEFINANCE(""CURRENCY:""&amp;Q1658&amp;""""&amp;Dashboard!$"&amp;"L$1&amp;""""))),K1658))"),"")</f>
        <v/>
      </c>
      <c r="S1658" s="266" t="str">
        <f>IFERROR(__xludf.DUMMYFUNCTION("IF(ISBLANK(A1658),"""",IFERROR(IF(OR(Q1658=""GPB"",Q1658=""ZAR""),IF(Q1658=Dashboard!$L$1,M1658,(M1658*GOOGLEFINANCE(""CURRENCY:""&amp;Q1658&amp;""""&amp;Dashboard!$L$1&amp;""""))/100),IF(Q1658=Dashboard!$L$1,M1658,M1658*GOOGLEFINANCE(""CURRENCY:""&amp;Q1658&amp;""""&amp;Dashboard!$"&amp;"L$1&amp;""""))),M1658))"),"")</f>
        <v/>
      </c>
      <c r="T1658" s="264" t="str">
        <f t="shared" si="4"/>
        <v/>
      </c>
      <c r="U1658" s="264" t="str">
        <f t="shared" si="5"/>
        <v/>
      </c>
      <c r="V1658" s="264" t="str">
        <f t="shared" si="6"/>
        <v/>
      </c>
      <c r="W1658" s="267" t="str">
        <f t="shared" si="8"/>
        <v/>
      </c>
      <c r="X1658" s="264" t="str">
        <f t="shared" si="7"/>
        <v/>
      </c>
    </row>
    <row r="1659" ht="15.75" customHeight="1">
      <c r="A1659" s="258"/>
      <c r="B1659" s="258"/>
      <c r="C1659" s="269"/>
      <c r="D1659" s="258"/>
      <c r="E1659" s="258"/>
      <c r="F1659" s="258"/>
      <c r="G1659" s="258"/>
      <c r="H1659" s="271"/>
      <c r="I1659" s="258"/>
      <c r="J1659" s="272"/>
      <c r="K1659" s="260"/>
      <c r="L1659" s="261"/>
      <c r="M1659" s="262" t="str">
        <f t="shared" si="1"/>
        <v/>
      </c>
      <c r="N1659" s="263" t="str">
        <f t="shared" si="2"/>
        <v/>
      </c>
      <c r="O1659" s="264" t="str">
        <f t="shared" si="3"/>
        <v/>
      </c>
      <c r="P1659" s="265" t="str">
        <f>IFERROR(__xludf.DUMMYFUNCTION("IF(ISBLANK(A1659),"""",IFERROR(IF(H1659=""Sell"",VLOOKUP(9^99,FILTER({ROW(P$2:P1658),P$2:P1658},D$2:D1658=D1659),2),(VLOOKUP(9^99,FILTER({ROW(P$2:P1658),P$2:P1658},D$2:D1658=D1659),2)*VLOOKUP(9^99,FILTER({ROW(O$2:O1658),O$2:O1658},D$2:D1658=D1659),2)-N165"&amp;"9)/O1659),J1659))"),"")</f>
        <v/>
      </c>
      <c r="Q1659" s="264" t="str">
        <f>IFERROR(__xludf.DUMMYFUNCTION("IFERROR(IF(F1659=""Crypto"",B1659,(IF(ISBLANK(D1659),"""",IF(D1659=""Cash"",B1659,IF(GOOGLEFINANCE(D1659,""CURRENCY"")=""GBX"",""GBP"",GOOGLEFINANCE(D1659,""CURRENCY"")))))),B1659)"),"")</f>
        <v/>
      </c>
      <c r="R1659" s="263" t="str">
        <f>IFERROR(__xludf.DUMMYFUNCTION("IF(ISBLANK(A1659),"""",IFERROR(IF(OR(Q1659=""GPB"",Q1659=""ZAR""),IF(Q1659=Dashboard!$L$1,K1659,(K1659*GOOGLEFINANCE(""CURRENCY:""&amp;Q1659&amp;""""&amp;Dashboard!$L$1&amp;""""))/100),IF(Q1659=Dashboard!$L$1,K1659,K1659*GOOGLEFINANCE(""CURRENCY:""&amp;Q1659&amp;""""&amp;Dashboard!$"&amp;"L$1&amp;""""))),K1659))"),"")</f>
        <v/>
      </c>
      <c r="S1659" s="266" t="str">
        <f>IFERROR(__xludf.DUMMYFUNCTION("IF(ISBLANK(A1659),"""",IFERROR(IF(OR(Q1659=""GPB"",Q1659=""ZAR""),IF(Q1659=Dashboard!$L$1,M1659,(M1659*GOOGLEFINANCE(""CURRENCY:""&amp;Q1659&amp;""""&amp;Dashboard!$L$1&amp;""""))/100),IF(Q1659=Dashboard!$L$1,M1659,M1659*GOOGLEFINANCE(""CURRENCY:""&amp;Q1659&amp;""""&amp;Dashboard!$"&amp;"L$1&amp;""""))),M1659))"),"")</f>
        <v/>
      </c>
      <c r="T1659" s="264" t="str">
        <f t="shared" si="4"/>
        <v/>
      </c>
      <c r="U1659" s="264" t="str">
        <f t="shared" si="5"/>
        <v/>
      </c>
      <c r="V1659" s="264" t="str">
        <f t="shared" si="6"/>
        <v/>
      </c>
      <c r="W1659" s="267" t="str">
        <f t="shared" si="8"/>
        <v/>
      </c>
      <c r="X1659" s="264" t="str">
        <f t="shared" si="7"/>
        <v/>
      </c>
    </row>
    <row r="1660" ht="15.75" customHeight="1">
      <c r="A1660" s="258"/>
      <c r="B1660" s="258"/>
      <c r="C1660" s="269"/>
      <c r="D1660" s="258"/>
      <c r="E1660" s="258"/>
      <c r="F1660" s="258"/>
      <c r="G1660" s="258"/>
      <c r="H1660" s="271"/>
      <c r="I1660" s="258"/>
      <c r="J1660" s="272"/>
      <c r="K1660" s="260"/>
      <c r="L1660" s="261"/>
      <c r="M1660" s="262" t="str">
        <f t="shared" si="1"/>
        <v/>
      </c>
      <c r="N1660" s="263" t="str">
        <f t="shared" si="2"/>
        <v/>
      </c>
      <c r="O1660" s="264" t="str">
        <f t="shared" si="3"/>
        <v/>
      </c>
      <c r="P1660" s="265" t="str">
        <f>IFERROR(__xludf.DUMMYFUNCTION("IF(ISBLANK(A1660),"""",IFERROR(IF(H1660=""Sell"",VLOOKUP(9^99,FILTER({ROW(P$2:P1659),P$2:P1659},D$2:D1659=D1660),2),(VLOOKUP(9^99,FILTER({ROW(P$2:P1659),P$2:P1659},D$2:D1659=D1660),2)*VLOOKUP(9^99,FILTER({ROW(O$2:O1659),O$2:O1659},D$2:D1659=D1660),2)-N166"&amp;"0)/O1660),J1660))"),"")</f>
        <v/>
      </c>
      <c r="Q1660" s="264" t="str">
        <f>IFERROR(__xludf.DUMMYFUNCTION("IFERROR(IF(F1660=""Crypto"",B1660,(IF(ISBLANK(D1660),"""",IF(D1660=""Cash"",B1660,IF(GOOGLEFINANCE(D1660,""CURRENCY"")=""GBX"",""GBP"",GOOGLEFINANCE(D1660,""CURRENCY"")))))),B1660)"),"")</f>
        <v/>
      </c>
      <c r="R1660" s="263" t="str">
        <f>IFERROR(__xludf.DUMMYFUNCTION("IF(ISBLANK(A1660),"""",IFERROR(IF(OR(Q1660=""GPB"",Q1660=""ZAR""),IF(Q1660=Dashboard!$L$1,K1660,(K1660*GOOGLEFINANCE(""CURRENCY:""&amp;Q1660&amp;""""&amp;Dashboard!$L$1&amp;""""))/100),IF(Q1660=Dashboard!$L$1,K1660,K1660*GOOGLEFINANCE(""CURRENCY:""&amp;Q1660&amp;""""&amp;Dashboard!$"&amp;"L$1&amp;""""))),K1660))"),"")</f>
        <v/>
      </c>
      <c r="S1660" s="266" t="str">
        <f>IFERROR(__xludf.DUMMYFUNCTION("IF(ISBLANK(A1660),"""",IFERROR(IF(OR(Q1660=""GPB"",Q1660=""ZAR""),IF(Q1660=Dashboard!$L$1,M1660,(M1660*GOOGLEFINANCE(""CURRENCY:""&amp;Q1660&amp;""""&amp;Dashboard!$L$1&amp;""""))/100),IF(Q1660=Dashboard!$L$1,M1660,M1660*GOOGLEFINANCE(""CURRENCY:""&amp;Q1660&amp;""""&amp;Dashboard!$"&amp;"L$1&amp;""""))),M1660))"),"")</f>
        <v/>
      </c>
      <c r="T1660" s="264" t="str">
        <f t="shared" si="4"/>
        <v/>
      </c>
      <c r="U1660" s="264" t="str">
        <f t="shared" si="5"/>
        <v/>
      </c>
      <c r="V1660" s="264" t="str">
        <f t="shared" si="6"/>
        <v/>
      </c>
      <c r="W1660" s="267" t="str">
        <f t="shared" si="8"/>
        <v/>
      </c>
      <c r="X1660" s="264" t="str">
        <f t="shared" si="7"/>
        <v/>
      </c>
    </row>
    <row r="1661" ht="15.75" customHeight="1">
      <c r="A1661" s="258"/>
      <c r="B1661" s="258"/>
      <c r="C1661" s="269"/>
      <c r="D1661" s="258"/>
      <c r="E1661" s="258"/>
      <c r="F1661" s="258"/>
      <c r="G1661" s="258"/>
      <c r="H1661" s="271"/>
      <c r="I1661" s="258"/>
      <c r="J1661" s="272"/>
      <c r="K1661" s="260"/>
      <c r="L1661" s="261"/>
      <c r="M1661" s="262" t="str">
        <f t="shared" si="1"/>
        <v/>
      </c>
      <c r="N1661" s="263" t="str">
        <f t="shared" si="2"/>
        <v/>
      </c>
      <c r="O1661" s="264" t="str">
        <f t="shared" si="3"/>
        <v/>
      </c>
      <c r="P1661" s="265" t="str">
        <f>IFERROR(__xludf.DUMMYFUNCTION("IF(ISBLANK(A1661),"""",IFERROR(IF(H1661=""Sell"",VLOOKUP(9^99,FILTER({ROW(P$2:P1660),P$2:P1660},D$2:D1660=D1661),2),(VLOOKUP(9^99,FILTER({ROW(P$2:P1660),P$2:P1660},D$2:D1660=D1661),2)*VLOOKUP(9^99,FILTER({ROW(O$2:O1660),O$2:O1660},D$2:D1660=D1661),2)-N166"&amp;"1)/O1661),J1661))"),"")</f>
        <v/>
      </c>
      <c r="Q1661" s="264" t="str">
        <f>IFERROR(__xludf.DUMMYFUNCTION("IFERROR(IF(F1661=""Crypto"",B1661,(IF(ISBLANK(D1661),"""",IF(D1661=""Cash"",B1661,IF(GOOGLEFINANCE(D1661,""CURRENCY"")=""GBX"",""GBP"",GOOGLEFINANCE(D1661,""CURRENCY"")))))),B1661)"),"")</f>
        <v/>
      </c>
      <c r="R1661" s="263" t="str">
        <f>IFERROR(__xludf.DUMMYFUNCTION("IF(ISBLANK(A1661),"""",IFERROR(IF(OR(Q1661=""GPB"",Q1661=""ZAR""),IF(Q1661=Dashboard!$L$1,K1661,(K1661*GOOGLEFINANCE(""CURRENCY:""&amp;Q1661&amp;""""&amp;Dashboard!$L$1&amp;""""))/100),IF(Q1661=Dashboard!$L$1,K1661,K1661*GOOGLEFINANCE(""CURRENCY:""&amp;Q1661&amp;""""&amp;Dashboard!$"&amp;"L$1&amp;""""))),K1661))"),"")</f>
        <v/>
      </c>
      <c r="S1661" s="266" t="str">
        <f>IFERROR(__xludf.DUMMYFUNCTION("IF(ISBLANK(A1661),"""",IFERROR(IF(OR(Q1661=""GPB"",Q1661=""ZAR""),IF(Q1661=Dashboard!$L$1,M1661,(M1661*GOOGLEFINANCE(""CURRENCY:""&amp;Q1661&amp;""""&amp;Dashboard!$L$1&amp;""""))/100),IF(Q1661=Dashboard!$L$1,M1661,M1661*GOOGLEFINANCE(""CURRENCY:""&amp;Q1661&amp;""""&amp;Dashboard!$"&amp;"L$1&amp;""""))),M1661))"),"")</f>
        <v/>
      </c>
      <c r="T1661" s="264" t="str">
        <f t="shared" si="4"/>
        <v/>
      </c>
      <c r="U1661" s="264" t="str">
        <f t="shared" si="5"/>
        <v/>
      </c>
      <c r="V1661" s="264" t="str">
        <f t="shared" si="6"/>
        <v/>
      </c>
      <c r="W1661" s="267" t="str">
        <f t="shared" si="8"/>
        <v/>
      </c>
      <c r="X1661" s="264" t="str">
        <f t="shared" si="7"/>
        <v/>
      </c>
    </row>
    <row r="1662" ht="15.75" customHeight="1">
      <c r="A1662" s="258"/>
      <c r="B1662" s="258"/>
      <c r="C1662" s="269"/>
      <c r="D1662" s="258"/>
      <c r="E1662" s="258"/>
      <c r="F1662" s="258"/>
      <c r="G1662" s="258"/>
      <c r="H1662" s="271"/>
      <c r="I1662" s="258"/>
      <c r="J1662" s="272"/>
      <c r="K1662" s="260"/>
      <c r="L1662" s="261"/>
      <c r="M1662" s="262" t="str">
        <f t="shared" si="1"/>
        <v/>
      </c>
      <c r="N1662" s="263" t="str">
        <f t="shared" si="2"/>
        <v/>
      </c>
      <c r="O1662" s="264" t="str">
        <f t="shared" si="3"/>
        <v/>
      </c>
      <c r="P1662" s="265" t="str">
        <f>IFERROR(__xludf.DUMMYFUNCTION("IF(ISBLANK(A1662),"""",IFERROR(IF(H1662=""Sell"",VLOOKUP(9^99,FILTER({ROW(P$2:P1661),P$2:P1661},D$2:D1661=D1662),2),(VLOOKUP(9^99,FILTER({ROW(P$2:P1661),P$2:P1661},D$2:D1661=D1662),2)*VLOOKUP(9^99,FILTER({ROW(O$2:O1661),O$2:O1661},D$2:D1661=D1662),2)-N166"&amp;"2)/O1662),J1662))"),"")</f>
        <v/>
      </c>
      <c r="Q1662" s="264" t="str">
        <f>IFERROR(__xludf.DUMMYFUNCTION("IFERROR(IF(F1662=""Crypto"",B1662,(IF(ISBLANK(D1662),"""",IF(D1662=""Cash"",B1662,IF(GOOGLEFINANCE(D1662,""CURRENCY"")=""GBX"",""GBP"",GOOGLEFINANCE(D1662,""CURRENCY"")))))),B1662)"),"")</f>
        <v/>
      </c>
      <c r="R1662" s="263" t="str">
        <f>IFERROR(__xludf.DUMMYFUNCTION("IF(ISBLANK(A1662),"""",IFERROR(IF(OR(Q1662=""GPB"",Q1662=""ZAR""),IF(Q1662=Dashboard!$L$1,K1662,(K1662*GOOGLEFINANCE(""CURRENCY:""&amp;Q1662&amp;""""&amp;Dashboard!$L$1&amp;""""))/100),IF(Q1662=Dashboard!$L$1,K1662,K1662*GOOGLEFINANCE(""CURRENCY:""&amp;Q1662&amp;""""&amp;Dashboard!$"&amp;"L$1&amp;""""))),K1662))"),"")</f>
        <v/>
      </c>
      <c r="S1662" s="266" t="str">
        <f>IFERROR(__xludf.DUMMYFUNCTION("IF(ISBLANK(A1662),"""",IFERROR(IF(OR(Q1662=""GPB"",Q1662=""ZAR""),IF(Q1662=Dashboard!$L$1,M1662,(M1662*GOOGLEFINANCE(""CURRENCY:""&amp;Q1662&amp;""""&amp;Dashboard!$L$1&amp;""""))/100),IF(Q1662=Dashboard!$L$1,M1662,M1662*GOOGLEFINANCE(""CURRENCY:""&amp;Q1662&amp;""""&amp;Dashboard!$"&amp;"L$1&amp;""""))),M1662))"),"")</f>
        <v/>
      </c>
      <c r="T1662" s="264" t="str">
        <f t="shared" si="4"/>
        <v/>
      </c>
      <c r="U1662" s="264" t="str">
        <f t="shared" si="5"/>
        <v/>
      </c>
      <c r="V1662" s="264" t="str">
        <f t="shared" si="6"/>
        <v/>
      </c>
      <c r="W1662" s="267" t="str">
        <f t="shared" si="8"/>
        <v/>
      </c>
      <c r="X1662" s="264" t="str">
        <f t="shared" si="7"/>
        <v/>
      </c>
    </row>
    <row r="1663" ht="15.75" customHeight="1">
      <c r="A1663" s="258"/>
      <c r="B1663" s="258"/>
      <c r="C1663" s="269"/>
      <c r="D1663" s="258"/>
      <c r="E1663" s="258"/>
      <c r="F1663" s="258"/>
      <c r="G1663" s="258"/>
      <c r="H1663" s="271"/>
      <c r="I1663" s="258"/>
      <c r="J1663" s="272"/>
      <c r="K1663" s="260"/>
      <c r="L1663" s="261"/>
      <c r="M1663" s="262" t="str">
        <f t="shared" si="1"/>
        <v/>
      </c>
      <c r="N1663" s="263" t="str">
        <f t="shared" si="2"/>
        <v/>
      </c>
      <c r="O1663" s="264" t="str">
        <f t="shared" si="3"/>
        <v/>
      </c>
      <c r="P1663" s="265" t="str">
        <f>IFERROR(__xludf.DUMMYFUNCTION("IF(ISBLANK(A1663),"""",IFERROR(IF(H1663=""Sell"",VLOOKUP(9^99,FILTER({ROW(P$2:P1662),P$2:P1662},D$2:D1662=D1663),2),(VLOOKUP(9^99,FILTER({ROW(P$2:P1662),P$2:P1662},D$2:D1662=D1663),2)*VLOOKUP(9^99,FILTER({ROW(O$2:O1662),O$2:O1662},D$2:D1662=D1663),2)-N166"&amp;"3)/O1663),J1663))"),"")</f>
        <v/>
      </c>
      <c r="Q1663" s="264" t="str">
        <f>IFERROR(__xludf.DUMMYFUNCTION("IFERROR(IF(F1663=""Crypto"",B1663,(IF(ISBLANK(D1663),"""",IF(D1663=""Cash"",B1663,IF(GOOGLEFINANCE(D1663,""CURRENCY"")=""GBX"",""GBP"",GOOGLEFINANCE(D1663,""CURRENCY"")))))),B1663)"),"")</f>
        <v/>
      </c>
      <c r="R1663" s="263" t="str">
        <f>IFERROR(__xludf.DUMMYFUNCTION("IF(ISBLANK(A1663),"""",IFERROR(IF(OR(Q1663=""GPB"",Q1663=""ZAR""),IF(Q1663=Dashboard!$L$1,K1663,(K1663*GOOGLEFINANCE(""CURRENCY:""&amp;Q1663&amp;""""&amp;Dashboard!$L$1&amp;""""))/100),IF(Q1663=Dashboard!$L$1,K1663,K1663*GOOGLEFINANCE(""CURRENCY:""&amp;Q1663&amp;""""&amp;Dashboard!$"&amp;"L$1&amp;""""))),K1663))"),"")</f>
        <v/>
      </c>
      <c r="S1663" s="266" t="str">
        <f>IFERROR(__xludf.DUMMYFUNCTION("IF(ISBLANK(A1663),"""",IFERROR(IF(OR(Q1663=""GPB"",Q1663=""ZAR""),IF(Q1663=Dashboard!$L$1,M1663,(M1663*GOOGLEFINANCE(""CURRENCY:""&amp;Q1663&amp;""""&amp;Dashboard!$L$1&amp;""""))/100),IF(Q1663=Dashboard!$L$1,M1663,M1663*GOOGLEFINANCE(""CURRENCY:""&amp;Q1663&amp;""""&amp;Dashboard!$"&amp;"L$1&amp;""""))),M1663))"),"")</f>
        <v/>
      </c>
      <c r="T1663" s="264" t="str">
        <f t="shared" si="4"/>
        <v/>
      </c>
      <c r="U1663" s="264" t="str">
        <f t="shared" si="5"/>
        <v/>
      </c>
      <c r="V1663" s="264" t="str">
        <f t="shared" si="6"/>
        <v/>
      </c>
      <c r="W1663" s="267" t="str">
        <f t="shared" si="8"/>
        <v/>
      </c>
      <c r="X1663" s="264" t="str">
        <f t="shared" si="7"/>
        <v/>
      </c>
    </row>
    <row r="1664" ht="15.75" customHeight="1">
      <c r="A1664" s="258"/>
      <c r="B1664" s="258"/>
      <c r="C1664" s="269"/>
      <c r="D1664" s="258"/>
      <c r="E1664" s="258"/>
      <c r="F1664" s="258"/>
      <c r="G1664" s="258"/>
      <c r="H1664" s="271"/>
      <c r="I1664" s="258"/>
      <c r="J1664" s="272"/>
      <c r="K1664" s="260"/>
      <c r="L1664" s="261"/>
      <c r="M1664" s="262" t="str">
        <f t="shared" si="1"/>
        <v/>
      </c>
      <c r="N1664" s="263" t="str">
        <f t="shared" si="2"/>
        <v/>
      </c>
      <c r="O1664" s="264" t="str">
        <f t="shared" si="3"/>
        <v/>
      </c>
      <c r="P1664" s="265" t="str">
        <f>IFERROR(__xludf.DUMMYFUNCTION("IF(ISBLANK(A1664),"""",IFERROR(IF(H1664=""Sell"",VLOOKUP(9^99,FILTER({ROW(P$2:P1663),P$2:P1663},D$2:D1663=D1664),2),(VLOOKUP(9^99,FILTER({ROW(P$2:P1663),P$2:P1663},D$2:D1663=D1664),2)*VLOOKUP(9^99,FILTER({ROW(O$2:O1663),O$2:O1663},D$2:D1663=D1664),2)-N166"&amp;"4)/O1664),J1664))"),"")</f>
        <v/>
      </c>
      <c r="Q1664" s="264" t="str">
        <f>IFERROR(__xludf.DUMMYFUNCTION("IFERROR(IF(F1664=""Crypto"",B1664,(IF(ISBLANK(D1664),"""",IF(D1664=""Cash"",B1664,IF(GOOGLEFINANCE(D1664,""CURRENCY"")=""GBX"",""GBP"",GOOGLEFINANCE(D1664,""CURRENCY"")))))),B1664)"),"")</f>
        <v/>
      </c>
      <c r="R1664" s="263" t="str">
        <f>IFERROR(__xludf.DUMMYFUNCTION("IF(ISBLANK(A1664),"""",IFERROR(IF(OR(Q1664=""GPB"",Q1664=""ZAR""),IF(Q1664=Dashboard!$L$1,K1664,(K1664*GOOGLEFINANCE(""CURRENCY:""&amp;Q1664&amp;""""&amp;Dashboard!$L$1&amp;""""))/100),IF(Q1664=Dashboard!$L$1,K1664,K1664*GOOGLEFINANCE(""CURRENCY:""&amp;Q1664&amp;""""&amp;Dashboard!$"&amp;"L$1&amp;""""))),K1664))"),"")</f>
        <v/>
      </c>
      <c r="S1664" s="266" t="str">
        <f>IFERROR(__xludf.DUMMYFUNCTION("IF(ISBLANK(A1664),"""",IFERROR(IF(OR(Q1664=""GPB"",Q1664=""ZAR""),IF(Q1664=Dashboard!$L$1,M1664,(M1664*GOOGLEFINANCE(""CURRENCY:""&amp;Q1664&amp;""""&amp;Dashboard!$L$1&amp;""""))/100),IF(Q1664=Dashboard!$L$1,M1664,M1664*GOOGLEFINANCE(""CURRENCY:""&amp;Q1664&amp;""""&amp;Dashboard!$"&amp;"L$1&amp;""""))),M1664))"),"")</f>
        <v/>
      </c>
      <c r="T1664" s="264" t="str">
        <f t="shared" si="4"/>
        <v/>
      </c>
      <c r="U1664" s="264" t="str">
        <f t="shared" si="5"/>
        <v/>
      </c>
      <c r="V1664" s="264" t="str">
        <f t="shared" si="6"/>
        <v/>
      </c>
      <c r="W1664" s="267" t="str">
        <f t="shared" si="8"/>
        <v/>
      </c>
      <c r="X1664" s="264" t="str">
        <f t="shared" si="7"/>
        <v/>
      </c>
    </row>
    <row r="1665" ht="15.75" customHeight="1">
      <c r="A1665" s="258"/>
      <c r="B1665" s="258"/>
      <c r="C1665" s="269"/>
      <c r="D1665" s="258"/>
      <c r="E1665" s="258"/>
      <c r="F1665" s="258"/>
      <c r="G1665" s="258"/>
      <c r="H1665" s="271"/>
      <c r="I1665" s="258"/>
      <c r="J1665" s="272"/>
      <c r="K1665" s="260"/>
      <c r="L1665" s="261"/>
      <c r="M1665" s="262" t="str">
        <f t="shared" si="1"/>
        <v/>
      </c>
      <c r="N1665" s="263" t="str">
        <f t="shared" si="2"/>
        <v/>
      </c>
      <c r="O1665" s="264" t="str">
        <f t="shared" si="3"/>
        <v/>
      </c>
      <c r="P1665" s="265" t="str">
        <f>IFERROR(__xludf.DUMMYFUNCTION("IF(ISBLANK(A1665),"""",IFERROR(IF(H1665=""Sell"",VLOOKUP(9^99,FILTER({ROW(P$2:P1664),P$2:P1664},D$2:D1664=D1665),2),(VLOOKUP(9^99,FILTER({ROW(P$2:P1664),P$2:P1664},D$2:D1664=D1665),2)*VLOOKUP(9^99,FILTER({ROW(O$2:O1664),O$2:O1664},D$2:D1664=D1665),2)-N166"&amp;"5)/O1665),J1665))"),"")</f>
        <v/>
      </c>
      <c r="Q1665" s="264" t="str">
        <f>IFERROR(__xludf.DUMMYFUNCTION("IFERROR(IF(F1665=""Crypto"",B1665,(IF(ISBLANK(D1665),"""",IF(D1665=""Cash"",B1665,IF(GOOGLEFINANCE(D1665,""CURRENCY"")=""GBX"",""GBP"",GOOGLEFINANCE(D1665,""CURRENCY"")))))),B1665)"),"")</f>
        <v/>
      </c>
      <c r="R1665" s="263" t="str">
        <f>IFERROR(__xludf.DUMMYFUNCTION("IF(ISBLANK(A1665),"""",IFERROR(IF(OR(Q1665=""GPB"",Q1665=""ZAR""),IF(Q1665=Dashboard!$L$1,K1665,(K1665*GOOGLEFINANCE(""CURRENCY:""&amp;Q1665&amp;""""&amp;Dashboard!$L$1&amp;""""))/100),IF(Q1665=Dashboard!$L$1,K1665,K1665*GOOGLEFINANCE(""CURRENCY:""&amp;Q1665&amp;""""&amp;Dashboard!$"&amp;"L$1&amp;""""))),K1665))"),"")</f>
        <v/>
      </c>
      <c r="S1665" s="266" t="str">
        <f>IFERROR(__xludf.DUMMYFUNCTION("IF(ISBLANK(A1665),"""",IFERROR(IF(OR(Q1665=""GPB"",Q1665=""ZAR""),IF(Q1665=Dashboard!$L$1,M1665,(M1665*GOOGLEFINANCE(""CURRENCY:""&amp;Q1665&amp;""""&amp;Dashboard!$L$1&amp;""""))/100),IF(Q1665=Dashboard!$L$1,M1665,M1665*GOOGLEFINANCE(""CURRENCY:""&amp;Q1665&amp;""""&amp;Dashboard!$"&amp;"L$1&amp;""""))),M1665))"),"")</f>
        <v/>
      </c>
      <c r="T1665" s="264" t="str">
        <f t="shared" si="4"/>
        <v/>
      </c>
      <c r="U1665" s="264" t="str">
        <f t="shared" si="5"/>
        <v/>
      </c>
      <c r="V1665" s="264" t="str">
        <f t="shared" si="6"/>
        <v/>
      </c>
      <c r="W1665" s="267" t="str">
        <f t="shared" si="8"/>
        <v/>
      </c>
      <c r="X1665" s="264" t="str">
        <f t="shared" si="7"/>
        <v/>
      </c>
    </row>
    <row r="1666" ht="15.75" customHeight="1">
      <c r="A1666" s="258"/>
      <c r="B1666" s="258"/>
      <c r="C1666" s="269"/>
      <c r="D1666" s="258"/>
      <c r="E1666" s="258"/>
      <c r="F1666" s="258"/>
      <c r="G1666" s="258"/>
      <c r="H1666" s="271"/>
      <c r="I1666" s="258"/>
      <c r="J1666" s="272"/>
      <c r="K1666" s="260"/>
      <c r="L1666" s="261"/>
      <c r="M1666" s="262" t="str">
        <f t="shared" si="1"/>
        <v/>
      </c>
      <c r="N1666" s="263" t="str">
        <f t="shared" si="2"/>
        <v/>
      </c>
      <c r="O1666" s="264" t="str">
        <f t="shared" si="3"/>
        <v/>
      </c>
      <c r="P1666" s="265" t="str">
        <f>IFERROR(__xludf.DUMMYFUNCTION("IF(ISBLANK(A1666),"""",IFERROR(IF(H1666=""Sell"",VLOOKUP(9^99,FILTER({ROW(P$2:P1665),P$2:P1665},D$2:D1665=D1666),2),(VLOOKUP(9^99,FILTER({ROW(P$2:P1665),P$2:P1665},D$2:D1665=D1666),2)*VLOOKUP(9^99,FILTER({ROW(O$2:O1665),O$2:O1665},D$2:D1665=D1666),2)-N166"&amp;"6)/O1666),J1666))"),"")</f>
        <v/>
      </c>
      <c r="Q1666" s="264" t="str">
        <f>IFERROR(__xludf.DUMMYFUNCTION("IFERROR(IF(F1666=""Crypto"",B1666,(IF(ISBLANK(D1666),"""",IF(D1666=""Cash"",B1666,IF(GOOGLEFINANCE(D1666,""CURRENCY"")=""GBX"",""GBP"",GOOGLEFINANCE(D1666,""CURRENCY"")))))),B1666)"),"")</f>
        <v/>
      </c>
      <c r="R1666" s="263" t="str">
        <f>IFERROR(__xludf.DUMMYFUNCTION("IF(ISBLANK(A1666),"""",IFERROR(IF(OR(Q1666=""GPB"",Q1666=""ZAR""),IF(Q1666=Dashboard!$L$1,K1666,(K1666*GOOGLEFINANCE(""CURRENCY:""&amp;Q1666&amp;""""&amp;Dashboard!$L$1&amp;""""))/100),IF(Q1666=Dashboard!$L$1,K1666,K1666*GOOGLEFINANCE(""CURRENCY:""&amp;Q1666&amp;""""&amp;Dashboard!$"&amp;"L$1&amp;""""))),K1666))"),"")</f>
        <v/>
      </c>
      <c r="S1666" s="266" t="str">
        <f>IFERROR(__xludf.DUMMYFUNCTION("IF(ISBLANK(A1666),"""",IFERROR(IF(OR(Q1666=""GPB"",Q1666=""ZAR""),IF(Q1666=Dashboard!$L$1,M1666,(M1666*GOOGLEFINANCE(""CURRENCY:""&amp;Q1666&amp;""""&amp;Dashboard!$L$1&amp;""""))/100),IF(Q1666=Dashboard!$L$1,M1666,M1666*GOOGLEFINANCE(""CURRENCY:""&amp;Q1666&amp;""""&amp;Dashboard!$"&amp;"L$1&amp;""""))),M1666))"),"")</f>
        <v/>
      </c>
      <c r="T1666" s="264" t="str">
        <f t="shared" si="4"/>
        <v/>
      </c>
      <c r="U1666" s="264" t="str">
        <f t="shared" si="5"/>
        <v/>
      </c>
      <c r="V1666" s="264" t="str">
        <f t="shared" si="6"/>
        <v/>
      </c>
      <c r="W1666" s="267" t="str">
        <f t="shared" si="8"/>
        <v/>
      </c>
      <c r="X1666" s="264" t="str">
        <f t="shared" si="7"/>
        <v/>
      </c>
    </row>
    <row r="1667" ht="15.75" customHeight="1">
      <c r="A1667" s="258"/>
      <c r="B1667" s="258"/>
      <c r="C1667" s="269"/>
      <c r="D1667" s="258"/>
      <c r="E1667" s="258"/>
      <c r="F1667" s="258"/>
      <c r="G1667" s="258"/>
      <c r="H1667" s="271"/>
      <c r="I1667" s="258"/>
      <c r="J1667" s="272"/>
      <c r="K1667" s="260"/>
      <c r="L1667" s="261"/>
      <c r="M1667" s="262" t="str">
        <f t="shared" si="1"/>
        <v/>
      </c>
      <c r="N1667" s="263" t="str">
        <f t="shared" si="2"/>
        <v/>
      </c>
      <c r="O1667" s="264" t="str">
        <f t="shared" si="3"/>
        <v/>
      </c>
      <c r="P1667" s="265" t="str">
        <f>IFERROR(__xludf.DUMMYFUNCTION("IF(ISBLANK(A1667),"""",IFERROR(IF(H1667=""Sell"",VLOOKUP(9^99,FILTER({ROW(P$2:P1666),P$2:P1666},D$2:D1666=D1667),2),(VLOOKUP(9^99,FILTER({ROW(P$2:P1666),P$2:P1666},D$2:D1666=D1667),2)*VLOOKUP(9^99,FILTER({ROW(O$2:O1666),O$2:O1666},D$2:D1666=D1667),2)-N166"&amp;"7)/O1667),J1667))"),"")</f>
        <v/>
      </c>
      <c r="Q1667" s="264" t="str">
        <f>IFERROR(__xludf.DUMMYFUNCTION("IFERROR(IF(F1667=""Crypto"",B1667,(IF(ISBLANK(D1667),"""",IF(D1667=""Cash"",B1667,IF(GOOGLEFINANCE(D1667,""CURRENCY"")=""GBX"",""GBP"",GOOGLEFINANCE(D1667,""CURRENCY"")))))),B1667)"),"")</f>
        <v/>
      </c>
      <c r="R1667" s="263" t="str">
        <f>IFERROR(__xludf.DUMMYFUNCTION("IF(ISBLANK(A1667),"""",IFERROR(IF(OR(Q1667=""GPB"",Q1667=""ZAR""),IF(Q1667=Dashboard!$L$1,K1667,(K1667*GOOGLEFINANCE(""CURRENCY:""&amp;Q1667&amp;""""&amp;Dashboard!$L$1&amp;""""))/100),IF(Q1667=Dashboard!$L$1,K1667,K1667*GOOGLEFINANCE(""CURRENCY:""&amp;Q1667&amp;""""&amp;Dashboard!$"&amp;"L$1&amp;""""))),K1667))"),"")</f>
        <v/>
      </c>
      <c r="S1667" s="266" t="str">
        <f>IFERROR(__xludf.DUMMYFUNCTION("IF(ISBLANK(A1667),"""",IFERROR(IF(OR(Q1667=""GPB"",Q1667=""ZAR""),IF(Q1667=Dashboard!$L$1,M1667,(M1667*GOOGLEFINANCE(""CURRENCY:""&amp;Q1667&amp;""""&amp;Dashboard!$L$1&amp;""""))/100),IF(Q1667=Dashboard!$L$1,M1667,M1667*GOOGLEFINANCE(""CURRENCY:""&amp;Q1667&amp;""""&amp;Dashboard!$"&amp;"L$1&amp;""""))),M1667))"),"")</f>
        <v/>
      </c>
      <c r="T1667" s="264" t="str">
        <f t="shared" si="4"/>
        <v/>
      </c>
      <c r="U1667" s="264" t="str">
        <f t="shared" si="5"/>
        <v/>
      </c>
      <c r="V1667" s="264" t="str">
        <f t="shared" si="6"/>
        <v/>
      </c>
      <c r="W1667" s="267" t="str">
        <f t="shared" si="8"/>
        <v/>
      </c>
      <c r="X1667" s="264" t="str">
        <f t="shared" si="7"/>
        <v/>
      </c>
    </row>
    <row r="1668" ht="15.75" customHeight="1">
      <c r="A1668" s="258"/>
      <c r="B1668" s="258"/>
      <c r="C1668" s="269"/>
      <c r="D1668" s="258"/>
      <c r="E1668" s="258"/>
      <c r="F1668" s="258"/>
      <c r="G1668" s="258"/>
      <c r="H1668" s="271"/>
      <c r="I1668" s="258"/>
      <c r="J1668" s="272"/>
      <c r="K1668" s="260"/>
      <c r="L1668" s="261"/>
      <c r="M1668" s="262" t="str">
        <f t="shared" si="1"/>
        <v/>
      </c>
      <c r="N1668" s="263" t="str">
        <f t="shared" si="2"/>
        <v/>
      </c>
      <c r="O1668" s="264" t="str">
        <f t="shared" si="3"/>
        <v/>
      </c>
      <c r="P1668" s="265" t="str">
        <f>IFERROR(__xludf.DUMMYFUNCTION("IF(ISBLANK(A1668),"""",IFERROR(IF(H1668=""Sell"",VLOOKUP(9^99,FILTER({ROW(P$2:P1667),P$2:P1667},D$2:D1667=D1668),2),(VLOOKUP(9^99,FILTER({ROW(P$2:P1667),P$2:P1667},D$2:D1667=D1668),2)*VLOOKUP(9^99,FILTER({ROW(O$2:O1667),O$2:O1667},D$2:D1667=D1668),2)-N166"&amp;"8)/O1668),J1668))"),"")</f>
        <v/>
      </c>
      <c r="Q1668" s="264" t="str">
        <f>IFERROR(__xludf.DUMMYFUNCTION("IFERROR(IF(F1668=""Crypto"",B1668,(IF(ISBLANK(D1668),"""",IF(D1668=""Cash"",B1668,IF(GOOGLEFINANCE(D1668,""CURRENCY"")=""GBX"",""GBP"",GOOGLEFINANCE(D1668,""CURRENCY"")))))),B1668)"),"")</f>
        <v/>
      </c>
      <c r="R1668" s="263" t="str">
        <f>IFERROR(__xludf.DUMMYFUNCTION("IF(ISBLANK(A1668),"""",IFERROR(IF(OR(Q1668=""GPB"",Q1668=""ZAR""),IF(Q1668=Dashboard!$L$1,K1668,(K1668*GOOGLEFINANCE(""CURRENCY:""&amp;Q1668&amp;""""&amp;Dashboard!$L$1&amp;""""))/100),IF(Q1668=Dashboard!$L$1,K1668,K1668*GOOGLEFINANCE(""CURRENCY:""&amp;Q1668&amp;""""&amp;Dashboard!$"&amp;"L$1&amp;""""))),K1668))"),"")</f>
        <v/>
      </c>
      <c r="S1668" s="266" t="str">
        <f>IFERROR(__xludf.DUMMYFUNCTION("IF(ISBLANK(A1668),"""",IFERROR(IF(OR(Q1668=""GPB"",Q1668=""ZAR""),IF(Q1668=Dashboard!$L$1,M1668,(M1668*GOOGLEFINANCE(""CURRENCY:""&amp;Q1668&amp;""""&amp;Dashboard!$L$1&amp;""""))/100),IF(Q1668=Dashboard!$L$1,M1668,M1668*GOOGLEFINANCE(""CURRENCY:""&amp;Q1668&amp;""""&amp;Dashboard!$"&amp;"L$1&amp;""""))),M1668))"),"")</f>
        <v/>
      </c>
      <c r="T1668" s="264" t="str">
        <f t="shared" si="4"/>
        <v/>
      </c>
      <c r="U1668" s="264" t="str">
        <f t="shared" si="5"/>
        <v/>
      </c>
      <c r="V1668" s="264" t="str">
        <f t="shared" si="6"/>
        <v/>
      </c>
      <c r="W1668" s="267" t="str">
        <f t="shared" si="8"/>
        <v/>
      </c>
      <c r="X1668" s="264" t="str">
        <f t="shared" si="7"/>
        <v/>
      </c>
    </row>
    <row r="1669" ht="15.75" customHeight="1">
      <c r="A1669" s="258"/>
      <c r="B1669" s="258"/>
      <c r="C1669" s="269"/>
      <c r="D1669" s="258"/>
      <c r="E1669" s="258"/>
      <c r="F1669" s="258"/>
      <c r="G1669" s="258"/>
      <c r="H1669" s="271"/>
      <c r="I1669" s="258"/>
      <c r="J1669" s="272"/>
      <c r="K1669" s="260"/>
      <c r="L1669" s="261"/>
      <c r="M1669" s="262" t="str">
        <f t="shared" si="1"/>
        <v/>
      </c>
      <c r="N1669" s="263" t="str">
        <f t="shared" si="2"/>
        <v/>
      </c>
      <c r="O1669" s="264" t="str">
        <f t="shared" si="3"/>
        <v/>
      </c>
      <c r="P1669" s="265" t="str">
        <f>IFERROR(__xludf.DUMMYFUNCTION("IF(ISBLANK(A1669),"""",IFERROR(IF(H1669=""Sell"",VLOOKUP(9^99,FILTER({ROW(P$2:P1668),P$2:P1668},D$2:D1668=D1669),2),(VLOOKUP(9^99,FILTER({ROW(P$2:P1668),P$2:P1668},D$2:D1668=D1669),2)*VLOOKUP(9^99,FILTER({ROW(O$2:O1668),O$2:O1668},D$2:D1668=D1669),2)-N166"&amp;"9)/O1669),J1669))"),"")</f>
        <v/>
      </c>
      <c r="Q1669" s="264" t="str">
        <f>IFERROR(__xludf.DUMMYFUNCTION("IFERROR(IF(F1669=""Crypto"",B1669,(IF(ISBLANK(D1669),"""",IF(D1669=""Cash"",B1669,IF(GOOGLEFINANCE(D1669,""CURRENCY"")=""GBX"",""GBP"",GOOGLEFINANCE(D1669,""CURRENCY"")))))),B1669)"),"")</f>
        <v/>
      </c>
      <c r="R1669" s="263" t="str">
        <f>IFERROR(__xludf.DUMMYFUNCTION("IF(ISBLANK(A1669),"""",IFERROR(IF(OR(Q1669=""GPB"",Q1669=""ZAR""),IF(Q1669=Dashboard!$L$1,K1669,(K1669*GOOGLEFINANCE(""CURRENCY:""&amp;Q1669&amp;""""&amp;Dashboard!$L$1&amp;""""))/100),IF(Q1669=Dashboard!$L$1,K1669,K1669*GOOGLEFINANCE(""CURRENCY:""&amp;Q1669&amp;""""&amp;Dashboard!$"&amp;"L$1&amp;""""))),K1669))"),"")</f>
        <v/>
      </c>
      <c r="S1669" s="266" t="str">
        <f>IFERROR(__xludf.DUMMYFUNCTION("IF(ISBLANK(A1669),"""",IFERROR(IF(OR(Q1669=""GPB"",Q1669=""ZAR""),IF(Q1669=Dashboard!$L$1,M1669,(M1669*GOOGLEFINANCE(""CURRENCY:""&amp;Q1669&amp;""""&amp;Dashboard!$L$1&amp;""""))/100),IF(Q1669=Dashboard!$L$1,M1669,M1669*GOOGLEFINANCE(""CURRENCY:""&amp;Q1669&amp;""""&amp;Dashboard!$"&amp;"L$1&amp;""""))),M1669))"),"")</f>
        <v/>
      </c>
      <c r="T1669" s="264" t="str">
        <f t="shared" si="4"/>
        <v/>
      </c>
      <c r="U1669" s="264" t="str">
        <f t="shared" si="5"/>
        <v/>
      </c>
      <c r="V1669" s="264" t="str">
        <f t="shared" si="6"/>
        <v/>
      </c>
      <c r="W1669" s="267" t="str">
        <f t="shared" si="8"/>
        <v/>
      </c>
      <c r="X1669" s="264" t="str">
        <f t="shared" si="7"/>
        <v/>
      </c>
    </row>
    <row r="1670" ht="15.75" customHeight="1">
      <c r="A1670" s="258"/>
      <c r="B1670" s="258"/>
      <c r="C1670" s="269"/>
      <c r="D1670" s="258"/>
      <c r="E1670" s="258"/>
      <c r="F1670" s="258"/>
      <c r="G1670" s="258"/>
      <c r="H1670" s="271"/>
      <c r="I1670" s="258"/>
      <c r="J1670" s="272"/>
      <c r="K1670" s="260"/>
      <c r="L1670" s="261"/>
      <c r="M1670" s="262" t="str">
        <f t="shared" si="1"/>
        <v/>
      </c>
      <c r="N1670" s="263" t="str">
        <f t="shared" si="2"/>
        <v/>
      </c>
      <c r="O1670" s="264" t="str">
        <f t="shared" si="3"/>
        <v/>
      </c>
      <c r="P1670" s="265" t="str">
        <f>IFERROR(__xludf.DUMMYFUNCTION("IF(ISBLANK(A1670),"""",IFERROR(IF(H1670=""Sell"",VLOOKUP(9^99,FILTER({ROW(P$2:P1669),P$2:P1669},D$2:D1669=D1670),2),(VLOOKUP(9^99,FILTER({ROW(P$2:P1669),P$2:P1669},D$2:D1669=D1670),2)*VLOOKUP(9^99,FILTER({ROW(O$2:O1669),O$2:O1669},D$2:D1669=D1670),2)-N167"&amp;"0)/O1670),J1670))"),"")</f>
        <v/>
      </c>
      <c r="Q1670" s="264" t="str">
        <f>IFERROR(__xludf.DUMMYFUNCTION("IFERROR(IF(F1670=""Crypto"",B1670,(IF(ISBLANK(D1670),"""",IF(D1670=""Cash"",B1670,IF(GOOGLEFINANCE(D1670,""CURRENCY"")=""GBX"",""GBP"",GOOGLEFINANCE(D1670,""CURRENCY"")))))),B1670)"),"")</f>
        <v/>
      </c>
      <c r="R1670" s="263" t="str">
        <f>IFERROR(__xludf.DUMMYFUNCTION("IF(ISBLANK(A1670),"""",IFERROR(IF(OR(Q1670=""GPB"",Q1670=""ZAR""),IF(Q1670=Dashboard!$L$1,K1670,(K1670*GOOGLEFINANCE(""CURRENCY:""&amp;Q1670&amp;""""&amp;Dashboard!$L$1&amp;""""))/100),IF(Q1670=Dashboard!$L$1,K1670,K1670*GOOGLEFINANCE(""CURRENCY:""&amp;Q1670&amp;""""&amp;Dashboard!$"&amp;"L$1&amp;""""))),K1670))"),"")</f>
        <v/>
      </c>
      <c r="S1670" s="266" t="str">
        <f>IFERROR(__xludf.DUMMYFUNCTION("IF(ISBLANK(A1670),"""",IFERROR(IF(OR(Q1670=""GPB"",Q1670=""ZAR""),IF(Q1670=Dashboard!$L$1,M1670,(M1670*GOOGLEFINANCE(""CURRENCY:""&amp;Q1670&amp;""""&amp;Dashboard!$L$1&amp;""""))/100),IF(Q1670=Dashboard!$L$1,M1670,M1670*GOOGLEFINANCE(""CURRENCY:""&amp;Q1670&amp;""""&amp;Dashboard!$"&amp;"L$1&amp;""""))),M1670))"),"")</f>
        <v/>
      </c>
      <c r="T1670" s="264" t="str">
        <f t="shared" si="4"/>
        <v/>
      </c>
      <c r="U1670" s="264" t="str">
        <f t="shared" si="5"/>
        <v/>
      </c>
      <c r="V1670" s="264" t="str">
        <f t="shared" si="6"/>
        <v/>
      </c>
      <c r="W1670" s="267" t="str">
        <f t="shared" si="8"/>
        <v/>
      </c>
      <c r="X1670" s="264" t="str">
        <f t="shared" si="7"/>
        <v/>
      </c>
    </row>
    <row r="1671" ht="15.75" customHeight="1">
      <c r="A1671" s="258"/>
      <c r="B1671" s="258"/>
      <c r="C1671" s="269"/>
      <c r="D1671" s="258"/>
      <c r="E1671" s="258"/>
      <c r="F1671" s="258"/>
      <c r="G1671" s="258"/>
      <c r="H1671" s="271"/>
      <c r="I1671" s="258"/>
      <c r="J1671" s="272"/>
      <c r="K1671" s="260"/>
      <c r="L1671" s="261"/>
      <c r="M1671" s="262" t="str">
        <f t="shared" si="1"/>
        <v/>
      </c>
      <c r="N1671" s="263" t="str">
        <f t="shared" si="2"/>
        <v/>
      </c>
      <c r="O1671" s="264" t="str">
        <f t="shared" si="3"/>
        <v/>
      </c>
      <c r="P1671" s="265" t="str">
        <f>IFERROR(__xludf.DUMMYFUNCTION("IF(ISBLANK(A1671),"""",IFERROR(IF(H1671=""Sell"",VLOOKUP(9^99,FILTER({ROW(P$2:P1670),P$2:P1670},D$2:D1670=D1671),2),(VLOOKUP(9^99,FILTER({ROW(P$2:P1670),P$2:P1670},D$2:D1670=D1671),2)*VLOOKUP(9^99,FILTER({ROW(O$2:O1670),O$2:O1670},D$2:D1670=D1671),2)-N167"&amp;"1)/O1671),J1671))"),"")</f>
        <v/>
      </c>
      <c r="Q1671" s="264" t="str">
        <f>IFERROR(__xludf.DUMMYFUNCTION("IFERROR(IF(F1671=""Crypto"",B1671,(IF(ISBLANK(D1671),"""",IF(D1671=""Cash"",B1671,IF(GOOGLEFINANCE(D1671,""CURRENCY"")=""GBX"",""GBP"",GOOGLEFINANCE(D1671,""CURRENCY"")))))),B1671)"),"")</f>
        <v/>
      </c>
      <c r="R1671" s="263" t="str">
        <f>IFERROR(__xludf.DUMMYFUNCTION("IF(ISBLANK(A1671),"""",IFERROR(IF(OR(Q1671=""GPB"",Q1671=""ZAR""),IF(Q1671=Dashboard!$L$1,K1671,(K1671*GOOGLEFINANCE(""CURRENCY:""&amp;Q1671&amp;""""&amp;Dashboard!$L$1&amp;""""))/100),IF(Q1671=Dashboard!$L$1,K1671,K1671*GOOGLEFINANCE(""CURRENCY:""&amp;Q1671&amp;""""&amp;Dashboard!$"&amp;"L$1&amp;""""))),K1671))"),"")</f>
        <v/>
      </c>
      <c r="S1671" s="266" t="str">
        <f>IFERROR(__xludf.DUMMYFUNCTION("IF(ISBLANK(A1671),"""",IFERROR(IF(OR(Q1671=""GPB"",Q1671=""ZAR""),IF(Q1671=Dashboard!$L$1,M1671,(M1671*GOOGLEFINANCE(""CURRENCY:""&amp;Q1671&amp;""""&amp;Dashboard!$L$1&amp;""""))/100),IF(Q1671=Dashboard!$L$1,M1671,M1671*GOOGLEFINANCE(""CURRENCY:""&amp;Q1671&amp;""""&amp;Dashboard!$"&amp;"L$1&amp;""""))),M1671))"),"")</f>
        <v/>
      </c>
      <c r="T1671" s="264" t="str">
        <f t="shared" si="4"/>
        <v/>
      </c>
      <c r="U1671" s="264" t="str">
        <f t="shared" si="5"/>
        <v/>
      </c>
      <c r="V1671" s="264" t="str">
        <f t="shared" si="6"/>
        <v/>
      </c>
      <c r="W1671" s="267" t="str">
        <f t="shared" si="8"/>
        <v/>
      </c>
      <c r="X1671" s="264" t="str">
        <f t="shared" si="7"/>
        <v/>
      </c>
    </row>
    <row r="1672" ht="15.75" customHeight="1">
      <c r="A1672" s="258"/>
      <c r="B1672" s="258"/>
      <c r="C1672" s="269"/>
      <c r="D1672" s="258"/>
      <c r="E1672" s="258"/>
      <c r="F1672" s="258"/>
      <c r="G1672" s="258"/>
      <c r="H1672" s="271"/>
      <c r="I1672" s="258"/>
      <c r="J1672" s="272"/>
      <c r="K1672" s="260"/>
      <c r="L1672" s="261"/>
      <c r="M1672" s="262" t="str">
        <f t="shared" si="1"/>
        <v/>
      </c>
      <c r="N1672" s="263" t="str">
        <f t="shared" si="2"/>
        <v/>
      </c>
      <c r="O1672" s="264" t="str">
        <f t="shared" si="3"/>
        <v/>
      </c>
      <c r="P1672" s="265" t="str">
        <f>IFERROR(__xludf.DUMMYFUNCTION("IF(ISBLANK(A1672),"""",IFERROR(IF(H1672=""Sell"",VLOOKUP(9^99,FILTER({ROW(P$2:P1671),P$2:P1671},D$2:D1671=D1672),2),(VLOOKUP(9^99,FILTER({ROW(P$2:P1671),P$2:P1671},D$2:D1671=D1672),2)*VLOOKUP(9^99,FILTER({ROW(O$2:O1671),O$2:O1671},D$2:D1671=D1672),2)-N167"&amp;"2)/O1672),J1672))"),"")</f>
        <v/>
      </c>
      <c r="Q1672" s="264" t="str">
        <f>IFERROR(__xludf.DUMMYFUNCTION("IFERROR(IF(F1672=""Crypto"",B1672,(IF(ISBLANK(D1672),"""",IF(D1672=""Cash"",B1672,IF(GOOGLEFINANCE(D1672,""CURRENCY"")=""GBX"",""GBP"",GOOGLEFINANCE(D1672,""CURRENCY"")))))),B1672)"),"")</f>
        <v/>
      </c>
      <c r="R1672" s="263" t="str">
        <f>IFERROR(__xludf.DUMMYFUNCTION("IF(ISBLANK(A1672),"""",IFERROR(IF(OR(Q1672=""GPB"",Q1672=""ZAR""),IF(Q1672=Dashboard!$L$1,K1672,(K1672*GOOGLEFINANCE(""CURRENCY:""&amp;Q1672&amp;""""&amp;Dashboard!$L$1&amp;""""))/100),IF(Q1672=Dashboard!$L$1,K1672,K1672*GOOGLEFINANCE(""CURRENCY:""&amp;Q1672&amp;""""&amp;Dashboard!$"&amp;"L$1&amp;""""))),K1672))"),"")</f>
        <v/>
      </c>
      <c r="S1672" s="266" t="str">
        <f>IFERROR(__xludf.DUMMYFUNCTION("IF(ISBLANK(A1672),"""",IFERROR(IF(OR(Q1672=""GPB"",Q1672=""ZAR""),IF(Q1672=Dashboard!$L$1,M1672,(M1672*GOOGLEFINANCE(""CURRENCY:""&amp;Q1672&amp;""""&amp;Dashboard!$L$1&amp;""""))/100),IF(Q1672=Dashboard!$L$1,M1672,M1672*GOOGLEFINANCE(""CURRENCY:""&amp;Q1672&amp;""""&amp;Dashboard!$"&amp;"L$1&amp;""""))),M1672))"),"")</f>
        <v/>
      </c>
      <c r="T1672" s="264" t="str">
        <f t="shared" si="4"/>
        <v/>
      </c>
      <c r="U1672" s="264" t="str">
        <f t="shared" si="5"/>
        <v/>
      </c>
      <c r="V1672" s="264" t="str">
        <f t="shared" si="6"/>
        <v/>
      </c>
      <c r="W1672" s="267" t="str">
        <f t="shared" si="8"/>
        <v/>
      </c>
      <c r="X1672" s="264" t="str">
        <f t="shared" si="7"/>
        <v/>
      </c>
    </row>
    <row r="1673" ht="15.75" customHeight="1">
      <c r="A1673" s="258"/>
      <c r="B1673" s="258"/>
      <c r="C1673" s="269"/>
      <c r="D1673" s="258"/>
      <c r="E1673" s="258"/>
      <c r="F1673" s="258"/>
      <c r="G1673" s="258"/>
      <c r="H1673" s="271"/>
      <c r="I1673" s="258"/>
      <c r="J1673" s="272"/>
      <c r="K1673" s="260"/>
      <c r="L1673" s="261"/>
      <c r="M1673" s="262" t="str">
        <f t="shared" si="1"/>
        <v/>
      </c>
      <c r="N1673" s="263" t="str">
        <f t="shared" si="2"/>
        <v/>
      </c>
      <c r="O1673" s="264" t="str">
        <f t="shared" si="3"/>
        <v/>
      </c>
      <c r="P1673" s="265" t="str">
        <f>IFERROR(__xludf.DUMMYFUNCTION("IF(ISBLANK(A1673),"""",IFERROR(IF(H1673=""Sell"",VLOOKUP(9^99,FILTER({ROW(P$2:P1672),P$2:P1672},D$2:D1672=D1673),2),(VLOOKUP(9^99,FILTER({ROW(P$2:P1672),P$2:P1672},D$2:D1672=D1673),2)*VLOOKUP(9^99,FILTER({ROW(O$2:O1672),O$2:O1672},D$2:D1672=D1673),2)-N167"&amp;"3)/O1673),J1673))"),"")</f>
        <v/>
      </c>
      <c r="Q1673" s="264" t="str">
        <f>IFERROR(__xludf.DUMMYFUNCTION("IFERROR(IF(F1673=""Crypto"",B1673,(IF(ISBLANK(D1673),"""",IF(D1673=""Cash"",B1673,IF(GOOGLEFINANCE(D1673,""CURRENCY"")=""GBX"",""GBP"",GOOGLEFINANCE(D1673,""CURRENCY"")))))),B1673)"),"")</f>
        <v/>
      </c>
      <c r="R1673" s="263" t="str">
        <f>IFERROR(__xludf.DUMMYFUNCTION("IF(ISBLANK(A1673),"""",IFERROR(IF(OR(Q1673=""GPB"",Q1673=""ZAR""),IF(Q1673=Dashboard!$L$1,K1673,(K1673*GOOGLEFINANCE(""CURRENCY:""&amp;Q1673&amp;""""&amp;Dashboard!$L$1&amp;""""))/100),IF(Q1673=Dashboard!$L$1,K1673,K1673*GOOGLEFINANCE(""CURRENCY:""&amp;Q1673&amp;""""&amp;Dashboard!$"&amp;"L$1&amp;""""))),K1673))"),"")</f>
        <v/>
      </c>
      <c r="S1673" s="266" t="str">
        <f>IFERROR(__xludf.DUMMYFUNCTION("IF(ISBLANK(A1673),"""",IFERROR(IF(OR(Q1673=""GPB"",Q1673=""ZAR""),IF(Q1673=Dashboard!$L$1,M1673,(M1673*GOOGLEFINANCE(""CURRENCY:""&amp;Q1673&amp;""""&amp;Dashboard!$L$1&amp;""""))/100),IF(Q1673=Dashboard!$L$1,M1673,M1673*GOOGLEFINANCE(""CURRENCY:""&amp;Q1673&amp;""""&amp;Dashboard!$"&amp;"L$1&amp;""""))),M1673))"),"")</f>
        <v/>
      </c>
      <c r="T1673" s="264" t="str">
        <f t="shared" si="4"/>
        <v/>
      </c>
      <c r="U1673" s="264" t="str">
        <f t="shared" si="5"/>
        <v/>
      </c>
      <c r="V1673" s="264" t="str">
        <f t="shared" si="6"/>
        <v/>
      </c>
      <c r="W1673" s="267" t="str">
        <f t="shared" si="8"/>
        <v/>
      </c>
      <c r="X1673" s="264" t="str">
        <f t="shared" si="7"/>
        <v/>
      </c>
    </row>
    <row r="1674" ht="15.75" customHeight="1">
      <c r="A1674" s="258"/>
      <c r="B1674" s="258"/>
      <c r="C1674" s="269"/>
      <c r="D1674" s="258"/>
      <c r="E1674" s="258"/>
      <c r="F1674" s="258"/>
      <c r="G1674" s="258"/>
      <c r="H1674" s="271"/>
      <c r="I1674" s="258"/>
      <c r="J1674" s="272"/>
      <c r="K1674" s="260"/>
      <c r="L1674" s="261"/>
      <c r="M1674" s="262" t="str">
        <f t="shared" si="1"/>
        <v/>
      </c>
      <c r="N1674" s="263" t="str">
        <f t="shared" si="2"/>
        <v/>
      </c>
      <c r="O1674" s="264" t="str">
        <f t="shared" si="3"/>
        <v/>
      </c>
      <c r="P1674" s="265" t="str">
        <f>IFERROR(__xludf.DUMMYFUNCTION("IF(ISBLANK(A1674),"""",IFERROR(IF(H1674=""Sell"",VLOOKUP(9^99,FILTER({ROW(P$2:P1673),P$2:P1673},D$2:D1673=D1674),2),(VLOOKUP(9^99,FILTER({ROW(P$2:P1673),P$2:P1673},D$2:D1673=D1674),2)*VLOOKUP(9^99,FILTER({ROW(O$2:O1673),O$2:O1673},D$2:D1673=D1674),2)-N167"&amp;"4)/O1674),J1674))"),"")</f>
        <v/>
      </c>
      <c r="Q1674" s="264" t="str">
        <f>IFERROR(__xludf.DUMMYFUNCTION("IFERROR(IF(F1674=""Crypto"",B1674,(IF(ISBLANK(D1674),"""",IF(D1674=""Cash"",B1674,IF(GOOGLEFINANCE(D1674,""CURRENCY"")=""GBX"",""GBP"",GOOGLEFINANCE(D1674,""CURRENCY"")))))),B1674)"),"")</f>
        <v/>
      </c>
      <c r="R1674" s="263" t="str">
        <f>IFERROR(__xludf.DUMMYFUNCTION("IF(ISBLANK(A1674),"""",IFERROR(IF(OR(Q1674=""GPB"",Q1674=""ZAR""),IF(Q1674=Dashboard!$L$1,K1674,(K1674*GOOGLEFINANCE(""CURRENCY:""&amp;Q1674&amp;""""&amp;Dashboard!$L$1&amp;""""))/100),IF(Q1674=Dashboard!$L$1,K1674,K1674*GOOGLEFINANCE(""CURRENCY:""&amp;Q1674&amp;""""&amp;Dashboard!$"&amp;"L$1&amp;""""))),K1674))"),"")</f>
        <v/>
      </c>
      <c r="S1674" s="266" t="str">
        <f>IFERROR(__xludf.DUMMYFUNCTION("IF(ISBLANK(A1674),"""",IFERROR(IF(OR(Q1674=""GPB"",Q1674=""ZAR""),IF(Q1674=Dashboard!$L$1,M1674,(M1674*GOOGLEFINANCE(""CURRENCY:""&amp;Q1674&amp;""""&amp;Dashboard!$L$1&amp;""""))/100),IF(Q1674=Dashboard!$L$1,M1674,M1674*GOOGLEFINANCE(""CURRENCY:""&amp;Q1674&amp;""""&amp;Dashboard!$"&amp;"L$1&amp;""""))),M1674))"),"")</f>
        <v/>
      </c>
      <c r="T1674" s="264" t="str">
        <f t="shared" si="4"/>
        <v/>
      </c>
      <c r="U1674" s="264" t="str">
        <f t="shared" si="5"/>
        <v/>
      </c>
      <c r="V1674" s="264" t="str">
        <f t="shared" si="6"/>
        <v/>
      </c>
      <c r="W1674" s="267" t="str">
        <f t="shared" si="8"/>
        <v/>
      </c>
      <c r="X1674" s="264" t="str">
        <f t="shared" si="7"/>
        <v/>
      </c>
    </row>
    <row r="1675" ht="15.75" customHeight="1">
      <c r="A1675" s="258"/>
      <c r="B1675" s="258"/>
      <c r="C1675" s="269"/>
      <c r="D1675" s="258"/>
      <c r="E1675" s="258"/>
      <c r="F1675" s="258"/>
      <c r="G1675" s="258"/>
      <c r="H1675" s="271"/>
      <c r="I1675" s="258"/>
      <c r="J1675" s="272"/>
      <c r="K1675" s="260"/>
      <c r="L1675" s="261"/>
      <c r="M1675" s="262" t="str">
        <f t="shared" si="1"/>
        <v/>
      </c>
      <c r="N1675" s="263" t="str">
        <f t="shared" si="2"/>
        <v/>
      </c>
      <c r="O1675" s="264" t="str">
        <f t="shared" si="3"/>
        <v/>
      </c>
      <c r="P1675" s="265" t="str">
        <f>IFERROR(__xludf.DUMMYFUNCTION("IF(ISBLANK(A1675),"""",IFERROR(IF(H1675=""Sell"",VLOOKUP(9^99,FILTER({ROW(P$2:P1674),P$2:P1674},D$2:D1674=D1675),2),(VLOOKUP(9^99,FILTER({ROW(P$2:P1674),P$2:P1674},D$2:D1674=D1675),2)*VLOOKUP(9^99,FILTER({ROW(O$2:O1674),O$2:O1674},D$2:D1674=D1675),2)-N167"&amp;"5)/O1675),J1675))"),"")</f>
        <v/>
      </c>
      <c r="Q1675" s="264" t="str">
        <f>IFERROR(__xludf.DUMMYFUNCTION("IFERROR(IF(F1675=""Crypto"",B1675,(IF(ISBLANK(D1675),"""",IF(D1675=""Cash"",B1675,IF(GOOGLEFINANCE(D1675,""CURRENCY"")=""GBX"",""GBP"",GOOGLEFINANCE(D1675,""CURRENCY"")))))),B1675)"),"")</f>
        <v/>
      </c>
      <c r="R1675" s="263" t="str">
        <f>IFERROR(__xludf.DUMMYFUNCTION("IF(ISBLANK(A1675),"""",IFERROR(IF(OR(Q1675=""GPB"",Q1675=""ZAR""),IF(Q1675=Dashboard!$L$1,K1675,(K1675*GOOGLEFINANCE(""CURRENCY:""&amp;Q1675&amp;""""&amp;Dashboard!$L$1&amp;""""))/100),IF(Q1675=Dashboard!$L$1,K1675,K1675*GOOGLEFINANCE(""CURRENCY:""&amp;Q1675&amp;""""&amp;Dashboard!$"&amp;"L$1&amp;""""))),K1675))"),"")</f>
        <v/>
      </c>
      <c r="S1675" s="266" t="str">
        <f>IFERROR(__xludf.DUMMYFUNCTION("IF(ISBLANK(A1675),"""",IFERROR(IF(OR(Q1675=""GPB"",Q1675=""ZAR""),IF(Q1675=Dashboard!$L$1,M1675,(M1675*GOOGLEFINANCE(""CURRENCY:""&amp;Q1675&amp;""""&amp;Dashboard!$L$1&amp;""""))/100),IF(Q1675=Dashboard!$L$1,M1675,M1675*GOOGLEFINANCE(""CURRENCY:""&amp;Q1675&amp;""""&amp;Dashboard!$"&amp;"L$1&amp;""""))),M1675))"),"")</f>
        <v/>
      </c>
      <c r="T1675" s="264" t="str">
        <f t="shared" si="4"/>
        <v/>
      </c>
      <c r="U1675" s="264" t="str">
        <f t="shared" si="5"/>
        <v/>
      </c>
      <c r="V1675" s="264" t="str">
        <f t="shared" si="6"/>
        <v/>
      </c>
      <c r="W1675" s="267" t="str">
        <f t="shared" si="8"/>
        <v/>
      </c>
      <c r="X1675" s="264" t="str">
        <f t="shared" si="7"/>
        <v/>
      </c>
    </row>
    <row r="1676" ht="15.75" customHeight="1">
      <c r="A1676" s="258"/>
      <c r="B1676" s="258"/>
      <c r="C1676" s="269"/>
      <c r="D1676" s="258"/>
      <c r="E1676" s="258"/>
      <c r="F1676" s="258"/>
      <c r="G1676" s="258"/>
      <c r="H1676" s="271"/>
      <c r="I1676" s="258"/>
      <c r="J1676" s="272"/>
      <c r="K1676" s="260"/>
      <c r="L1676" s="261"/>
      <c r="M1676" s="262" t="str">
        <f t="shared" si="1"/>
        <v/>
      </c>
      <c r="N1676" s="263" t="str">
        <f t="shared" si="2"/>
        <v/>
      </c>
      <c r="O1676" s="264" t="str">
        <f t="shared" si="3"/>
        <v/>
      </c>
      <c r="P1676" s="265" t="str">
        <f>IFERROR(__xludf.DUMMYFUNCTION("IF(ISBLANK(A1676),"""",IFERROR(IF(H1676=""Sell"",VLOOKUP(9^99,FILTER({ROW(P$2:P1675),P$2:P1675},D$2:D1675=D1676),2),(VLOOKUP(9^99,FILTER({ROW(P$2:P1675),P$2:P1675},D$2:D1675=D1676),2)*VLOOKUP(9^99,FILTER({ROW(O$2:O1675),O$2:O1675},D$2:D1675=D1676),2)-N167"&amp;"6)/O1676),J1676))"),"")</f>
        <v/>
      </c>
      <c r="Q1676" s="264" t="str">
        <f>IFERROR(__xludf.DUMMYFUNCTION("IFERROR(IF(F1676=""Crypto"",B1676,(IF(ISBLANK(D1676),"""",IF(D1676=""Cash"",B1676,IF(GOOGLEFINANCE(D1676,""CURRENCY"")=""GBX"",""GBP"",GOOGLEFINANCE(D1676,""CURRENCY"")))))),B1676)"),"")</f>
        <v/>
      </c>
      <c r="R1676" s="263" t="str">
        <f>IFERROR(__xludf.DUMMYFUNCTION("IF(ISBLANK(A1676),"""",IFERROR(IF(OR(Q1676=""GPB"",Q1676=""ZAR""),IF(Q1676=Dashboard!$L$1,K1676,(K1676*GOOGLEFINANCE(""CURRENCY:""&amp;Q1676&amp;""""&amp;Dashboard!$L$1&amp;""""))/100),IF(Q1676=Dashboard!$L$1,K1676,K1676*GOOGLEFINANCE(""CURRENCY:""&amp;Q1676&amp;""""&amp;Dashboard!$"&amp;"L$1&amp;""""))),K1676))"),"")</f>
        <v/>
      </c>
      <c r="S1676" s="266" t="str">
        <f>IFERROR(__xludf.DUMMYFUNCTION("IF(ISBLANK(A1676),"""",IFERROR(IF(OR(Q1676=""GPB"",Q1676=""ZAR""),IF(Q1676=Dashboard!$L$1,M1676,(M1676*GOOGLEFINANCE(""CURRENCY:""&amp;Q1676&amp;""""&amp;Dashboard!$L$1&amp;""""))/100),IF(Q1676=Dashboard!$L$1,M1676,M1676*GOOGLEFINANCE(""CURRENCY:""&amp;Q1676&amp;""""&amp;Dashboard!$"&amp;"L$1&amp;""""))),M1676))"),"")</f>
        <v/>
      </c>
      <c r="T1676" s="264" t="str">
        <f t="shared" si="4"/>
        <v/>
      </c>
      <c r="U1676" s="264" t="str">
        <f t="shared" si="5"/>
        <v/>
      </c>
      <c r="V1676" s="264" t="str">
        <f t="shared" si="6"/>
        <v/>
      </c>
      <c r="W1676" s="267" t="str">
        <f t="shared" si="8"/>
        <v/>
      </c>
      <c r="X1676" s="264" t="str">
        <f t="shared" si="7"/>
        <v/>
      </c>
    </row>
    <row r="1677" ht="15.75" customHeight="1">
      <c r="A1677" s="258"/>
      <c r="B1677" s="258"/>
      <c r="C1677" s="269"/>
      <c r="D1677" s="258"/>
      <c r="E1677" s="258"/>
      <c r="F1677" s="258"/>
      <c r="G1677" s="258"/>
      <c r="H1677" s="271"/>
      <c r="I1677" s="258"/>
      <c r="J1677" s="272"/>
      <c r="K1677" s="260"/>
      <c r="L1677" s="261"/>
      <c r="M1677" s="262" t="str">
        <f t="shared" si="1"/>
        <v/>
      </c>
      <c r="N1677" s="263" t="str">
        <f t="shared" si="2"/>
        <v/>
      </c>
      <c r="O1677" s="264" t="str">
        <f t="shared" si="3"/>
        <v/>
      </c>
      <c r="P1677" s="265" t="str">
        <f>IFERROR(__xludf.DUMMYFUNCTION("IF(ISBLANK(A1677),"""",IFERROR(IF(H1677=""Sell"",VLOOKUP(9^99,FILTER({ROW(P$2:P1676),P$2:P1676},D$2:D1676=D1677),2),(VLOOKUP(9^99,FILTER({ROW(P$2:P1676),P$2:P1676},D$2:D1676=D1677),2)*VLOOKUP(9^99,FILTER({ROW(O$2:O1676),O$2:O1676},D$2:D1676=D1677),2)-N167"&amp;"7)/O1677),J1677))"),"")</f>
        <v/>
      </c>
      <c r="Q1677" s="264" t="str">
        <f>IFERROR(__xludf.DUMMYFUNCTION("IFERROR(IF(F1677=""Crypto"",B1677,(IF(ISBLANK(D1677),"""",IF(D1677=""Cash"",B1677,IF(GOOGLEFINANCE(D1677,""CURRENCY"")=""GBX"",""GBP"",GOOGLEFINANCE(D1677,""CURRENCY"")))))),B1677)"),"")</f>
        <v/>
      </c>
      <c r="R1677" s="263" t="str">
        <f>IFERROR(__xludf.DUMMYFUNCTION("IF(ISBLANK(A1677),"""",IFERROR(IF(OR(Q1677=""GPB"",Q1677=""ZAR""),IF(Q1677=Dashboard!$L$1,K1677,(K1677*GOOGLEFINANCE(""CURRENCY:""&amp;Q1677&amp;""""&amp;Dashboard!$L$1&amp;""""))/100),IF(Q1677=Dashboard!$L$1,K1677,K1677*GOOGLEFINANCE(""CURRENCY:""&amp;Q1677&amp;""""&amp;Dashboard!$"&amp;"L$1&amp;""""))),K1677))"),"")</f>
        <v/>
      </c>
      <c r="S1677" s="266" t="str">
        <f>IFERROR(__xludf.DUMMYFUNCTION("IF(ISBLANK(A1677),"""",IFERROR(IF(OR(Q1677=""GPB"",Q1677=""ZAR""),IF(Q1677=Dashboard!$L$1,M1677,(M1677*GOOGLEFINANCE(""CURRENCY:""&amp;Q1677&amp;""""&amp;Dashboard!$L$1&amp;""""))/100),IF(Q1677=Dashboard!$L$1,M1677,M1677*GOOGLEFINANCE(""CURRENCY:""&amp;Q1677&amp;""""&amp;Dashboard!$"&amp;"L$1&amp;""""))),M1677))"),"")</f>
        <v/>
      </c>
      <c r="T1677" s="264" t="str">
        <f t="shared" si="4"/>
        <v/>
      </c>
      <c r="U1677" s="264" t="str">
        <f t="shared" si="5"/>
        <v/>
      </c>
      <c r="V1677" s="264" t="str">
        <f t="shared" si="6"/>
        <v/>
      </c>
      <c r="W1677" s="267" t="str">
        <f t="shared" si="8"/>
        <v/>
      </c>
      <c r="X1677" s="264" t="str">
        <f t="shared" si="7"/>
        <v/>
      </c>
    </row>
    <row r="1678" ht="15.75" customHeight="1">
      <c r="A1678" s="258"/>
      <c r="B1678" s="258"/>
      <c r="C1678" s="269"/>
      <c r="D1678" s="258"/>
      <c r="E1678" s="258"/>
      <c r="F1678" s="258"/>
      <c r="G1678" s="258"/>
      <c r="H1678" s="271"/>
      <c r="I1678" s="258"/>
      <c r="J1678" s="272"/>
      <c r="K1678" s="260"/>
      <c r="L1678" s="261"/>
      <c r="M1678" s="262" t="str">
        <f t="shared" si="1"/>
        <v/>
      </c>
      <c r="N1678" s="263" t="str">
        <f t="shared" si="2"/>
        <v/>
      </c>
      <c r="O1678" s="264" t="str">
        <f t="shared" si="3"/>
        <v/>
      </c>
      <c r="P1678" s="265" t="str">
        <f>IFERROR(__xludf.DUMMYFUNCTION("IF(ISBLANK(A1678),"""",IFERROR(IF(H1678=""Sell"",VLOOKUP(9^99,FILTER({ROW(P$2:P1677),P$2:P1677},D$2:D1677=D1678),2),(VLOOKUP(9^99,FILTER({ROW(P$2:P1677),P$2:P1677},D$2:D1677=D1678),2)*VLOOKUP(9^99,FILTER({ROW(O$2:O1677),O$2:O1677},D$2:D1677=D1678),2)-N167"&amp;"8)/O1678),J1678))"),"")</f>
        <v/>
      </c>
      <c r="Q1678" s="264" t="str">
        <f>IFERROR(__xludf.DUMMYFUNCTION("IFERROR(IF(F1678=""Crypto"",B1678,(IF(ISBLANK(D1678),"""",IF(D1678=""Cash"",B1678,IF(GOOGLEFINANCE(D1678,""CURRENCY"")=""GBX"",""GBP"",GOOGLEFINANCE(D1678,""CURRENCY"")))))),B1678)"),"")</f>
        <v/>
      </c>
      <c r="R1678" s="263" t="str">
        <f>IFERROR(__xludf.DUMMYFUNCTION("IF(ISBLANK(A1678),"""",IFERROR(IF(OR(Q1678=""GPB"",Q1678=""ZAR""),IF(Q1678=Dashboard!$L$1,K1678,(K1678*GOOGLEFINANCE(""CURRENCY:""&amp;Q1678&amp;""""&amp;Dashboard!$L$1&amp;""""))/100),IF(Q1678=Dashboard!$L$1,K1678,K1678*GOOGLEFINANCE(""CURRENCY:""&amp;Q1678&amp;""""&amp;Dashboard!$"&amp;"L$1&amp;""""))),K1678))"),"")</f>
        <v/>
      </c>
      <c r="S1678" s="266" t="str">
        <f>IFERROR(__xludf.DUMMYFUNCTION("IF(ISBLANK(A1678),"""",IFERROR(IF(OR(Q1678=""GPB"",Q1678=""ZAR""),IF(Q1678=Dashboard!$L$1,M1678,(M1678*GOOGLEFINANCE(""CURRENCY:""&amp;Q1678&amp;""""&amp;Dashboard!$L$1&amp;""""))/100),IF(Q1678=Dashboard!$L$1,M1678,M1678*GOOGLEFINANCE(""CURRENCY:""&amp;Q1678&amp;""""&amp;Dashboard!$"&amp;"L$1&amp;""""))),M1678))"),"")</f>
        <v/>
      </c>
      <c r="T1678" s="264" t="str">
        <f t="shared" si="4"/>
        <v/>
      </c>
      <c r="U1678" s="264" t="str">
        <f t="shared" si="5"/>
        <v/>
      </c>
      <c r="V1678" s="264" t="str">
        <f t="shared" si="6"/>
        <v/>
      </c>
      <c r="W1678" s="267" t="str">
        <f t="shared" si="8"/>
        <v/>
      </c>
      <c r="X1678" s="264" t="str">
        <f t="shared" si="7"/>
        <v/>
      </c>
    </row>
    <row r="1679" ht="15.75" customHeight="1">
      <c r="A1679" s="258"/>
      <c r="B1679" s="258"/>
      <c r="C1679" s="269"/>
      <c r="D1679" s="258"/>
      <c r="E1679" s="258"/>
      <c r="F1679" s="258"/>
      <c r="G1679" s="258"/>
      <c r="H1679" s="271"/>
      <c r="I1679" s="258"/>
      <c r="J1679" s="272"/>
      <c r="K1679" s="260"/>
      <c r="L1679" s="261"/>
      <c r="M1679" s="262" t="str">
        <f t="shared" si="1"/>
        <v/>
      </c>
      <c r="N1679" s="263" t="str">
        <f t="shared" si="2"/>
        <v/>
      </c>
      <c r="O1679" s="264" t="str">
        <f t="shared" si="3"/>
        <v/>
      </c>
      <c r="P1679" s="265" t="str">
        <f>IFERROR(__xludf.DUMMYFUNCTION("IF(ISBLANK(A1679),"""",IFERROR(IF(H1679=""Sell"",VLOOKUP(9^99,FILTER({ROW(P$2:P1678),P$2:P1678},D$2:D1678=D1679),2),(VLOOKUP(9^99,FILTER({ROW(P$2:P1678),P$2:P1678},D$2:D1678=D1679),2)*VLOOKUP(9^99,FILTER({ROW(O$2:O1678),O$2:O1678},D$2:D1678=D1679),2)-N167"&amp;"9)/O1679),J1679))"),"")</f>
        <v/>
      </c>
      <c r="Q1679" s="264" t="str">
        <f>IFERROR(__xludf.DUMMYFUNCTION("IFERROR(IF(F1679=""Crypto"",B1679,(IF(ISBLANK(D1679),"""",IF(D1679=""Cash"",B1679,IF(GOOGLEFINANCE(D1679,""CURRENCY"")=""GBX"",""GBP"",GOOGLEFINANCE(D1679,""CURRENCY"")))))),B1679)"),"")</f>
        <v/>
      </c>
      <c r="R1679" s="263" t="str">
        <f>IFERROR(__xludf.DUMMYFUNCTION("IF(ISBLANK(A1679),"""",IFERROR(IF(OR(Q1679=""GPB"",Q1679=""ZAR""),IF(Q1679=Dashboard!$L$1,K1679,(K1679*GOOGLEFINANCE(""CURRENCY:""&amp;Q1679&amp;""""&amp;Dashboard!$L$1&amp;""""))/100),IF(Q1679=Dashboard!$L$1,K1679,K1679*GOOGLEFINANCE(""CURRENCY:""&amp;Q1679&amp;""""&amp;Dashboard!$"&amp;"L$1&amp;""""))),K1679))"),"")</f>
        <v/>
      </c>
      <c r="S1679" s="266" t="str">
        <f>IFERROR(__xludf.DUMMYFUNCTION("IF(ISBLANK(A1679),"""",IFERROR(IF(OR(Q1679=""GPB"",Q1679=""ZAR""),IF(Q1679=Dashboard!$L$1,M1679,(M1679*GOOGLEFINANCE(""CURRENCY:""&amp;Q1679&amp;""""&amp;Dashboard!$L$1&amp;""""))/100),IF(Q1679=Dashboard!$L$1,M1679,M1679*GOOGLEFINANCE(""CURRENCY:""&amp;Q1679&amp;""""&amp;Dashboard!$"&amp;"L$1&amp;""""))),M1679))"),"")</f>
        <v/>
      </c>
      <c r="T1679" s="264" t="str">
        <f t="shared" si="4"/>
        <v/>
      </c>
      <c r="U1679" s="264" t="str">
        <f t="shared" si="5"/>
        <v/>
      </c>
      <c r="V1679" s="264" t="str">
        <f t="shared" si="6"/>
        <v/>
      </c>
      <c r="W1679" s="267" t="str">
        <f t="shared" si="8"/>
        <v/>
      </c>
      <c r="X1679" s="264" t="str">
        <f t="shared" si="7"/>
        <v/>
      </c>
    </row>
    <row r="1680" ht="15.75" customHeight="1">
      <c r="A1680" s="258"/>
      <c r="B1680" s="258"/>
      <c r="C1680" s="269"/>
      <c r="D1680" s="258"/>
      <c r="E1680" s="258"/>
      <c r="F1680" s="258"/>
      <c r="G1680" s="258"/>
      <c r="H1680" s="271"/>
      <c r="I1680" s="258"/>
      <c r="J1680" s="272"/>
      <c r="K1680" s="260"/>
      <c r="L1680" s="261"/>
      <c r="M1680" s="262" t="str">
        <f t="shared" si="1"/>
        <v/>
      </c>
      <c r="N1680" s="263" t="str">
        <f t="shared" si="2"/>
        <v/>
      </c>
      <c r="O1680" s="264" t="str">
        <f t="shared" si="3"/>
        <v/>
      </c>
      <c r="P1680" s="265" t="str">
        <f>IFERROR(__xludf.DUMMYFUNCTION("IF(ISBLANK(A1680),"""",IFERROR(IF(H1680=""Sell"",VLOOKUP(9^99,FILTER({ROW(P$2:P1679),P$2:P1679},D$2:D1679=D1680),2),(VLOOKUP(9^99,FILTER({ROW(P$2:P1679),P$2:P1679},D$2:D1679=D1680),2)*VLOOKUP(9^99,FILTER({ROW(O$2:O1679),O$2:O1679},D$2:D1679=D1680),2)-N168"&amp;"0)/O1680),J1680))"),"")</f>
        <v/>
      </c>
      <c r="Q1680" s="264" t="str">
        <f>IFERROR(__xludf.DUMMYFUNCTION("IFERROR(IF(F1680=""Crypto"",B1680,(IF(ISBLANK(D1680),"""",IF(D1680=""Cash"",B1680,IF(GOOGLEFINANCE(D1680,""CURRENCY"")=""GBX"",""GBP"",GOOGLEFINANCE(D1680,""CURRENCY"")))))),B1680)"),"")</f>
        <v/>
      </c>
      <c r="R1680" s="263" t="str">
        <f>IFERROR(__xludf.DUMMYFUNCTION("IF(ISBLANK(A1680),"""",IFERROR(IF(OR(Q1680=""GPB"",Q1680=""ZAR""),IF(Q1680=Dashboard!$L$1,K1680,(K1680*GOOGLEFINANCE(""CURRENCY:""&amp;Q1680&amp;""""&amp;Dashboard!$L$1&amp;""""))/100),IF(Q1680=Dashboard!$L$1,K1680,K1680*GOOGLEFINANCE(""CURRENCY:""&amp;Q1680&amp;""""&amp;Dashboard!$"&amp;"L$1&amp;""""))),K1680))"),"")</f>
        <v/>
      </c>
      <c r="S1680" s="266" t="str">
        <f>IFERROR(__xludf.DUMMYFUNCTION("IF(ISBLANK(A1680),"""",IFERROR(IF(OR(Q1680=""GPB"",Q1680=""ZAR""),IF(Q1680=Dashboard!$L$1,M1680,(M1680*GOOGLEFINANCE(""CURRENCY:""&amp;Q1680&amp;""""&amp;Dashboard!$L$1&amp;""""))/100),IF(Q1680=Dashboard!$L$1,M1680,M1680*GOOGLEFINANCE(""CURRENCY:""&amp;Q1680&amp;""""&amp;Dashboard!$"&amp;"L$1&amp;""""))),M1680))"),"")</f>
        <v/>
      </c>
      <c r="T1680" s="264" t="str">
        <f t="shared" si="4"/>
        <v/>
      </c>
      <c r="U1680" s="264" t="str">
        <f t="shared" si="5"/>
        <v/>
      </c>
      <c r="V1680" s="264" t="str">
        <f t="shared" si="6"/>
        <v/>
      </c>
      <c r="W1680" s="267" t="str">
        <f t="shared" si="8"/>
        <v/>
      </c>
      <c r="X1680" s="264" t="str">
        <f t="shared" si="7"/>
        <v/>
      </c>
    </row>
    <row r="1681" ht="15.75" customHeight="1">
      <c r="A1681" s="258"/>
      <c r="B1681" s="258"/>
      <c r="C1681" s="269"/>
      <c r="D1681" s="258"/>
      <c r="E1681" s="258"/>
      <c r="F1681" s="258"/>
      <c r="G1681" s="258"/>
      <c r="H1681" s="271"/>
      <c r="I1681" s="258"/>
      <c r="J1681" s="272"/>
      <c r="K1681" s="260"/>
      <c r="L1681" s="261"/>
      <c r="M1681" s="262" t="str">
        <f t="shared" si="1"/>
        <v/>
      </c>
      <c r="N1681" s="263" t="str">
        <f t="shared" si="2"/>
        <v/>
      </c>
      <c r="O1681" s="264" t="str">
        <f t="shared" si="3"/>
        <v/>
      </c>
      <c r="P1681" s="265" t="str">
        <f>IFERROR(__xludf.DUMMYFUNCTION("IF(ISBLANK(A1681),"""",IFERROR(IF(H1681=""Sell"",VLOOKUP(9^99,FILTER({ROW(P$2:P1680),P$2:P1680},D$2:D1680=D1681),2),(VLOOKUP(9^99,FILTER({ROW(P$2:P1680),P$2:P1680},D$2:D1680=D1681),2)*VLOOKUP(9^99,FILTER({ROW(O$2:O1680),O$2:O1680},D$2:D1680=D1681),2)-N168"&amp;"1)/O1681),J1681))"),"")</f>
        <v/>
      </c>
      <c r="Q1681" s="264" t="str">
        <f>IFERROR(__xludf.DUMMYFUNCTION("IFERROR(IF(F1681=""Crypto"",B1681,(IF(ISBLANK(D1681),"""",IF(D1681=""Cash"",B1681,IF(GOOGLEFINANCE(D1681,""CURRENCY"")=""GBX"",""GBP"",GOOGLEFINANCE(D1681,""CURRENCY"")))))),B1681)"),"")</f>
        <v/>
      </c>
      <c r="R1681" s="263" t="str">
        <f>IFERROR(__xludf.DUMMYFUNCTION("IF(ISBLANK(A1681),"""",IFERROR(IF(OR(Q1681=""GPB"",Q1681=""ZAR""),IF(Q1681=Dashboard!$L$1,K1681,(K1681*GOOGLEFINANCE(""CURRENCY:""&amp;Q1681&amp;""""&amp;Dashboard!$L$1&amp;""""))/100),IF(Q1681=Dashboard!$L$1,K1681,K1681*GOOGLEFINANCE(""CURRENCY:""&amp;Q1681&amp;""""&amp;Dashboard!$"&amp;"L$1&amp;""""))),K1681))"),"")</f>
        <v/>
      </c>
      <c r="S1681" s="266" t="str">
        <f>IFERROR(__xludf.DUMMYFUNCTION("IF(ISBLANK(A1681),"""",IFERROR(IF(OR(Q1681=""GPB"",Q1681=""ZAR""),IF(Q1681=Dashboard!$L$1,M1681,(M1681*GOOGLEFINANCE(""CURRENCY:""&amp;Q1681&amp;""""&amp;Dashboard!$L$1&amp;""""))/100),IF(Q1681=Dashboard!$L$1,M1681,M1681*GOOGLEFINANCE(""CURRENCY:""&amp;Q1681&amp;""""&amp;Dashboard!$"&amp;"L$1&amp;""""))),M1681))"),"")</f>
        <v/>
      </c>
      <c r="T1681" s="264" t="str">
        <f t="shared" si="4"/>
        <v/>
      </c>
      <c r="U1681" s="264" t="str">
        <f t="shared" si="5"/>
        <v/>
      </c>
      <c r="V1681" s="264" t="str">
        <f t="shared" si="6"/>
        <v/>
      </c>
      <c r="W1681" s="267" t="str">
        <f t="shared" si="8"/>
        <v/>
      </c>
      <c r="X1681" s="264" t="str">
        <f t="shared" si="7"/>
        <v/>
      </c>
    </row>
    <row r="1682" ht="15.75" customHeight="1">
      <c r="A1682" s="258"/>
      <c r="B1682" s="258"/>
      <c r="C1682" s="269"/>
      <c r="D1682" s="258"/>
      <c r="E1682" s="258"/>
      <c r="F1682" s="258"/>
      <c r="G1682" s="258"/>
      <c r="H1682" s="271"/>
      <c r="I1682" s="258"/>
      <c r="J1682" s="272"/>
      <c r="K1682" s="260"/>
      <c r="L1682" s="261"/>
      <c r="M1682" s="262" t="str">
        <f t="shared" si="1"/>
        <v/>
      </c>
      <c r="N1682" s="263" t="str">
        <f t="shared" si="2"/>
        <v/>
      </c>
      <c r="O1682" s="264" t="str">
        <f t="shared" si="3"/>
        <v/>
      </c>
      <c r="P1682" s="265" t="str">
        <f>IFERROR(__xludf.DUMMYFUNCTION("IF(ISBLANK(A1682),"""",IFERROR(IF(H1682=""Sell"",VLOOKUP(9^99,FILTER({ROW(P$2:P1681),P$2:P1681},D$2:D1681=D1682),2),(VLOOKUP(9^99,FILTER({ROW(P$2:P1681),P$2:P1681},D$2:D1681=D1682),2)*VLOOKUP(9^99,FILTER({ROW(O$2:O1681),O$2:O1681},D$2:D1681=D1682),2)-N168"&amp;"2)/O1682),J1682))"),"")</f>
        <v/>
      </c>
      <c r="Q1682" s="264" t="str">
        <f>IFERROR(__xludf.DUMMYFUNCTION("IFERROR(IF(F1682=""Crypto"",B1682,(IF(ISBLANK(D1682),"""",IF(D1682=""Cash"",B1682,IF(GOOGLEFINANCE(D1682,""CURRENCY"")=""GBX"",""GBP"",GOOGLEFINANCE(D1682,""CURRENCY"")))))),B1682)"),"")</f>
        <v/>
      </c>
      <c r="R1682" s="263" t="str">
        <f>IFERROR(__xludf.DUMMYFUNCTION("IF(ISBLANK(A1682),"""",IFERROR(IF(OR(Q1682=""GPB"",Q1682=""ZAR""),IF(Q1682=Dashboard!$L$1,K1682,(K1682*GOOGLEFINANCE(""CURRENCY:""&amp;Q1682&amp;""""&amp;Dashboard!$L$1&amp;""""))/100),IF(Q1682=Dashboard!$L$1,K1682,K1682*GOOGLEFINANCE(""CURRENCY:""&amp;Q1682&amp;""""&amp;Dashboard!$"&amp;"L$1&amp;""""))),K1682))"),"")</f>
        <v/>
      </c>
      <c r="S1682" s="266" t="str">
        <f>IFERROR(__xludf.DUMMYFUNCTION("IF(ISBLANK(A1682),"""",IFERROR(IF(OR(Q1682=""GPB"",Q1682=""ZAR""),IF(Q1682=Dashboard!$L$1,M1682,(M1682*GOOGLEFINANCE(""CURRENCY:""&amp;Q1682&amp;""""&amp;Dashboard!$L$1&amp;""""))/100),IF(Q1682=Dashboard!$L$1,M1682,M1682*GOOGLEFINANCE(""CURRENCY:""&amp;Q1682&amp;""""&amp;Dashboard!$"&amp;"L$1&amp;""""))),M1682))"),"")</f>
        <v/>
      </c>
      <c r="T1682" s="264" t="str">
        <f t="shared" si="4"/>
        <v/>
      </c>
      <c r="U1682" s="264" t="str">
        <f t="shared" si="5"/>
        <v/>
      </c>
      <c r="V1682" s="264" t="str">
        <f t="shared" si="6"/>
        <v/>
      </c>
      <c r="W1682" s="267" t="str">
        <f t="shared" si="8"/>
        <v/>
      </c>
      <c r="X1682" s="264" t="str">
        <f t="shared" si="7"/>
        <v/>
      </c>
    </row>
    <row r="1683" ht="15.75" customHeight="1">
      <c r="A1683" s="258"/>
      <c r="B1683" s="258"/>
      <c r="C1683" s="269"/>
      <c r="D1683" s="258"/>
      <c r="E1683" s="258"/>
      <c r="F1683" s="258"/>
      <c r="G1683" s="258"/>
      <c r="H1683" s="271"/>
      <c r="I1683" s="258"/>
      <c r="J1683" s="272"/>
      <c r="K1683" s="260"/>
      <c r="L1683" s="261"/>
      <c r="M1683" s="262" t="str">
        <f t="shared" si="1"/>
        <v/>
      </c>
      <c r="N1683" s="263" t="str">
        <f t="shared" si="2"/>
        <v/>
      </c>
      <c r="O1683" s="264" t="str">
        <f t="shared" si="3"/>
        <v/>
      </c>
      <c r="P1683" s="265" t="str">
        <f>IFERROR(__xludf.DUMMYFUNCTION("IF(ISBLANK(A1683),"""",IFERROR(IF(H1683=""Sell"",VLOOKUP(9^99,FILTER({ROW(P$2:P1682),P$2:P1682},D$2:D1682=D1683),2),(VLOOKUP(9^99,FILTER({ROW(P$2:P1682),P$2:P1682},D$2:D1682=D1683),2)*VLOOKUP(9^99,FILTER({ROW(O$2:O1682),O$2:O1682},D$2:D1682=D1683),2)-N168"&amp;"3)/O1683),J1683))"),"")</f>
        <v/>
      </c>
      <c r="Q1683" s="264" t="str">
        <f>IFERROR(__xludf.DUMMYFUNCTION("IFERROR(IF(F1683=""Crypto"",B1683,(IF(ISBLANK(D1683),"""",IF(D1683=""Cash"",B1683,IF(GOOGLEFINANCE(D1683,""CURRENCY"")=""GBX"",""GBP"",GOOGLEFINANCE(D1683,""CURRENCY"")))))),B1683)"),"")</f>
        <v/>
      </c>
      <c r="R1683" s="263" t="str">
        <f>IFERROR(__xludf.DUMMYFUNCTION("IF(ISBLANK(A1683),"""",IFERROR(IF(OR(Q1683=""GPB"",Q1683=""ZAR""),IF(Q1683=Dashboard!$L$1,K1683,(K1683*GOOGLEFINANCE(""CURRENCY:""&amp;Q1683&amp;""""&amp;Dashboard!$L$1&amp;""""))/100),IF(Q1683=Dashboard!$L$1,K1683,K1683*GOOGLEFINANCE(""CURRENCY:""&amp;Q1683&amp;""""&amp;Dashboard!$"&amp;"L$1&amp;""""))),K1683))"),"")</f>
        <v/>
      </c>
      <c r="S1683" s="266" t="str">
        <f>IFERROR(__xludf.DUMMYFUNCTION("IF(ISBLANK(A1683),"""",IFERROR(IF(OR(Q1683=""GPB"",Q1683=""ZAR""),IF(Q1683=Dashboard!$L$1,M1683,(M1683*GOOGLEFINANCE(""CURRENCY:""&amp;Q1683&amp;""""&amp;Dashboard!$L$1&amp;""""))/100),IF(Q1683=Dashboard!$L$1,M1683,M1683*GOOGLEFINANCE(""CURRENCY:""&amp;Q1683&amp;""""&amp;Dashboard!$"&amp;"L$1&amp;""""))),M1683))"),"")</f>
        <v/>
      </c>
      <c r="T1683" s="264" t="str">
        <f t="shared" si="4"/>
        <v/>
      </c>
      <c r="U1683" s="264" t="str">
        <f t="shared" si="5"/>
        <v/>
      </c>
      <c r="V1683" s="264" t="str">
        <f t="shared" si="6"/>
        <v/>
      </c>
      <c r="W1683" s="267" t="str">
        <f t="shared" si="8"/>
        <v/>
      </c>
      <c r="X1683" s="264" t="str">
        <f t="shared" si="7"/>
        <v/>
      </c>
    </row>
    <row r="1684" ht="15.75" customHeight="1">
      <c r="A1684" s="258"/>
      <c r="B1684" s="258"/>
      <c r="C1684" s="269"/>
      <c r="D1684" s="258"/>
      <c r="E1684" s="258"/>
      <c r="F1684" s="258"/>
      <c r="G1684" s="258"/>
      <c r="H1684" s="271"/>
      <c r="I1684" s="258"/>
      <c r="J1684" s="272"/>
      <c r="K1684" s="260"/>
      <c r="L1684" s="261"/>
      <c r="M1684" s="262" t="str">
        <f t="shared" si="1"/>
        <v/>
      </c>
      <c r="N1684" s="263" t="str">
        <f t="shared" si="2"/>
        <v/>
      </c>
      <c r="O1684" s="264" t="str">
        <f t="shared" si="3"/>
        <v/>
      </c>
      <c r="P1684" s="265" t="str">
        <f>IFERROR(__xludf.DUMMYFUNCTION("IF(ISBLANK(A1684),"""",IFERROR(IF(H1684=""Sell"",VLOOKUP(9^99,FILTER({ROW(P$2:P1683),P$2:P1683},D$2:D1683=D1684),2),(VLOOKUP(9^99,FILTER({ROW(P$2:P1683),P$2:P1683},D$2:D1683=D1684),2)*VLOOKUP(9^99,FILTER({ROW(O$2:O1683),O$2:O1683},D$2:D1683=D1684),2)-N168"&amp;"4)/O1684),J1684))"),"")</f>
        <v/>
      </c>
      <c r="Q1684" s="264" t="str">
        <f>IFERROR(__xludf.DUMMYFUNCTION("IFERROR(IF(F1684=""Crypto"",B1684,(IF(ISBLANK(D1684),"""",IF(D1684=""Cash"",B1684,IF(GOOGLEFINANCE(D1684,""CURRENCY"")=""GBX"",""GBP"",GOOGLEFINANCE(D1684,""CURRENCY"")))))),B1684)"),"")</f>
        <v/>
      </c>
      <c r="R1684" s="263" t="str">
        <f>IFERROR(__xludf.DUMMYFUNCTION("IF(ISBLANK(A1684),"""",IFERROR(IF(OR(Q1684=""GPB"",Q1684=""ZAR""),IF(Q1684=Dashboard!$L$1,K1684,(K1684*GOOGLEFINANCE(""CURRENCY:""&amp;Q1684&amp;""""&amp;Dashboard!$L$1&amp;""""))/100),IF(Q1684=Dashboard!$L$1,K1684,K1684*GOOGLEFINANCE(""CURRENCY:""&amp;Q1684&amp;""""&amp;Dashboard!$"&amp;"L$1&amp;""""))),K1684))"),"")</f>
        <v/>
      </c>
      <c r="S1684" s="266" t="str">
        <f>IFERROR(__xludf.DUMMYFUNCTION("IF(ISBLANK(A1684),"""",IFERROR(IF(OR(Q1684=""GPB"",Q1684=""ZAR""),IF(Q1684=Dashboard!$L$1,M1684,(M1684*GOOGLEFINANCE(""CURRENCY:""&amp;Q1684&amp;""""&amp;Dashboard!$L$1&amp;""""))/100),IF(Q1684=Dashboard!$L$1,M1684,M1684*GOOGLEFINANCE(""CURRENCY:""&amp;Q1684&amp;""""&amp;Dashboard!$"&amp;"L$1&amp;""""))),M1684))"),"")</f>
        <v/>
      </c>
      <c r="T1684" s="264" t="str">
        <f t="shared" si="4"/>
        <v/>
      </c>
      <c r="U1684" s="264" t="str">
        <f t="shared" si="5"/>
        <v/>
      </c>
      <c r="V1684" s="264" t="str">
        <f t="shared" si="6"/>
        <v/>
      </c>
      <c r="W1684" s="267" t="str">
        <f t="shared" si="8"/>
        <v/>
      </c>
      <c r="X1684" s="264" t="str">
        <f t="shared" si="7"/>
        <v/>
      </c>
    </row>
    <row r="1685" ht="15.75" customHeight="1">
      <c r="A1685" s="258"/>
      <c r="B1685" s="258"/>
      <c r="C1685" s="269"/>
      <c r="D1685" s="258"/>
      <c r="E1685" s="258"/>
      <c r="F1685" s="258"/>
      <c r="G1685" s="258"/>
      <c r="H1685" s="271"/>
      <c r="I1685" s="258"/>
      <c r="J1685" s="272"/>
      <c r="K1685" s="260"/>
      <c r="L1685" s="261"/>
      <c r="M1685" s="262" t="str">
        <f t="shared" si="1"/>
        <v/>
      </c>
      <c r="N1685" s="263" t="str">
        <f t="shared" si="2"/>
        <v/>
      </c>
      <c r="O1685" s="264" t="str">
        <f t="shared" si="3"/>
        <v/>
      </c>
      <c r="P1685" s="265" t="str">
        <f>IFERROR(__xludf.DUMMYFUNCTION("IF(ISBLANK(A1685),"""",IFERROR(IF(H1685=""Sell"",VLOOKUP(9^99,FILTER({ROW(P$2:P1684),P$2:P1684},D$2:D1684=D1685),2),(VLOOKUP(9^99,FILTER({ROW(P$2:P1684),P$2:P1684},D$2:D1684=D1685),2)*VLOOKUP(9^99,FILTER({ROW(O$2:O1684),O$2:O1684},D$2:D1684=D1685),2)-N168"&amp;"5)/O1685),J1685))"),"")</f>
        <v/>
      </c>
      <c r="Q1685" s="264" t="str">
        <f>IFERROR(__xludf.DUMMYFUNCTION("IFERROR(IF(F1685=""Crypto"",B1685,(IF(ISBLANK(D1685),"""",IF(D1685=""Cash"",B1685,IF(GOOGLEFINANCE(D1685,""CURRENCY"")=""GBX"",""GBP"",GOOGLEFINANCE(D1685,""CURRENCY"")))))),B1685)"),"")</f>
        <v/>
      </c>
      <c r="R1685" s="263" t="str">
        <f>IFERROR(__xludf.DUMMYFUNCTION("IF(ISBLANK(A1685),"""",IFERROR(IF(OR(Q1685=""GPB"",Q1685=""ZAR""),IF(Q1685=Dashboard!$L$1,K1685,(K1685*GOOGLEFINANCE(""CURRENCY:""&amp;Q1685&amp;""""&amp;Dashboard!$L$1&amp;""""))/100),IF(Q1685=Dashboard!$L$1,K1685,K1685*GOOGLEFINANCE(""CURRENCY:""&amp;Q1685&amp;""""&amp;Dashboard!$"&amp;"L$1&amp;""""))),K1685))"),"")</f>
        <v/>
      </c>
      <c r="S1685" s="266" t="str">
        <f>IFERROR(__xludf.DUMMYFUNCTION("IF(ISBLANK(A1685),"""",IFERROR(IF(OR(Q1685=""GPB"",Q1685=""ZAR""),IF(Q1685=Dashboard!$L$1,M1685,(M1685*GOOGLEFINANCE(""CURRENCY:""&amp;Q1685&amp;""""&amp;Dashboard!$L$1&amp;""""))/100),IF(Q1685=Dashboard!$L$1,M1685,M1685*GOOGLEFINANCE(""CURRENCY:""&amp;Q1685&amp;""""&amp;Dashboard!$"&amp;"L$1&amp;""""))),M1685))"),"")</f>
        <v/>
      </c>
      <c r="T1685" s="264" t="str">
        <f t="shared" si="4"/>
        <v/>
      </c>
      <c r="U1685" s="264" t="str">
        <f t="shared" si="5"/>
        <v/>
      </c>
      <c r="V1685" s="264" t="str">
        <f t="shared" si="6"/>
        <v/>
      </c>
      <c r="W1685" s="267" t="str">
        <f t="shared" si="8"/>
        <v/>
      </c>
      <c r="X1685" s="264" t="str">
        <f t="shared" si="7"/>
        <v/>
      </c>
    </row>
    <row r="1686" ht="15.75" customHeight="1">
      <c r="A1686" s="258"/>
      <c r="B1686" s="258"/>
      <c r="C1686" s="269"/>
      <c r="D1686" s="258"/>
      <c r="E1686" s="258"/>
      <c r="F1686" s="258"/>
      <c r="G1686" s="258"/>
      <c r="H1686" s="271"/>
      <c r="I1686" s="258"/>
      <c r="J1686" s="272"/>
      <c r="K1686" s="260"/>
      <c r="L1686" s="261"/>
      <c r="M1686" s="262" t="str">
        <f t="shared" si="1"/>
        <v/>
      </c>
      <c r="N1686" s="263" t="str">
        <f t="shared" si="2"/>
        <v/>
      </c>
      <c r="O1686" s="264" t="str">
        <f t="shared" si="3"/>
        <v/>
      </c>
      <c r="P1686" s="265" t="str">
        <f>IFERROR(__xludf.DUMMYFUNCTION("IF(ISBLANK(A1686),"""",IFERROR(IF(H1686=""Sell"",VLOOKUP(9^99,FILTER({ROW(P$2:P1685),P$2:P1685},D$2:D1685=D1686),2),(VLOOKUP(9^99,FILTER({ROW(P$2:P1685),P$2:P1685},D$2:D1685=D1686),2)*VLOOKUP(9^99,FILTER({ROW(O$2:O1685),O$2:O1685},D$2:D1685=D1686),2)-N168"&amp;"6)/O1686),J1686))"),"")</f>
        <v/>
      </c>
      <c r="Q1686" s="264" t="str">
        <f>IFERROR(__xludf.DUMMYFUNCTION("IFERROR(IF(F1686=""Crypto"",B1686,(IF(ISBLANK(D1686),"""",IF(D1686=""Cash"",B1686,IF(GOOGLEFINANCE(D1686,""CURRENCY"")=""GBX"",""GBP"",GOOGLEFINANCE(D1686,""CURRENCY"")))))),B1686)"),"")</f>
        <v/>
      </c>
      <c r="R1686" s="263" t="str">
        <f>IFERROR(__xludf.DUMMYFUNCTION("IF(ISBLANK(A1686),"""",IFERROR(IF(OR(Q1686=""GPB"",Q1686=""ZAR""),IF(Q1686=Dashboard!$L$1,K1686,(K1686*GOOGLEFINANCE(""CURRENCY:""&amp;Q1686&amp;""""&amp;Dashboard!$L$1&amp;""""))/100),IF(Q1686=Dashboard!$L$1,K1686,K1686*GOOGLEFINANCE(""CURRENCY:""&amp;Q1686&amp;""""&amp;Dashboard!$"&amp;"L$1&amp;""""))),K1686))"),"")</f>
        <v/>
      </c>
      <c r="S1686" s="266" t="str">
        <f>IFERROR(__xludf.DUMMYFUNCTION("IF(ISBLANK(A1686),"""",IFERROR(IF(OR(Q1686=""GPB"",Q1686=""ZAR""),IF(Q1686=Dashboard!$L$1,M1686,(M1686*GOOGLEFINANCE(""CURRENCY:""&amp;Q1686&amp;""""&amp;Dashboard!$L$1&amp;""""))/100),IF(Q1686=Dashboard!$L$1,M1686,M1686*GOOGLEFINANCE(""CURRENCY:""&amp;Q1686&amp;""""&amp;Dashboard!$"&amp;"L$1&amp;""""))),M1686))"),"")</f>
        <v/>
      </c>
      <c r="T1686" s="264" t="str">
        <f t="shared" si="4"/>
        <v/>
      </c>
      <c r="U1686" s="264" t="str">
        <f t="shared" si="5"/>
        <v/>
      </c>
      <c r="V1686" s="264" t="str">
        <f t="shared" si="6"/>
        <v/>
      </c>
      <c r="W1686" s="267" t="str">
        <f t="shared" si="8"/>
        <v/>
      </c>
      <c r="X1686" s="264" t="str">
        <f t="shared" si="7"/>
        <v/>
      </c>
    </row>
    <row r="1687" ht="15.75" customHeight="1">
      <c r="A1687" s="258"/>
      <c r="B1687" s="258"/>
      <c r="C1687" s="269"/>
      <c r="D1687" s="258"/>
      <c r="E1687" s="258"/>
      <c r="F1687" s="258"/>
      <c r="G1687" s="258"/>
      <c r="H1687" s="271"/>
      <c r="I1687" s="258"/>
      <c r="J1687" s="272"/>
      <c r="K1687" s="260"/>
      <c r="L1687" s="261"/>
      <c r="M1687" s="262" t="str">
        <f t="shared" si="1"/>
        <v/>
      </c>
      <c r="N1687" s="263" t="str">
        <f t="shared" si="2"/>
        <v/>
      </c>
      <c r="O1687" s="264" t="str">
        <f t="shared" si="3"/>
        <v/>
      </c>
      <c r="P1687" s="265" t="str">
        <f>IFERROR(__xludf.DUMMYFUNCTION("IF(ISBLANK(A1687),"""",IFERROR(IF(H1687=""Sell"",VLOOKUP(9^99,FILTER({ROW(P$2:P1686),P$2:P1686},D$2:D1686=D1687),2),(VLOOKUP(9^99,FILTER({ROW(P$2:P1686),P$2:P1686},D$2:D1686=D1687),2)*VLOOKUP(9^99,FILTER({ROW(O$2:O1686),O$2:O1686},D$2:D1686=D1687),2)-N168"&amp;"7)/O1687),J1687))"),"")</f>
        <v/>
      </c>
      <c r="Q1687" s="264" t="str">
        <f>IFERROR(__xludf.DUMMYFUNCTION("IFERROR(IF(F1687=""Crypto"",B1687,(IF(ISBLANK(D1687),"""",IF(D1687=""Cash"",B1687,IF(GOOGLEFINANCE(D1687,""CURRENCY"")=""GBX"",""GBP"",GOOGLEFINANCE(D1687,""CURRENCY"")))))),B1687)"),"")</f>
        <v/>
      </c>
      <c r="R1687" s="263" t="str">
        <f>IFERROR(__xludf.DUMMYFUNCTION("IF(ISBLANK(A1687),"""",IFERROR(IF(OR(Q1687=""GPB"",Q1687=""ZAR""),IF(Q1687=Dashboard!$L$1,K1687,(K1687*GOOGLEFINANCE(""CURRENCY:""&amp;Q1687&amp;""""&amp;Dashboard!$L$1&amp;""""))/100),IF(Q1687=Dashboard!$L$1,K1687,K1687*GOOGLEFINANCE(""CURRENCY:""&amp;Q1687&amp;""""&amp;Dashboard!$"&amp;"L$1&amp;""""))),K1687))"),"")</f>
        <v/>
      </c>
      <c r="S1687" s="266" t="str">
        <f>IFERROR(__xludf.DUMMYFUNCTION("IF(ISBLANK(A1687),"""",IFERROR(IF(OR(Q1687=""GPB"",Q1687=""ZAR""),IF(Q1687=Dashboard!$L$1,M1687,(M1687*GOOGLEFINANCE(""CURRENCY:""&amp;Q1687&amp;""""&amp;Dashboard!$L$1&amp;""""))/100),IF(Q1687=Dashboard!$L$1,M1687,M1687*GOOGLEFINANCE(""CURRENCY:""&amp;Q1687&amp;""""&amp;Dashboard!$"&amp;"L$1&amp;""""))),M1687))"),"")</f>
        <v/>
      </c>
      <c r="T1687" s="264" t="str">
        <f t="shared" si="4"/>
        <v/>
      </c>
      <c r="U1687" s="264" t="str">
        <f t="shared" si="5"/>
        <v/>
      </c>
      <c r="V1687" s="264" t="str">
        <f t="shared" si="6"/>
        <v/>
      </c>
      <c r="W1687" s="267" t="str">
        <f t="shared" si="8"/>
        <v/>
      </c>
      <c r="X1687" s="264" t="str">
        <f t="shared" si="7"/>
        <v/>
      </c>
    </row>
    <row r="1688" ht="15.75" customHeight="1">
      <c r="A1688" s="258"/>
      <c r="B1688" s="258"/>
      <c r="C1688" s="269"/>
      <c r="D1688" s="258"/>
      <c r="E1688" s="258"/>
      <c r="F1688" s="258"/>
      <c r="G1688" s="258"/>
      <c r="H1688" s="271"/>
      <c r="I1688" s="258"/>
      <c r="J1688" s="272"/>
      <c r="K1688" s="260"/>
      <c r="L1688" s="261"/>
      <c r="M1688" s="262" t="str">
        <f t="shared" si="1"/>
        <v/>
      </c>
      <c r="N1688" s="263" t="str">
        <f t="shared" si="2"/>
        <v/>
      </c>
      <c r="O1688" s="264" t="str">
        <f t="shared" si="3"/>
        <v/>
      </c>
      <c r="P1688" s="265" t="str">
        <f>IFERROR(__xludf.DUMMYFUNCTION("IF(ISBLANK(A1688),"""",IFERROR(IF(H1688=""Sell"",VLOOKUP(9^99,FILTER({ROW(P$2:P1687),P$2:P1687},D$2:D1687=D1688),2),(VLOOKUP(9^99,FILTER({ROW(P$2:P1687),P$2:P1687},D$2:D1687=D1688),2)*VLOOKUP(9^99,FILTER({ROW(O$2:O1687),O$2:O1687},D$2:D1687=D1688),2)-N168"&amp;"8)/O1688),J1688))"),"")</f>
        <v/>
      </c>
      <c r="Q1688" s="264" t="str">
        <f>IFERROR(__xludf.DUMMYFUNCTION("IFERROR(IF(F1688=""Crypto"",B1688,(IF(ISBLANK(D1688),"""",IF(D1688=""Cash"",B1688,IF(GOOGLEFINANCE(D1688,""CURRENCY"")=""GBX"",""GBP"",GOOGLEFINANCE(D1688,""CURRENCY"")))))),B1688)"),"")</f>
        <v/>
      </c>
      <c r="R1688" s="263" t="str">
        <f>IFERROR(__xludf.DUMMYFUNCTION("IF(ISBLANK(A1688),"""",IFERROR(IF(OR(Q1688=""GPB"",Q1688=""ZAR""),IF(Q1688=Dashboard!$L$1,K1688,(K1688*GOOGLEFINANCE(""CURRENCY:""&amp;Q1688&amp;""""&amp;Dashboard!$L$1&amp;""""))/100),IF(Q1688=Dashboard!$L$1,K1688,K1688*GOOGLEFINANCE(""CURRENCY:""&amp;Q1688&amp;""""&amp;Dashboard!$"&amp;"L$1&amp;""""))),K1688))"),"")</f>
        <v/>
      </c>
      <c r="S1688" s="266" t="str">
        <f>IFERROR(__xludf.DUMMYFUNCTION("IF(ISBLANK(A1688),"""",IFERROR(IF(OR(Q1688=""GPB"",Q1688=""ZAR""),IF(Q1688=Dashboard!$L$1,M1688,(M1688*GOOGLEFINANCE(""CURRENCY:""&amp;Q1688&amp;""""&amp;Dashboard!$L$1&amp;""""))/100),IF(Q1688=Dashboard!$L$1,M1688,M1688*GOOGLEFINANCE(""CURRENCY:""&amp;Q1688&amp;""""&amp;Dashboard!$"&amp;"L$1&amp;""""))),M1688))"),"")</f>
        <v/>
      </c>
      <c r="T1688" s="264" t="str">
        <f t="shared" si="4"/>
        <v/>
      </c>
      <c r="U1688" s="264" t="str">
        <f t="shared" si="5"/>
        <v/>
      </c>
      <c r="V1688" s="264" t="str">
        <f t="shared" si="6"/>
        <v/>
      </c>
      <c r="W1688" s="267" t="str">
        <f t="shared" si="8"/>
        <v/>
      </c>
      <c r="X1688" s="264" t="str">
        <f t="shared" si="7"/>
        <v/>
      </c>
    </row>
    <row r="1689" ht="15.75" customHeight="1">
      <c r="A1689" s="258"/>
      <c r="B1689" s="258"/>
      <c r="C1689" s="269"/>
      <c r="D1689" s="258"/>
      <c r="E1689" s="258"/>
      <c r="F1689" s="258"/>
      <c r="G1689" s="258"/>
      <c r="H1689" s="271"/>
      <c r="I1689" s="258"/>
      <c r="J1689" s="272"/>
      <c r="K1689" s="260"/>
      <c r="L1689" s="261"/>
      <c r="M1689" s="262" t="str">
        <f t="shared" si="1"/>
        <v/>
      </c>
      <c r="N1689" s="263" t="str">
        <f t="shared" si="2"/>
        <v/>
      </c>
      <c r="O1689" s="264" t="str">
        <f t="shared" si="3"/>
        <v/>
      </c>
      <c r="P1689" s="265" t="str">
        <f>IFERROR(__xludf.DUMMYFUNCTION("IF(ISBLANK(A1689),"""",IFERROR(IF(H1689=""Sell"",VLOOKUP(9^99,FILTER({ROW(P$2:P1688),P$2:P1688},D$2:D1688=D1689),2),(VLOOKUP(9^99,FILTER({ROW(P$2:P1688),P$2:P1688},D$2:D1688=D1689),2)*VLOOKUP(9^99,FILTER({ROW(O$2:O1688),O$2:O1688},D$2:D1688=D1689),2)-N168"&amp;"9)/O1689),J1689))"),"")</f>
        <v/>
      </c>
      <c r="Q1689" s="264" t="str">
        <f>IFERROR(__xludf.DUMMYFUNCTION("IFERROR(IF(F1689=""Crypto"",B1689,(IF(ISBLANK(D1689),"""",IF(D1689=""Cash"",B1689,IF(GOOGLEFINANCE(D1689,""CURRENCY"")=""GBX"",""GBP"",GOOGLEFINANCE(D1689,""CURRENCY"")))))),B1689)"),"")</f>
        <v/>
      </c>
      <c r="R1689" s="263" t="str">
        <f>IFERROR(__xludf.DUMMYFUNCTION("IF(ISBLANK(A1689),"""",IFERROR(IF(OR(Q1689=""GPB"",Q1689=""ZAR""),IF(Q1689=Dashboard!$L$1,K1689,(K1689*GOOGLEFINANCE(""CURRENCY:""&amp;Q1689&amp;""""&amp;Dashboard!$L$1&amp;""""))/100),IF(Q1689=Dashboard!$L$1,K1689,K1689*GOOGLEFINANCE(""CURRENCY:""&amp;Q1689&amp;""""&amp;Dashboard!$"&amp;"L$1&amp;""""))),K1689))"),"")</f>
        <v/>
      </c>
      <c r="S1689" s="266" t="str">
        <f>IFERROR(__xludf.DUMMYFUNCTION("IF(ISBLANK(A1689),"""",IFERROR(IF(OR(Q1689=""GPB"",Q1689=""ZAR""),IF(Q1689=Dashboard!$L$1,M1689,(M1689*GOOGLEFINANCE(""CURRENCY:""&amp;Q1689&amp;""""&amp;Dashboard!$L$1&amp;""""))/100),IF(Q1689=Dashboard!$L$1,M1689,M1689*GOOGLEFINANCE(""CURRENCY:""&amp;Q1689&amp;""""&amp;Dashboard!$"&amp;"L$1&amp;""""))),M1689))"),"")</f>
        <v/>
      </c>
      <c r="T1689" s="264" t="str">
        <f t="shared" si="4"/>
        <v/>
      </c>
      <c r="U1689" s="264" t="str">
        <f t="shared" si="5"/>
        <v/>
      </c>
      <c r="V1689" s="264" t="str">
        <f t="shared" si="6"/>
        <v/>
      </c>
      <c r="W1689" s="267" t="str">
        <f t="shared" si="8"/>
        <v/>
      </c>
      <c r="X1689" s="264" t="str">
        <f t="shared" si="7"/>
        <v/>
      </c>
    </row>
    <row r="1690" ht="15.75" customHeight="1">
      <c r="A1690" s="258"/>
      <c r="B1690" s="258"/>
      <c r="C1690" s="269"/>
      <c r="D1690" s="258"/>
      <c r="E1690" s="258"/>
      <c r="F1690" s="258"/>
      <c r="G1690" s="258"/>
      <c r="H1690" s="271"/>
      <c r="I1690" s="258"/>
      <c r="J1690" s="272"/>
      <c r="K1690" s="260"/>
      <c r="L1690" s="261"/>
      <c r="M1690" s="262" t="str">
        <f t="shared" si="1"/>
        <v/>
      </c>
      <c r="N1690" s="263" t="str">
        <f t="shared" si="2"/>
        <v/>
      </c>
      <c r="O1690" s="264" t="str">
        <f t="shared" si="3"/>
        <v/>
      </c>
      <c r="P1690" s="265" t="str">
        <f>IFERROR(__xludf.DUMMYFUNCTION("IF(ISBLANK(A1690),"""",IFERROR(IF(H1690=""Sell"",VLOOKUP(9^99,FILTER({ROW(P$2:P1689),P$2:P1689},D$2:D1689=D1690),2),(VLOOKUP(9^99,FILTER({ROW(P$2:P1689),P$2:P1689},D$2:D1689=D1690),2)*VLOOKUP(9^99,FILTER({ROW(O$2:O1689),O$2:O1689},D$2:D1689=D1690),2)-N169"&amp;"0)/O1690),J1690))"),"")</f>
        <v/>
      </c>
      <c r="Q1690" s="264" t="str">
        <f>IFERROR(__xludf.DUMMYFUNCTION("IFERROR(IF(F1690=""Crypto"",B1690,(IF(ISBLANK(D1690),"""",IF(D1690=""Cash"",B1690,IF(GOOGLEFINANCE(D1690,""CURRENCY"")=""GBX"",""GBP"",GOOGLEFINANCE(D1690,""CURRENCY"")))))),B1690)"),"")</f>
        <v/>
      </c>
      <c r="R1690" s="263" t="str">
        <f>IFERROR(__xludf.DUMMYFUNCTION("IF(ISBLANK(A1690),"""",IFERROR(IF(OR(Q1690=""GPB"",Q1690=""ZAR""),IF(Q1690=Dashboard!$L$1,K1690,(K1690*GOOGLEFINANCE(""CURRENCY:""&amp;Q1690&amp;""""&amp;Dashboard!$L$1&amp;""""))/100),IF(Q1690=Dashboard!$L$1,K1690,K1690*GOOGLEFINANCE(""CURRENCY:""&amp;Q1690&amp;""""&amp;Dashboard!$"&amp;"L$1&amp;""""))),K1690))"),"")</f>
        <v/>
      </c>
      <c r="S1690" s="266" t="str">
        <f>IFERROR(__xludf.DUMMYFUNCTION("IF(ISBLANK(A1690),"""",IFERROR(IF(OR(Q1690=""GPB"",Q1690=""ZAR""),IF(Q1690=Dashboard!$L$1,M1690,(M1690*GOOGLEFINANCE(""CURRENCY:""&amp;Q1690&amp;""""&amp;Dashboard!$L$1&amp;""""))/100),IF(Q1690=Dashboard!$L$1,M1690,M1690*GOOGLEFINANCE(""CURRENCY:""&amp;Q1690&amp;""""&amp;Dashboard!$"&amp;"L$1&amp;""""))),M1690))"),"")</f>
        <v/>
      </c>
      <c r="T1690" s="264" t="str">
        <f t="shared" si="4"/>
        <v/>
      </c>
      <c r="U1690" s="264" t="str">
        <f t="shared" si="5"/>
        <v/>
      </c>
      <c r="V1690" s="264" t="str">
        <f t="shared" si="6"/>
        <v/>
      </c>
      <c r="W1690" s="267" t="str">
        <f t="shared" si="8"/>
        <v/>
      </c>
      <c r="X1690" s="264" t="str">
        <f t="shared" si="7"/>
        <v/>
      </c>
    </row>
    <row r="1691" ht="15.75" customHeight="1">
      <c r="A1691" s="258"/>
      <c r="B1691" s="258"/>
      <c r="C1691" s="269"/>
      <c r="D1691" s="258"/>
      <c r="E1691" s="258"/>
      <c r="F1691" s="258"/>
      <c r="G1691" s="258"/>
      <c r="H1691" s="271"/>
      <c r="I1691" s="258"/>
      <c r="J1691" s="272"/>
      <c r="K1691" s="260"/>
      <c r="L1691" s="261"/>
      <c r="M1691" s="262" t="str">
        <f t="shared" si="1"/>
        <v/>
      </c>
      <c r="N1691" s="263" t="str">
        <f t="shared" si="2"/>
        <v/>
      </c>
      <c r="O1691" s="264" t="str">
        <f t="shared" si="3"/>
        <v/>
      </c>
      <c r="P1691" s="265" t="str">
        <f>IFERROR(__xludf.DUMMYFUNCTION("IF(ISBLANK(A1691),"""",IFERROR(IF(H1691=""Sell"",VLOOKUP(9^99,FILTER({ROW(P$2:P1690),P$2:P1690},D$2:D1690=D1691),2),(VLOOKUP(9^99,FILTER({ROW(P$2:P1690),P$2:P1690},D$2:D1690=D1691),2)*VLOOKUP(9^99,FILTER({ROW(O$2:O1690),O$2:O1690},D$2:D1690=D1691),2)-N169"&amp;"1)/O1691),J1691))"),"")</f>
        <v/>
      </c>
      <c r="Q1691" s="264" t="str">
        <f>IFERROR(__xludf.DUMMYFUNCTION("IFERROR(IF(F1691=""Crypto"",B1691,(IF(ISBLANK(D1691),"""",IF(D1691=""Cash"",B1691,IF(GOOGLEFINANCE(D1691,""CURRENCY"")=""GBX"",""GBP"",GOOGLEFINANCE(D1691,""CURRENCY"")))))),B1691)"),"")</f>
        <v/>
      </c>
      <c r="R1691" s="263" t="str">
        <f>IFERROR(__xludf.DUMMYFUNCTION("IF(ISBLANK(A1691),"""",IFERROR(IF(OR(Q1691=""GPB"",Q1691=""ZAR""),IF(Q1691=Dashboard!$L$1,K1691,(K1691*GOOGLEFINANCE(""CURRENCY:""&amp;Q1691&amp;""""&amp;Dashboard!$L$1&amp;""""))/100),IF(Q1691=Dashboard!$L$1,K1691,K1691*GOOGLEFINANCE(""CURRENCY:""&amp;Q1691&amp;""""&amp;Dashboard!$"&amp;"L$1&amp;""""))),K1691))"),"")</f>
        <v/>
      </c>
      <c r="S1691" s="266" t="str">
        <f>IFERROR(__xludf.DUMMYFUNCTION("IF(ISBLANK(A1691),"""",IFERROR(IF(OR(Q1691=""GPB"",Q1691=""ZAR""),IF(Q1691=Dashboard!$L$1,M1691,(M1691*GOOGLEFINANCE(""CURRENCY:""&amp;Q1691&amp;""""&amp;Dashboard!$L$1&amp;""""))/100),IF(Q1691=Dashboard!$L$1,M1691,M1691*GOOGLEFINANCE(""CURRENCY:""&amp;Q1691&amp;""""&amp;Dashboard!$"&amp;"L$1&amp;""""))),M1691))"),"")</f>
        <v/>
      </c>
      <c r="T1691" s="264" t="str">
        <f t="shared" si="4"/>
        <v/>
      </c>
      <c r="U1691" s="264" t="str">
        <f t="shared" si="5"/>
        <v/>
      </c>
      <c r="V1691" s="264" t="str">
        <f t="shared" si="6"/>
        <v/>
      </c>
      <c r="W1691" s="267" t="str">
        <f t="shared" si="8"/>
        <v/>
      </c>
      <c r="X1691" s="264" t="str">
        <f t="shared" si="7"/>
        <v/>
      </c>
    </row>
    <row r="1692" ht="15.75" customHeight="1">
      <c r="A1692" s="258"/>
      <c r="B1692" s="258"/>
      <c r="C1692" s="269"/>
      <c r="D1692" s="258"/>
      <c r="E1692" s="258"/>
      <c r="F1692" s="258"/>
      <c r="G1692" s="258"/>
      <c r="H1692" s="271"/>
      <c r="I1692" s="258"/>
      <c r="J1692" s="272"/>
      <c r="K1692" s="260"/>
      <c r="L1692" s="261"/>
      <c r="M1692" s="262" t="str">
        <f t="shared" si="1"/>
        <v/>
      </c>
      <c r="N1692" s="263" t="str">
        <f t="shared" si="2"/>
        <v/>
      </c>
      <c r="O1692" s="264" t="str">
        <f t="shared" si="3"/>
        <v/>
      </c>
      <c r="P1692" s="265" t="str">
        <f>IFERROR(__xludf.DUMMYFUNCTION("IF(ISBLANK(A1692),"""",IFERROR(IF(H1692=""Sell"",VLOOKUP(9^99,FILTER({ROW(P$2:P1691),P$2:P1691},D$2:D1691=D1692),2),(VLOOKUP(9^99,FILTER({ROW(P$2:P1691),P$2:P1691},D$2:D1691=D1692),2)*VLOOKUP(9^99,FILTER({ROW(O$2:O1691),O$2:O1691},D$2:D1691=D1692),2)-N169"&amp;"2)/O1692),J1692))"),"")</f>
        <v/>
      </c>
      <c r="Q1692" s="264" t="str">
        <f>IFERROR(__xludf.DUMMYFUNCTION("IFERROR(IF(F1692=""Crypto"",B1692,(IF(ISBLANK(D1692),"""",IF(D1692=""Cash"",B1692,IF(GOOGLEFINANCE(D1692,""CURRENCY"")=""GBX"",""GBP"",GOOGLEFINANCE(D1692,""CURRENCY"")))))),B1692)"),"")</f>
        <v/>
      </c>
      <c r="R1692" s="263" t="str">
        <f>IFERROR(__xludf.DUMMYFUNCTION("IF(ISBLANK(A1692),"""",IFERROR(IF(OR(Q1692=""GPB"",Q1692=""ZAR""),IF(Q1692=Dashboard!$L$1,K1692,(K1692*GOOGLEFINANCE(""CURRENCY:""&amp;Q1692&amp;""""&amp;Dashboard!$L$1&amp;""""))/100),IF(Q1692=Dashboard!$L$1,K1692,K1692*GOOGLEFINANCE(""CURRENCY:""&amp;Q1692&amp;""""&amp;Dashboard!$"&amp;"L$1&amp;""""))),K1692))"),"")</f>
        <v/>
      </c>
      <c r="S1692" s="266" t="str">
        <f>IFERROR(__xludf.DUMMYFUNCTION("IF(ISBLANK(A1692),"""",IFERROR(IF(OR(Q1692=""GPB"",Q1692=""ZAR""),IF(Q1692=Dashboard!$L$1,M1692,(M1692*GOOGLEFINANCE(""CURRENCY:""&amp;Q1692&amp;""""&amp;Dashboard!$L$1&amp;""""))/100),IF(Q1692=Dashboard!$L$1,M1692,M1692*GOOGLEFINANCE(""CURRENCY:""&amp;Q1692&amp;""""&amp;Dashboard!$"&amp;"L$1&amp;""""))),M1692))"),"")</f>
        <v/>
      </c>
      <c r="T1692" s="264" t="str">
        <f t="shared" si="4"/>
        <v/>
      </c>
      <c r="U1692" s="264" t="str">
        <f t="shared" si="5"/>
        <v/>
      </c>
      <c r="V1692" s="264" t="str">
        <f t="shared" si="6"/>
        <v/>
      </c>
      <c r="W1692" s="267" t="str">
        <f t="shared" si="8"/>
        <v/>
      </c>
      <c r="X1692" s="264" t="str">
        <f t="shared" si="7"/>
        <v/>
      </c>
    </row>
    <row r="1693" ht="15.75" customHeight="1">
      <c r="A1693" s="258"/>
      <c r="B1693" s="258"/>
      <c r="C1693" s="269"/>
      <c r="D1693" s="258"/>
      <c r="E1693" s="258"/>
      <c r="F1693" s="258"/>
      <c r="G1693" s="258"/>
      <c r="H1693" s="271"/>
      <c r="I1693" s="258"/>
      <c r="J1693" s="272"/>
      <c r="K1693" s="260"/>
      <c r="L1693" s="261"/>
      <c r="M1693" s="262" t="str">
        <f t="shared" si="1"/>
        <v/>
      </c>
      <c r="N1693" s="263" t="str">
        <f t="shared" si="2"/>
        <v/>
      </c>
      <c r="O1693" s="264" t="str">
        <f t="shared" si="3"/>
        <v/>
      </c>
      <c r="P1693" s="265" t="str">
        <f>IFERROR(__xludf.DUMMYFUNCTION("IF(ISBLANK(A1693),"""",IFERROR(IF(H1693=""Sell"",VLOOKUP(9^99,FILTER({ROW(P$2:P1692),P$2:P1692},D$2:D1692=D1693),2),(VLOOKUP(9^99,FILTER({ROW(P$2:P1692),P$2:P1692},D$2:D1692=D1693),2)*VLOOKUP(9^99,FILTER({ROW(O$2:O1692),O$2:O1692},D$2:D1692=D1693),2)-N169"&amp;"3)/O1693),J1693))"),"")</f>
        <v/>
      </c>
      <c r="Q1693" s="264" t="str">
        <f>IFERROR(__xludf.DUMMYFUNCTION("IFERROR(IF(F1693=""Crypto"",B1693,(IF(ISBLANK(D1693),"""",IF(D1693=""Cash"",B1693,IF(GOOGLEFINANCE(D1693,""CURRENCY"")=""GBX"",""GBP"",GOOGLEFINANCE(D1693,""CURRENCY"")))))),B1693)"),"")</f>
        <v/>
      </c>
      <c r="R1693" s="263" t="str">
        <f>IFERROR(__xludf.DUMMYFUNCTION("IF(ISBLANK(A1693),"""",IFERROR(IF(OR(Q1693=""GPB"",Q1693=""ZAR""),IF(Q1693=Dashboard!$L$1,K1693,(K1693*GOOGLEFINANCE(""CURRENCY:""&amp;Q1693&amp;""""&amp;Dashboard!$L$1&amp;""""))/100),IF(Q1693=Dashboard!$L$1,K1693,K1693*GOOGLEFINANCE(""CURRENCY:""&amp;Q1693&amp;""""&amp;Dashboard!$"&amp;"L$1&amp;""""))),K1693))"),"")</f>
        <v/>
      </c>
      <c r="S1693" s="266" t="str">
        <f>IFERROR(__xludf.DUMMYFUNCTION("IF(ISBLANK(A1693),"""",IFERROR(IF(OR(Q1693=""GPB"",Q1693=""ZAR""),IF(Q1693=Dashboard!$L$1,M1693,(M1693*GOOGLEFINANCE(""CURRENCY:""&amp;Q1693&amp;""""&amp;Dashboard!$L$1&amp;""""))/100),IF(Q1693=Dashboard!$L$1,M1693,M1693*GOOGLEFINANCE(""CURRENCY:""&amp;Q1693&amp;""""&amp;Dashboard!$"&amp;"L$1&amp;""""))),M1693))"),"")</f>
        <v/>
      </c>
      <c r="T1693" s="264" t="str">
        <f t="shared" si="4"/>
        <v/>
      </c>
      <c r="U1693" s="264" t="str">
        <f t="shared" si="5"/>
        <v/>
      </c>
      <c r="V1693" s="264" t="str">
        <f t="shared" si="6"/>
        <v/>
      </c>
      <c r="W1693" s="267" t="str">
        <f t="shared" si="8"/>
        <v/>
      </c>
      <c r="X1693" s="264" t="str">
        <f t="shared" si="7"/>
        <v/>
      </c>
    </row>
    <row r="1694" ht="15.75" customHeight="1">
      <c r="A1694" s="258"/>
      <c r="B1694" s="258"/>
      <c r="C1694" s="269"/>
      <c r="D1694" s="258"/>
      <c r="E1694" s="258"/>
      <c r="F1694" s="258"/>
      <c r="G1694" s="258"/>
      <c r="H1694" s="271"/>
      <c r="I1694" s="258"/>
      <c r="J1694" s="272"/>
      <c r="K1694" s="260"/>
      <c r="L1694" s="261"/>
      <c r="M1694" s="262" t="str">
        <f t="shared" si="1"/>
        <v/>
      </c>
      <c r="N1694" s="263" t="str">
        <f t="shared" si="2"/>
        <v/>
      </c>
      <c r="O1694" s="264" t="str">
        <f t="shared" si="3"/>
        <v/>
      </c>
      <c r="P1694" s="265" t="str">
        <f>IFERROR(__xludf.DUMMYFUNCTION("IF(ISBLANK(A1694),"""",IFERROR(IF(H1694=""Sell"",VLOOKUP(9^99,FILTER({ROW(P$2:P1693),P$2:P1693},D$2:D1693=D1694),2),(VLOOKUP(9^99,FILTER({ROW(P$2:P1693),P$2:P1693},D$2:D1693=D1694),2)*VLOOKUP(9^99,FILTER({ROW(O$2:O1693),O$2:O1693},D$2:D1693=D1694),2)-N169"&amp;"4)/O1694),J1694))"),"")</f>
        <v/>
      </c>
      <c r="Q1694" s="264" t="str">
        <f>IFERROR(__xludf.DUMMYFUNCTION("IFERROR(IF(F1694=""Crypto"",B1694,(IF(ISBLANK(D1694),"""",IF(D1694=""Cash"",B1694,IF(GOOGLEFINANCE(D1694,""CURRENCY"")=""GBX"",""GBP"",GOOGLEFINANCE(D1694,""CURRENCY"")))))),B1694)"),"")</f>
        <v/>
      </c>
      <c r="R1694" s="263" t="str">
        <f>IFERROR(__xludf.DUMMYFUNCTION("IF(ISBLANK(A1694),"""",IFERROR(IF(OR(Q1694=""GPB"",Q1694=""ZAR""),IF(Q1694=Dashboard!$L$1,K1694,(K1694*GOOGLEFINANCE(""CURRENCY:""&amp;Q1694&amp;""""&amp;Dashboard!$L$1&amp;""""))/100),IF(Q1694=Dashboard!$L$1,K1694,K1694*GOOGLEFINANCE(""CURRENCY:""&amp;Q1694&amp;""""&amp;Dashboard!$"&amp;"L$1&amp;""""))),K1694))"),"")</f>
        <v/>
      </c>
      <c r="S1694" s="266" t="str">
        <f>IFERROR(__xludf.DUMMYFUNCTION("IF(ISBLANK(A1694),"""",IFERROR(IF(OR(Q1694=""GPB"",Q1694=""ZAR""),IF(Q1694=Dashboard!$L$1,M1694,(M1694*GOOGLEFINANCE(""CURRENCY:""&amp;Q1694&amp;""""&amp;Dashboard!$L$1&amp;""""))/100),IF(Q1694=Dashboard!$L$1,M1694,M1694*GOOGLEFINANCE(""CURRENCY:""&amp;Q1694&amp;""""&amp;Dashboard!$"&amp;"L$1&amp;""""))),M1694))"),"")</f>
        <v/>
      </c>
      <c r="T1694" s="264" t="str">
        <f t="shared" si="4"/>
        <v/>
      </c>
      <c r="U1694" s="264" t="str">
        <f t="shared" si="5"/>
        <v/>
      </c>
      <c r="V1694" s="264" t="str">
        <f t="shared" si="6"/>
        <v/>
      </c>
      <c r="W1694" s="267" t="str">
        <f t="shared" si="8"/>
        <v/>
      </c>
      <c r="X1694" s="264" t="str">
        <f t="shared" si="7"/>
        <v/>
      </c>
    </row>
    <row r="1695" ht="15.75" customHeight="1">
      <c r="A1695" s="258"/>
      <c r="B1695" s="258"/>
      <c r="C1695" s="269"/>
      <c r="D1695" s="258"/>
      <c r="E1695" s="258"/>
      <c r="F1695" s="258"/>
      <c r="G1695" s="258"/>
      <c r="H1695" s="271"/>
      <c r="I1695" s="258"/>
      <c r="J1695" s="272"/>
      <c r="K1695" s="260"/>
      <c r="L1695" s="261"/>
      <c r="M1695" s="262" t="str">
        <f t="shared" si="1"/>
        <v/>
      </c>
      <c r="N1695" s="263" t="str">
        <f t="shared" si="2"/>
        <v/>
      </c>
      <c r="O1695" s="264" t="str">
        <f t="shared" si="3"/>
        <v/>
      </c>
      <c r="P1695" s="265" t="str">
        <f>IFERROR(__xludf.DUMMYFUNCTION("IF(ISBLANK(A1695),"""",IFERROR(IF(H1695=""Sell"",VLOOKUP(9^99,FILTER({ROW(P$2:P1694),P$2:P1694},D$2:D1694=D1695),2),(VLOOKUP(9^99,FILTER({ROW(P$2:P1694),P$2:P1694},D$2:D1694=D1695),2)*VLOOKUP(9^99,FILTER({ROW(O$2:O1694),O$2:O1694},D$2:D1694=D1695),2)-N169"&amp;"5)/O1695),J1695))"),"")</f>
        <v/>
      </c>
      <c r="Q1695" s="264" t="str">
        <f>IFERROR(__xludf.DUMMYFUNCTION("IFERROR(IF(F1695=""Crypto"",B1695,(IF(ISBLANK(D1695),"""",IF(D1695=""Cash"",B1695,IF(GOOGLEFINANCE(D1695,""CURRENCY"")=""GBX"",""GBP"",GOOGLEFINANCE(D1695,""CURRENCY"")))))),B1695)"),"")</f>
        <v/>
      </c>
      <c r="R1695" s="263" t="str">
        <f>IFERROR(__xludf.DUMMYFUNCTION("IF(ISBLANK(A1695),"""",IFERROR(IF(OR(Q1695=""GPB"",Q1695=""ZAR""),IF(Q1695=Dashboard!$L$1,K1695,(K1695*GOOGLEFINANCE(""CURRENCY:""&amp;Q1695&amp;""""&amp;Dashboard!$L$1&amp;""""))/100),IF(Q1695=Dashboard!$L$1,K1695,K1695*GOOGLEFINANCE(""CURRENCY:""&amp;Q1695&amp;""""&amp;Dashboard!$"&amp;"L$1&amp;""""))),K1695))"),"")</f>
        <v/>
      </c>
      <c r="S1695" s="266" t="str">
        <f>IFERROR(__xludf.DUMMYFUNCTION("IF(ISBLANK(A1695),"""",IFERROR(IF(OR(Q1695=""GPB"",Q1695=""ZAR""),IF(Q1695=Dashboard!$L$1,M1695,(M1695*GOOGLEFINANCE(""CURRENCY:""&amp;Q1695&amp;""""&amp;Dashboard!$L$1&amp;""""))/100),IF(Q1695=Dashboard!$L$1,M1695,M1695*GOOGLEFINANCE(""CURRENCY:""&amp;Q1695&amp;""""&amp;Dashboard!$"&amp;"L$1&amp;""""))),M1695))"),"")</f>
        <v/>
      </c>
      <c r="T1695" s="264" t="str">
        <f t="shared" si="4"/>
        <v/>
      </c>
      <c r="U1695" s="264" t="str">
        <f t="shared" si="5"/>
        <v/>
      </c>
      <c r="V1695" s="264" t="str">
        <f t="shared" si="6"/>
        <v/>
      </c>
      <c r="W1695" s="267" t="str">
        <f t="shared" si="8"/>
        <v/>
      </c>
      <c r="X1695" s="264" t="str">
        <f t="shared" si="7"/>
        <v/>
      </c>
    </row>
    <row r="1696" ht="15.75" customHeight="1">
      <c r="A1696" s="258"/>
      <c r="B1696" s="258"/>
      <c r="C1696" s="269"/>
      <c r="D1696" s="258"/>
      <c r="E1696" s="258"/>
      <c r="F1696" s="258"/>
      <c r="G1696" s="258"/>
      <c r="H1696" s="271"/>
      <c r="I1696" s="258"/>
      <c r="J1696" s="272"/>
      <c r="K1696" s="260"/>
      <c r="L1696" s="261"/>
      <c r="M1696" s="262" t="str">
        <f t="shared" si="1"/>
        <v/>
      </c>
      <c r="N1696" s="263" t="str">
        <f t="shared" si="2"/>
        <v/>
      </c>
      <c r="O1696" s="264" t="str">
        <f t="shared" si="3"/>
        <v/>
      </c>
      <c r="P1696" s="265" t="str">
        <f>IFERROR(__xludf.DUMMYFUNCTION("IF(ISBLANK(A1696),"""",IFERROR(IF(H1696=""Sell"",VLOOKUP(9^99,FILTER({ROW(P$2:P1695),P$2:P1695},D$2:D1695=D1696),2),(VLOOKUP(9^99,FILTER({ROW(P$2:P1695),P$2:P1695},D$2:D1695=D1696),2)*VLOOKUP(9^99,FILTER({ROW(O$2:O1695),O$2:O1695},D$2:D1695=D1696),2)-N169"&amp;"6)/O1696),J1696))"),"")</f>
        <v/>
      </c>
      <c r="Q1696" s="264" t="str">
        <f>IFERROR(__xludf.DUMMYFUNCTION("IFERROR(IF(F1696=""Crypto"",B1696,(IF(ISBLANK(D1696),"""",IF(D1696=""Cash"",B1696,IF(GOOGLEFINANCE(D1696,""CURRENCY"")=""GBX"",""GBP"",GOOGLEFINANCE(D1696,""CURRENCY"")))))),B1696)"),"")</f>
        <v/>
      </c>
      <c r="R1696" s="263" t="str">
        <f>IFERROR(__xludf.DUMMYFUNCTION("IF(ISBLANK(A1696),"""",IFERROR(IF(OR(Q1696=""GPB"",Q1696=""ZAR""),IF(Q1696=Dashboard!$L$1,K1696,(K1696*GOOGLEFINANCE(""CURRENCY:""&amp;Q1696&amp;""""&amp;Dashboard!$L$1&amp;""""))/100),IF(Q1696=Dashboard!$L$1,K1696,K1696*GOOGLEFINANCE(""CURRENCY:""&amp;Q1696&amp;""""&amp;Dashboard!$"&amp;"L$1&amp;""""))),K1696))"),"")</f>
        <v/>
      </c>
      <c r="S1696" s="266" t="str">
        <f>IFERROR(__xludf.DUMMYFUNCTION("IF(ISBLANK(A1696),"""",IFERROR(IF(OR(Q1696=""GPB"",Q1696=""ZAR""),IF(Q1696=Dashboard!$L$1,M1696,(M1696*GOOGLEFINANCE(""CURRENCY:""&amp;Q1696&amp;""""&amp;Dashboard!$L$1&amp;""""))/100),IF(Q1696=Dashboard!$L$1,M1696,M1696*GOOGLEFINANCE(""CURRENCY:""&amp;Q1696&amp;""""&amp;Dashboard!$"&amp;"L$1&amp;""""))),M1696))"),"")</f>
        <v/>
      </c>
      <c r="T1696" s="264" t="str">
        <f t="shared" si="4"/>
        <v/>
      </c>
      <c r="U1696" s="264" t="str">
        <f t="shared" si="5"/>
        <v/>
      </c>
      <c r="V1696" s="264" t="str">
        <f t="shared" si="6"/>
        <v/>
      </c>
      <c r="W1696" s="267" t="str">
        <f t="shared" si="8"/>
        <v/>
      </c>
      <c r="X1696" s="264" t="str">
        <f t="shared" si="7"/>
        <v/>
      </c>
    </row>
    <row r="1697" ht="15.75" customHeight="1">
      <c r="A1697" s="258"/>
      <c r="B1697" s="258"/>
      <c r="C1697" s="269"/>
      <c r="D1697" s="258"/>
      <c r="E1697" s="258"/>
      <c r="F1697" s="258"/>
      <c r="G1697" s="258"/>
      <c r="H1697" s="271"/>
      <c r="I1697" s="258"/>
      <c r="J1697" s="272"/>
      <c r="K1697" s="260"/>
      <c r="L1697" s="261"/>
      <c r="M1697" s="262" t="str">
        <f t="shared" si="1"/>
        <v/>
      </c>
      <c r="N1697" s="263" t="str">
        <f t="shared" si="2"/>
        <v/>
      </c>
      <c r="O1697" s="264" t="str">
        <f t="shared" si="3"/>
        <v/>
      </c>
      <c r="P1697" s="265" t="str">
        <f>IFERROR(__xludf.DUMMYFUNCTION("IF(ISBLANK(A1697),"""",IFERROR(IF(H1697=""Sell"",VLOOKUP(9^99,FILTER({ROW(P$2:P1696),P$2:P1696},D$2:D1696=D1697),2),(VLOOKUP(9^99,FILTER({ROW(P$2:P1696),P$2:P1696},D$2:D1696=D1697),2)*VLOOKUP(9^99,FILTER({ROW(O$2:O1696),O$2:O1696},D$2:D1696=D1697),2)-N169"&amp;"7)/O1697),J1697))"),"")</f>
        <v/>
      </c>
      <c r="Q1697" s="264" t="str">
        <f>IFERROR(__xludf.DUMMYFUNCTION("IFERROR(IF(F1697=""Crypto"",B1697,(IF(ISBLANK(D1697),"""",IF(D1697=""Cash"",B1697,IF(GOOGLEFINANCE(D1697,""CURRENCY"")=""GBX"",""GBP"",GOOGLEFINANCE(D1697,""CURRENCY"")))))),B1697)"),"")</f>
        <v/>
      </c>
      <c r="R1697" s="263" t="str">
        <f>IFERROR(__xludf.DUMMYFUNCTION("IF(ISBLANK(A1697),"""",IFERROR(IF(OR(Q1697=""GPB"",Q1697=""ZAR""),IF(Q1697=Dashboard!$L$1,K1697,(K1697*GOOGLEFINANCE(""CURRENCY:""&amp;Q1697&amp;""""&amp;Dashboard!$L$1&amp;""""))/100),IF(Q1697=Dashboard!$L$1,K1697,K1697*GOOGLEFINANCE(""CURRENCY:""&amp;Q1697&amp;""""&amp;Dashboard!$"&amp;"L$1&amp;""""))),K1697))"),"")</f>
        <v/>
      </c>
      <c r="S1697" s="266" t="str">
        <f>IFERROR(__xludf.DUMMYFUNCTION("IF(ISBLANK(A1697),"""",IFERROR(IF(OR(Q1697=""GPB"",Q1697=""ZAR""),IF(Q1697=Dashboard!$L$1,M1697,(M1697*GOOGLEFINANCE(""CURRENCY:""&amp;Q1697&amp;""""&amp;Dashboard!$L$1&amp;""""))/100),IF(Q1697=Dashboard!$L$1,M1697,M1697*GOOGLEFINANCE(""CURRENCY:""&amp;Q1697&amp;""""&amp;Dashboard!$"&amp;"L$1&amp;""""))),M1697))"),"")</f>
        <v/>
      </c>
      <c r="T1697" s="264" t="str">
        <f t="shared" si="4"/>
        <v/>
      </c>
      <c r="U1697" s="264" t="str">
        <f t="shared" si="5"/>
        <v/>
      </c>
      <c r="V1697" s="264" t="str">
        <f t="shared" si="6"/>
        <v/>
      </c>
      <c r="W1697" s="267" t="str">
        <f t="shared" si="8"/>
        <v/>
      </c>
      <c r="X1697" s="264" t="str">
        <f t="shared" si="7"/>
        <v/>
      </c>
    </row>
    <row r="1698" ht="15.75" customHeight="1">
      <c r="A1698" s="258"/>
      <c r="B1698" s="258"/>
      <c r="C1698" s="269"/>
      <c r="D1698" s="258"/>
      <c r="E1698" s="258"/>
      <c r="F1698" s="258"/>
      <c r="G1698" s="258"/>
      <c r="H1698" s="271"/>
      <c r="I1698" s="258"/>
      <c r="J1698" s="272"/>
      <c r="K1698" s="260"/>
      <c r="L1698" s="261"/>
      <c r="M1698" s="262" t="str">
        <f t="shared" si="1"/>
        <v/>
      </c>
      <c r="N1698" s="263" t="str">
        <f t="shared" si="2"/>
        <v/>
      </c>
      <c r="O1698" s="264" t="str">
        <f t="shared" si="3"/>
        <v/>
      </c>
      <c r="P1698" s="265" t="str">
        <f>IFERROR(__xludf.DUMMYFUNCTION("IF(ISBLANK(A1698),"""",IFERROR(IF(H1698=""Sell"",VLOOKUP(9^99,FILTER({ROW(P$2:P1697),P$2:P1697},D$2:D1697=D1698),2),(VLOOKUP(9^99,FILTER({ROW(P$2:P1697),P$2:P1697},D$2:D1697=D1698),2)*VLOOKUP(9^99,FILTER({ROW(O$2:O1697),O$2:O1697},D$2:D1697=D1698),2)-N169"&amp;"8)/O1698),J1698))"),"")</f>
        <v/>
      </c>
      <c r="Q1698" s="264" t="str">
        <f>IFERROR(__xludf.DUMMYFUNCTION("IFERROR(IF(F1698=""Crypto"",B1698,(IF(ISBLANK(D1698),"""",IF(D1698=""Cash"",B1698,IF(GOOGLEFINANCE(D1698,""CURRENCY"")=""GBX"",""GBP"",GOOGLEFINANCE(D1698,""CURRENCY"")))))),B1698)"),"")</f>
        <v/>
      </c>
      <c r="R1698" s="263" t="str">
        <f>IFERROR(__xludf.DUMMYFUNCTION("IF(ISBLANK(A1698),"""",IFERROR(IF(OR(Q1698=""GPB"",Q1698=""ZAR""),IF(Q1698=Dashboard!$L$1,K1698,(K1698*GOOGLEFINANCE(""CURRENCY:""&amp;Q1698&amp;""""&amp;Dashboard!$L$1&amp;""""))/100),IF(Q1698=Dashboard!$L$1,K1698,K1698*GOOGLEFINANCE(""CURRENCY:""&amp;Q1698&amp;""""&amp;Dashboard!$"&amp;"L$1&amp;""""))),K1698))"),"")</f>
        <v/>
      </c>
      <c r="S1698" s="266" t="str">
        <f>IFERROR(__xludf.DUMMYFUNCTION("IF(ISBLANK(A1698),"""",IFERROR(IF(OR(Q1698=""GPB"",Q1698=""ZAR""),IF(Q1698=Dashboard!$L$1,M1698,(M1698*GOOGLEFINANCE(""CURRENCY:""&amp;Q1698&amp;""""&amp;Dashboard!$L$1&amp;""""))/100),IF(Q1698=Dashboard!$L$1,M1698,M1698*GOOGLEFINANCE(""CURRENCY:""&amp;Q1698&amp;""""&amp;Dashboard!$"&amp;"L$1&amp;""""))),M1698))"),"")</f>
        <v/>
      </c>
      <c r="T1698" s="264" t="str">
        <f t="shared" si="4"/>
        <v/>
      </c>
      <c r="U1698" s="264" t="str">
        <f t="shared" si="5"/>
        <v/>
      </c>
      <c r="V1698" s="264" t="str">
        <f t="shared" si="6"/>
        <v/>
      </c>
      <c r="W1698" s="267" t="str">
        <f t="shared" si="8"/>
        <v/>
      </c>
      <c r="X1698" s="264" t="str">
        <f t="shared" si="7"/>
        <v/>
      </c>
    </row>
    <row r="1699" ht="15.75" customHeight="1">
      <c r="A1699" s="258"/>
      <c r="B1699" s="258"/>
      <c r="C1699" s="269"/>
      <c r="D1699" s="258"/>
      <c r="E1699" s="258"/>
      <c r="F1699" s="258"/>
      <c r="G1699" s="258"/>
      <c r="H1699" s="271"/>
      <c r="I1699" s="258"/>
      <c r="J1699" s="272"/>
      <c r="K1699" s="260"/>
      <c r="L1699" s="261"/>
      <c r="M1699" s="262" t="str">
        <f t="shared" si="1"/>
        <v/>
      </c>
      <c r="N1699" s="263" t="str">
        <f t="shared" si="2"/>
        <v/>
      </c>
      <c r="O1699" s="264" t="str">
        <f t="shared" si="3"/>
        <v/>
      </c>
      <c r="P1699" s="265" t="str">
        <f>IFERROR(__xludf.DUMMYFUNCTION("IF(ISBLANK(A1699),"""",IFERROR(IF(H1699=""Sell"",VLOOKUP(9^99,FILTER({ROW(P$2:P1698),P$2:P1698},D$2:D1698=D1699),2),(VLOOKUP(9^99,FILTER({ROW(P$2:P1698),P$2:P1698},D$2:D1698=D1699),2)*VLOOKUP(9^99,FILTER({ROW(O$2:O1698),O$2:O1698},D$2:D1698=D1699),2)-N169"&amp;"9)/O1699),J1699))"),"")</f>
        <v/>
      </c>
      <c r="Q1699" s="264" t="str">
        <f>IFERROR(__xludf.DUMMYFUNCTION("IFERROR(IF(F1699=""Crypto"",B1699,(IF(ISBLANK(D1699),"""",IF(D1699=""Cash"",B1699,IF(GOOGLEFINANCE(D1699,""CURRENCY"")=""GBX"",""GBP"",GOOGLEFINANCE(D1699,""CURRENCY"")))))),B1699)"),"")</f>
        <v/>
      </c>
      <c r="R1699" s="263" t="str">
        <f>IFERROR(__xludf.DUMMYFUNCTION("IF(ISBLANK(A1699),"""",IFERROR(IF(OR(Q1699=""GPB"",Q1699=""ZAR""),IF(Q1699=Dashboard!$L$1,K1699,(K1699*GOOGLEFINANCE(""CURRENCY:""&amp;Q1699&amp;""""&amp;Dashboard!$L$1&amp;""""))/100),IF(Q1699=Dashboard!$L$1,K1699,K1699*GOOGLEFINANCE(""CURRENCY:""&amp;Q1699&amp;""""&amp;Dashboard!$"&amp;"L$1&amp;""""))),K1699))"),"")</f>
        <v/>
      </c>
      <c r="S1699" s="266" t="str">
        <f>IFERROR(__xludf.DUMMYFUNCTION("IF(ISBLANK(A1699),"""",IFERROR(IF(OR(Q1699=""GPB"",Q1699=""ZAR""),IF(Q1699=Dashboard!$L$1,M1699,(M1699*GOOGLEFINANCE(""CURRENCY:""&amp;Q1699&amp;""""&amp;Dashboard!$L$1&amp;""""))/100),IF(Q1699=Dashboard!$L$1,M1699,M1699*GOOGLEFINANCE(""CURRENCY:""&amp;Q1699&amp;""""&amp;Dashboard!$"&amp;"L$1&amp;""""))),M1699))"),"")</f>
        <v/>
      </c>
      <c r="T1699" s="264" t="str">
        <f t="shared" si="4"/>
        <v/>
      </c>
      <c r="U1699" s="264" t="str">
        <f t="shared" si="5"/>
        <v/>
      </c>
      <c r="V1699" s="264" t="str">
        <f t="shared" si="6"/>
        <v/>
      </c>
      <c r="W1699" s="267" t="str">
        <f t="shared" si="8"/>
        <v/>
      </c>
      <c r="X1699" s="264" t="str">
        <f t="shared" si="7"/>
        <v/>
      </c>
    </row>
    <row r="1700" ht="15.75" customHeight="1">
      <c r="A1700" s="258"/>
      <c r="B1700" s="258"/>
      <c r="C1700" s="269"/>
      <c r="D1700" s="258"/>
      <c r="E1700" s="258"/>
      <c r="F1700" s="258"/>
      <c r="G1700" s="258"/>
      <c r="H1700" s="271"/>
      <c r="I1700" s="258"/>
      <c r="J1700" s="272"/>
      <c r="K1700" s="260"/>
      <c r="L1700" s="261"/>
      <c r="M1700" s="262" t="str">
        <f t="shared" si="1"/>
        <v/>
      </c>
      <c r="N1700" s="263" t="str">
        <f t="shared" si="2"/>
        <v/>
      </c>
      <c r="O1700" s="264" t="str">
        <f t="shared" si="3"/>
        <v/>
      </c>
      <c r="P1700" s="265" t="str">
        <f>IFERROR(__xludf.DUMMYFUNCTION("IF(ISBLANK(A1700),"""",IFERROR(IF(H1700=""Sell"",VLOOKUP(9^99,FILTER({ROW(P$2:P1699),P$2:P1699},D$2:D1699=D1700),2),(VLOOKUP(9^99,FILTER({ROW(P$2:P1699),P$2:P1699},D$2:D1699=D1700),2)*VLOOKUP(9^99,FILTER({ROW(O$2:O1699),O$2:O1699},D$2:D1699=D1700),2)-N170"&amp;"0)/O1700),J1700))"),"")</f>
        <v/>
      </c>
      <c r="Q1700" s="264" t="str">
        <f>IFERROR(__xludf.DUMMYFUNCTION("IFERROR(IF(F1700=""Crypto"",B1700,(IF(ISBLANK(D1700),"""",IF(D1700=""Cash"",B1700,IF(GOOGLEFINANCE(D1700,""CURRENCY"")=""GBX"",""GBP"",GOOGLEFINANCE(D1700,""CURRENCY"")))))),B1700)"),"")</f>
        <v/>
      </c>
      <c r="R1700" s="263" t="str">
        <f>IFERROR(__xludf.DUMMYFUNCTION("IF(ISBLANK(A1700),"""",IFERROR(IF(OR(Q1700=""GPB"",Q1700=""ZAR""),IF(Q1700=Dashboard!$L$1,K1700,(K1700*GOOGLEFINANCE(""CURRENCY:""&amp;Q1700&amp;""""&amp;Dashboard!$L$1&amp;""""))/100),IF(Q1700=Dashboard!$L$1,K1700,K1700*GOOGLEFINANCE(""CURRENCY:""&amp;Q1700&amp;""""&amp;Dashboard!$"&amp;"L$1&amp;""""))),K1700))"),"")</f>
        <v/>
      </c>
      <c r="S1700" s="266" t="str">
        <f>IFERROR(__xludf.DUMMYFUNCTION("IF(ISBLANK(A1700),"""",IFERROR(IF(OR(Q1700=""GPB"",Q1700=""ZAR""),IF(Q1700=Dashboard!$L$1,M1700,(M1700*GOOGLEFINANCE(""CURRENCY:""&amp;Q1700&amp;""""&amp;Dashboard!$L$1&amp;""""))/100),IF(Q1700=Dashboard!$L$1,M1700,M1700*GOOGLEFINANCE(""CURRENCY:""&amp;Q1700&amp;""""&amp;Dashboard!$"&amp;"L$1&amp;""""))),M1700))"),"")</f>
        <v/>
      </c>
      <c r="T1700" s="264" t="str">
        <f t="shared" si="4"/>
        <v/>
      </c>
      <c r="U1700" s="264" t="str">
        <f t="shared" si="5"/>
        <v/>
      </c>
      <c r="V1700" s="264" t="str">
        <f t="shared" si="6"/>
        <v/>
      </c>
      <c r="W1700" s="267" t="str">
        <f t="shared" si="8"/>
        <v/>
      </c>
      <c r="X1700" s="264" t="str">
        <f t="shared" si="7"/>
        <v/>
      </c>
    </row>
    <row r="1701" ht="15.75" customHeight="1">
      <c r="A1701" s="258"/>
      <c r="B1701" s="258"/>
      <c r="C1701" s="269"/>
      <c r="D1701" s="258"/>
      <c r="E1701" s="258"/>
      <c r="F1701" s="258"/>
      <c r="G1701" s="258"/>
      <c r="H1701" s="271"/>
      <c r="I1701" s="258"/>
      <c r="J1701" s="272"/>
      <c r="K1701" s="260"/>
      <c r="L1701" s="261"/>
      <c r="M1701" s="262" t="str">
        <f t="shared" si="1"/>
        <v/>
      </c>
      <c r="N1701" s="263" t="str">
        <f t="shared" si="2"/>
        <v/>
      </c>
      <c r="O1701" s="264" t="str">
        <f t="shared" si="3"/>
        <v/>
      </c>
      <c r="P1701" s="265" t="str">
        <f>IFERROR(__xludf.DUMMYFUNCTION("IF(ISBLANK(A1701),"""",IFERROR(IF(H1701=""Sell"",VLOOKUP(9^99,FILTER({ROW(P$2:P1700),P$2:P1700},D$2:D1700=D1701),2),(VLOOKUP(9^99,FILTER({ROW(P$2:P1700),P$2:P1700},D$2:D1700=D1701),2)*VLOOKUP(9^99,FILTER({ROW(O$2:O1700),O$2:O1700},D$2:D1700=D1701),2)-N170"&amp;"1)/O1701),J1701))"),"")</f>
        <v/>
      </c>
      <c r="Q1701" s="264" t="str">
        <f>IFERROR(__xludf.DUMMYFUNCTION("IFERROR(IF(F1701=""Crypto"",B1701,(IF(ISBLANK(D1701),"""",IF(D1701=""Cash"",B1701,IF(GOOGLEFINANCE(D1701,""CURRENCY"")=""GBX"",""GBP"",GOOGLEFINANCE(D1701,""CURRENCY"")))))),B1701)"),"")</f>
        <v/>
      </c>
      <c r="R1701" s="263" t="str">
        <f>IFERROR(__xludf.DUMMYFUNCTION("IF(ISBLANK(A1701),"""",IFERROR(IF(OR(Q1701=""GPB"",Q1701=""ZAR""),IF(Q1701=Dashboard!$L$1,K1701,(K1701*GOOGLEFINANCE(""CURRENCY:""&amp;Q1701&amp;""""&amp;Dashboard!$L$1&amp;""""))/100),IF(Q1701=Dashboard!$L$1,K1701,K1701*GOOGLEFINANCE(""CURRENCY:""&amp;Q1701&amp;""""&amp;Dashboard!$"&amp;"L$1&amp;""""))),K1701))"),"")</f>
        <v/>
      </c>
      <c r="S1701" s="266" t="str">
        <f>IFERROR(__xludf.DUMMYFUNCTION("IF(ISBLANK(A1701),"""",IFERROR(IF(OR(Q1701=""GPB"",Q1701=""ZAR""),IF(Q1701=Dashboard!$L$1,M1701,(M1701*GOOGLEFINANCE(""CURRENCY:""&amp;Q1701&amp;""""&amp;Dashboard!$L$1&amp;""""))/100),IF(Q1701=Dashboard!$L$1,M1701,M1701*GOOGLEFINANCE(""CURRENCY:""&amp;Q1701&amp;""""&amp;Dashboard!$"&amp;"L$1&amp;""""))),M1701))"),"")</f>
        <v/>
      </c>
      <c r="T1701" s="264" t="str">
        <f t="shared" si="4"/>
        <v/>
      </c>
      <c r="U1701" s="264" t="str">
        <f t="shared" si="5"/>
        <v/>
      </c>
      <c r="V1701" s="264" t="str">
        <f t="shared" si="6"/>
        <v/>
      </c>
      <c r="W1701" s="267" t="str">
        <f t="shared" si="8"/>
        <v/>
      </c>
      <c r="X1701" s="264" t="str">
        <f t="shared" si="7"/>
        <v/>
      </c>
    </row>
    <row r="1702" ht="15.75" customHeight="1">
      <c r="A1702" s="258"/>
      <c r="B1702" s="258"/>
      <c r="C1702" s="269"/>
      <c r="D1702" s="258"/>
      <c r="E1702" s="258"/>
      <c r="F1702" s="258"/>
      <c r="G1702" s="258"/>
      <c r="H1702" s="271"/>
      <c r="I1702" s="258"/>
      <c r="J1702" s="272"/>
      <c r="K1702" s="260"/>
      <c r="L1702" s="261"/>
      <c r="M1702" s="262" t="str">
        <f t="shared" si="1"/>
        <v/>
      </c>
      <c r="N1702" s="263" t="str">
        <f t="shared" si="2"/>
        <v/>
      </c>
      <c r="O1702" s="264" t="str">
        <f t="shared" si="3"/>
        <v/>
      </c>
      <c r="P1702" s="265" t="str">
        <f>IFERROR(__xludf.DUMMYFUNCTION("IF(ISBLANK(A1702),"""",IFERROR(IF(H1702=""Sell"",VLOOKUP(9^99,FILTER({ROW(P$2:P1701),P$2:P1701},D$2:D1701=D1702),2),(VLOOKUP(9^99,FILTER({ROW(P$2:P1701),P$2:P1701},D$2:D1701=D1702),2)*VLOOKUP(9^99,FILTER({ROW(O$2:O1701),O$2:O1701},D$2:D1701=D1702),2)-N170"&amp;"2)/O1702),J1702))"),"")</f>
        <v/>
      </c>
      <c r="Q1702" s="264" t="str">
        <f>IFERROR(__xludf.DUMMYFUNCTION("IFERROR(IF(F1702=""Crypto"",B1702,(IF(ISBLANK(D1702),"""",IF(D1702=""Cash"",B1702,IF(GOOGLEFINANCE(D1702,""CURRENCY"")=""GBX"",""GBP"",GOOGLEFINANCE(D1702,""CURRENCY"")))))),B1702)"),"")</f>
        <v/>
      </c>
      <c r="R1702" s="263" t="str">
        <f>IFERROR(__xludf.DUMMYFUNCTION("IF(ISBLANK(A1702),"""",IFERROR(IF(OR(Q1702=""GPB"",Q1702=""ZAR""),IF(Q1702=Dashboard!$L$1,K1702,(K1702*GOOGLEFINANCE(""CURRENCY:""&amp;Q1702&amp;""""&amp;Dashboard!$L$1&amp;""""))/100),IF(Q1702=Dashboard!$L$1,K1702,K1702*GOOGLEFINANCE(""CURRENCY:""&amp;Q1702&amp;""""&amp;Dashboard!$"&amp;"L$1&amp;""""))),K1702))"),"")</f>
        <v/>
      </c>
      <c r="S1702" s="266" t="str">
        <f>IFERROR(__xludf.DUMMYFUNCTION("IF(ISBLANK(A1702),"""",IFERROR(IF(OR(Q1702=""GPB"",Q1702=""ZAR""),IF(Q1702=Dashboard!$L$1,M1702,(M1702*GOOGLEFINANCE(""CURRENCY:""&amp;Q1702&amp;""""&amp;Dashboard!$L$1&amp;""""))/100),IF(Q1702=Dashboard!$L$1,M1702,M1702*GOOGLEFINANCE(""CURRENCY:""&amp;Q1702&amp;""""&amp;Dashboard!$"&amp;"L$1&amp;""""))),M1702))"),"")</f>
        <v/>
      </c>
      <c r="T1702" s="264" t="str">
        <f t="shared" si="4"/>
        <v/>
      </c>
      <c r="U1702" s="264" t="str">
        <f t="shared" si="5"/>
        <v/>
      </c>
      <c r="V1702" s="264" t="str">
        <f t="shared" si="6"/>
        <v/>
      </c>
      <c r="W1702" s="267" t="str">
        <f t="shared" si="8"/>
        <v/>
      </c>
      <c r="X1702" s="264" t="str">
        <f t="shared" si="7"/>
        <v/>
      </c>
    </row>
    <row r="1703" ht="15.75" customHeight="1">
      <c r="A1703" s="258"/>
      <c r="B1703" s="258"/>
      <c r="C1703" s="269"/>
      <c r="D1703" s="258"/>
      <c r="E1703" s="258"/>
      <c r="F1703" s="258"/>
      <c r="G1703" s="258"/>
      <c r="H1703" s="271"/>
      <c r="I1703" s="258"/>
      <c r="J1703" s="272"/>
      <c r="K1703" s="260"/>
      <c r="L1703" s="261"/>
      <c r="M1703" s="262" t="str">
        <f t="shared" si="1"/>
        <v/>
      </c>
      <c r="N1703" s="263" t="str">
        <f t="shared" si="2"/>
        <v/>
      </c>
      <c r="O1703" s="264" t="str">
        <f t="shared" si="3"/>
        <v/>
      </c>
      <c r="P1703" s="265" t="str">
        <f>IFERROR(__xludf.DUMMYFUNCTION("IF(ISBLANK(A1703),"""",IFERROR(IF(H1703=""Sell"",VLOOKUP(9^99,FILTER({ROW(P$2:P1702),P$2:P1702},D$2:D1702=D1703),2),(VLOOKUP(9^99,FILTER({ROW(P$2:P1702),P$2:P1702},D$2:D1702=D1703),2)*VLOOKUP(9^99,FILTER({ROW(O$2:O1702),O$2:O1702},D$2:D1702=D1703),2)-N170"&amp;"3)/O1703),J1703))"),"")</f>
        <v/>
      </c>
      <c r="Q1703" s="264" t="str">
        <f>IFERROR(__xludf.DUMMYFUNCTION("IFERROR(IF(F1703=""Crypto"",B1703,(IF(ISBLANK(D1703),"""",IF(D1703=""Cash"",B1703,IF(GOOGLEFINANCE(D1703,""CURRENCY"")=""GBX"",""GBP"",GOOGLEFINANCE(D1703,""CURRENCY"")))))),B1703)"),"")</f>
        <v/>
      </c>
      <c r="R1703" s="263" t="str">
        <f>IFERROR(__xludf.DUMMYFUNCTION("IF(ISBLANK(A1703),"""",IFERROR(IF(OR(Q1703=""GPB"",Q1703=""ZAR""),IF(Q1703=Dashboard!$L$1,K1703,(K1703*GOOGLEFINANCE(""CURRENCY:""&amp;Q1703&amp;""""&amp;Dashboard!$L$1&amp;""""))/100),IF(Q1703=Dashboard!$L$1,K1703,K1703*GOOGLEFINANCE(""CURRENCY:""&amp;Q1703&amp;""""&amp;Dashboard!$"&amp;"L$1&amp;""""))),K1703))"),"")</f>
        <v/>
      </c>
      <c r="S1703" s="266" t="str">
        <f>IFERROR(__xludf.DUMMYFUNCTION("IF(ISBLANK(A1703),"""",IFERROR(IF(OR(Q1703=""GPB"",Q1703=""ZAR""),IF(Q1703=Dashboard!$L$1,M1703,(M1703*GOOGLEFINANCE(""CURRENCY:""&amp;Q1703&amp;""""&amp;Dashboard!$L$1&amp;""""))/100),IF(Q1703=Dashboard!$L$1,M1703,M1703*GOOGLEFINANCE(""CURRENCY:""&amp;Q1703&amp;""""&amp;Dashboard!$"&amp;"L$1&amp;""""))),M1703))"),"")</f>
        <v/>
      </c>
      <c r="T1703" s="264" t="str">
        <f t="shared" si="4"/>
        <v/>
      </c>
      <c r="U1703" s="264" t="str">
        <f t="shared" si="5"/>
        <v/>
      </c>
      <c r="V1703" s="264" t="str">
        <f t="shared" si="6"/>
        <v/>
      </c>
      <c r="W1703" s="267" t="str">
        <f t="shared" si="8"/>
        <v/>
      </c>
      <c r="X1703" s="264" t="str">
        <f t="shared" si="7"/>
        <v/>
      </c>
    </row>
    <row r="1704" ht="15.75" customHeight="1">
      <c r="A1704" s="258"/>
      <c r="B1704" s="258"/>
      <c r="C1704" s="269"/>
      <c r="D1704" s="258"/>
      <c r="E1704" s="258"/>
      <c r="F1704" s="258"/>
      <c r="G1704" s="258"/>
      <c r="H1704" s="271"/>
      <c r="I1704" s="258"/>
      <c r="J1704" s="272"/>
      <c r="K1704" s="260"/>
      <c r="L1704" s="261"/>
      <c r="M1704" s="262" t="str">
        <f t="shared" si="1"/>
        <v/>
      </c>
      <c r="N1704" s="263" t="str">
        <f t="shared" si="2"/>
        <v/>
      </c>
      <c r="O1704" s="264" t="str">
        <f t="shared" si="3"/>
        <v/>
      </c>
      <c r="P1704" s="265" t="str">
        <f>IFERROR(__xludf.DUMMYFUNCTION("IF(ISBLANK(A1704),"""",IFERROR(IF(H1704=""Sell"",VLOOKUP(9^99,FILTER({ROW(P$2:P1703),P$2:P1703},D$2:D1703=D1704),2),(VLOOKUP(9^99,FILTER({ROW(P$2:P1703),P$2:P1703},D$2:D1703=D1704),2)*VLOOKUP(9^99,FILTER({ROW(O$2:O1703),O$2:O1703},D$2:D1703=D1704),2)-N170"&amp;"4)/O1704),J1704))"),"")</f>
        <v/>
      </c>
      <c r="Q1704" s="264" t="str">
        <f>IFERROR(__xludf.DUMMYFUNCTION("IFERROR(IF(F1704=""Crypto"",B1704,(IF(ISBLANK(D1704),"""",IF(D1704=""Cash"",B1704,IF(GOOGLEFINANCE(D1704,""CURRENCY"")=""GBX"",""GBP"",GOOGLEFINANCE(D1704,""CURRENCY"")))))),B1704)"),"")</f>
        <v/>
      </c>
      <c r="R1704" s="263" t="str">
        <f>IFERROR(__xludf.DUMMYFUNCTION("IF(ISBLANK(A1704),"""",IFERROR(IF(OR(Q1704=""GPB"",Q1704=""ZAR""),IF(Q1704=Dashboard!$L$1,K1704,(K1704*GOOGLEFINANCE(""CURRENCY:""&amp;Q1704&amp;""""&amp;Dashboard!$L$1&amp;""""))/100),IF(Q1704=Dashboard!$L$1,K1704,K1704*GOOGLEFINANCE(""CURRENCY:""&amp;Q1704&amp;""""&amp;Dashboard!$"&amp;"L$1&amp;""""))),K1704))"),"")</f>
        <v/>
      </c>
      <c r="S1704" s="266" t="str">
        <f>IFERROR(__xludf.DUMMYFUNCTION("IF(ISBLANK(A1704),"""",IFERROR(IF(OR(Q1704=""GPB"",Q1704=""ZAR""),IF(Q1704=Dashboard!$L$1,M1704,(M1704*GOOGLEFINANCE(""CURRENCY:""&amp;Q1704&amp;""""&amp;Dashboard!$L$1&amp;""""))/100),IF(Q1704=Dashboard!$L$1,M1704,M1704*GOOGLEFINANCE(""CURRENCY:""&amp;Q1704&amp;""""&amp;Dashboard!$"&amp;"L$1&amp;""""))),M1704))"),"")</f>
        <v/>
      </c>
      <c r="T1704" s="264" t="str">
        <f t="shared" si="4"/>
        <v/>
      </c>
      <c r="U1704" s="264" t="str">
        <f t="shared" si="5"/>
        <v/>
      </c>
      <c r="V1704" s="264" t="str">
        <f t="shared" si="6"/>
        <v/>
      </c>
      <c r="W1704" s="267" t="str">
        <f t="shared" si="8"/>
        <v/>
      </c>
      <c r="X1704" s="264" t="str">
        <f t="shared" si="7"/>
        <v/>
      </c>
    </row>
    <row r="1705" ht="15.75" customHeight="1">
      <c r="A1705" s="258"/>
      <c r="B1705" s="258"/>
      <c r="C1705" s="269"/>
      <c r="D1705" s="258"/>
      <c r="E1705" s="258"/>
      <c r="F1705" s="258"/>
      <c r="G1705" s="258"/>
      <c r="H1705" s="271"/>
      <c r="I1705" s="258"/>
      <c r="J1705" s="272"/>
      <c r="K1705" s="260"/>
      <c r="L1705" s="261"/>
      <c r="M1705" s="262" t="str">
        <f t="shared" si="1"/>
        <v/>
      </c>
      <c r="N1705" s="263" t="str">
        <f t="shared" si="2"/>
        <v/>
      </c>
      <c r="O1705" s="264" t="str">
        <f t="shared" si="3"/>
        <v/>
      </c>
      <c r="P1705" s="265" t="str">
        <f>IFERROR(__xludf.DUMMYFUNCTION("IF(ISBLANK(A1705),"""",IFERROR(IF(H1705=""Sell"",VLOOKUP(9^99,FILTER({ROW(P$2:P1704),P$2:P1704},D$2:D1704=D1705),2),(VLOOKUP(9^99,FILTER({ROW(P$2:P1704),P$2:P1704},D$2:D1704=D1705),2)*VLOOKUP(9^99,FILTER({ROW(O$2:O1704),O$2:O1704},D$2:D1704=D1705),2)-N170"&amp;"5)/O1705),J1705))"),"")</f>
        <v/>
      </c>
      <c r="Q1705" s="264" t="str">
        <f>IFERROR(__xludf.DUMMYFUNCTION("IFERROR(IF(F1705=""Crypto"",B1705,(IF(ISBLANK(D1705),"""",IF(D1705=""Cash"",B1705,IF(GOOGLEFINANCE(D1705,""CURRENCY"")=""GBX"",""GBP"",GOOGLEFINANCE(D1705,""CURRENCY"")))))),B1705)"),"")</f>
        <v/>
      </c>
      <c r="R1705" s="263" t="str">
        <f>IFERROR(__xludf.DUMMYFUNCTION("IF(ISBLANK(A1705),"""",IFERROR(IF(OR(Q1705=""GPB"",Q1705=""ZAR""),IF(Q1705=Dashboard!$L$1,K1705,(K1705*GOOGLEFINANCE(""CURRENCY:""&amp;Q1705&amp;""""&amp;Dashboard!$L$1&amp;""""))/100),IF(Q1705=Dashboard!$L$1,K1705,K1705*GOOGLEFINANCE(""CURRENCY:""&amp;Q1705&amp;""""&amp;Dashboard!$"&amp;"L$1&amp;""""))),K1705))"),"")</f>
        <v/>
      </c>
      <c r="S1705" s="266" t="str">
        <f>IFERROR(__xludf.DUMMYFUNCTION("IF(ISBLANK(A1705),"""",IFERROR(IF(OR(Q1705=""GPB"",Q1705=""ZAR""),IF(Q1705=Dashboard!$L$1,M1705,(M1705*GOOGLEFINANCE(""CURRENCY:""&amp;Q1705&amp;""""&amp;Dashboard!$L$1&amp;""""))/100),IF(Q1705=Dashboard!$L$1,M1705,M1705*GOOGLEFINANCE(""CURRENCY:""&amp;Q1705&amp;""""&amp;Dashboard!$"&amp;"L$1&amp;""""))),M1705))"),"")</f>
        <v/>
      </c>
      <c r="T1705" s="264" t="str">
        <f t="shared" si="4"/>
        <v/>
      </c>
      <c r="U1705" s="264" t="str">
        <f t="shared" si="5"/>
        <v/>
      </c>
      <c r="V1705" s="264" t="str">
        <f t="shared" si="6"/>
        <v/>
      </c>
      <c r="W1705" s="267" t="str">
        <f t="shared" si="8"/>
        <v/>
      </c>
      <c r="X1705" s="264" t="str">
        <f t="shared" si="7"/>
        <v/>
      </c>
    </row>
    <row r="1706" ht="15.75" customHeight="1">
      <c r="A1706" s="258"/>
      <c r="B1706" s="258"/>
      <c r="C1706" s="269"/>
      <c r="D1706" s="258"/>
      <c r="E1706" s="258"/>
      <c r="F1706" s="258"/>
      <c r="G1706" s="258"/>
      <c r="H1706" s="271"/>
      <c r="I1706" s="258"/>
      <c r="J1706" s="272"/>
      <c r="K1706" s="260"/>
      <c r="L1706" s="261"/>
      <c r="M1706" s="262" t="str">
        <f t="shared" si="1"/>
        <v/>
      </c>
      <c r="N1706" s="263" t="str">
        <f t="shared" si="2"/>
        <v/>
      </c>
      <c r="O1706" s="264" t="str">
        <f t="shared" si="3"/>
        <v/>
      </c>
      <c r="P1706" s="265" t="str">
        <f>IFERROR(__xludf.DUMMYFUNCTION("IF(ISBLANK(A1706),"""",IFERROR(IF(H1706=""Sell"",VLOOKUP(9^99,FILTER({ROW(P$2:P1705),P$2:P1705},D$2:D1705=D1706),2),(VLOOKUP(9^99,FILTER({ROW(P$2:P1705),P$2:P1705},D$2:D1705=D1706),2)*VLOOKUP(9^99,FILTER({ROW(O$2:O1705),O$2:O1705},D$2:D1705=D1706),2)-N170"&amp;"6)/O1706),J1706))"),"")</f>
        <v/>
      </c>
      <c r="Q1706" s="264" t="str">
        <f>IFERROR(__xludf.DUMMYFUNCTION("IFERROR(IF(F1706=""Crypto"",B1706,(IF(ISBLANK(D1706),"""",IF(D1706=""Cash"",B1706,IF(GOOGLEFINANCE(D1706,""CURRENCY"")=""GBX"",""GBP"",GOOGLEFINANCE(D1706,""CURRENCY"")))))),B1706)"),"")</f>
        <v/>
      </c>
      <c r="R1706" s="263" t="str">
        <f>IFERROR(__xludf.DUMMYFUNCTION("IF(ISBLANK(A1706),"""",IFERROR(IF(OR(Q1706=""GPB"",Q1706=""ZAR""),IF(Q1706=Dashboard!$L$1,K1706,(K1706*GOOGLEFINANCE(""CURRENCY:""&amp;Q1706&amp;""""&amp;Dashboard!$L$1&amp;""""))/100),IF(Q1706=Dashboard!$L$1,K1706,K1706*GOOGLEFINANCE(""CURRENCY:""&amp;Q1706&amp;""""&amp;Dashboard!$"&amp;"L$1&amp;""""))),K1706))"),"")</f>
        <v/>
      </c>
      <c r="S1706" s="266" t="str">
        <f>IFERROR(__xludf.DUMMYFUNCTION("IF(ISBLANK(A1706),"""",IFERROR(IF(OR(Q1706=""GPB"",Q1706=""ZAR""),IF(Q1706=Dashboard!$L$1,M1706,(M1706*GOOGLEFINANCE(""CURRENCY:""&amp;Q1706&amp;""""&amp;Dashboard!$L$1&amp;""""))/100),IF(Q1706=Dashboard!$L$1,M1706,M1706*GOOGLEFINANCE(""CURRENCY:""&amp;Q1706&amp;""""&amp;Dashboard!$"&amp;"L$1&amp;""""))),M1706))"),"")</f>
        <v/>
      </c>
      <c r="T1706" s="264" t="str">
        <f t="shared" si="4"/>
        <v/>
      </c>
      <c r="U1706" s="264" t="str">
        <f t="shared" si="5"/>
        <v/>
      </c>
      <c r="V1706" s="264" t="str">
        <f t="shared" si="6"/>
        <v/>
      </c>
      <c r="W1706" s="267" t="str">
        <f t="shared" si="8"/>
        <v/>
      </c>
      <c r="X1706" s="264" t="str">
        <f t="shared" si="7"/>
        <v/>
      </c>
    </row>
    <row r="1707" ht="15.75" customHeight="1">
      <c r="A1707" s="258"/>
      <c r="B1707" s="258"/>
      <c r="C1707" s="269"/>
      <c r="D1707" s="258"/>
      <c r="E1707" s="258"/>
      <c r="F1707" s="258"/>
      <c r="G1707" s="258"/>
      <c r="H1707" s="271"/>
      <c r="I1707" s="258"/>
      <c r="J1707" s="272"/>
      <c r="K1707" s="260"/>
      <c r="L1707" s="261"/>
      <c r="M1707" s="262" t="str">
        <f t="shared" si="1"/>
        <v/>
      </c>
      <c r="N1707" s="263" t="str">
        <f t="shared" si="2"/>
        <v/>
      </c>
      <c r="O1707" s="264" t="str">
        <f t="shared" si="3"/>
        <v/>
      </c>
      <c r="P1707" s="265" t="str">
        <f>IFERROR(__xludf.DUMMYFUNCTION("IF(ISBLANK(A1707),"""",IFERROR(IF(H1707=""Sell"",VLOOKUP(9^99,FILTER({ROW(P$2:P1706),P$2:P1706},D$2:D1706=D1707),2),(VLOOKUP(9^99,FILTER({ROW(P$2:P1706),P$2:P1706},D$2:D1706=D1707),2)*VLOOKUP(9^99,FILTER({ROW(O$2:O1706),O$2:O1706},D$2:D1706=D1707),2)-N170"&amp;"7)/O1707),J1707))"),"")</f>
        <v/>
      </c>
      <c r="Q1707" s="264" t="str">
        <f>IFERROR(__xludf.DUMMYFUNCTION("IFERROR(IF(F1707=""Crypto"",B1707,(IF(ISBLANK(D1707),"""",IF(D1707=""Cash"",B1707,IF(GOOGLEFINANCE(D1707,""CURRENCY"")=""GBX"",""GBP"",GOOGLEFINANCE(D1707,""CURRENCY"")))))),B1707)"),"")</f>
        <v/>
      </c>
      <c r="R1707" s="263" t="str">
        <f>IFERROR(__xludf.DUMMYFUNCTION("IF(ISBLANK(A1707),"""",IFERROR(IF(OR(Q1707=""GPB"",Q1707=""ZAR""),IF(Q1707=Dashboard!$L$1,K1707,(K1707*GOOGLEFINANCE(""CURRENCY:""&amp;Q1707&amp;""""&amp;Dashboard!$L$1&amp;""""))/100),IF(Q1707=Dashboard!$L$1,K1707,K1707*GOOGLEFINANCE(""CURRENCY:""&amp;Q1707&amp;""""&amp;Dashboard!$"&amp;"L$1&amp;""""))),K1707))"),"")</f>
        <v/>
      </c>
      <c r="S1707" s="266" t="str">
        <f>IFERROR(__xludf.DUMMYFUNCTION("IF(ISBLANK(A1707),"""",IFERROR(IF(OR(Q1707=""GPB"",Q1707=""ZAR""),IF(Q1707=Dashboard!$L$1,M1707,(M1707*GOOGLEFINANCE(""CURRENCY:""&amp;Q1707&amp;""""&amp;Dashboard!$L$1&amp;""""))/100),IF(Q1707=Dashboard!$L$1,M1707,M1707*GOOGLEFINANCE(""CURRENCY:""&amp;Q1707&amp;""""&amp;Dashboard!$"&amp;"L$1&amp;""""))),M1707))"),"")</f>
        <v/>
      </c>
      <c r="T1707" s="264" t="str">
        <f t="shared" si="4"/>
        <v/>
      </c>
      <c r="U1707" s="264" t="str">
        <f t="shared" si="5"/>
        <v/>
      </c>
      <c r="V1707" s="264" t="str">
        <f t="shared" si="6"/>
        <v/>
      </c>
      <c r="W1707" s="267" t="str">
        <f t="shared" si="8"/>
        <v/>
      </c>
      <c r="X1707" s="264" t="str">
        <f t="shared" si="7"/>
        <v/>
      </c>
    </row>
    <row r="1708" ht="15.75" customHeight="1">
      <c r="A1708" s="258"/>
      <c r="B1708" s="258"/>
      <c r="C1708" s="269"/>
      <c r="D1708" s="258"/>
      <c r="E1708" s="258"/>
      <c r="F1708" s="258"/>
      <c r="G1708" s="258"/>
      <c r="H1708" s="271"/>
      <c r="I1708" s="258"/>
      <c r="J1708" s="272"/>
      <c r="K1708" s="260"/>
      <c r="L1708" s="261"/>
      <c r="M1708" s="262" t="str">
        <f t="shared" si="1"/>
        <v/>
      </c>
      <c r="N1708" s="263" t="str">
        <f t="shared" si="2"/>
        <v/>
      </c>
      <c r="O1708" s="264" t="str">
        <f t="shared" si="3"/>
        <v/>
      </c>
      <c r="P1708" s="265" t="str">
        <f>IFERROR(__xludf.DUMMYFUNCTION("IF(ISBLANK(A1708),"""",IFERROR(IF(H1708=""Sell"",VLOOKUP(9^99,FILTER({ROW(P$2:P1707),P$2:P1707},D$2:D1707=D1708),2),(VLOOKUP(9^99,FILTER({ROW(P$2:P1707),P$2:P1707},D$2:D1707=D1708),2)*VLOOKUP(9^99,FILTER({ROW(O$2:O1707),O$2:O1707},D$2:D1707=D1708),2)-N170"&amp;"8)/O1708),J1708))"),"")</f>
        <v/>
      </c>
      <c r="Q1708" s="264" t="str">
        <f>IFERROR(__xludf.DUMMYFUNCTION("IFERROR(IF(F1708=""Crypto"",B1708,(IF(ISBLANK(D1708),"""",IF(D1708=""Cash"",B1708,IF(GOOGLEFINANCE(D1708,""CURRENCY"")=""GBX"",""GBP"",GOOGLEFINANCE(D1708,""CURRENCY"")))))),B1708)"),"")</f>
        <v/>
      </c>
      <c r="R1708" s="263" t="str">
        <f>IFERROR(__xludf.DUMMYFUNCTION("IF(ISBLANK(A1708),"""",IFERROR(IF(OR(Q1708=""GPB"",Q1708=""ZAR""),IF(Q1708=Dashboard!$L$1,K1708,(K1708*GOOGLEFINANCE(""CURRENCY:""&amp;Q1708&amp;""""&amp;Dashboard!$L$1&amp;""""))/100),IF(Q1708=Dashboard!$L$1,K1708,K1708*GOOGLEFINANCE(""CURRENCY:""&amp;Q1708&amp;""""&amp;Dashboard!$"&amp;"L$1&amp;""""))),K1708))"),"")</f>
        <v/>
      </c>
      <c r="S1708" s="266" t="str">
        <f>IFERROR(__xludf.DUMMYFUNCTION("IF(ISBLANK(A1708),"""",IFERROR(IF(OR(Q1708=""GPB"",Q1708=""ZAR""),IF(Q1708=Dashboard!$L$1,M1708,(M1708*GOOGLEFINANCE(""CURRENCY:""&amp;Q1708&amp;""""&amp;Dashboard!$L$1&amp;""""))/100),IF(Q1708=Dashboard!$L$1,M1708,M1708*GOOGLEFINANCE(""CURRENCY:""&amp;Q1708&amp;""""&amp;Dashboard!$"&amp;"L$1&amp;""""))),M1708))"),"")</f>
        <v/>
      </c>
      <c r="T1708" s="264" t="str">
        <f t="shared" si="4"/>
        <v/>
      </c>
      <c r="U1708" s="264" t="str">
        <f t="shared" si="5"/>
        <v/>
      </c>
      <c r="V1708" s="264" t="str">
        <f t="shared" si="6"/>
        <v/>
      </c>
      <c r="W1708" s="267" t="str">
        <f t="shared" si="8"/>
        <v/>
      </c>
      <c r="X1708" s="264" t="str">
        <f t="shared" si="7"/>
        <v/>
      </c>
    </row>
    <row r="1709" ht="15.75" customHeight="1">
      <c r="A1709" s="258"/>
      <c r="B1709" s="258"/>
      <c r="C1709" s="269"/>
      <c r="D1709" s="258"/>
      <c r="E1709" s="258"/>
      <c r="F1709" s="258"/>
      <c r="G1709" s="258"/>
      <c r="H1709" s="271"/>
      <c r="I1709" s="258"/>
      <c r="J1709" s="272"/>
      <c r="K1709" s="260"/>
      <c r="L1709" s="261"/>
      <c r="M1709" s="262" t="str">
        <f t="shared" si="1"/>
        <v/>
      </c>
      <c r="N1709" s="263" t="str">
        <f t="shared" si="2"/>
        <v/>
      </c>
      <c r="O1709" s="264" t="str">
        <f t="shared" si="3"/>
        <v/>
      </c>
      <c r="P1709" s="265" t="str">
        <f>IFERROR(__xludf.DUMMYFUNCTION("IF(ISBLANK(A1709),"""",IFERROR(IF(H1709=""Sell"",VLOOKUP(9^99,FILTER({ROW(P$2:P1708),P$2:P1708},D$2:D1708=D1709),2),(VLOOKUP(9^99,FILTER({ROW(P$2:P1708),P$2:P1708},D$2:D1708=D1709),2)*VLOOKUP(9^99,FILTER({ROW(O$2:O1708),O$2:O1708},D$2:D1708=D1709),2)-N170"&amp;"9)/O1709),J1709))"),"")</f>
        <v/>
      </c>
      <c r="Q1709" s="264" t="str">
        <f>IFERROR(__xludf.DUMMYFUNCTION("IFERROR(IF(F1709=""Crypto"",B1709,(IF(ISBLANK(D1709),"""",IF(D1709=""Cash"",B1709,IF(GOOGLEFINANCE(D1709,""CURRENCY"")=""GBX"",""GBP"",GOOGLEFINANCE(D1709,""CURRENCY"")))))),B1709)"),"")</f>
        <v/>
      </c>
      <c r="R1709" s="263" t="str">
        <f>IFERROR(__xludf.DUMMYFUNCTION("IF(ISBLANK(A1709),"""",IFERROR(IF(OR(Q1709=""GPB"",Q1709=""ZAR""),IF(Q1709=Dashboard!$L$1,K1709,(K1709*GOOGLEFINANCE(""CURRENCY:""&amp;Q1709&amp;""""&amp;Dashboard!$L$1&amp;""""))/100),IF(Q1709=Dashboard!$L$1,K1709,K1709*GOOGLEFINANCE(""CURRENCY:""&amp;Q1709&amp;""""&amp;Dashboard!$"&amp;"L$1&amp;""""))),K1709))"),"")</f>
        <v/>
      </c>
      <c r="S1709" s="266" t="str">
        <f>IFERROR(__xludf.DUMMYFUNCTION("IF(ISBLANK(A1709),"""",IFERROR(IF(OR(Q1709=""GPB"",Q1709=""ZAR""),IF(Q1709=Dashboard!$L$1,M1709,(M1709*GOOGLEFINANCE(""CURRENCY:""&amp;Q1709&amp;""""&amp;Dashboard!$L$1&amp;""""))/100),IF(Q1709=Dashboard!$L$1,M1709,M1709*GOOGLEFINANCE(""CURRENCY:""&amp;Q1709&amp;""""&amp;Dashboard!$"&amp;"L$1&amp;""""))),M1709))"),"")</f>
        <v/>
      </c>
      <c r="T1709" s="264" t="str">
        <f t="shared" si="4"/>
        <v/>
      </c>
      <c r="U1709" s="264" t="str">
        <f t="shared" si="5"/>
        <v/>
      </c>
      <c r="V1709" s="264" t="str">
        <f t="shared" si="6"/>
        <v/>
      </c>
      <c r="W1709" s="267" t="str">
        <f t="shared" si="8"/>
        <v/>
      </c>
      <c r="X1709" s="264" t="str">
        <f t="shared" si="7"/>
        <v/>
      </c>
    </row>
    <row r="1710" ht="15.75" customHeight="1">
      <c r="A1710" s="258"/>
      <c r="B1710" s="258"/>
      <c r="C1710" s="269"/>
      <c r="D1710" s="258"/>
      <c r="E1710" s="258"/>
      <c r="F1710" s="258"/>
      <c r="G1710" s="258"/>
      <c r="H1710" s="271"/>
      <c r="I1710" s="258"/>
      <c r="J1710" s="272"/>
      <c r="K1710" s="260"/>
      <c r="L1710" s="261"/>
      <c r="M1710" s="262" t="str">
        <f t="shared" si="1"/>
        <v/>
      </c>
      <c r="N1710" s="263" t="str">
        <f t="shared" si="2"/>
        <v/>
      </c>
      <c r="O1710" s="264" t="str">
        <f t="shared" si="3"/>
        <v/>
      </c>
      <c r="P1710" s="265" t="str">
        <f>IFERROR(__xludf.DUMMYFUNCTION("IF(ISBLANK(A1710),"""",IFERROR(IF(H1710=""Sell"",VLOOKUP(9^99,FILTER({ROW(P$2:P1709),P$2:P1709},D$2:D1709=D1710),2),(VLOOKUP(9^99,FILTER({ROW(P$2:P1709),P$2:P1709},D$2:D1709=D1710),2)*VLOOKUP(9^99,FILTER({ROW(O$2:O1709),O$2:O1709},D$2:D1709=D1710),2)-N171"&amp;"0)/O1710),J1710))"),"")</f>
        <v/>
      </c>
      <c r="Q1710" s="264" t="str">
        <f>IFERROR(__xludf.DUMMYFUNCTION("IFERROR(IF(F1710=""Crypto"",B1710,(IF(ISBLANK(D1710),"""",IF(D1710=""Cash"",B1710,IF(GOOGLEFINANCE(D1710,""CURRENCY"")=""GBX"",""GBP"",GOOGLEFINANCE(D1710,""CURRENCY"")))))),B1710)"),"")</f>
        <v/>
      </c>
      <c r="R1710" s="263" t="str">
        <f>IFERROR(__xludf.DUMMYFUNCTION("IF(ISBLANK(A1710),"""",IFERROR(IF(OR(Q1710=""GPB"",Q1710=""ZAR""),IF(Q1710=Dashboard!$L$1,K1710,(K1710*GOOGLEFINANCE(""CURRENCY:""&amp;Q1710&amp;""""&amp;Dashboard!$L$1&amp;""""))/100),IF(Q1710=Dashboard!$L$1,K1710,K1710*GOOGLEFINANCE(""CURRENCY:""&amp;Q1710&amp;""""&amp;Dashboard!$"&amp;"L$1&amp;""""))),K1710))"),"")</f>
        <v/>
      </c>
      <c r="S1710" s="266" t="str">
        <f>IFERROR(__xludf.DUMMYFUNCTION("IF(ISBLANK(A1710),"""",IFERROR(IF(OR(Q1710=""GPB"",Q1710=""ZAR""),IF(Q1710=Dashboard!$L$1,M1710,(M1710*GOOGLEFINANCE(""CURRENCY:""&amp;Q1710&amp;""""&amp;Dashboard!$L$1&amp;""""))/100),IF(Q1710=Dashboard!$L$1,M1710,M1710*GOOGLEFINANCE(""CURRENCY:""&amp;Q1710&amp;""""&amp;Dashboard!$"&amp;"L$1&amp;""""))),M1710))"),"")</f>
        <v/>
      </c>
      <c r="T1710" s="264" t="str">
        <f t="shared" si="4"/>
        <v/>
      </c>
      <c r="U1710" s="264" t="str">
        <f t="shared" si="5"/>
        <v/>
      </c>
      <c r="V1710" s="264" t="str">
        <f t="shared" si="6"/>
        <v/>
      </c>
      <c r="W1710" s="267" t="str">
        <f t="shared" si="8"/>
        <v/>
      </c>
      <c r="X1710" s="264" t="str">
        <f t="shared" si="7"/>
        <v/>
      </c>
    </row>
    <row r="1711" ht="15.75" customHeight="1">
      <c r="A1711" s="258"/>
      <c r="B1711" s="258"/>
      <c r="C1711" s="269"/>
      <c r="D1711" s="258"/>
      <c r="E1711" s="258"/>
      <c r="F1711" s="258"/>
      <c r="G1711" s="258"/>
      <c r="H1711" s="271"/>
      <c r="I1711" s="258"/>
      <c r="J1711" s="272"/>
      <c r="K1711" s="260"/>
      <c r="L1711" s="261"/>
      <c r="M1711" s="262" t="str">
        <f t="shared" si="1"/>
        <v/>
      </c>
      <c r="N1711" s="263" t="str">
        <f t="shared" si="2"/>
        <v/>
      </c>
      <c r="O1711" s="264" t="str">
        <f t="shared" si="3"/>
        <v/>
      </c>
      <c r="P1711" s="265" t="str">
        <f>IFERROR(__xludf.DUMMYFUNCTION("IF(ISBLANK(A1711),"""",IFERROR(IF(H1711=""Sell"",VLOOKUP(9^99,FILTER({ROW(P$2:P1710),P$2:P1710},D$2:D1710=D1711),2),(VLOOKUP(9^99,FILTER({ROW(P$2:P1710),P$2:P1710},D$2:D1710=D1711),2)*VLOOKUP(9^99,FILTER({ROW(O$2:O1710),O$2:O1710},D$2:D1710=D1711),2)-N171"&amp;"1)/O1711),J1711))"),"")</f>
        <v/>
      </c>
      <c r="Q1711" s="264" t="str">
        <f>IFERROR(__xludf.DUMMYFUNCTION("IFERROR(IF(F1711=""Crypto"",B1711,(IF(ISBLANK(D1711),"""",IF(D1711=""Cash"",B1711,IF(GOOGLEFINANCE(D1711,""CURRENCY"")=""GBX"",""GBP"",GOOGLEFINANCE(D1711,""CURRENCY"")))))),B1711)"),"")</f>
        <v/>
      </c>
      <c r="R1711" s="263" t="str">
        <f>IFERROR(__xludf.DUMMYFUNCTION("IF(ISBLANK(A1711),"""",IFERROR(IF(OR(Q1711=""GPB"",Q1711=""ZAR""),IF(Q1711=Dashboard!$L$1,K1711,(K1711*GOOGLEFINANCE(""CURRENCY:""&amp;Q1711&amp;""""&amp;Dashboard!$L$1&amp;""""))/100),IF(Q1711=Dashboard!$L$1,K1711,K1711*GOOGLEFINANCE(""CURRENCY:""&amp;Q1711&amp;""""&amp;Dashboard!$"&amp;"L$1&amp;""""))),K1711))"),"")</f>
        <v/>
      </c>
      <c r="S1711" s="266" t="str">
        <f>IFERROR(__xludf.DUMMYFUNCTION("IF(ISBLANK(A1711),"""",IFERROR(IF(OR(Q1711=""GPB"",Q1711=""ZAR""),IF(Q1711=Dashboard!$L$1,M1711,(M1711*GOOGLEFINANCE(""CURRENCY:""&amp;Q1711&amp;""""&amp;Dashboard!$L$1&amp;""""))/100),IF(Q1711=Dashboard!$L$1,M1711,M1711*GOOGLEFINANCE(""CURRENCY:""&amp;Q1711&amp;""""&amp;Dashboard!$"&amp;"L$1&amp;""""))),M1711))"),"")</f>
        <v/>
      </c>
      <c r="T1711" s="264" t="str">
        <f t="shared" si="4"/>
        <v/>
      </c>
      <c r="U1711" s="264" t="str">
        <f t="shared" si="5"/>
        <v/>
      </c>
      <c r="V1711" s="264" t="str">
        <f t="shared" si="6"/>
        <v/>
      </c>
      <c r="W1711" s="267" t="str">
        <f t="shared" si="8"/>
        <v/>
      </c>
      <c r="X1711" s="264" t="str">
        <f t="shared" si="7"/>
        <v/>
      </c>
    </row>
    <row r="1712" ht="15.75" customHeight="1">
      <c r="A1712" s="258"/>
      <c r="B1712" s="258"/>
      <c r="C1712" s="269"/>
      <c r="D1712" s="258"/>
      <c r="E1712" s="258"/>
      <c r="F1712" s="258"/>
      <c r="G1712" s="258"/>
      <c r="H1712" s="271"/>
      <c r="I1712" s="258"/>
      <c r="J1712" s="272"/>
      <c r="K1712" s="260"/>
      <c r="L1712" s="261"/>
      <c r="M1712" s="262" t="str">
        <f t="shared" si="1"/>
        <v/>
      </c>
      <c r="N1712" s="263" t="str">
        <f t="shared" si="2"/>
        <v/>
      </c>
      <c r="O1712" s="264" t="str">
        <f t="shared" si="3"/>
        <v/>
      </c>
      <c r="P1712" s="265" t="str">
        <f>IFERROR(__xludf.DUMMYFUNCTION("IF(ISBLANK(A1712),"""",IFERROR(IF(H1712=""Sell"",VLOOKUP(9^99,FILTER({ROW(P$2:P1711),P$2:P1711},D$2:D1711=D1712),2),(VLOOKUP(9^99,FILTER({ROW(P$2:P1711),P$2:P1711},D$2:D1711=D1712),2)*VLOOKUP(9^99,FILTER({ROW(O$2:O1711),O$2:O1711},D$2:D1711=D1712),2)-N171"&amp;"2)/O1712),J1712))"),"")</f>
        <v/>
      </c>
      <c r="Q1712" s="264" t="str">
        <f>IFERROR(__xludf.DUMMYFUNCTION("IFERROR(IF(F1712=""Crypto"",B1712,(IF(ISBLANK(D1712),"""",IF(D1712=""Cash"",B1712,IF(GOOGLEFINANCE(D1712,""CURRENCY"")=""GBX"",""GBP"",GOOGLEFINANCE(D1712,""CURRENCY"")))))),B1712)"),"")</f>
        <v/>
      </c>
      <c r="R1712" s="263" t="str">
        <f>IFERROR(__xludf.DUMMYFUNCTION("IF(ISBLANK(A1712),"""",IFERROR(IF(OR(Q1712=""GPB"",Q1712=""ZAR""),IF(Q1712=Dashboard!$L$1,K1712,(K1712*GOOGLEFINANCE(""CURRENCY:""&amp;Q1712&amp;""""&amp;Dashboard!$L$1&amp;""""))/100),IF(Q1712=Dashboard!$L$1,K1712,K1712*GOOGLEFINANCE(""CURRENCY:""&amp;Q1712&amp;""""&amp;Dashboard!$"&amp;"L$1&amp;""""))),K1712))"),"")</f>
        <v/>
      </c>
      <c r="S1712" s="266" t="str">
        <f>IFERROR(__xludf.DUMMYFUNCTION("IF(ISBLANK(A1712),"""",IFERROR(IF(OR(Q1712=""GPB"",Q1712=""ZAR""),IF(Q1712=Dashboard!$L$1,M1712,(M1712*GOOGLEFINANCE(""CURRENCY:""&amp;Q1712&amp;""""&amp;Dashboard!$L$1&amp;""""))/100),IF(Q1712=Dashboard!$L$1,M1712,M1712*GOOGLEFINANCE(""CURRENCY:""&amp;Q1712&amp;""""&amp;Dashboard!$"&amp;"L$1&amp;""""))),M1712))"),"")</f>
        <v/>
      </c>
      <c r="T1712" s="264" t="str">
        <f t="shared" si="4"/>
        <v/>
      </c>
      <c r="U1712" s="264" t="str">
        <f t="shared" si="5"/>
        <v/>
      </c>
      <c r="V1712" s="264" t="str">
        <f t="shared" si="6"/>
        <v/>
      </c>
      <c r="W1712" s="267" t="str">
        <f t="shared" si="8"/>
        <v/>
      </c>
      <c r="X1712" s="264" t="str">
        <f t="shared" si="7"/>
        <v/>
      </c>
    </row>
    <row r="1713" ht="15.75" customHeight="1">
      <c r="A1713" s="258"/>
      <c r="B1713" s="258"/>
      <c r="C1713" s="269"/>
      <c r="D1713" s="258"/>
      <c r="E1713" s="258"/>
      <c r="F1713" s="258"/>
      <c r="G1713" s="258"/>
      <c r="H1713" s="271"/>
      <c r="I1713" s="258"/>
      <c r="J1713" s="272"/>
      <c r="K1713" s="260"/>
      <c r="L1713" s="261"/>
      <c r="M1713" s="262" t="str">
        <f t="shared" si="1"/>
        <v/>
      </c>
      <c r="N1713" s="263" t="str">
        <f t="shared" si="2"/>
        <v/>
      </c>
      <c r="O1713" s="264" t="str">
        <f t="shared" si="3"/>
        <v/>
      </c>
      <c r="P1713" s="265" t="str">
        <f>IFERROR(__xludf.DUMMYFUNCTION("IF(ISBLANK(A1713),"""",IFERROR(IF(H1713=""Sell"",VLOOKUP(9^99,FILTER({ROW(P$2:P1712),P$2:P1712},D$2:D1712=D1713),2),(VLOOKUP(9^99,FILTER({ROW(P$2:P1712),P$2:P1712},D$2:D1712=D1713),2)*VLOOKUP(9^99,FILTER({ROW(O$2:O1712),O$2:O1712},D$2:D1712=D1713),2)-N171"&amp;"3)/O1713),J1713))"),"")</f>
        <v/>
      </c>
      <c r="Q1713" s="264" t="str">
        <f>IFERROR(__xludf.DUMMYFUNCTION("IFERROR(IF(F1713=""Crypto"",B1713,(IF(ISBLANK(D1713),"""",IF(D1713=""Cash"",B1713,IF(GOOGLEFINANCE(D1713,""CURRENCY"")=""GBX"",""GBP"",GOOGLEFINANCE(D1713,""CURRENCY"")))))),B1713)"),"")</f>
        <v/>
      </c>
      <c r="R1713" s="263" t="str">
        <f>IFERROR(__xludf.DUMMYFUNCTION("IF(ISBLANK(A1713),"""",IFERROR(IF(OR(Q1713=""GPB"",Q1713=""ZAR""),IF(Q1713=Dashboard!$L$1,K1713,(K1713*GOOGLEFINANCE(""CURRENCY:""&amp;Q1713&amp;""""&amp;Dashboard!$L$1&amp;""""))/100),IF(Q1713=Dashboard!$L$1,K1713,K1713*GOOGLEFINANCE(""CURRENCY:""&amp;Q1713&amp;""""&amp;Dashboard!$"&amp;"L$1&amp;""""))),K1713))"),"")</f>
        <v/>
      </c>
      <c r="S1713" s="266" t="str">
        <f>IFERROR(__xludf.DUMMYFUNCTION("IF(ISBLANK(A1713),"""",IFERROR(IF(OR(Q1713=""GPB"",Q1713=""ZAR""),IF(Q1713=Dashboard!$L$1,M1713,(M1713*GOOGLEFINANCE(""CURRENCY:""&amp;Q1713&amp;""""&amp;Dashboard!$L$1&amp;""""))/100),IF(Q1713=Dashboard!$L$1,M1713,M1713*GOOGLEFINANCE(""CURRENCY:""&amp;Q1713&amp;""""&amp;Dashboard!$"&amp;"L$1&amp;""""))),M1713))"),"")</f>
        <v/>
      </c>
      <c r="T1713" s="264" t="str">
        <f t="shared" si="4"/>
        <v/>
      </c>
      <c r="U1713" s="264" t="str">
        <f t="shared" si="5"/>
        <v/>
      </c>
      <c r="V1713" s="264" t="str">
        <f t="shared" si="6"/>
        <v/>
      </c>
      <c r="W1713" s="267" t="str">
        <f t="shared" si="8"/>
        <v/>
      </c>
      <c r="X1713" s="264" t="str">
        <f t="shared" si="7"/>
        <v/>
      </c>
    </row>
    <row r="1714" ht="15.75" customHeight="1">
      <c r="A1714" s="258"/>
      <c r="B1714" s="258"/>
      <c r="C1714" s="269"/>
      <c r="D1714" s="258"/>
      <c r="E1714" s="258"/>
      <c r="F1714" s="258"/>
      <c r="G1714" s="258"/>
      <c r="H1714" s="271"/>
      <c r="I1714" s="258"/>
      <c r="J1714" s="272"/>
      <c r="K1714" s="260"/>
      <c r="L1714" s="261"/>
      <c r="M1714" s="262" t="str">
        <f t="shared" si="1"/>
        <v/>
      </c>
      <c r="N1714" s="263" t="str">
        <f t="shared" si="2"/>
        <v/>
      </c>
      <c r="O1714" s="264" t="str">
        <f t="shared" si="3"/>
        <v/>
      </c>
      <c r="P1714" s="265" t="str">
        <f>IFERROR(__xludf.DUMMYFUNCTION("IF(ISBLANK(A1714),"""",IFERROR(IF(H1714=""Sell"",VLOOKUP(9^99,FILTER({ROW(P$2:P1713),P$2:P1713},D$2:D1713=D1714),2),(VLOOKUP(9^99,FILTER({ROW(P$2:P1713),P$2:P1713},D$2:D1713=D1714),2)*VLOOKUP(9^99,FILTER({ROW(O$2:O1713),O$2:O1713},D$2:D1713=D1714),2)-N171"&amp;"4)/O1714),J1714))"),"")</f>
        <v/>
      </c>
      <c r="Q1714" s="264" t="str">
        <f>IFERROR(__xludf.DUMMYFUNCTION("IFERROR(IF(F1714=""Crypto"",B1714,(IF(ISBLANK(D1714),"""",IF(D1714=""Cash"",B1714,IF(GOOGLEFINANCE(D1714,""CURRENCY"")=""GBX"",""GBP"",GOOGLEFINANCE(D1714,""CURRENCY"")))))),B1714)"),"")</f>
        <v/>
      </c>
      <c r="R1714" s="263" t="str">
        <f>IFERROR(__xludf.DUMMYFUNCTION("IF(ISBLANK(A1714),"""",IFERROR(IF(OR(Q1714=""GPB"",Q1714=""ZAR""),IF(Q1714=Dashboard!$L$1,K1714,(K1714*GOOGLEFINANCE(""CURRENCY:""&amp;Q1714&amp;""""&amp;Dashboard!$L$1&amp;""""))/100),IF(Q1714=Dashboard!$L$1,K1714,K1714*GOOGLEFINANCE(""CURRENCY:""&amp;Q1714&amp;""""&amp;Dashboard!$"&amp;"L$1&amp;""""))),K1714))"),"")</f>
        <v/>
      </c>
      <c r="S1714" s="266" t="str">
        <f>IFERROR(__xludf.DUMMYFUNCTION("IF(ISBLANK(A1714),"""",IFERROR(IF(OR(Q1714=""GPB"",Q1714=""ZAR""),IF(Q1714=Dashboard!$L$1,M1714,(M1714*GOOGLEFINANCE(""CURRENCY:""&amp;Q1714&amp;""""&amp;Dashboard!$L$1&amp;""""))/100),IF(Q1714=Dashboard!$L$1,M1714,M1714*GOOGLEFINANCE(""CURRENCY:""&amp;Q1714&amp;""""&amp;Dashboard!$"&amp;"L$1&amp;""""))),M1714))"),"")</f>
        <v/>
      </c>
      <c r="T1714" s="264" t="str">
        <f t="shared" si="4"/>
        <v/>
      </c>
      <c r="U1714" s="264" t="str">
        <f t="shared" si="5"/>
        <v/>
      </c>
      <c r="V1714" s="264" t="str">
        <f t="shared" si="6"/>
        <v/>
      </c>
      <c r="W1714" s="267" t="str">
        <f t="shared" si="8"/>
        <v/>
      </c>
      <c r="X1714" s="264" t="str">
        <f t="shared" si="7"/>
        <v/>
      </c>
    </row>
    <row r="1715" ht="15.75" customHeight="1">
      <c r="A1715" s="258"/>
      <c r="B1715" s="258"/>
      <c r="C1715" s="269"/>
      <c r="D1715" s="258"/>
      <c r="E1715" s="258"/>
      <c r="F1715" s="258"/>
      <c r="G1715" s="258"/>
      <c r="H1715" s="271"/>
      <c r="I1715" s="258"/>
      <c r="J1715" s="272"/>
      <c r="K1715" s="260"/>
      <c r="L1715" s="261"/>
      <c r="M1715" s="262" t="str">
        <f t="shared" si="1"/>
        <v/>
      </c>
      <c r="N1715" s="263" t="str">
        <f t="shared" si="2"/>
        <v/>
      </c>
      <c r="O1715" s="264" t="str">
        <f t="shared" si="3"/>
        <v/>
      </c>
      <c r="P1715" s="265" t="str">
        <f>IFERROR(__xludf.DUMMYFUNCTION("IF(ISBLANK(A1715),"""",IFERROR(IF(H1715=""Sell"",VLOOKUP(9^99,FILTER({ROW(P$2:P1714),P$2:P1714},D$2:D1714=D1715),2),(VLOOKUP(9^99,FILTER({ROW(P$2:P1714),P$2:P1714},D$2:D1714=D1715),2)*VLOOKUP(9^99,FILTER({ROW(O$2:O1714),O$2:O1714},D$2:D1714=D1715),2)-N171"&amp;"5)/O1715),J1715))"),"")</f>
        <v/>
      </c>
      <c r="Q1715" s="264" t="str">
        <f>IFERROR(__xludf.DUMMYFUNCTION("IFERROR(IF(F1715=""Crypto"",B1715,(IF(ISBLANK(D1715),"""",IF(D1715=""Cash"",B1715,IF(GOOGLEFINANCE(D1715,""CURRENCY"")=""GBX"",""GBP"",GOOGLEFINANCE(D1715,""CURRENCY"")))))),B1715)"),"")</f>
        <v/>
      </c>
      <c r="R1715" s="263" t="str">
        <f>IFERROR(__xludf.DUMMYFUNCTION("IF(ISBLANK(A1715),"""",IFERROR(IF(OR(Q1715=""GPB"",Q1715=""ZAR""),IF(Q1715=Dashboard!$L$1,K1715,(K1715*GOOGLEFINANCE(""CURRENCY:""&amp;Q1715&amp;""""&amp;Dashboard!$L$1&amp;""""))/100),IF(Q1715=Dashboard!$L$1,K1715,K1715*GOOGLEFINANCE(""CURRENCY:""&amp;Q1715&amp;""""&amp;Dashboard!$"&amp;"L$1&amp;""""))),K1715))"),"")</f>
        <v/>
      </c>
      <c r="S1715" s="266" t="str">
        <f>IFERROR(__xludf.DUMMYFUNCTION("IF(ISBLANK(A1715),"""",IFERROR(IF(OR(Q1715=""GPB"",Q1715=""ZAR""),IF(Q1715=Dashboard!$L$1,M1715,(M1715*GOOGLEFINANCE(""CURRENCY:""&amp;Q1715&amp;""""&amp;Dashboard!$L$1&amp;""""))/100),IF(Q1715=Dashboard!$L$1,M1715,M1715*GOOGLEFINANCE(""CURRENCY:""&amp;Q1715&amp;""""&amp;Dashboard!$"&amp;"L$1&amp;""""))),M1715))"),"")</f>
        <v/>
      </c>
      <c r="T1715" s="264" t="str">
        <f t="shared" si="4"/>
        <v/>
      </c>
      <c r="U1715" s="264" t="str">
        <f t="shared" si="5"/>
        <v/>
      </c>
      <c r="V1715" s="264" t="str">
        <f t="shared" si="6"/>
        <v/>
      </c>
      <c r="W1715" s="267" t="str">
        <f t="shared" si="8"/>
        <v/>
      </c>
      <c r="X1715" s="264" t="str">
        <f t="shared" si="7"/>
        <v/>
      </c>
    </row>
    <row r="1716" ht="15.75" customHeight="1">
      <c r="A1716" s="258"/>
      <c r="B1716" s="258"/>
      <c r="C1716" s="269"/>
      <c r="D1716" s="258"/>
      <c r="E1716" s="258"/>
      <c r="F1716" s="258"/>
      <c r="G1716" s="258"/>
      <c r="H1716" s="271"/>
      <c r="I1716" s="258"/>
      <c r="J1716" s="272"/>
      <c r="K1716" s="260"/>
      <c r="L1716" s="261"/>
      <c r="M1716" s="262" t="str">
        <f t="shared" si="1"/>
        <v/>
      </c>
      <c r="N1716" s="263" t="str">
        <f t="shared" si="2"/>
        <v/>
      </c>
      <c r="O1716" s="264" t="str">
        <f t="shared" si="3"/>
        <v/>
      </c>
      <c r="P1716" s="265" t="str">
        <f>IFERROR(__xludf.DUMMYFUNCTION("IF(ISBLANK(A1716),"""",IFERROR(IF(H1716=""Sell"",VLOOKUP(9^99,FILTER({ROW(P$2:P1715),P$2:P1715},D$2:D1715=D1716),2),(VLOOKUP(9^99,FILTER({ROW(P$2:P1715),P$2:P1715},D$2:D1715=D1716),2)*VLOOKUP(9^99,FILTER({ROW(O$2:O1715),O$2:O1715},D$2:D1715=D1716),2)-N171"&amp;"6)/O1716),J1716))"),"")</f>
        <v/>
      </c>
      <c r="Q1716" s="264" t="str">
        <f>IFERROR(__xludf.DUMMYFUNCTION("IFERROR(IF(F1716=""Crypto"",B1716,(IF(ISBLANK(D1716),"""",IF(D1716=""Cash"",B1716,IF(GOOGLEFINANCE(D1716,""CURRENCY"")=""GBX"",""GBP"",GOOGLEFINANCE(D1716,""CURRENCY"")))))),B1716)"),"")</f>
        <v/>
      </c>
      <c r="R1716" s="263" t="str">
        <f>IFERROR(__xludf.DUMMYFUNCTION("IF(ISBLANK(A1716),"""",IFERROR(IF(OR(Q1716=""GPB"",Q1716=""ZAR""),IF(Q1716=Dashboard!$L$1,K1716,(K1716*GOOGLEFINANCE(""CURRENCY:""&amp;Q1716&amp;""""&amp;Dashboard!$L$1&amp;""""))/100),IF(Q1716=Dashboard!$L$1,K1716,K1716*GOOGLEFINANCE(""CURRENCY:""&amp;Q1716&amp;""""&amp;Dashboard!$"&amp;"L$1&amp;""""))),K1716))"),"")</f>
        <v/>
      </c>
      <c r="S1716" s="266" t="str">
        <f>IFERROR(__xludf.DUMMYFUNCTION("IF(ISBLANK(A1716),"""",IFERROR(IF(OR(Q1716=""GPB"",Q1716=""ZAR""),IF(Q1716=Dashboard!$L$1,M1716,(M1716*GOOGLEFINANCE(""CURRENCY:""&amp;Q1716&amp;""""&amp;Dashboard!$L$1&amp;""""))/100),IF(Q1716=Dashboard!$L$1,M1716,M1716*GOOGLEFINANCE(""CURRENCY:""&amp;Q1716&amp;""""&amp;Dashboard!$"&amp;"L$1&amp;""""))),M1716))"),"")</f>
        <v/>
      </c>
      <c r="T1716" s="264" t="str">
        <f t="shared" si="4"/>
        <v/>
      </c>
      <c r="U1716" s="264" t="str">
        <f t="shared" si="5"/>
        <v/>
      </c>
      <c r="V1716" s="264" t="str">
        <f t="shared" si="6"/>
        <v/>
      </c>
      <c r="W1716" s="267" t="str">
        <f t="shared" si="8"/>
        <v/>
      </c>
      <c r="X1716" s="264" t="str">
        <f t="shared" si="7"/>
        <v/>
      </c>
    </row>
    <row r="1717" ht="15.75" customHeight="1">
      <c r="A1717" s="258"/>
      <c r="B1717" s="258"/>
      <c r="C1717" s="269"/>
      <c r="D1717" s="258"/>
      <c r="E1717" s="258"/>
      <c r="F1717" s="258"/>
      <c r="G1717" s="258"/>
      <c r="H1717" s="271"/>
      <c r="I1717" s="258"/>
      <c r="J1717" s="272"/>
      <c r="K1717" s="260"/>
      <c r="L1717" s="261"/>
      <c r="M1717" s="262" t="str">
        <f t="shared" si="1"/>
        <v/>
      </c>
      <c r="N1717" s="263" t="str">
        <f t="shared" si="2"/>
        <v/>
      </c>
      <c r="O1717" s="264" t="str">
        <f t="shared" si="3"/>
        <v/>
      </c>
      <c r="P1717" s="265" t="str">
        <f>IFERROR(__xludf.DUMMYFUNCTION("IF(ISBLANK(A1717),"""",IFERROR(IF(H1717=""Sell"",VLOOKUP(9^99,FILTER({ROW(P$2:P1716),P$2:P1716},D$2:D1716=D1717),2),(VLOOKUP(9^99,FILTER({ROW(P$2:P1716),P$2:P1716},D$2:D1716=D1717),2)*VLOOKUP(9^99,FILTER({ROW(O$2:O1716),O$2:O1716},D$2:D1716=D1717),2)-N171"&amp;"7)/O1717),J1717))"),"")</f>
        <v/>
      </c>
      <c r="Q1717" s="264" t="str">
        <f>IFERROR(__xludf.DUMMYFUNCTION("IFERROR(IF(F1717=""Crypto"",B1717,(IF(ISBLANK(D1717),"""",IF(D1717=""Cash"",B1717,IF(GOOGLEFINANCE(D1717,""CURRENCY"")=""GBX"",""GBP"",GOOGLEFINANCE(D1717,""CURRENCY"")))))),B1717)"),"")</f>
        <v/>
      </c>
      <c r="R1717" s="263" t="str">
        <f>IFERROR(__xludf.DUMMYFUNCTION("IF(ISBLANK(A1717),"""",IFERROR(IF(OR(Q1717=""GPB"",Q1717=""ZAR""),IF(Q1717=Dashboard!$L$1,K1717,(K1717*GOOGLEFINANCE(""CURRENCY:""&amp;Q1717&amp;""""&amp;Dashboard!$L$1&amp;""""))/100),IF(Q1717=Dashboard!$L$1,K1717,K1717*GOOGLEFINANCE(""CURRENCY:""&amp;Q1717&amp;""""&amp;Dashboard!$"&amp;"L$1&amp;""""))),K1717))"),"")</f>
        <v/>
      </c>
      <c r="S1717" s="266" t="str">
        <f>IFERROR(__xludf.DUMMYFUNCTION("IF(ISBLANK(A1717),"""",IFERROR(IF(OR(Q1717=""GPB"",Q1717=""ZAR""),IF(Q1717=Dashboard!$L$1,M1717,(M1717*GOOGLEFINANCE(""CURRENCY:""&amp;Q1717&amp;""""&amp;Dashboard!$L$1&amp;""""))/100),IF(Q1717=Dashboard!$L$1,M1717,M1717*GOOGLEFINANCE(""CURRENCY:""&amp;Q1717&amp;""""&amp;Dashboard!$"&amp;"L$1&amp;""""))),M1717))"),"")</f>
        <v/>
      </c>
      <c r="T1717" s="264" t="str">
        <f t="shared" si="4"/>
        <v/>
      </c>
      <c r="U1717" s="264" t="str">
        <f t="shared" si="5"/>
        <v/>
      </c>
      <c r="V1717" s="264" t="str">
        <f t="shared" si="6"/>
        <v/>
      </c>
      <c r="W1717" s="267" t="str">
        <f t="shared" si="8"/>
        <v/>
      </c>
      <c r="X1717" s="264" t="str">
        <f t="shared" si="7"/>
        <v/>
      </c>
    </row>
    <row r="1718" ht="15.75" customHeight="1">
      <c r="A1718" s="258"/>
      <c r="B1718" s="258"/>
      <c r="C1718" s="269"/>
      <c r="D1718" s="258"/>
      <c r="E1718" s="258"/>
      <c r="F1718" s="258"/>
      <c r="G1718" s="258"/>
      <c r="H1718" s="271"/>
      <c r="I1718" s="258"/>
      <c r="J1718" s="272"/>
      <c r="K1718" s="260"/>
      <c r="L1718" s="261"/>
      <c r="M1718" s="262" t="str">
        <f t="shared" si="1"/>
        <v/>
      </c>
      <c r="N1718" s="263" t="str">
        <f t="shared" si="2"/>
        <v/>
      </c>
      <c r="O1718" s="264" t="str">
        <f t="shared" si="3"/>
        <v/>
      </c>
      <c r="P1718" s="265" t="str">
        <f>IFERROR(__xludf.DUMMYFUNCTION("IF(ISBLANK(A1718),"""",IFERROR(IF(H1718=""Sell"",VLOOKUP(9^99,FILTER({ROW(P$2:P1717),P$2:P1717},D$2:D1717=D1718),2),(VLOOKUP(9^99,FILTER({ROW(P$2:P1717),P$2:P1717},D$2:D1717=D1718),2)*VLOOKUP(9^99,FILTER({ROW(O$2:O1717),O$2:O1717},D$2:D1717=D1718),2)-N171"&amp;"8)/O1718),J1718))"),"")</f>
        <v/>
      </c>
      <c r="Q1718" s="264" t="str">
        <f>IFERROR(__xludf.DUMMYFUNCTION("IFERROR(IF(F1718=""Crypto"",B1718,(IF(ISBLANK(D1718),"""",IF(D1718=""Cash"",B1718,IF(GOOGLEFINANCE(D1718,""CURRENCY"")=""GBX"",""GBP"",GOOGLEFINANCE(D1718,""CURRENCY"")))))),B1718)"),"")</f>
        <v/>
      </c>
      <c r="R1718" s="263" t="str">
        <f>IFERROR(__xludf.DUMMYFUNCTION("IF(ISBLANK(A1718),"""",IFERROR(IF(OR(Q1718=""GPB"",Q1718=""ZAR""),IF(Q1718=Dashboard!$L$1,K1718,(K1718*GOOGLEFINANCE(""CURRENCY:""&amp;Q1718&amp;""""&amp;Dashboard!$L$1&amp;""""))/100),IF(Q1718=Dashboard!$L$1,K1718,K1718*GOOGLEFINANCE(""CURRENCY:""&amp;Q1718&amp;""""&amp;Dashboard!$"&amp;"L$1&amp;""""))),K1718))"),"")</f>
        <v/>
      </c>
      <c r="S1718" s="266" t="str">
        <f>IFERROR(__xludf.DUMMYFUNCTION("IF(ISBLANK(A1718),"""",IFERROR(IF(OR(Q1718=""GPB"",Q1718=""ZAR""),IF(Q1718=Dashboard!$L$1,M1718,(M1718*GOOGLEFINANCE(""CURRENCY:""&amp;Q1718&amp;""""&amp;Dashboard!$L$1&amp;""""))/100),IF(Q1718=Dashboard!$L$1,M1718,M1718*GOOGLEFINANCE(""CURRENCY:""&amp;Q1718&amp;""""&amp;Dashboard!$"&amp;"L$1&amp;""""))),M1718))"),"")</f>
        <v/>
      </c>
      <c r="T1718" s="264" t="str">
        <f t="shared" si="4"/>
        <v/>
      </c>
      <c r="U1718" s="264" t="str">
        <f t="shared" si="5"/>
        <v/>
      </c>
      <c r="V1718" s="264" t="str">
        <f t="shared" si="6"/>
        <v/>
      </c>
      <c r="W1718" s="267" t="str">
        <f t="shared" si="8"/>
        <v/>
      </c>
      <c r="X1718" s="264" t="str">
        <f t="shared" si="7"/>
        <v/>
      </c>
    </row>
    <row r="1719" ht="15.75" customHeight="1">
      <c r="A1719" s="258"/>
      <c r="B1719" s="258"/>
      <c r="C1719" s="269"/>
      <c r="D1719" s="258"/>
      <c r="E1719" s="258"/>
      <c r="F1719" s="258"/>
      <c r="G1719" s="258"/>
      <c r="H1719" s="271"/>
      <c r="I1719" s="258"/>
      <c r="J1719" s="272"/>
      <c r="K1719" s="260"/>
      <c r="L1719" s="261"/>
      <c r="M1719" s="262" t="str">
        <f t="shared" si="1"/>
        <v/>
      </c>
      <c r="N1719" s="263" t="str">
        <f t="shared" si="2"/>
        <v/>
      </c>
      <c r="O1719" s="264" t="str">
        <f t="shared" si="3"/>
        <v/>
      </c>
      <c r="P1719" s="265" t="str">
        <f>IFERROR(__xludf.DUMMYFUNCTION("IF(ISBLANK(A1719),"""",IFERROR(IF(H1719=""Sell"",VLOOKUP(9^99,FILTER({ROW(P$2:P1718),P$2:P1718},D$2:D1718=D1719),2),(VLOOKUP(9^99,FILTER({ROW(P$2:P1718),P$2:P1718},D$2:D1718=D1719),2)*VLOOKUP(9^99,FILTER({ROW(O$2:O1718),O$2:O1718},D$2:D1718=D1719),2)-N171"&amp;"9)/O1719),J1719))"),"")</f>
        <v/>
      </c>
      <c r="Q1719" s="264" t="str">
        <f>IFERROR(__xludf.DUMMYFUNCTION("IFERROR(IF(F1719=""Crypto"",B1719,(IF(ISBLANK(D1719),"""",IF(D1719=""Cash"",B1719,IF(GOOGLEFINANCE(D1719,""CURRENCY"")=""GBX"",""GBP"",GOOGLEFINANCE(D1719,""CURRENCY"")))))),B1719)"),"")</f>
        <v/>
      </c>
      <c r="R1719" s="263" t="str">
        <f>IFERROR(__xludf.DUMMYFUNCTION("IF(ISBLANK(A1719),"""",IFERROR(IF(OR(Q1719=""GPB"",Q1719=""ZAR""),IF(Q1719=Dashboard!$L$1,K1719,(K1719*GOOGLEFINANCE(""CURRENCY:""&amp;Q1719&amp;""""&amp;Dashboard!$L$1&amp;""""))/100),IF(Q1719=Dashboard!$L$1,K1719,K1719*GOOGLEFINANCE(""CURRENCY:""&amp;Q1719&amp;""""&amp;Dashboard!$"&amp;"L$1&amp;""""))),K1719))"),"")</f>
        <v/>
      </c>
      <c r="S1719" s="266" t="str">
        <f>IFERROR(__xludf.DUMMYFUNCTION("IF(ISBLANK(A1719),"""",IFERROR(IF(OR(Q1719=""GPB"",Q1719=""ZAR""),IF(Q1719=Dashboard!$L$1,M1719,(M1719*GOOGLEFINANCE(""CURRENCY:""&amp;Q1719&amp;""""&amp;Dashboard!$L$1&amp;""""))/100),IF(Q1719=Dashboard!$L$1,M1719,M1719*GOOGLEFINANCE(""CURRENCY:""&amp;Q1719&amp;""""&amp;Dashboard!$"&amp;"L$1&amp;""""))),M1719))"),"")</f>
        <v/>
      </c>
      <c r="T1719" s="264" t="str">
        <f t="shared" si="4"/>
        <v/>
      </c>
      <c r="U1719" s="264" t="str">
        <f t="shared" si="5"/>
        <v/>
      </c>
      <c r="V1719" s="264" t="str">
        <f t="shared" si="6"/>
        <v/>
      </c>
      <c r="W1719" s="267" t="str">
        <f t="shared" si="8"/>
        <v/>
      </c>
      <c r="X1719" s="264" t="str">
        <f t="shared" si="7"/>
        <v/>
      </c>
    </row>
    <row r="1720" ht="15.75" customHeight="1">
      <c r="A1720" s="258"/>
      <c r="B1720" s="258"/>
      <c r="C1720" s="269"/>
      <c r="D1720" s="258"/>
      <c r="E1720" s="258"/>
      <c r="F1720" s="258"/>
      <c r="G1720" s="258"/>
      <c r="H1720" s="271"/>
      <c r="I1720" s="258"/>
      <c r="J1720" s="272"/>
      <c r="K1720" s="260"/>
      <c r="L1720" s="261"/>
      <c r="M1720" s="262" t="str">
        <f t="shared" si="1"/>
        <v/>
      </c>
      <c r="N1720" s="263" t="str">
        <f t="shared" si="2"/>
        <v/>
      </c>
      <c r="O1720" s="264" t="str">
        <f t="shared" si="3"/>
        <v/>
      </c>
      <c r="P1720" s="265" t="str">
        <f>IFERROR(__xludf.DUMMYFUNCTION("IF(ISBLANK(A1720),"""",IFERROR(IF(H1720=""Sell"",VLOOKUP(9^99,FILTER({ROW(P$2:P1719),P$2:P1719},D$2:D1719=D1720),2),(VLOOKUP(9^99,FILTER({ROW(P$2:P1719),P$2:P1719},D$2:D1719=D1720),2)*VLOOKUP(9^99,FILTER({ROW(O$2:O1719),O$2:O1719},D$2:D1719=D1720),2)-N172"&amp;"0)/O1720),J1720))"),"")</f>
        <v/>
      </c>
      <c r="Q1720" s="264" t="str">
        <f>IFERROR(__xludf.DUMMYFUNCTION("IFERROR(IF(F1720=""Crypto"",B1720,(IF(ISBLANK(D1720),"""",IF(D1720=""Cash"",B1720,IF(GOOGLEFINANCE(D1720,""CURRENCY"")=""GBX"",""GBP"",GOOGLEFINANCE(D1720,""CURRENCY"")))))),B1720)"),"")</f>
        <v/>
      </c>
      <c r="R1720" s="263" t="str">
        <f>IFERROR(__xludf.DUMMYFUNCTION("IF(ISBLANK(A1720),"""",IFERROR(IF(OR(Q1720=""GPB"",Q1720=""ZAR""),IF(Q1720=Dashboard!$L$1,K1720,(K1720*GOOGLEFINANCE(""CURRENCY:""&amp;Q1720&amp;""""&amp;Dashboard!$L$1&amp;""""))/100),IF(Q1720=Dashboard!$L$1,K1720,K1720*GOOGLEFINANCE(""CURRENCY:""&amp;Q1720&amp;""""&amp;Dashboard!$"&amp;"L$1&amp;""""))),K1720))"),"")</f>
        <v/>
      </c>
      <c r="S1720" s="266" t="str">
        <f>IFERROR(__xludf.DUMMYFUNCTION("IF(ISBLANK(A1720),"""",IFERROR(IF(OR(Q1720=""GPB"",Q1720=""ZAR""),IF(Q1720=Dashboard!$L$1,M1720,(M1720*GOOGLEFINANCE(""CURRENCY:""&amp;Q1720&amp;""""&amp;Dashboard!$L$1&amp;""""))/100),IF(Q1720=Dashboard!$L$1,M1720,M1720*GOOGLEFINANCE(""CURRENCY:""&amp;Q1720&amp;""""&amp;Dashboard!$"&amp;"L$1&amp;""""))),M1720))"),"")</f>
        <v/>
      </c>
      <c r="T1720" s="264" t="str">
        <f t="shared" si="4"/>
        <v/>
      </c>
      <c r="U1720" s="264" t="str">
        <f t="shared" si="5"/>
        <v/>
      </c>
      <c r="V1720" s="264" t="str">
        <f t="shared" si="6"/>
        <v/>
      </c>
      <c r="W1720" s="267" t="str">
        <f t="shared" si="8"/>
        <v/>
      </c>
      <c r="X1720" s="264" t="str">
        <f t="shared" si="7"/>
        <v/>
      </c>
    </row>
    <row r="1721" ht="15.75" customHeight="1">
      <c r="A1721" s="258"/>
      <c r="B1721" s="258"/>
      <c r="C1721" s="269"/>
      <c r="D1721" s="258"/>
      <c r="E1721" s="258"/>
      <c r="F1721" s="258"/>
      <c r="G1721" s="258"/>
      <c r="H1721" s="271"/>
      <c r="I1721" s="258"/>
      <c r="J1721" s="272"/>
      <c r="K1721" s="260"/>
      <c r="L1721" s="261"/>
      <c r="M1721" s="262" t="str">
        <f t="shared" si="1"/>
        <v/>
      </c>
      <c r="N1721" s="263" t="str">
        <f t="shared" si="2"/>
        <v/>
      </c>
      <c r="O1721" s="264" t="str">
        <f t="shared" si="3"/>
        <v/>
      </c>
      <c r="P1721" s="265" t="str">
        <f>IFERROR(__xludf.DUMMYFUNCTION("IF(ISBLANK(A1721),"""",IFERROR(IF(H1721=""Sell"",VLOOKUP(9^99,FILTER({ROW(P$2:P1720),P$2:P1720},D$2:D1720=D1721),2),(VLOOKUP(9^99,FILTER({ROW(P$2:P1720),P$2:P1720},D$2:D1720=D1721),2)*VLOOKUP(9^99,FILTER({ROW(O$2:O1720),O$2:O1720},D$2:D1720=D1721),2)-N172"&amp;"1)/O1721),J1721))"),"")</f>
        <v/>
      </c>
      <c r="Q1721" s="264" t="str">
        <f>IFERROR(__xludf.DUMMYFUNCTION("IFERROR(IF(F1721=""Crypto"",B1721,(IF(ISBLANK(D1721),"""",IF(D1721=""Cash"",B1721,IF(GOOGLEFINANCE(D1721,""CURRENCY"")=""GBX"",""GBP"",GOOGLEFINANCE(D1721,""CURRENCY"")))))),B1721)"),"")</f>
        <v/>
      </c>
      <c r="R1721" s="263" t="str">
        <f>IFERROR(__xludf.DUMMYFUNCTION("IF(ISBLANK(A1721),"""",IFERROR(IF(OR(Q1721=""GPB"",Q1721=""ZAR""),IF(Q1721=Dashboard!$L$1,K1721,(K1721*GOOGLEFINANCE(""CURRENCY:""&amp;Q1721&amp;""""&amp;Dashboard!$L$1&amp;""""))/100),IF(Q1721=Dashboard!$L$1,K1721,K1721*GOOGLEFINANCE(""CURRENCY:""&amp;Q1721&amp;""""&amp;Dashboard!$"&amp;"L$1&amp;""""))),K1721))"),"")</f>
        <v/>
      </c>
      <c r="S1721" s="266" t="str">
        <f>IFERROR(__xludf.DUMMYFUNCTION("IF(ISBLANK(A1721),"""",IFERROR(IF(OR(Q1721=""GPB"",Q1721=""ZAR""),IF(Q1721=Dashboard!$L$1,M1721,(M1721*GOOGLEFINANCE(""CURRENCY:""&amp;Q1721&amp;""""&amp;Dashboard!$L$1&amp;""""))/100),IF(Q1721=Dashboard!$L$1,M1721,M1721*GOOGLEFINANCE(""CURRENCY:""&amp;Q1721&amp;""""&amp;Dashboard!$"&amp;"L$1&amp;""""))),M1721))"),"")</f>
        <v/>
      </c>
      <c r="T1721" s="264" t="str">
        <f t="shared" si="4"/>
        <v/>
      </c>
      <c r="U1721" s="264" t="str">
        <f t="shared" si="5"/>
        <v/>
      </c>
      <c r="V1721" s="264" t="str">
        <f t="shared" si="6"/>
        <v/>
      </c>
      <c r="W1721" s="267" t="str">
        <f t="shared" si="8"/>
        <v/>
      </c>
      <c r="X1721" s="264" t="str">
        <f t="shared" si="7"/>
        <v/>
      </c>
    </row>
    <row r="1722" ht="15.75" customHeight="1">
      <c r="A1722" s="258"/>
      <c r="B1722" s="258"/>
      <c r="C1722" s="269"/>
      <c r="D1722" s="258"/>
      <c r="E1722" s="258"/>
      <c r="F1722" s="258"/>
      <c r="G1722" s="258"/>
      <c r="H1722" s="271"/>
      <c r="I1722" s="258"/>
      <c r="J1722" s="272"/>
      <c r="K1722" s="260"/>
      <c r="L1722" s="261"/>
      <c r="M1722" s="262" t="str">
        <f t="shared" si="1"/>
        <v/>
      </c>
      <c r="N1722" s="263" t="str">
        <f t="shared" si="2"/>
        <v/>
      </c>
      <c r="O1722" s="264" t="str">
        <f t="shared" si="3"/>
        <v/>
      </c>
      <c r="P1722" s="265" t="str">
        <f>IFERROR(__xludf.DUMMYFUNCTION("IF(ISBLANK(A1722),"""",IFERROR(IF(H1722=""Sell"",VLOOKUP(9^99,FILTER({ROW(P$2:P1721),P$2:P1721},D$2:D1721=D1722),2),(VLOOKUP(9^99,FILTER({ROW(P$2:P1721),P$2:P1721},D$2:D1721=D1722),2)*VLOOKUP(9^99,FILTER({ROW(O$2:O1721),O$2:O1721},D$2:D1721=D1722),2)-N172"&amp;"2)/O1722),J1722))"),"")</f>
        <v/>
      </c>
      <c r="Q1722" s="264" t="str">
        <f>IFERROR(__xludf.DUMMYFUNCTION("IFERROR(IF(F1722=""Crypto"",B1722,(IF(ISBLANK(D1722),"""",IF(D1722=""Cash"",B1722,IF(GOOGLEFINANCE(D1722,""CURRENCY"")=""GBX"",""GBP"",GOOGLEFINANCE(D1722,""CURRENCY"")))))),B1722)"),"")</f>
        <v/>
      </c>
      <c r="R1722" s="263" t="str">
        <f>IFERROR(__xludf.DUMMYFUNCTION("IF(ISBLANK(A1722),"""",IFERROR(IF(OR(Q1722=""GPB"",Q1722=""ZAR""),IF(Q1722=Dashboard!$L$1,K1722,(K1722*GOOGLEFINANCE(""CURRENCY:""&amp;Q1722&amp;""""&amp;Dashboard!$L$1&amp;""""))/100),IF(Q1722=Dashboard!$L$1,K1722,K1722*GOOGLEFINANCE(""CURRENCY:""&amp;Q1722&amp;""""&amp;Dashboard!$"&amp;"L$1&amp;""""))),K1722))"),"")</f>
        <v/>
      </c>
      <c r="S1722" s="266" t="str">
        <f>IFERROR(__xludf.DUMMYFUNCTION("IF(ISBLANK(A1722),"""",IFERROR(IF(OR(Q1722=""GPB"",Q1722=""ZAR""),IF(Q1722=Dashboard!$L$1,M1722,(M1722*GOOGLEFINANCE(""CURRENCY:""&amp;Q1722&amp;""""&amp;Dashboard!$L$1&amp;""""))/100),IF(Q1722=Dashboard!$L$1,M1722,M1722*GOOGLEFINANCE(""CURRENCY:""&amp;Q1722&amp;""""&amp;Dashboard!$"&amp;"L$1&amp;""""))),M1722))"),"")</f>
        <v/>
      </c>
      <c r="T1722" s="264" t="str">
        <f t="shared" si="4"/>
        <v/>
      </c>
      <c r="U1722" s="264" t="str">
        <f t="shared" si="5"/>
        <v/>
      </c>
      <c r="V1722" s="264" t="str">
        <f t="shared" si="6"/>
        <v/>
      </c>
      <c r="W1722" s="267" t="str">
        <f t="shared" si="8"/>
        <v/>
      </c>
      <c r="X1722" s="264" t="str">
        <f t="shared" si="7"/>
        <v/>
      </c>
    </row>
    <row r="1723" ht="15.75" customHeight="1">
      <c r="A1723" s="258"/>
      <c r="B1723" s="258"/>
      <c r="C1723" s="269"/>
      <c r="D1723" s="258"/>
      <c r="E1723" s="258"/>
      <c r="F1723" s="258"/>
      <c r="G1723" s="258"/>
      <c r="H1723" s="271"/>
      <c r="I1723" s="258"/>
      <c r="J1723" s="272"/>
      <c r="K1723" s="260"/>
      <c r="L1723" s="261"/>
      <c r="M1723" s="262" t="str">
        <f t="shared" si="1"/>
        <v/>
      </c>
      <c r="N1723" s="263" t="str">
        <f t="shared" si="2"/>
        <v/>
      </c>
      <c r="O1723" s="264" t="str">
        <f t="shared" si="3"/>
        <v/>
      </c>
      <c r="P1723" s="265" t="str">
        <f>IFERROR(__xludf.DUMMYFUNCTION("IF(ISBLANK(A1723),"""",IFERROR(IF(H1723=""Sell"",VLOOKUP(9^99,FILTER({ROW(P$2:P1722),P$2:P1722},D$2:D1722=D1723),2),(VLOOKUP(9^99,FILTER({ROW(P$2:P1722),P$2:P1722},D$2:D1722=D1723),2)*VLOOKUP(9^99,FILTER({ROW(O$2:O1722),O$2:O1722},D$2:D1722=D1723),2)-N172"&amp;"3)/O1723),J1723))"),"")</f>
        <v/>
      </c>
      <c r="Q1723" s="264" t="str">
        <f>IFERROR(__xludf.DUMMYFUNCTION("IFERROR(IF(F1723=""Crypto"",B1723,(IF(ISBLANK(D1723),"""",IF(D1723=""Cash"",B1723,IF(GOOGLEFINANCE(D1723,""CURRENCY"")=""GBX"",""GBP"",GOOGLEFINANCE(D1723,""CURRENCY"")))))),B1723)"),"")</f>
        <v/>
      </c>
      <c r="R1723" s="263" t="str">
        <f>IFERROR(__xludf.DUMMYFUNCTION("IF(ISBLANK(A1723),"""",IFERROR(IF(OR(Q1723=""GPB"",Q1723=""ZAR""),IF(Q1723=Dashboard!$L$1,K1723,(K1723*GOOGLEFINANCE(""CURRENCY:""&amp;Q1723&amp;""""&amp;Dashboard!$L$1&amp;""""))/100),IF(Q1723=Dashboard!$L$1,K1723,K1723*GOOGLEFINANCE(""CURRENCY:""&amp;Q1723&amp;""""&amp;Dashboard!$"&amp;"L$1&amp;""""))),K1723))"),"")</f>
        <v/>
      </c>
      <c r="S1723" s="266" t="str">
        <f>IFERROR(__xludf.DUMMYFUNCTION("IF(ISBLANK(A1723),"""",IFERROR(IF(OR(Q1723=""GPB"",Q1723=""ZAR""),IF(Q1723=Dashboard!$L$1,M1723,(M1723*GOOGLEFINANCE(""CURRENCY:""&amp;Q1723&amp;""""&amp;Dashboard!$L$1&amp;""""))/100),IF(Q1723=Dashboard!$L$1,M1723,M1723*GOOGLEFINANCE(""CURRENCY:""&amp;Q1723&amp;""""&amp;Dashboard!$"&amp;"L$1&amp;""""))),M1723))"),"")</f>
        <v/>
      </c>
      <c r="T1723" s="264" t="str">
        <f t="shared" si="4"/>
        <v/>
      </c>
      <c r="U1723" s="264" t="str">
        <f t="shared" si="5"/>
        <v/>
      </c>
      <c r="V1723" s="264" t="str">
        <f t="shared" si="6"/>
        <v/>
      </c>
      <c r="W1723" s="267" t="str">
        <f t="shared" si="8"/>
        <v/>
      </c>
      <c r="X1723" s="264" t="str">
        <f t="shared" si="7"/>
        <v/>
      </c>
    </row>
    <row r="1724" ht="15.75" customHeight="1">
      <c r="A1724" s="258"/>
      <c r="B1724" s="258"/>
      <c r="C1724" s="269"/>
      <c r="D1724" s="258"/>
      <c r="E1724" s="258"/>
      <c r="F1724" s="258"/>
      <c r="G1724" s="258"/>
      <c r="H1724" s="271"/>
      <c r="I1724" s="258"/>
      <c r="J1724" s="272"/>
      <c r="K1724" s="260"/>
      <c r="L1724" s="261"/>
      <c r="M1724" s="262" t="str">
        <f t="shared" si="1"/>
        <v/>
      </c>
      <c r="N1724" s="263" t="str">
        <f t="shared" si="2"/>
        <v/>
      </c>
      <c r="O1724" s="264" t="str">
        <f t="shared" si="3"/>
        <v/>
      </c>
      <c r="P1724" s="265" t="str">
        <f>IFERROR(__xludf.DUMMYFUNCTION("IF(ISBLANK(A1724),"""",IFERROR(IF(H1724=""Sell"",VLOOKUP(9^99,FILTER({ROW(P$2:P1723),P$2:P1723},D$2:D1723=D1724),2),(VLOOKUP(9^99,FILTER({ROW(P$2:P1723),P$2:P1723},D$2:D1723=D1724),2)*VLOOKUP(9^99,FILTER({ROW(O$2:O1723),O$2:O1723},D$2:D1723=D1724),2)-N172"&amp;"4)/O1724),J1724))"),"")</f>
        <v/>
      </c>
      <c r="Q1724" s="264" t="str">
        <f>IFERROR(__xludf.DUMMYFUNCTION("IFERROR(IF(F1724=""Crypto"",B1724,(IF(ISBLANK(D1724),"""",IF(D1724=""Cash"",B1724,IF(GOOGLEFINANCE(D1724,""CURRENCY"")=""GBX"",""GBP"",GOOGLEFINANCE(D1724,""CURRENCY"")))))),B1724)"),"")</f>
        <v/>
      </c>
      <c r="R1724" s="263" t="str">
        <f>IFERROR(__xludf.DUMMYFUNCTION("IF(ISBLANK(A1724),"""",IFERROR(IF(OR(Q1724=""GPB"",Q1724=""ZAR""),IF(Q1724=Dashboard!$L$1,K1724,(K1724*GOOGLEFINANCE(""CURRENCY:""&amp;Q1724&amp;""""&amp;Dashboard!$L$1&amp;""""))/100),IF(Q1724=Dashboard!$L$1,K1724,K1724*GOOGLEFINANCE(""CURRENCY:""&amp;Q1724&amp;""""&amp;Dashboard!$"&amp;"L$1&amp;""""))),K1724))"),"")</f>
        <v/>
      </c>
      <c r="S1724" s="266" t="str">
        <f>IFERROR(__xludf.DUMMYFUNCTION("IF(ISBLANK(A1724),"""",IFERROR(IF(OR(Q1724=""GPB"",Q1724=""ZAR""),IF(Q1724=Dashboard!$L$1,M1724,(M1724*GOOGLEFINANCE(""CURRENCY:""&amp;Q1724&amp;""""&amp;Dashboard!$L$1&amp;""""))/100),IF(Q1724=Dashboard!$L$1,M1724,M1724*GOOGLEFINANCE(""CURRENCY:""&amp;Q1724&amp;""""&amp;Dashboard!$"&amp;"L$1&amp;""""))),M1724))"),"")</f>
        <v/>
      </c>
      <c r="T1724" s="264" t="str">
        <f t="shared" si="4"/>
        <v/>
      </c>
      <c r="U1724" s="264" t="str">
        <f t="shared" si="5"/>
        <v/>
      </c>
      <c r="V1724" s="264" t="str">
        <f t="shared" si="6"/>
        <v/>
      </c>
      <c r="W1724" s="267" t="str">
        <f t="shared" si="8"/>
        <v/>
      </c>
      <c r="X1724" s="264" t="str">
        <f t="shared" si="7"/>
        <v/>
      </c>
    </row>
    <row r="1725" ht="15.75" customHeight="1">
      <c r="A1725" s="258"/>
      <c r="B1725" s="258"/>
      <c r="C1725" s="269"/>
      <c r="D1725" s="258"/>
      <c r="E1725" s="258"/>
      <c r="F1725" s="258"/>
      <c r="G1725" s="258"/>
      <c r="H1725" s="271"/>
      <c r="I1725" s="258"/>
      <c r="J1725" s="272"/>
      <c r="K1725" s="260"/>
      <c r="L1725" s="261"/>
      <c r="M1725" s="262" t="str">
        <f t="shared" si="1"/>
        <v/>
      </c>
      <c r="N1725" s="263" t="str">
        <f t="shared" si="2"/>
        <v/>
      </c>
      <c r="O1725" s="264" t="str">
        <f t="shared" si="3"/>
        <v/>
      </c>
      <c r="P1725" s="265" t="str">
        <f>IFERROR(__xludf.DUMMYFUNCTION("IF(ISBLANK(A1725),"""",IFERROR(IF(H1725=""Sell"",VLOOKUP(9^99,FILTER({ROW(P$2:P1724),P$2:P1724},D$2:D1724=D1725),2),(VLOOKUP(9^99,FILTER({ROW(P$2:P1724),P$2:P1724},D$2:D1724=D1725),2)*VLOOKUP(9^99,FILTER({ROW(O$2:O1724),O$2:O1724},D$2:D1724=D1725),2)-N172"&amp;"5)/O1725),J1725))"),"")</f>
        <v/>
      </c>
      <c r="Q1725" s="264" t="str">
        <f>IFERROR(__xludf.DUMMYFUNCTION("IFERROR(IF(F1725=""Crypto"",B1725,(IF(ISBLANK(D1725),"""",IF(D1725=""Cash"",B1725,IF(GOOGLEFINANCE(D1725,""CURRENCY"")=""GBX"",""GBP"",GOOGLEFINANCE(D1725,""CURRENCY"")))))),B1725)"),"")</f>
        <v/>
      </c>
      <c r="R1725" s="263" t="str">
        <f>IFERROR(__xludf.DUMMYFUNCTION("IF(ISBLANK(A1725),"""",IFERROR(IF(OR(Q1725=""GPB"",Q1725=""ZAR""),IF(Q1725=Dashboard!$L$1,K1725,(K1725*GOOGLEFINANCE(""CURRENCY:""&amp;Q1725&amp;""""&amp;Dashboard!$L$1&amp;""""))/100),IF(Q1725=Dashboard!$L$1,K1725,K1725*GOOGLEFINANCE(""CURRENCY:""&amp;Q1725&amp;""""&amp;Dashboard!$"&amp;"L$1&amp;""""))),K1725))"),"")</f>
        <v/>
      </c>
      <c r="S1725" s="266" t="str">
        <f>IFERROR(__xludf.DUMMYFUNCTION("IF(ISBLANK(A1725),"""",IFERROR(IF(OR(Q1725=""GPB"",Q1725=""ZAR""),IF(Q1725=Dashboard!$L$1,M1725,(M1725*GOOGLEFINANCE(""CURRENCY:""&amp;Q1725&amp;""""&amp;Dashboard!$L$1&amp;""""))/100),IF(Q1725=Dashboard!$L$1,M1725,M1725*GOOGLEFINANCE(""CURRENCY:""&amp;Q1725&amp;""""&amp;Dashboard!$"&amp;"L$1&amp;""""))),M1725))"),"")</f>
        <v/>
      </c>
      <c r="T1725" s="264" t="str">
        <f t="shared" si="4"/>
        <v/>
      </c>
      <c r="U1725" s="264" t="str">
        <f t="shared" si="5"/>
        <v/>
      </c>
      <c r="V1725" s="264" t="str">
        <f t="shared" si="6"/>
        <v/>
      </c>
      <c r="W1725" s="267" t="str">
        <f t="shared" si="8"/>
        <v/>
      </c>
      <c r="X1725" s="264" t="str">
        <f t="shared" si="7"/>
        <v/>
      </c>
    </row>
    <row r="1726" ht="15.75" customHeight="1">
      <c r="A1726" s="258"/>
      <c r="B1726" s="258"/>
      <c r="C1726" s="269"/>
      <c r="D1726" s="258"/>
      <c r="E1726" s="258"/>
      <c r="F1726" s="258"/>
      <c r="G1726" s="258"/>
      <c r="H1726" s="271"/>
      <c r="I1726" s="258"/>
      <c r="J1726" s="272"/>
      <c r="K1726" s="260"/>
      <c r="L1726" s="261"/>
      <c r="M1726" s="262" t="str">
        <f t="shared" si="1"/>
        <v/>
      </c>
      <c r="N1726" s="263" t="str">
        <f t="shared" si="2"/>
        <v/>
      </c>
      <c r="O1726" s="264" t="str">
        <f t="shared" si="3"/>
        <v/>
      </c>
      <c r="P1726" s="265" t="str">
        <f>IFERROR(__xludf.DUMMYFUNCTION("IF(ISBLANK(A1726),"""",IFERROR(IF(H1726=""Sell"",VLOOKUP(9^99,FILTER({ROW(P$2:P1725),P$2:P1725},D$2:D1725=D1726),2),(VLOOKUP(9^99,FILTER({ROW(P$2:P1725),P$2:P1725},D$2:D1725=D1726),2)*VLOOKUP(9^99,FILTER({ROW(O$2:O1725),O$2:O1725},D$2:D1725=D1726),2)-N172"&amp;"6)/O1726),J1726))"),"")</f>
        <v/>
      </c>
      <c r="Q1726" s="264" t="str">
        <f>IFERROR(__xludf.DUMMYFUNCTION("IFERROR(IF(F1726=""Crypto"",B1726,(IF(ISBLANK(D1726),"""",IF(D1726=""Cash"",B1726,IF(GOOGLEFINANCE(D1726,""CURRENCY"")=""GBX"",""GBP"",GOOGLEFINANCE(D1726,""CURRENCY"")))))),B1726)"),"")</f>
        <v/>
      </c>
      <c r="R1726" s="263" t="str">
        <f>IFERROR(__xludf.DUMMYFUNCTION("IF(ISBLANK(A1726),"""",IFERROR(IF(OR(Q1726=""GPB"",Q1726=""ZAR""),IF(Q1726=Dashboard!$L$1,K1726,(K1726*GOOGLEFINANCE(""CURRENCY:""&amp;Q1726&amp;""""&amp;Dashboard!$L$1&amp;""""))/100),IF(Q1726=Dashboard!$L$1,K1726,K1726*GOOGLEFINANCE(""CURRENCY:""&amp;Q1726&amp;""""&amp;Dashboard!$"&amp;"L$1&amp;""""))),K1726))"),"")</f>
        <v/>
      </c>
      <c r="S1726" s="266" t="str">
        <f>IFERROR(__xludf.DUMMYFUNCTION("IF(ISBLANK(A1726),"""",IFERROR(IF(OR(Q1726=""GPB"",Q1726=""ZAR""),IF(Q1726=Dashboard!$L$1,M1726,(M1726*GOOGLEFINANCE(""CURRENCY:""&amp;Q1726&amp;""""&amp;Dashboard!$L$1&amp;""""))/100),IF(Q1726=Dashboard!$L$1,M1726,M1726*GOOGLEFINANCE(""CURRENCY:""&amp;Q1726&amp;""""&amp;Dashboard!$"&amp;"L$1&amp;""""))),M1726))"),"")</f>
        <v/>
      </c>
      <c r="T1726" s="264" t="str">
        <f t="shared" si="4"/>
        <v/>
      </c>
      <c r="U1726" s="264" t="str">
        <f t="shared" si="5"/>
        <v/>
      </c>
      <c r="V1726" s="264" t="str">
        <f t="shared" si="6"/>
        <v/>
      </c>
      <c r="W1726" s="267" t="str">
        <f t="shared" si="8"/>
        <v/>
      </c>
      <c r="X1726" s="264" t="str">
        <f t="shared" si="7"/>
        <v/>
      </c>
    </row>
    <row r="1727" ht="15.75" customHeight="1">
      <c r="A1727" s="258"/>
      <c r="B1727" s="258"/>
      <c r="C1727" s="269"/>
      <c r="D1727" s="258"/>
      <c r="E1727" s="258"/>
      <c r="F1727" s="258"/>
      <c r="G1727" s="258"/>
      <c r="H1727" s="271"/>
      <c r="I1727" s="258"/>
      <c r="J1727" s="272"/>
      <c r="K1727" s="260"/>
      <c r="L1727" s="261"/>
      <c r="M1727" s="262" t="str">
        <f t="shared" si="1"/>
        <v/>
      </c>
      <c r="N1727" s="263" t="str">
        <f t="shared" si="2"/>
        <v/>
      </c>
      <c r="O1727" s="264" t="str">
        <f t="shared" si="3"/>
        <v/>
      </c>
      <c r="P1727" s="265" t="str">
        <f>IFERROR(__xludf.DUMMYFUNCTION("IF(ISBLANK(A1727),"""",IFERROR(IF(H1727=""Sell"",VLOOKUP(9^99,FILTER({ROW(P$2:P1726),P$2:P1726},D$2:D1726=D1727),2),(VLOOKUP(9^99,FILTER({ROW(P$2:P1726),P$2:P1726},D$2:D1726=D1727),2)*VLOOKUP(9^99,FILTER({ROW(O$2:O1726),O$2:O1726},D$2:D1726=D1727),2)-N172"&amp;"7)/O1727),J1727))"),"")</f>
        <v/>
      </c>
      <c r="Q1727" s="264" t="str">
        <f>IFERROR(__xludf.DUMMYFUNCTION("IFERROR(IF(F1727=""Crypto"",B1727,(IF(ISBLANK(D1727),"""",IF(D1727=""Cash"",B1727,IF(GOOGLEFINANCE(D1727,""CURRENCY"")=""GBX"",""GBP"",GOOGLEFINANCE(D1727,""CURRENCY"")))))),B1727)"),"")</f>
        <v/>
      </c>
      <c r="R1727" s="263" t="str">
        <f>IFERROR(__xludf.DUMMYFUNCTION("IF(ISBLANK(A1727),"""",IFERROR(IF(OR(Q1727=""GPB"",Q1727=""ZAR""),IF(Q1727=Dashboard!$L$1,K1727,(K1727*GOOGLEFINANCE(""CURRENCY:""&amp;Q1727&amp;""""&amp;Dashboard!$L$1&amp;""""))/100),IF(Q1727=Dashboard!$L$1,K1727,K1727*GOOGLEFINANCE(""CURRENCY:""&amp;Q1727&amp;""""&amp;Dashboard!$"&amp;"L$1&amp;""""))),K1727))"),"")</f>
        <v/>
      </c>
      <c r="S1727" s="266" t="str">
        <f>IFERROR(__xludf.DUMMYFUNCTION("IF(ISBLANK(A1727),"""",IFERROR(IF(OR(Q1727=""GPB"",Q1727=""ZAR""),IF(Q1727=Dashboard!$L$1,M1727,(M1727*GOOGLEFINANCE(""CURRENCY:""&amp;Q1727&amp;""""&amp;Dashboard!$L$1&amp;""""))/100),IF(Q1727=Dashboard!$L$1,M1727,M1727*GOOGLEFINANCE(""CURRENCY:""&amp;Q1727&amp;""""&amp;Dashboard!$"&amp;"L$1&amp;""""))),M1727))"),"")</f>
        <v/>
      </c>
      <c r="T1727" s="264" t="str">
        <f t="shared" si="4"/>
        <v/>
      </c>
      <c r="U1727" s="264" t="str">
        <f t="shared" si="5"/>
        <v/>
      </c>
      <c r="V1727" s="264" t="str">
        <f t="shared" si="6"/>
        <v/>
      </c>
      <c r="W1727" s="267" t="str">
        <f t="shared" si="8"/>
        <v/>
      </c>
      <c r="X1727" s="264" t="str">
        <f t="shared" si="7"/>
        <v/>
      </c>
    </row>
    <row r="1728" ht="15.75" customHeight="1">
      <c r="A1728" s="258"/>
      <c r="B1728" s="258"/>
      <c r="C1728" s="269"/>
      <c r="D1728" s="258"/>
      <c r="E1728" s="258"/>
      <c r="F1728" s="258"/>
      <c r="G1728" s="258"/>
      <c r="H1728" s="271"/>
      <c r="I1728" s="258"/>
      <c r="J1728" s="272"/>
      <c r="K1728" s="260"/>
      <c r="L1728" s="261"/>
      <c r="M1728" s="262" t="str">
        <f t="shared" si="1"/>
        <v/>
      </c>
      <c r="N1728" s="263" t="str">
        <f t="shared" si="2"/>
        <v/>
      </c>
      <c r="O1728" s="264" t="str">
        <f t="shared" si="3"/>
        <v/>
      </c>
      <c r="P1728" s="265" t="str">
        <f>IFERROR(__xludf.DUMMYFUNCTION("IF(ISBLANK(A1728),"""",IFERROR(IF(H1728=""Sell"",VLOOKUP(9^99,FILTER({ROW(P$2:P1727),P$2:P1727},D$2:D1727=D1728),2),(VLOOKUP(9^99,FILTER({ROW(P$2:P1727),P$2:P1727},D$2:D1727=D1728),2)*VLOOKUP(9^99,FILTER({ROW(O$2:O1727),O$2:O1727},D$2:D1727=D1728),2)-N172"&amp;"8)/O1728),J1728))"),"")</f>
        <v/>
      </c>
      <c r="Q1728" s="264" t="str">
        <f>IFERROR(__xludf.DUMMYFUNCTION("IFERROR(IF(F1728=""Crypto"",B1728,(IF(ISBLANK(D1728),"""",IF(D1728=""Cash"",B1728,IF(GOOGLEFINANCE(D1728,""CURRENCY"")=""GBX"",""GBP"",GOOGLEFINANCE(D1728,""CURRENCY"")))))),B1728)"),"")</f>
        <v/>
      </c>
      <c r="R1728" s="263" t="str">
        <f>IFERROR(__xludf.DUMMYFUNCTION("IF(ISBLANK(A1728),"""",IFERROR(IF(OR(Q1728=""GPB"",Q1728=""ZAR""),IF(Q1728=Dashboard!$L$1,K1728,(K1728*GOOGLEFINANCE(""CURRENCY:""&amp;Q1728&amp;""""&amp;Dashboard!$L$1&amp;""""))/100),IF(Q1728=Dashboard!$L$1,K1728,K1728*GOOGLEFINANCE(""CURRENCY:""&amp;Q1728&amp;""""&amp;Dashboard!$"&amp;"L$1&amp;""""))),K1728))"),"")</f>
        <v/>
      </c>
      <c r="S1728" s="266" t="str">
        <f>IFERROR(__xludf.DUMMYFUNCTION("IF(ISBLANK(A1728),"""",IFERROR(IF(OR(Q1728=""GPB"",Q1728=""ZAR""),IF(Q1728=Dashboard!$L$1,M1728,(M1728*GOOGLEFINANCE(""CURRENCY:""&amp;Q1728&amp;""""&amp;Dashboard!$L$1&amp;""""))/100),IF(Q1728=Dashboard!$L$1,M1728,M1728*GOOGLEFINANCE(""CURRENCY:""&amp;Q1728&amp;""""&amp;Dashboard!$"&amp;"L$1&amp;""""))),M1728))"),"")</f>
        <v/>
      </c>
      <c r="T1728" s="264" t="str">
        <f t="shared" si="4"/>
        <v/>
      </c>
      <c r="U1728" s="264" t="str">
        <f t="shared" si="5"/>
        <v/>
      </c>
      <c r="V1728" s="264" t="str">
        <f t="shared" si="6"/>
        <v/>
      </c>
      <c r="W1728" s="267" t="str">
        <f t="shared" si="8"/>
        <v/>
      </c>
      <c r="X1728" s="264" t="str">
        <f t="shared" si="7"/>
        <v/>
      </c>
    </row>
    <row r="1729" ht="15.75" customHeight="1">
      <c r="A1729" s="258"/>
      <c r="B1729" s="258"/>
      <c r="C1729" s="269"/>
      <c r="D1729" s="258"/>
      <c r="E1729" s="258"/>
      <c r="F1729" s="258"/>
      <c r="G1729" s="258"/>
      <c r="H1729" s="271"/>
      <c r="I1729" s="258"/>
      <c r="J1729" s="272"/>
      <c r="K1729" s="260"/>
      <c r="L1729" s="261"/>
      <c r="M1729" s="262" t="str">
        <f t="shared" si="1"/>
        <v/>
      </c>
      <c r="N1729" s="263" t="str">
        <f t="shared" si="2"/>
        <v/>
      </c>
      <c r="O1729" s="264" t="str">
        <f t="shared" si="3"/>
        <v/>
      </c>
      <c r="P1729" s="265" t="str">
        <f>IFERROR(__xludf.DUMMYFUNCTION("IF(ISBLANK(A1729),"""",IFERROR(IF(H1729=""Sell"",VLOOKUP(9^99,FILTER({ROW(P$2:P1728),P$2:P1728},D$2:D1728=D1729),2),(VLOOKUP(9^99,FILTER({ROW(P$2:P1728),P$2:P1728},D$2:D1728=D1729),2)*VLOOKUP(9^99,FILTER({ROW(O$2:O1728),O$2:O1728},D$2:D1728=D1729),2)-N172"&amp;"9)/O1729),J1729))"),"")</f>
        <v/>
      </c>
      <c r="Q1729" s="264" t="str">
        <f>IFERROR(__xludf.DUMMYFUNCTION("IFERROR(IF(F1729=""Crypto"",B1729,(IF(ISBLANK(D1729),"""",IF(D1729=""Cash"",B1729,IF(GOOGLEFINANCE(D1729,""CURRENCY"")=""GBX"",""GBP"",GOOGLEFINANCE(D1729,""CURRENCY"")))))),B1729)"),"")</f>
        <v/>
      </c>
      <c r="R1729" s="263" t="str">
        <f>IFERROR(__xludf.DUMMYFUNCTION("IF(ISBLANK(A1729),"""",IFERROR(IF(OR(Q1729=""GPB"",Q1729=""ZAR""),IF(Q1729=Dashboard!$L$1,K1729,(K1729*GOOGLEFINANCE(""CURRENCY:""&amp;Q1729&amp;""""&amp;Dashboard!$L$1&amp;""""))/100),IF(Q1729=Dashboard!$L$1,K1729,K1729*GOOGLEFINANCE(""CURRENCY:""&amp;Q1729&amp;""""&amp;Dashboard!$"&amp;"L$1&amp;""""))),K1729))"),"")</f>
        <v/>
      </c>
      <c r="S1729" s="266" t="str">
        <f>IFERROR(__xludf.DUMMYFUNCTION("IF(ISBLANK(A1729),"""",IFERROR(IF(OR(Q1729=""GPB"",Q1729=""ZAR""),IF(Q1729=Dashboard!$L$1,M1729,(M1729*GOOGLEFINANCE(""CURRENCY:""&amp;Q1729&amp;""""&amp;Dashboard!$L$1&amp;""""))/100),IF(Q1729=Dashboard!$L$1,M1729,M1729*GOOGLEFINANCE(""CURRENCY:""&amp;Q1729&amp;""""&amp;Dashboard!$"&amp;"L$1&amp;""""))),M1729))"),"")</f>
        <v/>
      </c>
      <c r="T1729" s="264" t="str">
        <f t="shared" si="4"/>
        <v/>
      </c>
      <c r="U1729" s="264" t="str">
        <f t="shared" si="5"/>
        <v/>
      </c>
      <c r="V1729" s="264" t="str">
        <f t="shared" si="6"/>
        <v/>
      </c>
      <c r="W1729" s="267" t="str">
        <f t="shared" si="8"/>
        <v/>
      </c>
      <c r="X1729" s="264" t="str">
        <f t="shared" si="7"/>
        <v/>
      </c>
    </row>
    <row r="1730" ht="15.75" customHeight="1">
      <c r="A1730" s="258"/>
      <c r="B1730" s="258"/>
      <c r="C1730" s="269"/>
      <c r="D1730" s="258"/>
      <c r="E1730" s="258"/>
      <c r="F1730" s="258"/>
      <c r="G1730" s="258"/>
      <c r="H1730" s="271"/>
      <c r="I1730" s="258"/>
      <c r="J1730" s="272"/>
      <c r="K1730" s="260"/>
      <c r="L1730" s="261"/>
      <c r="M1730" s="262" t="str">
        <f t="shared" si="1"/>
        <v/>
      </c>
      <c r="N1730" s="263" t="str">
        <f t="shared" si="2"/>
        <v/>
      </c>
      <c r="O1730" s="264" t="str">
        <f t="shared" si="3"/>
        <v/>
      </c>
      <c r="P1730" s="265" t="str">
        <f>IFERROR(__xludf.DUMMYFUNCTION("IF(ISBLANK(A1730),"""",IFERROR(IF(H1730=""Sell"",VLOOKUP(9^99,FILTER({ROW(P$2:P1729),P$2:P1729},D$2:D1729=D1730),2),(VLOOKUP(9^99,FILTER({ROW(P$2:P1729),P$2:P1729},D$2:D1729=D1730),2)*VLOOKUP(9^99,FILTER({ROW(O$2:O1729),O$2:O1729},D$2:D1729=D1730),2)-N173"&amp;"0)/O1730),J1730))"),"")</f>
        <v/>
      </c>
      <c r="Q1730" s="264" t="str">
        <f>IFERROR(__xludf.DUMMYFUNCTION("IFERROR(IF(F1730=""Crypto"",B1730,(IF(ISBLANK(D1730),"""",IF(D1730=""Cash"",B1730,IF(GOOGLEFINANCE(D1730,""CURRENCY"")=""GBX"",""GBP"",GOOGLEFINANCE(D1730,""CURRENCY"")))))),B1730)"),"")</f>
        <v/>
      </c>
      <c r="R1730" s="263" t="str">
        <f>IFERROR(__xludf.DUMMYFUNCTION("IF(ISBLANK(A1730),"""",IFERROR(IF(OR(Q1730=""GPB"",Q1730=""ZAR""),IF(Q1730=Dashboard!$L$1,K1730,(K1730*GOOGLEFINANCE(""CURRENCY:""&amp;Q1730&amp;""""&amp;Dashboard!$L$1&amp;""""))/100),IF(Q1730=Dashboard!$L$1,K1730,K1730*GOOGLEFINANCE(""CURRENCY:""&amp;Q1730&amp;""""&amp;Dashboard!$"&amp;"L$1&amp;""""))),K1730))"),"")</f>
        <v/>
      </c>
      <c r="S1730" s="266" t="str">
        <f>IFERROR(__xludf.DUMMYFUNCTION("IF(ISBLANK(A1730),"""",IFERROR(IF(OR(Q1730=""GPB"",Q1730=""ZAR""),IF(Q1730=Dashboard!$L$1,M1730,(M1730*GOOGLEFINANCE(""CURRENCY:""&amp;Q1730&amp;""""&amp;Dashboard!$L$1&amp;""""))/100),IF(Q1730=Dashboard!$L$1,M1730,M1730*GOOGLEFINANCE(""CURRENCY:""&amp;Q1730&amp;""""&amp;Dashboard!$"&amp;"L$1&amp;""""))),M1730))"),"")</f>
        <v/>
      </c>
      <c r="T1730" s="264" t="str">
        <f t="shared" si="4"/>
        <v/>
      </c>
      <c r="U1730" s="264" t="str">
        <f t="shared" si="5"/>
        <v/>
      </c>
      <c r="V1730" s="264" t="str">
        <f t="shared" si="6"/>
        <v/>
      </c>
      <c r="W1730" s="267" t="str">
        <f t="shared" si="8"/>
        <v/>
      </c>
      <c r="X1730" s="264" t="str">
        <f t="shared" si="7"/>
        <v/>
      </c>
    </row>
    <row r="1731" ht="15.75" customHeight="1">
      <c r="A1731" s="258"/>
      <c r="B1731" s="258"/>
      <c r="C1731" s="269"/>
      <c r="D1731" s="258"/>
      <c r="E1731" s="258"/>
      <c r="F1731" s="258"/>
      <c r="G1731" s="258"/>
      <c r="H1731" s="271"/>
      <c r="I1731" s="258"/>
      <c r="J1731" s="272"/>
      <c r="K1731" s="260"/>
      <c r="L1731" s="261"/>
      <c r="M1731" s="262" t="str">
        <f t="shared" si="1"/>
        <v/>
      </c>
      <c r="N1731" s="263" t="str">
        <f t="shared" si="2"/>
        <v/>
      </c>
      <c r="O1731" s="264" t="str">
        <f t="shared" si="3"/>
        <v/>
      </c>
      <c r="P1731" s="265" t="str">
        <f>IFERROR(__xludf.DUMMYFUNCTION("IF(ISBLANK(A1731),"""",IFERROR(IF(H1731=""Sell"",VLOOKUP(9^99,FILTER({ROW(P$2:P1730),P$2:P1730},D$2:D1730=D1731),2),(VLOOKUP(9^99,FILTER({ROW(P$2:P1730),P$2:P1730},D$2:D1730=D1731),2)*VLOOKUP(9^99,FILTER({ROW(O$2:O1730),O$2:O1730},D$2:D1730=D1731),2)-N173"&amp;"1)/O1731),J1731))"),"")</f>
        <v/>
      </c>
      <c r="Q1731" s="264" t="str">
        <f>IFERROR(__xludf.DUMMYFUNCTION("IFERROR(IF(F1731=""Crypto"",B1731,(IF(ISBLANK(D1731),"""",IF(D1731=""Cash"",B1731,IF(GOOGLEFINANCE(D1731,""CURRENCY"")=""GBX"",""GBP"",GOOGLEFINANCE(D1731,""CURRENCY"")))))),B1731)"),"")</f>
        <v/>
      </c>
      <c r="R1731" s="263" t="str">
        <f>IFERROR(__xludf.DUMMYFUNCTION("IF(ISBLANK(A1731),"""",IFERROR(IF(OR(Q1731=""GPB"",Q1731=""ZAR""),IF(Q1731=Dashboard!$L$1,K1731,(K1731*GOOGLEFINANCE(""CURRENCY:""&amp;Q1731&amp;""""&amp;Dashboard!$L$1&amp;""""))/100),IF(Q1731=Dashboard!$L$1,K1731,K1731*GOOGLEFINANCE(""CURRENCY:""&amp;Q1731&amp;""""&amp;Dashboard!$"&amp;"L$1&amp;""""))),K1731))"),"")</f>
        <v/>
      </c>
      <c r="S1731" s="266" t="str">
        <f>IFERROR(__xludf.DUMMYFUNCTION("IF(ISBLANK(A1731),"""",IFERROR(IF(OR(Q1731=""GPB"",Q1731=""ZAR""),IF(Q1731=Dashboard!$L$1,M1731,(M1731*GOOGLEFINANCE(""CURRENCY:""&amp;Q1731&amp;""""&amp;Dashboard!$L$1&amp;""""))/100),IF(Q1731=Dashboard!$L$1,M1731,M1731*GOOGLEFINANCE(""CURRENCY:""&amp;Q1731&amp;""""&amp;Dashboard!$"&amp;"L$1&amp;""""))),M1731))"),"")</f>
        <v/>
      </c>
      <c r="T1731" s="264" t="str">
        <f t="shared" si="4"/>
        <v/>
      </c>
      <c r="U1731" s="264" t="str">
        <f t="shared" si="5"/>
        <v/>
      </c>
      <c r="V1731" s="264" t="str">
        <f t="shared" si="6"/>
        <v/>
      </c>
      <c r="W1731" s="267" t="str">
        <f t="shared" si="8"/>
        <v/>
      </c>
      <c r="X1731" s="264" t="str">
        <f t="shared" si="7"/>
        <v/>
      </c>
    </row>
    <row r="1732" ht="15.75" customHeight="1">
      <c r="A1732" s="258"/>
      <c r="B1732" s="258"/>
      <c r="C1732" s="269"/>
      <c r="D1732" s="258"/>
      <c r="E1732" s="258"/>
      <c r="F1732" s="258"/>
      <c r="G1732" s="258"/>
      <c r="H1732" s="271"/>
      <c r="I1732" s="258"/>
      <c r="J1732" s="272"/>
      <c r="K1732" s="260"/>
      <c r="L1732" s="261"/>
      <c r="M1732" s="262" t="str">
        <f t="shared" si="1"/>
        <v/>
      </c>
      <c r="N1732" s="263" t="str">
        <f t="shared" si="2"/>
        <v/>
      </c>
      <c r="O1732" s="264" t="str">
        <f t="shared" si="3"/>
        <v/>
      </c>
      <c r="P1732" s="265" t="str">
        <f>IFERROR(__xludf.DUMMYFUNCTION("IF(ISBLANK(A1732),"""",IFERROR(IF(H1732=""Sell"",VLOOKUP(9^99,FILTER({ROW(P$2:P1731),P$2:P1731},D$2:D1731=D1732),2),(VLOOKUP(9^99,FILTER({ROW(P$2:P1731),P$2:P1731},D$2:D1731=D1732),2)*VLOOKUP(9^99,FILTER({ROW(O$2:O1731),O$2:O1731},D$2:D1731=D1732),2)-N173"&amp;"2)/O1732),J1732))"),"")</f>
        <v/>
      </c>
      <c r="Q1732" s="264" t="str">
        <f>IFERROR(__xludf.DUMMYFUNCTION("IFERROR(IF(F1732=""Crypto"",B1732,(IF(ISBLANK(D1732),"""",IF(D1732=""Cash"",B1732,IF(GOOGLEFINANCE(D1732,""CURRENCY"")=""GBX"",""GBP"",GOOGLEFINANCE(D1732,""CURRENCY"")))))),B1732)"),"")</f>
        <v/>
      </c>
      <c r="R1732" s="263" t="str">
        <f>IFERROR(__xludf.DUMMYFUNCTION("IF(ISBLANK(A1732),"""",IFERROR(IF(OR(Q1732=""GPB"",Q1732=""ZAR""),IF(Q1732=Dashboard!$L$1,K1732,(K1732*GOOGLEFINANCE(""CURRENCY:""&amp;Q1732&amp;""""&amp;Dashboard!$L$1&amp;""""))/100),IF(Q1732=Dashboard!$L$1,K1732,K1732*GOOGLEFINANCE(""CURRENCY:""&amp;Q1732&amp;""""&amp;Dashboard!$"&amp;"L$1&amp;""""))),K1732))"),"")</f>
        <v/>
      </c>
      <c r="S1732" s="266" t="str">
        <f>IFERROR(__xludf.DUMMYFUNCTION("IF(ISBLANK(A1732),"""",IFERROR(IF(OR(Q1732=""GPB"",Q1732=""ZAR""),IF(Q1732=Dashboard!$L$1,M1732,(M1732*GOOGLEFINANCE(""CURRENCY:""&amp;Q1732&amp;""""&amp;Dashboard!$L$1&amp;""""))/100),IF(Q1732=Dashboard!$L$1,M1732,M1732*GOOGLEFINANCE(""CURRENCY:""&amp;Q1732&amp;""""&amp;Dashboard!$"&amp;"L$1&amp;""""))),M1732))"),"")</f>
        <v/>
      </c>
      <c r="T1732" s="264" t="str">
        <f t="shared" si="4"/>
        <v/>
      </c>
      <c r="U1732" s="264" t="str">
        <f t="shared" si="5"/>
        <v/>
      </c>
      <c r="V1732" s="264" t="str">
        <f t="shared" si="6"/>
        <v/>
      </c>
      <c r="W1732" s="267" t="str">
        <f t="shared" si="8"/>
        <v/>
      </c>
      <c r="X1732" s="264" t="str">
        <f t="shared" si="7"/>
        <v/>
      </c>
    </row>
    <row r="1733" ht="15.75" customHeight="1">
      <c r="A1733" s="258"/>
      <c r="B1733" s="258"/>
      <c r="C1733" s="269"/>
      <c r="D1733" s="258"/>
      <c r="E1733" s="258"/>
      <c r="F1733" s="258"/>
      <c r="G1733" s="258"/>
      <c r="H1733" s="271"/>
      <c r="I1733" s="258"/>
      <c r="J1733" s="272"/>
      <c r="K1733" s="260"/>
      <c r="L1733" s="261"/>
      <c r="M1733" s="262" t="str">
        <f t="shared" si="1"/>
        <v/>
      </c>
      <c r="N1733" s="263" t="str">
        <f t="shared" si="2"/>
        <v/>
      </c>
      <c r="O1733" s="264" t="str">
        <f t="shared" si="3"/>
        <v/>
      </c>
      <c r="P1733" s="265" t="str">
        <f>IFERROR(__xludf.DUMMYFUNCTION("IF(ISBLANK(A1733),"""",IFERROR(IF(H1733=""Sell"",VLOOKUP(9^99,FILTER({ROW(P$2:P1732),P$2:P1732},D$2:D1732=D1733),2),(VLOOKUP(9^99,FILTER({ROW(P$2:P1732),P$2:P1732},D$2:D1732=D1733),2)*VLOOKUP(9^99,FILTER({ROW(O$2:O1732),O$2:O1732},D$2:D1732=D1733),2)-N173"&amp;"3)/O1733),J1733))"),"")</f>
        <v/>
      </c>
      <c r="Q1733" s="264" t="str">
        <f>IFERROR(__xludf.DUMMYFUNCTION("IFERROR(IF(F1733=""Crypto"",B1733,(IF(ISBLANK(D1733),"""",IF(D1733=""Cash"",B1733,IF(GOOGLEFINANCE(D1733,""CURRENCY"")=""GBX"",""GBP"",GOOGLEFINANCE(D1733,""CURRENCY"")))))),B1733)"),"")</f>
        <v/>
      </c>
      <c r="R1733" s="263" t="str">
        <f>IFERROR(__xludf.DUMMYFUNCTION("IF(ISBLANK(A1733),"""",IFERROR(IF(OR(Q1733=""GPB"",Q1733=""ZAR""),IF(Q1733=Dashboard!$L$1,K1733,(K1733*GOOGLEFINANCE(""CURRENCY:""&amp;Q1733&amp;""""&amp;Dashboard!$L$1&amp;""""))/100),IF(Q1733=Dashboard!$L$1,K1733,K1733*GOOGLEFINANCE(""CURRENCY:""&amp;Q1733&amp;""""&amp;Dashboard!$"&amp;"L$1&amp;""""))),K1733))"),"")</f>
        <v/>
      </c>
      <c r="S1733" s="266" t="str">
        <f>IFERROR(__xludf.DUMMYFUNCTION("IF(ISBLANK(A1733),"""",IFERROR(IF(OR(Q1733=""GPB"",Q1733=""ZAR""),IF(Q1733=Dashboard!$L$1,M1733,(M1733*GOOGLEFINANCE(""CURRENCY:""&amp;Q1733&amp;""""&amp;Dashboard!$L$1&amp;""""))/100),IF(Q1733=Dashboard!$L$1,M1733,M1733*GOOGLEFINANCE(""CURRENCY:""&amp;Q1733&amp;""""&amp;Dashboard!$"&amp;"L$1&amp;""""))),M1733))"),"")</f>
        <v/>
      </c>
      <c r="T1733" s="264" t="str">
        <f t="shared" si="4"/>
        <v/>
      </c>
      <c r="U1733" s="264" t="str">
        <f t="shared" si="5"/>
        <v/>
      </c>
      <c r="V1733" s="264" t="str">
        <f t="shared" si="6"/>
        <v/>
      </c>
      <c r="W1733" s="267" t="str">
        <f t="shared" si="8"/>
        <v/>
      </c>
      <c r="X1733" s="264" t="str">
        <f t="shared" si="7"/>
        <v/>
      </c>
    </row>
    <row r="1734" ht="15.75" customHeight="1">
      <c r="A1734" s="258"/>
      <c r="B1734" s="258"/>
      <c r="C1734" s="269"/>
      <c r="D1734" s="258"/>
      <c r="E1734" s="258"/>
      <c r="F1734" s="258"/>
      <c r="G1734" s="258"/>
      <c r="H1734" s="271"/>
      <c r="I1734" s="258"/>
      <c r="J1734" s="272"/>
      <c r="K1734" s="260"/>
      <c r="L1734" s="261"/>
      <c r="M1734" s="262" t="str">
        <f t="shared" si="1"/>
        <v/>
      </c>
      <c r="N1734" s="263" t="str">
        <f t="shared" si="2"/>
        <v/>
      </c>
      <c r="O1734" s="264" t="str">
        <f t="shared" si="3"/>
        <v/>
      </c>
      <c r="P1734" s="265" t="str">
        <f>IFERROR(__xludf.DUMMYFUNCTION("IF(ISBLANK(A1734),"""",IFERROR(IF(H1734=""Sell"",VLOOKUP(9^99,FILTER({ROW(P$2:P1733),P$2:P1733},D$2:D1733=D1734),2),(VLOOKUP(9^99,FILTER({ROW(P$2:P1733),P$2:P1733},D$2:D1733=D1734),2)*VLOOKUP(9^99,FILTER({ROW(O$2:O1733),O$2:O1733},D$2:D1733=D1734),2)-N173"&amp;"4)/O1734),J1734))"),"")</f>
        <v/>
      </c>
      <c r="Q1734" s="264" t="str">
        <f>IFERROR(__xludf.DUMMYFUNCTION("IFERROR(IF(F1734=""Crypto"",B1734,(IF(ISBLANK(D1734),"""",IF(D1734=""Cash"",B1734,IF(GOOGLEFINANCE(D1734,""CURRENCY"")=""GBX"",""GBP"",GOOGLEFINANCE(D1734,""CURRENCY"")))))),B1734)"),"")</f>
        <v/>
      </c>
      <c r="R1734" s="263" t="str">
        <f>IFERROR(__xludf.DUMMYFUNCTION("IF(ISBLANK(A1734),"""",IFERROR(IF(OR(Q1734=""GPB"",Q1734=""ZAR""),IF(Q1734=Dashboard!$L$1,K1734,(K1734*GOOGLEFINANCE(""CURRENCY:""&amp;Q1734&amp;""""&amp;Dashboard!$L$1&amp;""""))/100),IF(Q1734=Dashboard!$L$1,K1734,K1734*GOOGLEFINANCE(""CURRENCY:""&amp;Q1734&amp;""""&amp;Dashboard!$"&amp;"L$1&amp;""""))),K1734))"),"")</f>
        <v/>
      </c>
      <c r="S1734" s="266" t="str">
        <f>IFERROR(__xludf.DUMMYFUNCTION("IF(ISBLANK(A1734),"""",IFERROR(IF(OR(Q1734=""GPB"",Q1734=""ZAR""),IF(Q1734=Dashboard!$L$1,M1734,(M1734*GOOGLEFINANCE(""CURRENCY:""&amp;Q1734&amp;""""&amp;Dashboard!$L$1&amp;""""))/100),IF(Q1734=Dashboard!$L$1,M1734,M1734*GOOGLEFINANCE(""CURRENCY:""&amp;Q1734&amp;""""&amp;Dashboard!$"&amp;"L$1&amp;""""))),M1734))"),"")</f>
        <v/>
      </c>
      <c r="T1734" s="264" t="str">
        <f t="shared" si="4"/>
        <v/>
      </c>
      <c r="U1734" s="264" t="str">
        <f t="shared" si="5"/>
        <v/>
      </c>
      <c r="V1734" s="264" t="str">
        <f t="shared" si="6"/>
        <v/>
      </c>
      <c r="W1734" s="267" t="str">
        <f t="shared" si="8"/>
        <v/>
      </c>
      <c r="X1734" s="264" t="str">
        <f t="shared" si="7"/>
        <v/>
      </c>
    </row>
    <row r="1735" ht="15.75" customHeight="1">
      <c r="A1735" s="258"/>
      <c r="B1735" s="258"/>
      <c r="C1735" s="269"/>
      <c r="D1735" s="258"/>
      <c r="E1735" s="258"/>
      <c r="F1735" s="258"/>
      <c r="G1735" s="258"/>
      <c r="H1735" s="271"/>
      <c r="I1735" s="258"/>
      <c r="J1735" s="272"/>
      <c r="K1735" s="260"/>
      <c r="L1735" s="261"/>
      <c r="M1735" s="262" t="str">
        <f t="shared" si="1"/>
        <v/>
      </c>
      <c r="N1735" s="263" t="str">
        <f t="shared" si="2"/>
        <v/>
      </c>
      <c r="O1735" s="264" t="str">
        <f t="shared" si="3"/>
        <v/>
      </c>
      <c r="P1735" s="265" t="str">
        <f>IFERROR(__xludf.DUMMYFUNCTION("IF(ISBLANK(A1735),"""",IFERROR(IF(H1735=""Sell"",VLOOKUP(9^99,FILTER({ROW(P$2:P1734),P$2:P1734},D$2:D1734=D1735),2),(VLOOKUP(9^99,FILTER({ROW(P$2:P1734),P$2:P1734},D$2:D1734=D1735),2)*VLOOKUP(9^99,FILTER({ROW(O$2:O1734),O$2:O1734},D$2:D1734=D1735),2)-N173"&amp;"5)/O1735),J1735))"),"")</f>
        <v/>
      </c>
      <c r="Q1735" s="264" t="str">
        <f>IFERROR(__xludf.DUMMYFUNCTION("IFERROR(IF(F1735=""Crypto"",B1735,(IF(ISBLANK(D1735),"""",IF(D1735=""Cash"",B1735,IF(GOOGLEFINANCE(D1735,""CURRENCY"")=""GBX"",""GBP"",GOOGLEFINANCE(D1735,""CURRENCY"")))))),B1735)"),"")</f>
        <v/>
      </c>
      <c r="R1735" s="263" t="str">
        <f>IFERROR(__xludf.DUMMYFUNCTION("IF(ISBLANK(A1735),"""",IFERROR(IF(OR(Q1735=""GPB"",Q1735=""ZAR""),IF(Q1735=Dashboard!$L$1,K1735,(K1735*GOOGLEFINANCE(""CURRENCY:""&amp;Q1735&amp;""""&amp;Dashboard!$L$1&amp;""""))/100),IF(Q1735=Dashboard!$L$1,K1735,K1735*GOOGLEFINANCE(""CURRENCY:""&amp;Q1735&amp;""""&amp;Dashboard!$"&amp;"L$1&amp;""""))),K1735))"),"")</f>
        <v/>
      </c>
      <c r="S1735" s="266" t="str">
        <f>IFERROR(__xludf.DUMMYFUNCTION("IF(ISBLANK(A1735),"""",IFERROR(IF(OR(Q1735=""GPB"",Q1735=""ZAR""),IF(Q1735=Dashboard!$L$1,M1735,(M1735*GOOGLEFINANCE(""CURRENCY:""&amp;Q1735&amp;""""&amp;Dashboard!$L$1&amp;""""))/100),IF(Q1735=Dashboard!$L$1,M1735,M1735*GOOGLEFINANCE(""CURRENCY:""&amp;Q1735&amp;""""&amp;Dashboard!$"&amp;"L$1&amp;""""))),M1735))"),"")</f>
        <v/>
      </c>
      <c r="T1735" s="264" t="str">
        <f t="shared" si="4"/>
        <v/>
      </c>
      <c r="U1735" s="264" t="str">
        <f t="shared" si="5"/>
        <v/>
      </c>
      <c r="V1735" s="264" t="str">
        <f t="shared" si="6"/>
        <v/>
      </c>
      <c r="W1735" s="267" t="str">
        <f t="shared" si="8"/>
        <v/>
      </c>
      <c r="X1735" s="264" t="str">
        <f t="shared" si="7"/>
        <v/>
      </c>
    </row>
    <row r="1736" ht="15.75" customHeight="1">
      <c r="A1736" s="258"/>
      <c r="B1736" s="258"/>
      <c r="C1736" s="269"/>
      <c r="D1736" s="258"/>
      <c r="E1736" s="258"/>
      <c r="F1736" s="258"/>
      <c r="G1736" s="258"/>
      <c r="H1736" s="271"/>
      <c r="I1736" s="258"/>
      <c r="J1736" s="272"/>
      <c r="K1736" s="260"/>
      <c r="L1736" s="261"/>
      <c r="M1736" s="262" t="str">
        <f t="shared" si="1"/>
        <v/>
      </c>
      <c r="N1736" s="263" t="str">
        <f t="shared" si="2"/>
        <v/>
      </c>
      <c r="O1736" s="264" t="str">
        <f t="shared" si="3"/>
        <v/>
      </c>
      <c r="P1736" s="265" t="str">
        <f>IFERROR(__xludf.DUMMYFUNCTION("IF(ISBLANK(A1736),"""",IFERROR(IF(H1736=""Sell"",VLOOKUP(9^99,FILTER({ROW(P$2:P1735),P$2:P1735},D$2:D1735=D1736),2),(VLOOKUP(9^99,FILTER({ROW(P$2:P1735),P$2:P1735},D$2:D1735=D1736),2)*VLOOKUP(9^99,FILTER({ROW(O$2:O1735),O$2:O1735},D$2:D1735=D1736),2)-N173"&amp;"6)/O1736),J1736))"),"")</f>
        <v/>
      </c>
      <c r="Q1736" s="264" t="str">
        <f>IFERROR(__xludf.DUMMYFUNCTION("IFERROR(IF(F1736=""Crypto"",B1736,(IF(ISBLANK(D1736),"""",IF(D1736=""Cash"",B1736,IF(GOOGLEFINANCE(D1736,""CURRENCY"")=""GBX"",""GBP"",GOOGLEFINANCE(D1736,""CURRENCY"")))))),B1736)"),"")</f>
        <v/>
      </c>
      <c r="R1736" s="263" t="str">
        <f>IFERROR(__xludf.DUMMYFUNCTION("IF(ISBLANK(A1736),"""",IFERROR(IF(OR(Q1736=""GPB"",Q1736=""ZAR""),IF(Q1736=Dashboard!$L$1,K1736,(K1736*GOOGLEFINANCE(""CURRENCY:""&amp;Q1736&amp;""""&amp;Dashboard!$L$1&amp;""""))/100),IF(Q1736=Dashboard!$L$1,K1736,K1736*GOOGLEFINANCE(""CURRENCY:""&amp;Q1736&amp;""""&amp;Dashboard!$"&amp;"L$1&amp;""""))),K1736))"),"")</f>
        <v/>
      </c>
      <c r="S1736" s="266" t="str">
        <f>IFERROR(__xludf.DUMMYFUNCTION("IF(ISBLANK(A1736),"""",IFERROR(IF(OR(Q1736=""GPB"",Q1736=""ZAR""),IF(Q1736=Dashboard!$L$1,M1736,(M1736*GOOGLEFINANCE(""CURRENCY:""&amp;Q1736&amp;""""&amp;Dashboard!$L$1&amp;""""))/100),IF(Q1736=Dashboard!$L$1,M1736,M1736*GOOGLEFINANCE(""CURRENCY:""&amp;Q1736&amp;""""&amp;Dashboard!$"&amp;"L$1&amp;""""))),M1736))"),"")</f>
        <v/>
      </c>
      <c r="T1736" s="264" t="str">
        <f t="shared" si="4"/>
        <v/>
      </c>
      <c r="U1736" s="264" t="str">
        <f t="shared" si="5"/>
        <v/>
      </c>
      <c r="V1736" s="264" t="str">
        <f t="shared" si="6"/>
        <v/>
      </c>
      <c r="W1736" s="267" t="str">
        <f t="shared" si="8"/>
        <v/>
      </c>
      <c r="X1736" s="264" t="str">
        <f t="shared" si="7"/>
        <v/>
      </c>
    </row>
    <row r="1737" ht="15.75" customHeight="1">
      <c r="A1737" s="258"/>
      <c r="B1737" s="258"/>
      <c r="C1737" s="269"/>
      <c r="D1737" s="258"/>
      <c r="E1737" s="258"/>
      <c r="F1737" s="258"/>
      <c r="G1737" s="258"/>
      <c r="H1737" s="271"/>
      <c r="I1737" s="258"/>
      <c r="J1737" s="272"/>
      <c r="K1737" s="260"/>
      <c r="L1737" s="261"/>
      <c r="M1737" s="262" t="str">
        <f t="shared" si="1"/>
        <v/>
      </c>
      <c r="N1737" s="263" t="str">
        <f t="shared" si="2"/>
        <v/>
      </c>
      <c r="O1737" s="264" t="str">
        <f t="shared" si="3"/>
        <v/>
      </c>
      <c r="P1737" s="265" t="str">
        <f>IFERROR(__xludf.DUMMYFUNCTION("IF(ISBLANK(A1737),"""",IFERROR(IF(H1737=""Sell"",VLOOKUP(9^99,FILTER({ROW(P$2:P1736),P$2:P1736},D$2:D1736=D1737),2),(VLOOKUP(9^99,FILTER({ROW(P$2:P1736),P$2:P1736},D$2:D1736=D1737),2)*VLOOKUP(9^99,FILTER({ROW(O$2:O1736),O$2:O1736},D$2:D1736=D1737),2)-N173"&amp;"7)/O1737),J1737))"),"")</f>
        <v/>
      </c>
      <c r="Q1737" s="264" t="str">
        <f>IFERROR(__xludf.DUMMYFUNCTION("IFERROR(IF(F1737=""Crypto"",B1737,(IF(ISBLANK(D1737),"""",IF(D1737=""Cash"",B1737,IF(GOOGLEFINANCE(D1737,""CURRENCY"")=""GBX"",""GBP"",GOOGLEFINANCE(D1737,""CURRENCY"")))))),B1737)"),"")</f>
        <v/>
      </c>
      <c r="R1737" s="263" t="str">
        <f>IFERROR(__xludf.DUMMYFUNCTION("IF(ISBLANK(A1737),"""",IFERROR(IF(OR(Q1737=""GPB"",Q1737=""ZAR""),IF(Q1737=Dashboard!$L$1,K1737,(K1737*GOOGLEFINANCE(""CURRENCY:""&amp;Q1737&amp;""""&amp;Dashboard!$L$1&amp;""""))/100),IF(Q1737=Dashboard!$L$1,K1737,K1737*GOOGLEFINANCE(""CURRENCY:""&amp;Q1737&amp;""""&amp;Dashboard!$"&amp;"L$1&amp;""""))),K1737))"),"")</f>
        <v/>
      </c>
      <c r="S1737" s="266" t="str">
        <f>IFERROR(__xludf.DUMMYFUNCTION("IF(ISBLANK(A1737),"""",IFERROR(IF(OR(Q1737=""GPB"",Q1737=""ZAR""),IF(Q1737=Dashboard!$L$1,M1737,(M1737*GOOGLEFINANCE(""CURRENCY:""&amp;Q1737&amp;""""&amp;Dashboard!$L$1&amp;""""))/100),IF(Q1737=Dashboard!$L$1,M1737,M1737*GOOGLEFINANCE(""CURRENCY:""&amp;Q1737&amp;""""&amp;Dashboard!$"&amp;"L$1&amp;""""))),M1737))"),"")</f>
        <v/>
      </c>
      <c r="T1737" s="264" t="str">
        <f t="shared" si="4"/>
        <v/>
      </c>
      <c r="U1737" s="264" t="str">
        <f t="shared" si="5"/>
        <v/>
      </c>
      <c r="V1737" s="264" t="str">
        <f t="shared" si="6"/>
        <v/>
      </c>
      <c r="W1737" s="267" t="str">
        <f t="shared" si="8"/>
        <v/>
      </c>
      <c r="X1737" s="264" t="str">
        <f t="shared" si="7"/>
        <v/>
      </c>
    </row>
    <row r="1738" ht="15.75" customHeight="1">
      <c r="A1738" s="258"/>
      <c r="B1738" s="258"/>
      <c r="C1738" s="269"/>
      <c r="D1738" s="258"/>
      <c r="E1738" s="258"/>
      <c r="F1738" s="258"/>
      <c r="G1738" s="258"/>
      <c r="H1738" s="271"/>
      <c r="I1738" s="258"/>
      <c r="J1738" s="272"/>
      <c r="K1738" s="260"/>
      <c r="L1738" s="261"/>
      <c r="M1738" s="262" t="str">
        <f t="shared" si="1"/>
        <v/>
      </c>
      <c r="N1738" s="263" t="str">
        <f t="shared" si="2"/>
        <v/>
      </c>
      <c r="O1738" s="264" t="str">
        <f t="shared" si="3"/>
        <v/>
      </c>
      <c r="P1738" s="265" t="str">
        <f>IFERROR(__xludf.DUMMYFUNCTION("IF(ISBLANK(A1738),"""",IFERROR(IF(H1738=""Sell"",VLOOKUP(9^99,FILTER({ROW(P$2:P1737),P$2:P1737},D$2:D1737=D1738),2),(VLOOKUP(9^99,FILTER({ROW(P$2:P1737),P$2:P1737},D$2:D1737=D1738),2)*VLOOKUP(9^99,FILTER({ROW(O$2:O1737),O$2:O1737},D$2:D1737=D1738),2)-N173"&amp;"8)/O1738),J1738))"),"")</f>
        <v/>
      </c>
      <c r="Q1738" s="264" t="str">
        <f>IFERROR(__xludf.DUMMYFUNCTION("IFERROR(IF(F1738=""Crypto"",B1738,(IF(ISBLANK(D1738),"""",IF(D1738=""Cash"",B1738,IF(GOOGLEFINANCE(D1738,""CURRENCY"")=""GBX"",""GBP"",GOOGLEFINANCE(D1738,""CURRENCY"")))))),B1738)"),"")</f>
        <v/>
      </c>
      <c r="R1738" s="263" t="str">
        <f>IFERROR(__xludf.DUMMYFUNCTION("IF(ISBLANK(A1738),"""",IFERROR(IF(OR(Q1738=""GPB"",Q1738=""ZAR""),IF(Q1738=Dashboard!$L$1,K1738,(K1738*GOOGLEFINANCE(""CURRENCY:""&amp;Q1738&amp;""""&amp;Dashboard!$L$1&amp;""""))/100),IF(Q1738=Dashboard!$L$1,K1738,K1738*GOOGLEFINANCE(""CURRENCY:""&amp;Q1738&amp;""""&amp;Dashboard!$"&amp;"L$1&amp;""""))),K1738))"),"")</f>
        <v/>
      </c>
      <c r="S1738" s="266" t="str">
        <f>IFERROR(__xludf.DUMMYFUNCTION("IF(ISBLANK(A1738),"""",IFERROR(IF(OR(Q1738=""GPB"",Q1738=""ZAR""),IF(Q1738=Dashboard!$L$1,M1738,(M1738*GOOGLEFINANCE(""CURRENCY:""&amp;Q1738&amp;""""&amp;Dashboard!$L$1&amp;""""))/100),IF(Q1738=Dashboard!$L$1,M1738,M1738*GOOGLEFINANCE(""CURRENCY:""&amp;Q1738&amp;""""&amp;Dashboard!$"&amp;"L$1&amp;""""))),M1738))"),"")</f>
        <v/>
      </c>
      <c r="T1738" s="264" t="str">
        <f t="shared" si="4"/>
        <v/>
      </c>
      <c r="U1738" s="264" t="str">
        <f t="shared" si="5"/>
        <v/>
      </c>
      <c r="V1738" s="264" t="str">
        <f t="shared" si="6"/>
        <v/>
      </c>
      <c r="W1738" s="267" t="str">
        <f t="shared" si="8"/>
        <v/>
      </c>
      <c r="X1738" s="264" t="str">
        <f t="shared" si="7"/>
        <v/>
      </c>
    </row>
    <row r="1739" ht="15.75" customHeight="1">
      <c r="A1739" s="258"/>
      <c r="B1739" s="258"/>
      <c r="C1739" s="269"/>
      <c r="D1739" s="258"/>
      <c r="E1739" s="258"/>
      <c r="F1739" s="258"/>
      <c r="G1739" s="258"/>
      <c r="H1739" s="271"/>
      <c r="I1739" s="258"/>
      <c r="J1739" s="272"/>
      <c r="K1739" s="260"/>
      <c r="L1739" s="261"/>
      <c r="M1739" s="262" t="str">
        <f t="shared" si="1"/>
        <v/>
      </c>
      <c r="N1739" s="263" t="str">
        <f t="shared" si="2"/>
        <v/>
      </c>
      <c r="O1739" s="264" t="str">
        <f t="shared" si="3"/>
        <v/>
      </c>
      <c r="P1739" s="265" t="str">
        <f>IFERROR(__xludf.DUMMYFUNCTION("IF(ISBLANK(A1739),"""",IFERROR(IF(H1739=""Sell"",VLOOKUP(9^99,FILTER({ROW(P$2:P1738),P$2:P1738},D$2:D1738=D1739),2),(VLOOKUP(9^99,FILTER({ROW(P$2:P1738),P$2:P1738},D$2:D1738=D1739),2)*VLOOKUP(9^99,FILTER({ROW(O$2:O1738),O$2:O1738},D$2:D1738=D1739),2)-N173"&amp;"9)/O1739),J1739))"),"")</f>
        <v/>
      </c>
      <c r="Q1739" s="264" t="str">
        <f>IFERROR(__xludf.DUMMYFUNCTION("IFERROR(IF(F1739=""Crypto"",B1739,(IF(ISBLANK(D1739),"""",IF(D1739=""Cash"",B1739,IF(GOOGLEFINANCE(D1739,""CURRENCY"")=""GBX"",""GBP"",GOOGLEFINANCE(D1739,""CURRENCY"")))))),B1739)"),"")</f>
        <v/>
      </c>
      <c r="R1739" s="263" t="str">
        <f>IFERROR(__xludf.DUMMYFUNCTION("IF(ISBLANK(A1739),"""",IFERROR(IF(OR(Q1739=""GPB"",Q1739=""ZAR""),IF(Q1739=Dashboard!$L$1,K1739,(K1739*GOOGLEFINANCE(""CURRENCY:""&amp;Q1739&amp;""""&amp;Dashboard!$L$1&amp;""""))/100),IF(Q1739=Dashboard!$L$1,K1739,K1739*GOOGLEFINANCE(""CURRENCY:""&amp;Q1739&amp;""""&amp;Dashboard!$"&amp;"L$1&amp;""""))),K1739))"),"")</f>
        <v/>
      </c>
      <c r="S1739" s="266" t="str">
        <f>IFERROR(__xludf.DUMMYFUNCTION("IF(ISBLANK(A1739),"""",IFERROR(IF(OR(Q1739=""GPB"",Q1739=""ZAR""),IF(Q1739=Dashboard!$L$1,M1739,(M1739*GOOGLEFINANCE(""CURRENCY:""&amp;Q1739&amp;""""&amp;Dashboard!$L$1&amp;""""))/100),IF(Q1739=Dashboard!$L$1,M1739,M1739*GOOGLEFINANCE(""CURRENCY:""&amp;Q1739&amp;""""&amp;Dashboard!$"&amp;"L$1&amp;""""))),M1739))"),"")</f>
        <v/>
      </c>
      <c r="T1739" s="264" t="str">
        <f t="shared" si="4"/>
        <v/>
      </c>
      <c r="U1739" s="264" t="str">
        <f t="shared" si="5"/>
        <v/>
      </c>
      <c r="V1739" s="264" t="str">
        <f t="shared" si="6"/>
        <v/>
      </c>
      <c r="W1739" s="267" t="str">
        <f t="shared" si="8"/>
        <v/>
      </c>
      <c r="X1739" s="264" t="str">
        <f t="shared" si="7"/>
        <v/>
      </c>
    </row>
    <row r="1740" ht="15.75" customHeight="1">
      <c r="A1740" s="258"/>
      <c r="B1740" s="258"/>
      <c r="C1740" s="269"/>
      <c r="D1740" s="258"/>
      <c r="E1740" s="258"/>
      <c r="F1740" s="258"/>
      <c r="G1740" s="258"/>
      <c r="H1740" s="271"/>
      <c r="I1740" s="258"/>
      <c r="J1740" s="272"/>
      <c r="K1740" s="260"/>
      <c r="L1740" s="261"/>
      <c r="M1740" s="262" t="str">
        <f t="shared" si="1"/>
        <v/>
      </c>
      <c r="N1740" s="263" t="str">
        <f t="shared" si="2"/>
        <v/>
      </c>
      <c r="O1740" s="264" t="str">
        <f t="shared" si="3"/>
        <v/>
      </c>
      <c r="P1740" s="265" t="str">
        <f>IFERROR(__xludf.DUMMYFUNCTION("IF(ISBLANK(A1740),"""",IFERROR(IF(H1740=""Sell"",VLOOKUP(9^99,FILTER({ROW(P$2:P1739),P$2:P1739},D$2:D1739=D1740),2),(VLOOKUP(9^99,FILTER({ROW(P$2:P1739),P$2:P1739},D$2:D1739=D1740),2)*VLOOKUP(9^99,FILTER({ROW(O$2:O1739),O$2:O1739},D$2:D1739=D1740),2)-N174"&amp;"0)/O1740),J1740))"),"")</f>
        <v/>
      </c>
      <c r="Q1740" s="264" t="str">
        <f>IFERROR(__xludf.DUMMYFUNCTION("IFERROR(IF(F1740=""Crypto"",B1740,(IF(ISBLANK(D1740),"""",IF(D1740=""Cash"",B1740,IF(GOOGLEFINANCE(D1740,""CURRENCY"")=""GBX"",""GBP"",GOOGLEFINANCE(D1740,""CURRENCY"")))))),B1740)"),"")</f>
        <v/>
      </c>
      <c r="R1740" s="263" t="str">
        <f>IFERROR(__xludf.DUMMYFUNCTION("IF(ISBLANK(A1740),"""",IFERROR(IF(OR(Q1740=""GPB"",Q1740=""ZAR""),IF(Q1740=Dashboard!$L$1,K1740,(K1740*GOOGLEFINANCE(""CURRENCY:""&amp;Q1740&amp;""""&amp;Dashboard!$L$1&amp;""""))/100),IF(Q1740=Dashboard!$L$1,K1740,K1740*GOOGLEFINANCE(""CURRENCY:""&amp;Q1740&amp;""""&amp;Dashboard!$"&amp;"L$1&amp;""""))),K1740))"),"")</f>
        <v/>
      </c>
      <c r="S1740" s="266" t="str">
        <f>IFERROR(__xludf.DUMMYFUNCTION("IF(ISBLANK(A1740),"""",IFERROR(IF(OR(Q1740=""GPB"",Q1740=""ZAR""),IF(Q1740=Dashboard!$L$1,M1740,(M1740*GOOGLEFINANCE(""CURRENCY:""&amp;Q1740&amp;""""&amp;Dashboard!$L$1&amp;""""))/100),IF(Q1740=Dashboard!$L$1,M1740,M1740*GOOGLEFINANCE(""CURRENCY:""&amp;Q1740&amp;""""&amp;Dashboard!$"&amp;"L$1&amp;""""))),M1740))"),"")</f>
        <v/>
      </c>
      <c r="T1740" s="264" t="str">
        <f t="shared" si="4"/>
        <v/>
      </c>
      <c r="U1740" s="264" t="str">
        <f t="shared" si="5"/>
        <v/>
      </c>
      <c r="V1740" s="264" t="str">
        <f t="shared" si="6"/>
        <v/>
      </c>
      <c r="W1740" s="267" t="str">
        <f t="shared" si="8"/>
        <v/>
      </c>
      <c r="X1740" s="264" t="str">
        <f t="shared" si="7"/>
        <v/>
      </c>
    </row>
    <row r="1741" ht="15.75" customHeight="1">
      <c r="A1741" s="258"/>
      <c r="B1741" s="258"/>
      <c r="C1741" s="269"/>
      <c r="D1741" s="258"/>
      <c r="E1741" s="258"/>
      <c r="F1741" s="258"/>
      <c r="G1741" s="258"/>
      <c r="H1741" s="271"/>
      <c r="I1741" s="258"/>
      <c r="J1741" s="272"/>
      <c r="K1741" s="260"/>
      <c r="L1741" s="261"/>
      <c r="M1741" s="262" t="str">
        <f t="shared" si="1"/>
        <v/>
      </c>
      <c r="N1741" s="263" t="str">
        <f t="shared" si="2"/>
        <v/>
      </c>
      <c r="O1741" s="264" t="str">
        <f t="shared" si="3"/>
        <v/>
      </c>
      <c r="P1741" s="265" t="str">
        <f>IFERROR(__xludf.DUMMYFUNCTION("IF(ISBLANK(A1741),"""",IFERROR(IF(H1741=""Sell"",VLOOKUP(9^99,FILTER({ROW(P$2:P1740),P$2:P1740},D$2:D1740=D1741),2),(VLOOKUP(9^99,FILTER({ROW(P$2:P1740),P$2:P1740},D$2:D1740=D1741),2)*VLOOKUP(9^99,FILTER({ROW(O$2:O1740),O$2:O1740},D$2:D1740=D1741),2)-N174"&amp;"1)/O1741),J1741))"),"")</f>
        <v/>
      </c>
      <c r="Q1741" s="264" t="str">
        <f>IFERROR(__xludf.DUMMYFUNCTION("IFERROR(IF(F1741=""Crypto"",B1741,(IF(ISBLANK(D1741),"""",IF(D1741=""Cash"",B1741,IF(GOOGLEFINANCE(D1741,""CURRENCY"")=""GBX"",""GBP"",GOOGLEFINANCE(D1741,""CURRENCY"")))))),B1741)"),"")</f>
        <v/>
      </c>
      <c r="R1741" s="263" t="str">
        <f>IFERROR(__xludf.DUMMYFUNCTION("IF(ISBLANK(A1741),"""",IFERROR(IF(OR(Q1741=""GPB"",Q1741=""ZAR""),IF(Q1741=Dashboard!$L$1,K1741,(K1741*GOOGLEFINANCE(""CURRENCY:""&amp;Q1741&amp;""""&amp;Dashboard!$L$1&amp;""""))/100),IF(Q1741=Dashboard!$L$1,K1741,K1741*GOOGLEFINANCE(""CURRENCY:""&amp;Q1741&amp;""""&amp;Dashboard!$"&amp;"L$1&amp;""""))),K1741))"),"")</f>
        <v/>
      </c>
      <c r="S1741" s="266" t="str">
        <f>IFERROR(__xludf.DUMMYFUNCTION("IF(ISBLANK(A1741),"""",IFERROR(IF(OR(Q1741=""GPB"",Q1741=""ZAR""),IF(Q1741=Dashboard!$L$1,M1741,(M1741*GOOGLEFINANCE(""CURRENCY:""&amp;Q1741&amp;""""&amp;Dashboard!$L$1&amp;""""))/100),IF(Q1741=Dashboard!$L$1,M1741,M1741*GOOGLEFINANCE(""CURRENCY:""&amp;Q1741&amp;""""&amp;Dashboard!$"&amp;"L$1&amp;""""))),M1741))"),"")</f>
        <v/>
      </c>
      <c r="T1741" s="264" t="str">
        <f t="shared" si="4"/>
        <v/>
      </c>
      <c r="U1741" s="264" t="str">
        <f t="shared" si="5"/>
        <v/>
      </c>
      <c r="V1741" s="264" t="str">
        <f t="shared" si="6"/>
        <v/>
      </c>
      <c r="W1741" s="267" t="str">
        <f t="shared" si="8"/>
        <v/>
      </c>
      <c r="X1741" s="264" t="str">
        <f t="shared" si="7"/>
        <v/>
      </c>
    </row>
    <row r="1742" ht="15.75" customHeight="1">
      <c r="A1742" s="258"/>
      <c r="B1742" s="258"/>
      <c r="C1742" s="269"/>
      <c r="D1742" s="258"/>
      <c r="E1742" s="258"/>
      <c r="F1742" s="258"/>
      <c r="G1742" s="258"/>
      <c r="H1742" s="271"/>
      <c r="I1742" s="258"/>
      <c r="J1742" s="272"/>
      <c r="K1742" s="260"/>
      <c r="L1742" s="261"/>
      <c r="M1742" s="262" t="str">
        <f t="shared" si="1"/>
        <v/>
      </c>
      <c r="N1742" s="263" t="str">
        <f t="shared" si="2"/>
        <v/>
      </c>
      <c r="O1742" s="264" t="str">
        <f t="shared" si="3"/>
        <v/>
      </c>
      <c r="P1742" s="265" t="str">
        <f>IFERROR(__xludf.DUMMYFUNCTION("IF(ISBLANK(A1742),"""",IFERROR(IF(H1742=""Sell"",VLOOKUP(9^99,FILTER({ROW(P$2:P1741),P$2:P1741},D$2:D1741=D1742),2),(VLOOKUP(9^99,FILTER({ROW(P$2:P1741),P$2:P1741},D$2:D1741=D1742),2)*VLOOKUP(9^99,FILTER({ROW(O$2:O1741),O$2:O1741},D$2:D1741=D1742),2)-N174"&amp;"2)/O1742),J1742))"),"")</f>
        <v/>
      </c>
      <c r="Q1742" s="264" t="str">
        <f>IFERROR(__xludf.DUMMYFUNCTION("IFERROR(IF(F1742=""Crypto"",B1742,(IF(ISBLANK(D1742),"""",IF(D1742=""Cash"",B1742,IF(GOOGLEFINANCE(D1742,""CURRENCY"")=""GBX"",""GBP"",GOOGLEFINANCE(D1742,""CURRENCY"")))))),B1742)"),"")</f>
        <v/>
      </c>
      <c r="R1742" s="263" t="str">
        <f>IFERROR(__xludf.DUMMYFUNCTION("IF(ISBLANK(A1742),"""",IFERROR(IF(OR(Q1742=""GPB"",Q1742=""ZAR""),IF(Q1742=Dashboard!$L$1,K1742,(K1742*GOOGLEFINANCE(""CURRENCY:""&amp;Q1742&amp;""""&amp;Dashboard!$L$1&amp;""""))/100),IF(Q1742=Dashboard!$L$1,K1742,K1742*GOOGLEFINANCE(""CURRENCY:""&amp;Q1742&amp;""""&amp;Dashboard!$"&amp;"L$1&amp;""""))),K1742))"),"")</f>
        <v/>
      </c>
      <c r="S1742" s="266" t="str">
        <f>IFERROR(__xludf.DUMMYFUNCTION("IF(ISBLANK(A1742),"""",IFERROR(IF(OR(Q1742=""GPB"",Q1742=""ZAR""),IF(Q1742=Dashboard!$L$1,M1742,(M1742*GOOGLEFINANCE(""CURRENCY:""&amp;Q1742&amp;""""&amp;Dashboard!$L$1&amp;""""))/100),IF(Q1742=Dashboard!$L$1,M1742,M1742*GOOGLEFINANCE(""CURRENCY:""&amp;Q1742&amp;""""&amp;Dashboard!$"&amp;"L$1&amp;""""))),M1742))"),"")</f>
        <v/>
      </c>
      <c r="T1742" s="264" t="str">
        <f t="shared" si="4"/>
        <v/>
      </c>
      <c r="U1742" s="264" t="str">
        <f t="shared" si="5"/>
        <v/>
      </c>
      <c r="V1742" s="264" t="str">
        <f t="shared" si="6"/>
        <v/>
      </c>
      <c r="W1742" s="267" t="str">
        <f t="shared" si="8"/>
        <v/>
      </c>
      <c r="X1742" s="264" t="str">
        <f t="shared" si="7"/>
        <v/>
      </c>
    </row>
    <row r="1743" ht="15.75" customHeight="1">
      <c r="A1743" s="258"/>
      <c r="B1743" s="258"/>
      <c r="C1743" s="269"/>
      <c r="D1743" s="258"/>
      <c r="E1743" s="258"/>
      <c r="F1743" s="258"/>
      <c r="G1743" s="258"/>
      <c r="H1743" s="271"/>
      <c r="I1743" s="258"/>
      <c r="J1743" s="272"/>
      <c r="K1743" s="260"/>
      <c r="L1743" s="261"/>
      <c r="M1743" s="262" t="str">
        <f t="shared" si="1"/>
        <v/>
      </c>
      <c r="N1743" s="263" t="str">
        <f t="shared" si="2"/>
        <v/>
      </c>
      <c r="O1743" s="264" t="str">
        <f t="shared" si="3"/>
        <v/>
      </c>
      <c r="P1743" s="265" t="str">
        <f>IFERROR(__xludf.DUMMYFUNCTION("IF(ISBLANK(A1743),"""",IFERROR(IF(H1743=""Sell"",VLOOKUP(9^99,FILTER({ROW(P$2:P1742),P$2:P1742},D$2:D1742=D1743),2),(VLOOKUP(9^99,FILTER({ROW(P$2:P1742),P$2:P1742},D$2:D1742=D1743),2)*VLOOKUP(9^99,FILTER({ROW(O$2:O1742),O$2:O1742},D$2:D1742=D1743),2)-N174"&amp;"3)/O1743),J1743))"),"")</f>
        <v/>
      </c>
      <c r="Q1743" s="264" t="str">
        <f>IFERROR(__xludf.DUMMYFUNCTION("IFERROR(IF(F1743=""Crypto"",B1743,(IF(ISBLANK(D1743),"""",IF(D1743=""Cash"",B1743,IF(GOOGLEFINANCE(D1743,""CURRENCY"")=""GBX"",""GBP"",GOOGLEFINANCE(D1743,""CURRENCY"")))))),B1743)"),"")</f>
        <v/>
      </c>
      <c r="R1743" s="263" t="str">
        <f>IFERROR(__xludf.DUMMYFUNCTION("IF(ISBLANK(A1743),"""",IFERROR(IF(OR(Q1743=""GPB"",Q1743=""ZAR""),IF(Q1743=Dashboard!$L$1,K1743,(K1743*GOOGLEFINANCE(""CURRENCY:""&amp;Q1743&amp;""""&amp;Dashboard!$L$1&amp;""""))/100),IF(Q1743=Dashboard!$L$1,K1743,K1743*GOOGLEFINANCE(""CURRENCY:""&amp;Q1743&amp;""""&amp;Dashboard!$"&amp;"L$1&amp;""""))),K1743))"),"")</f>
        <v/>
      </c>
      <c r="S1743" s="266" t="str">
        <f>IFERROR(__xludf.DUMMYFUNCTION("IF(ISBLANK(A1743),"""",IFERROR(IF(OR(Q1743=""GPB"",Q1743=""ZAR""),IF(Q1743=Dashboard!$L$1,M1743,(M1743*GOOGLEFINANCE(""CURRENCY:""&amp;Q1743&amp;""""&amp;Dashboard!$L$1&amp;""""))/100),IF(Q1743=Dashboard!$L$1,M1743,M1743*GOOGLEFINANCE(""CURRENCY:""&amp;Q1743&amp;""""&amp;Dashboard!$"&amp;"L$1&amp;""""))),M1743))"),"")</f>
        <v/>
      </c>
      <c r="T1743" s="264" t="str">
        <f t="shared" si="4"/>
        <v/>
      </c>
      <c r="U1743" s="264" t="str">
        <f t="shared" si="5"/>
        <v/>
      </c>
      <c r="V1743" s="264" t="str">
        <f t="shared" si="6"/>
        <v/>
      </c>
      <c r="W1743" s="267" t="str">
        <f t="shared" si="8"/>
        <v/>
      </c>
      <c r="X1743" s="264" t="str">
        <f t="shared" si="7"/>
        <v/>
      </c>
    </row>
    <row r="1744" ht="15.75" customHeight="1">
      <c r="A1744" s="258"/>
      <c r="B1744" s="258"/>
      <c r="C1744" s="269"/>
      <c r="D1744" s="258"/>
      <c r="E1744" s="258"/>
      <c r="F1744" s="258"/>
      <c r="G1744" s="258"/>
      <c r="H1744" s="271"/>
      <c r="I1744" s="258"/>
      <c r="J1744" s="272"/>
      <c r="K1744" s="260"/>
      <c r="L1744" s="261"/>
      <c r="M1744" s="262" t="str">
        <f t="shared" si="1"/>
        <v/>
      </c>
      <c r="N1744" s="263" t="str">
        <f t="shared" si="2"/>
        <v/>
      </c>
      <c r="O1744" s="264" t="str">
        <f t="shared" si="3"/>
        <v/>
      </c>
      <c r="P1744" s="265" t="str">
        <f>IFERROR(__xludf.DUMMYFUNCTION("IF(ISBLANK(A1744),"""",IFERROR(IF(H1744=""Sell"",VLOOKUP(9^99,FILTER({ROW(P$2:P1743),P$2:P1743},D$2:D1743=D1744),2),(VLOOKUP(9^99,FILTER({ROW(P$2:P1743),P$2:P1743},D$2:D1743=D1744),2)*VLOOKUP(9^99,FILTER({ROW(O$2:O1743),O$2:O1743},D$2:D1743=D1744),2)-N174"&amp;"4)/O1744),J1744))"),"")</f>
        <v/>
      </c>
      <c r="Q1744" s="264" t="str">
        <f>IFERROR(__xludf.DUMMYFUNCTION("IFERROR(IF(F1744=""Crypto"",B1744,(IF(ISBLANK(D1744),"""",IF(D1744=""Cash"",B1744,IF(GOOGLEFINANCE(D1744,""CURRENCY"")=""GBX"",""GBP"",GOOGLEFINANCE(D1744,""CURRENCY"")))))),B1744)"),"")</f>
        <v/>
      </c>
      <c r="R1744" s="263" t="str">
        <f>IFERROR(__xludf.DUMMYFUNCTION("IF(ISBLANK(A1744),"""",IFERROR(IF(OR(Q1744=""GPB"",Q1744=""ZAR""),IF(Q1744=Dashboard!$L$1,K1744,(K1744*GOOGLEFINANCE(""CURRENCY:""&amp;Q1744&amp;""""&amp;Dashboard!$L$1&amp;""""))/100),IF(Q1744=Dashboard!$L$1,K1744,K1744*GOOGLEFINANCE(""CURRENCY:""&amp;Q1744&amp;""""&amp;Dashboard!$"&amp;"L$1&amp;""""))),K1744))"),"")</f>
        <v/>
      </c>
      <c r="S1744" s="266" t="str">
        <f>IFERROR(__xludf.DUMMYFUNCTION("IF(ISBLANK(A1744),"""",IFERROR(IF(OR(Q1744=""GPB"",Q1744=""ZAR""),IF(Q1744=Dashboard!$L$1,M1744,(M1744*GOOGLEFINANCE(""CURRENCY:""&amp;Q1744&amp;""""&amp;Dashboard!$L$1&amp;""""))/100),IF(Q1744=Dashboard!$L$1,M1744,M1744*GOOGLEFINANCE(""CURRENCY:""&amp;Q1744&amp;""""&amp;Dashboard!$"&amp;"L$1&amp;""""))),M1744))"),"")</f>
        <v/>
      </c>
      <c r="T1744" s="264" t="str">
        <f t="shared" si="4"/>
        <v/>
      </c>
      <c r="U1744" s="264" t="str">
        <f t="shared" si="5"/>
        <v/>
      </c>
      <c r="V1744" s="264" t="str">
        <f t="shared" si="6"/>
        <v/>
      </c>
      <c r="W1744" s="267" t="str">
        <f t="shared" si="8"/>
        <v/>
      </c>
      <c r="X1744" s="264" t="str">
        <f t="shared" si="7"/>
        <v/>
      </c>
    </row>
    <row r="1745" ht="15.75" customHeight="1">
      <c r="A1745" s="258"/>
      <c r="B1745" s="258"/>
      <c r="C1745" s="269"/>
      <c r="D1745" s="258"/>
      <c r="E1745" s="258"/>
      <c r="F1745" s="258"/>
      <c r="G1745" s="258"/>
      <c r="H1745" s="271"/>
      <c r="I1745" s="258"/>
      <c r="J1745" s="272"/>
      <c r="K1745" s="260"/>
      <c r="L1745" s="261"/>
      <c r="M1745" s="262" t="str">
        <f t="shared" si="1"/>
        <v/>
      </c>
      <c r="N1745" s="263" t="str">
        <f t="shared" si="2"/>
        <v/>
      </c>
      <c r="O1745" s="264" t="str">
        <f t="shared" si="3"/>
        <v/>
      </c>
      <c r="P1745" s="265" t="str">
        <f>IFERROR(__xludf.DUMMYFUNCTION("IF(ISBLANK(A1745),"""",IFERROR(IF(H1745=""Sell"",VLOOKUP(9^99,FILTER({ROW(P$2:P1744),P$2:P1744},D$2:D1744=D1745),2),(VLOOKUP(9^99,FILTER({ROW(P$2:P1744),P$2:P1744},D$2:D1744=D1745),2)*VLOOKUP(9^99,FILTER({ROW(O$2:O1744),O$2:O1744},D$2:D1744=D1745),2)-N174"&amp;"5)/O1745),J1745))"),"")</f>
        <v/>
      </c>
      <c r="Q1745" s="264" t="str">
        <f>IFERROR(__xludf.DUMMYFUNCTION("IFERROR(IF(F1745=""Crypto"",B1745,(IF(ISBLANK(D1745),"""",IF(D1745=""Cash"",B1745,IF(GOOGLEFINANCE(D1745,""CURRENCY"")=""GBX"",""GBP"",GOOGLEFINANCE(D1745,""CURRENCY"")))))),B1745)"),"")</f>
        <v/>
      </c>
      <c r="R1745" s="263" t="str">
        <f>IFERROR(__xludf.DUMMYFUNCTION("IF(ISBLANK(A1745),"""",IFERROR(IF(OR(Q1745=""GPB"",Q1745=""ZAR""),IF(Q1745=Dashboard!$L$1,K1745,(K1745*GOOGLEFINANCE(""CURRENCY:""&amp;Q1745&amp;""""&amp;Dashboard!$L$1&amp;""""))/100),IF(Q1745=Dashboard!$L$1,K1745,K1745*GOOGLEFINANCE(""CURRENCY:""&amp;Q1745&amp;""""&amp;Dashboard!$"&amp;"L$1&amp;""""))),K1745))"),"")</f>
        <v/>
      </c>
      <c r="S1745" s="266" t="str">
        <f>IFERROR(__xludf.DUMMYFUNCTION("IF(ISBLANK(A1745),"""",IFERROR(IF(OR(Q1745=""GPB"",Q1745=""ZAR""),IF(Q1745=Dashboard!$L$1,M1745,(M1745*GOOGLEFINANCE(""CURRENCY:""&amp;Q1745&amp;""""&amp;Dashboard!$L$1&amp;""""))/100),IF(Q1745=Dashboard!$L$1,M1745,M1745*GOOGLEFINANCE(""CURRENCY:""&amp;Q1745&amp;""""&amp;Dashboard!$"&amp;"L$1&amp;""""))),M1745))"),"")</f>
        <v/>
      </c>
      <c r="T1745" s="264" t="str">
        <f t="shared" si="4"/>
        <v/>
      </c>
      <c r="U1745" s="264" t="str">
        <f t="shared" si="5"/>
        <v/>
      </c>
      <c r="V1745" s="264" t="str">
        <f t="shared" si="6"/>
        <v/>
      </c>
      <c r="W1745" s="267" t="str">
        <f t="shared" si="8"/>
        <v/>
      </c>
      <c r="X1745" s="264" t="str">
        <f t="shared" si="7"/>
        <v/>
      </c>
    </row>
    <row r="1746" ht="15.75" customHeight="1">
      <c r="A1746" s="258"/>
      <c r="B1746" s="258"/>
      <c r="C1746" s="269"/>
      <c r="D1746" s="258"/>
      <c r="E1746" s="258"/>
      <c r="F1746" s="258"/>
      <c r="G1746" s="258"/>
      <c r="H1746" s="271"/>
      <c r="I1746" s="258"/>
      <c r="J1746" s="272"/>
      <c r="K1746" s="260"/>
      <c r="L1746" s="261"/>
      <c r="M1746" s="262" t="str">
        <f t="shared" si="1"/>
        <v/>
      </c>
      <c r="N1746" s="263" t="str">
        <f t="shared" si="2"/>
        <v/>
      </c>
      <c r="O1746" s="264" t="str">
        <f t="shared" si="3"/>
        <v/>
      </c>
      <c r="P1746" s="265" t="str">
        <f>IFERROR(__xludf.DUMMYFUNCTION("IF(ISBLANK(A1746),"""",IFERROR(IF(H1746=""Sell"",VLOOKUP(9^99,FILTER({ROW(P$2:P1745),P$2:P1745},D$2:D1745=D1746),2),(VLOOKUP(9^99,FILTER({ROW(P$2:P1745),P$2:P1745},D$2:D1745=D1746),2)*VLOOKUP(9^99,FILTER({ROW(O$2:O1745),O$2:O1745},D$2:D1745=D1746),2)-N174"&amp;"6)/O1746),J1746))"),"")</f>
        <v/>
      </c>
      <c r="Q1746" s="264" t="str">
        <f>IFERROR(__xludf.DUMMYFUNCTION("IFERROR(IF(F1746=""Crypto"",B1746,(IF(ISBLANK(D1746),"""",IF(D1746=""Cash"",B1746,IF(GOOGLEFINANCE(D1746,""CURRENCY"")=""GBX"",""GBP"",GOOGLEFINANCE(D1746,""CURRENCY"")))))),B1746)"),"")</f>
        <v/>
      </c>
      <c r="R1746" s="263" t="str">
        <f>IFERROR(__xludf.DUMMYFUNCTION("IF(ISBLANK(A1746),"""",IFERROR(IF(OR(Q1746=""GPB"",Q1746=""ZAR""),IF(Q1746=Dashboard!$L$1,K1746,(K1746*GOOGLEFINANCE(""CURRENCY:""&amp;Q1746&amp;""""&amp;Dashboard!$L$1&amp;""""))/100),IF(Q1746=Dashboard!$L$1,K1746,K1746*GOOGLEFINANCE(""CURRENCY:""&amp;Q1746&amp;""""&amp;Dashboard!$"&amp;"L$1&amp;""""))),K1746))"),"")</f>
        <v/>
      </c>
      <c r="S1746" s="266" t="str">
        <f>IFERROR(__xludf.DUMMYFUNCTION("IF(ISBLANK(A1746),"""",IFERROR(IF(OR(Q1746=""GPB"",Q1746=""ZAR""),IF(Q1746=Dashboard!$L$1,M1746,(M1746*GOOGLEFINANCE(""CURRENCY:""&amp;Q1746&amp;""""&amp;Dashboard!$L$1&amp;""""))/100),IF(Q1746=Dashboard!$L$1,M1746,M1746*GOOGLEFINANCE(""CURRENCY:""&amp;Q1746&amp;""""&amp;Dashboard!$"&amp;"L$1&amp;""""))),M1746))"),"")</f>
        <v/>
      </c>
      <c r="T1746" s="264" t="str">
        <f t="shared" si="4"/>
        <v/>
      </c>
      <c r="U1746" s="264" t="str">
        <f t="shared" si="5"/>
        <v/>
      </c>
      <c r="V1746" s="264" t="str">
        <f t="shared" si="6"/>
        <v/>
      </c>
      <c r="W1746" s="267" t="str">
        <f t="shared" si="8"/>
        <v/>
      </c>
      <c r="X1746" s="264" t="str">
        <f t="shared" si="7"/>
        <v/>
      </c>
    </row>
    <row r="1747" ht="15.75" customHeight="1">
      <c r="A1747" s="258"/>
      <c r="B1747" s="258"/>
      <c r="C1747" s="269"/>
      <c r="D1747" s="258"/>
      <c r="E1747" s="258"/>
      <c r="F1747" s="258"/>
      <c r="G1747" s="258"/>
      <c r="H1747" s="271"/>
      <c r="I1747" s="258"/>
      <c r="J1747" s="272"/>
      <c r="K1747" s="260"/>
      <c r="L1747" s="261"/>
      <c r="M1747" s="262" t="str">
        <f t="shared" si="1"/>
        <v/>
      </c>
      <c r="N1747" s="263" t="str">
        <f t="shared" si="2"/>
        <v/>
      </c>
      <c r="O1747" s="264" t="str">
        <f t="shared" si="3"/>
        <v/>
      </c>
      <c r="P1747" s="265" t="str">
        <f>IFERROR(__xludf.DUMMYFUNCTION("IF(ISBLANK(A1747),"""",IFERROR(IF(H1747=""Sell"",VLOOKUP(9^99,FILTER({ROW(P$2:P1746),P$2:P1746},D$2:D1746=D1747),2),(VLOOKUP(9^99,FILTER({ROW(P$2:P1746),P$2:P1746},D$2:D1746=D1747),2)*VLOOKUP(9^99,FILTER({ROW(O$2:O1746),O$2:O1746},D$2:D1746=D1747),2)-N174"&amp;"7)/O1747),J1747))"),"")</f>
        <v/>
      </c>
      <c r="Q1747" s="264" t="str">
        <f>IFERROR(__xludf.DUMMYFUNCTION("IFERROR(IF(F1747=""Crypto"",B1747,(IF(ISBLANK(D1747),"""",IF(D1747=""Cash"",B1747,IF(GOOGLEFINANCE(D1747,""CURRENCY"")=""GBX"",""GBP"",GOOGLEFINANCE(D1747,""CURRENCY"")))))),B1747)"),"")</f>
        <v/>
      </c>
      <c r="R1747" s="263" t="str">
        <f>IFERROR(__xludf.DUMMYFUNCTION("IF(ISBLANK(A1747),"""",IFERROR(IF(OR(Q1747=""GPB"",Q1747=""ZAR""),IF(Q1747=Dashboard!$L$1,K1747,(K1747*GOOGLEFINANCE(""CURRENCY:""&amp;Q1747&amp;""""&amp;Dashboard!$L$1&amp;""""))/100),IF(Q1747=Dashboard!$L$1,K1747,K1747*GOOGLEFINANCE(""CURRENCY:""&amp;Q1747&amp;""""&amp;Dashboard!$"&amp;"L$1&amp;""""))),K1747))"),"")</f>
        <v/>
      </c>
      <c r="S1747" s="266" t="str">
        <f>IFERROR(__xludf.DUMMYFUNCTION("IF(ISBLANK(A1747),"""",IFERROR(IF(OR(Q1747=""GPB"",Q1747=""ZAR""),IF(Q1747=Dashboard!$L$1,M1747,(M1747*GOOGLEFINANCE(""CURRENCY:""&amp;Q1747&amp;""""&amp;Dashboard!$L$1&amp;""""))/100),IF(Q1747=Dashboard!$L$1,M1747,M1747*GOOGLEFINANCE(""CURRENCY:""&amp;Q1747&amp;""""&amp;Dashboard!$"&amp;"L$1&amp;""""))),M1747))"),"")</f>
        <v/>
      </c>
      <c r="T1747" s="264" t="str">
        <f t="shared" si="4"/>
        <v/>
      </c>
      <c r="U1747" s="264" t="str">
        <f t="shared" si="5"/>
        <v/>
      </c>
      <c r="V1747" s="264" t="str">
        <f t="shared" si="6"/>
        <v/>
      </c>
      <c r="W1747" s="267" t="str">
        <f t="shared" si="8"/>
        <v/>
      </c>
      <c r="X1747" s="264" t="str">
        <f t="shared" si="7"/>
        <v/>
      </c>
    </row>
    <row r="1748" ht="15.75" customHeight="1">
      <c r="A1748" s="258"/>
      <c r="B1748" s="258"/>
      <c r="C1748" s="269"/>
      <c r="D1748" s="258"/>
      <c r="E1748" s="258"/>
      <c r="F1748" s="258"/>
      <c r="G1748" s="258"/>
      <c r="H1748" s="271"/>
      <c r="I1748" s="258"/>
      <c r="J1748" s="272"/>
      <c r="K1748" s="260"/>
      <c r="L1748" s="261"/>
      <c r="M1748" s="262" t="str">
        <f t="shared" si="1"/>
        <v/>
      </c>
      <c r="N1748" s="263" t="str">
        <f t="shared" si="2"/>
        <v/>
      </c>
      <c r="O1748" s="264" t="str">
        <f t="shared" si="3"/>
        <v/>
      </c>
      <c r="P1748" s="265" t="str">
        <f>IFERROR(__xludf.DUMMYFUNCTION("IF(ISBLANK(A1748),"""",IFERROR(IF(H1748=""Sell"",VLOOKUP(9^99,FILTER({ROW(P$2:P1747),P$2:P1747},D$2:D1747=D1748),2),(VLOOKUP(9^99,FILTER({ROW(P$2:P1747),P$2:P1747},D$2:D1747=D1748),2)*VLOOKUP(9^99,FILTER({ROW(O$2:O1747),O$2:O1747},D$2:D1747=D1748),2)-N174"&amp;"8)/O1748),J1748))"),"")</f>
        <v/>
      </c>
      <c r="Q1748" s="264" t="str">
        <f>IFERROR(__xludf.DUMMYFUNCTION("IFERROR(IF(F1748=""Crypto"",B1748,(IF(ISBLANK(D1748),"""",IF(D1748=""Cash"",B1748,IF(GOOGLEFINANCE(D1748,""CURRENCY"")=""GBX"",""GBP"",GOOGLEFINANCE(D1748,""CURRENCY"")))))),B1748)"),"")</f>
        <v/>
      </c>
      <c r="R1748" s="263" t="str">
        <f>IFERROR(__xludf.DUMMYFUNCTION("IF(ISBLANK(A1748),"""",IFERROR(IF(OR(Q1748=""GPB"",Q1748=""ZAR""),IF(Q1748=Dashboard!$L$1,K1748,(K1748*GOOGLEFINANCE(""CURRENCY:""&amp;Q1748&amp;""""&amp;Dashboard!$L$1&amp;""""))/100),IF(Q1748=Dashboard!$L$1,K1748,K1748*GOOGLEFINANCE(""CURRENCY:""&amp;Q1748&amp;""""&amp;Dashboard!$"&amp;"L$1&amp;""""))),K1748))"),"")</f>
        <v/>
      </c>
      <c r="S1748" s="266" t="str">
        <f>IFERROR(__xludf.DUMMYFUNCTION("IF(ISBLANK(A1748),"""",IFERROR(IF(OR(Q1748=""GPB"",Q1748=""ZAR""),IF(Q1748=Dashboard!$L$1,M1748,(M1748*GOOGLEFINANCE(""CURRENCY:""&amp;Q1748&amp;""""&amp;Dashboard!$L$1&amp;""""))/100),IF(Q1748=Dashboard!$L$1,M1748,M1748*GOOGLEFINANCE(""CURRENCY:""&amp;Q1748&amp;""""&amp;Dashboard!$"&amp;"L$1&amp;""""))),M1748))"),"")</f>
        <v/>
      </c>
      <c r="T1748" s="264" t="str">
        <f t="shared" si="4"/>
        <v/>
      </c>
      <c r="U1748" s="264" t="str">
        <f t="shared" si="5"/>
        <v/>
      </c>
      <c r="V1748" s="264" t="str">
        <f t="shared" si="6"/>
        <v/>
      </c>
      <c r="W1748" s="267" t="str">
        <f t="shared" si="8"/>
        <v/>
      </c>
      <c r="X1748" s="264" t="str">
        <f t="shared" si="7"/>
        <v/>
      </c>
    </row>
    <row r="1749" ht="15.75" customHeight="1">
      <c r="A1749" s="258"/>
      <c r="B1749" s="258"/>
      <c r="C1749" s="269"/>
      <c r="D1749" s="258"/>
      <c r="E1749" s="258"/>
      <c r="F1749" s="258"/>
      <c r="G1749" s="258"/>
      <c r="H1749" s="271"/>
      <c r="I1749" s="258"/>
      <c r="J1749" s="272"/>
      <c r="K1749" s="260"/>
      <c r="L1749" s="261"/>
      <c r="M1749" s="262" t="str">
        <f t="shared" si="1"/>
        <v/>
      </c>
      <c r="N1749" s="263" t="str">
        <f t="shared" si="2"/>
        <v/>
      </c>
      <c r="O1749" s="264" t="str">
        <f t="shared" si="3"/>
        <v/>
      </c>
      <c r="P1749" s="265" t="str">
        <f>IFERROR(__xludf.DUMMYFUNCTION("IF(ISBLANK(A1749),"""",IFERROR(IF(H1749=""Sell"",VLOOKUP(9^99,FILTER({ROW(P$2:P1748),P$2:P1748},D$2:D1748=D1749),2),(VLOOKUP(9^99,FILTER({ROW(P$2:P1748),P$2:P1748},D$2:D1748=D1749),2)*VLOOKUP(9^99,FILTER({ROW(O$2:O1748),O$2:O1748},D$2:D1748=D1749),2)-N174"&amp;"9)/O1749),J1749))"),"")</f>
        <v/>
      </c>
      <c r="Q1749" s="264" t="str">
        <f>IFERROR(__xludf.DUMMYFUNCTION("IFERROR(IF(F1749=""Crypto"",B1749,(IF(ISBLANK(D1749),"""",IF(D1749=""Cash"",B1749,IF(GOOGLEFINANCE(D1749,""CURRENCY"")=""GBX"",""GBP"",GOOGLEFINANCE(D1749,""CURRENCY"")))))),B1749)"),"")</f>
        <v/>
      </c>
      <c r="R1749" s="263" t="str">
        <f>IFERROR(__xludf.DUMMYFUNCTION("IF(ISBLANK(A1749),"""",IFERROR(IF(OR(Q1749=""GPB"",Q1749=""ZAR""),IF(Q1749=Dashboard!$L$1,K1749,(K1749*GOOGLEFINANCE(""CURRENCY:""&amp;Q1749&amp;""""&amp;Dashboard!$L$1&amp;""""))/100),IF(Q1749=Dashboard!$L$1,K1749,K1749*GOOGLEFINANCE(""CURRENCY:""&amp;Q1749&amp;""""&amp;Dashboard!$"&amp;"L$1&amp;""""))),K1749))"),"")</f>
        <v/>
      </c>
      <c r="S1749" s="266" t="str">
        <f>IFERROR(__xludf.DUMMYFUNCTION("IF(ISBLANK(A1749),"""",IFERROR(IF(OR(Q1749=""GPB"",Q1749=""ZAR""),IF(Q1749=Dashboard!$L$1,M1749,(M1749*GOOGLEFINANCE(""CURRENCY:""&amp;Q1749&amp;""""&amp;Dashboard!$L$1&amp;""""))/100),IF(Q1749=Dashboard!$L$1,M1749,M1749*GOOGLEFINANCE(""CURRENCY:""&amp;Q1749&amp;""""&amp;Dashboard!$"&amp;"L$1&amp;""""))),M1749))"),"")</f>
        <v/>
      </c>
      <c r="T1749" s="264" t="str">
        <f t="shared" si="4"/>
        <v/>
      </c>
      <c r="U1749" s="264" t="str">
        <f t="shared" si="5"/>
        <v/>
      </c>
      <c r="V1749" s="264" t="str">
        <f t="shared" si="6"/>
        <v/>
      </c>
      <c r="W1749" s="267" t="str">
        <f t="shared" si="8"/>
        <v/>
      </c>
      <c r="X1749" s="264" t="str">
        <f t="shared" si="7"/>
        <v/>
      </c>
    </row>
    <row r="1750" ht="15.75" customHeight="1">
      <c r="A1750" s="258"/>
      <c r="B1750" s="258"/>
      <c r="C1750" s="269"/>
      <c r="D1750" s="258"/>
      <c r="E1750" s="258"/>
      <c r="F1750" s="258"/>
      <c r="G1750" s="258"/>
      <c r="H1750" s="271"/>
      <c r="I1750" s="258"/>
      <c r="J1750" s="272"/>
      <c r="K1750" s="260"/>
      <c r="L1750" s="261"/>
      <c r="M1750" s="262" t="str">
        <f t="shared" si="1"/>
        <v/>
      </c>
      <c r="N1750" s="263" t="str">
        <f t="shared" si="2"/>
        <v/>
      </c>
      <c r="O1750" s="264" t="str">
        <f t="shared" si="3"/>
        <v/>
      </c>
      <c r="P1750" s="265" t="str">
        <f>IFERROR(__xludf.DUMMYFUNCTION("IF(ISBLANK(A1750),"""",IFERROR(IF(H1750=""Sell"",VLOOKUP(9^99,FILTER({ROW(P$2:P1749),P$2:P1749},D$2:D1749=D1750),2),(VLOOKUP(9^99,FILTER({ROW(P$2:P1749),P$2:P1749},D$2:D1749=D1750),2)*VLOOKUP(9^99,FILTER({ROW(O$2:O1749),O$2:O1749},D$2:D1749=D1750),2)-N175"&amp;"0)/O1750),J1750))"),"")</f>
        <v/>
      </c>
      <c r="Q1750" s="264" t="str">
        <f>IFERROR(__xludf.DUMMYFUNCTION("IFERROR(IF(F1750=""Crypto"",B1750,(IF(ISBLANK(D1750),"""",IF(D1750=""Cash"",B1750,IF(GOOGLEFINANCE(D1750,""CURRENCY"")=""GBX"",""GBP"",GOOGLEFINANCE(D1750,""CURRENCY"")))))),B1750)"),"")</f>
        <v/>
      </c>
      <c r="R1750" s="263" t="str">
        <f>IFERROR(__xludf.DUMMYFUNCTION("IF(ISBLANK(A1750),"""",IFERROR(IF(OR(Q1750=""GPB"",Q1750=""ZAR""),IF(Q1750=Dashboard!$L$1,K1750,(K1750*GOOGLEFINANCE(""CURRENCY:""&amp;Q1750&amp;""""&amp;Dashboard!$L$1&amp;""""))/100),IF(Q1750=Dashboard!$L$1,K1750,K1750*GOOGLEFINANCE(""CURRENCY:""&amp;Q1750&amp;""""&amp;Dashboard!$"&amp;"L$1&amp;""""))),K1750))"),"")</f>
        <v/>
      </c>
      <c r="S1750" s="266" t="str">
        <f>IFERROR(__xludf.DUMMYFUNCTION("IF(ISBLANK(A1750),"""",IFERROR(IF(OR(Q1750=""GPB"",Q1750=""ZAR""),IF(Q1750=Dashboard!$L$1,M1750,(M1750*GOOGLEFINANCE(""CURRENCY:""&amp;Q1750&amp;""""&amp;Dashboard!$L$1&amp;""""))/100),IF(Q1750=Dashboard!$L$1,M1750,M1750*GOOGLEFINANCE(""CURRENCY:""&amp;Q1750&amp;""""&amp;Dashboard!$"&amp;"L$1&amp;""""))),M1750))"),"")</f>
        <v/>
      </c>
      <c r="T1750" s="264" t="str">
        <f t="shared" si="4"/>
        <v/>
      </c>
      <c r="U1750" s="264" t="str">
        <f t="shared" si="5"/>
        <v/>
      </c>
      <c r="V1750" s="264" t="str">
        <f t="shared" si="6"/>
        <v/>
      </c>
      <c r="W1750" s="267" t="str">
        <f t="shared" si="8"/>
        <v/>
      </c>
      <c r="X1750" s="264" t="str">
        <f t="shared" si="7"/>
        <v/>
      </c>
    </row>
    <row r="1751" ht="15.75" customHeight="1">
      <c r="A1751" s="258"/>
      <c r="B1751" s="258"/>
      <c r="C1751" s="269"/>
      <c r="D1751" s="258"/>
      <c r="E1751" s="258"/>
      <c r="F1751" s="258"/>
      <c r="G1751" s="258"/>
      <c r="H1751" s="271"/>
      <c r="I1751" s="258"/>
      <c r="J1751" s="272"/>
      <c r="K1751" s="260"/>
      <c r="L1751" s="261"/>
      <c r="M1751" s="262" t="str">
        <f t="shared" si="1"/>
        <v/>
      </c>
      <c r="N1751" s="263" t="str">
        <f t="shared" si="2"/>
        <v/>
      </c>
      <c r="O1751" s="264" t="str">
        <f t="shared" si="3"/>
        <v/>
      </c>
      <c r="P1751" s="265" t="str">
        <f>IFERROR(__xludf.DUMMYFUNCTION("IF(ISBLANK(A1751),"""",IFERROR(IF(H1751=""Sell"",VLOOKUP(9^99,FILTER({ROW(P$2:P1750),P$2:P1750},D$2:D1750=D1751),2),(VLOOKUP(9^99,FILTER({ROW(P$2:P1750),P$2:P1750},D$2:D1750=D1751),2)*VLOOKUP(9^99,FILTER({ROW(O$2:O1750),O$2:O1750},D$2:D1750=D1751),2)-N175"&amp;"1)/O1751),J1751))"),"")</f>
        <v/>
      </c>
      <c r="Q1751" s="264" t="str">
        <f>IFERROR(__xludf.DUMMYFUNCTION("IFERROR(IF(F1751=""Crypto"",B1751,(IF(ISBLANK(D1751),"""",IF(D1751=""Cash"",B1751,IF(GOOGLEFINANCE(D1751,""CURRENCY"")=""GBX"",""GBP"",GOOGLEFINANCE(D1751,""CURRENCY"")))))),B1751)"),"")</f>
        <v/>
      </c>
      <c r="R1751" s="263" t="str">
        <f>IFERROR(__xludf.DUMMYFUNCTION("IF(ISBLANK(A1751),"""",IFERROR(IF(OR(Q1751=""GPB"",Q1751=""ZAR""),IF(Q1751=Dashboard!$L$1,K1751,(K1751*GOOGLEFINANCE(""CURRENCY:""&amp;Q1751&amp;""""&amp;Dashboard!$L$1&amp;""""))/100),IF(Q1751=Dashboard!$L$1,K1751,K1751*GOOGLEFINANCE(""CURRENCY:""&amp;Q1751&amp;""""&amp;Dashboard!$"&amp;"L$1&amp;""""))),K1751))"),"")</f>
        <v/>
      </c>
      <c r="S1751" s="266" t="str">
        <f>IFERROR(__xludf.DUMMYFUNCTION("IF(ISBLANK(A1751),"""",IFERROR(IF(OR(Q1751=""GPB"",Q1751=""ZAR""),IF(Q1751=Dashboard!$L$1,M1751,(M1751*GOOGLEFINANCE(""CURRENCY:""&amp;Q1751&amp;""""&amp;Dashboard!$L$1&amp;""""))/100),IF(Q1751=Dashboard!$L$1,M1751,M1751*GOOGLEFINANCE(""CURRENCY:""&amp;Q1751&amp;""""&amp;Dashboard!$"&amp;"L$1&amp;""""))),M1751))"),"")</f>
        <v/>
      </c>
      <c r="T1751" s="264" t="str">
        <f t="shared" si="4"/>
        <v/>
      </c>
      <c r="U1751" s="264" t="str">
        <f t="shared" si="5"/>
        <v/>
      </c>
      <c r="V1751" s="264" t="str">
        <f t="shared" si="6"/>
        <v/>
      </c>
      <c r="W1751" s="267" t="str">
        <f t="shared" si="8"/>
        <v/>
      </c>
      <c r="X1751" s="264" t="str">
        <f t="shared" si="7"/>
        <v/>
      </c>
    </row>
    <row r="1752" ht="15.75" customHeight="1">
      <c r="A1752" s="258"/>
      <c r="B1752" s="258"/>
      <c r="C1752" s="269"/>
      <c r="D1752" s="258"/>
      <c r="E1752" s="258"/>
      <c r="F1752" s="258"/>
      <c r="G1752" s="258"/>
      <c r="H1752" s="271"/>
      <c r="I1752" s="258"/>
      <c r="J1752" s="272"/>
      <c r="K1752" s="260"/>
      <c r="L1752" s="261"/>
      <c r="M1752" s="262" t="str">
        <f t="shared" si="1"/>
        <v/>
      </c>
      <c r="N1752" s="263" t="str">
        <f t="shared" si="2"/>
        <v/>
      </c>
      <c r="O1752" s="264" t="str">
        <f t="shared" si="3"/>
        <v/>
      </c>
      <c r="P1752" s="265" t="str">
        <f>IFERROR(__xludf.DUMMYFUNCTION("IF(ISBLANK(A1752),"""",IFERROR(IF(H1752=""Sell"",VLOOKUP(9^99,FILTER({ROW(P$2:P1751),P$2:P1751},D$2:D1751=D1752),2),(VLOOKUP(9^99,FILTER({ROW(P$2:P1751),P$2:P1751},D$2:D1751=D1752),2)*VLOOKUP(9^99,FILTER({ROW(O$2:O1751),O$2:O1751},D$2:D1751=D1752),2)-N175"&amp;"2)/O1752),J1752))"),"")</f>
        <v/>
      </c>
      <c r="Q1752" s="264" t="str">
        <f>IFERROR(__xludf.DUMMYFUNCTION("IFERROR(IF(F1752=""Crypto"",B1752,(IF(ISBLANK(D1752),"""",IF(D1752=""Cash"",B1752,IF(GOOGLEFINANCE(D1752,""CURRENCY"")=""GBX"",""GBP"",GOOGLEFINANCE(D1752,""CURRENCY"")))))),B1752)"),"")</f>
        <v/>
      </c>
      <c r="R1752" s="263" t="str">
        <f>IFERROR(__xludf.DUMMYFUNCTION("IF(ISBLANK(A1752),"""",IFERROR(IF(OR(Q1752=""GPB"",Q1752=""ZAR""),IF(Q1752=Dashboard!$L$1,K1752,(K1752*GOOGLEFINANCE(""CURRENCY:""&amp;Q1752&amp;""""&amp;Dashboard!$L$1&amp;""""))/100),IF(Q1752=Dashboard!$L$1,K1752,K1752*GOOGLEFINANCE(""CURRENCY:""&amp;Q1752&amp;""""&amp;Dashboard!$"&amp;"L$1&amp;""""))),K1752))"),"")</f>
        <v/>
      </c>
      <c r="S1752" s="266" t="str">
        <f>IFERROR(__xludf.DUMMYFUNCTION("IF(ISBLANK(A1752),"""",IFERROR(IF(OR(Q1752=""GPB"",Q1752=""ZAR""),IF(Q1752=Dashboard!$L$1,M1752,(M1752*GOOGLEFINANCE(""CURRENCY:""&amp;Q1752&amp;""""&amp;Dashboard!$L$1&amp;""""))/100),IF(Q1752=Dashboard!$L$1,M1752,M1752*GOOGLEFINANCE(""CURRENCY:""&amp;Q1752&amp;""""&amp;Dashboard!$"&amp;"L$1&amp;""""))),M1752))"),"")</f>
        <v/>
      </c>
      <c r="T1752" s="264" t="str">
        <f t="shared" si="4"/>
        <v/>
      </c>
      <c r="U1752" s="264" t="str">
        <f t="shared" si="5"/>
        <v/>
      </c>
      <c r="V1752" s="264" t="str">
        <f t="shared" si="6"/>
        <v/>
      </c>
      <c r="W1752" s="267" t="str">
        <f t="shared" si="8"/>
        <v/>
      </c>
      <c r="X1752" s="264" t="str">
        <f t="shared" si="7"/>
        <v/>
      </c>
    </row>
    <row r="1753" ht="15.75" customHeight="1">
      <c r="A1753" s="258"/>
      <c r="B1753" s="258"/>
      <c r="C1753" s="269"/>
      <c r="D1753" s="258"/>
      <c r="E1753" s="258"/>
      <c r="F1753" s="258"/>
      <c r="G1753" s="258"/>
      <c r="H1753" s="271"/>
      <c r="I1753" s="258"/>
      <c r="J1753" s="272"/>
      <c r="K1753" s="260"/>
      <c r="L1753" s="261"/>
      <c r="M1753" s="262" t="str">
        <f t="shared" si="1"/>
        <v/>
      </c>
      <c r="N1753" s="263" t="str">
        <f t="shared" si="2"/>
        <v/>
      </c>
      <c r="O1753" s="264" t="str">
        <f t="shared" si="3"/>
        <v/>
      </c>
      <c r="P1753" s="265" t="str">
        <f>IFERROR(__xludf.DUMMYFUNCTION("IF(ISBLANK(A1753),"""",IFERROR(IF(H1753=""Sell"",VLOOKUP(9^99,FILTER({ROW(P$2:P1752),P$2:P1752},D$2:D1752=D1753),2),(VLOOKUP(9^99,FILTER({ROW(P$2:P1752),P$2:P1752},D$2:D1752=D1753),2)*VLOOKUP(9^99,FILTER({ROW(O$2:O1752),O$2:O1752},D$2:D1752=D1753),2)-N175"&amp;"3)/O1753),J1753))"),"")</f>
        <v/>
      </c>
      <c r="Q1753" s="264" t="str">
        <f>IFERROR(__xludf.DUMMYFUNCTION("IFERROR(IF(F1753=""Crypto"",B1753,(IF(ISBLANK(D1753),"""",IF(D1753=""Cash"",B1753,IF(GOOGLEFINANCE(D1753,""CURRENCY"")=""GBX"",""GBP"",GOOGLEFINANCE(D1753,""CURRENCY"")))))),B1753)"),"")</f>
        <v/>
      </c>
      <c r="R1753" s="263" t="str">
        <f>IFERROR(__xludf.DUMMYFUNCTION("IF(ISBLANK(A1753),"""",IFERROR(IF(OR(Q1753=""GPB"",Q1753=""ZAR""),IF(Q1753=Dashboard!$L$1,K1753,(K1753*GOOGLEFINANCE(""CURRENCY:""&amp;Q1753&amp;""""&amp;Dashboard!$L$1&amp;""""))/100),IF(Q1753=Dashboard!$L$1,K1753,K1753*GOOGLEFINANCE(""CURRENCY:""&amp;Q1753&amp;""""&amp;Dashboard!$"&amp;"L$1&amp;""""))),K1753))"),"")</f>
        <v/>
      </c>
      <c r="S1753" s="266" t="str">
        <f>IFERROR(__xludf.DUMMYFUNCTION("IF(ISBLANK(A1753),"""",IFERROR(IF(OR(Q1753=""GPB"",Q1753=""ZAR""),IF(Q1753=Dashboard!$L$1,M1753,(M1753*GOOGLEFINANCE(""CURRENCY:""&amp;Q1753&amp;""""&amp;Dashboard!$L$1&amp;""""))/100),IF(Q1753=Dashboard!$L$1,M1753,M1753*GOOGLEFINANCE(""CURRENCY:""&amp;Q1753&amp;""""&amp;Dashboard!$"&amp;"L$1&amp;""""))),M1753))"),"")</f>
        <v/>
      </c>
      <c r="T1753" s="264" t="str">
        <f t="shared" si="4"/>
        <v/>
      </c>
      <c r="U1753" s="264" t="str">
        <f t="shared" si="5"/>
        <v/>
      </c>
      <c r="V1753" s="264" t="str">
        <f t="shared" si="6"/>
        <v/>
      </c>
      <c r="W1753" s="267" t="str">
        <f t="shared" si="8"/>
        <v/>
      </c>
      <c r="X1753" s="264" t="str">
        <f t="shared" si="7"/>
        <v/>
      </c>
    </row>
    <row r="1754" ht="15.75" customHeight="1">
      <c r="A1754" s="258"/>
      <c r="B1754" s="258"/>
      <c r="C1754" s="269"/>
      <c r="D1754" s="258"/>
      <c r="E1754" s="258"/>
      <c r="F1754" s="258"/>
      <c r="G1754" s="258"/>
      <c r="H1754" s="271"/>
      <c r="I1754" s="258"/>
      <c r="J1754" s="272"/>
      <c r="K1754" s="260"/>
      <c r="L1754" s="261"/>
      <c r="M1754" s="262" t="str">
        <f t="shared" si="1"/>
        <v/>
      </c>
      <c r="N1754" s="263" t="str">
        <f t="shared" si="2"/>
        <v/>
      </c>
      <c r="O1754" s="264" t="str">
        <f t="shared" si="3"/>
        <v/>
      </c>
      <c r="P1754" s="265" t="str">
        <f>IFERROR(__xludf.DUMMYFUNCTION("IF(ISBLANK(A1754),"""",IFERROR(IF(H1754=""Sell"",VLOOKUP(9^99,FILTER({ROW(P$2:P1753),P$2:P1753},D$2:D1753=D1754),2),(VLOOKUP(9^99,FILTER({ROW(P$2:P1753),P$2:P1753},D$2:D1753=D1754),2)*VLOOKUP(9^99,FILTER({ROW(O$2:O1753),O$2:O1753},D$2:D1753=D1754),2)-N175"&amp;"4)/O1754),J1754))"),"")</f>
        <v/>
      </c>
      <c r="Q1754" s="264" t="str">
        <f>IFERROR(__xludf.DUMMYFUNCTION("IFERROR(IF(F1754=""Crypto"",B1754,(IF(ISBLANK(D1754),"""",IF(D1754=""Cash"",B1754,IF(GOOGLEFINANCE(D1754,""CURRENCY"")=""GBX"",""GBP"",GOOGLEFINANCE(D1754,""CURRENCY"")))))),B1754)"),"")</f>
        <v/>
      </c>
      <c r="R1754" s="263" t="str">
        <f>IFERROR(__xludf.DUMMYFUNCTION("IF(ISBLANK(A1754),"""",IFERROR(IF(OR(Q1754=""GPB"",Q1754=""ZAR""),IF(Q1754=Dashboard!$L$1,K1754,(K1754*GOOGLEFINANCE(""CURRENCY:""&amp;Q1754&amp;""""&amp;Dashboard!$L$1&amp;""""))/100),IF(Q1754=Dashboard!$L$1,K1754,K1754*GOOGLEFINANCE(""CURRENCY:""&amp;Q1754&amp;""""&amp;Dashboard!$"&amp;"L$1&amp;""""))),K1754))"),"")</f>
        <v/>
      </c>
      <c r="S1754" s="266" t="str">
        <f>IFERROR(__xludf.DUMMYFUNCTION("IF(ISBLANK(A1754),"""",IFERROR(IF(OR(Q1754=""GPB"",Q1754=""ZAR""),IF(Q1754=Dashboard!$L$1,M1754,(M1754*GOOGLEFINANCE(""CURRENCY:""&amp;Q1754&amp;""""&amp;Dashboard!$L$1&amp;""""))/100),IF(Q1754=Dashboard!$L$1,M1754,M1754*GOOGLEFINANCE(""CURRENCY:""&amp;Q1754&amp;""""&amp;Dashboard!$"&amp;"L$1&amp;""""))),M1754))"),"")</f>
        <v/>
      </c>
      <c r="T1754" s="264" t="str">
        <f t="shared" si="4"/>
        <v/>
      </c>
      <c r="U1754" s="264" t="str">
        <f t="shared" si="5"/>
        <v/>
      </c>
      <c r="V1754" s="264" t="str">
        <f t="shared" si="6"/>
        <v/>
      </c>
      <c r="W1754" s="267" t="str">
        <f t="shared" si="8"/>
        <v/>
      </c>
      <c r="X1754" s="264" t="str">
        <f t="shared" si="7"/>
        <v/>
      </c>
    </row>
    <row r="1755" ht="15.75" customHeight="1">
      <c r="A1755" s="258"/>
      <c r="B1755" s="258"/>
      <c r="C1755" s="269"/>
      <c r="D1755" s="258"/>
      <c r="E1755" s="258"/>
      <c r="F1755" s="258"/>
      <c r="G1755" s="258"/>
      <c r="H1755" s="271"/>
      <c r="I1755" s="258"/>
      <c r="J1755" s="272"/>
      <c r="K1755" s="260"/>
      <c r="L1755" s="261"/>
      <c r="M1755" s="262" t="str">
        <f t="shared" si="1"/>
        <v/>
      </c>
      <c r="N1755" s="263" t="str">
        <f t="shared" si="2"/>
        <v/>
      </c>
      <c r="O1755" s="264" t="str">
        <f t="shared" si="3"/>
        <v/>
      </c>
      <c r="P1755" s="265" t="str">
        <f>IFERROR(__xludf.DUMMYFUNCTION("IF(ISBLANK(A1755),"""",IFERROR(IF(H1755=""Sell"",VLOOKUP(9^99,FILTER({ROW(P$2:P1754),P$2:P1754},D$2:D1754=D1755),2),(VLOOKUP(9^99,FILTER({ROW(P$2:P1754),P$2:P1754},D$2:D1754=D1755),2)*VLOOKUP(9^99,FILTER({ROW(O$2:O1754),O$2:O1754},D$2:D1754=D1755),2)-N175"&amp;"5)/O1755),J1755))"),"")</f>
        <v/>
      </c>
      <c r="Q1755" s="264" t="str">
        <f>IFERROR(__xludf.DUMMYFUNCTION("IFERROR(IF(F1755=""Crypto"",B1755,(IF(ISBLANK(D1755),"""",IF(D1755=""Cash"",B1755,IF(GOOGLEFINANCE(D1755,""CURRENCY"")=""GBX"",""GBP"",GOOGLEFINANCE(D1755,""CURRENCY"")))))),B1755)"),"")</f>
        <v/>
      </c>
      <c r="R1755" s="263" t="str">
        <f>IFERROR(__xludf.DUMMYFUNCTION("IF(ISBLANK(A1755),"""",IFERROR(IF(OR(Q1755=""GPB"",Q1755=""ZAR""),IF(Q1755=Dashboard!$L$1,K1755,(K1755*GOOGLEFINANCE(""CURRENCY:""&amp;Q1755&amp;""""&amp;Dashboard!$L$1&amp;""""))/100),IF(Q1755=Dashboard!$L$1,K1755,K1755*GOOGLEFINANCE(""CURRENCY:""&amp;Q1755&amp;""""&amp;Dashboard!$"&amp;"L$1&amp;""""))),K1755))"),"")</f>
        <v/>
      </c>
      <c r="S1755" s="266" t="str">
        <f>IFERROR(__xludf.DUMMYFUNCTION("IF(ISBLANK(A1755),"""",IFERROR(IF(OR(Q1755=""GPB"",Q1755=""ZAR""),IF(Q1755=Dashboard!$L$1,M1755,(M1755*GOOGLEFINANCE(""CURRENCY:""&amp;Q1755&amp;""""&amp;Dashboard!$L$1&amp;""""))/100),IF(Q1755=Dashboard!$L$1,M1755,M1755*GOOGLEFINANCE(""CURRENCY:""&amp;Q1755&amp;""""&amp;Dashboard!$"&amp;"L$1&amp;""""))),M1755))"),"")</f>
        <v/>
      </c>
      <c r="T1755" s="264" t="str">
        <f t="shared" si="4"/>
        <v/>
      </c>
      <c r="U1755" s="264" t="str">
        <f t="shared" si="5"/>
        <v/>
      </c>
      <c r="V1755" s="264" t="str">
        <f t="shared" si="6"/>
        <v/>
      </c>
      <c r="W1755" s="267" t="str">
        <f t="shared" si="8"/>
        <v/>
      </c>
      <c r="X1755" s="264" t="str">
        <f t="shared" si="7"/>
        <v/>
      </c>
    </row>
    <row r="1756" ht="15.75" customHeight="1">
      <c r="A1756" s="258"/>
      <c r="B1756" s="258"/>
      <c r="C1756" s="269"/>
      <c r="D1756" s="258"/>
      <c r="E1756" s="258"/>
      <c r="F1756" s="258"/>
      <c r="G1756" s="258"/>
      <c r="H1756" s="271"/>
      <c r="I1756" s="258"/>
      <c r="J1756" s="272"/>
      <c r="K1756" s="260"/>
      <c r="L1756" s="261"/>
      <c r="M1756" s="262" t="str">
        <f t="shared" si="1"/>
        <v/>
      </c>
      <c r="N1756" s="263" t="str">
        <f t="shared" si="2"/>
        <v/>
      </c>
      <c r="O1756" s="264" t="str">
        <f t="shared" si="3"/>
        <v/>
      </c>
      <c r="P1756" s="265" t="str">
        <f>IFERROR(__xludf.DUMMYFUNCTION("IF(ISBLANK(A1756),"""",IFERROR(IF(H1756=""Sell"",VLOOKUP(9^99,FILTER({ROW(P$2:P1755),P$2:P1755},D$2:D1755=D1756),2),(VLOOKUP(9^99,FILTER({ROW(P$2:P1755),P$2:P1755},D$2:D1755=D1756),2)*VLOOKUP(9^99,FILTER({ROW(O$2:O1755),O$2:O1755},D$2:D1755=D1756),2)-N175"&amp;"6)/O1756),J1756))"),"")</f>
        <v/>
      </c>
      <c r="Q1756" s="264" t="str">
        <f>IFERROR(__xludf.DUMMYFUNCTION("IFERROR(IF(F1756=""Crypto"",B1756,(IF(ISBLANK(D1756),"""",IF(D1756=""Cash"",B1756,IF(GOOGLEFINANCE(D1756,""CURRENCY"")=""GBX"",""GBP"",GOOGLEFINANCE(D1756,""CURRENCY"")))))),B1756)"),"")</f>
        <v/>
      </c>
      <c r="R1756" s="263" t="str">
        <f>IFERROR(__xludf.DUMMYFUNCTION("IF(ISBLANK(A1756),"""",IFERROR(IF(OR(Q1756=""GPB"",Q1756=""ZAR""),IF(Q1756=Dashboard!$L$1,K1756,(K1756*GOOGLEFINANCE(""CURRENCY:""&amp;Q1756&amp;""""&amp;Dashboard!$L$1&amp;""""))/100),IF(Q1756=Dashboard!$L$1,K1756,K1756*GOOGLEFINANCE(""CURRENCY:""&amp;Q1756&amp;""""&amp;Dashboard!$"&amp;"L$1&amp;""""))),K1756))"),"")</f>
        <v/>
      </c>
      <c r="S1756" s="266" t="str">
        <f>IFERROR(__xludf.DUMMYFUNCTION("IF(ISBLANK(A1756),"""",IFERROR(IF(OR(Q1756=""GPB"",Q1756=""ZAR""),IF(Q1756=Dashboard!$L$1,M1756,(M1756*GOOGLEFINANCE(""CURRENCY:""&amp;Q1756&amp;""""&amp;Dashboard!$L$1&amp;""""))/100),IF(Q1756=Dashboard!$L$1,M1756,M1756*GOOGLEFINANCE(""CURRENCY:""&amp;Q1756&amp;""""&amp;Dashboard!$"&amp;"L$1&amp;""""))),M1756))"),"")</f>
        <v/>
      </c>
      <c r="T1756" s="264" t="str">
        <f t="shared" si="4"/>
        <v/>
      </c>
      <c r="U1756" s="264" t="str">
        <f t="shared" si="5"/>
        <v/>
      </c>
      <c r="V1756" s="264" t="str">
        <f t="shared" si="6"/>
        <v/>
      </c>
      <c r="W1756" s="267" t="str">
        <f t="shared" si="8"/>
        <v/>
      </c>
      <c r="X1756" s="264" t="str">
        <f t="shared" si="7"/>
        <v/>
      </c>
    </row>
    <row r="1757" ht="15.75" customHeight="1">
      <c r="A1757" s="258"/>
      <c r="B1757" s="258"/>
      <c r="C1757" s="269"/>
      <c r="D1757" s="258"/>
      <c r="E1757" s="258"/>
      <c r="F1757" s="258"/>
      <c r="G1757" s="258"/>
      <c r="H1757" s="271"/>
      <c r="I1757" s="258"/>
      <c r="J1757" s="272"/>
      <c r="K1757" s="260"/>
      <c r="L1757" s="261"/>
      <c r="M1757" s="262" t="str">
        <f t="shared" si="1"/>
        <v/>
      </c>
      <c r="N1757" s="263" t="str">
        <f t="shared" si="2"/>
        <v/>
      </c>
      <c r="O1757" s="264" t="str">
        <f t="shared" si="3"/>
        <v/>
      </c>
      <c r="P1757" s="265" t="str">
        <f>IFERROR(__xludf.DUMMYFUNCTION("IF(ISBLANK(A1757),"""",IFERROR(IF(H1757=""Sell"",VLOOKUP(9^99,FILTER({ROW(P$2:P1756),P$2:P1756},D$2:D1756=D1757),2),(VLOOKUP(9^99,FILTER({ROW(P$2:P1756),P$2:P1756},D$2:D1756=D1757),2)*VLOOKUP(9^99,FILTER({ROW(O$2:O1756),O$2:O1756},D$2:D1756=D1757),2)-N175"&amp;"7)/O1757),J1757))"),"")</f>
        <v/>
      </c>
      <c r="Q1757" s="264" t="str">
        <f>IFERROR(__xludf.DUMMYFUNCTION("IFERROR(IF(F1757=""Crypto"",B1757,(IF(ISBLANK(D1757),"""",IF(D1757=""Cash"",B1757,IF(GOOGLEFINANCE(D1757,""CURRENCY"")=""GBX"",""GBP"",GOOGLEFINANCE(D1757,""CURRENCY"")))))),B1757)"),"")</f>
        <v/>
      </c>
      <c r="R1757" s="263" t="str">
        <f>IFERROR(__xludf.DUMMYFUNCTION("IF(ISBLANK(A1757),"""",IFERROR(IF(OR(Q1757=""GPB"",Q1757=""ZAR""),IF(Q1757=Dashboard!$L$1,K1757,(K1757*GOOGLEFINANCE(""CURRENCY:""&amp;Q1757&amp;""""&amp;Dashboard!$L$1&amp;""""))/100),IF(Q1757=Dashboard!$L$1,K1757,K1757*GOOGLEFINANCE(""CURRENCY:""&amp;Q1757&amp;""""&amp;Dashboard!$"&amp;"L$1&amp;""""))),K1757))"),"")</f>
        <v/>
      </c>
      <c r="S1757" s="266" t="str">
        <f>IFERROR(__xludf.DUMMYFUNCTION("IF(ISBLANK(A1757),"""",IFERROR(IF(OR(Q1757=""GPB"",Q1757=""ZAR""),IF(Q1757=Dashboard!$L$1,M1757,(M1757*GOOGLEFINANCE(""CURRENCY:""&amp;Q1757&amp;""""&amp;Dashboard!$L$1&amp;""""))/100),IF(Q1757=Dashboard!$L$1,M1757,M1757*GOOGLEFINANCE(""CURRENCY:""&amp;Q1757&amp;""""&amp;Dashboard!$"&amp;"L$1&amp;""""))),M1757))"),"")</f>
        <v/>
      </c>
      <c r="T1757" s="264" t="str">
        <f t="shared" si="4"/>
        <v/>
      </c>
      <c r="U1757" s="264" t="str">
        <f t="shared" si="5"/>
        <v/>
      </c>
      <c r="V1757" s="264" t="str">
        <f t="shared" si="6"/>
        <v/>
      </c>
      <c r="W1757" s="267" t="str">
        <f t="shared" si="8"/>
        <v/>
      </c>
      <c r="X1757" s="264" t="str">
        <f t="shared" si="7"/>
        <v/>
      </c>
    </row>
    <row r="1758" ht="15.75" customHeight="1">
      <c r="A1758" s="258"/>
      <c r="B1758" s="258"/>
      <c r="C1758" s="269"/>
      <c r="D1758" s="258"/>
      <c r="E1758" s="258"/>
      <c r="F1758" s="258"/>
      <c r="G1758" s="258"/>
      <c r="H1758" s="271"/>
      <c r="I1758" s="258"/>
      <c r="J1758" s="272"/>
      <c r="K1758" s="260"/>
      <c r="L1758" s="261"/>
      <c r="M1758" s="262" t="str">
        <f t="shared" si="1"/>
        <v/>
      </c>
      <c r="N1758" s="263" t="str">
        <f t="shared" si="2"/>
        <v/>
      </c>
      <c r="O1758" s="264" t="str">
        <f t="shared" si="3"/>
        <v/>
      </c>
      <c r="P1758" s="265" t="str">
        <f>IFERROR(__xludf.DUMMYFUNCTION("IF(ISBLANK(A1758),"""",IFERROR(IF(H1758=""Sell"",VLOOKUP(9^99,FILTER({ROW(P$2:P1757),P$2:P1757},D$2:D1757=D1758),2),(VLOOKUP(9^99,FILTER({ROW(P$2:P1757),P$2:P1757},D$2:D1757=D1758),2)*VLOOKUP(9^99,FILTER({ROW(O$2:O1757),O$2:O1757},D$2:D1757=D1758),2)-N175"&amp;"8)/O1758),J1758))"),"")</f>
        <v/>
      </c>
      <c r="Q1758" s="264" t="str">
        <f>IFERROR(__xludf.DUMMYFUNCTION("IFERROR(IF(F1758=""Crypto"",B1758,(IF(ISBLANK(D1758),"""",IF(D1758=""Cash"",B1758,IF(GOOGLEFINANCE(D1758,""CURRENCY"")=""GBX"",""GBP"",GOOGLEFINANCE(D1758,""CURRENCY"")))))),B1758)"),"")</f>
        <v/>
      </c>
      <c r="R1758" s="263" t="str">
        <f>IFERROR(__xludf.DUMMYFUNCTION("IF(ISBLANK(A1758),"""",IFERROR(IF(OR(Q1758=""GPB"",Q1758=""ZAR""),IF(Q1758=Dashboard!$L$1,K1758,(K1758*GOOGLEFINANCE(""CURRENCY:""&amp;Q1758&amp;""""&amp;Dashboard!$L$1&amp;""""))/100),IF(Q1758=Dashboard!$L$1,K1758,K1758*GOOGLEFINANCE(""CURRENCY:""&amp;Q1758&amp;""""&amp;Dashboard!$"&amp;"L$1&amp;""""))),K1758))"),"")</f>
        <v/>
      </c>
      <c r="S1758" s="266" t="str">
        <f>IFERROR(__xludf.DUMMYFUNCTION("IF(ISBLANK(A1758),"""",IFERROR(IF(OR(Q1758=""GPB"",Q1758=""ZAR""),IF(Q1758=Dashboard!$L$1,M1758,(M1758*GOOGLEFINANCE(""CURRENCY:""&amp;Q1758&amp;""""&amp;Dashboard!$L$1&amp;""""))/100),IF(Q1758=Dashboard!$L$1,M1758,M1758*GOOGLEFINANCE(""CURRENCY:""&amp;Q1758&amp;""""&amp;Dashboard!$"&amp;"L$1&amp;""""))),M1758))"),"")</f>
        <v/>
      </c>
      <c r="T1758" s="264" t="str">
        <f t="shared" si="4"/>
        <v/>
      </c>
      <c r="U1758" s="264" t="str">
        <f t="shared" si="5"/>
        <v/>
      </c>
      <c r="V1758" s="264" t="str">
        <f t="shared" si="6"/>
        <v/>
      </c>
      <c r="W1758" s="267" t="str">
        <f t="shared" si="8"/>
        <v/>
      </c>
      <c r="X1758" s="264" t="str">
        <f t="shared" si="7"/>
        <v/>
      </c>
    </row>
    <row r="1759" ht="15.75" customHeight="1">
      <c r="A1759" s="258"/>
      <c r="B1759" s="258"/>
      <c r="C1759" s="269"/>
      <c r="D1759" s="258"/>
      <c r="E1759" s="258"/>
      <c r="F1759" s="258"/>
      <c r="G1759" s="258"/>
      <c r="H1759" s="271"/>
      <c r="I1759" s="258"/>
      <c r="J1759" s="272"/>
      <c r="K1759" s="260"/>
      <c r="L1759" s="261"/>
      <c r="M1759" s="262" t="str">
        <f t="shared" si="1"/>
        <v/>
      </c>
      <c r="N1759" s="263" t="str">
        <f t="shared" si="2"/>
        <v/>
      </c>
      <c r="O1759" s="264" t="str">
        <f t="shared" si="3"/>
        <v/>
      </c>
      <c r="P1759" s="265" t="str">
        <f>IFERROR(__xludf.DUMMYFUNCTION("IF(ISBLANK(A1759),"""",IFERROR(IF(H1759=""Sell"",VLOOKUP(9^99,FILTER({ROW(P$2:P1758),P$2:P1758},D$2:D1758=D1759),2),(VLOOKUP(9^99,FILTER({ROW(P$2:P1758),P$2:P1758},D$2:D1758=D1759),2)*VLOOKUP(9^99,FILTER({ROW(O$2:O1758),O$2:O1758},D$2:D1758=D1759),2)-N175"&amp;"9)/O1759),J1759))"),"")</f>
        <v/>
      </c>
      <c r="Q1759" s="264" t="str">
        <f>IFERROR(__xludf.DUMMYFUNCTION("IFERROR(IF(F1759=""Crypto"",B1759,(IF(ISBLANK(D1759),"""",IF(D1759=""Cash"",B1759,IF(GOOGLEFINANCE(D1759,""CURRENCY"")=""GBX"",""GBP"",GOOGLEFINANCE(D1759,""CURRENCY"")))))),B1759)"),"")</f>
        <v/>
      </c>
      <c r="R1759" s="263" t="str">
        <f>IFERROR(__xludf.DUMMYFUNCTION("IF(ISBLANK(A1759),"""",IFERROR(IF(OR(Q1759=""GPB"",Q1759=""ZAR""),IF(Q1759=Dashboard!$L$1,K1759,(K1759*GOOGLEFINANCE(""CURRENCY:""&amp;Q1759&amp;""""&amp;Dashboard!$L$1&amp;""""))/100),IF(Q1759=Dashboard!$L$1,K1759,K1759*GOOGLEFINANCE(""CURRENCY:""&amp;Q1759&amp;""""&amp;Dashboard!$"&amp;"L$1&amp;""""))),K1759))"),"")</f>
        <v/>
      </c>
      <c r="S1759" s="266" t="str">
        <f>IFERROR(__xludf.DUMMYFUNCTION("IF(ISBLANK(A1759),"""",IFERROR(IF(OR(Q1759=""GPB"",Q1759=""ZAR""),IF(Q1759=Dashboard!$L$1,M1759,(M1759*GOOGLEFINANCE(""CURRENCY:""&amp;Q1759&amp;""""&amp;Dashboard!$L$1&amp;""""))/100),IF(Q1759=Dashboard!$L$1,M1759,M1759*GOOGLEFINANCE(""CURRENCY:""&amp;Q1759&amp;""""&amp;Dashboard!$"&amp;"L$1&amp;""""))),M1759))"),"")</f>
        <v/>
      </c>
      <c r="T1759" s="264" t="str">
        <f t="shared" si="4"/>
        <v/>
      </c>
      <c r="U1759" s="264" t="str">
        <f t="shared" si="5"/>
        <v/>
      </c>
      <c r="V1759" s="264" t="str">
        <f t="shared" si="6"/>
        <v/>
      </c>
      <c r="W1759" s="267" t="str">
        <f t="shared" si="8"/>
        <v/>
      </c>
      <c r="X1759" s="264" t="str">
        <f t="shared" si="7"/>
        <v/>
      </c>
    </row>
    <row r="1760" ht="15.75" customHeight="1">
      <c r="A1760" s="258"/>
      <c r="B1760" s="258"/>
      <c r="C1760" s="269"/>
      <c r="D1760" s="258"/>
      <c r="E1760" s="258"/>
      <c r="F1760" s="258"/>
      <c r="G1760" s="258"/>
      <c r="H1760" s="271"/>
      <c r="I1760" s="258"/>
      <c r="J1760" s="272"/>
      <c r="K1760" s="260"/>
      <c r="L1760" s="261"/>
      <c r="M1760" s="262" t="str">
        <f t="shared" si="1"/>
        <v/>
      </c>
      <c r="N1760" s="263" t="str">
        <f t="shared" si="2"/>
        <v/>
      </c>
      <c r="O1760" s="264" t="str">
        <f t="shared" si="3"/>
        <v/>
      </c>
      <c r="P1760" s="265" t="str">
        <f>IFERROR(__xludf.DUMMYFUNCTION("IF(ISBLANK(A1760),"""",IFERROR(IF(H1760=""Sell"",VLOOKUP(9^99,FILTER({ROW(P$2:P1759),P$2:P1759},D$2:D1759=D1760),2),(VLOOKUP(9^99,FILTER({ROW(P$2:P1759),P$2:P1759},D$2:D1759=D1760),2)*VLOOKUP(9^99,FILTER({ROW(O$2:O1759),O$2:O1759},D$2:D1759=D1760),2)-N176"&amp;"0)/O1760),J1760))"),"")</f>
        <v/>
      </c>
      <c r="Q1760" s="264" t="str">
        <f>IFERROR(__xludf.DUMMYFUNCTION("IFERROR(IF(F1760=""Crypto"",B1760,(IF(ISBLANK(D1760),"""",IF(D1760=""Cash"",B1760,IF(GOOGLEFINANCE(D1760,""CURRENCY"")=""GBX"",""GBP"",GOOGLEFINANCE(D1760,""CURRENCY"")))))),B1760)"),"")</f>
        <v/>
      </c>
      <c r="R1760" s="263" t="str">
        <f>IFERROR(__xludf.DUMMYFUNCTION("IF(ISBLANK(A1760),"""",IFERROR(IF(OR(Q1760=""GPB"",Q1760=""ZAR""),IF(Q1760=Dashboard!$L$1,K1760,(K1760*GOOGLEFINANCE(""CURRENCY:""&amp;Q1760&amp;""""&amp;Dashboard!$L$1&amp;""""))/100),IF(Q1760=Dashboard!$L$1,K1760,K1760*GOOGLEFINANCE(""CURRENCY:""&amp;Q1760&amp;""""&amp;Dashboard!$"&amp;"L$1&amp;""""))),K1760))"),"")</f>
        <v/>
      </c>
      <c r="S1760" s="266" t="str">
        <f>IFERROR(__xludf.DUMMYFUNCTION("IF(ISBLANK(A1760),"""",IFERROR(IF(OR(Q1760=""GPB"",Q1760=""ZAR""),IF(Q1760=Dashboard!$L$1,M1760,(M1760*GOOGLEFINANCE(""CURRENCY:""&amp;Q1760&amp;""""&amp;Dashboard!$L$1&amp;""""))/100),IF(Q1760=Dashboard!$L$1,M1760,M1760*GOOGLEFINANCE(""CURRENCY:""&amp;Q1760&amp;""""&amp;Dashboard!$"&amp;"L$1&amp;""""))),M1760))"),"")</f>
        <v/>
      </c>
      <c r="T1760" s="264" t="str">
        <f t="shared" si="4"/>
        <v/>
      </c>
      <c r="U1760" s="264" t="str">
        <f t="shared" si="5"/>
        <v/>
      </c>
      <c r="V1760" s="264" t="str">
        <f t="shared" si="6"/>
        <v/>
      </c>
      <c r="W1760" s="267" t="str">
        <f t="shared" si="8"/>
        <v/>
      </c>
      <c r="X1760" s="264" t="str">
        <f t="shared" si="7"/>
        <v/>
      </c>
    </row>
    <row r="1761" ht="15.75" customHeight="1">
      <c r="A1761" s="258"/>
      <c r="B1761" s="258"/>
      <c r="C1761" s="269"/>
      <c r="D1761" s="258"/>
      <c r="E1761" s="258"/>
      <c r="F1761" s="258"/>
      <c r="G1761" s="258"/>
      <c r="H1761" s="271"/>
      <c r="I1761" s="258"/>
      <c r="J1761" s="272"/>
      <c r="K1761" s="260"/>
      <c r="L1761" s="261"/>
      <c r="M1761" s="262" t="str">
        <f t="shared" si="1"/>
        <v/>
      </c>
      <c r="N1761" s="263" t="str">
        <f t="shared" si="2"/>
        <v/>
      </c>
      <c r="O1761" s="264" t="str">
        <f t="shared" si="3"/>
        <v/>
      </c>
      <c r="P1761" s="265" t="str">
        <f>IFERROR(__xludf.DUMMYFUNCTION("IF(ISBLANK(A1761),"""",IFERROR(IF(H1761=""Sell"",VLOOKUP(9^99,FILTER({ROW(P$2:P1760),P$2:P1760},D$2:D1760=D1761),2),(VLOOKUP(9^99,FILTER({ROW(P$2:P1760),P$2:P1760},D$2:D1760=D1761),2)*VLOOKUP(9^99,FILTER({ROW(O$2:O1760),O$2:O1760},D$2:D1760=D1761),2)-N176"&amp;"1)/O1761),J1761))"),"")</f>
        <v/>
      </c>
      <c r="Q1761" s="264" t="str">
        <f>IFERROR(__xludf.DUMMYFUNCTION("IFERROR(IF(F1761=""Crypto"",B1761,(IF(ISBLANK(D1761),"""",IF(D1761=""Cash"",B1761,IF(GOOGLEFINANCE(D1761,""CURRENCY"")=""GBX"",""GBP"",GOOGLEFINANCE(D1761,""CURRENCY"")))))),B1761)"),"")</f>
        <v/>
      </c>
      <c r="R1761" s="263" t="str">
        <f>IFERROR(__xludf.DUMMYFUNCTION("IF(ISBLANK(A1761),"""",IFERROR(IF(OR(Q1761=""GPB"",Q1761=""ZAR""),IF(Q1761=Dashboard!$L$1,K1761,(K1761*GOOGLEFINANCE(""CURRENCY:""&amp;Q1761&amp;""""&amp;Dashboard!$L$1&amp;""""))/100),IF(Q1761=Dashboard!$L$1,K1761,K1761*GOOGLEFINANCE(""CURRENCY:""&amp;Q1761&amp;""""&amp;Dashboard!$"&amp;"L$1&amp;""""))),K1761))"),"")</f>
        <v/>
      </c>
      <c r="S1761" s="266" t="str">
        <f>IFERROR(__xludf.DUMMYFUNCTION("IF(ISBLANK(A1761),"""",IFERROR(IF(OR(Q1761=""GPB"",Q1761=""ZAR""),IF(Q1761=Dashboard!$L$1,M1761,(M1761*GOOGLEFINANCE(""CURRENCY:""&amp;Q1761&amp;""""&amp;Dashboard!$L$1&amp;""""))/100),IF(Q1761=Dashboard!$L$1,M1761,M1761*GOOGLEFINANCE(""CURRENCY:""&amp;Q1761&amp;""""&amp;Dashboard!$"&amp;"L$1&amp;""""))),M1761))"),"")</f>
        <v/>
      </c>
      <c r="T1761" s="264" t="str">
        <f t="shared" si="4"/>
        <v/>
      </c>
      <c r="U1761" s="264" t="str">
        <f t="shared" si="5"/>
        <v/>
      </c>
      <c r="V1761" s="264" t="str">
        <f t="shared" si="6"/>
        <v/>
      </c>
      <c r="W1761" s="267" t="str">
        <f t="shared" si="8"/>
        <v/>
      </c>
      <c r="X1761" s="264" t="str">
        <f t="shared" si="7"/>
        <v/>
      </c>
    </row>
    <row r="1762" ht="15.75" customHeight="1">
      <c r="A1762" s="258"/>
      <c r="B1762" s="258"/>
      <c r="C1762" s="269"/>
      <c r="D1762" s="258"/>
      <c r="E1762" s="258"/>
      <c r="F1762" s="258"/>
      <c r="G1762" s="258"/>
      <c r="H1762" s="271"/>
      <c r="I1762" s="258"/>
      <c r="J1762" s="272"/>
      <c r="K1762" s="260"/>
      <c r="L1762" s="261"/>
      <c r="M1762" s="262" t="str">
        <f t="shared" si="1"/>
        <v/>
      </c>
      <c r="N1762" s="263" t="str">
        <f t="shared" si="2"/>
        <v/>
      </c>
      <c r="O1762" s="264" t="str">
        <f t="shared" si="3"/>
        <v/>
      </c>
      <c r="P1762" s="265" t="str">
        <f>IFERROR(__xludf.DUMMYFUNCTION("IF(ISBLANK(A1762),"""",IFERROR(IF(H1762=""Sell"",VLOOKUP(9^99,FILTER({ROW(P$2:P1761),P$2:P1761},D$2:D1761=D1762),2),(VLOOKUP(9^99,FILTER({ROW(P$2:P1761),P$2:P1761},D$2:D1761=D1762),2)*VLOOKUP(9^99,FILTER({ROW(O$2:O1761),O$2:O1761},D$2:D1761=D1762),2)-N176"&amp;"2)/O1762),J1762))"),"")</f>
        <v/>
      </c>
      <c r="Q1762" s="264" t="str">
        <f>IFERROR(__xludf.DUMMYFUNCTION("IFERROR(IF(F1762=""Crypto"",B1762,(IF(ISBLANK(D1762),"""",IF(D1762=""Cash"",B1762,IF(GOOGLEFINANCE(D1762,""CURRENCY"")=""GBX"",""GBP"",GOOGLEFINANCE(D1762,""CURRENCY"")))))),B1762)"),"")</f>
        <v/>
      </c>
      <c r="R1762" s="263" t="str">
        <f>IFERROR(__xludf.DUMMYFUNCTION("IF(ISBLANK(A1762),"""",IFERROR(IF(OR(Q1762=""GPB"",Q1762=""ZAR""),IF(Q1762=Dashboard!$L$1,K1762,(K1762*GOOGLEFINANCE(""CURRENCY:""&amp;Q1762&amp;""""&amp;Dashboard!$L$1&amp;""""))/100),IF(Q1762=Dashboard!$L$1,K1762,K1762*GOOGLEFINANCE(""CURRENCY:""&amp;Q1762&amp;""""&amp;Dashboard!$"&amp;"L$1&amp;""""))),K1762))"),"")</f>
        <v/>
      </c>
      <c r="S1762" s="266" t="str">
        <f>IFERROR(__xludf.DUMMYFUNCTION("IF(ISBLANK(A1762),"""",IFERROR(IF(OR(Q1762=""GPB"",Q1762=""ZAR""),IF(Q1762=Dashboard!$L$1,M1762,(M1762*GOOGLEFINANCE(""CURRENCY:""&amp;Q1762&amp;""""&amp;Dashboard!$L$1&amp;""""))/100),IF(Q1762=Dashboard!$L$1,M1762,M1762*GOOGLEFINANCE(""CURRENCY:""&amp;Q1762&amp;""""&amp;Dashboard!$"&amp;"L$1&amp;""""))),M1762))"),"")</f>
        <v/>
      </c>
      <c r="T1762" s="264" t="str">
        <f t="shared" si="4"/>
        <v/>
      </c>
      <c r="U1762" s="264" t="str">
        <f t="shared" si="5"/>
        <v/>
      </c>
      <c r="V1762" s="264" t="str">
        <f t="shared" si="6"/>
        <v/>
      </c>
      <c r="W1762" s="267" t="str">
        <f t="shared" si="8"/>
        <v/>
      </c>
      <c r="X1762" s="264" t="str">
        <f t="shared" si="7"/>
        <v/>
      </c>
    </row>
    <row r="1763" ht="15.75" customHeight="1">
      <c r="A1763" s="258"/>
      <c r="B1763" s="258"/>
      <c r="C1763" s="269"/>
      <c r="D1763" s="258"/>
      <c r="E1763" s="258"/>
      <c r="F1763" s="258"/>
      <c r="G1763" s="258"/>
      <c r="H1763" s="271"/>
      <c r="I1763" s="258"/>
      <c r="J1763" s="272"/>
      <c r="K1763" s="260"/>
      <c r="L1763" s="261"/>
      <c r="M1763" s="262" t="str">
        <f t="shared" si="1"/>
        <v/>
      </c>
      <c r="N1763" s="263" t="str">
        <f t="shared" si="2"/>
        <v/>
      </c>
      <c r="O1763" s="264" t="str">
        <f t="shared" si="3"/>
        <v/>
      </c>
      <c r="P1763" s="265" t="str">
        <f>IFERROR(__xludf.DUMMYFUNCTION("IF(ISBLANK(A1763),"""",IFERROR(IF(H1763=""Sell"",VLOOKUP(9^99,FILTER({ROW(P$2:P1762),P$2:P1762},D$2:D1762=D1763),2),(VLOOKUP(9^99,FILTER({ROW(P$2:P1762),P$2:P1762},D$2:D1762=D1763),2)*VLOOKUP(9^99,FILTER({ROW(O$2:O1762),O$2:O1762},D$2:D1762=D1763),2)-N176"&amp;"3)/O1763),J1763))"),"")</f>
        <v/>
      </c>
      <c r="Q1763" s="264" t="str">
        <f>IFERROR(__xludf.DUMMYFUNCTION("IFERROR(IF(F1763=""Crypto"",B1763,(IF(ISBLANK(D1763),"""",IF(D1763=""Cash"",B1763,IF(GOOGLEFINANCE(D1763,""CURRENCY"")=""GBX"",""GBP"",GOOGLEFINANCE(D1763,""CURRENCY"")))))),B1763)"),"")</f>
        <v/>
      </c>
      <c r="R1763" s="263" t="str">
        <f>IFERROR(__xludf.DUMMYFUNCTION("IF(ISBLANK(A1763),"""",IFERROR(IF(OR(Q1763=""GPB"",Q1763=""ZAR""),IF(Q1763=Dashboard!$L$1,K1763,(K1763*GOOGLEFINANCE(""CURRENCY:""&amp;Q1763&amp;""""&amp;Dashboard!$L$1&amp;""""))/100),IF(Q1763=Dashboard!$L$1,K1763,K1763*GOOGLEFINANCE(""CURRENCY:""&amp;Q1763&amp;""""&amp;Dashboard!$"&amp;"L$1&amp;""""))),K1763))"),"")</f>
        <v/>
      </c>
      <c r="S1763" s="266" t="str">
        <f>IFERROR(__xludf.DUMMYFUNCTION("IF(ISBLANK(A1763),"""",IFERROR(IF(OR(Q1763=""GPB"",Q1763=""ZAR""),IF(Q1763=Dashboard!$L$1,M1763,(M1763*GOOGLEFINANCE(""CURRENCY:""&amp;Q1763&amp;""""&amp;Dashboard!$L$1&amp;""""))/100),IF(Q1763=Dashboard!$L$1,M1763,M1763*GOOGLEFINANCE(""CURRENCY:""&amp;Q1763&amp;""""&amp;Dashboard!$"&amp;"L$1&amp;""""))),M1763))"),"")</f>
        <v/>
      </c>
      <c r="T1763" s="264" t="str">
        <f t="shared" si="4"/>
        <v/>
      </c>
      <c r="U1763" s="264" t="str">
        <f t="shared" si="5"/>
        <v/>
      </c>
      <c r="V1763" s="264" t="str">
        <f t="shared" si="6"/>
        <v/>
      </c>
      <c r="W1763" s="267" t="str">
        <f t="shared" si="8"/>
        <v/>
      </c>
      <c r="X1763" s="264" t="str">
        <f t="shared" si="7"/>
        <v/>
      </c>
    </row>
    <row r="1764" ht="15.75" customHeight="1">
      <c r="A1764" s="258"/>
      <c r="B1764" s="258"/>
      <c r="C1764" s="269"/>
      <c r="D1764" s="258"/>
      <c r="E1764" s="258"/>
      <c r="F1764" s="258"/>
      <c r="G1764" s="258"/>
      <c r="H1764" s="271"/>
      <c r="I1764" s="258"/>
      <c r="J1764" s="272"/>
      <c r="K1764" s="260"/>
      <c r="L1764" s="261"/>
      <c r="M1764" s="262" t="str">
        <f t="shared" si="1"/>
        <v/>
      </c>
      <c r="N1764" s="263" t="str">
        <f t="shared" si="2"/>
        <v/>
      </c>
      <c r="O1764" s="264" t="str">
        <f t="shared" si="3"/>
        <v/>
      </c>
      <c r="P1764" s="265" t="str">
        <f>IFERROR(__xludf.DUMMYFUNCTION("IF(ISBLANK(A1764),"""",IFERROR(IF(H1764=""Sell"",VLOOKUP(9^99,FILTER({ROW(P$2:P1763),P$2:P1763},D$2:D1763=D1764),2),(VLOOKUP(9^99,FILTER({ROW(P$2:P1763),P$2:P1763},D$2:D1763=D1764),2)*VLOOKUP(9^99,FILTER({ROW(O$2:O1763),O$2:O1763},D$2:D1763=D1764),2)-N176"&amp;"4)/O1764),J1764))"),"")</f>
        <v/>
      </c>
      <c r="Q1764" s="264" t="str">
        <f>IFERROR(__xludf.DUMMYFUNCTION("IFERROR(IF(F1764=""Crypto"",B1764,(IF(ISBLANK(D1764),"""",IF(D1764=""Cash"",B1764,IF(GOOGLEFINANCE(D1764,""CURRENCY"")=""GBX"",""GBP"",GOOGLEFINANCE(D1764,""CURRENCY"")))))),B1764)"),"")</f>
        <v/>
      </c>
      <c r="R1764" s="263" t="str">
        <f>IFERROR(__xludf.DUMMYFUNCTION("IF(ISBLANK(A1764),"""",IFERROR(IF(OR(Q1764=""GPB"",Q1764=""ZAR""),IF(Q1764=Dashboard!$L$1,K1764,(K1764*GOOGLEFINANCE(""CURRENCY:""&amp;Q1764&amp;""""&amp;Dashboard!$L$1&amp;""""))/100),IF(Q1764=Dashboard!$L$1,K1764,K1764*GOOGLEFINANCE(""CURRENCY:""&amp;Q1764&amp;""""&amp;Dashboard!$"&amp;"L$1&amp;""""))),K1764))"),"")</f>
        <v/>
      </c>
      <c r="S1764" s="266" t="str">
        <f>IFERROR(__xludf.DUMMYFUNCTION("IF(ISBLANK(A1764),"""",IFERROR(IF(OR(Q1764=""GPB"",Q1764=""ZAR""),IF(Q1764=Dashboard!$L$1,M1764,(M1764*GOOGLEFINANCE(""CURRENCY:""&amp;Q1764&amp;""""&amp;Dashboard!$L$1&amp;""""))/100),IF(Q1764=Dashboard!$L$1,M1764,M1764*GOOGLEFINANCE(""CURRENCY:""&amp;Q1764&amp;""""&amp;Dashboard!$"&amp;"L$1&amp;""""))),M1764))"),"")</f>
        <v/>
      </c>
      <c r="T1764" s="264" t="str">
        <f t="shared" si="4"/>
        <v/>
      </c>
      <c r="U1764" s="264" t="str">
        <f t="shared" si="5"/>
        <v/>
      </c>
      <c r="V1764" s="264" t="str">
        <f t="shared" si="6"/>
        <v/>
      </c>
      <c r="W1764" s="267" t="str">
        <f t="shared" si="8"/>
        <v/>
      </c>
      <c r="X1764" s="264" t="str">
        <f t="shared" si="7"/>
        <v/>
      </c>
    </row>
    <row r="1765" ht="15.75" customHeight="1">
      <c r="A1765" s="258"/>
      <c r="B1765" s="258"/>
      <c r="C1765" s="269"/>
      <c r="D1765" s="258"/>
      <c r="E1765" s="258"/>
      <c r="F1765" s="258"/>
      <c r="G1765" s="258"/>
      <c r="H1765" s="271"/>
      <c r="I1765" s="258"/>
      <c r="J1765" s="272"/>
      <c r="K1765" s="260"/>
      <c r="L1765" s="261"/>
      <c r="M1765" s="262" t="str">
        <f t="shared" si="1"/>
        <v/>
      </c>
      <c r="N1765" s="263" t="str">
        <f t="shared" si="2"/>
        <v/>
      </c>
      <c r="O1765" s="264" t="str">
        <f t="shared" si="3"/>
        <v/>
      </c>
      <c r="P1765" s="265" t="str">
        <f>IFERROR(__xludf.DUMMYFUNCTION("IF(ISBLANK(A1765),"""",IFERROR(IF(H1765=""Sell"",VLOOKUP(9^99,FILTER({ROW(P$2:P1764),P$2:P1764},D$2:D1764=D1765),2),(VLOOKUP(9^99,FILTER({ROW(P$2:P1764),P$2:P1764},D$2:D1764=D1765),2)*VLOOKUP(9^99,FILTER({ROW(O$2:O1764),O$2:O1764},D$2:D1764=D1765),2)-N176"&amp;"5)/O1765),J1765))"),"")</f>
        <v/>
      </c>
      <c r="Q1765" s="264" t="str">
        <f>IFERROR(__xludf.DUMMYFUNCTION("IFERROR(IF(F1765=""Crypto"",B1765,(IF(ISBLANK(D1765),"""",IF(D1765=""Cash"",B1765,IF(GOOGLEFINANCE(D1765,""CURRENCY"")=""GBX"",""GBP"",GOOGLEFINANCE(D1765,""CURRENCY"")))))),B1765)"),"")</f>
        <v/>
      </c>
      <c r="R1765" s="263" t="str">
        <f>IFERROR(__xludf.DUMMYFUNCTION("IF(ISBLANK(A1765),"""",IFERROR(IF(OR(Q1765=""GPB"",Q1765=""ZAR""),IF(Q1765=Dashboard!$L$1,K1765,(K1765*GOOGLEFINANCE(""CURRENCY:""&amp;Q1765&amp;""""&amp;Dashboard!$L$1&amp;""""))/100),IF(Q1765=Dashboard!$L$1,K1765,K1765*GOOGLEFINANCE(""CURRENCY:""&amp;Q1765&amp;""""&amp;Dashboard!$"&amp;"L$1&amp;""""))),K1765))"),"")</f>
        <v/>
      </c>
      <c r="S1765" s="266" t="str">
        <f>IFERROR(__xludf.DUMMYFUNCTION("IF(ISBLANK(A1765),"""",IFERROR(IF(OR(Q1765=""GPB"",Q1765=""ZAR""),IF(Q1765=Dashboard!$L$1,M1765,(M1765*GOOGLEFINANCE(""CURRENCY:""&amp;Q1765&amp;""""&amp;Dashboard!$L$1&amp;""""))/100),IF(Q1765=Dashboard!$L$1,M1765,M1765*GOOGLEFINANCE(""CURRENCY:""&amp;Q1765&amp;""""&amp;Dashboard!$"&amp;"L$1&amp;""""))),M1765))"),"")</f>
        <v/>
      </c>
      <c r="T1765" s="264" t="str">
        <f t="shared" si="4"/>
        <v/>
      </c>
      <c r="U1765" s="264" t="str">
        <f t="shared" si="5"/>
        <v/>
      </c>
      <c r="V1765" s="264" t="str">
        <f t="shared" si="6"/>
        <v/>
      </c>
      <c r="W1765" s="267" t="str">
        <f t="shared" si="8"/>
        <v/>
      </c>
      <c r="X1765" s="264" t="str">
        <f t="shared" si="7"/>
        <v/>
      </c>
    </row>
    <row r="1766" ht="15.75" customHeight="1">
      <c r="A1766" s="258"/>
      <c r="B1766" s="258"/>
      <c r="C1766" s="269"/>
      <c r="D1766" s="258"/>
      <c r="E1766" s="258"/>
      <c r="F1766" s="258"/>
      <c r="G1766" s="258"/>
      <c r="H1766" s="271"/>
      <c r="I1766" s="258"/>
      <c r="J1766" s="272"/>
      <c r="K1766" s="260"/>
      <c r="L1766" s="261"/>
      <c r="M1766" s="262" t="str">
        <f t="shared" si="1"/>
        <v/>
      </c>
      <c r="N1766" s="263" t="str">
        <f t="shared" si="2"/>
        <v/>
      </c>
      <c r="O1766" s="264" t="str">
        <f t="shared" si="3"/>
        <v/>
      </c>
      <c r="P1766" s="265" t="str">
        <f>IFERROR(__xludf.DUMMYFUNCTION("IF(ISBLANK(A1766),"""",IFERROR(IF(H1766=""Sell"",VLOOKUP(9^99,FILTER({ROW(P$2:P1765),P$2:P1765},D$2:D1765=D1766),2),(VLOOKUP(9^99,FILTER({ROW(P$2:P1765),P$2:P1765},D$2:D1765=D1766),2)*VLOOKUP(9^99,FILTER({ROW(O$2:O1765),O$2:O1765},D$2:D1765=D1766),2)-N176"&amp;"6)/O1766),J1766))"),"")</f>
        <v/>
      </c>
      <c r="Q1766" s="264" t="str">
        <f>IFERROR(__xludf.DUMMYFUNCTION("IFERROR(IF(F1766=""Crypto"",B1766,(IF(ISBLANK(D1766),"""",IF(D1766=""Cash"",B1766,IF(GOOGLEFINANCE(D1766,""CURRENCY"")=""GBX"",""GBP"",GOOGLEFINANCE(D1766,""CURRENCY"")))))),B1766)"),"")</f>
        <v/>
      </c>
      <c r="R1766" s="263" t="str">
        <f>IFERROR(__xludf.DUMMYFUNCTION("IF(ISBLANK(A1766),"""",IFERROR(IF(OR(Q1766=""GPB"",Q1766=""ZAR""),IF(Q1766=Dashboard!$L$1,K1766,(K1766*GOOGLEFINANCE(""CURRENCY:""&amp;Q1766&amp;""""&amp;Dashboard!$L$1&amp;""""))/100),IF(Q1766=Dashboard!$L$1,K1766,K1766*GOOGLEFINANCE(""CURRENCY:""&amp;Q1766&amp;""""&amp;Dashboard!$"&amp;"L$1&amp;""""))),K1766))"),"")</f>
        <v/>
      </c>
      <c r="S1766" s="266" t="str">
        <f>IFERROR(__xludf.DUMMYFUNCTION("IF(ISBLANK(A1766),"""",IFERROR(IF(OR(Q1766=""GPB"",Q1766=""ZAR""),IF(Q1766=Dashboard!$L$1,M1766,(M1766*GOOGLEFINANCE(""CURRENCY:""&amp;Q1766&amp;""""&amp;Dashboard!$L$1&amp;""""))/100),IF(Q1766=Dashboard!$L$1,M1766,M1766*GOOGLEFINANCE(""CURRENCY:""&amp;Q1766&amp;""""&amp;Dashboard!$"&amp;"L$1&amp;""""))),M1766))"),"")</f>
        <v/>
      </c>
      <c r="T1766" s="264" t="str">
        <f t="shared" si="4"/>
        <v/>
      </c>
      <c r="U1766" s="264" t="str">
        <f t="shared" si="5"/>
        <v/>
      </c>
      <c r="V1766" s="264" t="str">
        <f t="shared" si="6"/>
        <v/>
      </c>
      <c r="W1766" s="267" t="str">
        <f t="shared" si="8"/>
        <v/>
      </c>
      <c r="X1766" s="264" t="str">
        <f t="shared" si="7"/>
        <v/>
      </c>
    </row>
    <row r="1767" ht="15.75" customHeight="1">
      <c r="A1767" s="258"/>
      <c r="B1767" s="258"/>
      <c r="C1767" s="269"/>
      <c r="D1767" s="258"/>
      <c r="E1767" s="258"/>
      <c r="F1767" s="258"/>
      <c r="G1767" s="258"/>
      <c r="H1767" s="271"/>
      <c r="I1767" s="258"/>
      <c r="J1767" s="272"/>
      <c r="K1767" s="260"/>
      <c r="L1767" s="261"/>
      <c r="M1767" s="262" t="str">
        <f t="shared" si="1"/>
        <v/>
      </c>
      <c r="N1767" s="263" t="str">
        <f t="shared" si="2"/>
        <v/>
      </c>
      <c r="O1767" s="264" t="str">
        <f t="shared" si="3"/>
        <v/>
      </c>
      <c r="P1767" s="265" t="str">
        <f>IFERROR(__xludf.DUMMYFUNCTION("IF(ISBLANK(A1767),"""",IFERROR(IF(H1767=""Sell"",VLOOKUP(9^99,FILTER({ROW(P$2:P1766),P$2:P1766},D$2:D1766=D1767),2),(VLOOKUP(9^99,FILTER({ROW(P$2:P1766),P$2:P1766},D$2:D1766=D1767),2)*VLOOKUP(9^99,FILTER({ROW(O$2:O1766),O$2:O1766},D$2:D1766=D1767),2)-N176"&amp;"7)/O1767),J1767))"),"")</f>
        <v/>
      </c>
      <c r="Q1767" s="264" t="str">
        <f>IFERROR(__xludf.DUMMYFUNCTION("IFERROR(IF(F1767=""Crypto"",B1767,(IF(ISBLANK(D1767),"""",IF(D1767=""Cash"",B1767,IF(GOOGLEFINANCE(D1767,""CURRENCY"")=""GBX"",""GBP"",GOOGLEFINANCE(D1767,""CURRENCY"")))))),B1767)"),"")</f>
        <v/>
      </c>
      <c r="R1767" s="263" t="str">
        <f>IFERROR(__xludf.DUMMYFUNCTION("IF(ISBLANK(A1767),"""",IFERROR(IF(OR(Q1767=""GPB"",Q1767=""ZAR""),IF(Q1767=Dashboard!$L$1,K1767,(K1767*GOOGLEFINANCE(""CURRENCY:""&amp;Q1767&amp;""""&amp;Dashboard!$L$1&amp;""""))/100),IF(Q1767=Dashboard!$L$1,K1767,K1767*GOOGLEFINANCE(""CURRENCY:""&amp;Q1767&amp;""""&amp;Dashboard!$"&amp;"L$1&amp;""""))),K1767))"),"")</f>
        <v/>
      </c>
      <c r="S1767" s="266" t="str">
        <f>IFERROR(__xludf.DUMMYFUNCTION("IF(ISBLANK(A1767),"""",IFERROR(IF(OR(Q1767=""GPB"",Q1767=""ZAR""),IF(Q1767=Dashboard!$L$1,M1767,(M1767*GOOGLEFINANCE(""CURRENCY:""&amp;Q1767&amp;""""&amp;Dashboard!$L$1&amp;""""))/100),IF(Q1767=Dashboard!$L$1,M1767,M1767*GOOGLEFINANCE(""CURRENCY:""&amp;Q1767&amp;""""&amp;Dashboard!$"&amp;"L$1&amp;""""))),M1767))"),"")</f>
        <v/>
      </c>
      <c r="T1767" s="264" t="str">
        <f t="shared" si="4"/>
        <v/>
      </c>
      <c r="U1767" s="264" t="str">
        <f t="shared" si="5"/>
        <v/>
      </c>
      <c r="V1767" s="264" t="str">
        <f t="shared" si="6"/>
        <v/>
      </c>
      <c r="W1767" s="267" t="str">
        <f t="shared" si="8"/>
        <v/>
      </c>
      <c r="X1767" s="264" t="str">
        <f t="shared" si="7"/>
        <v/>
      </c>
    </row>
    <row r="1768" ht="15.75" customHeight="1">
      <c r="A1768" s="258"/>
      <c r="B1768" s="258"/>
      <c r="C1768" s="269"/>
      <c r="D1768" s="258"/>
      <c r="E1768" s="258"/>
      <c r="F1768" s="258"/>
      <c r="G1768" s="258"/>
      <c r="H1768" s="271"/>
      <c r="I1768" s="258"/>
      <c r="J1768" s="272"/>
      <c r="K1768" s="260"/>
      <c r="L1768" s="261"/>
      <c r="M1768" s="262" t="str">
        <f t="shared" si="1"/>
        <v/>
      </c>
      <c r="N1768" s="263" t="str">
        <f t="shared" si="2"/>
        <v/>
      </c>
      <c r="O1768" s="264" t="str">
        <f t="shared" si="3"/>
        <v/>
      </c>
      <c r="P1768" s="265" t="str">
        <f>IFERROR(__xludf.DUMMYFUNCTION("IF(ISBLANK(A1768),"""",IFERROR(IF(H1768=""Sell"",VLOOKUP(9^99,FILTER({ROW(P$2:P1767),P$2:P1767},D$2:D1767=D1768),2),(VLOOKUP(9^99,FILTER({ROW(P$2:P1767),P$2:P1767},D$2:D1767=D1768),2)*VLOOKUP(9^99,FILTER({ROW(O$2:O1767),O$2:O1767},D$2:D1767=D1768),2)-N176"&amp;"8)/O1768),J1768))"),"")</f>
        <v/>
      </c>
      <c r="Q1768" s="264" t="str">
        <f>IFERROR(__xludf.DUMMYFUNCTION("IFERROR(IF(F1768=""Crypto"",B1768,(IF(ISBLANK(D1768),"""",IF(D1768=""Cash"",B1768,IF(GOOGLEFINANCE(D1768,""CURRENCY"")=""GBX"",""GBP"",GOOGLEFINANCE(D1768,""CURRENCY"")))))),B1768)"),"")</f>
        <v/>
      </c>
      <c r="R1768" s="263" t="str">
        <f>IFERROR(__xludf.DUMMYFUNCTION("IF(ISBLANK(A1768),"""",IFERROR(IF(OR(Q1768=""GPB"",Q1768=""ZAR""),IF(Q1768=Dashboard!$L$1,K1768,(K1768*GOOGLEFINANCE(""CURRENCY:""&amp;Q1768&amp;""""&amp;Dashboard!$L$1&amp;""""))/100),IF(Q1768=Dashboard!$L$1,K1768,K1768*GOOGLEFINANCE(""CURRENCY:""&amp;Q1768&amp;""""&amp;Dashboard!$"&amp;"L$1&amp;""""))),K1768))"),"")</f>
        <v/>
      </c>
      <c r="S1768" s="266" t="str">
        <f>IFERROR(__xludf.DUMMYFUNCTION("IF(ISBLANK(A1768),"""",IFERROR(IF(OR(Q1768=""GPB"",Q1768=""ZAR""),IF(Q1768=Dashboard!$L$1,M1768,(M1768*GOOGLEFINANCE(""CURRENCY:""&amp;Q1768&amp;""""&amp;Dashboard!$L$1&amp;""""))/100),IF(Q1768=Dashboard!$L$1,M1768,M1768*GOOGLEFINANCE(""CURRENCY:""&amp;Q1768&amp;""""&amp;Dashboard!$"&amp;"L$1&amp;""""))),M1768))"),"")</f>
        <v/>
      </c>
      <c r="T1768" s="264" t="str">
        <f t="shared" si="4"/>
        <v/>
      </c>
      <c r="U1768" s="264" t="str">
        <f t="shared" si="5"/>
        <v/>
      </c>
      <c r="V1768" s="264" t="str">
        <f t="shared" si="6"/>
        <v/>
      </c>
      <c r="W1768" s="267" t="str">
        <f t="shared" si="8"/>
        <v/>
      </c>
      <c r="X1768" s="264" t="str">
        <f t="shared" si="7"/>
        <v/>
      </c>
    </row>
    <row r="1769" ht="15.75" customHeight="1">
      <c r="A1769" s="258"/>
      <c r="B1769" s="258"/>
      <c r="C1769" s="269"/>
      <c r="D1769" s="258"/>
      <c r="E1769" s="258"/>
      <c r="F1769" s="258"/>
      <c r="G1769" s="258"/>
      <c r="H1769" s="271"/>
      <c r="I1769" s="258"/>
      <c r="J1769" s="272"/>
      <c r="K1769" s="260"/>
      <c r="L1769" s="261"/>
      <c r="M1769" s="262" t="str">
        <f t="shared" si="1"/>
        <v/>
      </c>
      <c r="N1769" s="263" t="str">
        <f t="shared" si="2"/>
        <v/>
      </c>
      <c r="O1769" s="264" t="str">
        <f t="shared" si="3"/>
        <v/>
      </c>
      <c r="P1769" s="265" t="str">
        <f>IFERROR(__xludf.DUMMYFUNCTION("IF(ISBLANK(A1769),"""",IFERROR(IF(H1769=""Sell"",VLOOKUP(9^99,FILTER({ROW(P$2:P1768),P$2:P1768},D$2:D1768=D1769),2),(VLOOKUP(9^99,FILTER({ROW(P$2:P1768),P$2:P1768},D$2:D1768=D1769),2)*VLOOKUP(9^99,FILTER({ROW(O$2:O1768),O$2:O1768},D$2:D1768=D1769),2)-N176"&amp;"9)/O1769),J1769))"),"")</f>
        <v/>
      </c>
      <c r="Q1769" s="264" t="str">
        <f>IFERROR(__xludf.DUMMYFUNCTION("IFERROR(IF(F1769=""Crypto"",B1769,(IF(ISBLANK(D1769),"""",IF(D1769=""Cash"",B1769,IF(GOOGLEFINANCE(D1769,""CURRENCY"")=""GBX"",""GBP"",GOOGLEFINANCE(D1769,""CURRENCY"")))))),B1769)"),"")</f>
        <v/>
      </c>
      <c r="R1769" s="263" t="str">
        <f>IFERROR(__xludf.DUMMYFUNCTION("IF(ISBLANK(A1769),"""",IFERROR(IF(OR(Q1769=""GPB"",Q1769=""ZAR""),IF(Q1769=Dashboard!$L$1,K1769,(K1769*GOOGLEFINANCE(""CURRENCY:""&amp;Q1769&amp;""""&amp;Dashboard!$L$1&amp;""""))/100),IF(Q1769=Dashboard!$L$1,K1769,K1769*GOOGLEFINANCE(""CURRENCY:""&amp;Q1769&amp;""""&amp;Dashboard!$"&amp;"L$1&amp;""""))),K1769))"),"")</f>
        <v/>
      </c>
      <c r="S1769" s="266" t="str">
        <f>IFERROR(__xludf.DUMMYFUNCTION("IF(ISBLANK(A1769),"""",IFERROR(IF(OR(Q1769=""GPB"",Q1769=""ZAR""),IF(Q1769=Dashboard!$L$1,M1769,(M1769*GOOGLEFINANCE(""CURRENCY:""&amp;Q1769&amp;""""&amp;Dashboard!$L$1&amp;""""))/100),IF(Q1769=Dashboard!$L$1,M1769,M1769*GOOGLEFINANCE(""CURRENCY:""&amp;Q1769&amp;""""&amp;Dashboard!$"&amp;"L$1&amp;""""))),M1769))"),"")</f>
        <v/>
      </c>
      <c r="T1769" s="264" t="str">
        <f t="shared" si="4"/>
        <v/>
      </c>
      <c r="U1769" s="264" t="str">
        <f t="shared" si="5"/>
        <v/>
      </c>
      <c r="V1769" s="264" t="str">
        <f t="shared" si="6"/>
        <v/>
      </c>
      <c r="W1769" s="267" t="str">
        <f t="shared" si="8"/>
        <v/>
      </c>
      <c r="X1769" s="264" t="str">
        <f t="shared" si="7"/>
        <v/>
      </c>
    </row>
    <row r="1770" ht="15.75" customHeight="1">
      <c r="A1770" s="258"/>
      <c r="B1770" s="258"/>
      <c r="C1770" s="269"/>
      <c r="D1770" s="258"/>
      <c r="E1770" s="258"/>
      <c r="F1770" s="258"/>
      <c r="G1770" s="258"/>
      <c r="H1770" s="271"/>
      <c r="I1770" s="258"/>
      <c r="J1770" s="272"/>
      <c r="K1770" s="260"/>
      <c r="L1770" s="261"/>
      <c r="M1770" s="262" t="str">
        <f t="shared" si="1"/>
        <v/>
      </c>
      <c r="N1770" s="263" t="str">
        <f t="shared" si="2"/>
        <v/>
      </c>
      <c r="O1770" s="264" t="str">
        <f t="shared" si="3"/>
        <v/>
      </c>
      <c r="P1770" s="265" t="str">
        <f>IFERROR(__xludf.DUMMYFUNCTION("IF(ISBLANK(A1770),"""",IFERROR(IF(H1770=""Sell"",VLOOKUP(9^99,FILTER({ROW(P$2:P1769),P$2:P1769},D$2:D1769=D1770),2),(VLOOKUP(9^99,FILTER({ROW(P$2:P1769),P$2:P1769},D$2:D1769=D1770),2)*VLOOKUP(9^99,FILTER({ROW(O$2:O1769),O$2:O1769},D$2:D1769=D1770),2)-N177"&amp;"0)/O1770),J1770))"),"")</f>
        <v/>
      </c>
      <c r="Q1770" s="264" t="str">
        <f>IFERROR(__xludf.DUMMYFUNCTION("IFERROR(IF(F1770=""Crypto"",B1770,(IF(ISBLANK(D1770),"""",IF(D1770=""Cash"",B1770,IF(GOOGLEFINANCE(D1770,""CURRENCY"")=""GBX"",""GBP"",GOOGLEFINANCE(D1770,""CURRENCY"")))))),B1770)"),"")</f>
        <v/>
      </c>
      <c r="R1770" s="263" t="str">
        <f>IFERROR(__xludf.DUMMYFUNCTION("IF(ISBLANK(A1770),"""",IFERROR(IF(OR(Q1770=""GPB"",Q1770=""ZAR""),IF(Q1770=Dashboard!$L$1,K1770,(K1770*GOOGLEFINANCE(""CURRENCY:""&amp;Q1770&amp;""""&amp;Dashboard!$L$1&amp;""""))/100),IF(Q1770=Dashboard!$L$1,K1770,K1770*GOOGLEFINANCE(""CURRENCY:""&amp;Q1770&amp;""""&amp;Dashboard!$"&amp;"L$1&amp;""""))),K1770))"),"")</f>
        <v/>
      </c>
      <c r="S1770" s="266" t="str">
        <f>IFERROR(__xludf.DUMMYFUNCTION("IF(ISBLANK(A1770),"""",IFERROR(IF(OR(Q1770=""GPB"",Q1770=""ZAR""),IF(Q1770=Dashboard!$L$1,M1770,(M1770*GOOGLEFINANCE(""CURRENCY:""&amp;Q1770&amp;""""&amp;Dashboard!$L$1&amp;""""))/100),IF(Q1770=Dashboard!$L$1,M1770,M1770*GOOGLEFINANCE(""CURRENCY:""&amp;Q1770&amp;""""&amp;Dashboard!$"&amp;"L$1&amp;""""))),M1770))"),"")</f>
        <v/>
      </c>
      <c r="T1770" s="264" t="str">
        <f t="shared" si="4"/>
        <v/>
      </c>
      <c r="U1770" s="264" t="str">
        <f t="shared" si="5"/>
        <v/>
      </c>
      <c r="V1770" s="264" t="str">
        <f t="shared" si="6"/>
        <v/>
      </c>
      <c r="W1770" s="267" t="str">
        <f t="shared" si="8"/>
        <v/>
      </c>
      <c r="X1770" s="264" t="str">
        <f t="shared" si="7"/>
        <v/>
      </c>
    </row>
    <row r="1771" ht="15.75" customHeight="1">
      <c r="A1771" s="258"/>
      <c r="B1771" s="258"/>
      <c r="C1771" s="269"/>
      <c r="D1771" s="258"/>
      <c r="E1771" s="258"/>
      <c r="F1771" s="258"/>
      <c r="G1771" s="258"/>
      <c r="H1771" s="271"/>
      <c r="I1771" s="258"/>
      <c r="J1771" s="272"/>
      <c r="K1771" s="260"/>
      <c r="L1771" s="261"/>
      <c r="M1771" s="262" t="str">
        <f t="shared" si="1"/>
        <v/>
      </c>
      <c r="N1771" s="263" t="str">
        <f t="shared" si="2"/>
        <v/>
      </c>
      <c r="O1771" s="264" t="str">
        <f t="shared" si="3"/>
        <v/>
      </c>
      <c r="P1771" s="265" t="str">
        <f>IFERROR(__xludf.DUMMYFUNCTION("IF(ISBLANK(A1771),"""",IFERROR(IF(H1771=""Sell"",VLOOKUP(9^99,FILTER({ROW(P$2:P1770),P$2:P1770},D$2:D1770=D1771),2),(VLOOKUP(9^99,FILTER({ROW(P$2:P1770),P$2:P1770},D$2:D1770=D1771),2)*VLOOKUP(9^99,FILTER({ROW(O$2:O1770),O$2:O1770},D$2:D1770=D1771),2)-N177"&amp;"1)/O1771),J1771))"),"")</f>
        <v/>
      </c>
      <c r="Q1771" s="264" t="str">
        <f>IFERROR(__xludf.DUMMYFUNCTION("IFERROR(IF(F1771=""Crypto"",B1771,(IF(ISBLANK(D1771),"""",IF(D1771=""Cash"",B1771,IF(GOOGLEFINANCE(D1771,""CURRENCY"")=""GBX"",""GBP"",GOOGLEFINANCE(D1771,""CURRENCY"")))))),B1771)"),"")</f>
        <v/>
      </c>
      <c r="R1771" s="263" t="str">
        <f>IFERROR(__xludf.DUMMYFUNCTION("IF(ISBLANK(A1771),"""",IFERROR(IF(OR(Q1771=""GPB"",Q1771=""ZAR""),IF(Q1771=Dashboard!$L$1,K1771,(K1771*GOOGLEFINANCE(""CURRENCY:""&amp;Q1771&amp;""""&amp;Dashboard!$L$1&amp;""""))/100),IF(Q1771=Dashboard!$L$1,K1771,K1771*GOOGLEFINANCE(""CURRENCY:""&amp;Q1771&amp;""""&amp;Dashboard!$"&amp;"L$1&amp;""""))),K1771))"),"")</f>
        <v/>
      </c>
      <c r="S1771" s="266" t="str">
        <f>IFERROR(__xludf.DUMMYFUNCTION("IF(ISBLANK(A1771),"""",IFERROR(IF(OR(Q1771=""GPB"",Q1771=""ZAR""),IF(Q1771=Dashboard!$L$1,M1771,(M1771*GOOGLEFINANCE(""CURRENCY:""&amp;Q1771&amp;""""&amp;Dashboard!$L$1&amp;""""))/100),IF(Q1771=Dashboard!$L$1,M1771,M1771*GOOGLEFINANCE(""CURRENCY:""&amp;Q1771&amp;""""&amp;Dashboard!$"&amp;"L$1&amp;""""))),M1771))"),"")</f>
        <v/>
      </c>
      <c r="T1771" s="264" t="str">
        <f t="shared" si="4"/>
        <v/>
      </c>
      <c r="U1771" s="264" t="str">
        <f t="shared" si="5"/>
        <v/>
      </c>
      <c r="V1771" s="264" t="str">
        <f t="shared" si="6"/>
        <v/>
      </c>
      <c r="W1771" s="267" t="str">
        <f t="shared" si="8"/>
        <v/>
      </c>
      <c r="X1771" s="264" t="str">
        <f t="shared" si="7"/>
        <v/>
      </c>
    </row>
    <row r="1772" ht="15.75" customHeight="1">
      <c r="A1772" s="258"/>
      <c r="B1772" s="258"/>
      <c r="C1772" s="269"/>
      <c r="D1772" s="258"/>
      <c r="E1772" s="258"/>
      <c r="F1772" s="258"/>
      <c r="G1772" s="258"/>
      <c r="H1772" s="271"/>
      <c r="I1772" s="258"/>
      <c r="J1772" s="272"/>
      <c r="K1772" s="260"/>
      <c r="L1772" s="261"/>
      <c r="M1772" s="262" t="str">
        <f t="shared" si="1"/>
        <v/>
      </c>
      <c r="N1772" s="263" t="str">
        <f t="shared" si="2"/>
        <v/>
      </c>
      <c r="O1772" s="264" t="str">
        <f t="shared" si="3"/>
        <v/>
      </c>
      <c r="P1772" s="265" t="str">
        <f>IFERROR(__xludf.DUMMYFUNCTION("IF(ISBLANK(A1772),"""",IFERROR(IF(H1772=""Sell"",VLOOKUP(9^99,FILTER({ROW(P$2:P1771),P$2:P1771},D$2:D1771=D1772),2),(VLOOKUP(9^99,FILTER({ROW(P$2:P1771),P$2:P1771},D$2:D1771=D1772),2)*VLOOKUP(9^99,FILTER({ROW(O$2:O1771),O$2:O1771},D$2:D1771=D1772),2)-N177"&amp;"2)/O1772),J1772))"),"")</f>
        <v/>
      </c>
      <c r="Q1772" s="264" t="str">
        <f>IFERROR(__xludf.DUMMYFUNCTION("IFERROR(IF(F1772=""Crypto"",B1772,(IF(ISBLANK(D1772),"""",IF(D1772=""Cash"",B1772,IF(GOOGLEFINANCE(D1772,""CURRENCY"")=""GBX"",""GBP"",GOOGLEFINANCE(D1772,""CURRENCY"")))))),B1772)"),"")</f>
        <v/>
      </c>
      <c r="R1772" s="263" t="str">
        <f>IFERROR(__xludf.DUMMYFUNCTION("IF(ISBLANK(A1772),"""",IFERROR(IF(OR(Q1772=""GPB"",Q1772=""ZAR""),IF(Q1772=Dashboard!$L$1,K1772,(K1772*GOOGLEFINANCE(""CURRENCY:""&amp;Q1772&amp;""""&amp;Dashboard!$L$1&amp;""""))/100),IF(Q1772=Dashboard!$L$1,K1772,K1772*GOOGLEFINANCE(""CURRENCY:""&amp;Q1772&amp;""""&amp;Dashboard!$"&amp;"L$1&amp;""""))),K1772))"),"")</f>
        <v/>
      </c>
      <c r="S1772" s="266" t="str">
        <f>IFERROR(__xludf.DUMMYFUNCTION("IF(ISBLANK(A1772),"""",IFERROR(IF(OR(Q1772=""GPB"",Q1772=""ZAR""),IF(Q1772=Dashboard!$L$1,M1772,(M1772*GOOGLEFINANCE(""CURRENCY:""&amp;Q1772&amp;""""&amp;Dashboard!$L$1&amp;""""))/100),IF(Q1772=Dashboard!$L$1,M1772,M1772*GOOGLEFINANCE(""CURRENCY:""&amp;Q1772&amp;""""&amp;Dashboard!$"&amp;"L$1&amp;""""))),M1772))"),"")</f>
        <v/>
      </c>
      <c r="T1772" s="264" t="str">
        <f t="shared" si="4"/>
        <v/>
      </c>
      <c r="U1772" s="264" t="str">
        <f t="shared" si="5"/>
        <v/>
      </c>
      <c r="V1772" s="264" t="str">
        <f t="shared" si="6"/>
        <v/>
      </c>
      <c r="W1772" s="267" t="str">
        <f t="shared" si="8"/>
        <v/>
      </c>
      <c r="X1772" s="264" t="str">
        <f t="shared" si="7"/>
        <v/>
      </c>
    </row>
    <row r="1773" ht="15.75" customHeight="1">
      <c r="A1773" s="258"/>
      <c r="B1773" s="258"/>
      <c r="C1773" s="269"/>
      <c r="D1773" s="258"/>
      <c r="E1773" s="258"/>
      <c r="F1773" s="258"/>
      <c r="G1773" s="258"/>
      <c r="H1773" s="271"/>
      <c r="I1773" s="258"/>
      <c r="J1773" s="272"/>
      <c r="K1773" s="260"/>
      <c r="L1773" s="261"/>
      <c r="M1773" s="262" t="str">
        <f t="shared" si="1"/>
        <v/>
      </c>
      <c r="N1773" s="263" t="str">
        <f t="shared" si="2"/>
        <v/>
      </c>
      <c r="O1773" s="264" t="str">
        <f t="shared" si="3"/>
        <v/>
      </c>
      <c r="P1773" s="265" t="str">
        <f>IFERROR(__xludf.DUMMYFUNCTION("IF(ISBLANK(A1773),"""",IFERROR(IF(H1773=""Sell"",VLOOKUP(9^99,FILTER({ROW(P$2:P1772),P$2:P1772},D$2:D1772=D1773),2),(VLOOKUP(9^99,FILTER({ROW(P$2:P1772),P$2:P1772},D$2:D1772=D1773),2)*VLOOKUP(9^99,FILTER({ROW(O$2:O1772),O$2:O1772},D$2:D1772=D1773),2)-N177"&amp;"3)/O1773),J1773))"),"")</f>
        <v/>
      </c>
      <c r="Q1773" s="264" t="str">
        <f>IFERROR(__xludf.DUMMYFUNCTION("IFERROR(IF(F1773=""Crypto"",B1773,(IF(ISBLANK(D1773),"""",IF(D1773=""Cash"",B1773,IF(GOOGLEFINANCE(D1773,""CURRENCY"")=""GBX"",""GBP"",GOOGLEFINANCE(D1773,""CURRENCY"")))))),B1773)"),"")</f>
        <v/>
      </c>
      <c r="R1773" s="263" t="str">
        <f>IFERROR(__xludf.DUMMYFUNCTION("IF(ISBLANK(A1773),"""",IFERROR(IF(OR(Q1773=""GPB"",Q1773=""ZAR""),IF(Q1773=Dashboard!$L$1,K1773,(K1773*GOOGLEFINANCE(""CURRENCY:""&amp;Q1773&amp;""""&amp;Dashboard!$L$1&amp;""""))/100),IF(Q1773=Dashboard!$L$1,K1773,K1773*GOOGLEFINANCE(""CURRENCY:""&amp;Q1773&amp;""""&amp;Dashboard!$"&amp;"L$1&amp;""""))),K1773))"),"")</f>
        <v/>
      </c>
      <c r="S1773" s="266" t="str">
        <f>IFERROR(__xludf.DUMMYFUNCTION("IF(ISBLANK(A1773),"""",IFERROR(IF(OR(Q1773=""GPB"",Q1773=""ZAR""),IF(Q1773=Dashboard!$L$1,M1773,(M1773*GOOGLEFINANCE(""CURRENCY:""&amp;Q1773&amp;""""&amp;Dashboard!$L$1&amp;""""))/100),IF(Q1773=Dashboard!$L$1,M1773,M1773*GOOGLEFINANCE(""CURRENCY:""&amp;Q1773&amp;""""&amp;Dashboard!$"&amp;"L$1&amp;""""))),M1773))"),"")</f>
        <v/>
      </c>
      <c r="T1773" s="264" t="str">
        <f t="shared" si="4"/>
        <v/>
      </c>
      <c r="U1773" s="264" t="str">
        <f t="shared" si="5"/>
        <v/>
      </c>
      <c r="V1773" s="264" t="str">
        <f t="shared" si="6"/>
        <v/>
      </c>
      <c r="W1773" s="267" t="str">
        <f t="shared" si="8"/>
        <v/>
      </c>
      <c r="X1773" s="264" t="str">
        <f t="shared" si="7"/>
        <v/>
      </c>
    </row>
    <row r="1774" ht="15.75" customHeight="1">
      <c r="A1774" s="258"/>
      <c r="B1774" s="258"/>
      <c r="C1774" s="269"/>
      <c r="D1774" s="258"/>
      <c r="E1774" s="258"/>
      <c r="F1774" s="258"/>
      <c r="G1774" s="258"/>
      <c r="H1774" s="271"/>
      <c r="I1774" s="258"/>
      <c r="J1774" s="272"/>
      <c r="K1774" s="260"/>
      <c r="L1774" s="261"/>
      <c r="M1774" s="262" t="str">
        <f t="shared" si="1"/>
        <v/>
      </c>
      <c r="N1774" s="263" t="str">
        <f t="shared" si="2"/>
        <v/>
      </c>
      <c r="O1774" s="264" t="str">
        <f t="shared" si="3"/>
        <v/>
      </c>
      <c r="P1774" s="265" t="str">
        <f>IFERROR(__xludf.DUMMYFUNCTION("IF(ISBLANK(A1774),"""",IFERROR(IF(H1774=""Sell"",VLOOKUP(9^99,FILTER({ROW(P$2:P1773),P$2:P1773},D$2:D1773=D1774),2),(VLOOKUP(9^99,FILTER({ROW(P$2:P1773),P$2:P1773},D$2:D1773=D1774),2)*VLOOKUP(9^99,FILTER({ROW(O$2:O1773),O$2:O1773},D$2:D1773=D1774),2)-N177"&amp;"4)/O1774),J1774))"),"")</f>
        <v/>
      </c>
      <c r="Q1774" s="264" t="str">
        <f>IFERROR(__xludf.DUMMYFUNCTION("IFERROR(IF(F1774=""Crypto"",B1774,(IF(ISBLANK(D1774),"""",IF(D1774=""Cash"",B1774,IF(GOOGLEFINANCE(D1774,""CURRENCY"")=""GBX"",""GBP"",GOOGLEFINANCE(D1774,""CURRENCY"")))))),B1774)"),"")</f>
        <v/>
      </c>
      <c r="R1774" s="263" t="str">
        <f>IFERROR(__xludf.DUMMYFUNCTION("IF(ISBLANK(A1774),"""",IFERROR(IF(OR(Q1774=""GPB"",Q1774=""ZAR""),IF(Q1774=Dashboard!$L$1,K1774,(K1774*GOOGLEFINANCE(""CURRENCY:""&amp;Q1774&amp;""""&amp;Dashboard!$L$1&amp;""""))/100),IF(Q1774=Dashboard!$L$1,K1774,K1774*GOOGLEFINANCE(""CURRENCY:""&amp;Q1774&amp;""""&amp;Dashboard!$"&amp;"L$1&amp;""""))),K1774))"),"")</f>
        <v/>
      </c>
      <c r="S1774" s="266" t="str">
        <f>IFERROR(__xludf.DUMMYFUNCTION("IF(ISBLANK(A1774),"""",IFERROR(IF(OR(Q1774=""GPB"",Q1774=""ZAR""),IF(Q1774=Dashboard!$L$1,M1774,(M1774*GOOGLEFINANCE(""CURRENCY:""&amp;Q1774&amp;""""&amp;Dashboard!$L$1&amp;""""))/100),IF(Q1774=Dashboard!$L$1,M1774,M1774*GOOGLEFINANCE(""CURRENCY:""&amp;Q1774&amp;""""&amp;Dashboard!$"&amp;"L$1&amp;""""))),M1774))"),"")</f>
        <v/>
      </c>
      <c r="T1774" s="264" t="str">
        <f t="shared" si="4"/>
        <v/>
      </c>
      <c r="U1774" s="264" t="str">
        <f t="shared" si="5"/>
        <v/>
      </c>
      <c r="V1774" s="264" t="str">
        <f t="shared" si="6"/>
        <v/>
      </c>
      <c r="W1774" s="267" t="str">
        <f t="shared" si="8"/>
        <v/>
      </c>
      <c r="X1774" s="264" t="str">
        <f t="shared" si="7"/>
        <v/>
      </c>
    </row>
    <row r="1775" ht="15.75" customHeight="1">
      <c r="A1775" s="258"/>
      <c r="B1775" s="258"/>
      <c r="C1775" s="269"/>
      <c r="D1775" s="258"/>
      <c r="E1775" s="258"/>
      <c r="F1775" s="258"/>
      <c r="G1775" s="258"/>
      <c r="H1775" s="271"/>
      <c r="I1775" s="258"/>
      <c r="J1775" s="272"/>
      <c r="K1775" s="260"/>
      <c r="L1775" s="261"/>
      <c r="M1775" s="262" t="str">
        <f t="shared" si="1"/>
        <v/>
      </c>
      <c r="N1775" s="263" t="str">
        <f t="shared" si="2"/>
        <v/>
      </c>
      <c r="O1775" s="264" t="str">
        <f t="shared" si="3"/>
        <v/>
      </c>
      <c r="P1775" s="265" t="str">
        <f>IFERROR(__xludf.DUMMYFUNCTION("IF(ISBLANK(A1775),"""",IFERROR(IF(H1775=""Sell"",VLOOKUP(9^99,FILTER({ROW(P$2:P1774),P$2:P1774},D$2:D1774=D1775),2),(VLOOKUP(9^99,FILTER({ROW(P$2:P1774),P$2:P1774},D$2:D1774=D1775),2)*VLOOKUP(9^99,FILTER({ROW(O$2:O1774),O$2:O1774},D$2:D1774=D1775),2)-N177"&amp;"5)/O1775),J1775))"),"")</f>
        <v/>
      </c>
      <c r="Q1775" s="264" t="str">
        <f>IFERROR(__xludf.DUMMYFUNCTION("IFERROR(IF(F1775=""Crypto"",B1775,(IF(ISBLANK(D1775),"""",IF(D1775=""Cash"",B1775,IF(GOOGLEFINANCE(D1775,""CURRENCY"")=""GBX"",""GBP"",GOOGLEFINANCE(D1775,""CURRENCY"")))))),B1775)"),"")</f>
        <v/>
      </c>
      <c r="R1775" s="263" t="str">
        <f>IFERROR(__xludf.DUMMYFUNCTION("IF(ISBLANK(A1775),"""",IFERROR(IF(OR(Q1775=""GPB"",Q1775=""ZAR""),IF(Q1775=Dashboard!$L$1,K1775,(K1775*GOOGLEFINANCE(""CURRENCY:""&amp;Q1775&amp;""""&amp;Dashboard!$L$1&amp;""""))/100),IF(Q1775=Dashboard!$L$1,K1775,K1775*GOOGLEFINANCE(""CURRENCY:""&amp;Q1775&amp;""""&amp;Dashboard!$"&amp;"L$1&amp;""""))),K1775))"),"")</f>
        <v/>
      </c>
      <c r="S1775" s="266" t="str">
        <f>IFERROR(__xludf.DUMMYFUNCTION("IF(ISBLANK(A1775),"""",IFERROR(IF(OR(Q1775=""GPB"",Q1775=""ZAR""),IF(Q1775=Dashboard!$L$1,M1775,(M1775*GOOGLEFINANCE(""CURRENCY:""&amp;Q1775&amp;""""&amp;Dashboard!$L$1&amp;""""))/100),IF(Q1775=Dashboard!$L$1,M1775,M1775*GOOGLEFINANCE(""CURRENCY:""&amp;Q1775&amp;""""&amp;Dashboard!$"&amp;"L$1&amp;""""))),M1775))"),"")</f>
        <v/>
      </c>
      <c r="T1775" s="264" t="str">
        <f t="shared" si="4"/>
        <v/>
      </c>
      <c r="U1775" s="264" t="str">
        <f t="shared" si="5"/>
        <v/>
      </c>
      <c r="V1775" s="264" t="str">
        <f t="shared" si="6"/>
        <v/>
      </c>
      <c r="W1775" s="267" t="str">
        <f t="shared" si="8"/>
        <v/>
      </c>
      <c r="X1775" s="264" t="str">
        <f t="shared" si="7"/>
        <v/>
      </c>
    </row>
    <row r="1776" ht="15.75" customHeight="1">
      <c r="A1776" s="258"/>
      <c r="B1776" s="258"/>
      <c r="C1776" s="269"/>
      <c r="D1776" s="258"/>
      <c r="E1776" s="258"/>
      <c r="F1776" s="258"/>
      <c r="G1776" s="258"/>
      <c r="H1776" s="271"/>
      <c r="I1776" s="258"/>
      <c r="J1776" s="272"/>
      <c r="K1776" s="260"/>
      <c r="L1776" s="261"/>
      <c r="M1776" s="262" t="str">
        <f t="shared" si="1"/>
        <v/>
      </c>
      <c r="N1776" s="263" t="str">
        <f t="shared" si="2"/>
        <v/>
      </c>
      <c r="O1776" s="264" t="str">
        <f t="shared" si="3"/>
        <v/>
      </c>
      <c r="P1776" s="265" t="str">
        <f>IFERROR(__xludf.DUMMYFUNCTION("IF(ISBLANK(A1776),"""",IFERROR(IF(H1776=""Sell"",VLOOKUP(9^99,FILTER({ROW(P$2:P1775),P$2:P1775},D$2:D1775=D1776),2),(VLOOKUP(9^99,FILTER({ROW(P$2:P1775),P$2:P1775},D$2:D1775=D1776),2)*VLOOKUP(9^99,FILTER({ROW(O$2:O1775),O$2:O1775},D$2:D1775=D1776),2)-N177"&amp;"6)/O1776),J1776))"),"")</f>
        <v/>
      </c>
      <c r="Q1776" s="264" t="str">
        <f>IFERROR(__xludf.DUMMYFUNCTION("IFERROR(IF(F1776=""Crypto"",B1776,(IF(ISBLANK(D1776),"""",IF(D1776=""Cash"",B1776,IF(GOOGLEFINANCE(D1776,""CURRENCY"")=""GBX"",""GBP"",GOOGLEFINANCE(D1776,""CURRENCY"")))))),B1776)"),"")</f>
        <v/>
      </c>
      <c r="R1776" s="263" t="str">
        <f>IFERROR(__xludf.DUMMYFUNCTION("IF(ISBLANK(A1776),"""",IFERROR(IF(OR(Q1776=""GPB"",Q1776=""ZAR""),IF(Q1776=Dashboard!$L$1,K1776,(K1776*GOOGLEFINANCE(""CURRENCY:""&amp;Q1776&amp;""""&amp;Dashboard!$L$1&amp;""""))/100),IF(Q1776=Dashboard!$L$1,K1776,K1776*GOOGLEFINANCE(""CURRENCY:""&amp;Q1776&amp;""""&amp;Dashboard!$"&amp;"L$1&amp;""""))),K1776))"),"")</f>
        <v/>
      </c>
      <c r="S1776" s="266" t="str">
        <f>IFERROR(__xludf.DUMMYFUNCTION("IF(ISBLANK(A1776),"""",IFERROR(IF(OR(Q1776=""GPB"",Q1776=""ZAR""),IF(Q1776=Dashboard!$L$1,M1776,(M1776*GOOGLEFINANCE(""CURRENCY:""&amp;Q1776&amp;""""&amp;Dashboard!$L$1&amp;""""))/100),IF(Q1776=Dashboard!$L$1,M1776,M1776*GOOGLEFINANCE(""CURRENCY:""&amp;Q1776&amp;""""&amp;Dashboard!$"&amp;"L$1&amp;""""))),M1776))"),"")</f>
        <v/>
      </c>
      <c r="T1776" s="264" t="str">
        <f t="shared" si="4"/>
        <v/>
      </c>
      <c r="U1776" s="264" t="str">
        <f t="shared" si="5"/>
        <v/>
      </c>
      <c r="V1776" s="264" t="str">
        <f t="shared" si="6"/>
        <v/>
      </c>
      <c r="W1776" s="267" t="str">
        <f t="shared" si="8"/>
        <v/>
      </c>
      <c r="X1776" s="264" t="str">
        <f t="shared" si="7"/>
        <v/>
      </c>
    </row>
    <row r="1777" ht="15.75" customHeight="1">
      <c r="A1777" s="258"/>
      <c r="B1777" s="258"/>
      <c r="C1777" s="269"/>
      <c r="D1777" s="258"/>
      <c r="E1777" s="258"/>
      <c r="F1777" s="258"/>
      <c r="G1777" s="258"/>
      <c r="H1777" s="271"/>
      <c r="I1777" s="258"/>
      <c r="J1777" s="272"/>
      <c r="K1777" s="260"/>
      <c r="L1777" s="261"/>
      <c r="M1777" s="262" t="str">
        <f t="shared" si="1"/>
        <v/>
      </c>
      <c r="N1777" s="263" t="str">
        <f t="shared" si="2"/>
        <v/>
      </c>
      <c r="O1777" s="264" t="str">
        <f t="shared" si="3"/>
        <v/>
      </c>
      <c r="P1777" s="265" t="str">
        <f>IFERROR(__xludf.DUMMYFUNCTION("IF(ISBLANK(A1777),"""",IFERROR(IF(H1777=""Sell"",VLOOKUP(9^99,FILTER({ROW(P$2:P1776),P$2:P1776},D$2:D1776=D1777),2),(VLOOKUP(9^99,FILTER({ROW(P$2:P1776),P$2:P1776},D$2:D1776=D1777),2)*VLOOKUP(9^99,FILTER({ROW(O$2:O1776),O$2:O1776},D$2:D1776=D1777),2)-N177"&amp;"7)/O1777),J1777))"),"")</f>
        <v/>
      </c>
      <c r="Q1777" s="264" t="str">
        <f>IFERROR(__xludf.DUMMYFUNCTION("IFERROR(IF(F1777=""Crypto"",B1777,(IF(ISBLANK(D1777),"""",IF(D1777=""Cash"",B1777,IF(GOOGLEFINANCE(D1777,""CURRENCY"")=""GBX"",""GBP"",GOOGLEFINANCE(D1777,""CURRENCY"")))))),B1777)"),"")</f>
        <v/>
      </c>
      <c r="R1777" s="263" t="str">
        <f>IFERROR(__xludf.DUMMYFUNCTION("IF(ISBLANK(A1777),"""",IFERROR(IF(OR(Q1777=""GPB"",Q1777=""ZAR""),IF(Q1777=Dashboard!$L$1,K1777,(K1777*GOOGLEFINANCE(""CURRENCY:""&amp;Q1777&amp;""""&amp;Dashboard!$L$1&amp;""""))/100),IF(Q1777=Dashboard!$L$1,K1777,K1777*GOOGLEFINANCE(""CURRENCY:""&amp;Q1777&amp;""""&amp;Dashboard!$"&amp;"L$1&amp;""""))),K1777))"),"")</f>
        <v/>
      </c>
      <c r="S1777" s="266" t="str">
        <f>IFERROR(__xludf.DUMMYFUNCTION("IF(ISBLANK(A1777),"""",IFERROR(IF(OR(Q1777=""GPB"",Q1777=""ZAR""),IF(Q1777=Dashboard!$L$1,M1777,(M1777*GOOGLEFINANCE(""CURRENCY:""&amp;Q1777&amp;""""&amp;Dashboard!$L$1&amp;""""))/100),IF(Q1777=Dashboard!$L$1,M1777,M1777*GOOGLEFINANCE(""CURRENCY:""&amp;Q1777&amp;""""&amp;Dashboard!$"&amp;"L$1&amp;""""))),M1777))"),"")</f>
        <v/>
      </c>
      <c r="T1777" s="264" t="str">
        <f t="shared" si="4"/>
        <v/>
      </c>
      <c r="U1777" s="264" t="str">
        <f t="shared" si="5"/>
        <v/>
      </c>
      <c r="V1777" s="264" t="str">
        <f t="shared" si="6"/>
        <v/>
      </c>
      <c r="W1777" s="267" t="str">
        <f t="shared" si="8"/>
        <v/>
      </c>
      <c r="X1777" s="264" t="str">
        <f t="shared" si="7"/>
        <v/>
      </c>
    </row>
    <row r="1778" ht="15.75" customHeight="1">
      <c r="A1778" s="258"/>
      <c r="B1778" s="258"/>
      <c r="C1778" s="269"/>
      <c r="D1778" s="258"/>
      <c r="E1778" s="258"/>
      <c r="F1778" s="258"/>
      <c r="G1778" s="258"/>
      <c r="H1778" s="271"/>
      <c r="I1778" s="258"/>
      <c r="J1778" s="272"/>
      <c r="K1778" s="260"/>
      <c r="L1778" s="261"/>
      <c r="M1778" s="262" t="str">
        <f t="shared" si="1"/>
        <v/>
      </c>
      <c r="N1778" s="263" t="str">
        <f t="shared" si="2"/>
        <v/>
      </c>
      <c r="O1778" s="264" t="str">
        <f t="shared" si="3"/>
        <v/>
      </c>
      <c r="P1778" s="265" t="str">
        <f>IFERROR(__xludf.DUMMYFUNCTION("IF(ISBLANK(A1778),"""",IFERROR(IF(H1778=""Sell"",VLOOKUP(9^99,FILTER({ROW(P$2:P1777),P$2:P1777},D$2:D1777=D1778),2),(VLOOKUP(9^99,FILTER({ROW(P$2:P1777),P$2:P1777},D$2:D1777=D1778),2)*VLOOKUP(9^99,FILTER({ROW(O$2:O1777),O$2:O1777},D$2:D1777=D1778),2)-N177"&amp;"8)/O1778),J1778))"),"")</f>
        <v/>
      </c>
      <c r="Q1778" s="264" t="str">
        <f>IFERROR(__xludf.DUMMYFUNCTION("IFERROR(IF(F1778=""Crypto"",B1778,(IF(ISBLANK(D1778),"""",IF(D1778=""Cash"",B1778,IF(GOOGLEFINANCE(D1778,""CURRENCY"")=""GBX"",""GBP"",GOOGLEFINANCE(D1778,""CURRENCY"")))))),B1778)"),"")</f>
        <v/>
      </c>
      <c r="R1778" s="263" t="str">
        <f>IFERROR(__xludf.DUMMYFUNCTION("IF(ISBLANK(A1778),"""",IFERROR(IF(OR(Q1778=""GPB"",Q1778=""ZAR""),IF(Q1778=Dashboard!$L$1,K1778,(K1778*GOOGLEFINANCE(""CURRENCY:""&amp;Q1778&amp;""""&amp;Dashboard!$L$1&amp;""""))/100),IF(Q1778=Dashboard!$L$1,K1778,K1778*GOOGLEFINANCE(""CURRENCY:""&amp;Q1778&amp;""""&amp;Dashboard!$"&amp;"L$1&amp;""""))),K1778))"),"")</f>
        <v/>
      </c>
      <c r="S1778" s="266" t="str">
        <f>IFERROR(__xludf.DUMMYFUNCTION("IF(ISBLANK(A1778),"""",IFERROR(IF(OR(Q1778=""GPB"",Q1778=""ZAR""),IF(Q1778=Dashboard!$L$1,M1778,(M1778*GOOGLEFINANCE(""CURRENCY:""&amp;Q1778&amp;""""&amp;Dashboard!$L$1&amp;""""))/100),IF(Q1778=Dashboard!$L$1,M1778,M1778*GOOGLEFINANCE(""CURRENCY:""&amp;Q1778&amp;""""&amp;Dashboard!$"&amp;"L$1&amp;""""))),M1778))"),"")</f>
        <v/>
      </c>
      <c r="T1778" s="264" t="str">
        <f t="shared" si="4"/>
        <v/>
      </c>
      <c r="U1778" s="264" t="str">
        <f t="shared" si="5"/>
        <v/>
      </c>
      <c r="V1778" s="264" t="str">
        <f t="shared" si="6"/>
        <v/>
      </c>
      <c r="W1778" s="267" t="str">
        <f t="shared" si="8"/>
        <v/>
      </c>
      <c r="X1778" s="264" t="str">
        <f t="shared" si="7"/>
        <v/>
      </c>
    </row>
    <row r="1779" ht="15.75" customHeight="1">
      <c r="A1779" s="258"/>
      <c r="B1779" s="258"/>
      <c r="C1779" s="269"/>
      <c r="D1779" s="258"/>
      <c r="E1779" s="258"/>
      <c r="F1779" s="258"/>
      <c r="G1779" s="258"/>
      <c r="H1779" s="271"/>
      <c r="I1779" s="258"/>
      <c r="J1779" s="272"/>
      <c r="K1779" s="260"/>
      <c r="L1779" s="261"/>
      <c r="M1779" s="262" t="str">
        <f t="shared" si="1"/>
        <v/>
      </c>
      <c r="N1779" s="263" t="str">
        <f t="shared" si="2"/>
        <v/>
      </c>
      <c r="O1779" s="264" t="str">
        <f t="shared" si="3"/>
        <v/>
      </c>
      <c r="P1779" s="265" t="str">
        <f>IFERROR(__xludf.DUMMYFUNCTION("IF(ISBLANK(A1779),"""",IFERROR(IF(H1779=""Sell"",VLOOKUP(9^99,FILTER({ROW(P$2:P1778),P$2:P1778},D$2:D1778=D1779),2),(VLOOKUP(9^99,FILTER({ROW(P$2:P1778),P$2:P1778},D$2:D1778=D1779),2)*VLOOKUP(9^99,FILTER({ROW(O$2:O1778),O$2:O1778},D$2:D1778=D1779),2)-N177"&amp;"9)/O1779),J1779))"),"")</f>
        <v/>
      </c>
      <c r="Q1779" s="264" t="str">
        <f>IFERROR(__xludf.DUMMYFUNCTION("IFERROR(IF(F1779=""Crypto"",B1779,(IF(ISBLANK(D1779),"""",IF(D1779=""Cash"",B1779,IF(GOOGLEFINANCE(D1779,""CURRENCY"")=""GBX"",""GBP"",GOOGLEFINANCE(D1779,""CURRENCY"")))))),B1779)"),"")</f>
        <v/>
      </c>
      <c r="R1779" s="263" t="str">
        <f>IFERROR(__xludf.DUMMYFUNCTION("IF(ISBLANK(A1779),"""",IFERROR(IF(OR(Q1779=""GPB"",Q1779=""ZAR""),IF(Q1779=Dashboard!$L$1,K1779,(K1779*GOOGLEFINANCE(""CURRENCY:""&amp;Q1779&amp;""""&amp;Dashboard!$L$1&amp;""""))/100),IF(Q1779=Dashboard!$L$1,K1779,K1779*GOOGLEFINANCE(""CURRENCY:""&amp;Q1779&amp;""""&amp;Dashboard!$"&amp;"L$1&amp;""""))),K1779))"),"")</f>
        <v/>
      </c>
      <c r="S1779" s="266" t="str">
        <f>IFERROR(__xludf.DUMMYFUNCTION("IF(ISBLANK(A1779),"""",IFERROR(IF(OR(Q1779=""GPB"",Q1779=""ZAR""),IF(Q1779=Dashboard!$L$1,M1779,(M1779*GOOGLEFINANCE(""CURRENCY:""&amp;Q1779&amp;""""&amp;Dashboard!$L$1&amp;""""))/100),IF(Q1779=Dashboard!$L$1,M1779,M1779*GOOGLEFINANCE(""CURRENCY:""&amp;Q1779&amp;""""&amp;Dashboard!$"&amp;"L$1&amp;""""))),M1779))"),"")</f>
        <v/>
      </c>
      <c r="T1779" s="264" t="str">
        <f t="shared" si="4"/>
        <v/>
      </c>
      <c r="U1779" s="264" t="str">
        <f t="shared" si="5"/>
        <v/>
      </c>
      <c r="V1779" s="264" t="str">
        <f t="shared" si="6"/>
        <v/>
      </c>
      <c r="W1779" s="267" t="str">
        <f t="shared" si="8"/>
        <v/>
      </c>
      <c r="X1779" s="264" t="str">
        <f t="shared" si="7"/>
        <v/>
      </c>
    </row>
    <row r="1780" ht="15.75" customHeight="1">
      <c r="A1780" s="258"/>
      <c r="B1780" s="258"/>
      <c r="C1780" s="269"/>
      <c r="D1780" s="258"/>
      <c r="E1780" s="258"/>
      <c r="F1780" s="258"/>
      <c r="G1780" s="258"/>
      <c r="H1780" s="271"/>
      <c r="I1780" s="258"/>
      <c r="J1780" s="272"/>
      <c r="K1780" s="260"/>
      <c r="L1780" s="261"/>
      <c r="M1780" s="262" t="str">
        <f t="shared" si="1"/>
        <v/>
      </c>
      <c r="N1780" s="263" t="str">
        <f t="shared" si="2"/>
        <v/>
      </c>
      <c r="O1780" s="264" t="str">
        <f t="shared" si="3"/>
        <v/>
      </c>
      <c r="P1780" s="265" t="str">
        <f>IFERROR(__xludf.DUMMYFUNCTION("IF(ISBLANK(A1780),"""",IFERROR(IF(H1780=""Sell"",VLOOKUP(9^99,FILTER({ROW(P$2:P1779),P$2:P1779},D$2:D1779=D1780),2),(VLOOKUP(9^99,FILTER({ROW(P$2:P1779),P$2:P1779},D$2:D1779=D1780),2)*VLOOKUP(9^99,FILTER({ROW(O$2:O1779),O$2:O1779},D$2:D1779=D1780),2)-N178"&amp;"0)/O1780),J1780))"),"")</f>
        <v/>
      </c>
      <c r="Q1780" s="264" t="str">
        <f>IFERROR(__xludf.DUMMYFUNCTION("IFERROR(IF(F1780=""Crypto"",B1780,(IF(ISBLANK(D1780),"""",IF(D1780=""Cash"",B1780,IF(GOOGLEFINANCE(D1780,""CURRENCY"")=""GBX"",""GBP"",GOOGLEFINANCE(D1780,""CURRENCY"")))))),B1780)"),"")</f>
        <v/>
      </c>
      <c r="R1780" s="263" t="str">
        <f>IFERROR(__xludf.DUMMYFUNCTION("IF(ISBLANK(A1780),"""",IFERROR(IF(OR(Q1780=""GPB"",Q1780=""ZAR""),IF(Q1780=Dashboard!$L$1,K1780,(K1780*GOOGLEFINANCE(""CURRENCY:""&amp;Q1780&amp;""""&amp;Dashboard!$L$1&amp;""""))/100),IF(Q1780=Dashboard!$L$1,K1780,K1780*GOOGLEFINANCE(""CURRENCY:""&amp;Q1780&amp;""""&amp;Dashboard!$"&amp;"L$1&amp;""""))),K1780))"),"")</f>
        <v/>
      </c>
      <c r="S1780" s="266" t="str">
        <f>IFERROR(__xludf.DUMMYFUNCTION("IF(ISBLANK(A1780),"""",IFERROR(IF(OR(Q1780=""GPB"",Q1780=""ZAR""),IF(Q1780=Dashboard!$L$1,M1780,(M1780*GOOGLEFINANCE(""CURRENCY:""&amp;Q1780&amp;""""&amp;Dashboard!$L$1&amp;""""))/100),IF(Q1780=Dashboard!$L$1,M1780,M1780*GOOGLEFINANCE(""CURRENCY:""&amp;Q1780&amp;""""&amp;Dashboard!$"&amp;"L$1&amp;""""))),M1780))"),"")</f>
        <v/>
      </c>
      <c r="T1780" s="264" t="str">
        <f t="shared" si="4"/>
        <v/>
      </c>
      <c r="U1780" s="264" t="str">
        <f t="shared" si="5"/>
        <v/>
      </c>
      <c r="V1780" s="264" t="str">
        <f t="shared" si="6"/>
        <v/>
      </c>
      <c r="W1780" s="267" t="str">
        <f t="shared" si="8"/>
        <v/>
      </c>
      <c r="X1780" s="264" t="str">
        <f t="shared" si="7"/>
        <v/>
      </c>
    </row>
    <row r="1781" ht="15.75" customHeight="1">
      <c r="A1781" s="258"/>
      <c r="B1781" s="258"/>
      <c r="C1781" s="269"/>
      <c r="D1781" s="258"/>
      <c r="E1781" s="258"/>
      <c r="F1781" s="258"/>
      <c r="G1781" s="258"/>
      <c r="H1781" s="271"/>
      <c r="I1781" s="258"/>
      <c r="J1781" s="272"/>
      <c r="K1781" s="260"/>
      <c r="L1781" s="261"/>
      <c r="M1781" s="262" t="str">
        <f t="shared" si="1"/>
        <v/>
      </c>
      <c r="N1781" s="263" t="str">
        <f t="shared" si="2"/>
        <v/>
      </c>
      <c r="O1781" s="264" t="str">
        <f t="shared" si="3"/>
        <v/>
      </c>
      <c r="P1781" s="265" t="str">
        <f>IFERROR(__xludf.DUMMYFUNCTION("IF(ISBLANK(A1781),"""",IFERROR(IF(H1781=""Sell"",VLOOKUP(9^99,FILTER({ROW(P$2:P1780),P$2:P1780},D$2:D1780=D1781),2),(VLOOKUP(9^99,FILTER({ROW(P$2:P1780),P$2:P1780},D$2:D1780=D1781),2)*VLOOKUP(9^99,FILTER({ROW(O$2:O1780),O$2:O1780},D$2:D1780=D1781),2)-N178"&amp;"1)/O1781),J1781))"),"")</f>
        <v/>
      </c>
      <c r="Q1781" s="264" t="str">
        <f>IFERROR(__xludf.DUMMYFUNCTION("IFERROR(IF(F1781=""Crypto"",B1781,(IF(ISBLANK(D1781),"""",IF(D1781=""Cash"",B1781,IF(GOOGLEFINANCE(D1781,""CURRENCY"")=""GBX"",""GBP"",GOOGLEFINANCE(D1781,""CURRENCY"")))))),B1781)"),"")</f>
        <v/>
      </c>
      <c r="R1781" s="263" t="str">
        <f>IFERROR(__xludf.DUMMYFUNCTION("IF(ISBLANK(A1781),"""",IFERROR(IF(OR(Q1781=""GPB"",Q1781=""ZAR""),IF(Q1781=Dashboard!$L$1,K1781,(K1781*GOOGLEFINANCE(""CURRENCY:""&amp;Q1781&amp;""""&amp;Dashboard!$L$1&amp;""""))/100),IF(Q1781=Dashboard!$L$1,K1781,K1781*GOOGLEFINANCE(""CURRENCY:""&amp;Q1781&amp;""""&amp;Dashboard!$"&amp;"L$1&amp;""""))),K1781))"),"")</f>
        <v/>
      </c>
      <c r="S1781" s="266" t="str">
        <f>IFERROR(__xludf.DUMMYFUNCTION("IF(ISBLANK(A1781),"""",IFERROR(IF(OR(Q1781=""GPB"",Q1781=""ZAR""),IF(Q1781=Dashboard!$L$1,M1781,(M1781*GOOGLEFINANCE(""CURRENCY:""&amp;Q1781&amp;""""&amp;Dashboard!$L$1&amp;""""))/100),IF(Q1781=Dashboard!$L$1,M1781,M1781*GOOGLEFINANCE(""CURRENCY:""&amp;Q1781&amp;""""&amp;Dashboard!$"&amp;"L$1&amp;""""))),M1781))"),"")</f>
        <v/>
      </c>
      <c r="T1781" s="264" t="str">
        <f t="shared" si="4"/>
        <v/>
      </c>
      <c r="U1781" s="264" t="str">
        <f t="shared" si="5"/>
        <v/>
      </c>
      <c r="V1781" s="264" t="str">
        <f t="shared" si="6"/>
        <v/>
      </c>
      <c r="W1781" s="267" t="str">
        <f t="shared" si="8"/>
        <v/>
      </c>
      <c r="X1781" s="264" t="str">
        <f t="shared" si="7"/>
        <v/>
      </c>
    </row>
    <row r="1782" ht="15.75" customHeight="1">
      <c r="A1782" s="258"/>
      <c r="B1782" s="258"/>
      <c r="C1782" s="269"/>
      <c r="D1782" s="258"/>
      <c r="E1782" s="258"/>
      <c r="F1782" s="258"/>
      <c r="G1782" s="258"/>
      <c r="H1782" s="271"/>
      <c r="I1782" s="258"/>
      <c r="J1782" s="272"/>
      <c r="K1782" s="260"/>
      <c r="L1782" s="261"/>
      <c r="M1782" s="262" t="str">
        <f t="shared" si="1"/>
        <v/>
      </c>
      <c r="N1782" s="263" t="str">
        <f t="shared" si="2"/>
        <v/>
      </c>
      <c r="O1782" s="264" t="str">
        <f t="shared" si="3"/>
        <v/>
      </c>
      <c r="P1782" s="265" t="str">
        <f>IFERROR(__xludf.DUMMYFUNCTION("IF(ISBLANK(A1782),"""",IFERROR(IF(H1782=""Sell"",VLOOKUP(9^99,FILTER({ROW(P$2:P1781),P$2:P1781},D$2:D1781=D1782),2),(VLOOKUP(9^99,FILTER({ROW(P$2:P1781),P$2:P1781},D$2:D1781=D1782),2)*VLOOKUP(9^99,FILTER({ROW(O$2:O1781),O$2:O1781},D$2:D1781=D1782),2)-N178"&amp;"2)/O1782),J1782))"),"")</f>
        <v/>
      </c>
      <c r="Q1782" s="264" t="str">
        <f>IFERROR(__xludf.DUMMYFUNCTION("IFERROR(IF(F1782=""Crypto"",B1782,(IF(ISBLANK(D1782),"""",IF(D1782=""Cash"",B1782,IF(GOOGLEFINANCE(D1782,""CURRENCY"")=""GBX"",""GBP"",GOOGLEFINANCE(D1782,""CURRENCY"")))))),B1782)"),"")</f>
        <v/>
      </c>
      <c r="R1782" s="263" t="str">
        <f>IFERROR(__xludf.DUMMYFUNCTION("IF(ISBLANK(A1782),"""",IFERROR(IF(OR(Q1782=""GPB"",Q1782=""ZAR""),IF(Q1782=Dashboard!$L$1,K1782,(K1782*GOOGLEFINANCE(""CURRENCY:""&amp;Q1782&amp;""""&amp;Dashboard!$L$1&amp;""""))/100),IF(Q1782=Dashboard!$L$1,K1782,K1782*GOOGLEFINANCE(""CURRENCY:""&amp;Q1782&amp;""""&amp;Dashboard!$"&amp;"L$1&amp;""""))),K1782))"),"")</f>
        <v/>
      </c>
      <c r="S1782" s="266" t="str">
        <f>IFERROR(__xludf.DUMMYFUNCTION("IF(ISBLANK(A1782),"""",IFERROR(IF(OR(Q1782=""GPB"",Q1782=""ZAR""),IF(Q1782=Dashboard!$L$1,M1782,(M1782*GOOGLEFINANCE(""CURRENCY:""&amp;Q1782&amp;""""&amp;Dashboard!$L$1&amp;""""))/100),IF(Q1782=Dashboard!$L$1,M1782,M1782*GOOGLEFINANCE(""CURRENCY:""&amp;Q1782&amp;""""&amp;Dashboard!$"&amp;"L$1&amp;""""))),M1782))"),"")</f>
        <v/>
      </c>
      <c r="T1782" s="264" t="str">
        <f t="shared" si="4"/>
        <v/>
      </c>
      <c r="U1782" s="264" t="str">
        <f t="shared" si="5"/>
        <v/>
      </c>
      <c r="V1782" s="264" t="str">
        <f t="shared" si="6"/>
        <v/>
      </c>
      <c r="W1782" s="267" t="str">
        <f t="shared" si="8"/>
        <v/>
      </c>
      <c r="X1782" s="264" t="str">
        <f t="shared" si="7"/>
        <v/>
      </c>
    </row>
    <row r="1783" ht="15.75" customHeight="1">
      <c r="A1783" s="258"/>
      <c r="B1783" s="258"/>
      <c r="C1783" s="269"/>
      <c r="D1783" s="258"/>
      <c r="E1783" s="258"/>
      <c r="F1783" s="258"/>
      <c r="G1783" s="258"/>
      <c r="H1783" s="271"/>
      <c r="I1783" s="258"/>
      <c r="J1783" s="272"/>
      <c r="K1783" s="260"/>
      <c r="L1783" s="261"/>
      <c r="M1783" s="262" t="str">
        <f t="shared" si="1"/>
        <v/>
      </c>
      <c r="N1783" s="263" t="str">
        <f t="shared" si="2"/>
        <v/>
      </c>
      <c r="O1783" s="264" t="str">
        <f t="shared" si="3"/>
        <v/>
      </c>
      <c r="P1783" s="265" t="str">
        <f>IFERROR(__xludf.DUMMYFUNCTION("IF(ISBLANK(A1783),"""",IFERROR(IF(H1783=""Sell"",VLOOKUP(9^99,FILTER({ROW(P$2:P1782),P$2:P1782},D$2:D1782=D1783),2),(VLOOKUP(9^99,FILTER({ROW(P$2:P1782),P$2:P1782},D$2:D1782=D1783),2)*VLOOKUP(9^99,FILTER({ROW(O$2:O1782),O$2:O1782},D$2:D1782=D1783),2)-N178"&amp;"3)/O1783),J1783))"),"")</f>
        <v/>
      </c>
      <c r="Q1783" s="264" t="str">
        <f>IFERROR(__xludf.DUMMYFUNCTION("IFERROR(IF(F1783=""Crypto"",B1783,(IF(ISBLANK(D1783),"""",IF(D1783=""Cash"",B1783,IF(GOOGLEFINANCE(D1783,""CURRENCY"")=""GBX"",""GBP"",GOOGLEFINANCE(D1783,""CURRENCY"")))))),B1783)"),"")</f>
        <v/>
      </c>
      <c r="R1783" s="263" t="str">
        <f>IFERROR(__xludf.DUMMYFUNCTION("IF(ISBLANK(A1783),"""",IFERROR(IF(OR(Q1783=""GPB"",Q1783=""ZAR""),IF(Q1783=Dashboard!$L$1,K1783,(K1783*GOOGLEFINANCE(""CURRENCY:""&amp;Q1783&amp;""""&amp;Dashboard!$L$1&amp;""""))/100),IF(Q1783=Dashboard!$L$1,K1783,K1783*GOOGLEFINANCE(""CURRENCY:""&amp;Q1783&amp;""""&amp;Dashboard!$"&amp;"L$1&amp;""""))),K1783))"),"")</f>
        <v/>
      </c>
      <c r="S1783" s="266" t="str">
        <f>IFERROR(__xludf.DUMMYFUNCTION("IF(ISBLANK(A1783),"""",IFERROR(IF(OR(Q1783=""GPB"",Q1783=""ZAR""),IF(Q1783=Dashboard!$L$1,M1783,(M1783*GOOGLEFINANCE(""CURRENCY:""&amp;Q1783&amp;""""&amp;Dashboard!$L$1&amp;""""))/100),IF(Q1783=Dashboard!$L$1,M1783,M1783*GOOGLEFINANCE(""CURRENCY:""&amp;Q1783&amp;""""&amp;Dashboard!$"&amp;"L$1&amp;""""))),M1783))"),"")</f>
        <v/>
      </c>
      <c r="T1783" s="264" t="str">
        <f t="shared" si="4"/>
        <v/>
      </c>
      <c r="U1783" s="264" t="str">
        <f t="shared" si="5"/>
        <v/>
      </c>
      <c r="V1783" s="264" t="str">
        <f t="shared" si="6"/>
        <v/>
      </c>
      <c r="W1783" s="267" t="str">
        <f t="shared" si="8"/>
        <v/>
      </c>
      <c r="X1783" s="264" t="str">
        <f t="shared" si="7"/>
        <v/>
      </c>
    </row>
    <row r="1784" ht="15.75" customHeight="1">
      <c r="A1784" s="258"/>
      <c r="B1784" s="258"/>
      <c r="C1784" s="269"/>
      <c r="D1784" s="258"/>
      <c r="E1784" s="258"/>
      <c r="F1784" s="258"/>
      <c r="G1784" s="258"/>
      <c r="H1784" s="271"/>
      <c r="I1784" s="258"/>
      <c r="J1784" s="272"/>
      <c r="K1784" s="260"/>
      <c r="L1784" s="261"/>
      <c r="M1784" s="262" t="str">
        <f t="shared" si="1"/>
        <v/>
      </c>
      <c r="N1784" s="263" t="str">
        <f t="shared" si="2"/>
        <v/>
      </c>
      <c r="O1784" s="264" t="str">
        <f t="shared" si="3"/>
        <v/>
      </c>
      <c r="P1784" s="265" t="str">
        <f>IFERROR(__xludf.DUMMYFUNCTION("IF(ISBLANK(A1784),"""",IFERROR(IF(H1784=""Sell"",VLOOKUP(9^99,FILTER({ROW(P$2:P1783),P$2:P1783},D$2:D1783=D1784),2),(VLOOKUP(9^99,FILTER({ROW(P$2:P1783),P$2:P1783},D$2:D1783=D1784),2)*VLOOKUP(9^99,FILTER({ROW(O$2:O1783),O$2:O1783},D$2:D1783=D1784),2)-N178"&amp;"4)/O1784),J1784))"),"")</f>
        <v/>
      </c>
      <c r="Q1784" s="264" t="str">
        <f>IFERROR(__xludf.DUMMYFUNCTION("IFERROR(IF(F1784=""Crypto"",B1784,(IF(ISBLANK(D1784),"""",IF(D1784=""Cash"",B1784,IF(GOOGLEFINANCE(D1784,""CURRENCY"")=""GBX"",""GBP"",GOOGLEFINANCE(D1784,""CURRENCY"")))))),B1784)"),"")</f>
        <v/>
      </c>
      <c r="R1784" s="263" t="str">
        <f>IFERROR(__xludf.DUMMYFUNCTION("IF(ISBLANK(A1784),"""",IFERROR(IF(OR(Q1784=""GPB"",Q1784=""ZAR""),IF(Q1784=Dashboard!$L$1,K1784,(K1784*GOOGLEFINANCE(""CURRENCY:""&amp;Q1784&amp;""""&amp;Dashboard!$L$1&amp;""""))/100),IF(Q1784=Dashboard!$L$1,K1784,K1784*GOOGLEFINANCE(""CURRENCY:""&amp;Q1784&amp;""""&amp;Dashboard!$"&amp;"L$1&amp;""""))),K1784))"),"")</f>
        <v/>
      </c>
      <c r="S1784" s="266" t="str">
        <f>IFERROR(__xludf.DUMMYFUNCTION("IF(ISBLANK(A1784),"""",IFERROR(IF(OR(Q1784=""GPB"",Q1784=""ZAR""),IF(Q1784=Dashboard!$L$1,M1784,(M1784*GOOGLEFINANCE(""CURRENCY:""&amp;Q1784&amp;""""&amp;Dashboard!$L$1&amp;""""))/100),IF(Q1784=Dashboard!$L$1,M1784,M1784*GOOGLEFINANCE(""CURRENCY:""&amp;Q1784&amp;""""&amp;Dashboard!$"&amp;"L$1&amp;""""))),M1784))"),"")</f>
        <v/>
      </c>
      <c r="T1784" s="264" t="str">
        <f t="shared" si="4"/>
        <v/>
      </c>
      <c r="U1784" s="264" t="str">
        <f t="shared" si="5"/>
        <v/>
      </c>
      <c r="V1784" s="264" t="str">
        <f t="shared" si="6"/>
        <v/>
      </c>
      <c r="W1784" s="267" t="str">
        <f t="shared" si="8"/>
        <v/>
      </c>
      <c r="X1784" s="264" t="str">
        <f t="shared" si="7"/>
        <v/>
      </c>
    </row>
    <row r="1785" ht="15.75" customHeight="1">
      <c r="A1785" s="258"/>
      <c r="B1785" s="258"/>
      <c r="C1785" s="269"/>
      <c r="D1785" s="258"/>
      <c r="E1785" s="258"/>
      <c r="F1785" s="258"/>
      <c r="G1785" s="258"/>
      <c r="H1785" s="271"/>
      <c r="I1785" s="258"/>
      <c r="J1785" s="272"/>
      <c r="K1785" s="260"/>
      <c r="L1785" s="261"/>
      <c r="M1785" s="262" t="str">
        <f t="shared" si="1"/>
        <v/>
      </c>
      <c r="N1785" s="263" t="str">
        <f t="shared" si="2"/>
        <v/>
      </c>
      <c r="O1785" s="264" t="str">
        <f t="shared" si="3"/>
        <v/>
      </c>
      <c r="P1785" s="265" t="str">
        <f>IFERROR(__xludf.DUMMYFUNCTION("IF(ISBLANK(A1785),"""",IFERROR(IF(H1785=""Sell"",VLOOKUP(9^99,FILTER({ROW(P$2:P1784),P$2:P1784},D$2:D1784=D1785),2),(VLOOKUP(9^99,FILTER({ROW(P$2:P1784),P$2:P1784},D$2:D1784=D1785),2)*VLOOKUP(9^99,FILTER({ROW(O$2:O1784),O$2:O1784},D$2:D1784=D1785),2)-N178"&amp;"5)/O1785),J1785))"),"")</f>
        <v/>
      </c>
      <c r="Q1785" s="264" t="str">
        <f>IFERROR(__xludf.DUMMYFUNCTION("IFERROR(IF(F1785=""Crypto"",B1785,(IF(ISBLANK(D1785),"""",IF(D1785=""Cash"",B1785,IF(GOOGLEFINANCE(D1785,""CURRENCY"")=""GBX"",""GBP"",GOOGLEFINANCE(D1785,""CURRENCY"")))))),B1785)"),"")</f>
        <v/>
      </c>
      <c r="R1785" s="263" t="str">
        <f>IFERROR(__xludf.DUMMYFUNCTION("IF(ISBLANK(A1785),"""",IFERROR(IF(OR(Q1785=""GPB"",Q1785=""ZAR""),IF(Q1785=Dashboard!$L$1,K1785,(K1785*GOOGLEFINANCE(""CURRENCY:""&amp;Q1785&amp;""""&amp;Dashboard!$L$1&amp;""""))/100),IF(Q1785=Dashboard!$L$1,K1785,K1785*GOOGLEFINANCE(""CURRENCY:""&amp;Q1785&amp;""""&amp;Dashboard!$"&amp;"L$1&amp;""""))),K1785))"),"")</f>
        <v/>
      </c>
      <c r="S1785" s="266" t="str">
        <f>IFERROR(__xludf.DUMMYFUNCTION("IF(ISBLANK(A1785),"""",IFERROR(IF(OR(Q1785=""GPB"",Q1785=""ZAR""),IF(Q1785=Dashboard!$L$1,M1785,(M1785*GOOGLEFINANCE(""CURRENCY:""&amp;Q1785&amp;""""&amp;Dashboard!$L$1&amp;""""))/100),IF(Q1785=Dashboard!$L$1,M1785,M1785*GOOGLEFINANCE(""CURRENCY:""&amp;Q1785&amp;""""&amp;Dashboard!$"&amp;"L$1&amp;""""))),M1785))"),"")</f>
        <v/>
      </c>
      <c r="T1785" s="264" t="str">
        <f t="shared" si="4"/>
        <v/>
      </c>
      <c r="U1785" s="264" t="str">
        <f t="shared" si="5"/>
        <v/>
      </c>
      <c r="V1785" s="264" t="str">
        <f t="shared" si="6"/>
        <v/>
      </c>
      <c r="W1785" s="267" t="str">
        <f t="shared" si="8"/>
        <v/>
      </c>
      <c r="X1785" s="264" t="str">
        <f t="shared" si="7"/>
        <v/>
      </c>
    </row>
    <row r="1786" ht="15.75" customHeight="1">
      <c r="A1786" s="258"/>
      <c r="B1786" s="258"/>
      <c r="C1786" s="269"/>
      <c r="D1786" s="258"/>
      <c r="E1786" s="258"/>
      <c r="F1786" s="258"/>
      <c r="G1786" s="258"/>
      <c r="H1786" s="271"/>
      <c r="I1786" s="258"/>
      <c r="J1786" s="272"/>
      <c r="K1786" s="260"/>
      <c r="L1786" s="261"/>
      <c r="M1786" s="262" t="str">
        <f t="shared" si="1"/>
        <v/>
      </c>
      <c r="N1786" s="263" t="str">
        <f t="shared" si="2"/>
        <v/>
      </c>
      <c r="O1786" s="264" t="str">
        <f t="shared" si="3"/>
        <v/>
      </c>
      <c r="P1786" s="265" t="str">
        <f>IFERROR(__xludf.DUMMYFUNCTION("IF(ISBLANK(A1786),"""",IFERROR(IF(H1786=""Sell"",VLOOKUP(9^99,FILTER({ROW(P$2:P1785),P$2:P1785},D$2:D1785=D1786),2),(VLOOKUP(9^99,FILTER({ROW(P$2:P1785),P$2:P1785},D$2:D1785=D1786),2)*VLOOKUP(9^99,FILTER({ROW(O$2:O1785),O$2:O1785},D$2:D1785=D1786),2)-N178"&amp;"6)/O1786),J1786))"),"")</f>
        <v/>
      </c>
      <c r="Q1786" s="264" t="str">
        <f>IFERROR(__xludf.DUMMYFUNCTION("IFERROR(IF(F1786=""Crypto"",B1786,(IF(ISBLANK(D1786),"""",IF(D1786=""Cash"",B1786,IF(GOOGLEFINANCE(D1786,""CURRENCY"")=""GBX"",""GBP"",GOOGLEFINANCE(D1786,""CURRENCY"")))))),B1786)"),"")</f>
        <v/>
      </c>
      <c r="R1786" s="263" t="str">
        <f>IFERROR(__xludf.DUMMYFUNCTION("IF(ISBLANK(A1786),"""",IFERROR(IF(OR(Q1786=""GPB"",Q1786=""ZAR""),IF(Q1786=Dashboard!$L$1,K1786,(K1786*GOOGLEFINANCE(""CURRENCY:""&amp;Q1786&amp;""""&amp;Dashboard!$L$1&amp;""""))/100),IF(Q1786=Dashboard!$L$1,K1786,K1786*GOOGLEFINANCE(""CURRENCY:""&amp;Q1786&amp;""""&amp;Dashboard!$"&amp;"L$1&amp;""""))),K1786))"),"")</f>
        <v/>
      </c>
      <c r="S1786" s="266" t="str">
        <f>IFERROR(__xludf.DUMMYFUNCTION("IF(ISBLANK(A1786),"""",IFERROR(IF(OR(Q1786=""GPB"",Q1786=""ZAR""),IF(Q1786=Dashboard!$L$1,M1786,(M1786*GOOGLEFINANCE(""CURRENCY:""&amp;Q1786&amp;""""&amp;Dashboard!$L$1&amp;""""))/100),IF(Q1786=Dashboard!$L$1,M1786,M1786*GOOGLEFINANCE(""CURRENCY:""&amp;Q1786&amp;""""&amp;Dashboard!$"&amp;"L$1&amp;""""))),M1786))"),"")</f>
        <v/>
      </c>
      <c r="T1786" s="264" t="str">
        <f t="shared" si="4"/>
        <v/>
      </c>
      <c r="U1786" s="264" t="str">
        <f t="shared" si="5"/>
        <v/>
      </c>
      <c r="V1786" s="264" t="str">
        <f t="shared" si="6"/>
        <v/>
      </c>
      <c r="W1786" s="267" t="str">
        <f t="shared" si="8"/>
        <v/>
      </c>
      <c r="X1786" s="264" t="str">
        <f t="shared" si="7"/>
        <v/>
      </c>
    </row>
    <row r="1787" ht="15.75" customHeight="1">
      <c r="A1787" s="258"/>
      <c r="B1787" s="258"/>
      <c r="C1787" s="269"/>
      <c r="D1787" s="258"/>
      <c r="E1787" s="258"/>
      <c r="F1787" s="258"/>
      <c r="G1787" s="258"/>
      <c r="H1787" s="271"/>
      <c r="I1787" s="258"/>
      <c r="J1787" s="272"/>
      <c r="K1787" s="260"/>
      <c r="L1787" s="261"/>
      <c r="M1787" s="262" t="str">
        <f t="shared" si="1"/>
        <v/>
      </c>
      <c r="N1787" s="263" t="str">
        <f t="shared" si="2"/>
        <v/>
      </c>
      <c r="O1787" s="264" t="str">
        <f t="shared" si="3"/>
        <v/>
      </c>
      <c r="P1787" s="265" t="str">
        <f>IFERROR(__xludf.DUMMYFUNCTION("IF(ISBLANK(A1787),"""",IFERROR(IF(H1787=""Sell"",VLOOKUP(9^99,FILTER({ROW(P$2:P1786),P$2:P1786},D$2:D1786=D1787),2),(VLOOKUP(9^99,FILTER({ROW(P$2:P1786),P$2:P1786},D$2:D1786=D1787),2)*VLOOKUP(9^99,FILTER({ROW(O$2:O1786),O$2:O1786},D$2:D1786=D1787),2)-N178"&amp;"7)/O1787),J1787))"),"")</f>
        <v/>
      </c>
      <c r="Q1787" s="264" t="str">
        <f>IFERROR(__xludf.DUMMYFUNCTION("IFERROR(IF(F1787=""Crypto"",B1787,(IF(ISBLANK(D1787),"""",IF(D1787=""Cash"",B1787,IF(GOOGLEFINANCE(D1787,""CURRENCY"")=""GBX"",""GBP"",GOOGLEFINANCE(D1787,""CURRENCY"")))))),B1787)"),"")</f>
        <v/>
      </c>
      <c r="R1787" s="263" t="str">
        <f>IFERROR(__xludf.DUMMYFUNCTION("IF(ISBLANK(A1787),"""",IFERROR(IF(OR(Q1787=""GPB"",Q1787=""ZAR""),IF(Q1787=Dashboard!$L$1,K1787,(K1787*GOOGLEFINANCE(""CURRENCY:""&amp;Q1787&amp;""""&amp;Dashboard!$L$1&amp;""""))/100),IF(Q1787=Dashboard!$L$1,K1787,K1787*GOOGLEFINANCE(""CURRENCY:""&amp;Q1787&amp;""""&amp;Dashboard!$"&amp;"L$1&amp;""""))),K1787))"),"")</f>
        <v/>
      </c>
      <c r="S1787" s="266" t="str">
        <f>IFERROR(__xludf.DUMMYFUNCTION("IF(ISBLANK(A1787),"""",IFERROR(IF(OR(Q1787=""GPB"",Q1787=""ZAR""),IF(Q1787=Dashboard!$L$1,M1787,(M1787*GOOGLEFINANCE(""CURRENCY:""&amp;Q1787&amp;""""&amp;Dashboard!$L$1&amp;""""))/100),IF(Q1787=Dashboard!$L$1,M1787,M1787*GOOGLEFINANCE(""CURRENCY:""&amp;Q1787&amp;""""&amp;Dashboard!$"&amp;"L$1&amp;""""))),M1787))"),"")</f>
        <v/>
      </c>
      <c r="T1787" s="264" t="str">
        <f t="shared" si="4"/>
        <v/>
      </c>
      <c r="U1787" s="264" t="str">
        <f t="shared" si="5"/>
        <v/>
      </c>
      <c r="V1787" s="264" t="str">
        <f t="shared" si="6"/>
        <v/>
      </c>
      <c r="W1787" s="267" t="str">
        <f t="shared" si="8"/>
        <v/>
      </c>
      <c r="X1787" s="264" t="str">
        <f t="shared" si="7"/>
        <v/>
      </c>
    </row>
    <row r="1788" ht="15.75" customHeight="1">
      <c r="A1788" s="258"/>
      <c r="B1788" s="258"/>
      <c r="C1788" s="269"/>
      <c r="D1788" s="258"/>
      <c r="E1788" s="258"/>
      <c r="F1788" s="258"/>
      <c r="G1788" s="258"/>
      <c r="H1788" s="271"/>
      <c r="I1788" s="258"/>
      <c r="J1788" s="272"/>
      <c r="K1788" s="260"/>
      <c r="L1788" s="261"/>
      <c r="M1788" s="262" t="str">
        <f t="shared" si="1"/>
        <v/>
      </c>
      <c r="N1788" s="263" t="str">
        <f t="shared" si="2"/>
        <v/>
      </c>
      <c r="O1788" s="264" t="str">
        <f t="shared" si="3"/>
        <v/>
      </c>
      <c r="P1788" s="265" t="str">
        <f>IFERROR(__xludf.DUMMYFUNCTION("IF(ISBLANK(A1788),"""",IFERROR(IF(H1788=""Sell"",VLOOKUP(9^99,FILTER({ROW(P$2:P1787),P$2:P1787},D$2:D1787=D1788),2),(VLOOKUP(9^99,FILTER({ROW(P$2:P1787),P$2:P1787},D$2:D1787=D1788),2)*VLOOKUP(9^99,FILTER({ROW(O$2:O1787),O$2:O1787},D$2:D1787=D1788),2)-N178"&amp;"8)/O1788),J1788))"),"")</f>
        <v/>
      </c>
      <c r="Q1788" s="264" t="str">
        <f>IFERROR(__xludf.DUMMYFUNCTION("IFERROR(IF(F1788=""Crypto"",B1788,(IF(ISBLANK(D1788),"""",IF(D1788=""Cash"",B1788,IF(GOOGLEFINANCE(D1788,""CURRENCY"")=""GBX"",""GBP"",GOOGLEFINANCE(D1788,""CURRENCY"")))))),B1788)"),"")</f>
        <v/>
      </c>
      <c r="R1788" s="263" t="str">
        <f>IFERROR(__xludf.DUMMYFUNCTION("IF(ISBLANK(A1788),"""",IFERROR(IF(OR(Q1788=""GPB"",Q1788=""ZAR""),IF(Q1788=Dashboard!$L$1,K1788,(K1788*GOOGLEFINANCE(""CURRENCY:""&amp;Q1788&amp;""""&amp;Dashboard!$L$1&amp;""""))/100),IF(Q1788=Dashboard!$L$1,K1788,K1788*GOOGLEFINANCE(""CURRENCY:""&amp;Q1788&amp;""""&amp;Dashboard!$"&amp;"L$1&amp;""""))),K1788))"),"")</f>
        <v/>
      </c>
      <c r="S1788" s="266" t="str">
        <f>IFERROR(__xludf.DUMMYFUNCTION("IF(ISBLANK(A1788),"""",IFERROR(IF(OR(Q1788=""GPB"",Q1788=""ZAR""),IF(Q1788=Dashboard!$L$1,M1788,(M1788*GOOGLEFINANCE(""CURRENCY:""&amp;Q1788&amp;""""&amp;Dashboard!$L$1&amp;""""))/100),IF(Q1788=Dashboard!$L$1,M1788,M1788*GOOGLEFINANCE(""CURRENCY:""&amp;Q1788&amp;""""&amp;Dashboard!$"&amp;"L$1&amp;""""))),M1788))"),"")</f>
        <v/>
      </c>
      <c r="T1788" s="264" t="str">
        <f t="shared" si="4"/>
        <v/>
      </c>
      <c r="U1788" s="264" t="str">
        <f t="shared" si="5"/>
        <v/>
      </c>
      <c r="V1788" s="264" t="str">
        <f t="shared" si="6"/>
        <v/>
      </c>
      <c r="W1788" s="267" t="str">
        <f t="shared" si="8"/>
        <v/>
      </c>
      <c r="X1788" s="264" t="str">
        <f t="shared" si="7"/>
        <v/>
      </c>
    </row>
    <row r="1789" ht="15.75" customHeight="1">
      <c r="A1789" s="258"/>
      <c r="B1789" s="258"/>
      <c r="C1789" s="269"/>
      <c r="D1789" s="258"/>
      <c r="E1789" s="258"/>
      <c r="F1789" s="258"/>
      <c r="G1789" s="258"/>
      <c r="H1789" s="271"/>
      <c r="I1789" s="258"/>
      <c r="J1789" s="272"/>
      <c r="K1789" s="260"/>
      <c r="L1789" s="261"/>
      <c r="M1789" s="262" t="str">
        <f t="shared" si="1"/>
        <v/>
      </c>
      <c r="N1789" s="263" t="str">
        <f t="shared" si="2"/>
        <v/>
      </c>
      <c r="O1789" s="264" t="str">
        <f t="shared" si="3"/>
        <v/>
      </c>
      <c r="P1789" s="265" t="str">
        <f>IFERROR(__xludf.DUMMYFUNCTION("IF(ISBLANK(A1789),"""",IFERROR(IF(H1789=""Sell"",VLOOKUP(9^99,FILTER({ROW(P$2:P1788),P$2:P1788},D$2:D1788=D1789),2),(VLOOKUP(9^99,FILTER({ROW(P$2:P1788),P$2:P1788},D$2:D1788=D1789),2)*VLOOKUP(9^99,FILTER({ROW(O$2:O1788),O$2:O1788},D$2:D1788=D1789),2)-N178"&amp;"9)/O1789),J1789))"),"")</f>
        <v/>
      </c>
      <c r="Q1789" s="264" t="str">
        <f>IFERROR(__xludf.DUMMYFUNCTION("IFERROR(IF(F1789=""Crypto"",B1789,(IF(ISBLANK(D1789),"""",IF(D1789=""Cash"",B1789,IF(GOOGLEFINANCE(D1789,""CURRENCY"")=""GBX"",""GBP"",GOOGLEFINANCE(D1789,""CURRENCY"")))))),B1789)"),"")</f>
        <v/>
      </c>
      <c r="R1789" s="263" t="str">
        <f>IFERROR(__xludf.DUMMYFUNCTION("IF(ISBLANK(A1789),"""",IFERROR(IF(OR(Q1789=""GPB"",Q1789=""ZAR""),IF(Q1789=Dashboard!$L$1,K1789,(K1789*GOOGLEFINANCE(""CURRENCY:""&amp;Q1789&amp;""""&amp;Dashboard!$L$1&amp;""""))/100),IF(Q1789=Dashboard!$L$1,K1789,K1789*GOOGLEFINANCE(""CURRENCY:""&amp;Q1789&amp;""""&amp;Dashboard!$"&amp;"L$1&amp;""""))),K1789))"),"")</f>
        <v/>
      </c>
      <c r="S1789" s="266" t="str">
        <f>IFERROR(__xludf.DUMMYFUNCTION("IF(ISBLANK(A1789),"""",IFERROR(IF(OR(Q1789=""GPB"",Q1789=""ZAR""),IF(Q1789=Dashboard!$L$1,M1789,(M1789*GOOGLEFINANCE(""CURRENCY:""&amp;Q1789&amp;""""&amp;Dashboard!$L$1&amp;""""))/100),IF(Q1789=Dashboard!$L$1,M1789,M1789*GOOGLEFINANCE(""CURRENCY:""&amp;Q1789&amp;""""&amp;Dashboard!$"&amp;"L$1&amp;""""))),M1789))"),"")</f>
        <v/>
      </c>
      <c r="T1789" s="264" t="str">
        <f t="shared" si="4"/>
        <v/>
      </c>
      <c r="U1789" s="264" t="str">
        <f t="shared" si="5"/>
        <v/>
      </c>
      <c r="V1789" s="264" t="str">
        <f t="shared" si="6"/>
        <v/>
      </c>
      <c r="W1789" s="267" t="str">
        <f t="shared" si="8"/>
        <v/>
      </c>
      <c r="X1789" s="264" t="str">
        <f t="shared" si="7"/>
        <v/>
      </c>
    </row>
    <row r="1790" ht="15.75" customHeight="1">
      <c r="A1790" s="258"/>
      <c r="B1790" s="258"/>
      <c r="C1790" s="269"/>
      <c r="D1790" s="258"/>
      <c r="E1790" s="258"/>
      <c r="F1790" s="258"/>
      <c r="G1790" s="258"/>
      <c r="H1790" s="271"/>
      <c r="I1790" s="258"/>
      <c r="J1790" s="272"/>
      <c r="K1790" s="260"/>
      <c r="L1790" s="261"/>
      <c r="M1790" s="262" t="str">
        <f t="shared" si="1"/>
        <v/>
      </c>
      <c r="N1790" s="263" t="str">
        <f t="shared" si="2"/>
        <v/>
      </c>
      <c r="O1790" s="264" t="str">
        <f t="shared" si="3"/>
        <v/>
      </c>
      <c r="P1790" s="265" t="str">
        <f>IFERROR(__xludf.DUMMYFUNCTION("IF(ISBLANK(A1790),"""",IFERROR(IF(H1790=""Sell"",VLOOKUP(9^99,FILTER({ROW(P$2:P1789),P$2:P1789},D$2:D1789=D1790),2),(VLOOKUP(9^99,FILTER({ROW(P$2:P1789),P$2:P1789},D$2:D1789=D1790),2)*VLOOKUP(9^99,FILTER({ROW(O$2:O1789),O$2:O1789},D$2:D1789=D1790),2)-N179"&amp;"0)/O1790),J1790))"),"")</f>
        <v/>
      </c>
      <c r="Q1790" s="264" t="str">
        <f>IFERROR(__xludf.DUMMYFUNCTION("IFERROR(IF(F1790=""Crypto"",B1790,(IF(ISBLANK(D1790),"""",IF(D1790=""Cash"",B1790,IF(GOOGLEFINANCE(D1790,""CURRENCY"")=""GBX"",""GBP"",GOOGLEFINANCE(D1790,""CURRENCY"")))))),B1790)"),"")</f>
        <v/>
      </c>
      <c r="R1790" s="263" t="str">
        <f>IFERROR(__xludf.DUMMYFUNCTION("IF(ISBLANK(A1790),"""",IFERROR(IF(OR(Q1790=""GPB"",Q1790=""ZAR""),IF(Q1790=Dashboard!$L$1,K1790,(K1790*GOOGLEFINANCE(""CURRENCY:""&amp;Q1790&amp;""""&amp;Dashboard!$L$1&amp;""""))/100),IF(Q1790=Dashboard!$L$1,K1790,K1790*GOOGLEFINANCE(""CURRENCY:""&amp;Q1790&amp;""""&amp;Dashboard!$"&amp;"L$1&amp;""""))),K1790))"),"")</f>
        <v/>
      </c>
      <c r="S1790" s="266" t="str">
        <f>IFERROR(__xludf.DUMMYFUNCTION("IF(ISBLANK(A1790),"""",IFERROR(IF(OR(Q1790=""GPB"",Q1790=""ZAR""),IF(Q1790=Dashboard!$L$1,M1790,(M1790*GOOGLEFINANCE(""CURRENCY:""&amp;Q1790&amp;""""&amp;Dashboard!$L$1&amp;""""))/100),IF(Q1790=Dashboard!$L$1,M1790,M1790*GOOGLEFINANCE(""CURRENCY:""&amp;Q1790&amp;""""&amp;Dashboard!$"&amp;"L$1&amp;""""))),M1790))"),"")</f>
        <v/>
      </c>
      <c r="T1790" s="264" t="str">
        <f t="shared" si="4"/>
        <v/>
      </c>
      <c r="U1790" s="264" t="str">
        <f t="shared" si="5"/>
        <v/>
      </c>
      <c r="V1790" s="264" t="str">
        <f t="shared" si="6"/>
        <v/>
      </c>
      <c r="W1790" s="267" t="str">
        <f t="shared" si="8"/>
        <v/>
      </c>
      <c r="X1790" s="264" t="str">
        <f t="shared" si="7"/>
        <v/>
      </c>
    </row>
    <row r="1791" ht="15.75" customHeight="1">
      <c r="A1791" s="258"/>
      <c r="B1791" s="258"/>
      <c r="C1791" s="269"/>
      <c r="D1791" s="258"/>
      <c r="E1791" s="258"/>
      <c r="F1791" s="258"/>
      <c r="G1791" s="258"/>
      <c r="H1791" s="271"/>
      <c r="I1791" s="258"/>
      <c r="J1791" s="272"/>
      <c r="K1791" s="260"/>
      <c r="L1791" s="261"/>
      <c r="M1791" s="262" t="str">
        <f t="shared" si="1"/>
        <v/>
      </c>
      <c r="N1791" s="263" t="str">
        <f t="shared" si="2"/>
        <v/>
      </c>
      <c r="O1791" s="264" t="str">
        <f t="shared" si="3"/>
        <v/>
      </c>
      <c r="P1791" s="265" t="str">
        <f>IFERROR(__xludf.DUMMYFUNCTION("IF(ISBLANK(A1791),"""",IFERROR(IF(H1791=""Sell"",VLOOKUP(9^99,FILTER({ROW(P$2:P1790),P$2:P1790},D$2:D1790=D1791),2),(VLOOKUP(9^99,FILTER({ROW(P$2:P1790),P$2:P1790},D$2:D1790=D1791),2)*VLOOKUP(9^99,FILTER({ROW(O$2:O1790),O$2:O1790},D$2:D1790=D1791),2)-N179"&amp;"1)/O1791),J1791))"),"")</f>
        <v/>
      </c>
      <c r="Q1791" s="264" t="str">
        <f>IFERROR(__xludf.DUMMYFUNCTION("IFERROR(IF(F1791=""Crypto"",B1791,(IF(ISBLANK(D1791),"""",IF(D1791=""Cash"",B1791,IF(GOOGLEFINANCE(D1791,""CURRENCY"")=""GBX"",""GBP"",GOOGLEFINANCE(D1791,""CURRENCY"")))))),B1791)"),"")</f>
        <v/>
      </c>
      <c r="R1791" s="263" t="str">
        <f>IFERROR(__xludf.DUMMYFUNCTION("IF(ISBLANK(A1791),"""",IFERROR(IF(OR(Q1791=""GPB"",Q1791=""ZAR""),IF(Q1791=Dashboard!$L$1,K1791,(K1791*GOOGLEFINANCE(""CURRENCY:""&amp;Q1791&amp;""""&amp;Dashboard!$L$1&amp;""""))/100),IF(Q1791=Dashboard!$L$1,K1791,K1791*GOOGLEFINANCE(""CURRENCY:""&amp;Q1791&amp;""""&amp;Dashboard!$"&amp;"L$1&amp;""""))),K1791))"),"")</f>
        <v/>
      </c>
      <c r="S1791" s="266" t="str">
        <f>IFERROR(__xludf.DUMMYFUNCTION("IF(ISBLANK(A1791),"""",IFERROR(IF(OR(Q1791=""GPB"",Q1791=""ZAR""),IF(Q1791=Dashboard!$L$1,M1791,(M1791*GOOGLEFINANCE(""CURRENCY:""&amp;Q1791&amp;""""&amp;Dashboard!$L$1&amp;""""))/100),IF(Q1791=Dashboard!$L$1,M1791,M1791*GOOGLEFINANCE(""CURRENCY:""&amp;Q1791&amp;""""&amp;Dashboard!$"&amp;"L$1&amp;""""))),M1791))"),"")</f>
        <v/>
      </c>
      <c r="T1791" s="264" t="str">
        <f t="shared" si="4"/>
        <v/>
      </c>
      <c r="U1791" s="264" t="str">
        <f t="shared" si="5"/>
        <v/>
      </c>
      <c r="V1791" s="264" t="str">
        <f t="shared" si="6"/>
        <v/>
      </c>
      <c r="W1791" s="267" t="str">
        <f t="shared" si="8"/>
        <v/>
      </c>
      <c r="X1791" s="264" t="str">
        <f t="shared" si="7"/>
        <v/>
      </c>
    </row>
    <row r="1792" ht="15.75" customHeight="1">
      <c r="A1792" s="258"/>
      <c r="B1792" s="258"/>
      <c r="C1792" s="269"/>
      <c r="D1792" s="258"/>
      <c r="E1792" s="258"/>
      <c r="F1792" s="258"/>
      <c r="G1792" s="258"/>
      <c r="H1792" s="271"/>
      <c r="I1792" s="258"/>
      <c r="J1792" s="272"/>
      <c r="K1792" s="260"/>
      <c r="L1792" s="261"/>
      <c r="M1792" s="262" t="str">
        <f t="shared" si="1"/>
        <v/>
      </c>
      <c r="N1792" s="263" t="str">
        <f t="shared" si="2"/>
        <v/>
      </c>
      <c r="O1792" s="264" t="str">
        <f t="shared" si="3"/>
        <v/>
      </c>
      <c r="P1792" s="265" t="str">
        <f>IFERROR(__xludf.DUMMYFUNCTION("IF(ISBLANK(A1792),"""",IFERROR(IF(H1792=""Sell"",VLOOKUP(9^99,FILTER({ROW(P$2:P1791),P$2:P1791},D$2:D1791=D1792),2),(VLOOKUP(9^99,FILTER({ROW(P$2:P1791),P$2:P1791},D$2:D1791=D1792),2)*VLOOKUP(9^99,FILTER({ROW(O$2:O1791),O$2:O1791},D$2:D1791=D1792),2)-N179"&amp;"2)/O1792),J1792))"),"")</f>
        <v/>
      </c>
      <c r="Q1792" s="264" t="str">
        <f>IFERROR(__xludf.DUMMYFUNCTION("IFERROR(IF(F1792=""Crypto"",B1792,(IF(ISBLANK(D1792),"""",IF(D1792=""Cash"",B1792,IF(GOOGLEFINANCE(D1792,""CURRENCY"")=""GBX"",""GBP"",GOOGLEFINANCE(D1792,""CURRENCY"")))))),B1792)"),"")</f>
        <v/>
      </c>
      <c r="R1792" s="263" t="str">
        <f>IFERROR(__xludf.DUMMYFUNCTION("IF(ISBLANK(A1792),"""",IFERROR(IF(OR(Q1792=""GPB"",Q1792=""ZAR""),IF(Q1792=Dashboard!$L$1,K1792,(K1792*GOOGLEFINANCE(""CURRENCY:""&amp;Q1792&amp;""""&amp;Dashboard!$L$1&amp;""""))/100),IF(Q1792=Dashboard!$L$1,K1792,K1792*GOOGLEFINANCE(""CURRENCY:""&amp;Q1792&amp;""""&amp;Dashboard!$"&amp;"L$1&amp;""""))),K1792))"),"")</f>
        <v/>
      </c>
      <c r="S1792" s="266" t="str">
        <f>IFERROR(__xludf.DUMMYFUNCTION("IF(ISBLANK(A1792),"""",IFERROR(IF(OR(Q1792=""GPB"",Q1792=""ZAR""),IF(Q1792=Dashboard!$L$1,M1792,(M1792*GOOGLEFINANCE(""CURRENCY:""&amp;Q1792&amp;""""&amp;Dashboard!$L$1&amp;""""))/100),IF(Q1792=Dashboard!$L$1,M1792,M1792*GOOGLEFINANCE(""CURRENCY:""&amp;Q1792&amp;""""&amp;Dashboard!$"&amp;"L$1&amp;""""))),M1792))"),"")</f>
        <v/>
      </c>
      <c r="T1792" s="264" t="str">
        <f t="shared" si="4"/>
        <v/>
      </c>
      <c r="U1792" s="264" t="str">
        <f t="shared" si="5"/>
        <v/>
      </c>
      <c r="V1792" s="264" t="str">
        <f t="shared" si="6"/>
        <v/>
      </c>
      <c r="W1792" s="267" t="str">
        <f t="shared" si="8"/>
        <v/>
      </c>
      <c r="X1792" s="264" t="str">
        <f t="shared" si="7"/>
        <v/>
      </c>
    </row>
    <row r="1793" ht="15.75" customHeight="1">
      <c r="A1793" s="258"/>
      <c r="B1793" s="258"/>
      <c r="C1793" s="269"/>
      <c r="D1793" s="258"/>
      <c r="E1793" s="258"/>
      <c r="F1793" s="258"/>
      <c r="G1793" s="258"/>
      <c r="H1793" s="271"/>
      <c r="I1793" s="258"/>
      <c r="J1793" s="272"/>
      <c r="K1793" s="260"/>
      <c r="L1793" s="261"/>
      <c r="M1793" s="262" t="str">
        <f t="shared" si="1"/>
        <v/>
      </c>
      <c r="N1793" s="263" t="str">
        <f t="shared" si="2"/>
        <v/>
      </c>
      <c r="O1793" s="264" t="str">
        <f t="shared" si="3"/>
        <v/>
      </c>
      <c r="P1793" s="265" t="str">
        <f>IFERROR(__xludf.DUMMYFUNCTION("IF(ISBLANK(A1793),"""",IFERROR(IF(H1793=""Sell"",VLOOKUP(9^99,FILTER({ROW(P$2:P1792),P$2:P1792},D$2:D1792=D1793),2),(VLOOKUP(9^99,FILTER({ROW(P$2:P1792),P$2:P1792},D$2:D1792=D1793),2)*VLOOKUP(9^99,FILTER({ROW(O$2:O1792),O$2:O1792},D$2:D1792=D1793),2)-N179"&amp;"3)/O1793),J1793))"),"")</f>
        <v/>
      </c>
      <c r="Q1793" s="264" t="str">
        <f>IFERROR(__xludf.DUMMYFUNCTION("IFERROR(IF(F1793=""Crypto"",B1793,(IF(ISBLANK(D1793),"""",IF(D1793=""Cash"",B1793,IF(GOOGLEFINANCE(D1793,""CURRENCY"")=""GBX"",""GBP"",GOOGLEFINANCE(D1793,""CURRENCY"")))))),B1793)"),"")</f>
        <v/>
      </c>
      <c r="R1793" s="263" t="str">
        <f>IFERROR(__xludf.DUMMYFUNCTION("IF(ISBLANK(A1793),"""",IFERROR(IF(OR(Q1793=""GPB"",Q1793=""ZAR""),IF(Q1793=Dashboard!$L$1,K1793,(K1793*GOOGLEFINANCE(""CURRENCY:""&amp;Q1793&amp;""""&amp;Dashboard!$L$1&amp;""""))/100),IF(Q1793=Dashboard!$L$1,K1793,K1793*GOOGLEFINANCE(""CURRENCY:""&amp;Q1793&amp;""""&amp;Dashboard!$"&amp;"L$1&amp;""""))),K1793))"),"")</f>
        <v/>
      </c>
      <c r="S1793" s="266" t="str">
        <f>IFERROR(__xludf.DUMMYFUNCTION("IF(ISBLANK(A1793),"""",IFERROR(IF(OR(Q1793=""GPB"",Q1793=""ZAR""),IF(Q1793=Dashboard!$L$1,M1793,(M1793*GOOGLEFINANCE(""CURRENCY:""&amp;Q1793&amp;""""&amp;Dashboard!$L$1&amp;""""))/100),IF(Q1793=Dashboard!$L$1,M1793,M1793*GOOGLEFINANCE(""CURRENCY:""&amp;Q1793&amp;""""&amp;Dashboard!$"&amp;"L$1&amp;""""))),M1793))"),"")</f>
        <v/>
      </c>
      <c r="T1793" s="264" t="str">
        <f t="shared" si="4"/>
        <v/>
      </c>
      <c r="U1793" s="264" t="str">
        <f t="shared" si="5"/>
        <v/>
      </c>
      <c r="V1793" s="264" t="str">
        <f t="shared" si="6"/>
        <v/>
      </c>
      <c r="W1793" s="267" t="str">
        <f t="shared" si="8"/>
        <v/>
      </c>
      <c r="X1793" s="264" t="str">
        <f t="shared" si="7"/>
        <v/>
      </c>
    </row>
    <row r="1794" ht="15.75" customHeight="1">
      <c r="A1794" s="258"/>
      <c r="B1794" s="258"/>
      <c r="C1794" s="269"/>
      <c r="D1794" s="258"/>
      <c r="E1794" s="258"/>
      <c r="F1794" s="258"/>
      <c r="G1794" s="258"/>
      <c r="H1794" s="271"/>
      <c r="I1794" s="258"/>
      <c r="J1794" s="272"/>
      <c r="K1794" s="260"/>
      <c r="L1794" s="261"/>
      <c r="M1794" s="262" t="str">
        <f t="shared" si="1"/>
        <v/>
      </c>
      <c r="N1794" s="263" t="str">
        <f t="shared" si="2"/>
        <v/>
      </c>
      <c r="O1794" s="264" t="str">
        <f t="shared" si="3"/>
        <v/>
      </c>
      <c r="P1794" s="265" t="str">
        <f>IFERROR(__xludf.DUMMYFUNCTION("IF(ISBLANK(A1794),"""",IFERROR(IF(H1794=""Sell"",VLOOKUP(9^99,FILTER({ROW(P$2:P1793),P$2:P1793},D$2:D1793=D1794),2),(VLOOKUP(9^99,FILTER({ROW(P$2:P1793),P$2:P1793},D$2:D1793=D1794),2)*VLOOKUP(9^99,FILTER({ROW(O$2:O1793),O$2:O1793},D$2:D1793=D1794),2)-N179"&amp;"4)/O1794),J1794))"),"")</f>
        <v/>
      </c>
      <c r="Q1794" s="264" t="str">
        <f>IFERROR(__xludf.DUMMYFUNCTION("IFERROR(IF(F1794=""Crypto"",B1794,(IF(ISBLANK(D1794),"""",IF(D1794=""Cash"",B1794,IF(GOOGLEFINANCE(D1794,""CURRENCY"")=""GBX"",""GBP"",GOOGLEFINANCE(D1794,""CURRENCY"")))))),B1794)"),"")</f>
        <v/>
      </c>
      <c r="R1794" s="263" t="str">
        <f>IFERROR(__xludf.DUMMYFUNCTION("IF(ISBLANK(A1794),"""",IFERROR(IF(OR(Q1794=""GPB"",Q1794=""ZAR""),IF(Q1794=Dashboard!$L$1,K1794,(K1794*GOOGLEFINANCE(""CURRENCY:""&amp;Q1794&amp;""""&amp;Dashboard!$L$1&amp;""""))/100),IF(Q1794=Dashboard!$L$1,K1794,K1794*GOOGLEFINANCE(""CURRENCY:""&amp;Q1794&amp;""""&amp;Dashboard!$"&amp;"L$1&amp;""""))),K1794))"),"")</f>
        <v/>
      </c>
      <c r="S1794" s="266" t="str">
        <f>IFERROR(__xludf.DUMMYFUNCTION("IF(ISBLANK(A1794),"""",IFERROR(IF(OR(Q1794=""GPB"",Q1794=""ZAR""),IF(Q1794=Dashboard!$L$1,M1794,(M1794*GOOGLEFINANCE(""CURRENCY:""&amp;Q1794&amp;""""&amp;Dashboard!$L$1&amp;""""))/100),IF(Q1794=Dashboard!$L$1,M1794,M1794*GOOGLEFINANCE(""CURRENCY:""&amp;Q1794&amp;""""&amp;Dashboard!$"&amp;"L$1&amp;""""))),M1794))"),"")</f>
        <v/>
      </c>
      <c r="T1794" s="264" t="str">
        <f t="shared" si="4"/>
        <v/>
      </c>
      <c r="U1794" s="264" t="str">
        <f t="shared" si="5"/>
        <v/>
      </c>
      <c r="V1794" s="264" t="str">
        <f t="shared" si="6"/>
        <v/>
      </c>
      <c r="W1794" s="267" t="str">
        <f t="shared" si="8"/>
        <v/>
      </c>
      <c r="X1794" s="264" t="str">
        <f t="shared" si="7"/>
        <v/>
      </c>
    </row>
    <row r="1795" ht="15.75" customHeight="1">
      <c r="A1795" s="258"/>
      <c r="B1795" s="258"/>
      <c r="C1795" s="269"/>
      <c r="D1795" s="258"/>
      <c r="E1795" s="258"/>
      <c r="F1795" s="258"/>
      <c r="G1795" s="258"/>
      <c r="H1795" s="271"/>
      <c r="I1795" s="258"/>
      <c r="J1795" s="272"/>
      <c r="K1795" s="260"/>
      <c r="L1795" s="261"/>
      <c r="M1795" s="262" t="str">
        <f t="shared" si="1"/>
        <v/>
      </c>
      <c r="N1795" s="263" t="str">
        <f t="shared" si="2"/>
        <v/>
      </c>
      <c r="O1795" s="264" t="str">
        <f t="shared" si="3"/>
        <v/>
      </c>
      <c r="P1795" s="265" t="str">
        <f>IFERROR(__xludf.DUMMYFUNCTION("IF(ISBLANK(A1795),"""",IFERROR(IF(H1795=""Sell"",VLOOKUP(9^99,FILTER({ROW(P$2:P1794),P$2:P1794},D$2:D1794=D1795),2),(VLOOKUP(9^99,FILTER({ROW(P$2:P1794),P$2:P1794},D$2:D1794=D1795),2)*VLOOKUP(9^99,FILTER({ROW(O$2:O1794),O$2:O1794},D$2:D1794=D1795),2)-N179"&amp;"5)/O1795),J1795))"),"")</f>
        <v/>
      </c>
      <c r="Q1795" s="264" t="str">
        <f>IFERROR(__xludf.DUMMYFUNCTION("IFERROR(IF(F1795=""Crypto"",B1795,(IF(ISBLANK(D1795),"""",IF(D1795=""Cash"",B1795,IF(GOOGLEFINANCE(D1795,""CURRENCY"")=""GBX"",""GBP"",GOOGLEFINANCE(D1795,""CURRENCY"")))))),B1795)"),"")</f>
        <v/>
      </c>
      <c r="R1795" s="263" t="str">
        <f>IFERROR(__xludf.DUMMYFUNCTION("IF(ISBLANK(A1795),"""",IFERROR(IF(OR(Q1795=""GPB"",Q1795=""ZAR""),IF(Q1795=Dashboard!$L$1,K1795,(K1795*GOOGLEFINANCE(""CURRENCY:""&amp;Q1795&amp;""""&amp;Dashboard!$L$1&amp;""""))/100),IF(Q1795=Dashboard!$L$1,K1795,K1795*GOOGLEFINANCE(""CURRENCY:""&amp;Q1795&amp;""""&amp;Dashboard!$"&amp;"L$1&amp;""""))),K1795))"),"")</f>
        <v/>
      </c>
      <c r="S1795" s="266" t="str">
        <f>IFERROR(__xludf.DUMMYFUNCTION("IF(ISBLANK(A1795),"""",IFERROR(IF(OR(Q1795=""GPB"",Q1795=""ZAR""),IF(Q1795=Dashboard!$L$1,M1795,(M1795*GOOGLEFINANCE(""CURRENCY:""&amp;Q1795&amp;""""&amp;Dashboard!$L$1&amp;""""))/100),IF(Q1795=Dashboard!$L$1,M1795,M1795*GOOGLEFINANCE(""CURRENCY:""&amp;Q1795&amp;""""&amp;Dashboard!$"&amp;"L$1&amp;""""))),M1795))"),"")</f>
        <v/>
      </c>
      <c r="T1795" s="264" t="str">
        <f t="shared" si="4"/>
        <v/>
      </c>
      <c r="U1795" s="264" t="str">
        <f t="shared" si="5"/>
        <v/>
      </c>
      <c r="V1795" s="264" t="str">
        <f t="shared" si="6"/>
        <v/>
      </c>
      <c r="W1795" s="267" t="str">
        <f t="shared" si="8"/>
        <v/>
      </c>
      <c r="X1795" s="264" t="str">
        <f t="shared" si="7"/>
        <v/>
      </c>
    </row>
    <row r="1796" ht="15.75" customHeight="1">
      <c r="A1796" s="258"/>
      <c r="B1796" s="258"/>
      <c r="C1796" s="269"/>
      <c r="D1796" s="258"/>
      <c r="E1796" s="258"/>
      <c r="F1796" s="258"/>
      <c r="G1796" s="258"/>
      <c r="H1796" s="271"/>
      <c r="I1796" s="258"/>
      <c r="J1796" s="272"/>
      <c r="K1796" s="260"/>
      <c r="L1796" s="261"/>
      <c r="M1796" s="262" t="str">
        <f t="shared" si="1"/>
        <v/>
      </c>
      <c r="N1796" s="263" t="str">
        <f t="shared" si="2"/>
        <v/>
      </c>
      <c r="O1796" s="264" t="str">
        <f t="shared" si="3"/>
        <v/>
      </c>
      <c r="P1796" s="265" t="str">
        <f>IFERROR(__xludf.DUMMYFUNCTION("IF(ISBLANK(A1796),"""",IFERROR(IF(H1796=""Sell"",VLOOKUP(9^99,FILTER({ROW(P$2:P1795),P$2:P1795},D$2:D1795=D1796),2),(VLOOKUP(9^99,FILTER({ROW(P$2:P1795),P$2:P1795},D$2:D1795=D1796),2)*VLOOKUP(9^99,FILTER({ROW(O$2:O1795),O$2:O1795},D$2:D1795=D1796),2)-N179"&amp;"6)/O1796),J1796))"),"")</f>
        <v/>
      </c>
      <c r="Q1796" s="264" t="str">
        <f>IFERROR(__xludf.DUMMYFUNCTION("IFERROR(IF(F1796=""Crypto"",B1796,(IF(ISBLANK(D1796),"""",IF(D1796=""Cash"",B1796,IF(GOOGLEFINANCE(D1796,""CURRENCY"")=""GBX"",""GBP"",GOOGLEFINANCE(D1796,""CURRENCY"")))))),B1796)"),"")</f>
        <v/>
      </c>
      <c r="R1796" s="263" t="str">
        <f>IFERROR(__xludf.DUMMYFUNCTION("IF(ISBLANK(A1796),"""",IFERROR(IF(OR(Q1796=""GPB"",Q1796=""ZAR""),IF(Q1796=Dashboard!$L$1,K1796,(K1796*GOOGLEFINANCE(""CURRENCY:""&amp;Q1796&amp;""""&amp;Dashboard!$L$1&amp;""""))/100),IF(Q1796=Dashboard!$L$1,K1796,K1796*GOOGLEFINANCE(""CURRENCY:""&amp;Q1796&amp;""""&amp;Dashboard!$"&amp;"L$1&amp;""""))),K1796))"),"")</f>
        <v/>
      </c>
      <c r="S1796" s="266" t="str">
        <f>IFERROR(__xludf.DUMMYFUNCTION("IF(ISBLANK(A1796),"""",IFERROR(IF(OR(Q1796=""GPB"",Q1796=""ZAR""),IF(Q1796=Dashboard!$L$1,M1796,(M1796*GOOGLEFINANCE(""CURRENCY:""&amp;Q1796&amp;""""&amp;Dashboard!$L$1&amp;""""))/100),IF(Q1796=Dashboard!$L$1,M1796,M1796*GOOGLEFINANCE(""CURRENCY:""&amp;Q1796&amp;""""&amp;Dashboard!$"&amp;"L$1&amp;""""))),M1796))"),"")</f>
        <v/>
      </c>
      <c r="T1796" s="264" t="str">
        <f t="shared" si="4"/>
        <v/>
      </c>
      <c r="U1796" s="264" t="str">
        <f t="shared" si="5"/>
        <v/>
      </c>
      <c r="V1796" s="264" t="str">
        <f t="shared" si="6"/>
        <v/>
      </c>
      <c r="W1796" s="267" t="str">
        <f t="shared" si="8"/>
        <v/>
      </c>
      <c r="X1796" s="264" t="str">
        <f t="shared" si="7"/>
        <v/>
      </c>
    </row>
    <row r="1797" ht="15.75" customHeight="1">
      <c r="A1797" s="258"/>
      <c r="B1797" s="258"/>
      <c r="C1797" s="269"/>
      <c r="D1797" s="258"/>
      <c r="E1797" s="258"/>
      <c r="F1797" s="258"/>
      <c r="G1797" s="258"/>
      <c r="H1797" s="271"/>
      <c r="I1797" s="258"/>
      <c r="J1797" s="272"/>
      <c r="K1797" s="260"/>
      <c r="L1797" s="261"/>
      <c r="M1797" s="262" t="str">
        <f t="shared" si="1"/>
        <v/>
      </c>
      <c r="N1797" s="263" t="str">
        <f t="shared" si="2"/>
        <v/>
      </c>
      <c r="O1797" s="264" t="str">
        <f t="shared" si="3"/>
        <v/>
      </c>
      <c r="P1797" s="265" t="str">
        <f>IFERROR(__xludf.DUMMYFUNCTION("IF(ISBLANK(A1797),"""",IFERROR(IF(H1797=""Sell"",VLOOKUP(9^99,FILTER({ROW(P$2:P1796),P$2:P1796},D$2:D1796=D1797),2),(VLOOKUP(9^99,FILTER({ROW(P$2:P1796),P$2:P1796},D$2:D1796=D1797),2)*VLOOKUP(9^99,FILTER({ROW(O$2:O1796),O$2:O1796},D$2:D1796=D1797),2)-N179"&amp;"7)/O1797),J1797))"),"")</f>
        <v/>
      </c>
      <c r="Q1797" s="264" t="str">
        <f>IFERROR(__xludf.DUMMYFUNCTION("IFERROR(IF(F1797=""Crypto"",B1797,(IF(ISBLANK(D1797),"""",IF(D1797=""Cash"",B1797,IF(GOOGLEFINANCE(D1797,""CURRENCY"")=""GBX"",""GBP"",GOOGLEFINANCE(D1797,""CURRENCY"")))))),B1797)"),"")</f>
        <v/>
      </c>
      <c r="R1797" s="263" t="str">
        <f>IFERROR(__xludf.DUMMYFUNCTION("IF(ISBLANK(A1797),"""",IFERROR(IF(OR(Q1797=""GPB"",Q1797=""ZAR""),IF(Q1797=Dashboard!$L$1,K1797,(K1797*GOOGLEFINANCE(""CURRENCY:""&amp;Q1797&amp;""""&amp;Dashboard!$L$1&amp;""""))/100),IF(Q1797=Dashboard!$L$1,K1797,K1797*GOOGLEFINANCE(""CURRENCY:""&amp;Q1797&amp;""""&amp;Dashboard!$"&amp;"L$1&amp;""""))),K1797))"),"")</f>
        <v/>
      </c>
      <c r="S1797" s="266" t="str">
        <f>IFERROR(__xludf.DUMMYFUNCTION("IF(ISBLANK(A1797),"""",IFERROR(IF(OR(Q1797=""GPB"",Q1797=""ZAR""),IF(Q1797=Dashboard!$L$1,M1797,(M1797*GOOGLEFINANCE(""CURRENCY:""&amp;Q1797&amp;""""&amp;Dashboard!$L$1&amp;""""))/100),IF(Q1797=Dashboard!$L$1,M1797,M1797*GOOGLEFINANCE(""CURRENCY:""&amp;Q1797&amp;""""&amp;Dashboard!$"&amp;"L$1&amp;""""))),M1797))"),"")</f>
        <v/>
      </c>
      <c r="T1797" s="264" t="str">
        <f t="shared" si="4"/>
        <v/>
      </c>
      <c r="U1797" s="264" t="str">
        <f t="shared" si="5"/>
        <v/>
      </c>
      <c r="V1797" s="264" t="str">
        <f t="shared" si="6"/>
        <v/>
      </c>
      <c r="W1797" s="267" t="str">
        <f t="shared" si="8"/>
        <v/>
      </c>
      <c r="X1797" s="264" t="str">
        <f t="shared" si="7"/>
        <v/>
      </c>
    </row>
    <row r="1798" ht="15.75" customHeight="1">
      <c r="A1798" s="258"/>
      <c r="B1798" s="258"/>
      <c r="C1798" s="269"/>
      <c r="D1798" s="258"/>
      <c r="E1798" s="258"/>
      <c r="F1798" s="258"/>
      <c r="G1798" s="258"/>
      <c r="H1798" s="271"/>
      <c r="I1798" s="258"/>
      <c r="J1798" s="272"/>
      <c r="K1798" s="260"/>
      <c r="L1798" s="261"/>
      <c r="M1798" s="262" t="str">
        <f t="shared" si="1"/>
        <v/>
      </c>
      <c r="N1798" s="263" t="str">
        <f t="shared" si="2"/>
        <v/>
      </c>
      <c r="O1798" s="264" t="str">
        <f t="shared" si="3"/>
        <v/>
      </c>
      <c r="P1798" s="265" t="str">
        <f>IFERROR(__xludf.DUMMYFUNCTION("IF(ISBLANK(A1798),"""",IFERROR(IF(H1798=""Sell"",VLOOKUP(9^99,FILTER({ROW(P$2:P1797),P$2:P1797},D$2:D1797=D1798),2),(VLOOKUP(9^99,FILTER({ROW(P$2:P1797),P$2:P1797},D$2:D1797=D1798),2)*VLOOKUP(9^99,FILTER({ROW(O$2:O1797),O$2:O1797},D$2:D1797=D1798),2)-N179"&amp;"8)/O1798),J1798))"),"")</f>
        <v/>
      </c>
      <c r="Q1798" s="264" t="str">
        <f>IFERROR(__xludf.DUMMYFUNCTION("IFERROR(IF(F1798=""Crypto"",B1798,(IF(ISBLANK(D1798),"""",IF(D1798=""Cash"",B1798,IF(GOOGLEFINANCE(D1798,""CURRENCY"")=""GBX"",""GBP"",GOOGLEFINANCE(D1798,""CURRENCY"")))))),B1798)"),"")</f>
        <v/>
      </c>
      <c r="R1798" s="263" t="str">
        <f>IFERROR(__xludf.DUMMYFUNCTION("IF(ISBLANK(A1798),"""",IFERROR(IF(OR(Q1798=""GPB"",Q1798=""ZAR""),IF(Q1798=Dashboard!$L$1,K1798,(K1798*GOOGLEFINANCE(""CURRENCY:""&amp;Q1798&amp;""""&amp;Dashboard!$L$1&amp;""""))/100),IF(Q1798=Dashboard!$L$1,K1798,K1798*GOOGLEFINANCE(""CURRENCY:""&amp;Q1798&amp;""""&amp;Dashboard!$"&amp;"L$1&amp;""""))),K1798))"),"")</f>
        <v/>
      </c>
      <c r="S1798" s="266" t="str">
        <f>IFERROR(__xludf.DUMMYFUNCTION("IF(ISBLANK(A1798),"""",IFERROR(IF(OR(Q1798=""GPB"",Q1798=""ZAR""),IF(Q1798=Dashboard!$L$1,M1798,(M1798*GOOGLEFINANCE(""CURRENCY:""&amp;Q1798&amp;""""&amp;Dashboard!$L$1&amp;""""))/100),IF(Q1798=Dashboard!$L$1,M1798,M1798*GOOGLEFINANCE(""CURRENCY:""&amp;Q1798&amp;""""&amp;Dashboard!$"&amp;"L$1&amp;""""))),M1798))"),"")</f>
        <v/>
      </c>
      <c r="T1798" s="264" t="str">
        <f t="shared" si="4"/>
        <v/>
      </c>
      <c r="U1798" s="264" t="str">
        <f t="shared" si="5"/>
        <v/>
      </c>
      <c r="V1798" s="264" t="str">
        <f t="shared" si="6"/>
        <v/>
      </c>
      <c r="W1798" s="267" t="str">
        <f t="shared" si="8"/>
        <v/>
      </c>
      <c r="X1798" s="264" t="str">
        <f t="shared" si="7"/>
        <v/>
      </c>
    </row>
    <row r="1799" ht="15.75" customHeight="1">
      <c r="A1799" s="258"/>
      <c r="B1799" s="258"/>
      <c r="C1799" s="269"/>
      <c r="D1799" s="258"/>
      <c r="E1799" s="258"/>
      <c r="F1799" s="258"/>
      <c r="G1799" s="258"/>
      <c r="H1799" s="271"/>
      <c r="I1799" s="258"/>
      <c r="J1799" s="272"/>
      <c r="K1799" s="260"/>
      <c r="L1799" s="261"/>
      <c r="M1799" s="262" t="str">
        <f t="shared" si="1"/>
        <v/>
      </c>
      <c r="N1799" s="263" t="str">
        <f t="shared" si="2"/>
        <v/>
      </c>
      <c r="O1799" s="264" t="str">
        <f t="shared" si="3"/>
        <v/>
      </c>
      <c r="P1799" s="265" t="str">
        <f>IFERROR(__xludf.DUMMYFUNCTION("IF(ISBLANK(A1799),"""",IFERROR(IF(H1799=""Sell"",VLOOKUP(9^99,FILTER({ROW(P$2:P1798),P$2:P1798},D$2:D1798=D1799),2),(VLOOKUP(9^99,FILTER({ROW(P$2:P1798),P$2:P1798},D$2:D1798=D1799),2)*VLOOKUP(9^99,FILTER({ROW(O$2:O1798),O$2:O1798},D$2:D1798=D1799),2)-N179"&amp;"9)/O1799),J1799))"),"")</f>
        <v/>
      </c>
      <c r="Q1799" s="264" t="str">
        <f>IFERROR(__xludf.DUMMYFUNCTION("IFERROR(IF(F1799=""Crypto"",B1799,(IF(ISBLANK(D1799),"""",IF(D1799=""Cash"",B1799,IF(GOOGLEFINANCE(D1799,""CURRENCY"")=""GBX"",""GBP"",GOOGLEFINANCE(D1799,""CURRENCY"")))))),B1799)"),"")</f>
        <v/>
      </c>
      <c r="R1799" s="263" t="str">
        <f>IFERROR(__xludf.DUMMYFUNCTION("IF(ISBLANK(A1799),"""",IFERROR(IF(OR(Q1799=""GPB"",Q1799=""ZAR""),IF(Q1799=Dashboard!$L$1,K1799,(K1799*GOOGLEFINANCE(""CURRENCY:""&amp;Q1799&amp;""""&amp;Dashboard!$L$1&amp;""""))/100),IF(Q1799=Dashboard!$L$1,K1799,K1799*GOOGLEFINANCE(""CURRENCY:""&amp;Q1799&amp;""""&amp;Dashboard!$"&amp;"L$1&amp;""""))),K1799))"),"")</f>
        <v/>
      </c>
      <c r="S1799" s="266" t="str">
        <f>IFERROR(__xludf.DUMMYFUNCTION("IF(ISBLANK(A1799),"""",IFERROR(IF(OR(Q1799=""GPB"",Q1799=""ZAR""),IF(Q1799=Dashboard!$L$1,M1799,(M1799*GOOGLEFINANCE(""CURRENCY:""&amp;Q1799&amp;""""&amp;Dashboard!$L$1&amp;""""))/100),IF(Q1799=Dashboard!$L$1,M1799,M1799*GOOGLEFINANCE(""CURRENCY:""&amp;Q1799&amp;""""&amp;Dashboard!$"&amp;"L$1&amp;""""))),M1799))"),"")</f>
        <v/>
      </c>
      <c r="T1799" s="264" t="str">
        <f t="shared" si="4"/>
        <v/>
      </c>
      <c r="U1799" s="264" t="str">
        <f t="shared" si="5"/>
        <v/>
      </c>
      <c r="V1799" s="264" t="str">
        <f t="shared" si="6"/>
        <v/>
      </c>
      <c r="W1799" s="267" t="str">
        <f t="shared" si="8"/>
        <v/>
      </c>
      <c r="X1799" s="264" t="str">
        <f t="shared" si="7"/>
        <v/>
      </c>
    </row>
    <row r="1800" ht="15.75" customHeight="1">
      <c r="A1800" s="258"/>
      <c r="B1800" s="258"/>
      <c r="C1800" s="269"/>
      <c r="D1800" s="258"/>
      <c r="E1800" s="258"/>
      <c r="F1800" s="258"/>
      <c r="G1800" s="258"/>
      <c r="H1800" s="271"/>
      <c r="I1800" s="258"/>
      <c r="J1800" s="272"/>
      <c r="K1800" s="260"/>
      <c r="L1800" s="261"/>
      <c r="M1800" s="262" t="str">
        <f t="shared" si="1"/>
        <v/>
      </c>
      <c r="N1800" s="263" t="str">
        <f t="shared" si="2"/>
        <v/>
      </c>
      <c r="O1800" s="264" t="str">
        <f t="shared" si="3"/>
        <v/>
      </c>
      <c r="P1800" s="265" t="str">
        <f>IFERROR(__xludf.DUMMYFUNCTION("IF(ISBLANK(A1800),"""",IFERROR(IF(H1800=""Sell"",VLOOKUP(9^99,FILTER({ROW(P$2:P1799),P$2:P1799},D$2:D1799=D1800),2),(VLOOKUP(9^99,FILTER({ROW(P$2:P1799),P$2:P1799},D$2:D1799=D1800),2)*VLOOKUP(9^99,FILTER({ROW(O$2:O1799),O$2:O1799},D$2:D1799=D1800),2)-N180"&amp;"0)/O1800),J1800))"),"")</f>
        <v/>
      </c>
      <c r="Q1800" s="264" t="str">
        <f>IFERROR(__xludf.DUMMYFUNCTION("IFERROR(IF(F1800=""Crypto"",B1800,(IF(ISBLANK(D1800),"""",IF(D1800=""Cash"",B1800,IF(GOOGLEFINANCE(D1800,""CURRENCY"")=""GBX"",""GBP"",GOOGLEFINANCE(D1800,""CURRENCY"")))))),B1800)"),"")</f>
        <v/>
      </c>
      <c r="R1800" s="263" t="str">
        <f>IFERROR(__xludf.DUMMYFUNCTION("IF(ISBLANK(A1800),"""",IFERROR(IF(OR(Q1800=""GPB"",Q1800=""ZAR""),IF(Q1800=Dashboard!$L$1,K1800,(K1800*GOOGLEFINANCE(""CURRENCY:""&amp;Q1800&amp;""""&amp;Dashboard!$L$1&amp;""""))/100),IF(Q1800=Dashboard!$L$1,K1800,K1800*GOOGLEFINANCE(""CURRENCY:""&amp;Q1800&amp;""""&amp;Dashboard!$"&amp;"L$1&amp;""""))),K1800))"),"")</f>
        <v/>
      </c>
      <c r="S1800" s="266" t="str">
        <f>IFERROR(__xludf.DUMMYFUNCTION("IF(ISBLANK(A1800),"""",IFERROR(IF(OR(Q1800=""GPB"",Q1800=""ZAR""),IF(Q1800=Dashboard!$L$1,M1800,(M1800*GOOGLEFINANCE(""CURRENCY:""&amp;Q1800&amp;""""&amp;Dashboard!$L$1&amp;""""))/100),IF(Q1800=Dashboard!$L$1,M1800,M1800*GOOGLEFINANCE(""CURRENCY:""&amp;Q1800&amp;""""&amp;Dashboard!$"&amp;"L$1&amp;""""))),M1800))"),"")</f>
        <v/>
      </c>
      <c r="T1800" s="264" t="str">
        <f t="shared" si="4"/>
        <v/>
      </c>
      <c r="U1800" s="264" t="str">
        <f t="shared" si="5"/>
        <v/>
      </c>
      <c r="V1800" s="264" t="str">
        <f t="shared" si="6"/>
        <v/>
      </c>
      <c r="W1800" s="267" t="str">
        <f t="shared" si="8"/>
        <v/>
      </c>
      <c r="X1800" s="264" t="str">
        <f t="shared" si="7"/>
        <v/>
      </c>
    </row>
    <row r="1801" ht="15.75" customHeight="1">
      <c r="A1801" s="258"/>
      <c r="B1801" s="258"/>
      <c r="C1801" s="269"/>
      <c r="D1801" s="258"/>
      <c r="E1801" s="258"/>
      <c r="F1801" s="258"/>
      <c r="G1801" s="258"/>
      <c r="H1801" s="271"/>
      <c r="I1801" s="258"/>
      <c r="J1801" s="272"/>
      <c r="K1801" s="260"/>
      <c r="L1801" s="261"/>
      <c r="M1801" s="262" t="str">
        <f t="shared" si="1"/>
        <v/>
      </c>
      <c r="N1801" s="263" t="str">
        <f t="shared" si="2"/>
        <v/>
      </c>
      <c r="O1801" s="264" t="str">
        <f t="shared" si="3"/>
        <v/>
      </c>
      <c r="P1801" s="265" t="str">
        <f>IFERROR(__xludf.DUMMYFUNCTION("IF(ISBLANK(A1801),"""",IFERROR(IF(H1801=""Sell"",VLOOKUP(9^99,FILTER({ROW(P$2:P1800),P$2:P1800},D$2:D1800=D1801),2),(VLOOKUP(9^99,FILTER({ROW(P$2:P1800),P$2:P1800},D$2:D1800=D1801),2)*VLOOKUP(9^99,FILTER({ROW(O$2:O1800),O$2:O1800},D$2:D1800=D1801),2)-N180"&amp;"1)/O1801),J1801))"),"")</f>
        <v/>
      </c>
      <c r="Q1801" s="264" t="str">
        <f>IFERROR(__xludf.DUMMYFUNCTION("IFERROR(IF(F1801=""Crypto"",B1801,(IF(ISBLANK(D1801),"""",IF(D1801=""Cash"",B1801,IF(GOOGLEFINANCE(D1801,""CURRENCY"")=""GBX"",""GBP"",GOOGLEFINANCE(D1801,""CURRENCY"")))))),B1801)"),"")</f>
        <v/>
      </c>
      <c r="R1801" s="263" t="str">
        <f>IFERROR(__xludf.DUMMYFUNCTION("IF(ISBLANK(A1801),"""",IFERROR(IF(OR(Q1801=""GPB"",Q1801=""ZAR""),IF(Q1801=Dashboard!$L$1,K1801,(K1801*GOOGLEFINANCE(""CURRENCY:""&amp;Q1801&amp;""""&amp;Dashboard!$L$1&amp;""""))/100),IF(Q1801=Dashboard!$L$1,K1801,K1801*GOOGLEFINANCE(""CURRENCY:""&amp;Q1801&amp;""""&amp;Dashboard!$"&amp;"L$1&amp;""""))),K1801))"),"")</f>
        <v/>
      </c>
      <c r="S1801" s="266" t="str">
        <f>IFERROR(__xludf.DUMMYFUNCTION("IF(ISBLANK(A1801),"""",IFERROR(IF(OR(Q1801=""GPB"",Q1801=""ZAR""),IF(Q1801=Dashboard!$L$1,M1801,(M1801*GOOGLEFINANCE(""CURRENCY:""&amp;Q1801&amp;""""&amp;Dashboard!$L$1&amp;""""))/100),IF(Q1801=Dashboard!$L$1,M1801,M1801*GOOGLEFINANCE(""CURRENCY:""&amp;Q1801&amp;""""&amp;Dashboard!$"&amp;"L$1&amp;""""))),M1801))"),"")</f>
        <v/>
      </c>
      <c r="T1801" s="264" t="str">
        <f t="shared" si="4"/>
        <v/>
      </c>
      <c r="U1801" s="264" t="str">
        <f t="shared" si="5"/>
        <v/>
      </c>
      <c r="V1801" s="264" t="str">
        <f t="shared" si="6"/>
        <v/>
      </c>
      <c r="W1801" s="267" t="str">
        <f t="shared" si="8"/>
        <v/>
      </c>
      <c r="X1801" s="264" t="str">
        <f t="shared" si="7"/>
        <v/>
      </c>
    </row>
    <row r="1802" ht="15.75" customHeight="1">
      <c r="A1802" s="258"/>
      <c r="B1802" s="258"/>
      <c r="C1802" s="269"/>
      <c r="D1802" s="258"/>
      <c r="E1802" s="258"/>
      <c r="F1802" s="258"/>
      <c r="G1802" s="258"/>
      <c r="H1802" s="271"/>
      <c r="I1802" s="258"/>
      <c r="J1802" s="272"/>
      <c r="K1802" s="260"/>
      <c r="L1802" s="261"/>
      <c r="M1802" s="262" t="str">
        <f t="shared" si="1"/>
        <v/>
      </c>
      <c r="N1802" s="263" t="str">
        <f t="shared" si="2"/>
        <v/>
      </c>
      <c r="O1802" s="264" t="str">
        <f t="shared" si="3"/>
        <v/>
      </c>
      <c r="P1802" s="265" t="str">
        <f>IFERROR(__xludf.DUMMYFUNCTION("IF(ISBLANK(A1802),"""",IFERROR(IF(H1802=""Sell"",VLOOKUP(9^99,FILTER({ROW(P$2:P1801),P$2:P1801},D$2:D1801=D1802),2),(VLOOKUP(9^99,FILTER({ROW(P$2:P1801),P$2:P1801},D$2:D1801=D1802),2)*VLOOKUP(9^99,FILTER({ROW(O$2:O1801),O$2:O1801},D$2:D1801=D1802),2)-N180"&amp;"2)/O1802),J1802))"),"")</f>
        <v/>
      </c>
      <c r="Q1802" s="264" t="str">
        <f>IFERROR(__xludf.DUMMYFUNCTION("IFERROR(IF(F1802=""Crypto"",B1802,(IF(ISBLANK(D1802),"""",IF(D1802=""Cash"",B1802,IF(GOOGLEFINANCE(D1802,""CURRENCY"")=""GBX"",""GBP"",GOOGLEFINANCE(D1802,""CURRENCY"")))))),B1802)"),"")</f>
        <v/>
      </c>
      <c r="R1802" s="263" t="str">
        <f>IFERROR(__xludf.DUMMYFUNCTION("IF(ISBLANK(A1802),"""",IFERROR(IF(OR(Q1802=""GPB"",Q1802=""ZAR""),IF(Q1802=Dashboard!$L$1,K1802,(K1802*GOOGLEFINANCE(""CURRENCY:""&amp;Q1802&amp;""""&amp;Dashboard!$L$1&amp;""""))/100),IF(Q1802=Dashboard!$L$1,K1802,K1802*GOOGLEFINANCE(""CURRENCY:""&amp;Q1802&amp;""""&amp;Dashboard!$"&amp;"L$1&amp;""""))),K1802))"),"")</f>
        <v/>
      </c>
      <c r="S1802" s="266" t="str">
        <f>IFERROR(__xludf.DUMMYFUNCTION("IF(ISBLANK(A1802),"""",IFERROR(IF(OR(Q1802=""GPB"",Q1802=""ZAR""),IF(Q1802=Dashboard!$L$1,M1802,(M1802*GOOGLEFINANCE(""CURRENCY:""&amp;Q1802&amp;""""&amp;Dashboard!$L$1&amp;""""))/100),IF(Q1802=Dashboard!$L$1,M1802,M1802*GOOGLEFINANCE(""CURRENCY:""&amp;Q1802&amp;""""&amp;Dashboard!$"&amp;"L$1&amp;""""))),M1802))"),"")</f>
        <v/>
      </c>
      <c r="T1802" s="264" t="str">
        <f t="shared" si="4"/>
        <v/>
      </c>
      <c r="U1802" s="264" t="str">
        <f t="shared" si="5"/>
        <v/>
      </c>
      <c r="V1802" s="264" t="str">
        <f t="shared" si="6"/>
        <v/>
      </c>
      <c r="W1802" s="267" t="str">
        <f t="shared" si="8"/>
        <v/>
      </c>
      <c r="X1802" s="264" t="str">
        <f t="shared" si="7"/>
        <v/>
      </c>
    </row>
    <row r="1803" ht="15.75" customHeight="1">
      <c r="A1803" s="258"/>
      <c r="B1803" s="258"/>
      <c r="C1803" s="269"/>
      <c r="D1803" s="258"/>
      <c r="E1803" s="258"/>
      <c r="F1803" s="258"/>
      <c r="G1803" s="258"/>
      <c r="H1803" s="271"/>
      <c r="I1803" s="258"/>
      <c r="J1803" s="272"/>
      <c r="K1803" s="260"/>
      <c r="L1803" s="261"/>
      <c r="M1803" s="262" t="str">
        <f t="shared" si="1"/>
        <v/>
      </c>
      <c r="N1803" s="263" t="str">
        <f t="shared" si="2"/>
        <v/>
      </c>
      <c r="O1803" s="264" t="str">
        <f t="shared" si="3"/>
        <v/>
      </c>
      <c r="P1803" s="265" t="str">
        <f>IFERROR(__xludf.DUMMYFUNCTION("IF(ISBLANK(A1803),"""",IFERROR(IF(H1803=""Sell"",VLOOKUP(9^99,FILTER({ROW(P$2:P1802),P$2:P1802},D$2:D1802=D1803),2),(VLOOKUP(9^99,FILTER({ROW(P$2:P1802),P$2:P1802},D$2:D1802=D1803),2)*VLOOKUP(9^99,FILTER({ROW(O$2:O1802),O$2:O1802},D$2:D1802=D1803),2)-N180"&amp;"3)/O1803),J1803))"),"")</f>
        <v/>
      </c>
      <c r="Q1803" s="264" t="str">
        <f>IFERROR(__xludf.DUMMYFUNCTION("IFERROR(IF(F1803=""Crypto"",B1803,(IF(ISBLANK(D1803),"""",IF(D1803=""Cash"",B1803,IF(GOOGLEFINANCE(D1803,""CURRENCY"")=""GBX"",""GBP"",GOOGLEFINANCE(D1803,""CURRENCY"")))))),B1803)"),"")</f>
        <v/>
      </c>
      <c r="R1803" s="263" t="str">
        <f>IFERROR(__xludf.DUMMYFUNCTION("IF(ISBLANK(A1803),"""",IFERROR(IF(OR(Q1803=""GPB"",Q1803=""ZAR""),IF(Q1803=Dashboard!$L$1,K1803,(K1803*GOOGLEFINANCE(""CURRENCY:""&amp;Q1803&amp;""""&amp;Dashboard!$L$1&amp;""""))/100),IF(Q1803=Dashboard!$L$1,K1803,K1803*GOOGLEFINANCE(""CURRENCY:""&amp;Q1803&amp;""""&amp;Dashboard!$"&amp;"L$1&amp;""""))),K1803))"),"")</f>
        <v/>
      </c>
      <c r="S1803" s="266" t="str">
        <f>IFERROR(__xludf.DUMMYFUNCTION("IF(ISBLANK(A1803),"""",IFERROR(IF(OR(Q1803=""GPB"",Q1803=""ZAR""),IF(Q1803=Dashboard!$L$1,M1803,(M1803*GOOGLEFINANCE(""CURRENCY:""&amp;Q1803&amp;""""&amp;Dashboard!$L$1&amp;""""))/100),IF(Q1803=Dashboard!$L$1,M1803,M1803*GOOGLEFINANCE(""CURRENCY:""&amp;Q1803&amp;""""&amp;Dashboard!$"&amp;"L$1&amp;""""))),M1803))"),"")</f>
        <v/>
      </c>
      <c r="T1803" s="264" t="str">
        <f t="shared" si="4"/>
        <v/>
      </c>
      <c r="U1803" s="264" t="str">
        <f t="shared" si="5"/>
        <v/>
      </c>
      <c r="V1803" s="264" t="str">
        <f t="shared" si="6"/>
        <v/>
      </c>
      <c r="W1803" s="267" t="str">
        <f t="shared" si="8"/>
        <v/>
      </c>
      <c r="X1803" s="264" t="str">
        <f t="shared" si="7"/>
        <v/>
      </c>
    </row>
    <row r="1804" ht="15.75" customHeight="1">
      <c r="A1804" s="258"/>
      <c r="B1804" s="258"/>
      <c r="C1804" s="269"/>
      <c r="D1804" s="258"/>
      <c r="E1804" s="258"/>
      <c r="F1804" s="258"/>
      <c r="G1804" s="258"/>
      <c r="H1804" s="271"/>
      <c r="I1804" s="258"/>
      <c r="J1804" s="272"/>
      <c r="K1804" s="260"/>
      <c r="L1804" s="261"/>
      <c r="M1804" s="262" t="str">
        <f t="shared" si="1"/>
        <v/>
      </c>
      <c r="N1804" s="263" t="str">
        <f t="shared" si="2"/>
        <v/>
      </c>
      <c r="O1804" s="264" t="str">
        <f t="shared" si="3"/>
        <v/>
      </c>
      <c r="P1804" s="265" t="str">
        <f>IFERROR(__xludf.DUMMYFUNCTION("IF(ISBLANK(A1804),"""",IFERROR(IF(H1804=""Sell"",VLOOKUP(9^99,FILTER({ROW(P$2:P1803),P$2:P1803},D$2:D1803=D1804),2),(VLOOKUP(9^99,FILTER({ROW(P$2:P1803),P$2:P1803},D$2:D1803=D1804),2)*VLOOKUP(9^99,FILTER({ROW(O$2:O1803),O$2:O1803},D$2:D1803=D1804),2)-N180"&amp;"4)/O1804),J1804))"),"")</f>
        <v/>
      </c>
      <c r="Q1804" s="264" t="str">
        <f>IFERROR(__xludf.DUMMYFUNCTION("IFERROR(IF(F1804=""Crypto"",B1804,(IF(ISBLANK(D1804),"""",IF(D1804=""Cash"",B1804,IF(GOOGLEFINANCE(D1804,""CURRENCY"")=""GBX"",""GBP"",GOOGLEFINANCE(D1804,""CURRENCY"")))))),B1804)"),"")</f>
        <v/>
      </c>
      <c r="R1804" s="263" t="str">
        <f>IFERROR(__xludf.DUMMYFUNCTION("IF(ISBLANK(A1804),"""",IFERROR(IF(OR(Q1804=""GPB"",Q1804=""ZAR""),IF(Q1804=Dashboard!$L$1,K1804,(K1804*GOOGLEFINANCE(""CURRENCY:""&amp;Q1804&amp;""""&amp;Dashboard!$L$1&amp;""""))/100),IF(Q1804=Dashboard!$L$1,K1804,K1804*GOOGLEFINANCE(""CURRENCY:""&amp;Q1804&amp;""""&amp;Dashboard!$"&amp;"L$1&amp;""""))),K1804))"),"")</f>
        <v/>
      </c>
      <c r="S1804" s="266" t="str">
        <f>IFERROR(__xludf.DUMMYFUNCTION("IF(ISBLANK(A1804),"""",IFERROR(IF(OR(Q1804=""GPB"",Q1804=""ZAR""),IF(Q1804=Dashboard!$L$1,M1804,(M1804*GOOGLEFINANCE(""CURRENCY:""&amp;Q1804&amp;""""&amp;Dashboard!$L$1&amp;""""))/100),IF(Q1804=Dashboard!$L$1,M1804,M1804*GOOGLEFINANCE(""CURRENCY:""&amp;Q1804&amp;""""&amp;Dashboard!$"&amp;"L$1&amp;""""))),M1804))"),"")</f>
        <v/>
      </c>
      <c r="T1804" s="264" t="str">
        <f t="shared" si="4"/>
        <v/>
      </c>
      <c r="U1804" s="264" t="str">
        <f t="shared" si="5"/>
        <v/>
      </c>
      <c r="V1804" s="264" t="str">
        <f t="shared" si="6"/>
        <v/>
      </c>
      <c r="W1804" s="267" t="str">
        <f t="shared" si="8"/>
        <v/>
      </c>
      <c r="X1804" s="264" t="str">
        <f t="shared" si="7"/>
        <v/>
      </c>
    </row>
    <row r="1805" ht="15.75" customHeight="1">
      <c r="A1805" s="258"/>
      <c r="B1805" s="258"/>
      <c r="C1805" s="269"/>
      <c r="D1805" s="258"/>
      <c r="E1805" s="258"/>
      <c r="F1805" s="258"/>
      <c r="G1805" s="258"/>
      <c r="H1805" s="271"/>
      <c r="I1805" s="258"/>
      <c r="J1805" s="272"/>
      <c r="K1805" s="260"/>
      <c r="L1805" s="261"/>
      <c r="M1805" s="262" t="str">
        <f t="shared" si="1"/>
        <v/>
      </c>
      <c r="N1805" s="263" t="str">
        <f t="shared" si="2"/>
        <v/>
      </c>
      <c r="O1805" s="264" t="str">
        <f t="shared" si="3"/>
        <v/>
      </c>
      <c r="P1805" s="265" t="str">
        <f>IFERROR(__xludf.DUMMYFUNCTION("IF(ISBLANK(A1805),"""",IFERROR(IF(H1805=""Sell"",VLOOKUP(9^99,FILTER({ROW(P$2:P1804),P$2:P1804},D$2:D1804=D1805),2),(VLOOKUP(9^99,FILTER({ROW(P$2:P1804),P$2:P1804},D$2:D1804=D1805),2)*VLOOKUP(9^99,FILTER({ROW(O$2:O1804),O$2:O1804},D$2:D1804=D1805),2)-N180"&amp;"5)/O1805),J1805))"),"")</f>
        <v/>
      </c>
      <c r="Q1805" s="264" t="str">
        <f>IFERROR(__xludf.DUMMYFUNCTION("IFERROR(IF(F1805=""Crypto"",B1805,(IF(ISBLANK(D1805),"""",IF(D1805=""Cash"",B1805,IF(GOOGLEFINANCE(D1805,""CURRENCY"")=""GBX"",""GBP"",GOOGLEFINANCE(D1805,""CURRENCY"")))))),B1805)"),"")</f>
        <v/>
      </c>
      <c r="R1805" s="263" t="str">
        <f>IFERROR(__xludf.DUMMYFUNCTION("IF(ISBLANK(A1805),"""",IFERROR(IF(OR(Q1805=""GPB"",Q1805=""ZAR""),IF(Q1805=Dashboard!$L$1,K1805,(K1805*GOOGLEFINANCE(""CURRENCY:""&amp;Q1805&amp;""""&amp;Dashboard!$L$1&amp;""""))/100),IF(Q1805=Dashboard!$L$1,K1805,K1805*GOOGLEFINANCE(""CURRENCY:""&amp;Q1805&amp;""""&amp;Dashboard!$"&amp;"L$1&amp;""""))),K1805))"),"")</f>
        <v/>
      </c>
      <c r="S1805" s="266" t="str">
        <f>IFERROR(__xludf.DUMMYFUNCTION("IF(ISBLANK(A1805),"""",IFERROR(IF(OR(Q1805=""GPB"",Q1805=""ZAR""),IF(Q1805=Dashboard!$L$1,M1805,(M1805*GOOGLEFINANCE(""CURRENCY:""&amp;Q1805&amp;""""&amp;Dashboard!$L$1&amp;""""))/100),IF(Q1805=Dashboard!$L$1,M1805,M1805*GOOGLEFINANCE(""CURRENCY:""&amp;Q1805&amp;""""&amp;Dashboard!$"&amp;"L$1&amp;""""))),M1805))"),"")</f>
        <v/>
      </c>
      <c r="T1805" s="264" t="str">
        <f t="shared" si="4"/>
        <v/>
      </c>
      <c r="U1805" s="264" t="str">
        <f t="shared" si="5"/>
        <v/>
      </c>
      <c r="V1805" s="264" t="str">
        <f t="shared" si="6"/>
        <v/>
      </c>
      <c r="W1805" s="267" t="str">
        <f t="shared" si="8"/>
        <v/>
      </c>
      <c r="X1805" s="264" t="str">
        <f t="shared" si="7"/>
        <v/>
      </c>
    </row>
    <row r="1806" ht="15.75" customHeight="1">
      <c r="A1806" s="258"/>
      <c r="B1806" s="258"/>
      <c r="C1806" s="269"/>
      <c r="D1806" s="258"/>
      <c r="E1806" s="258"/>
      <c r="F1806" s="258"/>
      <c r="G1806" s="258"/>
      <c r="H1806" s="271"/>
      <c r="I1806" s="258"/>
      <c r="J1806" s="272"/>
      <c r="K1806" s="260"/>
      <c r="L1806" s="261"/>
      <c r="M1806" s="262" t="str">
        <f t="shared" si="1"/>
        <v/>
      </c>
      <c r="N1806" s="263" t="str">
        <f t="shared" si="2"/>
        <v/>
      </c>
      <c r="O1806" s="264" t="str">
        <f t="shared" si="3"/>
        <v/>
      </c>
      <c r="P1806" s="265" t="str">
        <f>IFERROR(__xludf.DUMMYFUNCTION("IF(ISBLANK(A1806),"""",IFERROR(IF(H1806=""Sell"",VLOOKUP(9^99,FILTER({ROW(P$2:P1805),P$2:P1805},D$2:D1805=D1806),2),(VLOOKUP(9^99,FILTER({ROW(P$2:P1805),P$2:P1805},D$2:D1805=D1806),2)*VLOOKUP(9^99,FILTER({ROW(O$2:O1805),O$2:O1805},D$2:D1805=D1806),2)-N180"&amp;"6)/O1806),J1806))"),"")</f>
        <v/>
      </c>
      <c r="Q1806" s="264" t="str">
        <f>IFERROR(__xludf.DUMMYFUNCTION("IFERROR(IF(F1806=""Crypto"",B1806,(IF(ISBLANK(D1806),"""",IF(D1806=""Cash"",B1806,IF(GOOGLEFINANCE(D1806,""CURRENCY"")=""GBX"",""GBP"",GOOGLEFINANCE(D1806,""CURRENCY"")))))),B1806)"),"")</f>
        <v/>
      </c>
      <c r="R1806" s="263" t="str">
        <f>IFERROR(__xludf.DUMMYFUNCTION("IF(ISBLANK(A1806),"""",IFERROR(IF(OR(Q1806=""GPB"",Q1806=""ZAR""),IF(Q1806=Dashboard!$L$1,K1806,(K1806*GOOGLEFINANCE(""CURRENCY:""&amp;Q1806&amp;""""&amp;Dashboard!$L$1&amp;""""))/100),IF(Q1806=Dashboard!$L$1,K1806,K1806*GOOGLEFINANCE(""CURRENCY:""&amp;Q1806&amp;""""&amp;Dashboard!$"&amp;"L$1&amp;""""))),K1806))"),"")</f>
        <v/>
      </c>
      <c r="S1806" s="266" t="str">
        <f>IFERROR(__xludf.DUMMYFUNCTION("IF(ISBLANK(A1806),"""",IFERROR(IF(OR(Q1806=""GPB"",Q1806=""ZAR""),IF(Q1806=Dashboard!$L$1,M1806,(M1806*GOOGLEFINANCE(""CURRENCY:""&amp;Q1806&amp;""""&amp;Dashboard!$L$1&amp;""""))/100),IF(Q1806=Dashboard!$L$1,M1806,M1806*GOOGLEFINANCE(""CURRENCY:""&amp;Q1806&amp;""""&amp;Dashboard!$"&amp;"L$1&amp;""""))),M1806))"),"")</f>
        <v/>
      </c>
      <c r="T1806" s="264" t="str">
        <f t="shared" si="4"/>
        <v/>
      </c>
      <c r="U1806" s="264" t="str">
        <f t="shared" si="5"/>
        <v/>
      </c>
      <c r="V1806" s="264" t="str">
        <f t="shared" si="6"/>
        <v/>
      </c>
      <c r="W1806" s="267" t="str">
        <f t="shared" si="8"/>
        <v/>
      </c>
      <c r="X1806" s="264" t="str">
        <f t="shared" si="7"/>
        <v/>
      </c>
    </row>
    <row r="1807" ht="15.75" customHeight="1">
      <c r="A1807" s="258"/>
      <c r="B1807" s="258"/>
      <c r="C1807" s="269"/>
      <c r="D1807" s="258"/>
      <c r="E1807" s="258"/>
      <c r="F1807" s="258"/>
      <c r="G1807" s="258"/>
      <c r="H1807" s="271"/>
      <c r="I1807" s="258"/>
      <c r="J1807" s="272"/>
      <c r="K1807" s="260"/>
      <c r="L1807" s="261"/>
      <c r="M1807" s="262" t="str">
        <f t="shared" si="1"/>
        <v/>
      </c>
      <c r="N1807" s="263" t="str">
        <f t="shared" si="2"/>
        <v/>
      </c>
      <c r="O1807" s="264" t="str">
        <f t="shared" si="3"/>
        <v/>
      </c>
      <c r="P1807" s="265" t="str">
        <f>IFERROR(__xludf.DUMMYFUNCTION("IF(ISBLANK(A1807),"""",IFERROR(IF(H1807=""Sell"",VLOOKUP(9^99,FILTER({ROW(P$2:P1806),P$2:P1806},D$2:D1806=D1807),2),(VLOOKUP(9^99,FILTER({ROW(P$2:P1806),P$2:P1806},D$2:D1806=D1807),2)*VLOOKUP(9^99,FILTER({ROW(O$2:O1806),O$2:O1806},D$2:D1806=D1807),2)-N180"&amp;"7)/O1807),J1807))"),"")</f>
        <v/>
      </c>
      <c r="Q1807" s="264" t="str">
        <f>IFERROR(__xludf.DUMMYFUNCTION("IFERROR(IF(F1807=""Crypto"",B1807,(IF(ISBLANK(D1807),"""",IF(D1807=""Cash"",B1807,IF(GOOGLEFINANCE(D1807,""CURRENCY"")=""GBX"",""GBP"",GOOGLEFINANCE(D1807,""CURRENCY"")))))),B1807)"),"")</f>
        <v/>
      </c>
      <c r="R1807" s="263" t="str">
        <f>IFERROR(__xludf.DUMMYFUNCTION("IF(ISBLANK(A1807),"""",IFERROR(IF(OR(Q1807=""GPB"",Q1807=""ZAR""),IF(Q1807=Dashboard!$L$1,K1807,(K1807*GOOGLEFINANCE(""CURRENCY:""&amp;Q1807&amp;""""&amp;Dashboard!$L$1&amp;""""))/100),IF(Q1807=Dashboard!$L$1,K1807,K1807*GOOGLEFINANCE(""CURRENCY:""&amp;Q1807&amp;""""&amp;Dashboard!$"&amp;"L$1&amp;""""))),K1807))"),"")</f>
        <v/>
      </c>
      <c r="S1807" s="266" t="str">
        <f>IFERROR(__xludf.DUMMYFUNCTION("IF(ISBLANK(A1807),"""",IFERROR(IF(OR(Q1807=""GPB"",Q1807=""ZAR""),IF(Q1807=Dashboard!$L$1,M1807,(M1807*GOOGLEFINANCE(""CURRENCY:""&amp;Q1807&amp;""""&amp;Dashboard!$L$1&amp;""""))/100),IF(Q1807=Dashboard!$L$1,M1807,M1807*GOOGLEFINANCE(""CURRENCY:""&amp;Q1807&amp;""""&amp;Dashboard!$"&amp;"L$1&amp;""""))),M1807))"),"")</f>
        <v/>
      </c>
      <c r="T1807" s="264" t="str">
        <f t="shared" si="4"/>
        <v/>
      </c>
      <c r="U1807" s="264" t="str">
        <f t="shared" si="5"/>
        <v/>
      </c>
      <c r="V1807" s="264" t="str">
        <f t="shared" si="6"/>
        <v/>
      </c>
      <c r="W1807" s="267" t="str">
        <f t="shared" si="8"/>
        <v/>
      </c>
      <c r="X1807" s="264" t="str">
        <f t="shared" si="7"/>
        <v/>
      </c>
    </row>
    <row r="1808" ht="15.75" customHeight="1">
      <c r="A1808" s="258"/>
      <c r="B1808" s="258"/>
      <c r="C1808" s="269"/>
      <c r="D1808" s="258"/>
      <c r="E1808" s="258"/>
      <c r="F1808" s="258"/>
      <c r="G1808" s="258"/>
      <c r="H1808" s="271"/>
      <c r="I1808" s="258"/>
      <c r="J1808" s="272"/>
      <c r="K1808" s="260"/>
      <c r="L1808" s="261"/>
      <c r="M1808" s="262" t="str">
        <f t="shared" si="1"/>
        <v/>
      </c>
      <c r="N1808" s="263" t="str">
        <f t="shared" si="2"/>
        <v/>
      </c>
      <c r="O1808" s="264" t="str">
        <f t="shared" si="3"/>
        <v/>
      </c>
      <c r="P1808" s="265" t="str">
        <f>IFERROR(__xludf.DUMMYFUNCTION("IF(ISBLANK(A1808),"""",IFERROR(IF(H1808=""Sell"",VLOOKUP(9^99,FILTER({ROW(P$2:P1807),P$2:P1807},D$2:D1807=D1808),2),(VLOOKUP(9^99,FILTER({ROW(P$2:P1807),P$2:P1807},D$2:D1807=D1808),2)*VLOOKUP(9^99,FILTER({ROW(O$2:O1807),O$2:O1807},D$2:D1807=D1808),2)-N180"&amp;"8)/O1808),J1808))"),"")</f>
        <v/>
      </c>
      <c r="Q1808" s="264" t="str">
        <f>IFERROR(__xludf.DUMMYFUNCTION("IFERROR(IF(F1808=""Crypto"",B1808,(IF(ISBLANK(D1808),"""",IF(D1808=""Cash"",B1808,IF(GOOGLEFINANCE(D1808,""CURRENCY"")=""GBX"",""GBP"",GOOGLEFINANCE(D1808,""CURRENCY"")))))),B1808)"),"")</f>
        <v/>
      </c>
      <c r="R1808" s="263" t="str">
        <f>IFERROR(__xludf.DUMMYFUNCTION("IF(ISBLANK(A1808),"""",IFERROR(IF(OR(Q1808=""GPB"",Q1808=""ZAR""),IF(Q1808=Dashboard!$L$1,K1808,(K1808*GOOGLEFINANCE(""CURRENCY:""&amp;Q1808&amp;""""&amp;Dashboard!$L$1&amp;""""))/100),IF(Q1808=Dashboard!$L$1,K1808,K1808*GOOGLEFINANCE(""CURRENCY:""&amp;Q1808&amp;""""&amp;Dashboard!$"&amp;"L$1&amp;""""))),K1808))"),"")</f>
        <v/>
      </c>
      <c r="S1808" s="266" t="str">
        <f>IFERROR(__xludf.DUMMYFUNCTION("IF(ISBLANK(A1808),"""",IFERROR(IF(OR(Q1808=""GPB"",Q1808=""ZAR""),IF(Q1808=Dashboard!$L$1,M1808,(M1808*GOOGLEFINANCE(""CURRENCY:""&amp;Q1808&amp;""""&amp;Dashboard!$L$1&amp;""""))/100),IF(Q1808=Dashboard!$L$1,M1808,M1808*GOOGLEFINANCE(""CURRENCY:""&amp;Q1808&amp;""""&amp;Dashboard!$"&amp;"L$1&amp;""""))),M1808))"),"")</f>
        <v/>
      </c>
      <c r="T1808" s="264" t="str">
        <f t="shared" si="4"/>
        <v/>
      </c>
      <c r="U1808" s="264" t="str">
        <f t="shared" si="5"/>
        <v/>
      </c>
      <c r="V1808" s="264" t="str">
        <f t="shared" si="6"/>
        <v/>
      </c>
      <c r="W1808" s="267" t="str">
        <f t="shared" si="8"/>
        <v/>
      </c>
      <c r="X1808" s="264" t="str">
        <f t="shared" si="7"/>
        <v/>
      </c>
    </row>
    <row r="1809" ht="15.75" customHeight="1">
      <c r="A1809" s="258"/>
      <c r="B1809" s="258"/>
      <c r="C1809" s="269"/>
      <c r="D1809" s="258"/>
      <c r="E1809" s="258"/>
      <c r="F1809" s="258"/>
      <c r="G1809" s="258"/>
      <c r="H1809" s="271"/>
      <c r="I1809" s="258"/>
      <c r="J1809" s="272"/>
      <c r="K1809" s="260"/>
      <c r="L1809" s="261"/>
      <c r="M1809" s="262" t="str">
        <f t="shared" si="1"/>
        <v/>
      </c>
      <c r="N1809" s="263" t="str">
        <f t="shared" si="2"/>
        <v/>
      </c>
      <c r="O1809" s="264" t="str">
        <f t="shared" si="3"/>
        <v/>
      </c>
      <c r="P1809" s="265" t="str">
        <f>IFERROR(__xludf.DUMMYFUNCTION("IF(ISBLANK(A1809),"""",IFERROR(IF(H1809=""Sell"",VLOOKUP(9^99,FILTER({ROW(P$2:P1808),P$2:P1808},D$2:D1808=D1809),2),(VLOOKUP(9^99,FILTER({ROW(P$2:P1808),P$2:P1808},D$2:D1808=D1809),2)*VLOOKUP(9^99,FILTER({ROW(O$2:O1808),O$2:O1808},D$2:D1808=D1809),2)-N180"&amp;"9)/O1809),J1809))"),"")</f>
        <v/>
      </c>
      <c r="Q1809" s="264" t="str">
        <f>IFERROR(__xludf.DUMMYFUNCTION("IFERROR(IF(F1809=""Crypto"",B1809,(IF(ISBLANK(D1809),"""",IF(D1809=""Cash"",B1809,IF(GOOGLEFINANCE(D1809,""CURRENCY"")=""GBX"",""GBP"",GOOGLEFINANCE(D1809,""CURRENCY"")))))),B1809)"),"")</f>
        <v/>
      </c>
      <c r="R1809" s="263" t="str">
        <f>IFERROR(__xludf.DUMMYFUNCTION("IF(ISBLANK(A1809),"""",IFERROR(IF(OR(Q1809=""GPB"",Q1809=""ZAR""),IF(Q1809=Dashboard!$L$1,K1809,(K1809*GOOGLEFINANCE(""CURRENCY:""&amp;Q1809&amp;""""&amp;Dashboard!$L$1&amp;""""))/100),IF(Q1809=Dashboard!$L$1,K1809,K1809*GOOGLEFINANCE(""CURRENCY:""&amp;Q1809&amp;""""&amp;Dashboard!$"&amp;"L$1&amp;""""))),K1809))"),"")</f>
        <v/>
      </c>
      <c r="S1809" s="266" t="str">
        <f>IFERROR(__xludf.DUMMYFUNCTION("IF(ISBLANK(A1809),"""",IFERROR(IF(OR(Q1809=""GPB"",Q1809=""ZAR""),IF(Q1809=Dashboard!$L$1,M1809,(M1809*GOOGLEFINANCE(""CURRENCY:""&amp;Q1809&amp;""""&amp;Dashboard!$L$1&amp;""""))/100),IF(Q1809=Dashboard!$L$1,M1809,M1809*GOOGLEFINANCE(""CURRENCY:""&amp;Q1809&amp;""""&amp;Dashboard!$"&amp;"L$1&amp;""""))),M1809))"),"")</f>
        <v/>
      </c>
      <c r="T1809" s="264" t="str">
        <f t="shared" si="4"/>
        <v/>
      </c>
      <c r="U1809" s="264" t="str">
        <f t="shared" si="5"/>
        <v/>
      </c>
      <c r="V1809" s="264" t="str">
        <f t="shared" si="6"/>
        <v/>
      </c>
      <c r="W1809" s="267" t="str">
        <f t="shared" si="8"/>
        <v/>
      </c>
      <c r="X1809" s="264" t="str">
        <f t="shared" si="7"/>
        <v/>
      </c>
    </row>
    <row r="1810" ht="15.75" customHeight="1">
      <c r="A1810" s="258"/>
      <c r="B1810" s="258"/>
      <c r="C1810" s="269"/>
      <c r="D1810" s="258"/>
      <c r="E1810" s="258"/>
      <c r="F1810" s="258"/>
      <c r="G1810" s="258"/>
      <c r="H1810" s="271"/>
      <c r="I1810" s="258"/>
      <c r="J1810" s="272"/>
      <c r="K1810" s="260"/>
      <c r="L1810" s="261"/>
      <c r="M1810" s="262" t="str">
        <f t="shared" si="1"/>
        <v/>
      </c>
      <c r="N1810" s="263" t="str">
        <f t="shared" si="2"/>
        <v/>
      </c>
      <c r="O1810" s="264" t="str">
        <f t="shared" si="3"/>
        <v/>
      </c>
      <c r="P1810" s="265" t="str">
        <f>IFERROR(__xludf.DUMMYFUNCTION("IF(ISBLANK(A1810),"""",IFERROR(IF(H1810=""Sell"",VLOOKUP(9^99,FILTER({ROW(P$2:P1809),P$2:P1809},D$2:D1809=D1810),2),(VLOOKUP(9^99,FILTER({ROW(P$2:P1809),P$2:P1809},D$2:D1809=D1810),2)*VLOOKUP(9^99,FILTER({ROW(O$2:O1809),O$2:O1809},D$2:D1809=D1810),2)-N181"&amp;"0)/O1810),J1810))"),"")</f>
        <v/>
      </c>
      <c r="Q1810" s="264" t="str">
        <f>IFERROR(__xludf.DUMMYFUNCTION("IFERROR(IF(F1810=""Crypto"",B1810,(IF(ISBLANK(D1810),"""",IF(D1810=""Cash"",B1810,IF(GOOGLEFINANCE(D1810,""CURRENCY"")=""GBX"",""GBP"",GOOGLEFINANCE(D1810,""CURRENCY"")))))),B1810)"),"")</f>
        <v/>
      </c>
      <c r="R1810" s="263" t="str">
        <f>IFERROR(__xludf.DUMMYFUNCTION("IF(ISBLANK(A1810),"""",IFERROR(IF(OR(Q1810=""GPB"",Q1810=""ZAR""),IF(Q1810=Dashboard!$L$1,K1810,(K1810*GOOGLEFINANCE(""CURRENCY:""&amp;Q1810&amp;""""&amp;Dashboard!$L$1&amp;""""))/100),IF(Q1810=Dashboard!$L$1,K1810,K1810*GOOGLEFINANCE(""CURRENCY:""&amp;Q1810&amp;""""&amp;Dashboard!$"&amp;"L$1&amp;""""))),K1810))"),"")</f>
        <v/>
      </c>
      <c r="S1810" s="266" t="str">
        <f>IFERROR(__xludf.DUMMYFUNCTION("IF(ISBLANK(A1810),"""",IFERROR(IF(OR(Q1810=""GPB"",Q1810=""ZAR""),IF(Q1810=Dashboard!$L$1,M1810,(M1810*GOOGLEFINANCE(""CURRENCY:""&amp;Q1810&amp;""""&amp;Dashboard!$L$1&amp;""""))/100),IF(Q1810=Dashboard!$L$1,M1810,M1810*GOOGLEFINANCE(""CURRENCY:""&amp;Q1810&amp;""""&amp;Dashboard!$"&amp;"L$1&amp;""""))),M1810))"),"")</f>
        <v/>
      </c>
      <c r="T1810" s="264" t="str">
        <f t="shared" si="4"/>
        <v/>
      </c>
      <c r="U1810" s="264" t="str">
        <f t="shared" si="5"/>
        <v/>
      </c>
      <c r="V1810" s="264" t="str">
        <f t="shared" si="6"/>
        <v/>
      </c>
      <c r="W1810" s="267" t="str">
        <f t="shared" si="8"/>
        <v/>
      </c>
      <c r="X1810" s="264" t="str">
        <f t="shared" si="7"/>
        <v/>
      </c>
    </row>
    <row r="1811" ht="15.75" customHeight="1">
      <c r="A1811" s="258"/>
      <c r="B1811" s="258"/>
      <c r="C1811" s="269"/>
      <c r="D1811" s="258"/>
      <c r="E1811" s="258"/>
      <c r="F1811" s="258"/>
      <c r="G1811" s="258"/>
      <c r="H1811" s="271"/>
      <c r="I1811" s="258"/>
      <c r="J1811" s="272"/>
      <c r="K1811" s="260"/>
      <c r="L1811" s="261"/>
      <c r="M1811" s="262" t="str">
        <f t="shared" si="1"/>
        <v/>
      </c>
      <c r="N1811" s="263" t="str">
        <f t="shared" si="2"/>
        <v/>
      </c>
      <c r="O1811" s="264" t="str">
        <f t="shared" si="3"/>
        <v/>
      </c>
      <c r="P1811" s="265" t="str">
        <f>IFERROR(__xludf.DUMMYFUNCTION("IF(ISBLANK(A1811),"""",IFERROR(IF(H1811=""Sell"",VLOOKUP(9^99,FILTER({ROW(P$2:P1810),P$2:P1810},D$2:D1810=D1811),2),(VLOOKUP(9^99,FILTER({ROW(P$2:P1810),P$2:P1810},D$2:D1810=D1811),2)*VLOOKUP(9^99,FILTER({ROW(O$2:O1810),O$2:O1810},D$2:D1810=D1811),2)-N181"&amp;"1)/O1811),J1811))"),"")</f>
        <v/>
      </c>
      <c r="Q1811" s="264" t="str">
        <f>IFERROR(__xludf.DUMMYFUNCTION("IFERROR(IF(F1811=""Crypto"",B1811,(IF(ISBLANK(D1811),"""",IF(D1811=""Cash"",B1811,IF(GOOGLEFINANCE(D1811,""CURRENCY"")=""GBX"",""GBP"",GOOGLEFINANCE(D1811,""CURRENCY"")))))),B1811)"),"")</f>
        <v/>
      </c>
      <c r="R1811" s="263" t="str">
        <f>IFERROR(__xludf.DUMMYFUNCTION("IF(ISBLANK(A1811),"""",IFERROR(IF(OR(Q1811=""GPB"",Q1811=""ZAR""),IF(Q1811=Dashboard!$L$1,K1811,(K1811*GOOGLEFINANCE(""CURRENCY:""&amp;Q1811&amp;""""&amp;Dashboard!$L$1&amp;""""))/100),IF(Q1811=Dashboard!$L$1,K1811,K1811*GOOGLEFINANCE(""CURRENCY:""&amp;Q1811&amp;""""&amp;Dashboard!$"&amp;"L$1&amp;""""))),K1811))"),"")</f>
        <v/>
      </c>
      <c r="S1811" s="266" t="str">
        <f>IFERROR(__xludf.DUMMYFUNCTION("IF(ISBLANK(A1811),"""",IFERROR(IF(OR(Q1811=""GPB"",Q1811=""ZAR""),IF(Q1811=Dashboard!$L$1,M1811,(M1811*GOOGLEFINANCE(""CURRENCY:""&amp;Q1811&amp;""""&amp;Dashboard!$L$1&amp;""""))/100),IF(Q1811=Dashboard!$L$1,M1811,M1811*GOOGLEFINANCE(""CURRENCY:""&amp;Q1811&amp;""""&amp;Dashboard!$"&amp;"L$1&amp;""""))),M1811))"),"")</f>
        <v/>
      </c>
      <c r="T1811" s="264" t="str">
        <f t="shared" si="4"/>
        <v/>
      </c>
      <c r="U1811" s="264" t="str">
        <f t="shared" si="5"/>
        <v/>
      </c>
      <c r="V1811" s="264" t="str">
        <f t="shared" si="6"/>
        <v/>
      </c>
      <c r="W1811" s="267" t="str">
        <f t="shared" si="8"/>
        <v/>
      </c>
      <c r="X1811" s="264" t="str">
        <f t="shared" si="7"/>
        <v/>
      </c>
    </row>
    <row r="1812" ht="15.75" customHeight="1">
      <c r="A1812" s="258"/>
      <c r="B1812" s="258"/>
      <c r="C1812" s="269"/>
      <c r="D1812" s="258"/>
      <c r="E1812" s="258"/>
      <c r="F1812" s="258"/>
      <c r="G1812" s="258"/>
      <c r="H1812" s="271"/>
      <c r="I1812" s="258"/>
      <c r="J1812" s="272"/>
      <c r="K1812" s="260"/>
      <c r="L1812" s="261"/>
      <c r="M1812" s="262" t="str">
        <f t="shared" si="1"/>
        <v/>
      </c>
      <c r="N1812" s="263" t="str">
        <f t="shared" si="2"/>
        <v/>
      </c>
      <c r="O1812" s="264" t="str">
        <f t="shared" si="3"/>
        <v/>
      </c>
      <c r="P1812" s="265" t="str">
        <f>IFERROR(__xludf.DUMMYFUNCTION("IF(ISBLANK(A1812),"""",IFERROR(IF(H1812=""Sell"",VLOOKUP(9^99,FILTER({ROW(P$2:P1811),P$2:P1811},D$2:D1811=D1812),2),(VLOOKUP(9^99,FILTER({ROW(P$2:P1811),P$2:P1811},D$2:D1811=D1812),2)*VLOOKUP(9^99,FILTER({ROW(O$2:O1811),O$2:O1811},D$2:D1811=D1812),2)-N181"&amp;"2)/O1812),J1812))"),"")</f>
        <v/>
      </c>
      <c r="Q1812" s="264" t="str">
        <f>IFERROR(__xludf.DUMMYFUNCTION("IFERROR(IF(F1812=""Crypto"",B1812,(IF(ISBLANK(D1812),"""",IF(D1812=""Cash"",B1812,IF(GOOGLEFINANCE(D1812,""CURRENCY"")=""GBX"",""GBP"",GOOGLEFINANCE(D1812,""CURRENCY"")))))),B1812)"),"")</f>
        <v/>
      </c>
      <c r="R1812" s="263" t="str">
        <f>IFERROR(__xludf.DUMMYFUNCTION("IF(ISBLANK(A1812),"""",IFERROR(IF(OR(Q1812=""GPB"",Q1812=""ZAR""),IF(Q1812=Dashboard!$L$1,K1812,(K1812*GOOGLEFINANCE(""CURRENCY:""&amp;Q1812&amp;""""&amp;Dashboard!$L$1&amp;""""))/100),IF(Q1812=Dashboard!$L$1,K1812,K1812*GOOGLEFINANCE(""CURRENCY:""&amp;Q1812&amp;""""&amp;Dashboard!$"&amp;"L$1&amp;""""))),K1812))"),"")</f>
        <v/>
      </c>
      <c r="S1812" s="266" t="str">
        <f>IFERROR(__xludf.DUMMYFUNCTION("IF(ISBLANK(A1812),"""",IFERROR(IF(OR(Q1812=""GPB"",Q1812=""ZAR""),IF(Q1812=Dashboard!$L$1,M1812,(M1812*GOOGLEFINANCE(""CURRENCY:""&amp;Q1812&amp;""""&amp;Dashboard!$L$1&amp;""""))/100),IF(Q1812=Dashboard!$L$1,M1812,M1812*GOOGLEFINANCE(""CURRENCY:""&amp;Q1812&amp;""""&amp;Dashboard!$"&amp;"L$1&amp;""""))),M1812))"),"")</f>
        <v/>
      </c>
      <c r="T1812" s="264" t="str">
        <f t="shared" si="4"/>
        <v/>
      </c>
      <c r="U1812" s="264" t="str">
        <f t="shared" si="5"/>
        <v/>
      </c>
      <c r="V1812" s="264" t="str">
        <f t="shared" si="6"/>
        <v/>
      </c>
      <c r="W1812" s="267" t="str">
        <f t="shared" si="8"/>
        <v/>
      </c>
      <c r="X1812" s="264" t="str">
        <f t="shared" si="7"/>
        <v/>
      </c>
    </row>
    <row r="1813" ht="15.75" customHeight="1">
      <c r="A1813" s="258"/>
      <c r="B1813" s="258"/>
      <c r="C1813" s="269"/>
      <c r="D1813" s="258"/>
      <c r="E1813" s="258"/>
      <c r="F1813" s="258"/>
      <c r="G1813" s="258"/>
      <c r="H1813" s="271"/>
      <c r="I1813" s="258"/>
      <c r="J1813" s="272"/>
      <c r="K1813" s="260"/>
      <c r="L1813" s="261"/>
      <c r="M1813" s="262" t="str">
        <f t="shared" si="1"/>
        <v/>
      </c>
      <c r="N1813" s="263" t="str">
        <f t="shared" si="2"/>
        <v/>
      </c>
      <c r="O1813" s="264" t="str">
        <f t="shared" si="3"/>
        <v/>
      </c>
      <c r="P1813" s="265" t="str">
        <f>IFERROR(__xludf.DUMMYFUNCTION("IF(ISBLANK(A1813),"""",IFERROR(IF(H1813=""Sell"",VLOOKUP(9^99,FILTER({ROW(P$2:P1812),P$2:P1812},D$2:D1812=D1813),2),(VLOOKUP(9^99,FILTER({ROW(P$2:P1812),P$2:P1812},D$2:D1812=D1813),2)*VLOOKUP(9^99,FILTER({ROW(O$2:O1812),O$2:O1812},D$2:D1812=D1813),2)-N181"&amp;"3)/O1813),J1813))"),"")</f>
        <v/>
      </c>
      <c r="Q1813" s="264" t="str">
        <f>IFERROR(__xludf.DUMMYFUNCTION("IFERROR(IF(F1813=""Crypto"",B1813,(IF(ISBLANK(D1813),"""",IF(D1813=""Cash"",B1813,IF(GOOGLEFINANCE(D1813,""CURRENCY"")=""GBX"",""GBP"",GOOGLEFINANCE(D1813,""CURRENCY"")))))),B1813)"),"")</f>
        <v/>
      </c>
      <c r="R1813" s="263" t="str">
        <f>IFERROR(__xludf.DUMMYFUNCTION("IF(ISBLANK(A1813),"""",IFERROR(IF(OR(Q1813=""GPB"",Q1813=""ZAR""),IF(Q1813=Dashboard!$L$1,K1813,(K1813*GOOGLEFINANCE(""CURRENCY:""&amp;Q1813&amp;""""&amp;Dashboard!$L$1&amp;""""))/100),IF(Q1813=Dashboard!$L$1,K1813,K1813*GOOGLEFINANCE(""CURRENCY:""&amp;Q1813&amp;""""&amp;Dashboard!$"&amp;"L$1&amp;""""))),K1813))"),"")</f>
        <v/>
      </c>
      <c r="S1813" s="266" t="str">
        <f>IFERROR(__xludf.DUMMYFUNCTION("IF(ISBLANK(A1813),"""",IFERROR(IF(OR(Q1813=""GPB"",Q1813=""ZAR""),IF(Q1813=Dashboard!$L$1,M1813,(M1813*GOOGLEFINANCE(""CURRENCY:""&amp;Q1813&amp;""""&amp;Dashboard!$L$1&amp;""""))/100),IF(Q1813=Dashboard!$L$1,M1813,M1813*GOOGLEFINANCE(""CURRENCY:""&amp;Q1813&amp;""""&amp;Dashboard!$"&amp;"L$1&amp;""""))),M1813))"),"")</f>
        <v/>
      </c>
      <c r="T1813" s="264" t="str">
        <f t="shared" si="4"/>
        <v/>
      </c>
      <c r="U1813" s="264" t="str">
        <f t="shared" si="5"/>
        <v/>
      </c>
      <c r="V1813" s="264" t="str">
        <f t="shared" si="6"/>
        <v/>
      </c>
      <c r="W1813" s="267" t="str">
        <f t="shared" si="8"/>
        <v/>
      </c>
      <c r="X1813" s="264" t="str">
        <f t="shared" si="7"/>
        <v/>
      </c>
    </row>
    <row r="1814" ht="15.75" customHeight="1">
      <c r="A1814" s="258"/>
      <c r="B1814" s="258"/>
      <c r="C1814" s="269"/>
      <c r="D1814" s="258"/>
      <c r="E1814" s="258"/>
      <c r="F1814" s="258"/>
      <c r="G1814" s="258"/>
      <c r="H1814" s="271"/>
      <c r="I1814" s="258"/>
      <c r="J1814" s="272"/>
      <c r="K1814" s="260"/>
      <c r="L1814" s="261"/>
      <c r="M1814" s="262" t="str">
        <f t="shared" si="1"/>
        <v/>
      </c>
      <c r="N1814" s="263" t="str">
        <f t="shared" si="2"/>
        <v/>
      </c>
      <c r="O1814" s="264" t="str">
        <f t="shared" si="3"/>
        <v/>
      </c>
      <c r="P1814" s="265" t="str">
        <f>IFERROR(__xludf.DUMMYFUNCTION("IF(ISBLANK(A1814),"""",IFERROR(IF(H1814=""Sell"",VLOOKUP(9^99,FILTER({ROW(P$2:P1813),P$2:P1813},D$2:D1813=D1814),2),(VLOOKUP(9^99,FILTER({ROW(P$2:P1813),P$2:P1813},D$2:D1813=D1814),2)*VLOOKUP(9^99,FILTER({ROW(O$2:O1813),O$2:O1813},D$2:D1813=D1814),2)-N181"&amp;"4)/O1814),J1814))"),"")</f>
        <v/>
      </c>
      <c r="Q1814" s="264" t="str">
        <f>IFERROR(__xludf.DUMMYFUNCTION("IFERROR(IF(F1814=""Crypto"",B1814,(IF(ISBLANK(D1814),"""",IF(D1814=""Cash"",B1814,IF(GOOGLEFINANCE(D1814,""CURRENCY"")=""GBX"",""GBP"",GOOGLEFINANCE(D1814,""CURRENCY"")))))),B1814)"),"")</f>
        <v/>
      </c>
      <c r="R1814" s="263" t="str">
        <f>IFERROR(__xludf.DUMMYFUNCTION("IF(ISBLANK(A1814),"""",IFERROR(IF(OR(Q1814=""GPB"",Q1814=""ZAR""),IF(Q1814=Dashboard!$L$1,K1814,(K1814*GOOGLEFINANCE(""CURRENCY:""&amp;Q1814&amp;""""&amp;Dashboard!$L$1&amp;""""))/100),IF(Q1814=Dashboard!$L$1,K1814,K1814*GOOGLEFINANCE(""CURRENCY:""&amp;Q1814&amp;""""&amp;Dashboard!$"&amp;"L$1&amp;""""))),K1814))"),"")</f>
        <v/>
      </c>
      <c r="S1814" s="266" t="str">
        <f>IFERROR(__xludf.DUMMYFUNCTION("IF(ISBLANK(A1814),"""",IFERROR(IF(OR(Q1814=""GPB"",Q1814=""ZAR""),IF(Q1814=Dashboard!$L$1,M1814,(M1814*GOOGLEFINANCE(""CURRENCY:""&amp;Q1814&amp;""""&amp;Dashboard!$L$1&amp;""""))/100),IF(Q1814=Dashboard!$L$1,M1814,M1814*GOOGLEFINANCE(""CURRENCY:""&amp;Q1814&amp;""""&amp;Dashboard!$"&amp;"L$1&amp;""""))),M1814))"),"")</f>
        <v/>
      </c>
      <c r="T1814" s="264" t="str">
        <f t="shared" si="4"/>
        <v/>
      </c>
      <c r="U1814" s="264" t="str">
        <f t="shared" si="5"/>
        <v/>
      </c>
      <c r="V1814" s="264" t="str">
        <f t="shared" si="6"/>
        <v/>
      </c>
      <c r="W1814" s="267" t="str">
        <f t="shared" si="8"/>
        <v/>
      </c>
      <c r="X1814" s="264" t="str">
        <f t="shared" si="7"/>
        <v/>
      </c>
    </row>
    <row r="1815" ht="15.75" customHeight="1">
      <c r="A1815" s="258"/>
      <c r="B1815" s="258"/>
      <c r="C1815" s="269"/>
      <c r="D1815" s="258"/>
      <c r="E1815" s="258"/>
      <c r="F1815" s="258"/>
      <c r="G1815" s="258"/>
      <c r="H1815" s="271"/>
      <c r="I1815" s="258"/>
      <c r="J1815" s="272"/>
      <c r="K1815" s="260"/>
      <c r="L1815" s="261"/>
      <c r="M1815" s="262" t="str">
        <f t="shared" si="1"/>
        <v/>
      </c>
      <c r="N1815" s="263" t="str">
        <f t="shared" si="2"/>
        <v/>
      </c>
      <c r="O1815" s="264" t="str">
        <f t="shared" si="3"/>
        <v/>
      </c>
      <c r="P1815" s="265" t="str">
        <f>IFERROR(__xludf.DUMMYFUNCTION("IF(ISBLANK(A1815),"""",IFERROR(IF(H1815=""Sell"",VLOOKUP(9^99,FILTER({ROW(P$2:P1814),P$2:P1814},D$2:D1814=D1815),2),(VLOOKUP(9^99,FILTER({ROW(P$2:P1814),P$2:P1814},D$2:D1814=D1815),2)*VLOOKUP(9^99,FILTER({ROW(O$2:O1814),O$2:O1814},D$2:D1814=D1815),2)-N181"&amp;"5)/O1815),J1815))"),"")</f>
        <v/>
      </c>
      <c r="Q1815" s="264" t="str">
        <f>IFERROR(__xludf.DUMMYFUNCTION("IFERROR(IF(F1815=""Crypto"",B1815,(IF(ISBLANK(D1815),"""",IF(D1815=""Cash"",B1815,IF(GOOGLEFINANCE(D1815,""CURRENCY"")=""GBX"",""GBP"",GOOGLEFINANCE(D1815,""CURRENCY"")))))),B1815)"),"")</f>
        <v/>
      </c>
      <c r="R1815" s="263" t="str">
        <f>IFERROR(__xludf.DUMMYFUNCTION("IF(ISBLANK(A1815),"""",IFERROR(IF(OR(Q1815=""GPB"",Q1815=""ZAR""),IF(Q1815=Dashboard!$L$1,K1815,(K1815*GOOGLEFINANCE(""CURRENCY:""&amp;Q1815&amp;""""&amp;Dashboard!$L$1&amp;""""))/100),IF(Q1815=Dashboard!$L$1,K1815,K1815*GOOGLEFINANCE(""CURRENCY:""&amp;Q1815&amp;""""&amp;Dashboard!$"&amp;"L$1&amp;""""))),K1815))"),"")</f>
        <v/>
      </c>
      <c r="S1815" s="266" t="str">
        <f>IFERROR(__xludf.DUMMYFUNCTION("IF(ISBLANK(A1815),"""",IFERROR(IF(OR(Q1815=""GPB"",Q1815=""ZAR""),IF(Q1815=Dashboard!$L$1,M1815,(M1815*GOOGLEFINANCE(""CURRENCY:""&amp;Q1815&amp;""""&amp;Dashboard!$L$1&amp;""""))/100),IF(Q1815=Dashboard!$L$1,M1815,M1815*GOOGLEFINANCE(""CURRENCY:""&amp;Q1815&amp;""""&amp;Dashboard!$"&amp;"L$1&amp;""""))),M1815))"),"")</f>
        <v/>
      </c>
      <c r="T1815" s="264" t="str">
        <f t="shared" si="4"/>
        <v/>
      </c>
      <c r="U1815" s="264" t="str">
        <f t="shared" si="5"/>
        <v/>
      </c>
      <c r="V1815" s="264" t="str">
        <f t="shared" si="6"/>
        <v/>
      </c>
      <c r="W1815" s="267" t="str">
        <f t="shared" si="8"/>
        <v/>
      </c>
      <c r="X1815" s="264" t="str">
        <f t="shared" si="7"/>
        <v/>
      </c>
    </row>
    <row r="1816" ht="15.75" customHeight="1">
      <c r="A1816" s="258"/>
      <c r="B1816" s="258"/>
      <c r="C1816" s="269"/>
      <c r="D1816" s="258"/>
      <c r="E1816" s="258"/>
      <c r="F1816" s="258"/>
      <c r="G1816" s="258"/>
      <c r="H1816" s="271"/>
      <c r="I1816" s="258"/>
      <c r="J1816" s="272"/>
      <c r="K1816" s="260"/>
      <c r="L1816" s="261"/>
      <c r="M1816" s="262" t="str">
        <f t="shared" si="1"/>
        <v/>
      </c>
      <c r="N1816" s="263" t="str">
        <f t="shared" si="2"/>
        <v/>
      </c>
      <c r="O1816" s="264" t="str">
        <f t="shared" si="3"/>
        <v/>
      </c>
      <c r="P1816" s="265" t="str">
        <f>IFERROR(__xludf.DUMMYFUNCTION("IF(ISBLANK(A1816),"""",IFERROR(IF(H1816=""Sell"",VLOOKUP(9^99,FILTER({ROW(P$2:P1815),P$2:P1815},D$2:D1815=D1816),2),(VLOOKUP(9^99,FILTER({ROW(P$2:P1815),P$2:P1815},D$2:D1815=D1816),2)*VLOOKUP(9^99,FILTER({ROW(O$2:O1815),O$2:O1815},D$2:D1815=D1816),2)-N181"&amp;"6)/O1816),J1816))"),"")</f>
        <v/>
      </c>
      <c r="Q1816" s="264" t="str">
        <f>IFERROR(__xludf.DUMMYFUNCTION("IFERROR(IF(F1816=""Crypto"",B1816,(IF(ISBLANK(D1816),"""",IF(D1816=""Cash"",B1816,IF(GOOGLEFINANCE(D1816,""CURRENCY"")=""GBX"",""GBP"",GOOGLEFINANCE(D1816,""CURRENCY"")))))),B1816)"),"")</f>
        <v/>
      </c>
      <c r="R1816" s="263" t="str">
        <f>IFERROR(__xludf.DUMMYFUNCTION("IF(ISBLANK(A1816),"""",IFERROR(IF(OR(Q1816=""GPB"",Q1816=""ZAR""),IF(Q1816=Dashboard!$L$1,K1816,(K1816*GOOGLEFINANCE(""CURRENCY:""&amp;Q1816&amp;""""&amp;Dashboard!$L$1&amp;""""))/100),IF(Q1816=Dashboard!$L$1,K1816,K1816*GOOGLEFINANCE(""CURRENCY:""&amp;Q1816&amp;""""&amp;Dashboard!$"&amp;"L$1&amp;""""))),K1816))"),"")</f>
        <v/>
      </c>
      <c r="S1816" s="266" t="str">
        <f>IFERROR(__xludf.DUMMYFUNCTION("IF(ISBLANK(A1816),"""",IFERROR(IF(OR(Q1816=""GPB"",Q1816=""ZAR""),IF(Q1816=Dashboard!$L$1,M1816,(M1816*GOOGLEFINANCE(""CURRENCY:""&amp;Q1816&amp;""""&amp;Dashboard!$L$1&amp;""""))/100),IF(Q1816=Dashboard!$L$1,M1816,M1816*GOOGLEFINANCE(""CURRENCY:""&amp;Q1816&amp;""""&amp;Dashboard!$"&amp;"L$1&amp;""""))),M1816))"),"")</f>
        <v/>
      </c>
      <c r="T1816" s="264" t="str">
        <f t="shared" si="4"/>
        <v/>
      </c>
      <c r="U1816" s="264" t="str">
        <f t="shared" si="5"/>
        <v/>
      </c>
      <c r="V1816" s="264" t="str">
        <f t="shared" si="6"/>
        <v/>
      </c>
      <c r="W1816" s="267" t="str">
        <f t="shared" si="8"/>
        <v/>
      </c>
      <c r="X1816" s="264" t="str">
        <f t="shared" si="7"/>
        <v/>
      </c>
    </row>
    <row r="1817" ht="15.75" customHeight="1">
      <c r="A1817" s="258"/>
      <c r="B1817" s="258"/>
      <c r="C1817" s="269"/>
      <c r="D1817" s="258"/>
      <c r="E1817" s="258"/>
      <c r="F1817" s="258"/>
      <c r="G1817" s="258"/>
      <c r="H1817" s="271"/>
      <c r="I1817" s="258"/>
      <c r="J1817" s="272"/>
      <c r="K1817" s="260"/>
      <c r="L1817" s="261"/>
      <c r="M1817" s="262" t="str">
        <f t="shared" si="1"/>
        <v/>
      </c>
      <c r="N1817" s="263" t="str">
        <f t="shared" si="2"/>
        <v/>
      </c>
      <c r="O1817" s="264" t="str">
        <f t="shared" si="3"/>
        <v/>
      </c>
      <c r="P1817" s="265" t="str">
        <f>IFERROR(__xludf.DUMMYFUNCTION("IF(ISBLANK(A1817),"""",IFERROR(IF(H1817=""Sell"",VLOOKUP(9^99,FILTER({ROW(P$2:P1816),P$2:P1816},D$2:D1816=D1817),2),(VLOOKUP(9^99,FILTER({ROW(P$2:P1816),P$2:P1816},D$2:D1816=D1817),2)*VLOOKUP(9^99,FILTER({ROW(O$2:O1816),O$2:O1816},D$2:D1816=D1817),2)-N181"&amp;"7)/O1817),J1817))"),"")</f>
        <v/>
      </c>
      <c r="Q1817" s="264" t="str">
        <f>IFERROR(__xludf.DUMMYFUNCTION("IFERROR(IF(F1817=""Crypto"",B1817,(IF(ISBLANK(D1817),"""",IF(D1817=""Cash"",B1817,IF(GOOGLEFINANCE(D1817,""CURRENCY"")=""GBX"",""GBP"",GOOGLEFINANCE(D1817,""CURRENCY"")))))),B1817)"),"")</f>
        <v/>
      </c>
      <c r="R1817" s="263" t="str">
        <f>IFERROR(__xludf.DUMMYFUNCTION("IF(ISBLANK(A1817),"""",IFERROR(IF(OR(Q1817=""GPB"",Q1817=""ZAR""),IF(Q1817=Dashboard!$L$1,K1817,(K1817*GOOGLEFINANCE(""CURRENCY:""&amp;Q1817&amp;""""&amp;Dashboard!$L$1&amp;""""))/100),IF(Q1817=Dashboard!$L$1,K1817,K1817*GOOGLEFINANCE(""CURRENCY:""&amp;Q1817&amp;""""&amp;Dashboard!$"&amp;"L$1&amp;""""))),K1817))"),"")</f>
        <v/>
      </c>
      <c r="S1817" s="266" t="str">
        <f>IFERROR(__xludf.DUMMYFUNCTION("IF(ISBLANK(A1817),"""",IFERROR(IF(OR(Q1817=""GPB"",Q1817=""ZAR""),IF(Q1817=Dashboard!$L$1,M1817,(M1817*GOOGLEFINANCE(""CURRENCY:""&amp;Q1817&amp;""""&amp;Dashboard!$L$1&amp;""""))/100),IF(Q1817=Dashboard!$L$1,M1817,M1817*GOOGLEFINANCE(""CURRENCY:""&amp;Q1817&amp;""""&amp;Dashboard!$"&amp;"L$1&amp;""""))),M1817))"),"")</f>
        <v/>
      </c>
      <c r="T1817" s="264" t="str">
        <f t="shared" si="4"/>
        <v/>
      </c>
      <c r="U1817" s="264" t="str">
        <f t="shared" si="5"/>
        <v/>
      </c>
      <c r="V1817" s="264" t="str">
        <f t="shared" si="6"/>
        <v/>
      </c>
      <c r="W1817" s="267" t="str">
        <f t="shared" si="8"/>
        <v/>
      </c>
      <c r="X1817" s="264" t="str">
        <f t="shared" si="7"/>
        <v/>
      </c>
    </row>
    <row r="1818" ht="15.75" customHeight="1">
      <c r="A1818" s="258"/>
      <c r="B1818" s="258"/>
      <c r="C1818" s="269"/>
      <c r="D1818" s="258"/>
      <c r="E1818" s="258"/>
      <c r="F1818" s="258"/>
      <c r="G1818" s="258"/>
      <c r="H1818" s="271"/>
      <c r="I1818" s="258"/>
      <c r="J1818" s="272"/>
      <c r="K1818" s="260"/>
      <c r="L1818" s="261"/>
      <c r="M1818" s="262" t="str">
        <f t="shared" si="1"/>
        <v/>
      </c>
      <c r="N1818" s="263" t="str">
        <f t="shared" si="2"/>
        <v/>
      </c>
      <c r="O1818" s="264" t="str">
        <f t="shared" si="3"/>
        <v/>
      </c>
      <c r="P1818" s="265" t="str">
        <f>IFERROR(__xludf.DUMMYFUNCTION("IF(ISBLANK(A1818),"""",IFERROR(IF(H1818=""Sell"",VLOOKUP(9^99,FILTER({ROW(P$2:P1817),P$2:P1817},D$2:D1817=D1818),2),(VLOOKUP(9^99,FILTER({ROW(P$2:P1817),P$2:P1817},D$2:D1817=D1818),2)*VLOOKUP(9^99,FILTER({ROW(O$2:O1817),O$2:O1817},D$2:D1817=D1818),2)-N181"&amp;"8)/O1818),J1818))"),"")</f>
        <v/>
      </c>
      <c r="Q1818" s="264" t="str">
        <f>IFERROR(__xludf.DUMMYFUNCTION("IFERROR(IF(F1818=""Crypto"",B1818,(IF(ISBLANK(D1818),"""",IF(D1818=""Cash"",B1818,IF(GOOGLEFINANCE(D1818,""CURRENCY"")=""GBX"",""GBP"",GOOGLEFINANCE(D1818,""CURRENCY"")))))),B1818)"),"")</f>
        <v/>
      </c>
      <c r="R1818" s="263" t="str">
        <f>IFERROR(__xludf.DUMMYFUNCTION("IF(ISBLANK(A1818),"""",IFERROR(IF(OR(Q1818=""GPB"",Q1818=""ZAR""),IF(Q1818=Dashboard!$L$1,K1818,(K1818*GOOGLEFINANCE(""CURRENCY:""&amp;Q1818&amp;""""&amp;Dashboard!$L$1&amp;""""))/100),IF(Q1818=Dashboard!$L$1,K1818,K1818*GOOGLEFINANCE(""CURRENCY:""&amp;Q1818&amp;""""&amp;Dashboard!$"&amp;"L$1&amp;""""))),K1818))"),"")</f>
        <v/>
      </c>
      <c r="S1818" s="266" t="str">
        <f>IFERROR(__xludf.DUMMYFUNCTION("IF(ISBLANK(A1818),"""",IFERROR(IF(OR(Q1818=""GPB"",Q1818=""ZAR""),IF(Q1818=Dashboard!$L$1,M1818,(M1818*GOOGLEFINANCE(""CURRENCY:""&amp;Q1818&amp;""""&amp;Dashboard!$L$1&amp;""""))/100),IF(Q1818=Dashboard!$L$1,M1818,M1818*GOOGLEFINANCE(""CURRENCY:""&amp;Q1818&amp;""""&amp;Dashboard!$"&amp;"L$1&amp;""""))),M1818))"),"")</f>
        <v/>
      </c>
      <c r="T1818" s="264" t="str">
        <f t="shared" si="4"/>
        <v/>
      </c>
      <c r="U1818" s="264" t="str">
        <f t="shared" si="5"/>
        <v/>
      </c>
      <c r="V1818" s="264" t="str">
        <f t="shared" si="6"/>
        <v/>
      </c>
      <c r="W1818" s="267" t="str">
        <f t="shared" si="8"/>
        <v/>
      </c>
      <c r="X1818" s="264" t="str">
        <f t="shared" si="7"/>
        <v/>
      </c>
    </row>
    <row r="1819" ht="15.75" customHeight="1">
      <c r="A1819" s="258"/>
      <c r="B1819" s="258"/>
      <c r="C1819" s="269"/>
      <c r="D1819" s="258"/>
      <c r="E1819" s="258"/>
      <c r="F1819" s="258"/>
      <c r="G1819" s="258"/>
      <c r="H1819" s="271"/>
      <c r="I1819" s="258"/>
      <c r="J1819" s="272"/>
      <c r="K1819" s="260"/>
      <c r="L1819" s="261"/>
      <c r="M1819" s="262" t="str">
        <f t="shared" si="1"/>
        <v/>
      </c>
      <c r="N1819" s="263" t="str">
        <f t="shared" si="2"/>
        <v/>
      </c>
      <c r="O1819" s="264" t="str">
        <f t="shared" si="3"/>
        <v/>
      </c>
      <c r="P1819" s="265" t="str">
        <f>IFERROR(__xludf.DUMMYFUNCTION("IF(ISBLANK(A1819),"""",IFERROR(IF(H1819=""Sell"",VLOOKUP(9^99,FILTER({ROW(P$2:P1818),P$2:P1818},D$2:D1818=D1819),2),(VLOOKUP(9^99,FILTER({ROW(P$2:P1818),P$2:P1818},D$2:D1818=D1819),2)*VLOOKUP(9^99,FILTER({ROW(O$2:O1818),O$2:O1818},D$2:D1818=D1819),2)-N181"&amp;"9)/O1819),J1819))"),"")</f>
        <v/>
      </c>
      <c r="Q1819" s="264" t="str">
        <f>IFERROR(__xludf.DUMMYFUNCTION("IFERROR(IF(F1819=""Crypto"",B1819,(IF(ISBLANK(D1819),"""",IF(D1819=""Cash"",B1819,IF(GOOGLEFINANCE(D1819,""CURRENCY"")=""GBX"",""GBP"",GOOGLEFINANCE(D1819,""CURRENCY"")))))),B1819)"),"")</f>
        <v/>
      </c>
      <c r="R1819" s="263" t="str">
        <f>IFERROR(__xludf.DUMMYFUNCTION("IF(ISBLANK(A1819),"""",IFERROR(IF(OR(Q1819=""GPB"",Q1819=""ZAR""),IF(Q1819=Dashboard!$L$1,K1819,(K1819*GOOGLEFINANCE(""CURRENCY:""&amp;Q1819&amp;""""&amp;Dashboard!$L$1&amp;""""))/100),IF(Q1819=Dashboard!$L$1,K1819,K1819*GOOGLEFINANCE(""CURRENCY:""&amp;Q1819&amp;""""&amp;Dashboard!$"&amp;"L$1&amp;""""))),K1819))"),"")</f>
        <v/>
      </c>
      <c r="S1819" s="266" t="str">
        <f>IFERROR(__xludf.DUMMYFUNCTION("IF(ISBLANK(A1819),"""",IFERROR(IF(OR(Q1819=""GPB"",Q1819=""ZAR""),IF(Q1819=Dashboard!$L$1,M1819,(M1819*GOOGLEFINANCE(""CURRENCY:""&amp;Q1819&amp;""""&amp;Dashboard!$L$1&amp;""""))/100),IF(Q1819=Dashboard!$L$1,M1819,M1819*GOOGLEFINANCE(""CURRENCY:""&amp;Q1819&amp;""""&amp;Dashboard!$"&amp;"L$1&amp;""""))),M1819))"),"")</f>
        <v/>
      </c>
      <c r="T1819" s="264" t="str">
        <f t="shared" si="4"/>
        <v/>
      </c>
      <c r="U1819" s="264" t="str">
        <f t="shared" si="5"/>
        <v/>
      </c>
      <c r="V1819" s="264" t="str">
        <f t="shared" si="6"/>
        <v/>
      </c>
      <c r="W1819" s="267" t="str">
        <f t="shared" si="8"/>
        <v/>
      </c>
      <c r="X1819" s="264" t="str">
        <f t="shared" si="7"/>
        <v/>
      </c>
    </row>
    <row r="1820" ht="15.75" customHeight="1">
      <c r="A1820" s="258"/>
      <c r="B1820" s="258"/>
      <c r="C1820" s="269"/>
      <c r="D1820" s="258"/>
      <c r="E1820" s="258"/>
      <c r="F1820" s="258"/>
      <c r="G1820" s="258"/>
      <c r="H1820" s="271"/>
      <c r="I1820" s="258"/>
      <c r="J1820" s="272"/>
      <c r="K1820" s="260"/>
      <c r="L1820" s="261"/>
      <c r="M1820" s="262" t="str">
        <f t="shared" si="1"/>
        <v/>
      </c>
      <c r="N1820" s="263" t="str">
        <f t="shared" si="2"/>
        <v/>
      </c>
      <c r="O1820" s="264" t="str">
        <f t="shared" si="3"/>
        <v/>
      </c>
      <c r="P1820" s="265" t="str">
        <f>IFERROR(__xludf.DUMMYFUNCTION("IF(ISBLANK(A1820),"""",IFERROR(IF(H1820=""Sell"",VLOOKUP(9^99,FILTER({ROW(P$2:P1819),P$2:P1819},D$2:D1819=D1820),2),(VLOOKUP(9^99,FILTER({ROW(P$2:P1819),P$2:P1819},D$2:D1819=D1820),2)*VLOOKUP(9^99,FILTER({ROW(O$2:O1819),O$2:O1819},D$2:D1819=D1820),2)-N182"&amp;"0)/O1820),J1820))"),"")</f>
        <v/>
      </c>
      <c r="Q1820" s="264" t="str">
        <f>IFERROR(__xludf.DUMMYFUNCTION("IFERROR(IF(F1820=""Crypto"",B1820,(IF(ISBLANK(D1820),"""",IF(D1820=""Cash"",B1820,IF(GOOGLEFINANCE(D1820,""CURRENCY"")=""GBX"",""GBP"",GOOGLEFINANCE(D1820,""CURRENCY"")))))),B1820)"),"")</f>
        <v/>
      </c>
      <c r="R1820" s="263" t="str">
        <f>IFERROR(__xludf.DUMMYFUNCTION("IF(ISBLANK(A1820),"""",IFERROR(IF(OR(Q1820=""GPB"",Q1820=""ZAR""),IF(Q1820=Dashboard!$L$1,K1820,(K1820*GOOGLEFINANCE(""CURRENCY:""&amp;Q1820&amp;""""&amp;Dashboard!$L$1&amp;""""))/100),IF(Q1820=Dashboard!$L$1,K1820,K1820*GOOGLEFINANCE(""CURRENCY:""&amp;Q1820&amp;""""&amp;Dashboard!$"&amp;"L$1&amp;""""))),K1820))"),"")</f>
        <v/>
      </c>
      <c r="S1820" s="266" t="str">
        <f>IFERROR(__xludf.DUMMYFUNCTION("IF(ISBLANK(A1820),"""",IFERROR(IF(OR(Q1820=""GPB"",Q1820=""ZAR""),IF(Q1820=Dashboard!$L$1,M1820,(M1820*GOOGLEFINANCE(""CURRENCY:""&amp;Q1820&amp;""""&amp;Dashboard!$L$1&amp;""""))/100),IF(Q1820=Dashboard!$L$1,M1820,M1820*GOOGLEFINANCE(""CURRENCY:""&amp;Q1820&amp;""""&amp;Dashboard!$"&amp;"L$1&amp;""""))),M1820))"),"")</f>
        <v/>
      </c>
      <c r="T1820" s="264" t="str">
        <f t="shared" si="4"/>
        <v/>
      </c>
      <c r="U1820" s="264" t="str">
        <f t="shared" si="5"/>
        <v/>
      </c>
      <c r="V1820" s="264" t="str">
        <f t="shared" si="6"/>
        <v/>
      </c>
      <c r="W1820" s="267" t="str">
        <f t="shared" si="8"/>
        <v/>
      </c>
      <c r="X1820" s="264" t="str">
        <f t="shared" si="7"/>
        <v/>
      </c>
    </row>
    <row r="1821" ht="15.75" customHeight="1">
      <c r="A1821" s="258"/>
      <c r="B1821" s="258"/>
      <c r="C1821" s="269"/>
      <c r="D1821" s="258"/>
      <c r="E1821" s="258"/>
      <c r="F1821" s="258"/>
      <c r="G1821" s="258"/>
      <c r="H1821" s="271"/>
      <c r="I1821" s="258"/>
      <c r="J1821" s="272"/>
      <c r="K1821" s="260"/>
      <c r="L1821" s="261"/>
      <c r="M1821" s="262" t="str">
        <f t="shared" si="1"/>
        <v/>
      </c>
      <c r="N1821" s="263" t="str">
        <f t="shared" si="2"/>
        <v/>
      </c>
      <c r="O1821" s="264" t="str">
        <f t="shared" si="3"/>
        <v/>
      </c>
      <c r="P1821" s="265" t="str">
        <f>IFERROR(__xludf.DUMMYFUNCTION("IF(ISBLANK(A1821),"""",IFERROR(IF(H1821=""Sell"",VLOOKUP(9^99,FILTER({ROW(P$2:P1820),P$2:P1820},D$2:D1820=D1821),2),(VLOOKUP(9^99,FILTER({ROW(P$2:P1820),P$2:P1820},D$2:D1820=D1821),2)*VLOOKUP(9^99,FILTER({ROW(O$2:O1820),O$2:O1820},D$2:D1820=D1821),2)-N182"&amp;"1)/O1821),J1821))"),"")</f>
        <v/>
      </c>
      <c r="Q1821" s="264" t="str">
        <f>IFERROR(__xludf.DUMMYFUNCTION("IFERROR(IF(F1821=""Crypto"",B1821,(IF(ISBLANK(D1821),"""",IF(D1821=""Cash"",B1821,IF(GOOGLEFINANCE(D1821,""CURRENCY"")=""GBX"",""GBP"",GOOGLEFINANCE(D1821,""CURRENCY"")))))),B1821)"),"")</f>
        <v/>
      </c>
      <c r="R1821" s="263" t="str">
        <f>IFERROR(__xludf.DUMMYFUNCTION("IF(ISBLANK(A1821),"""",IFERROR(IF(OR(Q1821=""GPB"",Q1821=""ZAR""),IF(Q1821=Dashboard!$L$1,K1821,(K1821*GOOGLEFINANCE(""CURRENCY:""&amp;Q1821&amp;""""&amp;Dashboard!$L$1&amp;""""))/100),IF(Q1821=Dashboard!$L$1,K1821,K1821*GOOGLEFINANCE(""CURRENCY:""&amp;Q1821&amp;""""&amp;Dashboard!$"&amp;"L$1&amp;""""))),K1821))"),"")</f>
        <v/>
      </c>
      <c r="S1821" s="266" t="str">
        <f>IFERROR(__xludf.DUMMYFUNCTION("IF(ISBLANK(A1821),"""",IFERROR(IF(OR(Q1821=""GPB"",Q1821=""ZAR""),IF(Q1821=Dashboard!$L$1,M1821,(M1821*GOOGLEFINANCE(""CURRENCY:""&amp;Q1821&amp;""""&amp;Dashboard!$L$1&amp;""""))/100),IF(Q1821=Dashboard!$L$1,M1821,M1821*GOOGLEFINANCE(""CURRENCY:""&amp;Q1821&amp;""""&amp;Dashboard!$"&amp;"L$1&amp;""""))),M1821))"),"")</f>
        <v/>
      </c>
      <c r="T1821" s="264" t="str">
        <f t="shared" si="4"/>
        <v/>
      </c>
      <c r="U1821" s="264" t="str">
        <f t="shared" si="5"/>
        <v/>
      </c>
      <c r="V1821" s="264" t="str">
        <f t="shared" si="6"/>
        <v/>
      </c>
      <c r="W1821" s="267" t="str">
        <f t="shared" si="8"/>
        <v/>
      </c>
      <c r="X1821" s="264" t="str">
        <f t="shared" si="7"/>
        <v/>
      </c>
    </row>
    <row r="1822" ht="15.75" customHeight="1">
      <c r="A1822" s="258"/>
      <c r="B1822" s="258"/>
      <c r="C1822" s="269"/>
      <c r="D1822" s="258"/>
      <c r="E1822" s="258"/>
      <c r="F1822" s="258"/>
      <c r="G1822" s="258"/>
      <c r="H1822" s="271"/>
      <c r="I1822" s="258"/>
      <c r="J1822" s="272"/>
      <c r="K1822" s="260"/>
      <c r="L1822" s="261"/>
      <c r="M1822" s="262" t="str">
        <f t="shared" si="1"/>
        <v/>
      </c>
      <c r="N1822" s="263" t="str">
        <f t="shared" si="2"/>
        <v/>
      </c>
      <c r="O1822" s="264" t="str">
        <f t="shared" si="3"/>
        <v/>
      </c>
      <c r="P1822" s="265" t="str">
        <f>IFERROR(__xludf.DUMMYFUNCTION("IF(ISBLANK(A1822),"""",IFERROR(IF(H1822=""Sell"",VLOOKUP(9^99,FILTER({ROW(P$2:P1821),P$2:P1821},D$2:D1821=D1822),2),(VLOOKUP(9^99,FILTER({ROW(P$2:P1821),P$2:P1821},D$2:D1821=D1822),2)*VLOOKUP(9^99,FILTER({ROW(O$2:O1821),O$2:O1821},D$2:D1821=D1822),2)-N182"&amp;"2)/O1822),J1822))"),"")</f>
        <v/>
      </c>
      <c r="Q1822" s="264" t="str">
        <f>IFERROR(__xludf.DUMMYFUNCTION("IFERROR(IF(F1822=""Crypto"",B1822,(IF(ISBLANK(D1822),"""",IF(D1822=""Cash"",B1822,IF(GOOGLEFINANCE(D1822,""CURRENCY"")=""GBX"",""GBP"",GOOGLEFINANCE(D1822,""CURRENCY"")))))),B1822)"),"")</f>
        <v/>
      </c>
      <c r="R1822" s="263" t="str">
        <f>IFERROR(__xludf.DUMMYFUNCTION("IF(ISBLANK(A1822),"""",IFERROR(IF(OR(Q1822=""GPB"",Q1822=""ZAR""),IF(Q1822=Dashboard!$L$1,K1822,(K1822*GOOGLEFINANCE(""CURRENCY:""&amp;Q1822&amp;""""&amp;Dashboard!$L$1&amp;""""))/100),IF(Q1822=Dashboard!$L$1,K1822,K1822*GOOGLEFINANCE(""CURRENCY:""&amp;Q1822&amp;""""&amp;Dashboard!$"&amp;"L$1&amp;""""))),K1822))"),"")</f>
        <v/>
      </c>
      <c r="S1822" s="266" t="str">
        <f>IFERROR(__xludf.DUMMYFUNCTION("IF(ISBLANK(A1822),"""",IFERROR(IF(OR(Q1822=""GPB"",Q1822=""ZAR""),IF(Q1822=Dashboard!$L$1,M1822,(M1822*GOOGLEFINANCE(""CURRENCY:""&amp;Q1822&amp;""""&amp;Dashboard!$L$1&amp;""""))/100),IF(Q1822=Dashboard!$L$1,M1822,M1822*GOOGLEFINANCE(""CURRENCY:""&amp;Q1822&amp;""""&amp;Dashboard!$"&amp;"L$1&amp;""""))),M1822))"),"")</f>
        <v/>
      </c>
      <c r="T1822" s="264" t="str">
        <f t="shared" si="4"/>
        <v/>
      </c>
      <c r="U1822" s="264" t="str">
        <f t="shared" si="5"/>
        <v/>
      </c>
      <c r="V1822" s="264" t="str">
        <f t="shared" si="6"/>
        <v/>
      </c>
      <c r="W1822" s="267" t="str">
        <f t="shared" si="8"/>
        <v/>
      </c>
      <c r="X1822" s="264" t="str">
        <f t="shared" si="7"/>
        <v/>
      </c>
    </row>
    <row r="1823" ht="15.75" customHeight="1">
      <c r="A1823" s="258"/>
      <c r="B1823" s="258"/>
      <c r="C1823" s="269"/>
      <c r="D1823" s="258"/>
      <c r="E1823" s="258"/>
      <c r="F1823" s="258"/>
      <c r="G1823" s="258"/>
      <c r="H1823" s="271"/>
      <c r="I1823" s="258"/>
      <c r="J1823" s="272"/>
      <c r="K1823" s="260"/>
      <c r="L1823" s="261"/>
      <c r="M1823" s="262" t="str">
        <f t="shared" si="1"/>
        <v/>
      </c>
      <c r="N1823" s="263" t="str">
        <f t="shared" si="2"/>
        <v/>
      </c>
      <c r="O1823" s="264" t="str">
        <f t="shared" si="3"/>
        <v/>
      </c>
      <c r="P1823" s="265" t="str">
        <f>IFERROR(__xludf.DUMMYFUNCTION("IF(ISBLANK(A1823),"""",IFERROR(IF(H1823=""Sell"",VLOOKUP(9^99,FILTER({ROW(P$2:P1822),P$2:P1822},D$2:D1822=D1823),2),(VLOOKUP(9^99,FILTER({ROW(P$2:P1822),P$2:P1822},D$2:D1822=D1823),2)*VLOOKUP(9^99,FILTER({ROW(O$2:O1822),O$2:O1822},D$2:D1822=D1823),2)-N182"&amp;"3)/O1823),J1823))"),"")</f>
        <v/>
      </c>
      <c r="Q1823" s="264" t="str">
        <f>IFERROR(__xludf.DUMMYFUNCTION("IFERROR(IF(F1823=""Crypto"",B1823,(IF(ISBLANK(D1823),"""",IF(D1823=""Cash"",B1823,IF(GOOGLEFINANCE(D1823,""CURRENCY"")=""GBX"",""GBP"",GOOGLEFINANCE(D1823,""CURRENCY"")))))),B1823)"),"")</f>
        <v/>
      </c>
      <c r="R1823" s="263" t="str">
        <f>IFERROR(__xludf.DUMMYFUNCTION("IF(ISBLANK(A1823),"""",IFERROR(IF(OR(Q1823=""GPB"",Q1823=""ZAR""),IF(Q1823=Dashboard!$L$1,K1823,(K1823*GOOGLEFINANCE(""CURRENCY:""&amp;Q1823&amp;""""&amp;Dashboard!$L$1&amp;""""))/100),IF(Q1823=Dashboard!$L$1,K1823,K1823*GOOGLEFINANCE(""CURRENCY:""&amp;Q1823&amp;""""&amp;Dashboard!$"&amp;"L$1&amp;""""))),K1823))"),"")</f>
        <v/>
      </c>
      <c r="S1823" s="266" t="str">
        <f>IFERROR(__xludf.DUMMYFUNCTION("IF(ISBLANK(A1823),"""",IFERROR(IF(OR(Q1823=""GPB"",Q1823=""ZAR""),IF(Q1823=Dashboard!$L$1,M1823,(M1823*GOOGLEFINANCE(""CURRENCY:""&amp;Q1823&amp;""""&amp;Dashboard!$L$1&amp;""""))/100),IF(Q1823=Dashboard!$L$1,M1823,M1823*GOOGLEFINANCE(""CURRENCY:""&amp;Q1823&amp;""""&amp;Dashboard!$"&amp;"L$1&amp;""""))),M1823))"),"")</f>
        <v/>
      </c>
      <c r="T1823" s="264" t="str">
        <f t="shared" si="4"/>
        <v/>
      </c>
      <c r="U1823" s="264" t="str">
        <f t="shared" si="5"/>
        <v/>
      </c>
      <c r="V1823" s="264" t="str">
        <f t="shared" si="6"/>
        <v/>
      </c>
      <c r="W1823" s="267" t="str">
        <f t="shared" si="8"/>
        <v/>
      </c>
      <c r="X1823" s="264" t="str">
        <f t="shared" si="7"/>
        <v/>
      </c>
    </row>
    <row r="1824" ht="15.75" customHeight="1">
      <c r="A1824" s="258"/>
      <c r="B1824" s="258"/>
      <c r="C1824" s="269"/>
      <c r="D1824" s="258"/>
      <c r="E1824" s="258"/>
      <c r="F1824" s="258"/>
      <c r="G1824" s="258"/>
      <c r="H1824" s="271"/>
      <c r="I1824" s="258"/>
      <c r="J1824" s="272"/>
      <c r="K1824" s="260"/>
      <c r="L1824" s="261"/>
      <c r="M1824" s="262" t="str">
        <f t="shared" si="1"/>
        <v/>
      </c>
      <c r="N1824" s="263" t="str">
        <f t="shared" si="2"/>
        <v/>
      </c>
      <c r="O1824" s="264" t="str">
        <f t="shared" si="3"/>
        <v/>
      </c>
      <c r="P1824" s="265" t="str">
        <f>IFERROR(__xludf.DUMMYFUNCTION("IF(ISBLANK(A1824),"""",IFERROR(IF(H1824=""Sell"",VLOOKUP(9^99,FILTER({ROW(P$2:P1823),P$2:P1823},D$2:D1823=D1824),2),(VLOOKUP(9^99,FILTER({ROW(P$2:P1823),P$2:P1823},D$2:D1823=D1824),2)*VLOOKUP(9^99,FILTER({ROW(O$2:O1823),O$2:O1823},D$2:D1823=D1824),2)-N182"&amp;"4)/O1824),J1824))"),"")</f>
        <v/>
      </c>
      <c r="Q1824" s="264" t="str">
        <f>IFERROR(__xludf.DUMMYFUNCTION("IFERROR(IF(F1824=""Crypto"",B1824,(IF(ISBLANK(D1824),"""",IF(D1824=""Cash"",B1824,IF(GOOGLEFINANCE(D1824,""CURRENCY"")=""GBX"",""GBP"",GOOGLEFINANCE(D1824,""CURRENCY"")))))),B1824)"),"")</f>
        <v/>
      </c>
      <c r="R1824" s="263" t="str">
        <f>IFERROR(__xludf.DUMMYFUNCTION("IF(ISBLANK(A1824),"""",IFERROR(IF(OR(Q1824=""GPB"",Q1824=""ZAR""),IF(Q1824=Dashboard!$L$1,K1824,(K1824*GOOGLEFINANCE(""CURRENCY:""&amp;Q1824&amp;""""&amp;Dashboard!$L$1&amp;""""))/100),IF(Q1824=Dashboard!$L$1,K1824,K1824*GOOGLEFINANCE(""CURRENCY:""&amp;Q1824&amp;""""&amp;Dashboard!$"&amp;"L$1&amp;""""))),K1824))"),"")</f>
        <v/>
      </c>
      <c r="S1824" s="266" t="str">
        <f>IFERROR(__xludf.DUMMYFUNCTION("IF(ISBLANK(A1824),"""",IFERROR(IF(OR(Q1824=""GPB"",Q1824=""ZAR""),IF(Q1824=Dashboard!$L$1,M1824,(M1824*GOOGLEFINANCE(""CURRENCY:""&amp;Q1824&amp;""""&amp;Dashboard!$L$1&amp;""""))/100),IF(Q1824=Dashboard!$L$1,M1824,M1824*GOOGLEFINANCE(""CURRENCY:""&amp;Q1824&amp;""""&amp;Dashboard!$"&amp;"L$1&amp;""""))),M1824))"),"")</f>
        <v/>
      </c>
      <c r="T1824" s="264" t="str">
        <f t="shared" si="4"/>
        <v/>
      </c>
      <c r="U1824" s="264" t="str">
        <f t="shared" si="5"/>
        <v/>
      </c>
      <c r="V1824" s="264" t="str">
        <f t="shared" si="6"/>
        <v/>
      </c>
      <c r="W1824" s="267" t="str">
        <f t="shared" si="8"/>
        <v/>
      </c>
      <c r="X1824" s="264" t="str">
        <f t="shared" si="7"/>
        <v/>
      </c>
    </row>
    <row r="1825" ht="15.75" customHeight="1">
      <c r="A1825" s="258"/>
      <c r="B1825" s="258"/>
      <c r="C1825" s="269"/>
      <c r="D1825" s="258"/>
      <c r="E1825" s="258"/>
      <c r="F1825" s="258"/>
      <c r="G1825" s="258"/>
      <c r="H1825" s="271"/>
      <c r="I1825" s="258"/>
      <c r="J1825" s="272"/>
      <c r="K1825" s="260"/>
      <c r="L1825" s="261"/>
      <c r="M1825" s="262" t="str">
        <f t="shared" si="1"/>
        <v/>
      </c>
      <c r="N1825" s="263" t="str">
        <f t="shared" si="2"/>
        <v/>
      </c>
      <c r="O1825" s="264" t="str">
        <f t="shared" si="3"/>
        <v/>
      </c>
      <c r="P1825" s="265" t="str">
        <f>IFERROR(__xludf.DUMMYFUNCTION("IF(ISBLANK(A1825),"""",IFERROR(IF(H1825=""Sell"",VLOOKUP(9^99,FILTER({ROW(P$2:P1824),P$2:P1824},D$2:D1824=D1825),2),(VLOOKUP(9^99,FILTER({ROW(P$2:P1824),P$2:P1824},D$2:D1824=D1825),2)*VLOOKUP(9^99,FILTER({ROW(O$2:O1824),O$2:O1824},D$2:D1824=D1825),2)-N182"&amp;"5)/O1825),J1825))"),"")</f>
        <v/>
      </c>
      <c r="Q1825" s="264" t="str">
        <f>IFERROR(__xludf.DUMMYFUNCTION("IFERROR(IF(F1825=""Crypto"",B1825,(IF(ISBLANK(D1825),"""",IF(D1825=""Cash"",B1825,IF(GOOGLEFINANCE(D1825,""CURRENCY"")=""GBX"",""GBP"",GOOGLEFINANCE(D1825,""CURRENCY"")))))),B1825)"),"")</f>
        <v/>
      </c>
      <c r="R1825" s="263" t="str">
        <f>IFERROR(__xludf.DUMMYFUNCTION("IF(ISBLANK(A1825),"""",IFERROR(IF(OR(Q1825=""GPB"",Q1825=""ZAR""),IF(Q1825=Dashboard!$L$1,K1825,(K1825*GOOGLEFINANCE(""CURRENCY:""&amp;Q1825&amp;""""&amp;Dashboard!$L$1&amp;""""))/100),IF(Q1825=Dashboard!$L$1,K1825,K1825*GOOGLEFINANCE(""CURRENCY:""&amp;Q1825&amp;""""&amp;Dashboard!$"&amp;"L$1&amp;""""))),K1825))"),"")</f>
        <v/>
      </c>
      <c r="S1825" s="266" t="str">
        <f>IFERROR(__xludf.DUMMYFUNCTION("IF(ISBLANK(A1825),"""",IFERROR(IF(OR(Q1825=""GPB"",Q1825=""ZAR""),IF(Q1825=Dashboard!$L$1,M1825,(M1825*GOOGLEFINANCE(""CURRENCY:""&amp;Q1825&amp;""""&amp;Dashboard!$L$1&amp;""""))/100),IF(Q1825=Dashboard!$L$1,M1825,M1825*GOOGLEFINANCE(""CURRENCY:""&amp;Q1825&amp;""""&amp;Dashboard!$"&amp;"L$1&amp;""""))),M1825))"),"")</f>
        <v/>
      </c>
      <c r="T1825" s="264" t="str">
        <f t="shared" si="4"/>
        <v/>
      </c>
      <c r="U1825" s="264" t="str">
        <f t="shared" si="5"/>
        <v/>
      </c>
      <c r="V1825" s="264" t="str">
        <f t="shared" si="6"/>
        <v/>
      </c>
      <c r="W1825" s="267" t="str">
        <f t="shared" si="8"/>
        <v/>
      </c>
      <c r="X1825" s="264" t="str">
        <f t="shared" si="7"/>
        <v/>
      </c>
    </row>
    <row r="1826" ht="15.75" customHeight="1">
      <c r="A1826" s="258"/>
      <c r="B1826" s="258"/>
      <c r="C1826" s="269"/>
      <c r="D1826" s="258"/>
      <c r="E1826" s="258"/>
      <c r="F1826" s="258"/>
      <c r="G1826" s="258"/>
      <c r="H1826" s="271"/>
      <c r="I1826" s="258"/>
      <c r="J1826" s="272"/>
      <c r="K1826" s="260"/>
      <c r="L1826" s="261"/>
      <c r="M1826" s="262" t="str">
        <f t="shared" si="1"/>
        <v/>
      </c>
      <c r="N1826" s="263" t="str">
        <f t="shared" si="2"/>
        <v/>
      </c>
      <c r="O1826" s="264" t="str">
        <f t="shared" si="3"/>
        <v/>
      </c>
      <c r="P1826" s="265" t="str">
        <f>IFERROR(__xludf.DUMMYFUNCTION("IF(ISBLANK(A1826),"""",IFERROR(IF(H1826=""Sell"",VLOOKUP(9^99,FILTER({ROW(P$2:P1825),P$2:P1825},D$2:D1825=D1826),2),(VLOOKUP(9^99,FILTER({ROW(P$2:P1825),P$2:P1825},D$2:D1825=D1826),2)*VLOOKUP(9^99,FILTER({ROW(O$2:O1825),O$2:O1825},D$2:D1825=D1826),2)-N182"&amp;"6)/O1826),J1826))"),"")</f>
        <v/>
      </c>
      <c r="Q1826" s="264" t="str">
        <f>IFERROR(__xludf.DUMMYFUNCTION("IFERROR(IF(F1826=""Crypto"",B1826,(IF(ISBLANK(D1826),"""",IF(D1826=""Cash"",B1826,IF(GOOGLEFINANCE(D1826,""CURRENCY"")=""GBX"",""GBP"",GOOGLEFINANCE(D1826,""CURRENCY"")))))),B1826)"),"")</f>
        <v/>
      </c>
      <c r="R1826" s="263" t="str">
        <f>IFERROR(__xludf.DUMMYFUNCTION("IF(ISBLANK(A1826),"""",IFERROR(IF(OR(Q1826=""GPB"",Q1826=""ZAR""),IF(Q1826=Dashboard!$L$1,K1826,(K1826*GOOGLEFINANCE(""CURRENCY:""&amp;Q1826&amp;""""&amp;Dashboard!$L$1&amp;""""))/100),IF(Q1826=Dashboard!$L$1,K1826,K1826*GOOGLEFINANCE(""CURRENCY:""&amp;Q1826&amp;""""&amp;Dashboard!$"&amp;"L$1&amp;""""))),K1826))"),"")</f>
        <v/>
      </c>
      <c r="S1826" s="266" t="str">
        <f>IFERROR(__xludf.DUMMYFUNCTION("IF(ISBLANK(A1826),"""",IFERROR(IF(OR(Q1826=""GPB"",Q1826=""ZAR""),IF(Q1826=Dashboard!$L$1,M1826,(M1826*GOOGLEFINANCE(""CURRENCY:""&amp;Q1826&amp;""""&amp;Dashboard!$L$1&amp;""""))/100),IF(Q1826=Dashboard!$L$1,M1826,M1826*GOOGLEFINANCE(""CURRENCY:""&amp;Q1826&amp;""""&amp;Dashboard!$"&amp;"L$1&amp;""""))),M1826))"),"")</f>
        <v/>
      </c>
      <c r="T1826" s="264" t="str">
        <f t="shared" si="4"/>
        <v/>
      </c>
      <c r="U1826" s="264" t="str">
        <f t="shared" si="5"/>
        <v/>
      </c>
      <c r="V1826" s="264" t="str">
        <f t="shared" si="6"/>
        <v/>
      </c>
      <c r="W1826" s="267" t="str">
        <f t="shared" si="8"/>
        <v/>
      </c>
      <c r="X1826" s="264" t="str">
        <f t="shared" si="7"/>
        <v/>
      </c>
    </row>
    <row r="1827" ht="15.75" customHeight="1">
      <c r="A1827" s="258"/>
      <c r="B1827" s="258"/>
      <c r="C1827" s="269"/>
      <c r="D1827" s="258"/>
      <c r="E1827" s="258"/>
      <c r="F1827" s="258"/>
      <c r="G1827" s="258"/>
      <c r="H1827" s="271"/>
      <c r="I1827" s="258"/>
      <c r="J1827" s="272"/>
      <c r="K1827" s="260"/>
      <c r="L1827" s="261"/>
      <c r="M1827" s="262" t="str">
        <f t="shared" si="1"/>
        <v/>
      </c>
      <c r="N1827" s="263" t="str">
        <f t="shared" si="2"/>
        <v/>
      </c>
      <c r="O1827" s="264" t="str">
        <f t="shared" si="3"/>
        <v/>
      </c>
      <c r="P1827" s="265" t="str">
        <f>IFERROR(__xludf.DUMMYFUNCTION("IF(ISBLANK(A1827),"""",IFERROR(IF(H1827=""Sell"",VLOOKUP(9^99,FILTER({ROW(P$2:P1826),P$2:P1826},D$2:D1826=D1827),2),(VLOOKUP(9^99,FILTER({ROW(P$2:P1826),P$2:P1826},D$2:D1826=D1827),2)*VLOOKUP(9^99,FILTER({ROW(O$2:O1826),O$2:O1826},D$2:D1826=D1827),2)-N182"&amp;"7)/O1827),J1827))"),"")</f>
        <v/>
      </c>
      <c r="Q1827" s="264" t="str">
        <f>IFERROR(__xludf.DUMMYFUNCTION("IFERROR(IF(F1827=""Crypto"",B1827,(IF(ISBLANK(D1827),"""",IF(D1827=""Cash"",B1827,IF(GOOGLEFINANCE(D1827,""CURRENCY"")=""GBX"",""GBP"",GOOGLEFINANCE(D1827,""CURRENCY"")))))),B1827)"),"")</f>
        <v/>
      </c>
      <c r="R1827" s="263" t="str">
        <f>IFERROR(__xludf.DUMMYFUNCTION("IF(ISBLANK(A1827),"""",IFERROR(IF(OR(Q1827=""GPB"",Q1827=""ZAR""),IF(Q1827=Dashboard!$L$1,K1827,(K1827*GOOGLEFINANCE(""CURRENCY:""&amp;Q1827&amp;""""&amp;Dashboard!$L$1&amp;""""))/100),IF(Q1827=Dashboard!$L$1,K1827,K1827*GOOGLEFINANCE(""CURRENCY:""&amp;Q1827&amp;""""&amp;Dashboard!$"&amp;"L$1&amp;""""))),K1827))"),"")</f>
        <v/>
      </c>
      <c r="S1827" s="266" t="str">
        <f>IFERROR(__xludf.DUMMYFUNCTION("IF(ISBLANK(A1827),"""",IFERROR(IF(OR(Q1827=""GPB"",Q1827=""ZAR""),IF(Q1827=Dashboard!$L$1,M1827,(M1827*GOOGLEFINANCE(""CURRENCY:""&amp;Q1827&amp;""""&amp;Dashboard!$L$1&amp;""""))/100),IF(Q1827=Dashboard!$L$1,M1827,M1827*GOOGLEFINANCE(""CURRENCY:""&amp;Q1827&amp;""""&amp;Dashboard!$"&amp;"L$1&amp;""""))),M1827))"),"")</f>
        <v/>
      </c>
      <c r="T1827" s="264" t="str">
        <f t="shared" si="4"/>
        <v/>
      </c>
      <c r="U1827" s="264" t="str">
        <f t="shared" si="5"/>
        <v/>
      </c>
      <c r="V1827" s="264" t="str">
        <f t="shared" si="6"/>
        <v/>
      </c>
      <c r="W1827" s="267" t="str">
        <f t="shared" si="8"/>
        <v/>
      </c>
      <c r="X1827" s="264" t="str">
        <f t="shared" si="7"/>
        <v/>
      </c>
    </row>
    <row r="1828" ht="15.75" customHeight="1">
      <c r="A1828" s="258"/>
      <c r="B1828" s="258"/>
      <c r="C1828" s="269"/>
      <c r="D1828" s="258"/>
      <c r="E1828" s="258"/>
      <c r="F1828" s="258"/>
      <c r="G1828" s="258"/>
      <c r="H1828" s="271"/>
      <c r="I1828" s="258"/>
      <c r="J1828" s="272"/>
      <c r="K1828" s="260"/>
      <c r="L1828" s="261"/>
      <c r="M1828" s="262" t="str">
        <f t="shared" si="1"/>
        <v/>
      </c>
      <c r="N1828" s="263" t="str">
        <f t="shared" si="2"/>
        <v/>
      </c>
      <c r="O1828" s="264" t="str">
        <f t="shared" si="3"/>
        <v/>
      </c>
      <c r="P1828" s="265" t="str">
        <f>IFERROR(__xludf.DUMMYFUNCTION("IF(ISBLANK(A1828),"""",IFERROR(IF(H1828=""Sell"",VLOOKUP(9^99,FILTER({ROW(P$2:P1827),P$2:P1827},D$2:D1827=D1828),2),(VLOOKUP(9^99,FILTER({ROW(P$2:P1827),P$2:P1827},D$2:D1827=D1828),2)*VLOOKUP(9^99,FILTER({ROW(O$2:O1827),O$2:O1827},D$2:D1827=D1828),2)-N182"&amp;"8)/O1828),J1828))"),"")</f>
        <v/>
      </c>
      <c r="Q1828" s="264" t="str">
        <f>IFERROR(__xludf.DUMMYFUNCTION("IFERROR(IF(F1828=""Crypto"",B1828,(IF(ISBLANK(D1828),"""",IF(D1828=""Cash"",B1828,IF(GOOGLEFINANCE(D1828,""CURRENCY"")=""GBX"",""GBP"",GOOGLEFINANCE(D1828,""CURRENCY"")))))),B1828)"),"")</f>
        <v/>
      </c>
      <c r="R1828" s="263" t="str">
        <f>IFERROR(__xludf.DUMMYFUNCTION("IF(ISBLANK(A1828),"""",IFERROR(IF(OR(Q1828=""GPB"",Q1828=""ZAR""),IF(Q1828=Dashboard!$L$1,K1828,(K1828*GOOGLEFINANCE(""CURRENCY:""&amp;Q1828&amp;""""&amp;Dashboard!$L$1&amp;""""))/100),IF(Q1828=Dashboard!$L$1,K1828,K1828*GOOGLEFINANCE(""CURRENCY:""&amp;Q1828&amp;""""&amp;Dashboard!$"&amp;"L$1&amp;""""))),K1828))"),"")</f>
        <v/>
      </c>
      <c r="S1828" s="266" t="str">
        <f>IFERROR(__xludf.DUMMYFUNCTION("IF(ISBLANK(A1828),"""",IFERROR(IF(OR(Q1828=""GPB"",Q1828=""ZAR""),IF(Q1828=Dashboard!$L$1,M1828,(M1828*GOOGLEFINANCE(""CURRENCY:""&amp;Q1828&amp;""""&amp;Dashboard!$L$1&amp;""""))/100),IF(Q1828=Dashboard!$L$1,M1828,M1828*GOOGLEFINANCE(""CURRENCY:""&amp;Q1828&amp;""""&amp;Dashboard!$"&amp;"L$1&amp;""""))),M1828))"),"")</f>
        <v/>
      </c>
      <c r="T1828" s="264" t="str">
        <f t="shared" si="4"/>
        <v/>
      </c>
      <c r="U1828" s="264" t="str">
        <f t="shared" si="5"/>
        <v/>
      </c>
      <c r="V1828" s="264" t="str">
        <f t="shared" si="6"/>
        <v/>
      </c>
      <c r="W1828" s="267" t="str">
        <f t="shared" si="8"/>
        <v/>
      </c>
      <c r="X1828" s="264" t="str">
        <f t="shared" si="7"/>
        <v/>
      </c>
    </row>
    <row r="1829" ht="15.75" customHeight="1">
      <c r="A1829" s="258"/>
      <c r="B1829" s="258"/>
      <c r="C1829" s="269"/>
      <c r="D1829" s="258"/>
      <c r="E1829" s="258"/>
      <c r="F1829" s="258"/>
      <c r="G1829" s="258"/>
      <c r="H1829" s="271"/>
      <c r="I1829" s="258"/>
      <c r="J1829" s="272"/>
      <c r="K1829" s="260"/>
      <c r="L1829" s="261"/>
      <c r="M1829" s="262" t="str">
        <f t="shared" si="1"/>
        <v/>
      </c>
      <c r="N1829" s="263" t="str">
        <f t="shared" si="2"/>
        <v/>
      </c>
      <c r="O1829" s="264" t="str">
        <f t="shared" si="3"/>
        <v/>
      </c>
      <c r="P1829" s="265" t="str">
        <f>IFERROR(__xludf.DUMMYFUNCTION("IF(ISBLANK(A1829),"""",IFERROR(IF(H1829=""Sell"",VLOOKUP(9^99,FILTER({ROW(P$2:P1828),P$2:P1828},D$2:D1828=D1829),2),(VLOOKUP(9^99,FILTER({ROW(P$2:P1828),P$2:P1828},D$2:D1828=D1829),2)*VLOOKUP(9^99,FILTER({ROW(O$2:O1828),O$2:O1828},D$2:D1828=D1829),2)-N182"&amp;"9)/O1829),J1829))"),"")</f>
        <v/>
      </c>
      <c r="Q1829" s="264" t="str">
        <f>IFERROR(__xludf.DUMMYFUNCTION("IFERROR(IF(F1829=""Crypto"",B1829,(IF(ISBLANK(D1829),"""",IF(D1829=""Cash"",B1829,IF(GOOGLEFINANCE(D1829,""CURRENCY"")=""GBX"",""GBP"",GOOGLEFINANCE(D1829,""CURRENCY"")))))),B1829)"),"")</f>
        <v/>
      </c>
      <c r="R1829" s="263" t="str">
        <f>IFERROR(__xludf.DUMMYFUNCTION("IF(ISBLANK(A1829),"""",IFERROR(IF(OR(Q1829=""GPB"",Q1829=""ZAR""),IF(Q1829=Dashboard!$L$1,K1829,(K1829*GOOGLEFINANCE(""CURRENCY:""&amp;Q1829&amp;""""&amp;Dashboard!$L$1&amp;""""))/100),IF(Q1829=Dashboard!$L$1,K1829,K1829*GOOGLEFINANCE(""CURRENCY:""&amp;Q1829&amp;""""&amp;Dashboard!$"&amp;"L$1&amp;""""))),K1829))"),"")</f>
        <v/>
      </c>
      <c r="S1829" s="266" t="str">
        <f>IFERROR(__xludf.DUMMYFUNCTION("IF(ISBLANK(A1829),"""",IFERROR(IF(OR(Q1829=""GPB"",Q1829=""ZAR""),IF(Q1829=Dashboard!$L$1,M1829,(M1829*GOOGLEFINANCE(""CURRENCY:""&amp;Q1829&amp;""""&amp;Dashboard!$L$1&amp;""""))/100),IF(Q1829=Dashboard!$L$1,M1829,M1829*GOOGLEFINANCE(""CURRENCY:""&amp;Q1829&amp;""""&amp;Dashboard!$"&amp;"L$1&amp;""""))),M1829))"),"")</f>
        <v/>
      </c>
      <c r="T1829" s="264" t="str">
        <f t="shared" si="4"/>
        <v/>
      </c>
      <c r="U1829" s="264" t="str">
        <f t="shared" si="5"/>
        <v/>
      </c>
      <c r="V1829" s="264" t="str">
        <f t="shared" si="6"/>
        <v/>
      </c>
      <c r="W1829" s="267" t="str">
        <f t="shared" si="8"/>
        <v/>
      </c>
      <c r="X1829" s="264" t="str">
        <f t="shared" si="7"/>
        <v/>
      </c>
    </row>
    <row r="1830" ht="15.75" customHeight="1">
      <c r="A1830" s="258"/>
      <c r="B1830" s="258"/>
      <c r="C1830" s="269"/>
      <c r="D1830" s="258"/>
      <c r="E1830" s="258"/>
      <c r="F1830" s="258"/>
      <c r="G1830" s="258"/>
      <c r="H1830" s="271"/>
      <c r="I1830" s="258"/>
      <c r="J1830" s="272"/>
      <c r="K1830" s="260"/>
      <c r="L1830" s="261"/>
      <c r="M1830" s="262" t="str">
        <f t="shared" si="1"/>
        <v/>
      </c>
      <c r="N1830" s="263" t="str">
        <f t="shared" si="2"/>
        <v/>
      </c>
      <c r="O1830" s="264" t="str">
        <f t="shared" si="3"/>
        <v/>
      </c>
      <c r="P1830" s="265" t="str">
        <f>IFERROR(__xludf.DUMMYFUNCTION("IF(ISBLANK(A1830),"""",IFERROR(IF(H1830=""Sell"",VLOOKUP(9^99,FILTER({ROW(P$2:P1829),P$2:P1829},D$2:D1829=D1830),2),(VLOOKUP(9^99,FILTER({ROW(P$2:P1829),P$2:P1829},D$2:D1829=D1830),2)*VLOOKUP(9^99,FILTER({ROW(O$2:O1829),O$2:O1829},D$2:D1829=D1830),2)-N183"&amp;"0)/O1830),J1830))"),"")</f>
        <v/>
      </c>
      <c r="Q1830" s="264" t="str">
        <f>IFERROR(__xludf.DUMMYFUNCTION("IFERROR(IF(F1830=""Crypto"",B1830,(IF(ISBLANK(D1830),"""",IF(D1830=""Cash"",B1830,IF(GOOGLEFINANCE(D1830,""CURRENCY"")=""GBX"",""GBP"",GOOGLEFINANCE(D1830,""CURRENCY"")))))),B1830)"),"")</f>
        <v/>
      </c>
      <c r="R1830" s="263" t="str">
        <f>IFERROR(__xludf.DUMMYFUNCTION("IF(ISBLANK(A1830),"""",IFERROR(IF(OR(Q1830=""GPB"",Q1830=""ZAR""),IF(Q1830=Dashboard!$L$1,K1830,(K1830*GOOGLEFINANCE(""CURRENCY:""&amp;Q1830&amp;""""&amp;Dashboard!$L$1&amp;""""))/100),IF(Q1830=Dashboard!$L$1,K1830,K1830*GOOGLEFINANCE(""CURRENCY:""&amp;Q1830&amp;""""&amp;Dashboard!$"&amp;"L$1&amp;""""))),K1830))"),"")</f>
        <v/>
      </c>
      <c r="S1830" s="266" t="str">
        <f>IFERROR(__xludf.DUMMYFUNCTION("IF(ISBLANK(A1830),"""",IFERROR(IF(OR(Q1830=""GPB"",Q1830=""ZAR""),IF(Q1830=Dashboard!$L$1,M1830,(M1830*GOOGLEFINANCE(""CURRENCY:""&amp;Q1830&amp;""""&amp;Dashboard!$L$1&amp;""""))/100),IF(Q1830=Dashboard!$L$1,M1830,M1830*GOOGLEFINANCE(""CURRENCY:""&amp;Q1830&amp;""""&amp;Dashboard!$"&amp;"L$1&amp;""""))),M1830))"),"")</f>
        <v/>
      </c>
      <c r="T1830" s="264" t="str">
        <f t="shared" si="4"/>
        <v/>
      </c>
      <c r="U1830" s="264" t="str">
        <f t="shared" si="5"/>
        <v/>
      </c>
      <c r="V1830" s="264" t="str">
        <f t="shared" si="6"/>
        <v/>
      </c>
      <c r="W1830" s="267" t="str">
        <f t="shared" si="8"/>
        <v/>
      </c>
      <c r="X1830" s="264" t="str">
        <f t="shared" si="7"/>
        <v/>
      </c>
    </row>
    <row r="1831" ht="15.75" customHeight="1">
      <c r="A1831" s="258"/>
      <c r="B1831" s="258"/>
      <c r="C1831" s="269"/>
      <c r="D1831" s="258"/>
      <c r="E1831" s="258"/>
      <c r="F1831" s="258"/>
      <c r="G1831" s="258"/>
      <c r="H1831" s="271"/>
      <c r="I1831" s="258"/>
      <c r="J1831" s="272"/>
      <c r="K1831" s="260"/>
      <c r="L1831" s="261"/>
      <c r="M1831" s="262" t="str">
        <f t="shared" si="1"/>
        <v/>
      </c>
      <c r="N1831" s="263" t="str">
        <f t="shared" si="2"/>
        <v/>
      </c>
      <c r="O1831" s="264" t="str">
        <f t="shared" si="3"/>
        <v/>
      </c>
      <c r="P1831" s="265" t="str">
        <f>IFERROR(__xludf.DUMMYFUNCTION("IF(ISBLANK(A1831),"""",IFERROR(IF(H1831=""Sell"",VLOOKUP(9^99,FILTER({ROW(P$2:P1830),P$2:P1830},D$2:D1830=D1831),2),(VLOOKUP(9^99,FILTER({ROW(P$2:P1830),P$2:P1830},D$2:D1830=D1831),2)*VLOOKUP(9^99,FILTER({ROW(O$2:O1830),O$2:O1830},D$2:D1830=D1831),2)-N183"&amp;"1)/O1831),J1831))"),"")</f>
        <v/>
      </c>
      <c r="Q1831" s="264" t="str">
        <f>IFERROR(__xludf.DUMMYFUNCTION("IFERROR(IF(F1831=""Crypto"",B1831,(IF(ISBLANK(D1831),"""",IF(D1831=""Cash"",B1831,IF(GOOGLEFINANCE(D1831,""CURRENCY"")=""GBX"",""GBP"",GOOGLEFINANCE(D1831,""CURRENCY"")))))),B1831)"),"")</f>
        <v/>
      </c>
      <c r="R1831" s="263" t="str">
        <f>IFERROR(__xludf.DUMMYFUNCTION("IF(ISBLANK(A1831),"""",IFERROR(IF(OR(Q1831=""GPB"",Q1831=""ZAR""),IF(Q1831=Dashboard!$L$1,K1831,(K1831*GOOGLEFINANCE(""CURRENCY:""&amp;Q1831&amp;""""&amp;Dashboard!$L$1&amp;""""))/100),IF(Q1831=Dashboard!$L$1,K1831,K1831*GOOGLEFINANCE(""CURRENCY:""&amp;Q1831&amp;""""&amp;Dashboard!$"&amp;"L$1&amp;""""))),K1831))"),"")</f>
        <v/>
      </c>
      <c r="S1831" s="266" t="str">
        <f>IFERROR(__xludf.DUMMYFUNCTION("IF(ISBLANK(A1831),"""",IFERROR(IF(OR(Q1831=""GPB"",Q1831=""ZAR""),IF(Q1831=Dashboard!$L$1,M1831,(M1831*GOOGLEFINANCE(""CURRENCY:""&amp;Q1831&amp;""""&amp;Dashboard!$L$1&amp;""""))/100),IF(Q1831=Dashboard!$L$1,M1831,M1831*GOOGLEFINANCE(""CURRENCY:""&amp;Q1831&amp;""""&amp;Dashboard!$"&amp;"L$1&amp;""""))),M1831))"),"")</f>
        <v/>
      </c>
      <c r="T1831" s="264" t="str">
        <f t="shared" si="4"/>
        <v/>
      </c>
      <c r="U1831" s="264" t="str">
        <f t="shared" si="5"/>
        <v/>
      </c>
      <c r="V1831" s="264" t="str">
        <f t="shared" si="6"/>
        <v/>
      </c>
      <c r="W1831" s="267" t="str">
        <f t="shared" si="8"/>
        <v/>
      </c>
      <c r="X1831" s="264" t="str">
        <f t="shared" si="7"/>
        <v/>
      </c>
    </row>
    <row r="1832" ht="15.75" customHeight="1">
      <c r="A1832" s="258"/>
      <c r="B1832" s="258"/>
      <c r="C1832" s="269"/>
      <c r="D1832" s="258"/>
      <c r="E1832" s="258"/>
      <c r="F1832" s="258"/>
      <c r="G1832" s="258"/>
      <c r="H1832" s="271"/>
      <c r="I1832" s="258"/>
      <c r="J1832" s="272"/>
      <c r="K1832" s="260"/>
      <c r="L1832" s="261"/>
      <c r="M1832" s="262" t="str">
        <f t="shared" si="1"/>
        <v/>
      </c>
      <c r="N1832" s="263" t="str">
        <f t="shared" si="2"/>
        <v/>
      </c>
      <c r="O1832" s="264" t="str">
        <f t="shared" si="3"/>
        <v/>
      </c>
      <c r="P1832" s="265" t="str">
        <f>IFERROR(__xludf.DUMMYFUNCTION("IF(ISBLANK(A1832),"""",IFERROR(IF(H1832=""Sell"",VLOOKUP(9^99,FILTER({ROW(P$2:P1831),P$2:P1831},D$2:D1831=D1832),2),(VLOOKUP(9^99,FILTER({ROW(P$2:P1831),P$2:P1831},D$2:D1831=D1832),2)*VLOOKUP(9^99,FILTER({ROW(O$2:O1831),O$2:O1831},D$2:D1831=D1832),2)-N183"&amp;"2)/O1832),J1832))"),"")</f>
        <v/>
      </c>
      <c r="Q1832" s="264" t="str">
        <f>IFERROR(__xludf.DUMMYFUNCTION("IFERROR(IF(F1832=""Crypto"",B1832,(IF(ISBLANK(D1832),"""",IF(D1832=""Cash"",B1832,IF(GOOGLEFINANCE(D1832,""CURRENCY"")=""GBX"",""GBP"",GOOGLEFINANCE(D1832,""CURRENCY"")))))),B1832)"),"")</f>
        <v/>
      </c>
      <c r="R1832" s="263" t="str">
        <f>IFERROR(__xludf.DUMMYFUNCTION("IF(ISBLANK(A1832),"""",IFERROR(IF(OR(Q1832=""GPB"",Q1832=""ZAR""),IF(Q1832=Dashboard!$L$1,K1832,(K1832*GOOGLEFINANCE(""CURRENCY:""&amp;Q1832&amp;""""&amp;Dashboard!$L$1&amp;""""))/100),IF(Q1832=Dashboard!$L$1,K1832,K1832*GOOGLEFINANCE(""CURRENCY:""&amp;Q1832&amp;""""&amp;Dashboard!$"&amp;"L$1&amp;""""))),K1832))"),"")</f>
        <v/>
      </c>
      <c r="S1832" s="266" t="str">
        <f>IFERROR(__xludf.DUMMYFUNCTION("IF(ISBLANK(A1832),"""",IFERROR(IF(OR(Q1832=""GPB"",Q1832=""ZAR""),IF(Q1832=Dashboard!$L$1,M1832,(M1832*GOOGLEFINANCE(""CURRENCY:""&amp;Q1832&amp;""""&amp;Dashboard!$L$1&amp;""""))/100),IF(Q1832=Dashboard!$L$1,M1832,M1832*GOOGLEFINANCE(""CURRENCY:""&amp;Q1832&amp;""""&amp;Dashboard!$"&amp;"L$1&amp;""""))),M1832))"),"")</f>
        <v/>
      </c>
      <c r="T1832" s="264" t="str">
        <f t="shared" si="4"/>
        <v/>
      </c>
      <c r="U1832" s="264" t="str">
        <f t="shared" si="5"/>
        <v/>
      </c>
      <c r="V1832" s="264" t="str">
        <f t="shared" si="6"/>
        <v/>
      </c>
      <c r="W1832" s="267" t="str">
        <f t="shared" si="8"/>
        <v/>
      </c>
      <c r="X1832" s="264" t="str">
        <f t="shared" si="7"/>
        <v/>
      </c>
    </row>
    <row r="1833" ht="15.75" customHeight="1">
      <c r="A1833" s="258"/>
      <c r="B1833" s="258"/>
      <c r="C1833" s="269"/>
      <c r="D1833" s="258"/>
      <c r="E1833" s="258"/>
      <c r="F1833" s="258"/>
      <c r="G1833" s="258"/>
      <c r="H1833" s="271"/>
      <c r="I1833" s="258"/>
      <c r="J1833" s="272"/>
      <c r="K1833" s="260"/>
      <c r="L1833" s="261"/>
      <c r="M1833" s="262" t="str">
        <f t="shared" si="1"/>
        <v/>
      </c>
      <c r="N1833" s="263" t="str">
        <f t="shared" si="2"/>
        <v/>
      </c>
      <c r="O1833" s="264" t="str">
        <f t="shared" si="3"/>
        <v/>
      </c>
      <c r="P1833" s="265" t="str">
        <f>IFERROR(__xludf.DUMMYFUNCTION("IF(ISBLANK(A1833),"""",IFERROR(IF(H1833=""Sell"",VLOOKUP(9^99,FILTER({ROW(P$2:P1832),P$2:P1832},D$2:D1832=D1833),2),(VLOOKUP(9^99,FILTER({ROW(P$2:P1832),P$2:P1832},D$2:D1832=D1833),2)*VLOOKUP(9^99,FILTER({ROW(O$2:O1832),O$2:O1832},D$2:D1832=D1833),2)-N183"&amp;"3)/O1833),J1833))"),"")</f>
        <v/>
      </c>
      <c r="Q1833" s="264" t="str">
        <f>IFERROR(__xludf.DUMMYFUNCTION("IFERROR(IF(F1833=""Crypto"",B1833,(IF(ISBLANK(D1833),"""",IF(D1833=""Cash"",B1833,IF(GOOGLEFINANCE(D1833,""CURRENCY"")=""GBX"",""GBP"",GOOGLEFINANCE(D1833,""CURRENCY"")))))),B1833)"),"")</f>
        <v/>
      </c>
      <c r="R1833" s="263" t="str">
        <f>IFERROR(__xludf.DUMMYFUNCTION("IF(ISBLANK(A1833),"""",IFERROR(IF(OR(Q1833=""GPB"",Q1833=""ZAR""),IF(Q1833=Dashboard!$L$1,K1833,(K1833*GOOGLEFINANCE(""CURRENCY:""&amp;Q1833&amp;""""&amp;Dashboard!$L$1&amp;""""))/100),IF(Q1833=Dashboard!$L$1,K1833,K1833*GOOGLEFINANCE(""CURRENCY:""&amp;Q1833&amp;""""&amp;Dashboard!$"&amp;"L$1&amp;""""))),K1833))"),"")</f>
        <v/>
      </c>
      <c r="S1833" s="266" t="str">
        <f>IFERROR(__xludf.DUMMYFUNCTION("IF(ISBLANK(A1833),"""",IFERROR(IF(OR(Q1833=""GPB"",Q1833=""ZAR""),IF(Q1833=Dashboard!$L$1,M1833,(M1833*GOOGLEFINANCE(""CURRENCY:""&amp;Q1833&amp;""""&amp;Dashboard!$L$1&amp;""""))/100),IF(Q1833=Dashboard!$L$1,M1833,M1833*GOOGLEFINANCE(""CURRENCY:""&amp;Q1833&amp;""""&amp;Dashboard!$"&amp;"L$1&amp;""""))),M1833))"),"")</f>
        <v/>
      </c>
      <c r="T1833" s="264" t="str">
        <f t="shared" si="4"/>
        <v/>
      </c>
      <c r="U1833" s="264" t="str">
        <f t="shared" si="5"/>
        <v/>
      </c>
      <c r="V1833" s="264" t="str">
        <f t="shared" si="6"/>
        <v/>
      </c>
      <c r="W1833" s="267" t="str">
        <f t="shared" si="8"/>
        <v/>
      </c>
      <c r="X1833" s="264" t="str">
        <f t="shared" si="7"/>
        <v/>
      </c>
    </row>
    <row r="1834" ht="15.75" customHeight="1">
      <c r="A1834" s="258"/>
      <c r="B1834" s="258"/>
      <c r="C1834" s="269"/>
      <c r="D1834" s="258"/>
      <c r="E1834" s="258"/>
      <c r="F1834" s="258"/>
      <c r="G1834" s="258"/>
      <c r="H1834" s="271"/>
      <c r="I1834" s="258"/>
      <c r="J1834" s="272"/>
      <c r="K1834" s="260"/>
      <c r="L1834" s="261"/>
      <c r="M1834" s="262" t="str">
        <f t="shared" si="1"/>
        <v/>
      </c>
      <c r="N1834" s="263" t="str">
        <f t="shared" si="2"/>
        <v/>
      </c>
      <c r="O1834" s="264" t="str">
        <f t="shared" si="3"/>
        <v/>
      </c>
      <c r="P1834" s="265" t="str">
        <f>IFERROR(__xludf.DUMMYFUNCTION("IF(ISBLANK(A1834),"""",IFERROR(IF(H1834=""Sell"",VLOOKUP(9^99,FILTER({ROW(P$2:P1833),P$2:P1833},D$2:D1833=D1834),2),(VLOOKUP(9^99,FILTER({ROW(P$2:P1833),P$2:P1833},D$2:D1833=D1834),2)*VLOOKUP(9^99,FILTER({ROW(O$2:O1833),O$2:O1833},D$2:D1833=D1834),2)-N183"&amp;"4)/O1834),J1834))"),"")</f>
        <v/>
      </c>
      <c r="Q1834" s="264" t="str">
        <f>IFERROR(__xludf.DUMMYFUNCTION("IFERROR(IF(F1834=""Crypto"",B1834,(IF(ISBLANK(D1834),"""",IF(D1834=""Cash"",B1834,IF(GOOGLEFINANCE(D1834,""CURRENCY"")=""GBX"",""GBP"",GOOGLEFINANCE(D1834,""CURRENCY"")))))),B1834)"),"")</f>
        <v/>
      </c>
      <c r="R1834" s="263" t="str">
        <f>IFERROR(__xludf.DUMMYFUNCTION("IF(ISBLANK(A1834),"""",IFERROR(IF(OR(Q1834=""GPB"",Q1834=""ZAR""),IF(Q1834=Dashboard!$L$1,K1834,(K1834*GOOGLEFINANCE(""CURRENCY:""&amp;Q1834&amp;""""&amp;Dashboard!$L$1&amp;""""))/100),IF(Q1834=Dashboard!$L$1,K1834,K1834*GOOGLEFINANCE(""CURRENCY:""&amp;Q1834&amp;""""&amp;Dashboard!$"&amp;"L$1&amp;""""))),K1834))"),"")</f>
        <v/>
      </c>
      <c r="S1834" s="266" t="str">
        <f>IFERROR(__xludf.DUMMYFUNCTION("IF(ISBLANK(A1834),"""",IFERROR(IF(OR(Q1834=""GPB"",Q1834=""ZAR""),IF(Q1834=Dashboard!$L$1,M1834,(M1834*GOOGLEFINANCE(""CURRENCY:""&amp;Q1834&amp;""""&amp;Dashboard!$L$1&amp;""""))/100),IF(Q1834=Dashboard!$L$1,M1834,M1834*GOOGLEFINANCE(""CURRENCY:""&amp;Q1834&amp;""""&amp;Dashboard!$"&amp;"L$1&amp;""""))),M1834))"),"")</f>
        <v/>
      </c>
      <c r="T1834" s="264" t="str">
        <f t="shared" si="4"/>
        <v/>
      </c>
      <c r="U1834" s="264" t="str">
        <f t="shared" si="5"/>
        <v/>
      </c>
      <c r="V1834" s="264" t="str">
        <f t="shared" si="6"/>
        <v/>
      </c>
      <c r="W1834" s="267" t="str">
        <f t="shared" si="8"/>
        <v/>
      </c>
      <c r="X1834" s="264" t="str">
        <f t="shared" si="7"/>
        <v/>
      </c>
    </row>
    <row r="1835" ht="15.75" customHeight="1">
      <c r="A1835" s="258"/>
      <c r="B1835" s="258"/>
      <c r="C1835" s="269"/>
      <c r="D1835" s="258"/>
      <c r="E1835" s="258"/>
      <c r="F1835" s="258"/>
      <c r="G1835" s="258"/>
      <c r="H1835" s="271"/>
      <c r="I1835" s="258"/>
      <c r="J1835" s="272"/>
      <c r="K1835" s="260"/>
      <c r="L1835" s="261"/>
      <c r="M1835" s="262" t="str">
        <f t="shared" si="1"/>
        <v/>
      </c>
      <c r="N1835" s="263" t="str">
        <f t="shared" si="2"/>
        <v/>
      </c>
      <c r="O1835" s="264" t="str">
        <f t="shared" si="3"/>
        <v/>
      </c>
      <c r="P1835" s="265" t="str">
        <f>IFERROR(__xludf.DUMMYFUNCTION("IF(ISBLANK(A1835),"""",IFERROR(IF(H1835=""Sell"",VLOOKUP(9^99,FILTER({ROW(P$2:P1834),P$2:P1834},D$2:D1834=D1835),2),(VLOOKUP(9^99,FILTER({ROW(P$2:P1834),P$2:P1834},D$2:D1834=D1835),2)*VLOOKUP(9^99,FILTER({ROW(O$2:O1834),O$2:O1834},D$2:D1834=D1835),2)-N183"&amp;"5)/O1835),J1835))"),"")</f>
        <v/>
      </c>
      <c r="Q1835" s="264" t="str">
        <f>IFERROR(__xludf.DUMMYFUNCTION("IFERROR(IF(F1835=""Crypto"",B1835,(IF(ISBLANK(D1835),"""",IF(D1835=""Cash"",B1835,IF(GOOGLEFINANCE(D1835,""CURRENCY"")=""GBX"",""GBP"",GOOGLEFINANCE(D1835,""CURRENCY"")))))),B1835)"),"")</f>
        <v/>
      </c>
      <c r="R1835" s="263" t="str">
        <f>IFERROR(__xludf.DUMMYFUNCTION("IF(ISBLANK(A1835),"""",IFERROR(IF(OR(Q1835=""GPB"",Q1835=""ZAR""),IF(Q1835=Dashboard!$L$1,K1835,(K1835*GOOGLEFINANCE(""CURRENCY:""&amp;Q1835&amp;""""&amp;Dashboard!$L$1&amp;""""))/100),IF(Q1835=Dashboard!$L$1,K1835,K1835*GOOGLEFINANCE(""CURRENCY:""&amp;Q1835&amp;""""&amp;Dashboard!$"&amp;"L$1&amp;""""))),K1835))"),"")</f>
        <v/>
      </c>
      <c r="S1835" s="266" t="str">
        <f>IFERROR(__xludf.DUMMYFUNCTION("IF(ISBLANK(A1835),"""",IFERROR(IF(OR(Q1835=""GPB"",Q1835=""ZAR""),IF(Q1835=Dashboard!$L$1,M1835,(M1835*GOOGLEFINANCE(""CURRENCY:""&amp;Q1835&amp;""""&amp;Dashboard!$L$1&amp;""""))/100),IF(Q1835=Dashboard!$L$1,M1835,M1835*GOOGLEFINANCE(""CURRENCY:""&amp;Q1835&amp;""""&amp;Dashboard!$"&amp;"L$1&amp;""""))),M1835))"),"")</f>
        <v/>
      </c>
      <c r="T1835" s="264" t="str">
        <f t="shared" si="4"/>
        <v/>
      </c>
      <c r="U1835" s="264" t="str">
        <f t="shared" si="5"/>
        <v/>
      </c>
      <c r="V1835" s="264" t="str">
        <f t="shared" si="6"/>
        <v/>
      </c>
      <c r="W1835" s="267" t="str">
        <f t="shared" si="8"/>
        <v/>
      </c>
      <c r="X1835" s="264" t="str">
        <f t="shared" si="7"/>
        <v/>
      </c>
    </row>
    <row r="1836" ht="15.75" customHeight="1">
      <c r="A1836" s="258"/>
      <c r="B1836" s="258"/>
      <c r="C1836" s="269"/>
      <c r="D1836" s="258"/>
      <c r="E1836" s="258"/>
      <c r="F1836" s="258"/>
      <c r="G1836" s="258"/>
      <c r="H1836" s="271"/>
      <c r="I1836" s="258"/>
      <c r="J1836" s="272"/>
      <c r="K1836" s="260"/>
      <c r="L1836" s="261"/>
      <c r="M1836" s="262" t="str">
        <f t="shared" si="1"/>
        <v/>
      </c>
      <c r="N1836" s="263" t="str">
        <f t="shared" si="2"/>
        <v/>
      </c>
      <c r="O1836" s="264" t="str">
        <f t="shared" si="3"/>
        <v/>
      </c>
      <c r="P1836" s="265" t="str">
        <f>IFERROR(__xludf.DUMMYFUNCTION("IF(ISBLANK(A1836),"""",IFERROR(IF(H1836=""Sell"",VLOOKUP(9^99,FILTER({ROW(P$2:P1835),P$2:P1835},D$2:D1835=D1836),2),(VLOOKUP(9^99,FILTER({ROW(P$2:P1835),P$2:P1835},D$2:D1835=D1836),2)*VLOOKUP(9^99,FILTER({ROW(O$2:O1835),O$2:O1835},D$2:D1835=D1836),2)-N183"&amp;"6)/O1836),J1836))"),"")</f>
        <v/>
      </c>
      <c r="Q1836" s="264" t="str">
        <f>IFERROR(__xludf.DUMMYFUNCTION("IFERROR(IF(F1836=""Crypto"",B1836,(IF(ISBLANK(D1836),"""",IF(D1836=""Cash"",B1836,IF(GOOGLEFINANCE(D1836,""CURRENCY"")=""GBX"",""GBP"",GOOGLEFINANCE(D1836,""CURRENCY"")))))),B1836)"),"")</f>
        <v/>
      </c>
      <c r="R1836" s="263" t="str">
        <f>IFERROR(__xludf.DUMMYFUNCTION("IF(ISBLANK(A1836),"""",IFERROR(IF(OR(Q1836=""GPB"",Q1836=""ZAR""),IF(Q1836=Dashboard!$L$1,K1836,(K1836*GOOGLEFINANCE(""CURRENCY:""&amp;Q1836&amp;""""&amp;Dashboard!$L$1&amp;""""))/100),IF(Q1836=Dashboard!$L$1,K1836,K1836*GOOGLEFINANCE(""CURRENCY:""&amp;Q1836&amp;""""&amp;Dashboard!$"&amp;"L$1&amp;""""))),K1836))"),"")</f>
        <v/>
      </c>
      <c r="S1836" s="266" t="str">
        <f>IFERROR(__xludf.DUMMYFUNCTION("IF(ISBLANK(A1836),"""",IFERROR(IF(OR(Q1836=""GPB"",Q1836=""ZAR""),IF(Q1836=Dashboard!$L$1,M1836,(M1836*GOOGLEFINANCE(""CURRENCY:""&amp;Q1836&amp;""""&amp;Dashboard!$L$1&amp;""""))/100),IF(Q1836=Dashboard!$L$1,M1836,M1836*GOOGLEFINANCE(""CURRENCY:""&amp;Q1836&amp;""""&amp;Dashboard!$"&amp;"L$1&amp;""""))),M1836))"),"")</f>
        <v/>
      </c>
      <c r="T1836" s="264" t="str">
        <f t="shared" si="4"/>
        <v/>
      </c>
      <c r="U1836" s="264" t="str">
        <f t="shared" si="5"/>
        <v/>
      </c>
      <c r="V1836" s="264" t="str">
        <f t="shared" si="6"/>
        <v/>
      </c>
      <c r="W1836" s="267" t="str">
        <f t="shared" si="8"/>
        <v/>
      </c>
      <c r="X1836" s="264" t="str">
        <f t="shared" si="7"/>
        <v/>
      </c>
    </row>
    <row r="1837" ht="15.75" customHeight="1">
      <c r="A1837" s="258"/>
      <c r="B1837" s="258"/>
      <c r="C1837" s="269"/>
      <c r="D1837" s="258"/>
      <c r="E1837" s="258"/>
      <c r="F1837" s="258"/>
      <c r="G1837" s="258"/>
      <c r="H1837" s="271"/>
      <c r="I1837" s="258"/>
      <c r="J1837" s="272"/>
      <c r="K1837" s="260"/>
      <c r="L1837" s="261"/>
      <c r="M1837" s="262" t="str">
        <f t="shared" si="1"/>
        <v/>
      </c>
      <c r="N1837" s="263" t="str">
        <f t="shared" si="2"/>
        <v/>
      </c>
      <c r="O1837" s="264" t="str">
        <f t="shared" si="3"/>
        <v/>
      </c>
      <c r="P1837" s="265" t="str">
        <f>IFERROR(__xludf.DUMMYFUNCTION("IF(ISBLANK(A1837),"""",IFERROR(IF(H1837=""Sell"",VLOOKUP(9^99,FILTER({ROW(P$2:P1836),P$2:P1836},D$2:D1836=D1837),2),(VLOOKUP(9^99,FILTER({ROW(P$2:P1836),P$2:P1836},D$2:D1836=D1837),2)*VLOOKUP(9^99,FILTER({ROW(O$2:O1836),O$2:O1836},D$2:D1836=D1837),2)-N183"&amp;"7)/O1837),J1837))"),"")</f>
        <v/>
      </c>
      <c r="Q1837" s="264" t="str">
        <f>IFERROR(__xludf.DUMMYFUNCTION("IFERROR(IF(F1837=""Crypto"",B1837,(IF(ISBLANK(D1837),"""",IF(D1837=""Cash"",B1837,IF(GOOGLEFINANCE(D1837,""CURRENCY"")=""GBX"",""GBP"",GOOGLEFINANCE(D1837,""CURRENCY"")))))),B1837)"),"")</f>
        <v/>
      </c>
      <c r="R1837" s="263" t="str">
        <f>IFERROR(__xludf.DUMMYFUNCTION("IF(ISBLANK(A1837),"""",IFERROR(IF(OR(Q1837=""GPB"",Q1837=""ZAR""),IF(Q1837=Dashboard!$L$1,K1837,(K1837*GOOGLEFINANCE(""CURRENCY:""&amp;Q1837&amp;""""&amp;Dashboard!$L$1&amp;""""))/100),IF(Q1837=Dashboard!$L$1,K1837,K1837*GOOGLEFINANCE(""CURRENCY:""&amp;Q1837&amp;""""&amp;Dashboard!$"&amp;"L$1&amp;""""))),K1837))"),"")</f>
        <v/>
      </c>
      <c r="S1837" s="266" t="str">
        <f>IFERROR(__xludf.DUMMYFUNCTION("IF(ISBLANK(A1837),"""",IFERROR(IF(OR(Q1837=""GPB"",Q1837=""ZAR""),IF(Q1837=Dashboard!$L$1,M1837,(M1837*GOOGLEFINANCE(""CURRENCY:""&amp;Q1837&amp;""""&amp;Dashboard!$L$1&amp;""""))/100),IF(Q1837=Dashboard!$L$1,M1837,M1837*GOOGLEFINANCE(""CURRENCY:""&amp;Q1837&amp;""""&amp;Dashboard!$"&amp;"L$1&amp;""""))),M1837))"),"")</f>
        <v/>
      </c>
      <c r="T1837" s="264" t="str">
        <f t="shared" si="4"/>
        <v/>
      </c>
      <c r="U1837" s="264" t="str">
        <f t="shared" si="5"/>
        <v/>
      </c>
      <c r="V1837" s="264" t="str">
        <f t="shared" si="6"/>
        <v/>
      </c>
      <c r="W1837" s="267" t="str">
        <f t="shared" si="8"/>
        <v/>
      </c>
      <c r="X1837" s="264" t="str">
        <f t="shared" si="7"/>
        <v/>
      </c>
    </row>
    <row r="1838" ht="15.75" customHeight="1">
      <c r="A1838" s="258"/>
      <c r="B1838" s="258"/>
      <c r="C1838" s="269"/>
      <c r="D1838" s="258"/>
      <c r="E1838" s="258"/>
      <c r="F1838" s="258"/>
      <c r="G1838" s="258"/>
      <c r="H1838" s="271"/>
      <c r="I1838" s="258"/>
      <c r="J1838" s="272"/>
      <c r="K1838" s="260"/>
      <c r="L1838" s="261"/>
      <c r="M1838" s="262" t="str">
        <f t="shared" si="1"/>
        <v/>
      </c>
      <c r="N1838" s="263" t="str">
        <f t="shared" si="2"/>
        <v/>
      </c>
      <c r="O1838" s="264" t="str">
        <f t="shared" si="3"/>
        <v/>
      </c>
      <c r="P1838" s="265" t="str">
        <f>IFERROR(__xludf.DUMMYFUNCTION("IF(ISBLANK(A1838),"""",IFERROR(IF(H1838=""Sell"",VLOOKUP(9^99,FILTER({ROW(P$2:P1837),P$2:P1837},D$2:D1837=D1838),2),(VLOOKUP(9^99,FILTER({ROW(P$2:P1837),P$2:P1837},D$2:D1837=D1838),2)*VLOOKUP(9^99,FILTER({ROW(O$2:O1837),O$2:O1837},D$2:D1837=D1838),2)-N183"&amp;"8)/O1838),J1838))"),"")</f>
        <v/>
      </c>
      <c r="Q1838" s="264" t="str">
        <f>IFERROR(__xludf.DUMMYFUNCTION("IFERROR(IF(F1838=""Crypto"",B1838,(IF(ISBLANK(D1838),"""",IF(D1838=""Cash"",B1838,IF(GOOGLEFINANCE(D1838,""CURRENCY"")=""GBX"",""GBP"",GOOGLEFINANCE(D1838,""CURRENCY"")))))),B1838)"),"")</f>
        <v/>
      </c>
      <c r="R1838" s="263" t="str">
        <f>IFERROR(__xludf.DUMMYFUNCTION("IF(ISBLANK(A1838),"""",IFERROR(IF(OR(Q1838=""GPB"",Q1838=""ZAR""),IF(Q1838=Dashboard!$L$1,K1838,(K1838*GOOGLEFINANCE(""CURRENCY:""&amp;Q1838&amp;""""&amp;Dashboard!$L$1&amp;""""))/100),IF(Q1838=Dashboard!$L$1,K1838,K1838*GOOGLEFINANCE(""CURRENCY:""&amp;Q1838&amp;""""&amp;Dashboard!$"&amp;"L$1&amp;""""))),K1838))"),"")</f>
        <v/>
      </c>
      <c r="S1838" s="266" t="str">
        <f>IFERROR(__xludf.DUMMYFUNCTION("IF(ISBLANK(A1838),"""",IFERROR(IF(OR(Q1838=""GPB"",Q1838=""ZAR""),IF(Q1838=Dashboard!$L$1,M1838,(M1838*GOOGLEFINANCE(""CURRENCY:""&amp;Q1838&amp;""""&amp;Dashboard!$L$1&amp;""""))/100),IF(Q1838=Dashboard!$L$1,M1838,M1838*GOOGLEFINANCE(""CURRENCY:""&amp;Q1838&amp;""""&amp;Dashboard!$"&amp;"L$1&amp;""""))),M1838))"),"")</f>
        <v/>
      </c>
      <c r="T1838" s="264" t="str">
        <f t="shared" si="4"/>
        <v/>
      </c>
      <c r="U1838" s="264" t="str">
        <f t="shared" si="5"/>
        <v/>
      </c>
      <c r="V1838" s="264" t="str">
        <f t="shared" si="6"/>
        <v/>
      </c>
      <c r="W1838" s="267" t="str">
        <f t="shared" si="8"/>
        <v/>
      </c>
      <c r="X1838" s="264" t="str">
        <f t="shared" si="7"/>
        <v/>
      </c>
    </row>
    <row r="1839" ht="15.75" customHeight="1">
      <c r="A1839" s="258"/>
      <c r="B1839" s="258"/>
      <c r="C1839" s="269"/>
      <c r="D1839" s="258"/>
      <c r="E1839" s="258"/>
      <c r="F1839" s="258"/>
      <c r="G1839" s="258"/>
      <c r="H1839" s="271"/>
      <c r="I1839" s="258"/>
      <c r="J1839" s="272"/>
      <c r="K1839" s="260"/>
      <c r="L1839" s="261"/>
      <c r="M1839" s="262" t="str">
        <f t="shared" si="1"/>
        <v/>
      </c>
      <c r="N1839" s="263" t="str">
        <f t="shared" si="2"/>
        <v/>
      </c>
      <c r="O1839" s="264" t="str">
        <f t="shared" si="3"/>
        <v/>
      </c>
      <c r="P1839" s="265" t="str">
        <f>IFERROR(__xludf.DUMMYFUNCTION("IF(ISBLANK(A1839),"""",IFERROR(IF(H1839=""Sell"",VLOOKUP(9^99,FILTER({ROW(P$2:P1838),P$2:P1838},D$2:D1838=D1839),2),(VLOOKUP(9^99,FILTER({ROW(P$2:P1838),P$2:P1838},D$2:D1838=D1839),2)*VLOOKUP(9^99,FILTER({ROW(O$2:O1838),O$2:O1838},D$2:D1838=D1839),2)-N183"&amp;"9)/O1839),J1839))"),"")</f>
        <v/>
      </c>
      <c r="Q1839" s="264" t="str">
        <f>IFERROR(__xludf.DUMMYFUNCTION("IFERROR(IF(F1839=""Crypto"",B1839,(IF(ISBLANK(D1839),"""",IF(D1839=""Cash"",B1839,IF(GOOGLEFINANCE(D1839,""CURRENCY"")=""GBX"",""GBP"",GOOGLEFINANCE(D1839,""CURRENCY"")))))),B1839)"),"")</f>
        <v/>
      </c>
      <c r="R1839" s="263" t="str">
        <f>IFERROR(__xludf.DUMMYFUNCTION("IF(ISBLANK(A1839),"""",IFERROR(IF(OR(Q1839=""GPB"",Q1839=""ZAR""),IF(Q1839=Dashboard!$L$1,K1839,(K1839*GOOGLEFINANCE(""CURRENCY:""&amp;Q1839&amp;""""&amp;Dashboard!$L$1&amp;""""))/100),IF(Q1839=Dashboard!$L$1,K1839,K1839*GOOGLEFINANCE(""CURRENCY:""&amp;Q1839&amp;""""&amp;Dashboard!$"&amp;"L$1&amp;""""))),K1839))"),"")</f>
        <v/>
      </c>
      <c r="S1839" s="266" t="str">
        <f>IFERROR(__xludf.DUMMYFUNCTION("IF(ISBLANK(A1839),"""",IFERROR(IF(OR(Q1839=""GPB"",Q1839=""ZAR""),IF(Q1839=Dashboard!$L$1,M1839,(M1839*GOOGLEFINANCE(""CURRENCY:""&amp;Q1839&amp;""""&amp;Dashboard!$L$1&amp;""""))/100),IF(Q1839=Dashboard!$L$1,M1839,M1839*GOOGLEFINANCE(""CURRENCY:""&amp;Q1839&amp;""""&amp;Dashboard!$"&amp;"L$1&amp;""""))),M1839))"),"")</f>
        <v/>
      </c>
      <c r="T1839" s="264" t="str">
        <f t="shared" si="4"/>
        <v/>
      </c>
      <c r="U1839" s="264" t="str">
        <f t="shared" si="5"/>
        <v/>
      </c>
      <c r="V1839" s="264" t="str">
        <f t="shared" si="6"/>
        <v/>
      </c>
      <c r="W1839" s="267" t="str">
        <f t="shared" si="8"/>
        <v/>
      </c>
      <c r="X1839" s="264" t="str">
        <f t="shared" si="7"/>
        <v/>
      </c>
    </row>
    <row r="1840" ht="15.75" customHeight="1">
      <c r="A1840" s="258"/>
      <c r="B1840" s="258"/>
      <c r="C1840" s="269"/>
      <c r="D1840" s="258"/>
      <c r="E1840" s="258"/>
      <c r="F1840" s="258"/>
      <c r="G1840" s="258"/>
      <c r="H1840" s="271"/>
      <c r="I1840" s="258"/>
      <c r="J1840" s="272"/>
      <c r="K1840" s="260"/>
      <c r="L1840" s="261"/>
      <c r="M1840" s="262" t="str">
        <f t="shared" si="1"/>
        <v/>
      </c>
      <c r="N1840" s="263" t="str">
        <f t="shared" si="2"/>
        <v/>
      </c>
      <c r="O1840" s="264" t="str">
        <f t="shared" si="3"/>
        <v/>
      </c>
      <c r="P1840" s="265" t="str">
        <f>IFERROR(__xludf.DUMMYFUNCTION("IF(ISBLANK(A1840),"""",IFERROR(IF(H1840=""Sell"",VLOOKUP(9^99,FILTER({ROW(P$2:P1839),P$2:P1839},D$2:D1839=D1840),2),(VLOOKUP(9^99,FILTER({ROW(P$2:P1839),P$2:P1839},D$2:D1839=D1840),2)*VLOOKUP(9^99,FILTER({ROW(O$2:O1839),O$2:O1839},D$2:D1839=D1840),2)-N184"&amp;"0)/O1840),J1840))"),"")</f>
        <v/>
      </c>
      <c r="Q1840" s="264" t="str">
        <f>IFERROR(__xludf.DUMMYFUNCTION("IFERROR(IF(F1840=""Crypto"",B1840,(IF(ISBLANK(D1840),"""",IF(D1840=""Cash"",B1840,IF(GOOGLEFINANCE(D1840,""CURRENCY"")=""GBX"",""GBP"",GOOGLEFINANCE(D1840,""CURRENCY"")))))),B1840)"),"")</f>
        <v/>
      </c>
      <c r="R1840" s="263" t="str">
        <f>IFERROR(__xludf.DUMMYFUNCTION("IF(ISBLANK(A1840),"""",IFERROR(IF(OR(Q1840=""GPB"",Q1840=""ZAR""),IF(Q1840=Dashboard!$L$1,K1840,(K1840*GOOGLEFINANCE(""CURRENCY:""&amp;Q1840&amp;""""&amp;Dashboard!$L$1&amp;""""))/100),IF(Q1840=Dashboard!$L$1,K1840,K1840*GOOGLEFINANCE(""CURRENCY:""&amp;Q1840&amp;""""&amp;Dashboard!$"&amp;"L$1&amp;""""))),K1840))"),"")</f>
        <v/>
      </c>
      <c r="S1840" s="266" t="str">
        <f>IFERROR(__xludf.DUMMYFUNCTION("IF(ISBLANK(A1840),"""",IFERROR(IF(OR(Q1840=""GPB"",Q1840=""ZAR""),IF(Q1840=Dashboard!$L$1,M1840,(M1840*GOOGLEFINANCE(""CURRENCY:""&amp;Q1840&amp;""""&amp;Dashboard!$L$1&amp;""""))/100),IF(Q1840=Dashboard!$L$1,M1840,M1840*GOOGLEFINANCE(""CURRENCY:""&amp;Q1840&amp;""""&amp;Dashboard!$"&amp;"L$1&amp;""""))),M1840))"),"")</f>
        <v/>
      </c>
      <c r="T1840" s="264" t="str">
        <f t="shared" si="4"/>
        <v/>
      </c>
      <c r="U1840" s="264" t="str">
        <f t="shared" si="5"/>
        <v/>
      </c>
      <c r="V1840" s="264" t="str">
        <f t="shared" si="6"/>
        <v/>
      </c>
      <c r="W1840" s="267" t="str">
        <f t="shared" si="8"/>
        <v/>
      </c>
      <c r="X1840" s="264" t="str">
        <f t="shared" si="7"/>
        <v/>
      </c>
    </row>
    <row r="1841" ht="15.75" customHeight="1">
      <c r="A1841" s="258"/>
      <c r="B1841" s="258"/>
      <c r="C1841" s="269"/>
      <c r="D1841" s="258"/>
      <c r="E1841" s="258"/>
      <c r="F1841" s="258"/>
      <c r="G1841" s="258"/>
      <c r="H1841" s="271"/>
      <c r="I1841" s="258"/>
      <c r="J1841" s="272"/>
      <c r="K1841" s="260"/>
      <c r="L1841" s="261"/>
      <c r="M1841" s="262" t="str">
        <f t="shared" si="1"/>
        <v/>
      </c>
      <c r="N1841" s="263" t="str">
        <f t="shared" si="2"/>
        <v/>
      </c>
      <c r="O1841" s="264" t="str">
        <f t="shared" si="3"/>
        <v/>
      </c>
      <c r="P1841" s="265" t="str">
        <f>IFERROR(__xludf.DUMMYFUNCTION("IF(ISBLANK(A1841),"""",IFERROR(IF(H1841=""Sell"",VLOOKUP(9^99,FILTER({ROW(P$2:P1840),P$2:P1840},D$2:D1840=D1841),2),(VLOOKUP(9^99,FILTER({ROW(P$2:P1840),P$2:P1840},D$2:D1840=D1841),2)*VLOOKUP(9^99,FILTER({ROW(O$2:O1840),O$2:O1840},D$2:D1840=D1841),2)-N184"&amp;"1)/O1841),J1841))"),"")</f>
        <v/>
      </c>
      <c r="Q1841" s="264" t="str">
        <f>IFERROR(__xludf.DUMMYFUNCTION("IFERROR(IF(F1841=""Crypto"",B1841,(IF(ISBLANK(D1841),"""",IF(D1841=""Cash"",B1841,IF(GOOGLEFINANCE(D1841,""CURRENCY"")=""GBX"",""GBP"",GOOGLEFINANCE(D1841,""CURRENCY"")))))),B1841)"),"")</f>
        <v/>
      </c>
      <c r="R1841" s="263" t="str">
        <f>IFERROR(__xludf.DUMMYFUNCTION("IF(ISBLANK(A1841),"""",IFERROR(IF(OR(Q1841=""GPB"",Q1841=""ZAR""),IF(Q1841=Dashboard!$L$1,K1841,(K1841*GOOGLEFINANCE(""CURRENCY:""&amp;Q1841&amp;""""&amp;Dashboard!$L$1&amp;""""))/100),IF(Q1841=Dashboard!$L$1,K1841,K1841*GOOGLEFINANCE(""CURRENCY:""&amp;Q1841&amp;""""&amp;Dashboard!$"&amp;"L$1&amp;""""))),K1841))"),"")</f>
        <v/>
      </c>
      <c r="S1841" s="266" t="str">
        <f>IFERROR(__xludf.DUMMYFUNCTION("IF(ISBLANK(A1841),"""",IFERROR(IF(OR(Q1841=""GPB"",Q1841=""ZAR""),IF(Q1841=Dashboard!$L$1,M1841,(M1841*GOOGLEFINANCE(""CURRENCY:""&amp;Q1841&amp;""""&amp;Dashboard!$L$1&amp;""""))/100),IF(Q1841=Dashboard!$L$1,M1841,M1841*GOOGLEFINANCE(""CURRENCY:""&amp;Q1841&amp;""""&amp;Dashboard!$"&amp;"L$1&amp;""""))),M1841))"),"")</f>
        <v/>
      </c>
      <c r="T1841" s="264" t="str">
        <f t="shared" si="4"/>
        <v/>
      </c>
      <c r="U1841" s="264" t="str">
        <f t="shared" si="5"/>
        <v/>
      </c>
      <c r="V1841" s="264" t="str">
        <f t="shared" si="6"/>
        <v/>
      </c>
      <c r="W1841" s="267" t="str">
        <f t="shared" si="8"/>
        <v/>
      </c>
      <c r="X1841" s="264" t="str">
        <f t="shared" si="7"/>
        <v/>
      </c>
    </row>
    <row r="1842" ht="15.75" customHeight="1">
      <c r="A1842" s="258"/>
      <c r="B1842" s="258"/>
      <c r="C1842" s="269"/>
      <c r="D1842" s="258"/>
      <c r="E1842" s="258"/>
      <c r="F1842" s="258"/>
      <c r="G1842" s="258"/>
      <c r="H1842" s="271"/>
      <c r="I1842" s="258"/>
      <c r="J1842" s="272"/>
      <c r="K1842" s="260"/>
      <c r="L1842" s="261"/>
      <c r="M1842" s="262" t="str">
        <f t="shared" si="1"/>
        <v/>
      </c>
      <c r="N1842" s="263" t="str">
        <f t="shared" si="2"/>
        <v/>
      </c>
      <c r="O1842" s="264" t="str">
        <f t="shared" si="3"/>
        <v/>
      </c>
      <c r="P1842" s="265" t="str">
        <f>IFERROR(__xludf.DUMMYFUNCTION("IF(ISBLANK(A1842),"""",IFERROR(IF(H1842=""Sell"",VLOOKUP(9^99,FILTER({ROW(P$2:P1841),P$2:P1841},D$2:D1841=D1842),2),(VLOOKUP(9^99,FILTER({ROW(P$2:P1841),P$2:P1841},D$2:D1841=D1842),2)*VLOOKUP(9^99,FILTER({ROW(O$2:O1841),O$2:O1841},D$2:D1841=D1842),2)-N184"&amp;"2)/O1842),J1842))"),"")</f>
        <v/>
      </c>
      <c r="Q1842" s="264" t="str">
        <f>IFERROR(__xludf.DUMMYFUNCTION("IFERROR(IF(F1842=""Crypto"",B1842,(IF(ISBLANK(D1842),"""",IF(D1842=""Cash"",B1842,IF(GOOGLEFINANCE(D1842,""CURRENCY"")=""GBX"",""GBP"",GOOGLEFINANCE(D1842,""CURRENCY"")))))),B1842)"),"")</f>
        <v/>
      </c>
      <c r="R1842" s="263" t="str">
        <f>IFERROR(__xludf.DUMMYFUNCTION("IF(ISBLANK(A1842),"""",IFERROR(IF(OR(Q1842=""GPB"",Q1842=""ZAR""),IF(Q1842=Dashboard!$L$1,K1842,(K1842*GOOGLEFINANCE(""CURRENCY:""&amp;Q1842&amp;""""&amp;Dashboard!$L$1&amp;""""))/100),IF(Q1842=Dashboard!$L$1,K1842,K1842*GOOGLEFINANCE(""CURRENCY:""&amp;Q1842&amp;""""&amp;Dashboard!$"&amp;"L$1&amp;""""))),K1842))"),"")</f>
        <v/>
      </c>
      <c r="S1842" s="266" t="str">
        <f>IFERROR(__xludf.DUMMYFUNCTION("IF(ISBLANK(A1842),"""",IFERROR(IF(OR(Q1842=""GPB"",Q1842=""ZAR""),IF(Q1842=Dashboard!$L$1,M1842,(M1842*GOOGLEFINANCE(""CURRENCY:""&amp;Q1842&amp;""""&amp;Dashboard!$L$1&amp;""""))/100),IF(Q1842=Dashboard!$L$1,M1842,M1842*GOOGLEFINANCE(""CURRENCY:""&amp;Q1842&amp;""""&amp;Dashboard!$"&amp;"L$1&amp;""""))),M1842))"),"")</f>
        <v/>
      </c>
      <c r="T1842" s="264" t="str">
        <f t="shared" si="4"/>
        <v/>
      </c>
      <c r="U1842" s="264" t="str">
        <f t="shared" si="5"/>
        <v/>
      </c>
      <c r="V1842" s="264" t="str">
        <f t="shared" si="6"/>
        <v/>
      </c>
      <c r="W1842" s="267" t="str">
        <f t="shared" si="8"/>
        <v/>
      </c>
      <c r="X1842" s="264" t="str">
        <f t="shared" si="7"/>
        <v/>
      </c>
    </row>
    <row r="1843" ht="15.75" customHeight="1">
      <c r="A1843" s="258"/>
      <c r="B1843" s="258"/>
      <c r="C1843" s="269"/>
      <c r="D1843" s="258"/>
      <c r="E1843" s="258"/>
      <c r="F1843" s="258"/>
      <c r="G1843" s="258"/>
      <c r="H1843" s="271"/>
      <c r="I1843" s="258"/>
      <c r="J1843" s="272"/>
      <c r="K1843" s="260"/>
      <c r="L1843" s="261"/>
      <c r="M1843" s="262" t="str">
        <f t="shared" si="1"/>
        <v/>
      </c>
      <c r="N1843" s="263" t="str">
        <f t="shared" si="2"/>
        <v/>
      </c>
      <c r="O1843" s="264" t="str">
        <f t="shared" si="3"/>
        <v/>
      </c>
      <c r="P1843" s="265" t="str">
        <f>IFERROR(__xludf.DUMMYFUNCTION("IF(ISBLANK(A1843),"""",IFERROR(IF(H1843=""Sell"",VLOOKUP(9^99,FILTER({ROW(P$2:P1842),P$2:P1842},D$2:D1842=D1843),2),(VLOOKUP(9^99,FILTER({ROW(P$2:P1842),P$2:P1842},D$2:D1842=D1843),2)*VLOOKUP(9^99,FILTER({ROW(O$2:O1842),O$2:O1842},D$2:D1842=D1843),2)-N184"&amp;"3)/O1843),J1843))"),"")</f>
        <v/>
      </c>
      <c r="Q1843" s="264" t="str">
        <f>IFERROR(__xludf.DUMMYFUNCTION("IFERROR(IF(F1843=""Crypto"",B1843,(IF(ISBLANK(D1843),"""",IF(D1843=""Cash"",B1843,IF(GOOGLEFINANCE(D1843,""CURRENCY"")=""GBX"",""GBP"",GOOGLEFINANCE(D1843,""CURRENCY"")))))),B1843)"),"")</f>
        <v/>
      </c>
      <c r="R1843" s="263" t="str">
        <f>IFERROR(__xludf.DUMMYFUNCTION("IF(ISBLANK(A1843),"""",IFERROR(IF(OR(Q1843=""GPB"",Q1843=""ZAR""),IF(Q1843=Dashboard!$L$1,K1843,(K1843*GOOGLEFINANCE(""CURRENCY:""&amp;Q1843&amp;""""&amp;Dashboard!$L$1&amp;""""))/100),IF(Q1843=Dashboard!$L$1,K1843,K1843*GOOGLEFINANCE(""CURRENCY:""&amp;Q1843&amp;""""&amp;Dashboard!$"&amp;"L$1&amp;""""))),K1843))"),"")</f>
        <v/>
      </c>
      <c r="S1843" s="266" t="str">
        <f>IFERROR(__xludf.DUMMYFUNCTION("IF(ISBLANK(A1843),"""",IFERROR(IF(OR(Q1843=""GPB"",Q1843=""ZAR""),IF(Q1843=Dashboard!$L$1,M1843,(M1843*GOOGLEFINANCE(""CURRENCY:""&amp;Q1843&amp;""""&amp;Dashboard!$L$1&amp;""""))/100),IF(Q1843=Dashboard!$L$1,M1843,M1843*GOOGLEFINANCE(""CURRENCY:""&amp;Q1843&amp;""""&amp;Dashboard!$"&amp;"L$1&amp;""""))),M1843))"),"")</f>
        <v/>
      </c>
      <c r="T1843" s="264" t="str">
        <f t="shared" si="4"/>
        <v/>
      </c>
      <c r="U1843" s="264" t="str">
        <f t="shared" si="5"/>
        <v/>
      </c>
      <c r="V1843" s="264" t="str">
        <f t="shared" si="6"/>
        <v/>
      </c>
      <c r="W1843" s="267" t="str">
        <f t="shared" si="8"/>
        <v/>
      </c>
      <c r="X1843" s="264" t="str">
        <f t="shared" si="7"/>
        <v/>
      </c>
    </row>
    <row r="1844" ht="15.75" customHeight="1">
      <c r="A1844" s="258"/>
      <c r="B1844" s="258"/>
      <c r="C1844" s="269"/>
      <c r="D1844" s="258"/>
      <c r="E1844" s="258"/>
      <c r="F1844" s="258"/>
      <c r="G1844" s="258"/>
      <c r="H1844" s="271"/>
      <c r="I1844" s="258"/>
      <c r="J1844" s="272"/>
      <c r="K1844" s="260"/>
      <c r="L1844" s="261"/>
      <c r="M1844" s="262" t="str">
        <f t="shared" si="1"/>
        <v/>
      </c>
      <c r="N1844" s="263" t="str">
        <f t="shared" si="2"/>
        <v/>
      </c>
      <c r="O1844" s="264" t="str">
        <f t="shared" si="3"/>
        <v/>
      </c>
      <c r="P1844" s="265" t="str">
        <f>IFERROR(__xludf.DUMMYFUNCTION("IF(ISBLANK(A1844),"""",IFERROR(IF(H1844=""Sell"",VLOOKUP(9^99,FILTER({ROW(P$2:P1843),P$2:P1843},D$2:D1843=D1844),2),(VLOOKUP(9^99,FILTER({ROW(P$2:P1843),P$2:P1843},D$2:D1843=D1844),2)*VLOOKUP(9^99,FILTER({ROW(O$2:O1843),O$2:O1843},D$2:D1843=D1844),2)-N184"&amp;"4)/O1844),J1844))"),"")</f>
        <v/>
      </c>
      <c r="Q1844" s="264" t="str">
        <f>IFERROR(__xludf.DUMMYFUNCTION("IFERROR(IF(F1844=""Crypto"",B1844,(IF(ISBLANK(D1844),"""",IF(D1844=""Cash"",B1844,IF(GOOGLEFINANCE(D1844,""CURRENCY"")=""GBX"",""GBP"",GOOGLEFINANCE(D1844,""CURRENCY"")))))),B1844)"),"")</f>
        <v/>
      </c>
      <c r="R1844" s="263" t="str">
        <f>IFERROR(__xludf.DUMMYFUNCTION("IF(ISBLANK(A1844),"""",IFERROR(IF(OR(Q1844=""GPB"",Q1844=""ZAR""),IF(Q1844=Dashboard!$L$1,K1844,(K1844*GOOGLEFINANCE(""CURRENCY:""&amp;Q1844&amp;""""&amp;Dashboard!$L$1&amp;""""))/100),IF(Q1844=Dashboard!$L$1,K1844,K1844*GOOGLEFINANCE(""CURRENCY:""&amp;Q1844&amp;""""&amp;Dashboard!$"&amp;"L$1&amp;""""))),K1844))"),"")</f>
        <v/>
      </c>
      <c r="S1844" s="266" t="str">
        <f>IFERROR(__xludf.DUMMYFUNCTION("IF(ISBLANK(A1844),"""",IFERROR(IF(OR(Q1844=""GPB"",Q1844=""ZAR""),IF(Q1844=Dashboard!$L$1,M1844,(M1844*GOOGLEFINANCE(""CURRENCY:""&amp;Q1844&amp;""""&amp;Dashboard!$L$1&amp;""""))/100),IF(Q1844=Dashboard!$L$1,M1844,M1844*GOOGLEFINANCE(""CURRENCY:""&amp;Q1844&amp;""""&amp;Dashboard!$"&amp;"L$1&amp;""""))),M1844))"),"")</f>
        <v/>
      </c>
      <c r="T1844" s="264" t="str">
        <f t="shared" si="4"/>
        <v/>
      </c>
      <c r="U1844" s="264" t="str">
        <f t="shared" si="5"/>
        <v/>
      </c>
      <c r="V1844" s="264" t="str">
        <f t="shared" si="6"/>
        <v/>
      </c>
      <c r="W1844" s="267" t="str">
        <f t="shared" si="8"/>
        <v/>
      </c>
      <c r="X1844" s="264" t="str">
        <f t="shared" si="7"/>
        <v/>
      </c>
    </row>
    <row r="1845" ht="15.75" customHeight="1">
      <c r="A1845" s="258"/>
      <c r="B1845" s="258"/>
      <c r="C1845" s="269"/>
      <c r="D1845" s="258"/>
      <c r="E1845" s="258"/>
      <c r="F1845" s="258"/>
      <c r="G1845" s="258"/>
      <c r="H1845" s="271"/>
      <c r="I1845" s="258"/>
      <c r="J1845" s="272"/>
      <c r="K1845" s="260"/>
      <c r="L1845" s="261"/>
      <c r="M1845" s="262" t="str">
        <f t="shared" si="1"/>
        <v/>
      </c>
      <c r="N1845" s="263" t="str">
        <f t="shared" si="2"/>
        <v/>
      </c>
      <c r="O1845" s="264" t="str">
        <f t="shared" si="3"/>
        <v/>
      </c>
      <c r="P1845" s="265" t="str">
        <f>IFERROR(__xludf.DUMMYFUNCTION("IF(ISBLANK(A1845),"""",IFERROR(IF(H1845=""Sell"",VLOOKUP(9^99,FILTER({ROW(P$2:P1844),P$2:P1844},D$2:D1844=D1845),2),(VLOOKUP(9^99,FILTER({ROW(P$2:P1844),P$2:P1844},D$2:D1844=D1845),2)*VLOOKUP(9^99,FILTER({ROW(O$2:O1844),O$2:O1844},D$2:D1844=D1845),2)-N184"&amp;"5)/O1845),J1845))"),"")</f>
        <v/>
      </c>
      <c r="Q1845" s="264" t="str">
        <f>IFERROR(__xludf.DUMMYFUNCTION("IFERROR(IF(F1845=""Crypto"",B1845,(IF(ISBLANK(D1845),"""",IF(D1845=""Cash"",B1845,IF(GOOGLEFINANCE(D1845,""CURRENCY"")=""GBX"",""GBP"",GOOGLEFINANCE(D1845,""CURRENCY"")))))),B1845)"),"")</f>
        <v/>
      </c>
      <c r="R1845" s="263" t="str">
        <f>IFERROR(__xludf.DUMMYFUNCTION("IF(ISBLANK(A1845),"""",IFERROR(IF(OR(Q1845=""GPB"",Q1845=""ZAR""),IF(Q1845=Dashboard!$L$1,K1845,(K1845*GOOGLEFINANCE(""CURRENCY:""&amp;Q1845&amp;""""&amp;Dashboard!$L$1&amp;""""))/100),IF(Q1845=Dashboard!$L$1,K1845,K1845*GOOGLEFINANCE(""CURRENCY:""&amp;Q1845&amp;""""&amp;Dashboard!$"&amp;"L$1&amp;""""))),K1845))"),"")</f>
        <v/>
      </c>
      <c r="S1845" s="266" t="str">
        <f>IFERROR(__xludf.DUMMYFUNCTION("IF(ISBLANK(A1845),"""",IFERROR(IF(OR(Q1845=""GPB"",Q1845=""ZAR""),IF(Q1845=Dashboard!$L$1,M1845,(M1845*GOOGLEFINANCE(""CURRENCY:""&amp;Q1845&amp;""""&amp;Dashboard!$L$1&amp;""""))/100),IF(Q1845=Dashboard!$L$1,M1845,M1845*GOOGLEFINANCE(""CURRENCY:""&amp;Q1845&amp;""""&amp;Dashboard!$"&amp;"L$1&amp;""""))),M1845))"),"")</f>
        <v/>
      </c>
      <c r="T1845" s="264" t="str">
        <f t="shared" si="4"/>
        <v/>
      </c>
      <c r="U1845" s="264" t="str">
        <f t="shared" si="5"/>
        <v/>
      </c>
      <c r="V1845" s="264" t="str">
        <f t="shared" si="6"/>
        <v/>
      </c>
      <c r="W1845" s="267" t="str">
        <f t="shared" si="8"/>
        <v/>
      </c>
      <c r="X1845" s="264" t="str">
        <f t="shared" si="7"/>
        <v/>
      </c>
    </row>
    <row r="1846" ht="15.75" customHeight="1">
      <c r="A1846" s="258"/>
      <c r="B1846" s="258"/>
      <c r="C1846" s="269"/>
      <c r="D1846" s="258"/>
      <c r="E1846" s="258"/>
      <c r="F1846" s="258"/>
      <c r="G1846" s="258"/>
      <c r="H1846" s="271"/>
      <c r="I1846" s="258"/>
      <c r="J1846" s="272"/>
      <c r="K1846" s="260"/>
      <c r="L1846" s="261"/>
      <c r="M1846" s="262" t="str">
        <f t="shared" si="1"/>
        <v/>
      </c>
      <c r="N1846" s="263" t="str">
        <f t="shared" si="2"/>
        <v/>
      </c>
      <c r="O1846" s="264" t="str">
        <f t="shared" si="3"/>
        <v/>
      </c>
      <c r="P1846" s="265" t="str">
        <f>IFERROR(__xludf.DUMMYFUNCTION("IF(ISBLANK(A1846),"""",IFERROR(IF(H1846=""Sell"",VLOOKUP(9^99,FILTER({ROW(P$2:P1845),P$2:P1845},D$2:D1845=D1846),2),(VLOOKUP(9^99,FILTER({ROW(P$2:P1845),P$2:P1845},D$2:D1845=D1846),2)*VLOOKUP(9^99,FILTER({ROW(O$2:O1845),O$2:O1845},D$2:D1845=D1846),2)-N184"&amp;"6)/O1846),J1846))"),"")</f>
        <v/>
      </c>
      <c r="Q1846" s="264" t="str">
        <f>IFERROR(__xludf.DUMMYFUNCTION("IFERROR(IF(F1846=""Crypto"",B1846,(IF(ISBLANK(D1846),"""",IF(D1846=""Cash"",B1846,IF(GOOGLEFINANCE(D1846,""CURRENCY"")=""GBX"",""GBP"",GOOGLEFINANCE(D1846,""CURRENCY"")))))),B1846)"),"")</f>
        <v/>
      </c>
      <c r="R1846" s="263" t="str">
        <f>IFERROR(__xludf.DUMMYFUNCTION("IF(ISBLANK(A1846),"""",IFERROR(IF(OR(Q1846=""GPB"",Q1846=""ZAR""),IF(Q1846=Dashboard!$L$1,K1846,(K1846*GOOGLEFINANCE(""CURRENCY:""&amp;Q1846&amp;""""&amp;Dashboard!$L$1&amp;""""))/100),IF(Q1846=Dashboard!$L$1,K1846,K1846*GOOGLEFINANCE(""CURRENCY:""&amp;Q1846&amp;""""&amp;Dashboard!$"&amp;"L$1&amp;""""))),K1846))"),"")</f>
        <v/>
      </c>
      <c r="S1846" s="266" t="str">
        <f>IFERROR(__xludf.DUMMYFUNCTION("IF(ISBLANK(A1846),"""",IFERROR(IF(OR(Q1846=""GPB"",Q1846=""ZAR""),IF(Q1846=Dashboard!$L$1,M1846,(M1846*GOOGLEFINANCE(""CURRENCY:""&amp;Q1846&amp;""""&amp;Dashboard!$L$1&amp;""""))/100),IF(Q1846=Dashboard!$L$1,M1846,M1846*GOOGLEFINANCE(""CURRENCY:""&amp;Q1846&amp;""""&amp;Dashboard!$"&amp;"L$1&amp;""""))),M1846))"),"")</f>
        <v/>
      </c>
      <c r="T1846" s="264" t="str">
        <f t="shared" si="4"/>
        <v/>
      </c>
      <c r="U1846" s="264" t="str">
        <f t="shared" si="5"/>
        <v/>
      </c>
      <c r="V1846" s="264" t="str">
        <f t="shared" si="6"/>
        <v/>
      </c>
      <c r="W1846" s="267" t="str">
        <f t="shared" si="8"/>
        <v/>
      </c>
      <c r="X1846" s="264" t="str">
        <f t="shared" si="7"/>
        <v/>
      </c>
    </row>
    <row r="1847" ht="15.75" customHeight="1">
      <c r="A1847" s="258"/>
      <c r="B1847" s="258"/>
      <c r="C1847" s="269"/>
      <c r="D1847" s="258"/>
      <c r="E1847" s="258"/>
      <c r="F1847" s="258"/>
      <c r="G1847" s="258"/>
      <c r="H1847" s="271"/>
      <c r="I1847" s="258"/>
      <c r="J1847" s="272"/>
      <c r="K1847" s="260"/>
      <c r="L1847" s="261"/>
      <c r="M1847" s="262" t="str">
        <f t="shared" si="1"/>
        <v/>
      </c>
      <c r="N1847" s="263" t="str">
        <f t="shared" si="2"/>
        <v/>
      </c>
      <c r="O1847" s="264" t="str">
        <f t="shared" si="3"/>
        <v/>
      </c>
      <c r="P1847" s="265" t="str">
        <f>IFERROR(__xludf.DUMMYFUNCTION("IF(ISBLANK(A1847),"""",IFERROR(IF(H1847=""Sell"",VLOOKUP(9^99,FILTER({ROW(P$2:P1846),P$2:P1846},D$2:D1846=D1847),2),(VLOOKUP(9^99,FILTER({ROW(P$2:P1846),P$2:P1846},D$2:D1846=D1847),2)*VLOOKUP(9^99,FILTER({ROW(O$2:O1846),O$2:O1846},D$2:D1846=D1847),2)-N184"&amp;"7)/O1847),J1847))"),"")</f>
        <v/>
      </c>
      <c r="Q1847" s="264" t="str">
        <f>IFERROR(__xludf.DUMMYFUNCTION("IFERROR(IF(F1847=""Crypto"",B1847,(IF(ISBLANK(D1847),"""",IF(D1847=""Cash"",B1847,IF(GOOGLEFINANCE(D1847,""CURRENCY"")=""GBX"",""GBP"",GOOGLEFINANCE(D1847,""CURRENCY"")))))),B1847)"),"")</f>
        <v/>
      </c>
      <c r="R1847" s="263" t="str">
        <f>IFERROR(__xludf.DUMMYFUNCTION("IF(ISBLANK(A1847),"""",IFERROR(IF(OR(Q1847=""GPB"",Q1847=""ZAR""),IF(Q1847=Dashboard!$L$1,K1847,(K1847*GOOGLEFINANCE(""CURRENCY:""&amp;Q1847&amp;""""&amp;Dashboard!$L$1&amp;""""))/100),IF(Q1847=Dashboard!$L$1,K1847,K1847*GOOGLEFINANCE(""CURRENCY:""&amp;Q1847&amp;""""&amp;Dashboard!$"&amp;"L$1&amp;""""))),K1847))"),"")</f>
        <v/>
      </c>
      <c r="S1847" s="266" t="str">
        <f>IFERROR(__xludf.DUMMYFUNCTION("IF(ISBLANK(A1847),"""",IFERROR(IF(OR(Q1847=""GPB"",Q1847=""ZAR""),IF(Q1847=Dashboard!$L$1,M1847,(M1847*GOOGLEFINANCE(""CURRENCY:""&amp;Q1847&amp;""""&amp;Dashboard!$L$1&amp;""""))/100),IF(Q1847=Dashboard!$L$1,M1847,M1847*GOOGLEFINANCE(""CURRENCY:""&amp;Q1847&amp;""""&amp;Dashboard!$"&amp;"L$1&amp;""""))),M1847))"),"")</f>
        <v/>
      </c>
      <c r="T1847" s="264" t="str">
        <f t="shared" si="4"/>
        <v/>
      </c>
      <c r="U1847" s="264" t="str">
        <f t="shared" si="5"/>
        <v/>
      </c>
      <c r="V1847" s="264" t="str">
        <f t="shared" si="6"/>
        <v/>
      </c>
      <c r="W1847" s="267" t="str">
        <f t="shared" si="8"/>
        <v/>
      </c>
      <c r="X1847" s="264" t="str">
        <f t="shared" si="7"/>
        <v/>
      </c>
    </row>
    <row r="1848" ht="15.75" customHeight="1">
      <c r="A1848" s="258"/>
      <c r="B1848" s="258"/>
      <c r="C1848" s="269"/>
      <c r="D1848" s="258"/>
      <c r="E1848" s="258"/>
      <c r="F1848" s="258"/>
      <c r="G1848" s="258"/>
      <c r="H1848" s="271"/>
      <c r="I1848" s="258"/>
      <c r="J1848" s="272"/>
      <c r="K1848" s="260"/>
      <c r="L1848" s="261"/>
      <c r="M1848" s="262" t="str">
        <f t="shared" si="1"/>
        <v/>
      </c>
      <c r="N1848" s="263" t="str">
        <f t="shared" si="2"/>
        <v/>
      </c>
      <c r="O1848" s="264" t="str">
        <f t="shared" si="3"/>
        <v/>
      </c>
      <c r="P1848" s="265" t="str">
        <f>IFERROR(__xludf.DUMMYFUNCTION("IF(ISBLANK(A1848),"""",IFERROR(IF(H1848=""Sell"",VLOOKUP(9^99,FILTER({ROW(P$2:P1847),P$2:P1847},D$2:D1847=D1848),2),(VLOOKUP(9^99,FILTER({ROW(P$2:P1847),P$2:P1847},D$2:D1847=D1848),2)*VLOOKUP(9^99,FILTER({ROW(O$2:O1847),O$2:O1847},D$2:D1847=D1848),2)-N184"&amp;"8)/O1848),J1848))"),"")</f>
        <v/>
      </c>
      <c r="Q1848" s="264" t="str">
        <f>IFERROR(__xludf.DUMMYFUNCTION("IFERROR(IF(F1848=""Crypto"",B1848,(IF(ISBLANK(D1848),"""",IF(D1848=""Cash"",B1848,IF(GOOGLEFINANCE(D1848,""CURRENCY"")=""GBX"",""GBP"",GOOGLEFINANCE(D1848,""CURRENCY"")))))),B1848)"),"")</f>
        <v/>
      </c>
      <c r="R1848" s="263" t="str">
        <f>IFERROR(__xludf.DUMMYFUNCTION("IF(ISBLANK(A1848),"""",IFERROR(IF(OR(Q1848=""GPB"",Q1848=""ZAR""),IF(Q1848=Dashboard!$L$1,K1848,(K1848*GOOGLEFINANCE(""CURRENCY:""&amp;Q1848&amp;""""&amp;Dashboard!$L$1&amp;""""))/100),IF(Q1848=Dashboard!$L$1,K1848,K1848*GOOGLEFINANCE(""CURRENCY:""&amp;Q1848&amp;""""&amp;Dashboard!$"&amp;"L$1&amp;""""))),K1848))"),"")</f>
        <v/>
      </c>
      <c r="S1848" s="266" t="str">
        <f>IFERROR(__xludf.DUMMYFUNCTION("IF(ISBLANK(A1848),"""",IFERROR(IF(OR(Q1848=""GPB"",Q1848=""ZAR""),IF(Q1848=Dashboard!$L$1,M1848,(M1848*GOOGLEFINANCE(""CURRENCY:""&amp;Q1848&amp;""""&amp;Dashboard!$L$1&amp;""""))/100),IF(Q1848=Dashboard!$L$1,M1848,M1848*GOOGLEFINANCE(""CURRENCY:""&amp;Q1848&amp;""""&amp;Dashboard!$"&amp;"L$1&amp;""""))),M1848))"),"")</f>
        <v/>
      </c>
      <c r="T1848" s="264" t="str">
        <f t="shared" si="4"/>
        <v/>
      </c>
      <c r="U1848" s="264" t="str">
        <f t="shared" si="5"/>
        <v/>
      </c>
      <c r="V1848" s="264" t="str">
        <f t="shared" si="6"/>
        <v/>
      </c>
      <c r="W1848" s="267" t="str">
        <f t="shared" si="8"/>
        <v/>
      </c>
      <c r="X1848" s="264" t="str">
        <f t="shared" si="7"/>
        <v/>
      </c>
    </row>
    <row r="1849" ht="15.75" customHeight="1">
      <c r="A1849" s="258"/>
      <c r="B1849" s="258"/>
      <c r="C1849" s="269"/>
      <c r="D1849" s="258"/>
      <c r="E1849" s="258"/>
      <c r="F1849" s="258"/>
      <c r="G1849" s="258"/>
      <c r="H1849" s="271"/>
      <c r="I1849" s="258"/>
      <c r="J1849" s="272"/>
      <c r="K1849" s="260"/>
      <c r="L1849" s="261"/>
      <c r="M1849" s="262" t="str">
        <f t="shared" si="1"/>
        <v/>
      </c>
      <c r="N1849" s="263" t="str">
        <f t="shared" si="2"/>
        <v/>
      </c>
      <c r="O1849" s="264" t="str">
        <f t="shared" si="3"/>
        <v/>
      </c>
      <c r="P1849" s="265" t="str">
        <f>IFERROR(__xludf.DUMMYFUNCTION("IF(ISBLANK(A1849),"""",IFERROR(IF(H1849=""Sell"",VLOOKUP(9^99,FILTER({ROW(P$2:P1848),P$2:P1848},D$2:D1848=D1849),2),(VLOOKUP(9^99,FILTER({ROW(P$2:P1848),P$2:P1848},D$2:D1848=D1849),2)*VLOOKUP(9^99,FILTER({ROW(O$2:O1848),O$2:O1848},D$2:D1848=D1849),2)-N184"&amp;"9)/O1849),J1849))"),"")</f>
        <v/>
      </c>
      <c r="Q1849" s="264" t="str">
        <f>IFERROR(__xludf.DUMMYFUNCTION("IFERROR(IF(F1849=""Crypto"",B1849,(IF(ISBLANK(D1849),"""",IF(D1849=""Cash"",B1849,IF(GOOGLEFINANCE(D1849,""CURRENCY"")=""GBX"",""GBP"",GOOGLEFINANCE(D1849,""CURRENCY"")))))),B1849)"),"")</f>
        <v/>
      </c>
      <c r="R1849" s="263" t="str">
        <f>IFERROR(__xludf.DUMMYFUNCTION("IF(ISBLANK(A1849),"""",IFERROR(IF(OR(Q1849=""GPB"",Q1849=""ZAR""),IF(Q1849=Dashboard!$L$1,K1849,(K1849*GOOGLEFINANCE(""CURRENCY:""&amp;Q1849&amp;""""&amp;Dashboard!$L$1&amp;""""))/100),IF(Q1849=Dashboard!$L$1,K1849,K1849*GOOGLEFINANCE(""CURRENCY:""&amp;Q1849&amp;""""&amp;Dashboard!$"&amp;"L$1&amp;""""))),K1849))"),"")</f>
        <v/>
      </c>
      <c r="S1849" s="266" t="str">
        <f>IFERROR(__xludf.DUMMYFUNCTION("IF(ISBLANK(A1849),"""",IFERROR(IF(OR(Q1849=""GPB"",Q1849=""ZAR""),IF(Q1849=Dashboard!$L$1,M1849,(M1849*GOOGLEFINANCE(""CURRENCY:""&amp;Q1849&amp;""""&amp;Dashboard!$L$1&amp;""""))/100),IF(Q1849=Dashboard!$L$1,M1849,M1849*GOOGLEFINANCE(""CURRENCY:""&amp;Q1849&amp;""""&amp;Dashboard!$"&amp;"L$1&amp;""""))),M1849))"),"")</f>
        <v/>
      </c>
      <c r="T1849" s="264" t="str">
        <f t="shared" si="4"/>
        <v/>
      </c>
      <c r="U1849" s="264" t="str">
        <f t="shared" si="5"/>
        <v/>
      </c>
      <c r="V1849" s="264" t="str">
        <f t="shared" si="6"/>
        <v/>
      </c>
      <c r="W1849" s="267" t="str">
        <f t="shared" si="8"/>
        <v/>
      </c>
      <c r="X1849" s="264" t="str">
        <f t="shared" si="7"/>
        <v/>
      </c>
    </row>
    <row r="1850" ht="15.75" customHeight="1">
      <c r="A1850" s="258"/>
      <c r="B1850" s="258"/>
      <c r="C1850" s="269"/>
      <c r="D1850" s="258"/>
      <c r="E1850" s="258"/>
      <c r="F1850" s="258"/>
      <c r="G1850" s="258"/>
      <c r="H1850" s="271"/>
      <c r="I1850" s="258"/>
      <c r="J1850" s="272"/>
      <c r="K1850" s="260"/>
      <c r="L1850" s="261"/>
      <c r="M1850" s="262" t="str">
        <f t="shared" si="1"/>
        <v/>
      </c>
      <c r="N1850" s="263" t="str">
        <f t="shared" si="2"/>
        <v/>
      </c>
      <c r="O1850" s="264" t="str">
        <f t="shared" si="3"/>
        <v/>
      </c>
      <c r="P1850" s="265" t="str">
        <f>IFERROR(__xludf.DUMMYFUNCTION("IF(ISBLANK(A1850),"""",IFERROR(IF(H1850=""Sell"",VLOOKUP(9^99,FILTER({ROW(P$2:P1849),P$2:P1849},D$2:D1849=D1850),2),(VLOOKUP(9^99,FILTER({ROW(P$2:P1849),P$2:P1849},D$2:D1849=D1850),2)*VLOOKUP(9^99,FILTER({ROW(O$2:O1849),O$2:O1849},D$2:D1849=D1850),2)-N185"&amp;"0)/O1850),J1850))"),"")</f>
        <v/>
      </c>
      <c r="Q1850" s="264" t="str">
        <f>IFERROR(__xludf.DUMMYFUNCTION("IFERROR(IF(F1850=""Crypto"",B1850,(IF(ISBLANK(D1850),"""",IF(D1850=""Cash"",B1850,IF(GOOGLEFINANCE(D1850,""CURRENCY"")=""GBX"",""GBP"",GOOGLEFINANCE(D1850,""CURRENCY"")))))),B1850)"),"")</f>
        <v/>
      </c>
      <c r="R1850" s="263" t="str">
        <f>IFERROR(__xludf.DUMMYFUNCTION("IF(ISBLANK(A1850),"""",IFERROR(IF(OR(Q1850=""GPB"",Q1850=""ZAR""),IF(Q1850=Dashboard!$L$1,K1850,(K1850*GOOGLEFINANCE(""CURRENCY:""&amp;Q1850&amp;""""&amp;Dashboard!$L$1&amp;""""))/100),IF(Q1850=Dashboard!$L$1,K1850,K1850*GOOGLEFINANCE(""CURRENCY:""&amp;Q1850&amp;""""&amp;Dashboard!$"&amp;"L$1&amp;""""))),K1850))"),"")</f>
        <v/>
      </c>
      <c r="S1850" s="266" t="str">
        <f>IFERROR(__xludf.DUMMYFUNCTION("IF(ISBLANK(A1850),"""",IFERROR(IF(OR(Q1850=""GPB"",Q1850=""ZAR""),IF(Q1850=Dashboard!$L$1,M1850,(M1850*GOOGLEFINANCE(""CURRENCY:""&amp;Q1850&amp;""""&amp;Dashboard!$L$1&amp;""""))/100),IF(Q1850=Dashboard!$L$1,M1850,M1850*GOOGLEFINANCE(""CURRENCY:""&amp;Q1850&amp;""""&amp;Dashboard!$"&amp;"L$1&amp;""""))),M1850))"),"")</f>
        <v/>
      </c>
      <c r="T1850" s="264" t="str">
        <f t="shared" si="4"/>
        <v/>
      </c>
      <c r="U1850" s="264" t="str">
        <f t="shared" si="5"/>
        <v/>
      </c>
      <c r="V1850" s="264" t="str">
        <f t="shared" si="6"/>
        <v/>
      </c>
      <c r="W1850" s="267" t="str">
        <f t="shared" si="8"/>
        <v/>
      </c>
      <c r="X1850" s="264" t="str">
        <f t="shared" si="7"/>
        <v/>
      </c>
    </row>
    <row r="1851" ht="15.75" customHeight="1">
      <c r="A1851" s="258"/>
      <c r="B1851" s="258"/>
      <c r="C1851" s="269"/>
      <c r="D1851" s="258"/>
      <c r="E1851" s="258"/>
      <c r="F1851" s="258"/>
      <c r="G1851" s="258"/>
      <c r="H1851" s="271"/>
      <c r="I1851" s="258"/>
      <c r="J1851" s="272"/>
      <c r="K1851" s="260"/>
      <c r="L1851" s="261"/>
      <c r="M1851" s="262" t="str">
        <f t="shared" si="1"/>
        <v/>
      </c>
      <c r="N1851" s="263" t="str">
        <f t="shared" si="2"/>
        <v/>
      </c>
      <c r="O1851" s="264" t="str">
        <f t="shared" si="3"/>
        <v/>
      </c>
      <c r="P1851" s="265" t="str">
        <f>IFERROR(__xludf.DUMMYFUNCTION("IF(ISBLANK(A1851),"""",IFERROR(IF(H1851=""Sell"",VLOOKUP(9^99,FILTER({ROW(P$2:P1850),P$2:P1850},D$2:D1850=D1851),2),(VLOOKUP(9^99,FILTER({ROW(P$2:P1850),P$2:P1850},D$2:D1850=D1851),2)*VLOOKUP(9^99,FILTER({ROW(O$2:O1850),O$2:O1850},D$2:D1850=D1851),2)-N185"&amp;"1)/O1851),J1851))"),"")</f>
        <v/>
      </c>
      <c r="Q1851" s="264" t="str">
        <f>IFERROR(__xludf.DUMMYFUNCTION("IFERROR(IF(F1851=""Crypto"",B1851,(IF(ISBLANK(D1851),"""",IF(D1851=""Cash"",B1851,IF(GOOGLEFINANCE(D1851,""CURRENCY"")=""GBX"",""GBP"",GOOGLEFINANCE(D1851,""CURRENCY"")))))),B1851)"),"")</f>
        <v/>
      </c>
      <c r="R1851" s="263" t="str">
        <f>IFERROR(__xludf.DUMMYFUNCTION("IF(ISBLANK(A1851),"""",IFERROR(IF(OR(Q1851=""GPB"",Q1851=""ZAR""),IF(Q1851=Dashboard!$L$1,K1851,(K1851*GOOGLEFINANCE(""CURRENCY:""&amp;Q1851&amp;""""&amp;Dashboard!$L$1&amp;""""))/100),IF(Q1851=Dashboard!$L$1,K1851,K1851*GOOGLEFINANCE(""CURRENCY:""&amp;Q1851&amp;""""&amp;Dashboard!$"&amp;"L$1&amp;""""))),K1851))"),"")</f>
        <v/>
      </c>
      <c r="S1851" s="266" t="str">
        <f>IFERROR(__xludf.DUMMYFUNCTION("IF(ISBLANK(A1851),"""",IFERROR(IF(OR(Q1851=""GPB"",Q1851=""ZAR""),IF(Q1851=Dashboard!$L$1,M1851,(M1851*GOOGLEFINANCE(""CURRENCY:""&amp;Q1851&amp;""""&amp;Dashboard!$L$1&amp;""""))/100),IF(Q1851=Dashboard!$L$1,M1851,M1851*GOOGLEFINANCE(""CURRENCY:""&amp;Q1851&amp;""""&amp;Dashboard!$"&amp;"L$1&amp;""""))),M1851))"),"")</f>
        <v/>
      </c>
      <c r="T1851" s="264" t="str">
        <f t="shared" si="4"/>
        <v/>
      </c>
      <c r="U1851" s="264" t="str">
        <f t="shared" si="5"/>
        <v/>
      </c>
      <c r="V1851" s="264" t="str">
        <f t="shared" si="6"/>
        <v/>
      </c>
      <c r="W1851" s="267" t="str">
        <f t="shared" si="8"/>
        <v/>
      </c>
      <c r="X1851" s="264" t="str">
        <f t="shared" si="7"/>
        <v/>
      </c>
    </row>
    <row r="1852" ht="15.75" customHeight="1">
      <c r="A1852" s="258"/>
      <c r="B1852" s="258"/>
      <c r="C1852" s="269"/>
      <c r="D1852" s="258"/>
      <c r="E1852" s="258"/>
      <c r="F1852" s="258"/>
      <c r="G1852" s="258"/>
      <c r="H1852" s="271"/>
      <c r="I1852" s="258"/>
      <c r="J1852" s="272"/>
      <c r="K1852" s="260"/>
      <c r="L1852" s="261"/>
      <c r="M1852" s="262" t="str">
        <f t="shared" si="1"/>
        <v/>
      </c>
      <c r="N1852" s="263" t="str">
        <f t="shared" si="2"/>
        <v/>
      </c>
      <c r="O1852" s="264" t="str">
        <f t="shared" si="3"/>
        <v/>
      </c>
      <c r="P1852" s="265" t="str">
        <f>IFERROR(__xludf.DUMMYFUNCTION("IF(ISBLANK(A1852),"""",IFERROR(IF(H1852=""Sell"",VLOOKUP(9^99,FILTER({ROW(P$2:P1851),P$2:P1851},D$2:D1851=D1852),2),(VLOOKUP(9^99,FILTER({ROW(P$2:P1851),P$2:P1851},D$2:D1851=D1852),2)*VLOOKUP(9^99,FILTER({ROW(O$2:O1851),O$2:O1851},D$2:D1851=D1852),2)-N185"&amp;"2)/O1852),J1852))"),"")</f>
        <v/>
      </c>
      <c r="Q1852" s="264" t="str">
        <f>IFERROR(__xludf.DUMMYFUNCTION("IFERROR(IF(F1852=""Crypto"",B1852,(IF(ISBLANK(D1852),"""",IF(D1852=""Cash"",B1852,IF(GOOGLEFINANCE(D1852,""CURRENCY"")=""GBX"",""GBP"",GOOGLEFINANCE(D1852,""CURRENCY"")))))),B1852)"),"")</f>
        <v/>
      </c>
      <c r="R1852" s="263" t="str">
        <f>IFERROR(__xludf.DUMMYFUNCTION("IF(ISBLANK(A1852),"""",IFERROR(IF(OR(Q1852=""GPB"",Q1852=""ZAR""),IF(Q1852=Dashboard!$L$1,K1852,(K1852*GOOGLEFINANCE(""CURRENCY:""&amp;Q1852&amp;""""&amp;Dashboard!$L$1&amp;""""))/100),IF(Q1852=Dashboard!$L$1,K1852,K1852*GOOGLEFINANCE(""CURRENCY:""&amp;Q1852&amp;""""&amp;Dashboard!$"&amp;"L$1&amp;""""))),K1852))"),"")</f>
        <v/>
      </c>
      <c r="S1852" s="266" t="str">
        <f>IFERROR(__xludf.DUMMYFUNCTION("IF(ISBLANK(A1852),"""",IFERROR(IF(OR(Q1852=""GPB"",Q1852=""ZAR""),IF(Q1852=Dashboard!$L$1,M1852,(M1852*GOOGLEFINANCE(""CURRENCY:""&amp;Q1852&amp;""""&amp;Dashboard!$L$1&amp;""""))/100),IF(Q1852=Dashboard!$L$1,M1852,M1852*GOOGLEFINANCE(""CURRENCY:""&amp;Q1852&amp;""""&amp;Dashboard!$"&amp;"L$1&amp;""""))),M1852))"),"")</f>
        <v/>
      </c>
      <c r="T1852" s="264" t="str">
        <f t="shared" si="4"/>
        <v/>
      </c>
      <c r="U1852" s="264" t="str">
        <f t="shared" si="5"/>
        <v/>
      </c>
      <c r="V1852" s="264" t="str">
        <f t="shared" si="6"/>
        <v/>
      </c>
      <c r="W1852" s="267" t="str">
        <f t="shared" si="8"/>
        <v/>
      </c>
      <c r="X1852" s="264" t="str">
        <f t="shared" si="7"/>
        <v/>
      </c>
    </row>
    <row r="1853" ht="15.75" customHeight="1">
      <c r="A1853" s="258"/>
      <c r="B1853" s="258"/>
      <c r="C1853" s="269"/>
      <c r="D1853" s="258"/>
      <c r="E1853" s="258"/>
      <c r="F1853" s="258"/>
      <c r="G1853" s="258"/>
      <c r="H1853" s="271"/>
      <c r="I1853" s="258"/>
      <c r="J1853" s="272"/>
      <c r="K1853" s="260"/>
      <c r="L1853" s="261"/>
      <c r="M1853" s="262" t="str">
        <f t="shared" si="1"/>
        <v/>
      </c>
      <c r="N1853" s="263" t="str">
        <f t="shared" si="2"/>
        <v/>
      </c>
      <c r="O1853" s="264" t="str">
        <f t="shared" si="3"/>
        <v/>
      </c>
      <c r="P1853" s="265" t="str">
        <f>IFERROR(__xludf.DUMMYFUNCTION("IF(ISBLANK(A1853),"""",IFERROR(IF(H1853=""Sell"",VLOOKUP(9^99,FILTER({ROW(P$2:P1852),P$2:P1852},D$2:D1852=D1853),2),(VLOOKUP(9^99,FILTER({ROW(P$2:P1852),P$2:P1852},D$2:D1852=D1853),2)*VLOOKUP(9^99,FILTER({ROW(O$2:O1852),O$2:O1852},D$2:D1852=D1853),2)-N185"&amp;"3)/O1853),J1853))"),"")</f>
        <v/>
      </c>
      <c r="Q1853" s="264" t="str">
        <f>IFERROR(__xludf.DUMMYFUNCTION("IFERROR(IF(F1853=""Crypto"",B1853,(IF(ISBLANK(D1853),"""",IF(D1853=""Cash"",B1853,IF(GOOGLEFINANCE(D1853,""CURRENCY"")=""GBX"",""GBP"",GOOGLEFINANCE(D1853,""CURRENCY"")))))),B1853)"),"")</f>
        <v/>
      </c>
      <c r="R1853" s="263" t="str">
        <f>IFERROR(__xludf.DUMMYFUNCTION("IF(ISBLANK(A1853),"""",IFERROR(IF(OR(Q1853=""GPB"",Q1853=""ZAR""),IF(Q1853=Dashboard!$L$1,K1853,(K1853*GOOGLEFINANCE(""CURRENCY:""&amp;Q1853&amp;""""&amp;Dashboard!$L$1&amp;""""))/100),IF(Q1853=Dashboard!$L$1,K1853,K1853*GOOGLEFINANCE(""CURRENCY:""&amp;Q1853&amp;""""&amp;Dashboard!$"&amp;"L$1&amp;""""))),K1853))"),"")</f>
        <v/>
      </c>
      <c r="S1853" s="266" t="str">
        <f>IFERROR(__xludf.DUMMYFUNCTION("IF(ISBLANK(A1853),"""",IFERROR(IF(OR(Q1853=""GPB"",Q1853=""ZAR""),IF(Q1853=Dashboard!$L$1,M1853,(M1853*GOOGLEFINANCE(""CURRENCY:""&amp;Q1853&amp;""""&amp;Dashboard!$L$1&amp;""""))/100),IF(Q1853=Dashboard!$L$1,M1853,M1853*GOOGLEFINANCE(""CURRENCY:""&amp;Q1853&amp;""""&amp;Dashboard!$"&amp;"L$1&amp;""""))),M1853))"),"")</f>
        <v/>
      </c>
      <c r="T1853" s="264" t="str">
        <f t="shared" si="4"/>
        <v/>
      </c>
      <c r="U1853" s="264" t="str">
        <f t="shared" si="5"/>
        <v/>
      </c>
      <c r="V1853" s="264" t="str">
        <f t="shared" si="6"/>
        <v/>
      </c>
      <c r="W1853" s="267" t="str">
        <f t="shared" si="8"/>
        <v/>
      </c>
      <c r="X1853" s="264" t="str">
        <f t="shared" si="7"/>
        <v/>
      </c>
    </row>
    <row r="1854" ht="15.75" customHeight="1">
      <c r="A1854" s="258"/>
      <c r="B1854" s="258"/>
      <c r="C1854" s="269"/>
      <c r="D1854" s="258"/>
      <c r="E1854" s="258"/>
      <c r="F1854" s="258"/>
      <c r="G1854" s="258"/>
      <c r="H1854" s="271"/>
      <c r="I1854" s="258"/>
      <c r="J1854" s="272"/>
      <c r="K1854" s="260"/>
      <c r="L1854" s="261"/>
      <c r="M1854" s="262" t="str">
        <f t="shared" si="1"/>
        <v/>
      </c>
      <c r="N1854" s="263" t="str">
        <f t="shared" si="2"/>
        <v/>
      </c>
      <c r="O1854" s="264" t="str">
        <f t="shared" si="3"/>
        <v/>
      </c>
      <c r="P1854" s="265" t="str">
        <f>IFERROR(__xludf.DUMMYFUNCTION("IF(ISBLANK(A1854),"""",IFERROR(IF(H1854=""Sell"",VLOOKUP(9^99,FILTER({ROW(P$2:P1853),P$2:P1853},D$2:D1853=D1854),2),(VLOOKUP(9^99,FILTER({ROW(P$2:P1853),P$2:P1853},D$2:D1853=D1854),2)*VLOOKUP(9^99,FILTER({ROW(O$2:O1853),O$2:O1853},D$2:D1853=D1854),2)-N185"&amp;"4)/O1854),J1854))"),"")</f>
        <v/>
      </c>
      <c r="Q1854" s="264" t="str">
        <f>IFERROR(__xludf.DUMMYFUNCTION("IFERROR(IF(F1854=""Crypto"",B1854,(IF(ISBLANK(D1854),"""",IF(D1854=""Cash"",B1854,IF(GOOGLEFINANCE(D1854,""CURRENCY"")=""GBX"",""GBP"",GOOGLEFINANCE(D1854,""CURRENCY"")))))),B1854)"),"")</f>
        <v/>
      </c>
      <c r="R1854" s="263" t="str">
        <f>IFERROR(__xludf.DUMMYFUNCTION("IF(ISBLANK(A1854),"""",IFERROR(IF(OR(Q1854=""GPB"",Q1854=""ZAR""),IF(Q1854=Dashboard!$L$1,K1854,(K1854*GOOGLEFINANCE(""CURRENCY:""&amp;Q1854&amp;""""&amp;Dashboard!$L$1&amp;""""))/100),IF(Q1854=Dashboard!$L$1,K1854,K1854*GOOGLEFINANCE(""CURRENCY:""&amp;Q1854&amp;""""&amp;Dashboard!$"&amp;"L$1&amp;""""))),K1854))"),"")</f>
        <v/>
      </c>
      <c r="S1854" s="266" t="str">
        <f>IFERROR(__xludf.DUMMYFUNCTION("IF(ISBLANK(A1854),"""",IFERROR(IF(OR(Q1854=""GPB"",Q1854=""ZAR""),IF(Q1854=Dashboard!$L$1,M1854,(M1854*GOOGLEFINANCE(""CURRENCY:""&amp;Q1854&amp;""""&amp;Dashboard!$L$1&amp;""""))/100),IF(Q1854=Dashboard!$L$1,M1854,M1854*GOOGLEFINANCE(""CURRENCY:""&amp;Q1854&amp;""""&amp;Dashboard!$"&amp;"L$1&amp;""""))),M1854))"),"")</f>
        <v/>
      </c>
      <c r="T1854" s="264" t="str">
        <f t="shared" si="4"/>
        <v/>
      </c>
      <c r="U1854" s="264" t="str">
        <f t="shared" si="5"/>
        <v/>
      </c>
      <c r="V1854" s="264" t="str">
        <f t="shared" si="6"/>
        <v/>
      </c>
      <c r="W1854" s="267" t="str">
        <f t="shared" si="8"/>
        <v/>
      </c>
      <c r="X1854" s="264" t="str">
        <f t="shared" si="7"/>
        <v/>
      </c>
    </row>
    <row r="1855" ht="15.75" customHeight="1">
      <c r="A1855" s="258"/>
      <c r="B1855" s="258"/>
      <c r="C1855" s="269"/>
      <c r="D1855" s="258"/>
      <c r="E1855" s="258"/>
      <c r="F1855" s="258"/>
      <c r="G1855" s="258"/>
      <c r="H1855" s="271"/>
      <c r="I1855" s="258"/>
      <c r="J1855" s="272"/>
      <c r="K1855" s="260"/>
      <c r="L1855" s="261"/>
      <c r="M1855" s="262" t="str">
        <f t="shared" si="1"/>
        <v/>
      </c>
      <c r="N1855" s="263" t="str">
        <f t="shared" si="2"/>
        <v/>
      </c>
      <c r="O1855" s="264" t="str">
        <f t="shared" si="3"/>
        <v/>
      </c>
      <c r="P1855" s="265" t="str">
        <f>IFERROR(__xludf.DUMMYFUNCTION("IF(ISBLANK(A1855),"""",IFERROR(IF(H1855=""Sell"",VLOOKUP(9^99,FILTER({ROW(P$2:P1854),P$2:P1854},D$2:D1854=D1855),2),(VLOOKUP(9^99,FILTER({ROW(P$2:P1854),P$2:P1854},D$2:D1854=D1855),2)*VLOOKUP(9^99,FILTER({ROW(O$2:O1854),O$2:O1854},D$2:D1854=D1855),2)-N185"&amp;"5)/O1855),J1855))"),"")</f>
        <v/>
      </c>
      <c r="Q1855" s="264" t="str">
        <f>IFERROR(__xludf.DUMMYFUNCTION("IFERROR(IF(F1855=""Crypto"",B1855,(IF(ISBLANK(D1855),"""",IF(D1855=""Cash"",B1855,IF(GOOGLEFINANCE(D1855,""CURRENCY"")=""GBX"",""GBP"",GOOGLEFINANCE(D1855,""CURRENCY"")))))),B1855)"),"")</f>
        <v/>
      </c>
      <c r="R1855" s="263" t="str">
        <f>IFERROR(__xludf.DUMMYFUNCTION("IF(ISBLANK(A1855),"""",IFERROR(IF(OR(Q1855=""GPB"",Q1855=""ZAR""),IF(Q1855=Dashboard!$L$1,K1855,(K1855*GOOGLEFINANCE(""CURRENCY:""&amp;Q1855&amp;""""&amp;Dashboard!$L$1&amp;""""))/100),IF(Q1855=Dashboard!$L$1,K1855,K1855*GOOGLEFINANCE(""CURRENCY:""&amp;Q1855&amp;""""&amp;Dashboard!$"&amp;"L$1&amp;""""))),K1855))"),"")</f>
        <v/>
      </c>
      <c r="S1855" s="266" t="str">
        <f>IFERROR(__xludf.DUMMYFUNCTION("IF(ISBLANK(A1855),"""",IFERROR(IF(OR(Q1855=""GPB"",Q1855=""ZAR""),IF(Q1855=Dashboard!$L$1,M1855,(M1855*GOOGLEFINANCE(""CURRENCY:""&amp;Q1855&amp;""""&amp;Dashboard!$L$1&amp;""""))/100),IF(Q1855=Dashboard!$L$1,M1855,M1855*GOOGLEFINANCE(""CURRENCY:""&amp;Q1855&amp;""""&amp;Dashboard!$"&amp;"L$1&amp;""""))),M1855))"),"")</f>
        <v/>
      </c>
      <c r="T1855" s="264" t="str">
        <f t="shared" si="4"/>
        <v/>
      </c>
      <c r="U1855" s="264" t="str">
        <f t="shared" si="5"/>
        <v/>
      </c>
      <c r="V1855" s="264" t="str">
        <f t="shared" si="6"/>
        <v/>
      </c>
      <c r="W1855" s="267" t="str">
        <f t="shared" si="8"/>
        <v/>
      </c>
      <c r="X1855" s="264" t="str">
        <f t="shared" si="7"/>
        <v/>
      </c>
    </row>
    <row r="1856" ht="15.75" customHeight="1">
      <c r="A1856" s="258"/>
      <c r="B1856" s="258"/>
      <c r="C1856" s="269"/>
      <c r="D1856" s="258"/>
      <c r="E1856" s="258"/>
      <c r="F1856" s="258"/>
      <c r="G1856" s="258"/>
      <c r="H1856" s="271"/>
      <c r="I1856" s="258"/>
      <c r="J1856" s="272"/>
      <c r="K1856" s="260"/>
      <c r="L1856" s="261"/>
      <c r="M1856" s="262" t="str">
        <f t="shared" si="1"/>
        <v/>
      </c>
      <c r="N1856" s="263" t="str">
        <f t="shared" si="2"/>
        <v/>
      </c>
      <c r="O1856" s="264" t="str">
        <f t="shared" si="3"/>
        <v/>
      </c>
      <c r="P1856" s="265" t="str">
        <f>IFERROR(__xludf.DUMMYFUNCTION("IF(ISBLANK(A1856),"""",IFERROR(IF(H1856=""Sell"",VLOOKUP(9^99,FILTER({ROW(P$2:P1855),P$2:P1855},D$2:D1855=D1856),2),(VLOOKUP(9^99,FILTER({ROW(P$2:P1855),P$2:P1855},D$2:D1855=D1856),2)*VLOOKUP(9^99,FILTER({ROW(O$2:O1855),O$2:O1855},D$2:D1855=D1856),2)-N185"&amp;"6)/O1856),J1856))"),"")</f>
        <v/>
      </c>
      <c r="Q1856" s="264" t="str">
        <f>IFERROR(__xludf.DUMMYFUNCTION("IFERROR(IF(F1856=""Crypto"",B1856,(IF(ISBLANK(D1856),"""",IF(D1856=""Cash"",B1856,IF(GOOGLEFINANCE(D1856,""CURRENCY"")=""GBX"",""GBP"",GOOGLEFINANCE(D1856,""CURRENCY"")))))),B1856)"),"")</f>
        <v/>
      </c>
      <c r="R1856" s="263" t="str">
        <f>IFERROR(__xludf.DUMMYFUNCTION("IF(ISBLANK(A1856),"""",IFERROR(IF(OR(Q1856=""GPB"",Q1856=""ZAR""),IF(Q1856=Dashboard!$L$1,K1856,(K1856*GOOGLEFINANCE(""CURRENCY:""&amp;Q1856&amp;""""&amp;Dashboard!$L$1&amp;""""))/100),IF(Q1856=Dashboard!$L$1,K1856,K1856*GOOGLEFINANCE(""CURRENCY:""&amp;Q1856&amp;""""&amp;Dashboard!$"&amp;"L$1&amp;""""))),K1856))"),"")</f>
        <v/>
      </c>
      <c r="S1856" s="266" t="str">
        <f>IFERROR(__xludf.DUMMYFUNCTION("IF(ISBLANK(A1856),"""",IFERROR(IF(OR(Q1856=""GPB"",Q1856=""ZAR""),IF(Q1856=Dashboard!$L$1,M1856,(M1856*GOOGLEFINANCE(""CURRENCY:""&amp;Q1856&amp;""""&amp;Dashboard!$L$1&amp;""""))/100),IF(Q1856=Dashboard!$L$1,M1856,M1856*GOOGLEFINANCE(""CURRENCY:""&amp;Q1856&amp;""""&amp;Dashboard!$"&amp;"L$1&amp;""""))),M1856))"),"")</f>
        <v/>
      </c>
      <c r="T1856" s="264" t="str">
        <f t="shared" si="4"/>
        <v/>
      </c>
      <c r="U1856" s="264" t="str">
        <f t="shared" si="5"/>
        <v/>
      </c>
      <c r="V1856" s="264" t="str">
        <f t="shared" si="6"/>
        <v/>
      </c>
      <c r="W1856" s="267" t="str">
        <f t="shared" si="8"/>
        <v/>
      </c>
      <c r="X1856" s="264" t="str">
        <f t="shared" si="7"/>
        <v/>
      </c>
    </row>
    <row r="1857" ht="15.75" customHeight="1">
      <c r="A1857" s="258"/>
      <c r="B1857" s="258"/>
      <c r="C1857" s="269"/>
      <c r="D1857" s="258"/>
      <c r="E1857" s="258"/>
      <c r="F1857" s="258"/>
      <c r="G1857" s="258"/>
      <c r="H1857" s="271"/>
      <c r="I1857" s="258"/>
      <c r="J1857" s="272"/>
      <c r="K1857" s="260"/>
      <c r="L1857" s="261"/>
      <c r="M1857" s="262" t="str">
        <f t="shared" si="1"/>
        <v/>
      </c>
      <c r="N1857" s="263" t="str">
        <f t="shared" si="2"/>
        <v/>
      </c>
      <c r="O1857" s="264" t="str">
        <f t="shared" si="3"/>
        <v/>
      </c>
      <c r="P1857" s="265" t="str">
        <f>IFERROR(__xludf.DUMMYFUNCTION("IF(ISBLANK(A1857),"""",IFERROR(IF(H1857=""Sell"",VLOOKUP(9^99,FILTER({ROW(P$2:P1856),P$2:P1856},D$2:D1856=D1857),2),(VLOOKUP(9^99,FILTER({ROW(P$2:P1856),P$2:P1856},D$2:D1856=D1857),2)*VLOOKUP(9^99,FILTER({ROW(O$2:O1856),O$2:O1856},D$2:D1856=D1857),2)-N185"&amp;"7)/O1857),J1857))"),"")</f>
        <v/>
      </c>
      <c r="Q1857" s="264" t="str">
        <f>IFERROR(__xludf.DUMMYFUNCTION("IFERROR(IF(F1857=""Crypto"",B1857,(IF(ISBLANK(D1857),"""",IF(D1857=""Cash"",B1857,IF(GOOGLEFINANCE(D1857,""CURRENCY"")=""GBX"",""GBP"",GOOGLEFINANCE(D1857,""CURRENCY"")))))),B1857)"),"")</f>
        <v/>
      </c>
      <c r="R1857" s="263" t="str">
        <f>IFERROR(__xludf.DUMMYFUNCTION("IF(ISBLANK(A1857),"""",IFERROR(IF(OR(Q1857=""GPB"",Q1857=""ZAR""),IF(Q1857=Dashboard!$L$1,K1857,(K1857*GOOGLEFINANCE(""CURRENCY:""&amp;Q1857&amp;""""&amp;Dashboard!$L$1&amp;""""))/100),IF(Q1857=Dashboard!$L$1,K1857,K1857*GOOGLEFINANCE(""CURRENCY:""&amp;Q1857&amp;""""&amp;Dashboard!$"&amp;"L$1&amp;""""))),K1857))"),"")</f>
        <v/>
      </c>
      <c r="S1857" s="266" t="str">
        <f>IFERROR(__xludf.DUMMYFUNCTION("IF(ISBLANK(A1857),"""",IFERROR(IF(OR(Q1857=""GPB"",Q1857=""ZAR""),IF(Q1857=Dashboard!$L$1,M1857,(M1857*GOOGLEFINANCE(""CURRENCY:""&amp;Q1857&amp;""""&amp;Dashboard!$L$1&amp;""""))/100),IF(Q1857=Dashboard!$L$1,M1857,M1857*GOOGLEFINANCE(""CURRENCY:""&amp;Q1857&amp;""""&amp;Dashboard!$"&amp;"L$1&amp;""""))),M1857))"),"")</f>
        <v/>
      </c>
      <c r="T1857" s="264" t="str">
        <f t="shared" si="4"/>
        <v/>
      </c>
      <c r="U1857" s="264" t="str">
        <f t="shared" si="5"/>
        <v/>
      </c>
      <c r="V1857" s="264" t="str">
        <f t="shared" si="6"/>
        <v/>
      </c>
      <c r="W1857" s="267" t="str">
        <f t="shared" si="8"/>
        <v/>
      </c>
      <c r="X1857" s="264" t="str">
        <f t="shared" si="7"/>
        <v/>
      </c>
    </row>
    <row r="1858" ht="15.75" customHeight="1">
      <c r="A1858" s="258"/>
      <c r="B1858" s="258"/>
      <c r="C1858" s="269"/>
      <c r="D1858" s="258"/>
      <c r="E1858" s="258"/>
      <c r="F1858" s="258"/>
      <c r="G1858" s="258"/>
      <c r="H1858" s="271"/>
      <c r="I1858" s="258"/>
      <c r="J1858" s="272"/>
      <c r="K1858" s="260"/>
      <c r="L1858" s="261"/>
      <c r="M1858" s="262" t="str">
        <f t="shared" si="1"/>
        <v/>
      </c>
      <c r="N1858" s="263" t="str">
        <f t="shared" si="2"/>
        <v/>
      </c>
      <c r="O1858" s="264" t="str">
        <f t="shared" si="3"/>
        <v/>
      </c>
      <c r="P1858" s="265" t="str">
        <f>IFERROR(__xludf.DUMMYFUNCTION("IF(ISBLANK(A1858),"""",IFERROR(IF(H1858=""Sell"",VLOOKUP(9^99,FILTER({ROW(P$2:P1857),P$2:P1857},D$2:D1857=D1858),2),(VLOOKUP(9^99,FILTER({ROW(P$2:P1857),P$2:P1857},D$2:D1857=D1858),2)*VLOOKUP(9^99,FILTER({ROW(O$2:O1857),O$2:O1857},D$2:D1857=D1858),2)-N185"&amp;"8)/O1858),J1858))"),"")</f>
        <v/>
      </c>
      <c r="Q1858" s="264" t="str">
        <f>IFERROR(__xludf.DUMMYFUNCTION("IFERROR(IF(F1858=""Crypto"",B1858,(IF(ISBLANK(D1858),"""",IF(D1858=""Cash"",B1858,IF(GOOGLEFINANCE(D1858,""CURRENCY"")=""GBX"",""GBP"",GOOGLEFINANCE(D1858,""CURRENCY"")))))),B1858)"),"")</f>
        <v/>
      </c>
      <c r="R1858" s="263" t="str">
        <f>IFERROR(__xludf.DUMMYFUNCTION("IF(ISBLANK(A1858),"""",IFERROR(IF(OR(Q1858=""GPB"",Q1858=""ZAR""),IF(Q1858=Dashboard!$L$1,K1858,(K1858*GOOGLEFINANCE(""CURRENCY:""&amp;Q1858&amp;""""&amp;Dashboard!$L$1&amp;""""))/100),IF(Q1858=Dashboard!$L$1,K1858,K1858*GOOGLEFINANCE(""CURRENCY:""&amp;Q1858&amp;""""&amp;Dashboard!$"&amp;"L$1&amp;""""))),K1858))"),"")</f>
        <v/>
      </c>
      <c r="S1858" s="266" t="str">
        <f>IFERROR(__xludf.DUMMYFUNCTION("IF(ISBLANK(A1858),"""",IFERROR(IF(OR(Q1858=""GPB"",Q1858=""ZAR""),IF(Q1858=Dashboard!$L$1,M1858,(M1858*GOOGLEFINANCE(""CURRENCY:""&amp;Q1858&amp;""""&amp;Dashboard!$L$1&amp;""""))/100),IF(Q1858=Dashboard!$L$1,M1858,M1858*GOOGLEFINANCE(""CURRENCY:""&amp;Q1858&amp;""""&amp;Dashboard!$"&amp;"L$1&amp;""""))),M1858))"),"")</f>
        <v/>
      </c>
      <c r="T1858" s="264" t="str">
        <f t="shared" si="4"/>
        <v/>
      </c>
      <c r="U1858" s="264" t="str">
        <f t="shared" si="5"/>
        <v/>
      </c>
      <c r="V1858" s="264" t="str">
        <f t="shared" si="6"/>
        <v/>
      </c>
      <c r="W1858" s="267" t="str">
        <f t="shared" si="8"/>
        <v/>
      </c>
      <c r="X1858" s="264" t="str">
        <f t="shared" si="7"/>
        <v/>
      </c>
    </row>
    <row r="1859" ht="15.75" customHeight="1">
      <c r="A1859" s="258"/>
      <c r="B1859" s="258"/>
      <c r="C1859" s="269"/>
      <c r="D1859" s="258"/>
      <c r="E1859" s="258"/>
      <c r="F1859" s="258"/>
      <c r="G1859" s="258"/>
      <c r="H1859" s="271"/>
      <c r="I1859" s="258"/>
      <c r="J1859" s="272"/>
      <c r="K1859" s="260"/>
      <c r="L1859" s="261"/>
      <c r="M1859" s="262" t="str">
        <f t="shared" si="1"/>
        <v/>
      </c>
      <c r="N1859" s="263" t="str">
        <f t="shared" si="2"/>
        <v/>
      </c>
      <c r="O1859" s="264" t="str">
        <f t="shared" si="3"/>
        <v/>
      </c>
      <c r="P1859" s="265" t="str">
        <f>IFERROR(__xludf.DUMMYFUNCTION("IF(ISBLANK(A1859),"""",IFERROR(IF(H1859=""Sell"",VLOOKUP(9^99,FILTER({ROW(P$2:P1858),P$2:P1858},D$2:D1858=D1859),2),(VLOOKUP(9^99,FILTER({ROW(P$2:P1858),P$2:P1858},D$2:D1858=D1859),2)*VLOOKUP(9^99,FILTER({ROW(O$2:O1858),O$2:O1858},D$2:D1858=D1859),2)-N185"&amp;"9)/O1859),J1859))"),"")</f>
        <v/>
      </c>
      <c r="Q1859" s="264" t="str">
        <f>IFERROR(__xludf.DUMMYFUNCTION("IFERROR(IF(F1859=""Crypto"",B1859,(IF(ISBLANK(D1859),"""",IF(D1859=""Cash"",B1859,IF(GOOGLEFINANCE(D1859,""CURRENCY"")=""GBX"",""GBP"",GOOGLEFINANCE(D1859,""CURRENCY"")))))),B1859)"),"")</f>
        <v/>
      </c>
      <c r="R1859" s="263" t="str">
        <f>IFERROR(__xludf.DUMMYFUNCTION("IF(ISBLANK(A1859),"""",IFERROR(IF(OR(Q1859=""GPB"",Q1859=""ZAR""),IF(Q1859=Dashboard!$L$1,K1859,(K1859*GOOGLEFINANCE(""CURRENCY:""&amp;Q1859&amp;""""&amp;Dashboard!$L$1&amp;""""))/100),IF(Q1859=Dashboard!$L$1,K1859,K1859*GOOGLEFINANCE(""CURRENCY:""&amp;Q1859&amp;""""&amp;Dashboard!$"&amp;"L$1&amp;""""))),K1859))"),"")</f>
        <v/>
      </c>
      <c r="S1859" s="266" t="str">
        <f>IFERROR(__xludf.DUMMYFUNCTION("IF(ISBLANK(A1859),"""",IFERROR(IF(OR(Q1859=""GPB"",Q1859=""ZAR""),IF(Q1859=Dashboard!$L$1,M1859,(M1859*GOOGLEFINANCE(""CURRENCY:""&amp;Q1859&amp;""""&amp;Dashboard!$L$1&amp;""""))/100),IF(Q1859=Dashboard!$L$1,M1859,M1859*GOOGLEFINANCE(""CURRENCY:""&amp;Q1859&amp;""""&amp;Dashboard!$"&amp;"L$1&amp;""""))),M1859))"),"")</f>
        <v/>
      </c>
      <c r="T1859" s="264" t="str">
        <f t="shared" si="4"/>
        <v/>
      </c>
      <c r="U1859" s="264" t="str">
        <f t="shared" si="5"/>
        <v/>
      </c>
      <c r="V1859" s="264" t="str">
        <f t="shared" si="6"/>
        <v/>
      </c>
      <c r="W1859" s="267" t="str">
        <f t="shared" si="8"/>
        <v/>
      </c>
      <c r="X1859" s="264" t="str">
        <f t="shared" si="7"/>
        <v/>
      </c>
    </row>
    <row r="1860" ht="15.75" customHeight="1">
      <c r="A1860" s="258"/>
      <c r="B1860" s="258"/>
      <c r="C1860" s="269"/>
      <c r="D1860" s="258"/>
      <c r="E1860" s="258"/>
      <c r="F1860" s="258"/>
      <c r="G1860" s="258"/>
      <c r="H1860" s="271"/>
      <c r="I1860" s="258"/>
      <c r="J1860" s="272"/>
      <c r="K1860" s="260"/>
      <c r="L1860" s="261"/>
      <c r="M1860" s="262" t="str">
        <f t="shared" si="1"/>
        <v/>
      </c>
      <c r="N1860" s="263" t="str">
        <f t="shared" si="2"/>
        <v/>
      </c>
      <c r="O1860" s="264" t="str">
        <f t="shared" si="3"/>
        <v/>
      </c>
      <c r="P1860" s="265" t="str">
        <f>IFERROR(__xludf.DUMMYFUNCTION("IF(ISBLANK(A1860),"""",IFERROR(IF(H1860=""Sell"",VLOOKUP(9^99,FILTER({ROW(P$2:P1859),P$2:P1859},D$2:D1859=D1860),2),(VLOOKUP(9^99,FILTER({ROW(P$2:P1859),P$2:P1859},D$2:D1859=D1860),2)*VLOOKUP(9^99,FILTER({ROW(O$2:O1859),O$2:O1859},D$2:D1859=D1860),2)-N186"&amp;"0)/O1860),J1860))"),"")</f>
        <v/>
      </c>
      <c r="Q1860" s="264" t="str">
        <f>IFERROR(__xludf.DUMMYFUNCTION("IFERROR(IF(F1860=""Crypto"",B1860,(IF(ISBLANK(D1860),"""",IF(D1860=""Cash"",B1860,IF(GOOGLEFINANCE(D1860,""CURRENCY"")=""GBX"",""GBP"",GOOGLEFINANCE(D1860,""CURRENCY"")))))),B1860)"),"")</f>
        <v/>
      </c>
      <c r="R1860" s="263" t="str">
        <f>IFERROR(__xludf.DUMMYFUNCTION("IF(ISBLANK(A1860),"""",IFERROR(IF(OR(Q1860=""GPB"",Q1860=""ZAR""),IF(Q1860=Dashboard!$L$1,K1860,(K1860*GOOGLEFINANCE(""CURRENCY:""&amp;Q1860&amp;""""&amp;Dashboard!$L$1&amp;""""))/100),IF(Q1860=Dashboard!$L$1,K1860,K1860*GOOGLEFINANCE(""CURRENCY:""&amp;Q1860&amp;""""&amp;Dashboard!$"&amp;"L$1&amp;""""))),K1860))"),"")</f>
        <v/>
      </c>
      <c r="S1860" s="266" t="str">
        <f>IFERROR(__xludf.DUMMYFUNCTION("IF(ISBLANK(A1860),"""",IFERROR(IF(OR(Q1860=""GPB"",Q1860=""ZAR""),IF(Q1860=Dashboard!$L$1,M1860,(M1860*GOOGLEFINANCE(""CURRENCY:""&amp;Q1860&amp;""""&amp;Dashboard!$L$1&amp;""""))/100),IF(Q1860=Dashboard!$L$1,M1860,M1860*GOOGLEFINANCE(""CURRENCY:""&amp;Q1860&amp;""""&amp;Dashboard!$"&amp;"L$1&amp;""""))),M1860))"),"")</f>
        <v/>
      </c>
      <c r="T1860" s="264" t="str">
        <f t="shared" si="4"/>
        <v/>
      </c>
      <c r="U1860" s="264" t="str">
        <f t="shared" si="5"/>
        <v/>
      </c>
      <c r="V1860" s="264" t="str">
        <f t="shared" si="6"/>
        <v/>
      </c>
      <c r="W1860" s="267" t="str">
        <f t="shared" si="8"/>
        <v/>
      </c>
      <c r="X1860" s="264" t="str">
        <f t="shared" si="7"/>
        <v/>
      </c>
    </row>
    <row r="1861" ht="15.75" customHeight="1">
      <c r="A1861" s="258"/>
      <c r="B1861" s="258"/>
      <c r="C1861" s="269"/>
      <c r="D1861" s="258"/>
      <c r="E1861" s="258"/>
      <c r="F1861" s="258"/>
      <c r="G1861" s="258"/>
      <c r="H1861" s="271"/>
      <c r="I1861" s="258"/>
      <c r="J1861" s="272"/>
      <c r="K1861" s="260"/>
      <c r="L1861" s="261"/>
      <c r="M1861" s="262" t="str">
        <f t="shared" si="1"/>
        <v/>
      </c>
      <c r="N1861" s="263" t="str">
        <f t="shared" si="2"/>
        <v/>
      </c>
      <c r="O1861" s="264" t="str">
        <f t="shared" si="3"/>
        <v/>
      </c>
      <c r="P1861" s="265" t="str">
        <f>IFERROR(__xludf.DUMMYFUNCTION("IF(ISBLANK(A1861),"""",IFERROR(IF(H1861=""Sell"",VLOOKUP(9^99,FILTER({ROW(P$2:P1860),P$2:P1860},D$2:D1860=D1861),2),(VLOOKUP(9^99,FILTER({ROW(P$2:P1860),P$2:P1860},D$2:D1860=D1861),2)*VLOOKUP(9^99,FILTER({ROW(O$2:O1860),O$2:O1860},D$2:D1860=D1861),2)-N186"&amp;"1)/O1861),J1861))"),"")</f>
        <v/>
      </c>
      <c r="Q1861" s="264" t="str">
        <f>IFERROR(__xludf.DUMMYFUNCTION("IFERROR(IF(F1861=""Crypto"",B1861,(IF(ISBLANK(D1861),"""",IF(D1861=""Cash"",B1861,IF(GOOGLEFINANCE(D1861,""CURRENCY"")=""GBX"",""GBP"",GOOGLEFINANCE(D1861,""CURRENCY"")))))),B1861)"),"")</f>
        <v/>
      </c>
      <c r="R1861" s="263" t="str">
        <f>IFERROR(__xludf.DUMMYFUNCTION("IF(ISBLANK(A1861),"""",IFERROR(IF(OR(Q1861=""GPB"",Q1861=""ZAR""),IF(Q1861=Dashboard!$L$1,K1861,(K1861*GOOGLEFINANCE(""CURRENCY:""&amp;Q1861&amp;""""&amp;Dashboard!$L$1&amp;""""))/100),IF(Q1861=Dashboard!$L$1,K1861,K1861*GOOGLEFINANCE(""CURRENCY:""&amp;Q1861&amp;""""&amp;Dashboard!$"&amp;"L$1&amp;""""))),K1861))"),"")</f>
        <v/>
      </c>
      <c r="S1861" s="266" t="str">
        <f>IFERROR(__xludf.DUMMYFUNCTION("IF(ISBLANK(A1861),"""",IFERROR(IF(OR(Q1861=""GPB"",Q1861=""ZAR""),IF(Q1861=Dashboard!$L$1,M1861,(M1861*GOOGLEFINANCE(""CURRENCY:""&amp;Q1861&amp;""""&amp;Dashboard!$L$1&amp;""""))/100),IF(Q1861=Dashboard!$L$1,M1861,M1861*GOOGLEFINANCE(""CURRENCY:""&amp;Q1861&amp;""""&amp;Dashboard!$"&amp;"L$1&amp;""""))),M1861))"),"")</f>
        <v/>
      </c>
      <c r="T1861" s="264" t="str">
        <f t="shared" si="4"/>
        <v/>
      </c>
      <c r="U1861" s="264" t="str">
        <f t="shared" si="5"/>
        <v/>
      </c>
      <c r="V1861" s="264" t="str">
        <f t="shared" si="6"/>
        <v/>
      </c>
      <c r="W1861" s="267" t="str">
        <f t="shared" si="8"/>
        <v/>
      </c>
      <c r="X1861" s="264" t="str">
        <f t="shared" si="7"/>
        <v/>
      </c>
    </row>
    <row r="1862" ht="15.75" customHeight="1">
      <c r="A1862" s="258"/>
      <c r="B1862" s="258"/>
      <c r="C1862" s="269"/>
      <c r="D1862" s="258"/>
      <c r="E1862" s="258"/>
      <c r="F1862" s="258"/>
      <c r="G1862" s="258"/>
      <c r="H1862" s="271"/>
      <c r="I1862" s="258"/>
      <c r="J1862" s="272"/>
      <c r="K1862" s="260"/>
      <c r="L1862" s="261"/>
      <c r="M1862" s="262" t="str">
        <f t="shared" si="1"/>
        <v/>
      </c>
      <c r="N1862" s="263" t="str">
        <f t="shared" si="2"/>
        <v/>
      </c>
      <c r="O1862" s="264" t="str">
        <f t="shared" si="3"/>
        <v/>
      </c>
      <c r="P1862" s="265" t="str">
        <f>IFERROR(__xludf.DUMMYFUNCTION("IF(ISBLANK(A1862),"""",IFERROR(IF(H1862=""Sell"",VLOOKUP(9^99,FILTER({ROW(P$2:P1861),P$2:P1861},D$2:D1861=D1862),2),(VLOOKUP(9^99,FILTER({ROW(P$2:P1861),P$2:P1861},D$2:D1861=D1862),2)*VLOOKUP(9^99,FILTER({ROW(O$2:O1861),O$2:O1861},D$2:D1861=D1862),2)-N186"&amp;"2)/O1862),J1862))"),"")</f>
        <v/>
      </c>
      <c r="Q1862" s="264" t="str">
        <f>IFERROR(__xludf.DUMMYFUNCTION("IFERROR(IF(F1862=""Crypto"",B1862,(IF(ISBLANK(D1862),"""",IF(D1862=""Cash"",B1862,IF(GOOGLEFINANCE(D1862,""CURRENCY"")=""GBX"",""GBP"",GOOGLEFINANCE(D1862,""CURRENCY"")))))),B1862)"),"")</f>
        <v/>
      </c>
      <c r="R1862" s="263" t="str">
        <f>IFERROR(__xludf.DUMMYFUNCTION("IF(ISBLANK(A1862),"""",IFERROR(IF(OR(Q1862=""GPB"",Q1862=""ZAR""),IF(Q1862=Dashboard!$L$1,K1862,(K1862*GOOGLEFINANCE(""CURRENCY:""&amp;Q1862&amp;""""&amp;Dashboard!$L$1&amp;""""))/100),IF(Q1862=Dashboard!$L$1,K1862,K1862*GOOGLEFINANCE(""CURRENCY:""&amp;Q1862&amp;""""&amp;Dashboard!$"&amp;"L$1&amp;""""))),K1862))"),"")</f>
        <v/>
      </c>
      <c r="S1862" s="266" t="str">
        <f>IFERROR(__xludf.DUMMYFUNCTION("IF(ISBLANK(A1862),"""",IFERROR(IF(OR(Q1862=""GPB"",Q1862=""ZAR""),IF(Q1862=Dashboard!$L$1,M1862,(M1862*GOOGLEFINANCE(""CURRENCY:""&amp;Q1862&amp;""""&amp;Dashboard!$L$1&amp;""""))/100),IF(Q1862=Dashboard!$L$1,M1862,M1862*GOOGLEFINANCE(""CURRENCY:""&amp;Q1862&amp;""""&amp;Dashboard!$"&amp;"L$1&amp;""""))),M1862))"),"")</f>
        <v/>
      </c>
      <c r="T1862" s="264" t="str">
        <f t="shared" si="4"/>
        <v/>
      </c>
      <c r="U1862" s="264" t="str">
        <f t="shared" si="5"/>
        <v/>
      </c>
      <c r="V1862" s="264" t="str">
        <f t="shared" si="6"/>
        <v/>
      </c>
      <c r="W1862" s="267" t="str">
        <f t="shared" si="8"/>
        <v/>
      </c>
      <c r="X1862" s="264" t="str">
        <f t="shared" si="7"/>
        <v/>
      </c>
    </row>
    <row r="1863" ht="15.75" customHeight="1">
      <c r="A1863" s="258"/>
      <c r="B1863" s="258"/>
      <c r="C1863" s="269"/>
      <c r="D1863" s="258"/>
      <c r="E1863" s="258"/>
      <c r="F1863" s="258"/>
      <c r="G1863" s="258"/>
      <c r="H1863" s="271"/>
      <c r="I1863" s="258"/>
      <c r="J1863" s="272"/>
      <c r="K1863" s="260"/>
      <c r="L1863" s="261"/>
      <c r="M1863" s="262" t="str">
        <f t="shared" si="1"/>
        <v/>
      </c>
      <c r="N1863" s="263" t="str">
        <f t="shared" si="2"/>
        <v/>
      </c>
      <c r="O1863" s="264" t="str">
        <f t="shared" si="3"/>
        <v/>
      </c>
      <c r="P1863" s="265" t="str">
        <f>IFERROR(__xludf.DUMMYFUNCTION("IF(ISBLANK(A1863),"""",IFERROR(IF(H1863=""Sell"",VLOOKUP(9^99,FILTER({ROW(P$2:P1862),P$2:P1862},D$2:D1862=D1863),2),(VLOOKUP(9^99,FILTER({ROW(P$2:P1862),P$2:P1862},D$2:D1862=D1863),2)*VLOOKUP(9^99,FILTER({ROW(O$2:O1862),O$2:O1862},D$2:D1862=D1863),2)-N186"&amp;"3)/O1863),J1863))"),"")</f>
        <v/>
      </c>
      <c r="Q1863" s="264" t="str">
        <f>IFERROR(__xludf.DUMMYFUNCTION("IFERROR(IF(F1863=""Crypto"",B1863,(IF(ISBLANK(D1863),"""",IF(D1863=""Cash"",B1863,IF(GOOGLEFINANCE(D1863,""CURRENCY"")=""GBX"",""GBP"",GOOGLEFINANCE(D1863,""CURRENCY"")))))),B1863)"),"")</f>
        <v/>
      </c>
      <c r="R1863" s="263" t="str">
        <f>IFERROR(__xludf.DUMMYFUNCTION("IF(ISBLANK(A1863),"""",IFERROR(IF(OR(Q1863=""GPB"",Q1863=""ZAR""),IF(Q1863=Dashboard!$L$1,K1863,(K1863*GOOGLEFINANCE(""CURRENCY:""&amp;Q1863&amp;""""&amp;Dashboard!$L$1&amp;""""))/100),IF(Q1863=Dashboard!$L$1,K1863,K1863*GOOGLEFINANCE(""CURRENCY:""&amp;Q1863&amp;""""&amp;Dashboard!$"&amp;"L$1&amp;""""))),K1863))"),"")</f>
        <v/>
      </c>
      <c r="S1863" s="266" t="str">
        <f>IFERROR(__xludf.DUMMYFUNCTION("IF(ISBLANK(A1863),"""",IFERROR(IF(OR(Q1863=""GPB"",Q1863=""ZAR""),IF(Q1863=Dashboard!$L$1,M1863,(M1863*GOOGLEFINANCE(""CURRENCY:""&amp;Q1863&amp;""""&amp;Dashboard!$L$1&amp;""""))/100),IF(Q1863=Dashboard!$L$1,M1863,M1863*GOOGLEFINANCE(""CURRENCY:""&amp;Q1863&amp;""""&amp;Dashboard!$"&amp;"L$1&amp;""""))),M1863))"),"")</f>
        <v/>
      </c>
      <c r="T1863" s="264" t="str">
        <f t="shared" si="4"/>
        <v/>
      </c>
      <c r="U1863" s="264" t="str">
        <f t="shared" si="5"/>
        <v/>
      </c>
      <c r="V1863" s="264" t="str">
        <f t="shared" si="6"/>
        <v/>
      </c>
      <c r="W1863" s="267" t="str">
        <f t="shared" si="8"/>
        <v/>
      </c>
      <c r="X1863" s="264" t="str">
        <f t="shared" si="7"/>
        <v/>
      </c>
    </row>
    <row r="1864" ht="15.75" customHeight="1">
      <c r="A1864" s="258"/>
      <c r="B1864" s="258"/>
      <c r="C1864" s="269"/>
      <c r="D1864" s="258"/>
      <c r="E1864" s="258"/>
      <c r="F1864" s="258"/>
      <c r="G1864" s="258"/>
      <c r="H1864" s="271"/>
      <c r="I1864" s="258"/>
      <c r="J1864" s="272"/>
      <c r="K1864" s="260"/>
      <c r="L1864" s="261"/>
      <c r="M1864" s="262" t="str">
        <f t="shared" si="1"/>
        <v/>
      </c>
      <c r="N1864" s="263" t="str">
        <f t="shared" si="2"/>
        <v/>
      </c>
      <c r="O1864" s="264" t="str">
        <f t="shared" si="3"/>
        <v/>
      </c>
      <c r="P1864" s="265" t="str">
        <f>IFERROR(__xludf.DUMMYFUNCTION("IF(ISBLANK(A1864),"""",IFERROR(IF(H1864=""Sell"",VLOOKUP(9^99,FILTER({ROW(P$2:P1863),P$2:P1863},D$2:D1863=D1864),2),(VLOOKUP(9^99,FILTER({ROW(P$2:P1863),P$2:P1863},D$2:D1863=D1864),2)*VLOOKUP(9^99,FILTER({ROW(O$2:O1863),O$2:O1863},D$2:D1863=D1864),2)-N186"&amp;"4)/O1864),J1864))"),"")</f>
        <v/>
      </c>
      <c r="Q1864" s="264" t="str">
        <f>IFERROR(__xludf.DUMMYFUNCTION("IFERROR(IF(F1864=""Crypto"",B1864,(IF(ISBLANK(D1864),"""",IF(D1864=""Cash"",B1864,IF(GOOGLEFINANCE(D1864,""CURRENCY"")=""GBX"",""GBP"",GOOGLEFINANCE(D1864,""CURRENCY"")))))),B1864)"),"")</f>
        <v/>
      </c>
      <c r="R1864" s="263" t="str">
        <f>IFERROR(__xludf.DUMMYFUNCTION("IF(ISBLANK(A1864),"""",IFERROR(IF(OR(Q1864=""GPB"",Q1864=""ZAR""),IF(Q1864=Dashboard!$L$1,K1864,(K1864*GOOGLEFINANCE(""CURRENCY:""&amp;Q1864&amp;""""&amp;Dashboard!$L$1&amp;""""))/100),IF(Q1864=Dashboard!$L$1,K1864,K1864*GOOGLEFINANCE(""CURRENCY:""&amp;Q1864&amp;""""&amp;Dashboard!$"&amp;"L$1&amp;""""))),K1864))"),"")</f>
        <v/>
      </c>
      <c r="S1864" s="266" t="str">
        <f>IFERROR(__xludf.DUMMYFUNCTION("IF(ISBLANK(A1864),"""",IFERROR(IF(OR(Q1864=""GPB"",Q1864=""ZAR""),IF(Q1864=Dashboard!$L$1,M1864,(M1864*GOOGLEFINANCE(""CURRENCY:""&amp;Q1864&amp;""""&amp;Dashboard!$L$1&amp;""""))/100),IF(Q1864=Dashboard!$L$1,M1864,M1864*GOOGLEFINANCE(""CURRENCY:""&amp;Q1864&amp;""""&amp;Dashboard!$"&amp;"L$1&amp;""""))),M1864))"),"")</f>
        <v/>
      </c>
      <c r="T1864" s="264" t="str">
        <f t="shared" si="4"/>
        <v/>
      </c>
      <c r="U1864" s="264" t="str">
        <f t="shared" si="5"/>
        <v/>
      </c>
      <c r="V1864" s="264" t="str">
        <f t="shared" si="6"/>
        <v/>
      </c>
      <c r="W1864" s="267" t="str">
        <f t="shared" si="8"/>
        <v/>
      </c>
      <c r="X1864" s="264" t="str">
        <f t="shared" si="7"/>
        <v/>
      </c>
    </row>
    <row r="1865" ht="15.75" customHeight="1">
      <c r="A1865" s="258"/>
      <c r="B1865" s="258"/>
      <c r="C1865" s="269"/>
      <c r="D1865" s="258"/>
      <c r="E1865" s="258"/>
      <c r="F1865" s="258"/>
      <c r="G1865" s="258"/>
      <c r="H1865" s="271"/>
      <c r="I1865" s="258"/>
      <c r="J1865" s="272"/>
      <c r="K1865" s="260"/>
      <c r="L1865" s="261"/>
      <c r="M1865" s="262" t="str">
        <f t="shared" si="1"/>
        <v/>
      </c>
      <c r="N1865" s="263" t="str">
        <f t="shared" si="2"/>
        <v/>
      </c>
      <c r="O1865" s="264" t="str">
        <f t="shared" si="3"/>
        <v/>
      </c>
      <c r="P1865" s="265" t="str">
        <f>IFERROR(__xludf.DUMMYFUNCTION("IF(ISBLANK(A1865),"""",IFERROR(IF(H1865=""Sell"",VLOOKUP(9^99,FILTER({ROW(P$2:P1864),P$2:P1864},D$2:D1864=D1865),2),(VLOOKUP(9^99,FILTER({ROW(P$2:P1864),P$2:P1864},D$2:D1864=D1865),2)*VLOOKUP(9^99,FILTER({ROW(O$2:O1864),O$2:O1864},D$2:D1864=D1865),2)-N186"&amp;"5)/O1865),J1865))"),"")</f>
        <v/>
      </c>
      <c r="Q1865" s="264" t="str">
        <f>IFERROR(__xludf.DUMMYFUNCTION("IFERROR(IF(F1865=""Crypto"",B1865,(IF(ISBLANK(D1865),"""",IF(D1865=""Cash"",B1865,IF(GOOGLEFINANCE(D1865,""CURRENCY"")=""GBX"",""GBP"",GOOGLEFINANCE(D1865,""CURRENCY"")))))),B1865)"),"")</f>
        <v/>
      </c>
      <c r="R1865" s="263" t="str">
        <f>IFERROR(__xludf.DUMMYFUNCTION("IF(ISBLANK(A1865),"""",IFERROR(IF(OR(Q1865=""GPB"",Q1865=""ZAR""),IF(Q1865=Dashboard!$L$1,K1865,(K1865*GOOGLEFINANCE(""CURRENCY:""&amp;Q1865&amp;""""&amp;Dashboard!$L$1&amp;""""))/100),IF(Q1865=Dashboard!$L$1,K1865,K1865*GOOGLEFINANCE(""CURRENCY:""&amp;Q1865&amp;""""&amp;Dashboard!$"&amp;"L$1&amp;""""))),K1865))"),"")</f>
        <v/>
      </c>
      <c r="S1865" s="266" t="str">
        <f>IFERROR(__xludf.DUMMYFUNCTION("IF(ISBLANK(A1865),"""",IFERROR(IF(OR(Q1865=""GPB"",Q1865=""ZAR""),IF(Q1865=Dashboard!$L$1,M1865,(M1865*GOOGLEFINANCE(""CURRENCY:""&amp;Q1865&amp;""""&amp;Dashboard!$L$1&amp;""""))/100),IF(Q1865=Dashboard!$L$1,M1865,M1865*GOOGLEFINANCE(""CURRENCY:""&amp;Q1865&amp;""""&amp;Dashboard!$"&amp;"L$1&amp;""""))),M1865))"),"")</f>
        <v/>
      </c>
      <c r="T1865" s="264" t="str">
        <f t="shared" si="4"/>
        <v/>
      </c>
      <c r="U1865" s="264" t="str">
        <f t="shared" si="5"/>
        <v/>
      </c>
      <c r="V1865" s="264" t="str">
        <f t="shared" si="6"/>
        <v/>
      </c>
      <c r="W1865" s="267" t="str">
        <f t="shared" si="8"/>
        <v/>
      </c>
      <c r="X1865" s="264" t="str">
        <f t="shared" si="7"/>
        <v/>
      </c>
    </row>
    <row r="1866" ht="15.75" customHeight="1">
      <c r="A1866" s="258"/>
      <c r="B1866" s="258"/>
      <c r="C1866" s="269"/>
      <c r="D1866" s="258"/>
      <c r="E1866" s="258"/>
      <c r="F1866" s="258"/>
      <c r="G1866" s="258"/>
      <c r="H1866" s="271"/>
      <c r="I1866" s="258"/>
      <c r="J1866" s="272"/>
      <c r="K1866" s="260"/>
      <c r="L1866" s="261"/>
      <c r="M1866" s="262" t="str">
        <f t="shared" si="1"/>
        <v/>
      </c>
      <c r="N1866" s="263" t="str">
        <f t="shared" si="2"/>
        <v/>
      </c>
      <c r="O1866" s="264" t="str">
        <f t="shared" si="3"/>
        <v/>
      </c>
      <c r="P1866" s="265" t="str">
        <f>IFERROR(__xludf.DUMMYFUNCTION("IF(ISBLANK(A1866),"""",IFERROR(IF(H1866=""Sell"",VLOOKUP(9^99,FILTER({ROW(P$2:P1865),P$2:P1865},D$2:D1865=D1866),2),(VLOOKUP(9^99,FILTER({ROW(P$2:P1865),P$2:P1865},D$2:D1865=D1866),2)*VLOOKUP(9^99,FILTER({ROW(O$2:O1865),O$2:O1865},D$2:D1865=D1866),2)-N186"&amp;"6)/O1866),J1866))"),"")</f>
        <v/>
      </c>
      <c r="Q1866" s="264" t="str">
        <f>IFERROR(__xludf.DUMMYFUNCTION("IFERROR(IF(F1866=""Crypto"",B1866,(IF(ISBLANK(D1866),"""",IF(D1866=""Cash"",B1866,IF(GOOGLEFINANCE(D1866,""CURRENCY"")=""GBX"",""GBP"",GOOGLEFINANCE(D1866,""CURRENCY"")))))),B1866)"),"")</f>
        <v/>
      </c>
      <c r="R1866" s="263" t="str">
        <f>IFERROR(__xludf.DUMMYFUNCTION("IF(ISBLANK(A1866),"""",IFERROR(IF(OR(Q1866=""GPB"",Q1866=""ZAR""),IF(Q1866=Dashboard!$L$1,K1866,(K1866*GOOGLEFINANCE(""CURRENCY:""&amp;Q1866&amp;""""&amp;Dashboard!$L$1&amp;""""))/100),IF(Q1866=Dashboard!$L$1,K1866,K1866*GOOGLEFINANCE(""CURRENCY:""&amp;Q1866&amp;""""&amp;Dashboard!$"&amp;"L$1&amp;""""))),K1866))"),"")</f>
        <v/>
      </c>
      <c r="S1866" s="266" t="str">
        <f>IFERROR(__xludf.DUMMYFUNCTION("IF(ISBLANK(A1866),"""",IFERROR(IF(OR(Q1866=""GPB"",Q1866=""ZAR""),IF(Q1866=Dashboard!$L$1,M1866,(M1866*GOOGLEFINANCE(""CURRENCY:""&amp;Q1866&amp;""""&amp;Dashboard!$L$1&amp;""""))/100),IF(Q1866=Dashboard!$L$1,M1866,M1866*GOOGLEFINANCE(""CURRENCY:""&amp;Q1866&amp;""""&amp;Dashboard!$"&amp;"L$1&amp;""""))),M1866))"),"")</f>
        <v/>
      </c>
      <c r="T1866" s="264" t="str">
        <f t="shared" si="4"/>
        <v/>
      </c>
      <c r="U1866" s="264" t="str">
        <f t="shared" si="5"/>
        <v/>
      </c>
      <c r="V1866" s="264" t="str">
        <f t="shared" si="6"/>
        <v/>
      </c>
      <c r="W1866" s="267" t="str">
        <f t="shared" si="8"/>
        <v/>
      </c>
      <c r="X1866" s="264" t="str">
        <f t="shared" si="7"/>
        <v/>
      </c>
    </row>
    <row r="1867" ht="15.75" customHeight="1">
      <c r="A1867" s="258"/>
      <c r="B1867" s="258"/>
      <c r="C1867" s="269"/>
      <c r="D1867" s="258"/>
      <c r="E1867" s="258"/>
      <c r="F1867" s="258"/>
      <c r="G1867" s="258"/>
      <c r="H1867" s="271"/>
      <c r="I1867" s="258"/>
      <c r="J1867" s="272"/>
      <c r="K1867" s="260"/>
      <c r="L1867" s="261"/>
      <c r="M1867" s="262" t="str">
        <f t="shared" si="1"/>
        <v/>
      </c>
      <c r="N1867" s="263" t="str">
        <f t="shared" si="2"/>
        <v/>
      </c>
      <c r="O1867" s="264" t="str">
        <f t="shared" si="3"/>
        <v/>
      </c>
      <c r="P1867" s="265" t="str">
        <f>IFERROR(__xludf.DUMMYFUNCTION("IF(ISBLANK(A1867),"""",IFERROR(IF(H1867=""Sell"",VLOOKUP(9^99,FILTER({ROW(P$2:P1866),P$2:P1866},D$2:D1866=D1867),2),(VLOOKUP(9^99,FILTER({ROW(P$2:P1866),P$2:P1866},D$2:D1866=D1867),2)*VLOOKUP(9^99,FILTER({ROW(O$2:O1866),O$2:O1866},D$2:D1866=D1867),2)-N186"&amp;"7)/O1867),J1867))"),"")</f>
        <v/>
      </c>
      <c r="Q1867" s="264" t="str">
        <f>IFERROR(__xludf.DUMMYFUNCTION("IFERROR(IF(F1867=""Crypto"",B1867,(IF(ISBLANK(D1867),"""",IF(D1867=""Cash"",B1867,IF(GOOGLEFINANCE(D1867,""CURRENCY"")=""GBX"",""GBP"",GOOGLEFINANCE(D1867,""CURRENCY"")))))),B1867)"),"")</f>
        <v/>
      </c>
      <c r="R1867" s="263" t="str">
        <f>IFERROR(__xludf.DUMMYFUNCTION("IF(ISBLANK(A1867),"""",IFERROR(IF(OR(Q1867=""GPB"",Q1867=""ZAR""),IF(Q1867=Dashboard!$L$1,K1867,(K1867*GOOGLEFINANCE(""CURRENCY:""&amp;Q1867&amp;""""&amp;Dashboard!$L$1&amp;""""))/100),IF(Q1867=Dashboard!$L$1,K1867,K1867*GOOGLEFINANCE(""CURRENCY:""&amp;Q1867&amp;""""&amp;Dashboard!$"&amp;"L$1&amp;""""))),K1867))"),"")</f>
        <v/>
      </c>
      <c r="S1867" s="266" t="str">
        <f>IFERROR(__xludf.DUMMYFUNCTION("IF(ISBLANK(A1867),"""",IFERROR(IF(OR(Q1867=""GPB"",Q1867=""ZAR""),IF(Q1867=Dashboard!$L$1,M1867,(M1867*GOOGLEFINANCE(""CURRENCY:""&amp;Q1867&amp;""""&amp;Dashboard!$L$1&amp;""""))/100),IF(Q1867=Dashboard!$L$1,M1867,M1867*GOOGLEFINANCE(""CURRENCY:""&amp;Q1867&amp;""""&amp;Dashboard!$"&amp;"L$1&amp;""""))),M1867))"),"")</f>
        <v/>
      </c>
      <c r="T1867" s="264" t="str">
        <f t="shared" si="4"/>
        <v/>
      </c>
      <c r="U1867" s="264" t="str">
        <f t="shared" si="5"/>
        <v/>
      </c>
      <c r="V1867" s="264" t="str">
        <f t="shared" si="6"/>
        <v/>
      </c>
      <c r="W1867" s="267" t="str">
        <f t="shared" si="8"/>
        <v/>
      </c>
      <c r="X1867" s="264" t="str">
        <f t="shared" si="7"/>
        <v/>
      </c>
    </row>
    <row r="1868" ht="15.75" customHeight="1">
      <c r="A1868" s="258"/>
      <c r="B1868" s="258"/>
      <c r="C1868" s="269"/>
      <c r="D1868" s="258"/>
      <c r="E1868" s="258"/>
      <c r="F1868" s="258"/>
      <c r="G1868" s="258"/>
      <c r="H1868" s="271"/>
      <c r="I1868" s="258"/>
      <c r="J1868" s="272"/>
      <c r="K1868" s="260"/>
      <c r="L1868" s="261"/>
      <c r="M1868" s="262" t="str">
        <f t="shared" si="1"/>
        <v/>
      </c>
      <c r="N1868" s="263" t="str">
        <f t="shared" si="2"/>
        <v/>
      </c>
      <c r="O1868" s="264" t="str">
        <f t="shared" si="3"/>
        <v/>
      </c>
      <c r="P1868" s="265" t="str">
        <f>IFERROR(__xludf.DUMMYFUNCTION("IF(ISBLANK(A1868),"""",IFERROR(IF(H1868=""Sell"",VLOOKUP(9^99,FILTER({ROW(P$2:P1867),P$2:P1867},D$2:D1867=D1868),2),(VLOOKUP(9^99,FILTER({ROW(P$2:P1867),P$2:P1867},D$2:D1867=D1868),2)*VLOOKUP(9^99,FILTER({ROW(O$2:O1867),O$2:O1867},D$2:D1867=D1868),2)-N186"&amp;"8)/O1868),J1868))"),"")</f>
        <v/>
      </c>
      <c r="Q1868" s="264" t="str">
        <f>IFERROR(__xludf.DUMMYFUNCTION("IFERROR(IF(F1868=""Crypto"",B1868,(IF(ISBLANK(D1868),"""",IF(D1868=""Cash"",B1868,IF(GOOGLEFINANCE(D1868,""CURRENCY"")=""GBX"",""GBP"",GOOGLEFINANCE(D1868,""CURRENCY"")))))),B1868)"),"")</f>
        <v/>
      </c>
      <c r="R1868" s="263" t="str">
        <f>IFERROR(__xludf.DUMMYFUNCTION("IF(ISBLANK(A1868),"""",IFERROR(IF(OR(Q1868=""GPB"",Q1868=""ZAR""),IF(Q1868=Dashboard!$L$1,K1868,(K1868*GOOGLEFINANCE(""CURRENCY:""&amp;Q1868&amp;""""&amp;Dashboard!$L$1&amp;""""))/100),IF(Q1868=Dashboard!$L$1,K1868,K1868*GOOGLEFINANCE(""CURRENCY:""&amp;Q1868&amp;""""&amp;Dashboard!$"&amp;"L$1&amp;""""))),K1868))"),"")</f>
        <v/>
      </c>
      <c r="S1868" s="266" t="str">
        <f>IFERROR(__xludf.DUMMYFUNCTION("IF(ISBLANK(A1868),"""",IFERROR(IF(OR(Q1868=""GPB"",Q1868=""ZAR""),IF(Q1868=Dashboard!$L$1,M1868,(M1868*GOOGLEFINANCE(""CURRENCY:""&amp;Q1868&amp;""""&amp;Dashboard!$L$1&amp;""""))/100),IF(Q1868=Dashboard!$L$1,M1868,M1868*GOOGLEFINANCE(""CURRENCY:""&amp;Q1868&amp;""""&amp;Dashboard!$"&amp;"L$1&amp;""""))),M1868))"),"")</f>
        <v/>
      </c>
      <c r="T1868" s="264" t="str">
        <f t="shared" si="4"/>
        <v/>
      </c>
      <c r="U1868" s="264" t="str">
        <f t="shared" si="5"/>
        <v/>
      </c>
      <c r="V1868" s="264" t="str">
        <f t="shared" si="6"/>
        <v/>
      </c>
      <c r="W1868" s="267" t="str">
        <f t="shared" si="8"/>
        <v/>
      </c>
      <c r="X1868" s="264" t="str">
        <f t="shared" si="7"/>
        <v/>
      </c>
    </row>
    <row r="1869" ht="15.75" customHeight="1">
      <c r="A1869" s="258"/>
      <c r="B1869" s="258"/>
      <c r="C1869" s="269"/>
      <c r="D1869" s="258"/>
      <c r="E1869" s="258"/>
      <c r="F1869" s="258"/>
      <c r="G1869" s="258"/>
      <c r="H1869" s="271"/>
      <c r="I1869" s="258"/>
      <c r="J1869" s="272"/>
      <c r="K1869" s="260"/>
      <c r="L1869" s="261"/>
      <c r="M1869" s="262" t="str">
        <f t="shared" si="1"/>
        <v/>
      </c>
      <c r="N1869" s="263" t="str">
        <f t="shared" si="2"/>
        <v/>
      </c>
      <c r="O1869" s="264" t="str">
        <f t="shared" si="3"/>
        <v/>
      </c>
      <c r="P1869" s="265" t="str">
        <f>IFERROR(__xludf.DUMMYFUNCTION("IF(ISBLANK(A1869),"""",IFERROR(IF(H1869=""Sell"",VLOOKUP(9^99,FILTER({ROW(P$2:P1868),P$2:P1868},D$2:D1868=D1869),2),(VLOOKUP(9^99,FILTER({ROW(P$2:P1868),P$2:P1868},D$2:D1868=D1869),2)*VLOOKUP(9^99,FILTER({ROW(O$2:O1868),O$2:O1868},D$2:D1868=D1869),2)-N186"&amp;"9)/O1869),J1869))"),"")</f>
        <v/>
      </c>
      <c r="Q1869" s="264" t="str">
        <f>IFERROR(__xludf.DUMMYFUNCTION("IFERROR(IF(F1869=""Crypto"",B1869,(IF(ISBLANK(D1869),"""",IF(D1869=""Cash"",B1869,IF(GOOGLEFINANCE(D1869,""CURRENCY"")=""GBX"",""GBP"",GOOGLEFINANCE(D1869,""CURRENCY"")))))),B1869)"),"")</f>
        <v/>
      </c>
      <c r="R1869" s="263" t="str">
        <f>IFERROR(__xludf.DUMMYFUNCTION("IF(ISBLANK(A1869),"""",IFERROR(IF(OR(Q1869=""GPB"",Q1869=""ZAR""),IF(Q1869=Dashboard!$L$1,K1869,(K1869*GOOGLEFINANCE(""CURRENCY:""&amp;Q1869&amp;""""&amp;Dashboard!$L$1&amp;""""))/100),IF(Q1869=Dashboard!$L$1,K1869,K1869*GOOGLEFINANCE(""CURRENCY:""&amp;Q1869&amp;""""&amp;Dashboard!$"&amp;"L$1&amp;""""))),K1869))"),"")</f>
        <v/>
      </c>
      <c r="S1869" s="266" t="str">
        <f>IFERROR(__xludf.DUMMYFUNCTION("IF(ISBLANK(A1869),"""",IFERROR(IF(OR(Q1869=""GPB"",Q1869=""ZAR""),IF(Q1869=Dashboard!$L$1,M1869,(M1869*GOOGLEFINANCE(""CURRENCY:""&amp;Q1869&amp;""""&amp;Dashboard!$L$1&amp;""""))/100),IF(Q1869=Dashboard!$L$1,M1869,M1869*GOOGLEFINANCE(""CURRENCY:""&amp;Q1869&amp;""""&amp;Dashboard!$"&amp;"L$1&amp;""""))),M1869))"),"")</f>
        <v/>
      </c>
      <c r="T1869" s="264" t="str">
        <f t="shared" si="4"/>
        <v/>
      </c>
      <c r="U1869" s="264" t="str">
        <f t="shared" si="5"/>
        <v/>
      </c>
      <c r="V1869" s="264" t="str">
        <f t="shared" si="6"/>
        <v/>
      </c>
      <c r="W1869" s="267" t="str">
        <f t="shared" si="8"/>
        <v/>
      </c>
      <c r="X1869" s="264" t="str">
        <f t="shared" si="7"/>
        <v/>
      </c>
    </row>
    <row r="1870" ht="15.75" customHeight="1">
      <c r="A1870" s="258"/>
      <c r="B1870" s="258"/>
      <c r="C1870" s="269"/>
      <c r="D1870" s="258"/>
      <c r="E1870" s="258"/>
      <c r="F1870" s="258"/>
      <c r="G1870" s="258"/>
      <c r="H1870" s="271"/>
      <c r="I1870" s="258"/>
      <c r="J1870" s="272"/>
      <c r="K1870" s="260"/>
      <c r="L1870" s="261"/>
      <c r="M1870" s="262" t="str">
        <f t="shared" si="1"/>
        <v/>
      </c>
      <c r="N1870" s="263" t="str">
        <f t="shared" si="2"/>
        <v/>
      </c>
      <c r="O1870" s="264" t="str">
        <f t="shared" si="3"/>
        <v/>
      </c>
      <c r="P1870" s="265" t="str">
        <f>IFERROR(__xludf.DUMMYFUNCTION("IF(ISBLANK(A1870),"""",IFERROR(IF(H1870=""Sell"",VLOOKUP(9^99,FILTER({ROW(P$2:P1869),P$2:P1869},D$2:D1869=D1870),2),(VLOOKUP(9^99,FILTER({ROW(P$2:P1869),P$2:P1869},D$2:D1869=D1870),2)*VLOOKUP(9^99,FILTER({ROW(O$2:O1869),O$2:O1869},D$2:D1869=D1870),2)-N187"&amp;"0)/O1870),J1870))"),"")</f>
        <v/>
      </c>
      <c r="Q1870" s="264" t="str">
        <f>IFERROR(__xludf.DUMMYFUNCTION("IFERROR(IF(F1870=""Crypto"",B1870,(IF(ISBLANK(D1870),"""",IF(D1870=""Cash"",B1870,IF(GOOGLEFINANCE(D1870,""CURRENCY"")=""GBX"",""GBP"",GOOGLEFINANCE(D1870,""CURRENCY"")))))),B1870)"),"")</f>
        <v/>
      </c>
      <c r="R1870" s="263" t="str">
        <f>IFERROR(__xludf.DUMMYFUNCTION("IF(ISBLANK(A1870),"""",IFERROR(IF(OR(Q1870=""GPB"",Q1870=""ZAR""),IF(Q1870=Dashboard!$L$1,K1870,(K1870*GOOGLEFINANCE(""CURRENCY:""&amp;Q1870&amp;""""&amp;Dashboard!$L$1&amp;""""))/100),IF(Q1870=Dashboard!$L$1,K1870,K1870*GOOGLEFINANCE(""CURRENCY:""&amp;Q1870&amp;""""&amp;Dashboard!$"&amp;"L$1&amp;""""))),K1870))"),"")</f>
        <v/>
      </c>
      <c r="S1870" s="266" t="str">
        <f>IFERROR(__xludf.DUMMYFUNCTION("IF(ISBLANK(A1870),"""",IFERROR(IF(OR(Q1870=""GPB"",Q1870=""ZAR""),IF(Q1870=Dashboard!$L$1,M1870,(M1870*GOOGLEFINANCE(""CURRENCY:""&amp;Q1870&amp;""""&amp;Dashboard!$L$1&amp;""""))/100),IF(Q1870=Dashboard!$L$1,M1870,M1870*GOOGLEFINANCE(""CURRENCY:""&amp;Q1870&amp;""""&amp;Dashboard!$"&amp;"L$1&amp;""""))),M1870))"),"")</f>
        <v/>
      </c>
      <c r="T1870" s="264" t="str">
        <f t="shared" si="4"/>
        <v/>
      </c>
      <c r="U1870" s="264" t="str">
        <f t="shared" si="5"/>
        <v/>
      </c>
      <c r="V1870" s="264" t="str">
        <f t="shared" si="6"/>
        <v/>
      </c>
      <c r="W1870" s="267" t="str">
        <f t="shared" si="8"/>
        <v/>
      </c>
      <c r="X1870" s="264" t="str">
        <f t="shared" si="7"/>
        <v/>
      </c>
    </row>
    <row r="1871" ht="15.75" customHeight="1">
      <c r="A1871" s="258"/>
      <c r="B1871" s="258"/>
      <c r="C1871" s="269"/>
      <c r="D1871" s="258"/>
      <c r="E1871" s="258"/>
      <c r="F1871" s="258"/>
      <c r="G1871" s="258"/>
      <c r="H1871" s="271"/>
      <c r="I1871" s="258"/>
      <c r="J1871" s="272"/>
      <c r="K1871" s="260"/>
      <c r="L1871" s="261"/>
      <c r="M1871" s="262" t="str">
        <f t="shared" si="1"/>
        <v/>
      </c>
      <c r="N1871" s="263" t="str">
        <f t="shared" si="2"/>
        <v/>
      </c>
      <c r="O1871" s="264" t="str">
        <f t="shared" si="3"/>
        <v/>
      </c>
      <c r="P1871" s="265" t="str">
        <f>IFERROR(__xludf.DUMMYFUNCTION("IF(ISBLANK(A1871),"""",IFERROR(IF(H1871=""Sell"",VLOOKUP(9^99,FILTER({ROW(P$2:P1870),P$2:P1870},D$2:D1870=D1871),2),(VLOOKUP(9^99,FILTER({ROW(P$2:P1870),P$2:P1870},D$2:D1870=D1871),2)*VLOOKUP(9^99,FILTER({ROW(O$2:O1870),O$2:O1870},D$2:D1870=D1871),2)-N187"&amp;"1)/O1871),J1871))"),"")</f>
        <v/>
      </c>
      <c r="Q1871" s="264" t="str">
        <f>IFERROR(__xludf.DUMMYFUNCTION("IFERROR(IF(F1871=""Crypto"",B1871,(IF(ISBLANK(D1871),"""",IF(D1871=""Cash"",B1871,IF(GOOGLEFINANCE(D1871,""CURRENCY"")=""GBX"",""GBP"",GOOGLEFINANCE(D1871,""CURRENCY"")))))),B1871)"),"")</f>
        <v/>
      </c>
      <c r="R1871" s="263" t="str">
        <f>IFERROR(__xludf.DUMMYFUNCTION("IF(ISBLANK(A1871),"""",IFERROR(IF(OR(Q1871=""GPB"",Q1871=""ZAR""),IF(Q1871=Dashboard!$L$1,K1871,(K1871*GOOGLEFINANCE(""CURRENCY:""&amp;Q1871&amp;""""&amp;Dashboard!$L$1&amp;""""))/100),IF(Q1871=Dashboard!$L$1,K1871,K1871*GOOGLEFINANCE(""CURRENCY:""&amp;Q1871&amp;""""&amp;Dashboard!$"&amp;"L$1&amp;""""))),K1871))"),"")</f>
        <v/>
      </c>
      <c r="S1871" s="266" t="str">
        <f>IFERROR(__xludf.DUMMYFUNCTION("IF(ISBLANK(A1871),"""",IFERROR(IF(OR(Q1871=""GPB"",Q1871=""ZAR""),IF(Q1871=Dashboard!$L$1,M1871,(M1871*GOOGLEFINANCE(""CURRENCY:""&amp;Q1871&amp;""""&amp;Dashboard!$L$1&amp;""""))/100),IF(Q1871=Dashboard!$L$1,M1871,M1871*GOOGLEFINANCE(""CURRENCY:""&amp;Q1871&amp;""""&amp;Dashboard!$"&amp;"L$1&amp;""""))),M1871))"),"")</f>
        <v/>
      </c>
      <c r="T1871" s="264" t="str">
        <f t="shared" si="4"/>
        <v/>
      </c>
      <c r="U1871" s="264" t="str">
        <f t="shared" si="5"/>
        <v/>
      </c>
      <c r="V1871" s="264" t="str">
        <f t="shared" si="6"/>
        <v/>
      </c>
      <c r="W1871" s="267" t="str">
        <f t="shared" si="8"/>
        <v/>
      </c>
      <c r="X1871" s="264" t="str">
        <f t="shared" si="7"/>
        <v/>
      </c>
    </row>
    <row r="1872" ht="15.75" customHeight="1">
      <c r="A1872" s="258"/>
      <c r="B1872" s="258"/>
      <c r="C1872" s="269"/>
      <c r="D1872" s="258"/>
      <c r="E1872" s="258"/>
      <c r="F1872" s="258"/>
      <c r="G1872" s="258"/>
      <c r="H1872" s="271"/>
      <c r="I1872" s="258"/>
      <c r="J1872" s="272"/>
      <c r="K1872" s="260"/>
      <c r="L1872" s="261"/>
      <c r="M1872" s="262" t="str">
        <f t="shared" si="1"/>
        <v/>
      </c>
      <c r="N1872" s="263" t="str">
        <f t="shared" si="2"/>
        <v/>
      </c>
      <c r="O1872" s="264" t="str">
        <f t="shared" si="3"/>
        <v/>
      </c>
      <c r="P1872" s="265" t="str">
        <f>IFERROR(__xludf.DUMMYFUNCTION("IF(ISBLANK(A1872),"""",IFERROR(IF(H1872=""Sell"",VLOOKUP(9^99,FILTER({ROW(P$2:P1871),P$2:P1871},D$2:D1871=D1872),2),(VLOOKUP(9^99,FILTER({ROW(P$2:P1871),P$2:P1871},D$2:D1871=D1872),2)*VLOOKUP(9^99,FILTER({ROW(O$2:O1871),O$2:O1871},D$2:D1871=D1872),2)-N187"&amp;"2)/O1872),J1872))"),"")</f>
        <v/>
      </c>
      <c r="Q1872" s="264" t="str">
        <f>IFERROR(__xludf.DUMMYFUNCTION("IFERROR(IF(F1872=""Crypto"",B1872,(IF(ISBLANK(D1872),"""",IF(D1872=""Cash"",B1872,IF(GOOGLEFINANCE(D1872,""CURRENCY"")=""GBX"",""GBP"",GOOGLEFINANCE(D1872,""CURRENCY"")))))),B1872)"),"")</f>
        <v/>
      </c>
      <c r="R1872" s="263" t="str">
        <f>IFERROR(__xludf.DUMMYFUNCTION("IF(ISBLANK(A1872),"""",IFERROR(IF(OR(Q1872=""GPB"",Q1872=""ZAR""),IF(Q1872=Dashboard!$L$1,K1872,(K1872*GOOGLEFINANCE(""CURRENCY:""&amp;Q1872&amp;""""&amp;Dashboard!$L$1&amp;""""))/100),IF(Q1872=Dashboard!$L$1,K1872,K1872*GOOGLEFINANCE(""CURRENCY:""&amp;Q1872&amp;""""&amp;Dashboard!$"&amp;"L$1&amp;""""))),K1872))"),"")</f>
        <v/>
      </c>
      <c r="S1872" s="266" t="str">
        <f>IFERROR(__xludf.DUMMYFUNCTION("IF(ISBLANK(A1872),"""",IFERROR(IF(OR(Q1872=""GPB"",Q1872=""ZAR""),IF(Q1872=Dashboard!$L$1,M1872,(M1872*GOOGLEFINANCE(""CURRENCY:""&amp;Q1872&amp;""""&amp;Dashboard!$L$1&amp;""""))/100),IF(Q1872=Dashboard!$L$1,M1872,M1872*GOOGLEFINANCE(""CURRENCY:""&amp;Q1872&amp;""""&amp;Dashboard!$"&amp;"L$1&amp;""""))),M1872))"),"")</f>
        <v/>
      </c>
      <c r="T1872" s="264" t="str">
        <f t="shared" si="4"/>
        <v/>
      </c>
      <c r="U1872" s="264" t="str">
        <f t="shared" si="5"/>
        <v/>
      </c>
      <c r="V1872" s="264" t="str">
        <f t="shared" si="6"/>
        <v/>
      </c>
      <c r="W1872" s="267" t="str">
        <f t="shared" si="8"/>
        <v/>
      </c>
      <c r="X1872" s="264" t="str">
        <f t="shared" si="7"/>
        <v/>
      </c>
    </row>
    <row r="1873" ht="15.75" customHeight="1">
      <c r="A1873" s="258"/>
      <c r="B1873" s="258"/>
      <c r="C1873" s="269"/>
      <c r="D1873" s="258"/>
      <c r="E1873" s="258"/>
      <c r="F1873" s="258"/>
      <c r="G1873" s="258"/>
      <c r="H1873" s="271"/>
      <c r="I1873" s="258"/>
      <c r="J1873" s="272"/>
      <c r="K1873" s="260"/>
      <c r="L1873" s="261"/>
      <c r="M1873" s="262" t="str">
        <f t="shared" si="1"/>
        <v/>
      </c>
      <c r="N1873" s="263" t="str">
        <f t="shared" si="2"/>
        <v/>
      </c>
      <c r="O1873" s="264" t="str">
        <f t="shared" si="3"/>
        <v/>
      </c>
      <c r="P1873" s="265" t="str">
        <f>IFERROR(__xludf.DUMMYFUNCTION("IF(ISBLANK(A1873),"""",IFERROR(IF(H1873=""Sell"",VLOOKUP(9^99,FILTER({ROW(P$2:P1872),P$2:P1872},D$2:D1872=D1873),2),(VLOOKUP(9^99,FILTER({ROW(P$2:P1872),P$2:P1872},D$2:D1872=D1873),2)*VLOOKUP(9^99,FILTER({ROW(O$2:O1872),O$2:O1872},D$2:D1872=D1873),2)-N187"&amp;"3)/O1873),J1873))"),"")</f>
        <v/>
      </c>
      <c r="Q1873" s="264" t="str">
        <f>IFERROR(__xludf.DUMMYFUNCTION("IFERROR(IF(F1873=""Crypto"",B1873,(IF(ISBLANK(D1873),"""",IF(D1873=""Cash"",B1873,IF(GOOGLEFINANCE(D1873,""CURRENCY"")=""GBX"",""GBP"",GOOGLEFINANCE(D1873,""CURRENCY"")))))),B1873)"),"")</f>
        <v/>
      </c>
      <c r="R1873" s="263" t="str">
        <f>IFERROR(__xludf.DUMMYFUNCTION("IF(ISBLANK(A1873),"""",IFERROR(IF(OR(Q1873=""GPB"",Q1873=""ZAR""),IF(Q1873=Dashboard!$L$1,K1873,(K1873*GOOGLEFINANCE(""CURRENCY:""&amp;Q1873&amp;""""&amp;Dashboard!$L$1&amp;""""))/100),IF(Q1873=Dashboard!$L$1,K1873,K1873*GOOGLEFINANCE(""CURRENCY:""&amp;Q1873&amp;""""&amp;Dashboard!$"&amp;"L$1&amp;""""))),K1873))"),"")</f>
        <v/>
      </c>
      <c r="S1873" s="266" t="str">
        <f>IFERROR(__xludf.DUMMYFUNCTION("IF(ISBLANK(A1873),"""",IFERROR(IF(OR(Q1873=""GPB"",Q1873=""ZAR""),IF(Q1873=Dashboard!$L$1,M1873,(M1873*GOOGLEFINANCE(""CURRENCY:""&amp;Q1873&amp;""""&amp;Dashboard!$L$1&amp;""""))/100),IF(Q1873=Dashboard!$L$1,M1873,M1873*GOOGLEFINANCE(""CURRENCY:""&amp;Q1873&amp;""""&amp;Dashboard!$"&amp;"L$1&amp;""""))),M1873))"),"")</f>
        <v/>
      </c>
      <c r="T1873" s="264" t="str">
        <f t="shared" si="4"/>
        <v/>
      </c>
      <c r="U1873" s="264" t="str">
        <f t="shared" si="5"/>
        <v/>
      </c>
      <c r="V1873" s="264" t="str">
        <f t="shared" si="6"/>
        <v/>
      </c>
      <c r="W1873" s="267" t="str">
        <f t="shared" si="8"/>
        <v/>
      </c>
      <c r="X1873" s="264" t="str">
        <f t="shared" si="7"/>
        <v/>
      </c>
    </row>
    <row r="1874" ht="15.75" customHeight="1">
      <c r="A1874" s="258"/>
      <c r="B1874" s="258"/>
      <c r="C1874" s="269"/>
      <c r="D1874" s="258"/>
      <c r="E1874" s="258"/>
      <c r="F1874" s="258"/>
      <c r="G1874" s="258"/>
      <c r="H1874" s="271"/>
      <c r="I1874" s="258"/>
      <c r="J1874" s="272"/>
      <c r="K1874" s="260"/>
      <c r="L1874" s="261"/>
      <c r="M1874" s="262" t="str">
        <f t="shared" si="1"/>
        <v/>
      </c>
      <c r="N1874" s="263" t="str">
        <f t="shared" si="2"/>
        <v/>
      </c>
      <c r="O1874" s="264" t="str">
        <f t="shared" si="3"/>
        <v/>
      </c>
      <c r="P1874" s="265" t="str">
        <f>IFERROR(__xludf.DUMMYFUNCTION("IF(ISBLANK(A1874),"""",IFERROR(IF(H1874=""Sell"",VLOOKUP(9^99,FILTER({ROW(P$2:P1873),P$2:P1873},D$2:D1873=D1874),2),(VLOOKUP(9^99,FILTER({ROW(P$2:P1873),P$2:P1873},D$2:D1873=D1874),2)*VLOOKUP(9^99,FILTER({ROW(O$2:O1873),O$2:O1873},D$2:D1873=D1874),2)-N187"&amp;"4)/O1874),J1874))"),"")</f>
        <v/>
      </c>
      <c r="Q1874" s="264" t="str">
        <f>IFERROR(__xludf.DUMMYFUNCTION("IFERROR(IF(F1874=""Crypto"",B1874,(IF(ISBLANK(D1874),"""",IF(D1874=""Cash"",B1874,IF(GOOGLEFINANCE(D1874,""CURRENCY"")=""GBX"",""GBP"",GOOGLEFINANCE(D1874,""CURRENCY"")))))),B1874)"),"")</f>
        <v/>
      </c>
      <c r="R1874" s="263" t="str">
        <f>IFERROR(__xludf.DUMMYFUNCTION("IF(ISBLANK(A1874),"""",IFERROR(IF(OR(Q1874=""GPB"",Q1874=""ZAR""),IF(Q1874=Dashboard!$L$1,K1874,(K1874*GOOGLEFINANCE(""CURRENCY:""&amp;Q1874&amp;""""&amp;Dashboard!$L$1&amp;""""))/100),IF(Q1874=Dashboard!$L$1,K1874,K1874*GOOGLEFINANCE(""CURRENCY:""&amp;Q1874&amp;""""&amp;Dashboard!$"&amp;"L$1&amp;""""))),K1874))"),"")</f>
        <v/>
      </c>
      <c r="S1874" s="266" t="str">
        <f>IFERROR(__xludf.DUMMYFUNCTION("IF(ISBLANK(A1874),"""",IFERROR(IF(OR(Q1874=""GPB"",Q1874=""ZAR""),IF(Q1874=Dashboard!$L$1,M1874,(M1874*GOOGLEFINANCE(""CURRENCY:""&amp;Q1874&amp;""""&amp;Dashboard!$L$1&amp;""""))/100),IF(Q1874=Dashboard!$L$1,M1874,M1874*GOOGLEFINANCE(""CURRENCY:""&amp;Q1874&amp;""""&amp;Dashboard!$"&amp;"L$1&amp;""""))),M1874))"),"")</f>
        <v/>
      </c>
      <c r="T1874" s="264" t="str">
        <f t="shared" si="4"/>
        <v/>
      </c>
      <c r="U1874" s="264" t="str">
        <f t="shared" si="5"/>
        <v/>
      </c>
      <c r="V1874" s="264" t="str">
        <f t="shared" si="6"/>
        <v/>
      </c>
      <c r="W1874" s="267" t="str">
        <f t="shared" si="8"/>
        <v/>
      </c>
      <c r="X1874" s="264" t="str">
        <f t="shared" si="7"/>
        <v/>
      </c>
    </row>
    <row r="1875" ht="15.75" customHeight="1">
      <c r="A1875" s="258"/>
      <c r="B1875" s="258"/>
      <c r="C1875" s="269"/>
      <c r="D1875" s="258"/>
      <c r="E1875" s="258"/>
      <c r="F1875" s="258"/>
      <c r="G1875" s="258"/>
      <c r="H1875" s="271"/>
      <c r="I1875" s="258"/>
      <c r="J1875" s="272"/>
      <c r="K1875" s="260"/>
      <c r="L1875" s="261"/>
      <c r="M1875" s="262" t="str">
        <f t="shared" si="1"/>
        <v/>
      </c>
      <c r="N1875" s="263" t="str">
        <f t="shared" si="2"/>
        <v/>
      </c>
      <c r="O1875" s="264" t="str">
        <f t="shared" si="3"/>
        <v/>
      </c>
      <c r="P1875" s="265" t="str">
        <f>IFERROR(__xludf.DUMMYFUNCTION("IF(ISBLANK(A1875),"""",IFERROR(IF(H1875=""Sell"",VLOOKUP(9^99,FILTER({ROW(P$2:P1874),P$2:P1874},D$2:D1874=D1875),2),(VLOOKUP(9^99,FILTER({ROW(P$2:P1874),P$2:P1874},D$2:D1874=D1875),2)*VLOOKUP(9^99,FILTER({ROW(O$2:O1874),O$2:O1874},D$2:D1874=D1875),2)-N187"&amp;"5)/O1875),J1875))"),"")</f>
        <v/>
      </c>
      <c r="Q1875" s="264" t="str">
        <f>IFERROR(__xludf.DUMMYFUNCTION("IFERROR(IF(F1875=""Crypto"",B1875,(IF(ISBLANK(D1875),"""",IF(D1875=""Cash"",B1875,IF(GOOGLEFINANCE(D1875,""CURRENCY"")=""GBX"",""GBP"",GOOGLEFINANCE(D1875,""CURRENCY"")))))),B1875)"),"")</f>
        <v/>
      </c>
      <c r="R1875" s="263" t="str">
        <f>IFERROR(__xludf.DUMMYFUNCTION("IF(ISBLANK(A1875),"""",IFERROR(IF(OR(Q1875=""GPB"",Q1875=""ZAR""),IF(Q1875=Dashboard!$L$1,K1875,(K1875*GOOGLEFINANCE(""CURRENCY:""&amp;Q1875&amp;""""&amp;Dashboard!$L$1&amp;""""))/100),IF(Q1875=Dashboard!$L$1,K1875,K1875*GOOGLEFINANCE(""CURRENCY:""&amp;Q1875&amp;""""&amp;Dashboard!$"&amp;"L$1&amp;""""))),K1875))"),"")</f>
        <v/>
      </c>
      <c r="S1875" s="266" t="str">
        <f>IFERROR(__xludf.DUMMYFUNCTION("IF(ISBLANK(A1875),"""",IFERROR(IF(OR(Q1875=""GPB"",Q1875=""ZAR""),IF(Q1875=Dashboard!$L$1,M1875,(M1875*GOOGLEFINANCE(""CURRENCY:""&amp;Q1875&amp;""""&amp;Dashboard!$L$1&amp;""""))/100),IF(Q1875=Dashboard!$L$1,M1875,M1875*GOOGLEFINANCE(""CURRENCY:""&amp;Q1875&amp;""""&amp;Dashboard!$"&amp;"L$1&amp;""""))),M1875))"),"")</f>
        <v/>
      </c>
      <c r="T1875" s="264" t="str">
        <f t="shared" si="4"/>
        <v/>
      </c>
      <c r="U1875" s="264" t="str">
        <f t="shared" si="5"/>
        <v/>
      </c>
      <c r="V1875" s="264" t="str">
        <f t="shared" si="6"/>
        <v/>
      </c>
      <c r="W1875" s="267" t="str">
        <f t="shared" si="8"/>
        <v/>
      </c>
      <c r="X1875" s="264" t="str">
        <f t="shared" si="7"/>
        <v/>
      </c>
    </row>
    <row r="1876" ht="15.75" customHeight="1">
      <c r="A1876" s="258"/>
      <c r="B1876" s="258"/>
      <c r="C1876" s="269"/>
      <c r="D1876" s="258"/>
      <c r="E1876" s="258"/>
      <c r="F1876" s="258"/>
      <c r="G1876" s="258"/>
      <c r="H1876" s="271"/>
      <c r="I1876" s="258"/>
      <c r="J1876" s="272"/>
      <c r="K1876" s="260"/>
      <c r="L1876" s="261"/>
      <c r="M1876" s="262" t="str">
        <f t="shared" si="1"/>
        <v/>
      </c>
      <c r="N1876" s="263" t="str">
        <f t="shared" si="2"/>
        <v/>
      </c>
      <c r="O1876" s="264" t="str">
        <f t="shared" si="3"/>
        <v/>
      </c>
      <c r="P1876" s="265" t="str">
        <f>IFERROR(__xludf.DUMMYFUNCTION("IF(ISBLANK(A1876),"""",IFERROR(IF(H1876=""Sell"",VLOOKUP(9^99,FILTER({ROW(P$2:P1875),P$2:P1875},D$2:D1875=D1876),2),(VLOOKUP(9^99,FILTER({ROW(P$2:P1875),P$2:P1875},D$2:D1875=D1876),2)*VLOOKUP(9^99,FILTER({ROW(O$2:O1875),O$2:O1875},D$2:D1875=D1876),2)-N187"&amp;"6)/O1876),J1876))"),"")</f>
        <v/>
      </c>
      <c r="Q1876" s="264" t="str">
        <f>IFERROR(__xludf.DUMMYFUNCTION("IFERROR(IF(F1876=""Crypto"",B1876,(IF(ISBLANK(D1876),"""",IF(D1876=""Cash"",B1876,IF(GOOGLEFINANCE(D1876,""CURRENCY"")=""GBX"",""GBP"",GOOGLEFINANCE(D1876,""CURRENCY"")))))),B1876)"),"")</f>
        <v/>
      </c>
      <c r="R1876" s="263" t="str">
        <f>IFERROR(__xludf.DUMMYFUNCTION("IF(ISBLANK(A1876),"""",IFERROR(IF(OR(Q1876=""GPB"",Q1876=""ZAR""),IF(Q1876=Dashboard!$L$1,K1876,(K1876*GOOGLEFINANCE(""CURRENCY:""&amp;Q1876&amp;""""&amp;Dashboard!$L$1&amp;""""))/100),IF(Q1876=Dashboard!$L$1,K1876,K1876*GOOGLEFINANCE(""CURRENCY:""&amp;Q1876&amp;""""&amp;Dashboard!$"&amp;"L$1&amp;""""))),K1876))"),"")</f>
        <v/>
      </c>
      <c r="S1876" s="266" t="str">
        <f>IFERROR(__xludf.DUMMYFUNCTION("IF(ISBLANK(A1876),"""",IFERROR(IF(OR(Q1876=""GPB"",Q1876=""ZAR""),IF(Q1876=Dashboard!$L$1,M1876,(M1876*GOOGLEFINANCE(""CURRENCY:""&amp;Q1876&amp;""""&amp;Dashboard!$L$1&amp;""""))/100),IF(Q1876=Dashboard!$L$1,M1876,M1876*GOOGLEFINANCE(""CURRENCY:""&amp;Q1876&amp;""""&amp;Dashboard!$"&amp;"L$1&amp;""""))),M1876))"),"")</f>
        <v/>
      </c>
      <c r="T1876" s="264" t="str">
        <f t="shared" si="4"/>
        <v/>
      </c>
      <c r="U1876" s="264" t="str">
        <f t="shared" si="5"/>
        <v/>
      </c>
      <c r="V1876" s="264" t="str">
        <f t="shared" si="6"/>
        <v/>
      </c>
      <c r="W1876" s="267" t="str">
        <f t="shared" si="8"/>
        <v/>
      </c>
      <c r="X1876" s="264" t="str">
        <f t="shared" si="7"/>
        <v/>
      </c>
    </row>
    <row r="1877" ht="15.75" customHeight="1">
      <c r="A1877" s="258"/>
      <c r="B1877" s="258"/>
      <c r="C1877" s="269"/>
      <c r="D1877" s="258"/>
      <c r="E1877" s="258"/>
      <c r="F1877" s="258"/>
      <c r="G1877" s="258"/>
      <c r="H1877" s="271"/>
      <c r="I1877" s="258"/>
      <c r="J1877" s="272"/>
      <c r="K1877" s="260"/>
      <c r="L1877" s="261"/>
      <c r="M1877" s="262" t="str">
        <f t="shared" si="1"/>
        <v/>
      </c>
      <c r="N1877" s="263" t="str">
        <f t="shared" si="2"/>
        <v/>
      </c>
      <c r="O1877" s="264" t="str">
        <f t="shared" si="3"/>
        <v/>
      </c>
      <c r="P1877" s="265" t="str">
        <f>IFERROR(__xludf.DUMMYFUNCTION("IF(ISBLANK(A1877),"""",IFERROR(IF(H1877=""Sell"",VLOOKUP(9^99,FILTER({ROW(P$2:P1876),P$2:P1876},D$2:D1876=D1877),2),(VLOOKUP(9^99,FILTER({ROW(P$2:P1876),P$2:P1876},D$2:D1876=D1877),2)*VLOOKUP(9^99,FILTER({ROW(O$2:O1876),O$2:O1876},D$2:D1876=D1877),2)-N187"&amp;"7)/O1877),J1877))"),"")</f>
        <v/>
      </c>
      <c r="Q1877" s="264" t="str">
        <f>IFERROR(__xludf.DUMMYFUNCTION("IFERROR(IF(F1877=""Crypto"",B1877,(IF(ISBLANK(D1877),"""",IF(D1877=""Cash"",B1877,IF(GOOGLEFINANCE(D1877,""CURRENCY"")=""GBX"",""GBP"",GOOGLEFINANCE(D1877,""CURRENCY"")))))),B1877)"),"")</f>
        <v/>
      </c>
      <c r="R1877" s="263" t="str">
        <f>IFERROR(__xludf.DUMMYFUNCTION("IF(ISBLANK(A1877),"""",IFERROR(IF(OR(Q1877=""GPB"",Q1877=""ZAR""),IF(Q1877=Dashboard!$L$1,K1877,(K1877*GOOGLEFINANCE(""CURRENCY:""&amp;Q1877&amp;""""&amp;Dashboard!$L$1&amp;""""))/100),IF(Q1877=Dashboard!$L$1,K1877,K1877*GOOGLEFINANCE(""CURRENCY:""&amp;Q1877&amp;""""&amp;Dashboard!$"&amp;"L$1&amp;""""))),K1877))"),"")</f>
        <v/>
      </c>
      <c r="S1877" s="266" t="str">
        <f>IFERROR(__xludf.DUMMYFUNCTION("IF(ISBLANK(A1877),"""",IFERROR(IF(OR(Q1877=""GPB"",Q1877=""ZAR""),IF(Q1877=Dashboard!$L$1,M1877,(M1877*GOOGLEFINANCE(""CURRENCY:""&amp;Q1877&amp;""""&amp;Dashboard!$L$1&amp;""""))/100),IF(Q1877=Dashboard!$L$1,M1877,M1877*GOOGLEFINANCE(""CURRENCY:""&amp;Q1877&amp;""""&amp;Dashboard!$"&amp;"L$1&amp;""""))),M1877))"),"")</f>
        <v/>
      </c>
      <c r="T1877" s="264" t="str">
        <f t="shared" si="4"/>
        <v/>
      </c>
      <c r="U1877" s="264" t="str">
        <f t="shared" si="5"/>
        <v/>
      </c>
      <c r="V1877" s="264" t="str">
        <f t="shared" si="6"/>
        <v/>
      </c>
      <c r="W1877" s="267" t="str">
        <f t="shared" si="8"/>
        <v/>
      </c>
      <c r="X1877" s="264" t="str">
        <f t="shared" si="7"/>
        <v/>
      </c>
    </row>
    <row r="1878" ht="15.75" customHeight="1">
      <c r="A1878" s="258"/>
      <c r="B1878" s="258"/>
      <c r="C1878" s="269"/>
      <c r="D1878" s="258"/>
      <c r="E1878" s="258"/>
      <c r="F1878" s="258"/>
      <c r="G1878" s="258"/>
      <c r="H1878" s="271"/>
      <c r="I1878" s="258"/>
      <c r="J1878" s="272"/>
      <c r="K1878" s="260"/>
      <c r="L1878" s="261"/>
      <c r="M1878" s="262" t="str">
        <f t="shared" si="1"/>
        <v/>
      </c>
      <c r="N1878" s="263" t="str">
        <f t="shared" si="2"/>
        <v/>
      </c>
      <c r="O1878" s="264" t="str">
        <f t="shared" si="3"/>
        <v/>
      </c>
      <c r="P1878" s="265" t="str">
        <f>IFERROR(__xludf.DUMMYFUNCTION("IF(ISBLANK(A1878),"""",IFERROR(IF(H1878=""Sell"",VLOOKUP(9^99,FILTER({ROW(P$2:P1877),P$2:P1877},D$2:D1877=D1878),2),(VLOOKUP(9^99,FILTER({ROW(P$2:P1877),P$2:P1877},D$2:D1877=D1878),2)*VLOOKUP(9^99,FILTER({ROW(O$2:O1877),O$2:O1877},D$2:D1877=D1878),2)-N187"&amp;"8)/O1878),J1878))"),"")</f>
        <v/>
      </c>
      <c r="Q1878" s="264" t="str">
        <f>IFERROR(__xludf.DUMMYFUNCTION("IFERROR(IF(F1878=""Crypto"",B1878,(IF(ISBLANK(D1878),"""",IF(D1878=""Cash"",B1878,IF(GOOGLEFINANCE(D1878,""CURRENCY"")=""GBX"",""GBP"",GOOGLEFINANCE(D1878,""CURRENCY"")))))),B1878)"),"")</f>
        <v/>
      </c>
      <c r="R1878" s="263" t="str">
        <f>IFERROR(__xludf.DUMMYFUNCTION("IF(ISBLANK(A1878),"""",IFERROR(IF(OR(Q1878=""GPB"",Q1878=""ZAR""),IF(Q1878=Dashboard!$L$1,K1878,(K1878*GOOGLEFINANCE(""CURRENCY:""&amp;Q1878&amp;""""&amp;Dashboard!$L$1&amp;""""))/100),IF(Q1878=Dashboard!$L$1,K1878,K1878*GOOGLEFINANCE(""CURRENCY:""&amp;Q1878&amp;""""&amp;Dashboard!$"&amp;"L$1&amp;""""))),K1878))"),"")</f>
        <v/>
      </c>
      <c r="S1878" s="266" t="str">
        <f>IFERROR(__xludf.DUMMYFUNCTION("IF(ISBLANK(A1878),"""",IFERROR(IF(OR(Q1878=""GPB"",Q1878=""ZAR""),IF(Q1878=Dashboard!$L$1,M1878,(M1878*GOOGLEFINANCE(""CURRENCY:""&amp;Q1878&amp;""""&amp;Dashboard!$L$1&amp;""""))/100),IF(Q1878=Dashboard!$L$1,M1878,M1878*GOOGLEFINANCE(""CURRENCY:""&amp;Q1878&amp;""""&amp;Dashboard!$"&amp;"L$1&amp;""""))),M1878))"),"")</f>
        <v/>
      </c>
      <c r="T1878" s="264" t="str">
        <f t="shared" si="4"/>
        <v/>
      </c>
      <c r="U1878" s="264" t="str">
        <f t="shared" si="5"/>
        <v/>
      </c>
      <c r="V1878" s="264" t="str">
        <f t="shared" si="6"/>
        <v/>
      </c>
      <c r="W1878" s="267" t="str">
        <f t="shared" si="8"/>
        <v/>
      </c>
      <c r="X1878" s="264" t="str">
        <f t="shared" si="7"/>
        <v/>
      </c>
    </row>
    <row r="1879" ht="15.75" customHeight="1">
      <c r="A1879" s="258"/>
      <c r="B1879" s="258"/>
      <c r="C1879" s="269"/>
      <c r="D1879" s="258"/>
      <c r="E1879" s="258"/>
      <c r="F1879" s="258"/>
      <c r="G1879" s="258"/>
      <c r="H1879" s="271"/>
      <c r="I1879" s="258"/>
      <c r="J1879" s="272"/>
      <c r="K1879" s="260"/>
      <c r="L1879" s="261"/>
      <c r="M1879" s="262" t="str">
        <f t="shared" si="1"/>
        <v/>
      </c>
      <c r="N1879" s="263" t="str">
        <f t="shared" si="2"/>
        <v/>
      </c>
      <c r="O1879" s="264" t="str">
        <f t="shared" si="3"/>
        <v/>
      </c>
      <c r="P1879" s="265" t="str">
        <f>IFERROR(__xludf.DUMMYFUNCTION("IF(ISBLANK(A1879),"""",IFERROR(IF(H1879=""Sell"",VLOOKUP(9^99,FILTER({ROW(P$2:P1878),P$2:P1878},D$2:D1878=D1879),2),(VLOOKUP(9^99,FILTER({ROW(P$2:P1878),P$2:P1878},D$2:D1878=D1879),2)*VLOOKUP(9^99,FILTER({ROW(O$2:O1878),O$2:O1878},D$2:D1878=D1879),2)-N187"&amp;"9)/O1879),J1879))"),"")</f>
        <v/>
      </c>
      <c r="Q1879" s="264" t="str">
        <f>IFERROR(__xludf.DUMMYFUNCTION("IFERROR(IF(F1879=""Crypto"",B1879,(IF(ISBLANK(D1879),"""",IF(D1879=""Cash"",B1879,IF(GOOGLEFINANCE(D1879,""CURRENCY"")=""GBX"",""GBP"",GOOGLEFINANCE(D1879,""CURRENCY"")))))),B1879)"),"")</f>
        <v/>
      </c>
      <c r="R1879" s="263" t="str">
        <f>IFERROR(__xludf.DUMMYFUNCTION("IF(ISBLANK(A1879),"""",IFERROR(IF(OR(Q1879=""GPB"",Q1879=""ZAR""),IF(Q1879=Dashboard!$L$1,K1879,(K1879*GOOGLEFINANCE(""CURRENCY:""&amp;Q1879&amp;""""&amp;Dashboard!$L$1&amp;""""))/100),IF(Q1879=Dashboard!$L$1,K1879,K1879*GOOGLEFINANCE(""CURRENCY:""&amp;Q1879&amp;""""&amp;Dashboard!$"&amp;"L$1&amp;""""))),K1879))"),"")</f>
        <v/>
      </c>
      <c r="S1879" s="266" t="str">
        <f>IFERROR(__xludf.DUMMYFUNCTION("IF(ISBLANK(A1879),"""",IFERROR(IF(OR(Q1879=""GPB"",Q1879=""ZAR""),IF(Q1879=Dashboard!$L$1,M1879,(M1879*GOOGLEFINANCE(""CURRENCY:""&amp;Q1879&amp;""""&amp;Dashboard!$L$1&amp;""""))/100),IF(Q1879=Dashboard!$L$1,M1879,M1879*GOOGLEFINANCE(""CURRENCY:""&amp;Q1879&amp;""""&amp;Dashboard!$"&amp;"L$1&amp;""""))),M1879))"),"")</f>
        <v/>
      </c>
      <c r="T1879" s="264" t="str">
        <f t="shared" si="4"/>
        <v/>
      </c>
      <c r="U1879" s="264" t="str">
        <f t="shared" si="5"/>
        <v/>
      </c>
      <c r="V1879" s="264" t="str">
        <f t="shared" si="6"/>
        <v/>
      </c>
      <c r="W1879" s="267" t="str">
        <f t="shared" si="8"/>
        <v/>
      </c>
      <c r="X1879" s="264" t="str">
        <f t="shared" si="7"/>
        <v/>
      </c>
    </row>
    <row r="1880" ht="15.75" customHeight="1">
      <c r="A1880" s="258"/>
      <c r="B1880" s="258"/>
      <c r="C1880" s="269"/>
      <c r="D1880" s="258"/>
      <c r="E1880" s="258"/>
      <c r="F1880" s="258"/>
      <c r="G1880" s="258"/>
      <c r="H1880" s="271"/>
      <c r="I1880" s="258"/>
      <c r="J1880" s="272"/>
      <c r="K1880" s="260"/>
      <c r="L1880" s="261"/>
      <c r="M1880" s="262" t="str">
        <f t="shared" si="1"/>
        <v/>
      </c>
      <c r="N1880" s="263" t="str">
        <f t="shared" si="2"/>
        <v/>
      </c>
      <c r="O1880" s="264" t="str">
        <f t="shared" si="3"/>
        <v/>
      </c>
      <c r="P1880" s="265" t="str">
        <f>IFERROR(__xludf.DUMMYFUNCTION("IF(ISBLANK(A1880),"""",IFERROR(IF(H1880=""Sell"",VLOOKUP(9^99,FILTER({ROW(P$2:P1879),P$2:P1879},D$2:D1879=D1880),2),(VLOOKUP(9^99,FILTER({ROW(P$2:P1879),P$2:P1879},D$2:D1879=D1880),2)*VLOOKUP(9^99,FILTER({ROW(O$2:O1879),O$2:O1879},D$2:D1879=D1880),2)-N188"&amp;"0)/O1880),J1880))"),"")</f>
        <v/>
      </c>
      <c r="Q1880" s="264" t="str">
        <f>IFERROR(__xludf.DUMMYFUNCTION("IFERROR(IF(F1880=""Crypto"",B1880,(IF(ISBLANK(D1880),"""",IF(D1880=""Cash"",B1880,IF(GOOGLEFINANCE(D1880,""CURRENCY"")=""GBX"",""GBP"",GOOGLEFINANCE(D1880,""CURRENCY"")))))),B1880)"),"")</f>
        <v/>
      </c>
      <c r="R1880" s="263" t="str">
        <f>IFERROR(__xludf.DUMMYFUNCTION("IF(ISBLANK(A1880),"""",IFERROR(IF(OR(Q1880=""GPB"",Q1880=""ZAR""),IF(Q1880=Dashboard!$L$1,K1880,(K1880*GOOGLEFINANCE(""CURRENCY:""&amp;Q1880&amp;""""&amp;Dashboard!$L$1&amp;""""))/100),IF(Q1880=Dashboard!$L$1,K1880,K1880*GOOGLEFINANCE(""CURRENCY:""&amp;Q1880&amp;""""&amp;Dashboard!$"&amp;"L$1&amp;""""))),K1880))"),"")</f>
        <v/>
      </c>
      <c r="S1880" s="266" t="str">
        <f>IFERROR(__xludf.DUMMYFUNCTION("IF(ISBLANK(A1880),"""",IFERROR(IF(OR(Q1880=""GPB"",Q1880=""ZAR""),IF(Q1880=Dashboard!$L$1,M1880,(M1880*GOOGLEFINANCE(""CURRENCY:""&amp;Q1880&amp;""""&amp;Dashboard!$L$1&amp;""""))/100),IF(Q1880=Dashboard!$L$1,M1880,M1880*GOOGLEFINANCE(""CURRENCY:""&amp;Q1880&amp;""""&amp;Dashboard!$"&amp;"L$1&amp;""""))),M1880))"),"")</f>
        <v/>
      </c>
      <c r="T1880" s="264" t="str">
        <f t="shared" si="4"/>
        <v/>
      </c>
      <c r="U1880" s="264" t="str">
        <f t="shared" si="5"/>
        <v/>
      </c>
      <c r="V1880" s="264" t="str">
        <f t="shared" si="6"/>
        <v/>
      </c>
      <c r="W1880" s="267" t="str">
        <f t="shared" si="8"/>
        <v/>
      </c>
      <c r="X1880" s="264" t="str">
        <f t="shared" si="7"/>
        <v/>
      </c>
    </row>
    <row r="1881" ht="15.75" customHeight="1">
      <c r="A1881" s="258"/>
      <c r="B1881" s="258"/>
      <c r="C1881" s="269"/>
      <c r="D1881" s="258"/>
      <c r="E1881" s="258"/>
      <c r="F1881" s="258"/>
      <c r="G1881" s="258"/>
      <c r="H1881" s="271"/>
      <c r="I1881" s="258"/>
      <c r="J1881" s="272"/>
      <c r="K1881" s="260"/>
      <c r="L1881" s="261"/>
      <c r="M1881" s="262" t="str">
        <f t="shared" si="1"/>
        <v/>
      </c>
      <c r="N1881" s="263" t="str">
        <f t="shared" si="2"/>
        <v/>
      </c>
      <c r="O1881" s="264" t="str">
        <f t="shared" si="3"/>
        <v/>
      </c>
      <c r="P1881" s="265" t="str">
        <f>IFERROR(__xludf.DUMMYFUNCTION("IF(ISBLANK(A1881),"""",IFERROR(IF(H1881=""Sell"",VLOOKUP(9^99,FILTER({ROW(P$2:P1880),P$2:P1880},D$2:D1880=D1881),2),(VLOOKUP(9^99,FILTER({ROW(P$2:P1880),P$2:P1880},D$2:D1880=D1881),2)*VLOOKUP(9^99,FILTER({ROW(O$2:O1880),O$2:O1880},D$2:D1880=D1881),2)-N188"&amp;"1)/O1881),J1881))"),"")</f>
        <v/>
      </c>
      <c r="Q1881" s="264" t="str">
        <f>IFERROR(__xludf.DUMMYFUNCTION("IFERROR(IF(F1881=""Crypto"",B1881,(IF(ISBLANK(D1881),"""",IF(D1881=""Cash"",B1881,IF(GOOGLEFINANCE(D1881,""CURRENCY"")=""GBX"",""GBP"",GOOGLEFINANCE(D1881,""CURRENCY"")))))),B1881)"),"")</f>
        <v/>
      </c>
      <c r="R1881" s="263" t="str">
        <f>IFERROR(__xludf.DUMMYFUNCTION("IF(ISBLANK(A1881),"""",IFERROR(IF(OR(Q1881=""GPB"",Q1881=""ZAR""),IF(Q1881=Dashboard!$L$1,K1881,(K1881*GOOGLEFINANCE(""CURRENCY:""&amp;Q1881&amp;""""&amp;Dashboard!$L$1&amp;""""))/100),IF(Q1881=Dashboard!$L$1,K1881,K1881*GOOGLEFINANCE(""CURRENCY:""&amp;Q1881&amp;""""&amp;Dashboard!$"&amp;"L$1&amp;""""))),K1881))"),"")</f>
        <v/>
      </c>
      <c r="S1881" s="266" t="str">
        <f>IFERROR(__xludf.DUMMYFUNCTION("IF(ISBLANK(A1881),"""",IFERROR(IF(OR(Q1881=""GPB"",Q1881=""ZAR""),IF(Q1881=Dashboard!$L$1,M1881,(M1881*GOOGLEFINANCE(""CURRENCY:""&amp;Q1881&amp;""""&amp;Dashboard!$L$1&amp;""""))/100),IF(Q1881=Dashboard!$L$1,M1881,M1881*GOOGLEFINANCE(""CURRENCY:""&amp;Q1881&amp;""""&amp;Dashboard!$"&amp;"L$1&amp;""""))),M1881))"),"")</f>
        <v/>
      </c>
      <c r="T1881" s="264" t="str">
        <f t="shared" si="4"/>
        <v/>
      </c>
      <c r="U1881" s="264" t="str">
        <f t="shared" si="5"/>
        <v/>
      </c>
      <c r="V1881" s="264" t="str">
        <f t="shared" si="6"/>
        <v/>
      </c>
      <c r="W1881" s="267" t="str">
        <f t="shared" si="8"/>
        <v/>
      </c>
      <c r="X1881" s="264" t="str">
        <f t="shared" si="7"/>
        <v/>
      </c>
    </row>
    <row r="1882" ht="15.75" customHeight="1">
      <c r="A1882" s="258"/>
      <c r="B1882" s="258"/>
      <c r="C1882" s="269"/>
      <c r="D1882" s="258"/>
      <c r="E1882" s="258"/>
      <c r="F1882" s="258"/>
      <c r="G1882" s="258"/>
      <c r="H1882" s="271"/>
      <c r="I1882" s="258"/>
      <c r="J1882" s="272"/>
      <c r="K1882" s="260"/>
      <c r="L1882" s="261"/>
      <c r="M1882" s="262" t="str">
        <f t="shared" si="1"/>
        <v/>
      </c>
      <c r="N1882" s="263" t="str">
        <f t="shared" si="2"/>
        <v/>
      </c>
      <c r="O1882" s="264" t="str">
        <f t="shared" si="3"/>
        <v/>
      </c>
      <c r="P1882" s="265" t="str">
        <f>IFERROR(__xludf.DUMMYFUNCTION("IF(ISBLANK(A1882),"""",IFERROR(IF(H1882=""Sell"",VLOOKUP(9^99,FILTER({ROW(P$2:P1881),P$2:P1881},D$2:D1881=D1882),2),(VLOOKUP(9^99,FILTER({ROW(P$2:P1881),P$2:P1881},D$2:D1881=D1882),2)*VLOOKUP(9^99,FILTER({ROW(O$2:O1881),O$2:O1881},D$2:D1881=D1882),2)-N188"&amp;"2)/O1882),J1882))"),"")</f>
        <v/>
      </c>
      <c r="Q1882" s="264" t="str">
        <f>IFERROR(__xludf.DUMMYFUNCTION("IFERROR(IF(F1882=""Crypto"",B1882,(IF(ISBLANK(D1882),"""",IF(D1882=""Cash"",B1882,IF(GOOGLEFINANCE(D1882,""CURRENCY"")=""GBX"",""GBP"",GOOGLEFINANCE(D1882,""CURRENCY"")))))),B1882)"),"")</f>
        <v/>
      </c>
      <c r="R1882" s="263" t="str">
        <f>IFERROR(__xludf.DUMMYFUNCTION("IF(ISBLANK(A1882),"""",IFERROR(IF(OR(Q1882=""GPB"",Q1882=""ZAR""),IF(Q1882=Dashboard!$L$1,K1882,(K1882*GOOGLEFINANCE(""CURRENCY:""&amp;Q1882&amp;""""&amp;Dashboard!$L$1&amp;""""))/100),IF(Q1882=Dashboard!$L$1,K1882,K1882*GOOGLEFINANCE(""CURRENCY:""&amp;Q1882&amp;""""&amp;Dashboard!$"&amp;"L$1&amp;""""))),K1882))"),"")</f>
        <v/>
      </c>
      <c r="S1882" s="266" t="str">
        <f>IFERROR(__xludf.DUMMYFUNCTION("IF(ISBLANK(A1882),"""",IFERROR(IF(OR(Q1882=""GPB"",Q1882=""ZAR""),IF(Q1882=Dashboard!$L$1,M1882,(M1882*GOOGLEFINANCE(""CURRENCY:""&amp;Q1882&amp;""""&amp;Dashboard!$L$1&amp;""""))/100),IF(Q1882=Dashboard!$L$1,M1882,M1882*GOOGLEFINANCE(""CURRENCY:""&amp;Q1882&amp;""""&amp;Dashboard!$"&amp;"L$1&amp;""""))),M1882))"),"")</f>
        <v/>
      </c>
      <c r="T1882" s="264" t="str">
        <f t="shared" si="4"/>
        <v/>
      </c>
      <c r="U1882" s="264" t="str">
        <f t="shared" si="5"/>
        <v/>
      </c>
      <c r="V1882" s="264" t="str">
        <f t="shared" si="6"/>
        <v/>
      </c>
      <c r="W1882" s="267" t="str">
        <f t="shared" si="8"/>
        <v/>
      </c>
      <c r="X1882" s="264" t="str">
        <f t="shared" si="7"/>
        <v/>
      </c>
    </row>
    <row r="1883" ht="15.75" customHeight="1">
      <c r="A1883" s="258"/>
      <c r="B1883" s="258"/>
      <c r="C1883" s="269"/>
      <c r="D1883" s="258"/>
      <c r="E1883" s="258"/>
      <c r="F1883" s="258"/>
      <c r="G1883" s="258"/>
      <c r="H1883" s="271"/>
      <c r="I1883" s="258"/>
      <c r="J1883" s="272"/>
      <c r="K1883" s="260"/>
      <c r="L1883" s="261"/>
      <c r="M1883" s="262" t="str">
        <f t="shared" si="1"/>
        <v/>
      </c>
      <c r="N1883" s="263" t="str">
        <f t="shared" si="2"/>
        <v/>
      </c>
      <c r="O1883" s="264" t="str">
        <f t="shared" si="3"/>
        <v/>
      </c>
      <c r="P1883" s="265" t="str">
        <f>IFERROR(__xludf.DUMMYFUNCTION("IF(ISBLANK(A1883),"""",IFERROR(IF(H1883=""Sell"",VLOOKUP(9^99,FILTER({ROW(P$2:P1882),P$2:P1882},D$2:D1882=D1883),2),(VLOOKUP(9^99,FILTER({ROW(P$2:P1882),P$2:P1882},D$2:D1882=D1883),2)*VLOOKUP(9^99,FILTER({ROW(O$2:O1882),O$2:O1882},D$2:D1882=D1883),2)-N188"&amp;"3)/O1883),J1883))"),"")</f>
        <v/>
      </c>
      <c r="Q1883" s="264" t="str">
        <f>IFERROR(__xludf.DUMMYFUNCTION("IFERROR(IF(F1883=""Crypto"",B1883,(IF(ISBLANK(D1883),"""",IF(D1883=""Cash"",B1883,IF(GOOGLEFINANCE(D1883,""CURRENCY"")=""GBX"",""GBP"",GOOGLEFINANCE(D1883,""CURRENCY"")))))),B1883)"),"")</f>
        <v/>
      </c>
      <c r="R1883" s="263" t="str">
        <f>IFERROR(__xludf.DUMMYFUNCTION("IF(ISBLANK(A1883),"""",IFERROR(IF(OR(Q1883=""GPB"",Q1883=""ZAR""),IF(Q1883=Dashboard!$L$1,K1883,(K1883*GOOGLEFINANCE(""CURRENCY:""&amp;Q1883&amp;""""&amp;Dashboard!$L$1&amp;""""))/100),IF(Q1883=Dashboard!$L$1,K1883,K1883*GOOGLEFINANCE(""CURRENCY:""&amp;Q1883&amp;""""&amp;Dashboard!$"&amp;"L$1&amp;""""))),K1883))"),"")</f>
        <v/>
      </c>
      <c r="S1883" s="266" t="str">
        <f>IFERROR(__xludf.DUMMYFUNCTION("IF(ISBLANK(A1883),"""",IFERROR(IF(OR(Q1883=""GPB"",Q1883=""ZAR""),IF(Q1883=Dashboard!$L$1,M1883,(M1883*GOOGLEFINANCE(""CURRENCY:""&amp;Q1883&amp;""""&amp;Dashboard!$L$1&amp;""""))/100),IF(Q1883=Dashboard!$L$1,M1883,M1883*GOOGLEFINANCE(""CURRENCY:""&amp;Q1883&amp;""""&amp;Dashboard!$"&amp;"L$1&amp;""""))),M1883))"),"")</f>
        <v/>
      </c>
      <c r="T1883" s="264" t="str">
        <f t="shared" si="4"/>
        <v/>
      </c>
      <c r="U1883" s="264" t="str">
        <f t="shared" si="5"/>
        <v/>
      </c>
      <c r="V1883" s="264" t="str">
        <f t="shared" si="6"/>
        <v/>
      </c>
      <c r="W1883" s="267" t="str">
        <f t="shared" si="8"/>
        <v/>
      </c>
      <c r="X1883" s="264" t="str">
        <f t="shared" si="7"/>
        <v/>
      </c>
    </row>
    <row r="1884" ht="15.75" customHeight="1">
      <c r="A1884" s="258"/>
      <c r="B1884" s="258"/>
      <c r="C1884" s="269"/>
      <c r="D1884" s="258"/>
      <c r="E1884" s="258"/>
      <c r="F1884" s="258"/>
      <c r="G1884" s="258"/>
      <c r="H1884" s="271"/>
      <c r="I1884" s="258"/>
      <c r="J1884" s="272"/>
      <c r="K1884" s="260"/>
      <c r="L1884" s="261"/>
      <c r="M1884" s="262" t="str">
        <f t="shared" si="1"/>
        <v/>
      </c>
      <c r="N1884" s="263" t="str">
        <f t="shared" si="2"/>
        <v/>
      </c>
      <c r="O1884" s="264" t="str">
        <f t="shared" si="3"/>
        <v/>
      </c>
      <c r="P1884" s="265" t="str">
        <f>IFERROR(__xludf.DUMMYFUNCTION("IF(ISBLANK(A1884),"""",IFERROR(IF(H1884=""Sell"",VLOOKUP(9^99,FILTER({ROW(P$2:P1883),P$2:P1883},D$2:D1883=D1884),2),(VLOOKUP(9^99,FILTER({ROW(P$2:P1883),P$2:P1883},D$2:D1883=D1884),2)*VLOOKUP(9^99,FILTER({ROW(O$2:O1883),O$2:O1883},D$2:D1883=D1884),2)-N188"&amp;"4)/O1884),J1884))"),"")</f>
        <v/>
      </c>
      <c r="Q1884" s="264" t="str">
        <f>IFERROR(__xludf.DUMMYFUNCTION("IFERROR(IF(F1884=""Crypto"",B1884,(IF(ISBLANK(D1884),"""",IF(D1884=""Cash"",B1884,IF(GOOGLEFINANCE(D1884,""CURRENCY"")=""GBX"",""GBP"",GOOGLEFINANCE(D1884,""CURRENCY"")))))),B1884)"),"")</f>
        <v/>
      </c>
      <c r="R1884" s="263" t="str">
        <f>IFERROR(__xludf.DUMMYFUNCTION("IF(ISBLANK(A1884),"""",IFERROR(IF(OR(Q1884=""GPB"",Q1884=""ZAR""),IF(Q1884=Dashboard!$L$1,K1884,(K1884*GOOGLEFINANCE(""CURRENCY:""&amp;Q1884&amp;""""&amp;Dashboard!$L$1&amp;""""))/100),IF(Q1884=Dashboard!$L$1,K1884,K1884*GOOGLEFINANCE(""CURRENCY:""&amp;Q1884&amp;""""&amp;Dashboard!$"&amp;"L$1&amp;""""))),K1884))"),"")</f>
        <v/>
      </c>
      <c r="S1884" s="266" t="str">
        <f>IFERROR(__xludf.DUMMYFUNCTION("IF(ISBLANK(A1884),"""",IFERROR(IF(OR(Q1884=""GPB"",Q1884=""ZAR""),IF(Q1884=Dashboard!$L$1,M1884,(M1884*GOOGLEFINANCE(""CURRENCY:""&amp;Q1884&amp;""""&amp;Dashboard!$L$1&amp;""""))/100),IF(Q1884=Dashboard!$L$1,M1884,M1884*GOOGLEFINANCE(""CURRENCY:""&amp;Q1884&amp;""""&amp;Dashboard!$"&amp;"L$1&amp;""""))),M1884))"),"")</f>
        <v/>
      </c>
      <c r="T1884" s="264" t="str">
        <f t="shared" si="4"/>
        <v/>
      </c>
      <c r="U1884" s="264" t="str">
        <f t="shared" si="5"/>
        <v/>
      </c>
      <c r="V1884" s="264" t="str">
        <f t="shared" si="6"/>
        <v/>
      </c>
      <c r="W1884" s="267" t="str">
        <f t="shared" si="8"/>
        <v/>
      </c>
      <c r="X1884" s="264" t="str">
        <f t="shared" si="7"/>
        <v/>
      </c>
    </row>
    <row r="1885" ht="15.75" customHeight="1">
      <c r="A1885" s="258"/>
      <c r="B1885" s="258"/>
      <c r="C1885" s="269"/>
      <c r="D1885" s="258"/>
      <c r="E1885" s="258"/>
      <c r="F1885" s="258"/>
      <c r="G1885" s="258"/>
      <c r="H1885" s="271"/>
      <c r="I1885" s="258"/>
      <c r="J1885" s="272"/>
      <c r="K1885" s="260"/>
      <c r="L1885" s="261"/>
      <c r="M1885" s="262" t="str">
        <f t="shared" si="1"/>
        <v/>
      </c>
      <c r="N1885" s="263" t="str">
        <f t="shared" si="2"/>
        <v/>
      </c>
      <c r="O1885" s="264" t="str">
        <f t="shared" si="3"/>
        <v/>
      </c>
      <c r="P1885" s="265" t="str">
        <f>IFERROR(__xludf.DUMMYFUNCTION("IF(ISBLANK(A1885),"""",IFERROR(IF(H1885=""Sell"",VLOOKUP(9^99,FILTER({ROW(P$2:P1884),P$2:P1884},D$2:D1884=D1885),2),(VLOOKUP(9^99,FILTER({ROW(P$2:P1884),P$2:P1884},D$2:D1884=D1885),2)*VLOOKUP(9^99,FILTER({ROW(O$2:O1884),O$2:O1884},D$2:D1884=D1885),2)-N188"&amp;"5)/O1885),J1885))"),"")</f>
        <v/>
      </c>
      <c r="Q1885" s="264" t="str">
        <f>IFERROR(__xludf.DUMMYFUNCTION("IFERROR(IF(F1885=""Crypto"",B1885,(IF(ISBLANK(D1885),"""",IF(D1885=""Cash"",B1885,IF(GOOGLEFINANCE(D1885,""CURRENCY"")=""GBX"",""GBP"",GOOGLEFINANCE(D1885,""CURRENCY"")))))),B1885)"),"")</f>
        <v/>
      </c>
      <c r="R1885" s="263" t="str">
        <f>IFERROR(__xludf.DUMMYFUNCTION("IF(ISBLANK(A1885),"""",IFERROR(IF(OR(Q1885=""GPB"",Q1885=""ZAR""),IF(Q1885=Dashboard!$L$1,K1885,(K1885*GOOGLEFINANCE(""CURRENCY:""&amp;Q1885&amp;""""&amp;Dashboard!$L$1&amp;""""))/100),IF(Q1885=Dashboard!$L$1,K1885,K1885*GOOGLEFINANCE(""CURRENCY:""&amp;Q1885&amp;""""&amp;Dashboard!$"&amp;"L$1&amp;""""))),K1885))"),"")</f>
        <v/>
      </c>
      <c r="S1885" s="266" t="str">
        <f>IFERROR(__xludf.DUMMYFUNCTION("IF(ISBLANK(A1885),"""",IFERROR(IF(OR(Q1885=""GPB"",Q1885=""ZAR""),IF(Q1885=Dashboard!$L$1,M1885,(M1885*GOOGLEFINANCE(""CURRENCY:""&amp;Q1885&amp;""""&amp;Dashboard!$L$1&amp;""""))/100),IF(Q1885=Dashboard!$L$1,M1885,M1885*GOOGLEFINANCE(""CURRENCY:""&amp;Q1885&amp;""""&amp;Dashboard!$"&amp;"L$1&amp;""""))),M1885))"),"")</f>
        <v/>
      </c>
      <c r="T1885" s="264" t="str">
        <f t="shared" si="4"/>
        <v/>
      </c>
      <c r="U1885" s="264" t="str">
        <f t="shared" si="5"/>
        <v/>
      </c>
      <c r="V1885" s="264" t="str">
        <f t="shared" si="6"/>
        <v/>
      </c>
      <c r="W1885" s="267" t="str">
        <f t="shared" si="8"/>
        <v/>
      </c>
      <c r="X1885" s="264" t="str">
        <f t="shared" si="7"/>
        <v/>
      </c>
    </row>
    <row r="1886" ht="15.75" customHeight="1">
      <c r="A1886" s="258"/>
      <c r="B1886" s="258"/>
      <c r="C1886" s="269"/>
      <c r="D1886" s="258"/>
      <c r="E1886" s="258"/>
      <c r="F1886" s="258"/>
      <c r="G1886" s="258"/>
      <c r="H1886" s="271"/>
      <c r="I1886" s="258"/>
      <c r="J1886" s="272"/>
      <c r="K1886" s="260"/>
      <c r="L1886" s="261"/>
      <c r="M1886" s="262" t="str">
        <f t="shared" si="1"/>
        <v/>
      </c>
      <c r="N1886" s="263" t="str">
        <f t="shared" si="2"/>
        <v/>
      </c>
      <c r="O1886" s="264" t="str">
        <f t="shared" si="3"/>
        <v/>
      </c>
      <c r="P1886" s="265" t="str">
        <f>IFERROR(__xludf.DUMMYFUNCTION("IF(ISBLANK(A1886),"""",IFERROR(IF(H1886=""Sell"",VLOOKUP(9^99,FILTER({ROW(P$2:P1885),P$2:P1885},D$2:D1885=D1886),2),(VLOOKUP(9^99,FILTER({ROW(P$2:P1885),P$2:P1885},D$2:D1885=D1886),2)*VLOOKUP(9^99,FILTER({ROW(O$2:O1885),O$2:O1885},D$2:D1885=D1886),2)-N188"&amp;"6)/O1886),J1886))"),"")</f>
        <v/>
      </c>
      <c r="Q1886" s="264" t="str">
        <f>IFERROR(__xludf.DUMMYFUNCTION("IFERROR(IF(F1886=""Crypto"",B1886,(IF(ISBLANK(D1886),"""",IF(D1886=""Cash"",B1886,IF(GOOGLEFINANCE(D1886,""CURRENCY"")=""GBX"",""GBP"",GOOGLEFINANCE(D1886,""CURRENCY"")))))),B1886)"),"")</f>
        <v/>
      </c>
      <c r="R1886" s="263" t="str">
        <f>IFERROR(__xludf.DUMMYFUNCTION("IF(ISBLANK(A1886),"""",IFERROR(IF(OR(Q1886=""GPB"",Q1886=""ZAR""),IF(Q1886=Dashboard!$L$1,K1886,(K1886*GOOGLEFINANCE(""CURRENCY:""&amp;Q1886&amp;""""&amp;Dashboard!$L$1&amp;""""))/100),IF(Q1886=Dashboard!$L$1,K1886,K1886*GOOGLEFINANCE(""CURRENCY:""&amp;Q1886&amp;""""&amp;Dashboard!$"&amp;"L$1&amp;""""))),K1886))"),"")</f>
        <v/>
      </c>
      <c r="S1886" s="266" t="str">
        <f>IFERROR(__xludf.DUMMYFUNCTION("IF(ISBLANK(A1886),"""",IFERROR(IF(OR(Q1886=""GPB"",Q1886=""ZAR""),IF(Q1886=Dashboard!$L$1,M1886,(M1886*GOOGLEFINANCE(""CURRENCY:""&amp;Q1886&amp;""""&amp;Dashboard!$L$1&amp;""""))/100),IF(Q1886=Dashboard!$L$1,M1886,M1886*GOOGLEFINANCE(""CURRENCY:""&amp;Q1886&amp;""""&amp;Dashboard!$"&amp;"L$1&amp;""""))),M1886))"),"")</f>
        <v/>
      </c>
      <c r="T1886" s="264" t="str">
        <f t="shared" si="4"/>
        <v/>
      </c>
      <c r="U1886" s="264" t="str">
        <f t="shared" si="5"/>
        <v/>
      </c>
      <c r="V1886" s="264" t="str">
        <f t="shared" si="6"/>
        <v/>
      </c>
      <c r="W1886" s="267" t="str">
        <f t="shared" si="8"/>
        <v/>
      </c>
      <c r="X1886" s="264" t="str">
        <f t="shared" si="7"/>
        <v/>
      </c>
    </row>
    <row r="1887" ht="15.75" customHeight="1">
      <c r="A1887" s="258"/>
      <c r="B1887" s="258"/>
      <c r="C1887" s="269"/>
      <c r="D1887" s="258"/>
      <c r="E1887" s="258"/>
      <c r="F1887" s="258"/>
      <c r="G1887" s="258"/>
      <c r="H1887" s="271"/>
      <c r="I1887" s="258"/>
      <c r="J1887" s="272"/>
      <c r="K1887" s="260"/>
      <c r="L1887" s="261"/>
      <c r="M1887" s="262" t="str">
        <f t="shared" si="1"/>
        <v/>
      </c>
      <c r="N1887" s="263" t="str">
        <f t="shared" si="2"/>
        <v/>
      </c>
      <c r="O1887" s="264" t="str">
        <f t="shared" si="3"/>
        <v/>
      </c>
      <c r="P1887" s="265" t="str">
        <f>IFERROR(__xludf.DUMMYFUNCTION("IF(ISBLANK(A1887),"""",IFERROR(IF(H1887=""Sell"",VLOOKUP(9^99,FILTER({ROW(P$2:P1886),P$2:P1886},D$2:D1886=D1887),2),(VLOOKUP(9^99,FILTER({ROW(P$2:P1886),P$2:P1886},D$2:D1886=D1887),2)*VLOOKUP(9^99,FILTER({ROW(O$2:O1886),O$2:O1886},D$2:D1886=D1887),2)-N188"&amp;"7)/O1887),J1887))"),"")</f>
        <v/>
      </c>
      <c r="Q1887" s="264" t="str">
        <f>IFERROR(__xludf.DUMMYFUNCTION("IFERROR(IF(F1887=""Crypto"",B1887,(IF(ISBLANK(D1887),"""",IF(D1887=""Cash"",B1887,IF(GOOGLEFINANCE(D1887,""CURRENCY"")=""GBX"",""GBP"",GOOGLEFINANCE(D1887,""CURRENCY"")))))),B1887)"),"")</f>
        <v/>
      </c>
      <c r="R1887" s="263" t="str">
        <f>IFERROR(__xludf.DUMMYFUNCTION("IF(ISBLANK(A1887),"""",IFERROR(IF(OR(Q1887=""GPB"",Q1887=""ZAR""),IF(Q1887=Dashboard!$L$1,K1887,(K1887*GOOGLEFINANCE(""CURRENCY:""&amp;Q1887&amp;""""&amp;Dashboard!$L$1&amp;""""))/100),IF(Q1887=Dashboard!$L$1,K1887,K1887*GOOGLEFINANCE(""CURRENCY:""&amp;Q1887&amp;""""&amp;Dashboard!$"&amp;"L$1&amp;""""))),K1887))"),"")</f>
        <v/>
      </c>
      <c r="S1887" s="266" t="str">
        <f>IFERROR(__xludf.DUMMYFUNCTION("IF(ISBLANK(A1887),"""",IFERROR(IF(OR(Q1887=""GPB"",Q1887=""ZAR""),IF(Q1887=Dashboard!$L$1,M1887,(M1887*GOOGLEFINANCE(""CURRENCY:""&amp;Q1887&amp;""""&amp;Dashboard!$L$1&amp;""""))/100),IF(Q1887=Dashboard!$L$1,M1887,M1887*GOOGLEFINANCE(""CURRENCY:""&amp;Q1887&amp;""""&amp;Dashboard!$"&amp;"L$1&amp;""""))),M1887))"),"")</f>
        <v/>
      </c>
      <c r="T1887" s="264" t="str">
        <f t="shared" si="4"/>
        <v/>
      </c>
      <c r="U1887" s="264" t="str">
        <f t="shared" si="5"/>
        <v/>
      </c>
      <c r="V1887" s="264" t="str">
        <f t="shared" si="6"/>
        <v/>
      </c>
      <c r="W1887" s="267" t="str">
        <f t="shared" si="8"/>
        <v/>
      </c>
      <c r="X1887" s="264" t="str">
        <f t="shared" si="7"/>
        <v/>
      </c>
    </row>
    <row r="1888" ht="15.75" customHeight="1">
      <c r="A1888" s="258"/>
      <c r="B1888" s="258"/>
      <c r="C1888" s="269"/>
      <c r="D1888" s="258"/>
      <c r="E1888" s="258"/>
      <c r="F1888" s="258"/>
      <c r="G1888" s="258"/>
      <c r="H1888" s="271"/>
      <c r="I1888" s="258"/>
      <c r="J1888" s="272"/>
      <c r="K1888" s="260"/>
      <c r="L1888" s="261"/>
      <c r="M1888" s="262" t="str">
        <f t="shared" si="1"/>
        <v/>
      </c>
      <c r="N1888" s="263" t="str">
        <f t="shared" si="2"/>
        <v/>
      </c>
      <c r="O1888" s="264" t="str">
        <f t="shared" si="3"/>
        <v/>
      </c>
      <c r="P1888" s="265" t="str">
        <f>IFERROR(__xludf.DUMMYFUNCTION("IF(ISBLANK(A1888),"""",IFERROR(IF(H1888=""Sell"",VLOOKUP(9^99,FILTER({ROW(P$2:P1887),P$2:P1887},D$2:D1887=D1888),2),(VLOOKUP(9^99,FILTER({ROW(P$2:P1887),P$2:P1887},D$2:D1887=D1888),2)*VLOOKUP(9^99,FILTER({ROW(O$2:O1887),O$2:O1887},D$2:D1887=D1888),2)-N188"&amp;"8)/O1888),J1888))"),"")</f>
        <v/>
      </c>
      <c r="Q1888" s="264" t="str">
        <f>IFERROR(__xludf.DUMMYFUNCTION("IFERROR(IF(F1888=""Crypto"",B1888,(IF(ISBLANK(D1888),"""",IF(D1888=""Cash"",B1888,IF(GOOGLEFINANCE(D1888,""CURRENCY"")=""GBX"",""GBP"",GOOGLEFINANCE(D1888,""CURRENCY"")))))),B1888)"),"")</f>
        <v/>
      </c>
      <c r="R1888" s="263" t="str">
        <f>IFERROR(__xludf.DUMMYFUNCTION("IF(ISBLANK(A1888),"""",IFERROR(IF(OR(Q1888=""GPB"",Q1888=""ZAR""),IF(Q1888=Dashboard!$L$1,K1888,(K1888*GOOGLEFINANCE(""CURRENCY:""&amp;Q1888&amp;""""&amp;Dashboard!$L$1&amp;""""))/100),IF(Q1888=Dashboard!$L$1,K1888,K1888*GOOGLEFINANCE(""CURRENCY:""&amp;Q1888&amp;""""&amp;Dashboard!$"&amp;"L$1&amp;""""))),K1888))"),"")</f>
        <v/>
      </c>
      <c r="S1888" s="266" t="str">
        <f>IFERROR(__xludf.DUMMYFUNCTION("IF(ISBLANK(A1888),"""",IFERROR(IF(OR(Q1888=""GPB"",Q1888=""ZAR""),IF(Q1888=Dashboard!$L$1,M1888,(M1888*GOOGLEFINANCE(""CURRENCY:""&amp;Q1888&amp;""""&amp;Dashboard!$L$1&amp;""""))/100),IF(Q1888=Dashboard!$L$1,M1888,M1888*GOOGLEFINANCE(""CURRENCY:""&amp;Q1888&amp;""""&amp;Dashboard!$"&amp;"L$1&amp;""""))),M1888))"),"")</f>
        <v/>
      </c>
      <c r="T1888" s="264" t="str">
        <f t="shared" si="4"/>
        <v/>
      </c>
      <c r="U1888" s="264" t="str">
        <f t="shared" si="5"/>
        <v/>
      </c>
      <c r="V1888" s="264" t="str">
        <f t="shared" si="6"/>
        <v/>
      </c>
      <c r="W1888" s="267" t="str">
        <f t="shared" si="8"/>
        <v/>
      </c>
      <c r="X1888" s="264" t="str">
        <f t="shared" si="7"/>
        <v/>
      </c>
    </row>
    <row r="1889" ht="15.75" customHeight="1">
      <c r="A1889" s="258"/>
      <c r="B1889" s="258"/>
      <c r="C1889" s="269"/>
      <c r="D1889" s="258"/>
      <c r="E1889" s="258"/>
      <c r="F1889" s="258"/>
      <c r="G1889" s="258"/>
      <c r="H1889" s="271"/>
      <c r="I1889" s="258"/>
      <c r="J1889" s="272"/>
      <c r="K1889" s="260"/>
      <c r="L1889" s="261"/>
      <c r="M1889" s="262" t="str">
        <f t="shared" si="1"/>
        <v/>
      </c>
      <c r="N1889" s="263" t="str">
        <f t="shared" si="2"/>
        <v/>
      </c>
      <c r="O1889" s="264" t="str">
        <f t="shared" si="3"/>
        <v/>
      </c>
      <c r="P1889" s="265" t="str">
        <f>IFERROR(__xludf.DUMMYFUNCTION("IF(ISBLANK(A1889),"""",IFERROR(IF(H1889=""Sell"",VLOOKUP(9^99,FILTER({ROW(P$2:P1888),P$2:P1888},D$2:D1888=D1889),2),(VLOOKUP(9^99,FILTER({ROW(P$2:P1888),P$2:P1888},D$2:D1888=D1889),2)*VLOOKUP(9^99,FILTER({ROW(O$2:O1888),O$2:O1888},D$2:D1888=D1889),2)-N188"&amp;"9)/O1889),J1889))"),"")</f>
        <v/>
      </c>
      <c r="Q1889" s="264" t="str">
        <f>IFERROR(__xludf.DUMMYFUNCTION("IFERROR(IF(F1889=""Crypto"",B1889,(IF(ISBLANK(D1889),"""",IF(D1889=""Cash"",B1889,IF(GOOGLEFINANCE(D1889,""CURRENCY"")=""GBX"",""GBP"",GOOGLEFINANCE(D1889,""CURRENCY"")))))),B1889)"),"")</f>
        <v/>
      </c>
      <c r="R1889" s="263" t="str">
        <f>IFERROR(__xludf.DUMMYFUNCTION("IF(ISBLANK(A1889),"""",IFERROR(IF(OR(Q1889=""GPB"",Q1889=""ZAR""),IF(Q1889=Dashboard!$L$1,K1889,(K1889*GOOGLEFINANCE(""CURRENCY:""&amp;Q1889&amp;""""&amp;Dashboard!$L$1&amp;""""))/100),IF(Q1889=Dashboard!$L$1,K1889,K1889*GOOGLEFINANCE(""CURRENCY:""&amp;Q1889&amp;""""&amp;Dashboard!$"&amp;"L$1&amp;""""))),K1889))"),"")</f>
        <v/>
      </c>
      <c r="S1889" s="266" t="str">
        <f>IFERROR(__xludf.DUMMYFUNCTION("IF(ISBLANK(A1889),"""",IFERROR(IF(OR(Q1889=""GPB"",Q1889=""ZAR""),IF(Q1889=Dashboard!$L$1,M1889,(M1889*GOOGLEFINANCE(""CURRENCY:""&amp;Q1889&amp;""""&amp;Dashboard!$L$1&amp;""""))/100),IF(Q1889=Dashboard!$L$1,M1889,M1889*GOOGLEFINANCE(""CURRENCY:""&amp;Q1889&amp;""""&amp;Dashboard!$"&amp;"L$1&amp;""""))),M1889))"),"")</f>
        <v/>
      </c>
      <c r="T1889" s="264" t="str">
        <f t="shared" si="4"/>
        <v/>
      </c>
      <c r="U1889" s="264" t="str">
        <f t="shared" si="5"/>
        <v/>
      </c>
      <c r="V1889" s="264" t="str">
        <f t="shared" si="6"/>
        <v/>
      </c>
      <c r="W1889" s="267" t="str">
        <f t="shared" si="8"/>
        <v/>
      </c>
      <c r="X1889" s="264" t="str">
        <f t="shared" si="7"/>
        <v/>
      </c>
    </row>
    <row r="1890" ht="15.75" customHeight="1">
      <c r="A1890" s="258"/>
      <c r="B1890" s="258"/>
      <c r="C1890" s="269"/>
      <c r="D1890" s="258"/>
      <c r="E1890" s="258"/>
      <c r="F1890" s="258"/>
      <c r="G1890" s="258"/>
      <c r="H1890" s="271"/>
      <c r="I1890" s="258"/>
      <c r="J1890" s="272"/>
      <c r="K1890" s="260"/>
      <c r="L1890" s="261"/>
      <c r="M1890" s="262" t="str">
        <f t="shared" si="1"/>
        <v/>
      </c>
      <c r="N1890" s="263" t="str">
        <f t="shared" si="2"/>
        <v/>
      </c>
      <c r="O1890" s="264" t="str">
        <f t="shared" si="3"/>
        <v/>
      </c>
      <c r="P1890" s="265" t="str">
        <f>IFERROR(__xludf.DUMMYFUNCTION("IF(ISBLANK(A1890),"""",IFERROR(IF(H1890=""Sell"",VLOOKUP(9^99,FILTER({ROW(P$2:P1889),P$2:P1889},D$2:D1889=D1890),2),(VLOOKUP(9^99,FILTER({ROW(P$2:P1889),P$2:P1889},D$2:D1889=D1890),2)*VLOOKUP(9^99,FILTER({ROW(O$2:O1889),O$2:O1889},D$2:D1889=D1890),2)-N189"&amp;"0)/O1890),J1890))"),"")</f>
        <v/>
      </c>
      <c r="Q1890" s="264" t="str">
        <f>IFERROR(__xludf.DUMMYFUNCTION("IFERROR(IF(F1890=""Crypto"",B1890,(IF(ISBLANK(D1890),"""",IF(D1890=""Cash"",B1890,IF(GOOGLEFINANCE(D1890,""CURRENCY"")=""GBX"",""GBP"",GOOGLEFINANCE(D1890,""CURRENCY"")))))),B1890)"),"")</f>
        <v/>
      </c>
      <c r="R1890" s="263" t="str">
        <f>IFERROR(__xludf.DUMMYFUNCTION("IF(ISBLANK(A1890),"""",IFERROR(IF(OR(Q1890=""GPB"",Q1890=""ZAR""),IF(Q1890=Dashboard!$L$1,K1890,(K1890*GOOGLEFINANCE(""CURRENCY:""&amp;Q1890&amp;""""&amp;Dashboard!$L$1&amp;""""))/100),IF(Q1890=Dashboard!$L$1,K1890,K1890*GOOGLEFINANCE(""CURRENCY:""&amp;Q1890&amp;""""&amp;Dashboard!$"&amp;"L$1&amp;""""))),K1890))"),"")</f>
        <v/>
      </c>
      <c r="S1890" s="266" t="str">
        <f>IFERROR(__xludf.DUMMYFUNCTION("IF(ISBLANK(A1890),"""",IFERROR(IF(OR(Q1890=""GPB"",Q1890=""ZAR""),IF(Q1890=Dashboard!$L$1,M1890,(M1890*GOOGLEFINANCE(""CURRENCY:""&amp;Q1890&amp;""""&amp;Dashboard!$L$1&amp;""""))/100),IF(Q1890=Dashboard!$L$1,M1890,M1890*GOOGLEFINANCE(""CURRENCY:""&amp;Q1890&amp;""""&amp;Dashboard!$"&amp;"L$1&amp;""""))),M1890))"),"")</f>
        <v/>
      </c>
      <c r="T1890" s="264" t="str">
        <f t="shared" si="4"/>
        <v/>
      </c>
      <c r="U1890" s="264" t="str">
        <f t="shared" si="5"/>
        <v/>
      </c>
      <c r="V1890" s="264" t="str">
        <f t="shared" si="6"/>
        <v/>
      </c>
      <c r="W1890" s="267" t="str">
        <f t="shared" si="8"/>
        <v/>
      </c>
      <c r="X1890" s="264" t="str">
        <f t="shared" si="7"/>
        <v/>
      </c>
    </row>
    <row r="1891" ht="15.75" customHeight="1">
      <c r="A1891" s="258"/>
      <c r="B1891" s="258"/>
      <c r="C1891" s="269"/>
      <c r="D1891" s="258"/>
      <c r="E1891" s="258"/>
      <c r="F1891" s="258"/>
      <c r="G1891" s="258"/>
      <c r="H1891" s="271"/>
      <c r="I1891" s="258"/>
      <c r="J1891" s="272"/>
      <c r="K1891" s="260"/>
      <c r="L1891" s="261"/>
      <c r="M1891" s="262" t="str">
        <f t="shared" si="1"/>
        <v/>
      </c>
      <c r="N1891" s="263" t="str">
        <f t="shared" si="2"/>
        <v/>
      </c>
      <c r="O1891" s="264" t="str">
        <f t="shared" si="3"/>
        <v/>
      </c>
      <c r="P1891" s="265" t="str">
        <f>IFERROR(__xludf.DUMMYFUNCTION("IF(ISBLANK(A1891),"""",IFERROR(IF(H1891=""Sell"",VLOOKUP(9^99,FILTER({ROW(P$2:P1890),P$2:P1890},D$2:D1890=D1891),2),(VLOOKUP(9^99,FILTER({ROW(P$2:P1890),P$2:P1890},D$2:D1890=D1891),2)*VLOOKUP(9^99,FILTER({ROW(O$2:O1890),O$2:O1890},D$2:D1890=D1891),2)-N189"&amp;"1)/O1891),J1891))"),"")</f>
        <v/>
      </c>
      <c r="Q1891" s="264" t="str">
        <f>IFERROR(__xludf.DUMMYFUNCTION("IFERROR(IF(F1891=""Crypto"",B1891,(IF(ISBLANK(D1891),"""",IF(D1891=""Cash"",B1891,IF(GOOGLEFINANCE(D1891,""CURRENCY"")=""GBX"",""GBP"",GOOGLEFINANCE(D1891,""CURRENCY"")))))),B1891)"),"")</f>
        <v/>
      </c>
      <c r="R1891" s="263" t="str">
        <f>IFERROR(__xludf.DUMMYFUNCTION("IF(ISBLANK(A1891),"""",IFERROR(IF(OR(Q1891=""GPB"",Q1891=""ZAR""),IF(Q1891=Dashboard!$L$1,K1891,(K1891*GOOGLEFINANCE(""CURRENCY:""&amp;Q1891&amp;""""&amp;Dashboard!$L$1&amp;""""))/100),IF(Q1891=Dashboard!$L$1,K1891,K1891*GOOGLEFINANCE(""CURRENCY:""&amp;Q1891&amp;""""&amp;Dashboard!$"&amp;"L$1&amp;""""))),K1891))"),"")</f>
        <v/>
      </c>
      <c r="S1891" s="266" t="str">
        <f>IFERROR(__xludf.DUMMYFUNCTION("IF(ISBLANK(A1891),"""",IFERROR(IF(OR(Q1891=""GPB"",Q1891=""ZAR""),IF(Q1891=Dashboard!$L$1,M1891,(M1891*GOOGLEFINANCE(""CURRENCY:""&amp;Q1891&amp;""""&amp;Dashboard!$L$1&amp;""""))/100),IF(Q1891=Dashboard!$L$1,M1891,M1891*GOOGLEFINANCE(""CURRENCY:""&amp;Q1891&amp;""""&amp;Dashboard!$"&amp;"L$1&amp;""""))),M1891))"),"")</f>
        <v/>
      </c>
      <c r="T1891" s="264" t="str">
        <f t="shared" si="4"/>
        <v/>
      </c>
      <c r="U1891" s="264" t="str">
        <f t="shared" si="5"/>
        <v/>
      </c>
      <c r="V1891" s="264" t="str">
        <f t="shared" si="6"/>
        <v/>
      </c>
      <c r="W1891" s="267" t="str">
        <f t="shared" si="8"/>
        <v/>
      </c>
      <c r="X1891" s="264" t="str">
        <f t="shared" si="7"/>
        <v/>
      </c>
    </row>
    <row r="1892" ht="15.75" customHeight="1">
      <c r="A1892" s="258"/>
      <c r="B1892" s="258"/>
      <c r="C1892" s="269"/>
      <c r="D1892" s="258"/>
      <c r="E1892" s="258"/>
      <c r="F1892" s="258"/>
      <c r="G1892" s="258"/>
      <c r="H1892" s="271"/>
      <c r="I1892" s="258"/>
      <c r="J1892" s="272"/>
      <c r="K1892" s="260"/>
      <c r="L1892" s="261"/>
      <c r="M1892" s="262" t="str">
        <f t="shared" si="1"/>
        <v/>
      </c>
      <c r="N1892" s="263" t="str">
        <f t="shared" si="2"/>
        <v/>
      </c>
      <c r="O1892" s="264" t="str">
        <f t="shared" si="3"/>
        <v/>
      </c>
      <c r="P1892" s="265" t="str">
        <f>IFERROR(__xludf.DUMMYFUNCTION("IF(ISBLANK(A1892),"""",IFERROR(IF(H1892=""Sell"",VLOOKUP(9^99,FILTER({ROW(P$2:P1891),P$2:P1891},D$2:D1891=D1892),2),(VLOOKUP(9^99,FILTER({ROW(P$2:P1891),P$2:P1891},D$2:D1891=D1892),2)*VLOOKUP(9^99,FILTER({ROW(O$2:O1891),O$2:O1891},D$2:D1891=D1892),2)-N189"&amp;"2)/O1892),J1892))"),"")</f>
        <v/>
      </c>
      <c r="Q1892" s="264" t="str">
        <f>IFERROR(__xludf.DUMMYFUNCTION("IFERROR(IF(F1892=""Crypto"",B1892,(IF(ISBLANK(D1892),"""",IF(D1892=""Cash"",B1892,IF(GOOGLEFINANCE(D1892,""CURRENCY"")=""GBX"",""GBP"",GOOGLEFINANCE(D1892,""CURRENCY"")))))),B1892)"),"")</f>
        <v/>
      </c>
      <c r="R1892" s="263" t="str">
        <f>IFERROR(__xludf.DUMMYFUNCTION("IF(ISBLANK(A1892),"""",IFERROR(IF(OR(Q1892=""GPB"",Q1892=""ZAR""),IF(Q1892=Dashboard!$L$1,K1892,(K1892*GOOGLEFINANCE(""CURRENCY:""&amp;Q1892&amp;""""&amp;Dashboard!$L$1&amp;""""))/100),IF(Q1892=Dashboard!$L$1,K1892,K1892*GOOGLEFINANCE(""CURRENCY:""&amp;Q1892&amp;""""&amp;Dashboard!$"&amp;"L$1&amp;""""))),K1892))"),"")</f>
        <v/>
      </c>
      <c r="S1892" s="266" t="str">
        <f>IFERROR(__xludf.DUMMYFUNCTION("IF(ISBLANK(A1892),"""",IFERROR(IF(OR(Q1892=""GPB"",Q1892=""ZAR""),IF(Q1892=Dashboard!$L$1,M1892,(M1892*GOOGLEFINANCE(""CURRENCY:""&amp;Q1892&amp;""""&amp;Dashboard!$L$1&amp;""""))/100),IF(Q1892=Dashboard!$L$1,M1892,M1892*GOOGLEFINANCE(""CURRENCY:""&amp;Q1892&amp;""""&amp;Dashboard!$"&amp;"L$1&amp;""""))),M1892))"),"")</f>
        <v/>
      </c>
      <c r="T1892" s="264" t="str">
        <f t="shared" si="4"/>
        <v/>
      </c>
      <c r="U1892" s="264" t="str">
        <f t="shared" si="5"/>
        <v/>
      </c>
      <c r="V1892" s="264" t="str">
        <f t="shared" si="6"/>
        <v/>
      </c>
      <c r="W1892" s="267" t="str">
        <f t="shared" si="8"/>
        <v/>
      </c>
      <c r="X1892" s="264" t="str">
        <f t="shared" si="7"/>
        <v/>
      </c>
    </row>
    <row r="1893" ht="15.75" customHeight="1">
      <c r="A1893" s="258"/>
      <c r="B1893" s="258"/>
      <c r="C1893" s="269"/>
      <c r="D1893" s="258"/>
      <c r="E1893" s="258"/>
      <c r="F1893" s="258"/>
      <c r="G1893" s="258"/>
      <c r="H1893" s="271"/>
      <c r="I1893" s="258"/>
      <c r="J1893" s="272"/>
      <c r="K1893" s="260"/>
      <c r="L1893" s="261"/>
      <c r="M1893" s="262" t="str">
        <f t="shared" si="1"/>
        <v/>
      </c>
      <c r="N1893" s="263" t="str">
        <f t="shared" si="2"/>
        <v/>
      </c>
      <c r="O1893" s="264" t="str">
        <f t="shared" si="3"/>
        <v/>
      </c>
      <c r="P1893" s="265" t="str">
        <f>IFERROR(__xludf.DUMMYFUNCTION("IF(ISBLANK(A1893),"""",IFERROR(IF(H1893=""Sell"",VLOOKUP(9^99,FILTER({ROW(P$2:P1892),P$2:P1892},D$2:D1892=D1893),2),(VLOOKUP(9^99,FILTER({ROW(P$2:P1892),P$2:P1892},D$2:D1892=D1893),2)*VLOOKUP(9^99,FILTER({ROW(O$2:O1892),O$2:O1892},D$2:D1892=D1893),2)-N189"&amp;"3)/O1893),J1893))"),"")</f>
        <v/>
      </c>
      <c r="Q1893" s="264" t="str">
        <f>IFERROR(__xludf.DUMMYFUNCTION("IFERROR(IF(F1893=""Crypto"",B1893,(IF(ISBLANK(D1893),"""",IF(D1893=""Cash"",B1893,IF(GOOGLEFINANCE(D1893,""CURRENCY"")=""GBX"",""GBP"",GOOGLEFINANCE(D1893,""CURRENCY"")))))),B1893)"),"")</f>
        <v/>
      </c>
      <c r="R1893" s="263" t="str">
        <f>IFERROR(__xludf.DUMMYFUNCTION("IF(ISBLANK(A1893),"""",IFERROR(IF(OR(Q1893=""GPB"",Q1893=""ZAR""),IF(Q1893=Dashboard!$L$1,K1893,(K1893*GOOGLEFINANCE(""CURRENCY:""&amp;Q1893&amp;""""&amp;Dashboard!$L$1&amp;""""))/100),IF(Q1893=Dashboard!$L$1,K1893,K1893*GOOGLEFINANCE(""CURRENCY:""&amp;Q1893&amp;""""&amp;Dashboard!$"&amp;"L$1&amp;""""))),K1893))"),"")</f>
        <v/>
      </c>
      <c r="S1893" s="266" t="str">
        <f>IFERROR(__xludf.DUMMYFUNCTION("IF(ISBLANK(A1893),"""",IFERROR(IF(OR(Q1893=""GPB"",Q1893=""ZAR""),IF(Q1893=Dashboard!$L$1,M1893,(M1893*GOOGLEFINANCE(""CURRENCY:""&amp;Q1893&amp;""""&amp;Dashboard!$L$1&amp;""""))/100),IF(Q1893=Dashboard!$L$1,M1893,M1893*GOOGLEFINANCE(""CURRENCY:""&amp;Q1893&amp;""""&amp;Dashboard!$"&amp;"L$1&amp;""""))),M1893))"),"")</f>
        <v/>
      </c>
      <c r="T1893" s="264" t="str">
        <f t="shared" si="4"/>
        <v/>
      </c>
      <c r="U1893" s="264" t="str">
        <f t="shared" si="5"/>
        <v/>
      </c>
      <c r="V1893" s="264" t="str">
        <f t="shared" si="6"/>
        <v/>
      </c>
      <c r="W1893" s="267" t="str">
        <f t="shared" si="8"/>
        <v/>
      </c>
      <c r="X1893" s="264" t="str">
        <f t="shared" si="7"/>
        <v/>
      </c>
    </row>
    <row r="1894" ht="15.75" customHeight="1">
      <c r="A1894" s="258"/>
      <c r="B1894" s="258"/>
      <c r="C1894" s="269"/>
      <c r="D1894" s="258"/>
      <c r="E1894" s="258"/>
      <c r="F1894" s="258"/>
      <c r="G1894" s="258"/>
      <c r="H1894" s="271"/>
      <c r="I1894" s="258"/>
      <c r="J1894" s="272"/>
      <c r="K1894" s="260"/>
      <c r="L1894" s="261"/>
      <c r="M1894" s="262" t="str">
        <f t="shared" si="1"/>
        <v/>
      </c>
      <c r="N1894" s="263" t="str">
        <f t="shared" si="2"/>
        <v/>
      </c>
      <c r="O1894" s="264" t="str">
        <f t="shared" si="3"/>
        <v/>
      </c>
      <c r="P1894" s="265" t="str">
        <f>IFERROR(__xludf.DUMMYFUNCTION("IF(ISBLANK(A1894),"""",IFERROR(IF(H1894=""Sell"",VLOOKUP(9^99,FILTER({ROW(P$2:P1893),P$2:P1893},D$2:D1893=D1894),2),(VLOOKUP(9^99,FILTER({ROW(P$2:P1893),P$2:P1893},D$2:D1893=D1894),2)*VLOOKUP(9^99,FILTER({ROW(O$2:O1893),O$2:O1893},D$2:D1893=D1894),2)-N189"&amp;"4)/O1894),J1894))"),"")</f>
        <v/>
      </c>
      <c r="Q1894" s="264" t="str">
        <f>IFERROR(__xludf.DUMMYFUNCTION("IFERROR(IF(F1894=""Crypto"",B1894,(IF(ISBLANK(D1894),"""",IF(D1894=""Cash"",B1894,IF(GOOGLEFINANCE(D1894,""CURRENCY"")=""GBX"",""GBP"",GOOGLEFINANCE(D1894,""CURRENCY"")))))),B1894)"),"")</f>
        <v/>
      </c>
      <c r="R1894" s="263" t="str">
        <f>IFERROR(__xludf.DUMMYFUNCTION("IF(ISBLANK(A1894),"""",IFERROR(IF(OR(Q1894=""GPB"",Q1894=""ZAR""),IF(Q1894=Dashboard!$L$1,K1894,(K1894*GOOGLEFINANCE(""CURRENCY:""&amp;Q1894&amp;""""&amp;Dashboard!$L$1&amp;""""))/100),IF(Q1894=Dashboard!$L$1,K1894,K1894*GOOGLEFINANCE(""CURRENCY:""&amp;Q1894&amp;""""&amp;Dashboard!$"&amp;"L$1&amp;""""))),K1894))"),"")</f>
        <v/>
      </c>
      <c r="S1894" s="266" t="str">
        <f>IFERROR(__xludf.DUMMYFUNCTION("IF(ISBLANK(A1894),"""",IFERROR(IF(OR(Q1894=""GPB"",Q1894=""ZAR""),IF(Q1894=Dashboard!$L$1,M1894,(M1894*GOOGLEFINANCE(""CURRENCY:""&amp;Q1894&amp;""""&amp;Dashboard!$L$1&amp;""""))/100),IF(Q1894=Dashboard!$L$1,M1894,M1894*GOOGLEFINANCE(""CURRENCY:""&amp;Q1894&amp;""""&amp;Dashboard!$"&amp;"L$1&amp;""""))),M1894))"),"")</f>
        <v/>
      </c>
      <c r="T1894" s="264" t="str">
        <f t="shared" si="4"/>
        <v/>
      </c>
      <c r="U1894" s="264" t="str">
        <f t="shared" si="5"/>
        <v/>
      </c>
      <c r="V1894" s="264" t="str">
        <f t="shared" si="6"/>
        <v/>
      </c>
      <c r="W1894" s="267" t="str">
        <f t="shared" si="8"/>
        <v/>
      </c>
      <c r="X1894" s="264" t="str">
        <f t="shared" si="7"/>
        <v/>
      </c>
    </row>
    <row r="1895" ht="15.75" customHeight="1">
      <c r="A1895" s="258"/>
      <c r="B1895" s="258"/>
      <c r="C1895" s="269"/>
      <c r="D1895" s="258"/>
      <c r="E1895" s="258"/>
      <c r="F1895" s="258"/>
      <c r="G1895" s="258"/>
      <c r="H1895" s="271"/>
      <c r="I1895" s="258"/>
      <c r="J1895" s="272"/>
      <c r="K1895" s="260"/>
      <c r="L1895" s="261"/>
      <c r="M1895" s="262" t="str">
        <f t="shared" si="1"/>
        <v/>
      </c>
      <c r="N1895" s="263" t="str">
        <f t="shared" si="2"/>
        <v/>
      </c>
      <c r="O1895" s="264" t="str">
        <f t="shared" si="3"/>
        <v/>
      </c>
      <c r="P1895" s="265" t="str">
        <f>IFERROR(__xludf.DUMMYFUNCTION("IF(ISBLANK(A1895),"""",IFERROR(IF(H1895=""Sell"",VLOOKUP(9^99,FILTER({ROW(P$2:P1894),P$2:P1894},D$2:D1894=D1895),2),(VLOOKUP(9^99,FILTER({ROW(P$2:P1894),P$2:P1894},D$2:D1894=D1895),2)*VLOOKUP(9^99,FILTER({ROW(O$2:O1894),O$2:O1894},D$2:D1894=D1895),2)-N189"&amp;"5)/O1895),J1895))"),"")</f>
        <v/>
      </c>
      <c r="Q1895" s="264" t="str">
        <f>IFERROR(__xludf.DUMMYFUNCTION("IFERROR(IF(F1895=""Crypto"",B1895,(IF(ISBLANK(D1895),"""",IF(D1895=""Cash"",B1895,IF(GOOGLEFINANCE(D1895,""CURRENCY"")=""GBX"",""GBP"",GOOGLEFINANCE(D1895,""CURRENCY"")))))),B1895)"),"")</f>
        <v/>
      </c>
      <c r="R1895" s="263" t="str">
        <f>IFERROR(__xludf.DUMMYFUNCTION("IF(ISBLANK(A1895),"""",IFERROR(IF(OR(Q1895=""GPB"",Q1895=""ZAR""),IF(Q1895=Dashboard!$L$1,K1895,(K1895*GOOGLEFINANCE(""CURRENCY:""&amp;Q1895&amp;""""&amp;Dashboard!$L$1&amp;""""))/100),IF(Q1895=Dashboard!$L$1,K1895,K1895*GOOGLEFINANCE(""CURRENCY:""&amp;Q1895&amp;""""&amp;Dashboard!$"&amp;"L$1&amp;""""))),K1895))"),"")</f>
        <v/>
      </c>
      <c r="S1895" s="266" t="str">
        <f>IFERROR(__xludf.DUMMYFUNCTION("IF(ISBLANK(A1895),"""",IFERROR(IF(OR(Q1895=""GPB"",Q1895=""ZAR""),IF(Q1895=Dashboard!$L$1,M1895,(M1895*GOOGLEFINANCE(""CURRENCY:""&amp;Q1895&amp;""""&amp;Dashboard!$L$1&amp;""""))/100),IF(Q1895=Dashboard!$L$1,M1895,M1895*GOOGLEFINANCE(""CURRENCY:""&amp;Q1895&amp;""""&amp;Dashboard!$"&amp;"L$1&amp;""""))),M1895))"),"")</f>
        <v/>
      </c>
      <c r="T1895" s="264" t="str">
        <f t="shared" si="4"/>
        <v/>
      </c>
      <c r="U1895" s="264" t="str">
        <f t="shared" si="5"/>
        <v/>
      </c>
      <c r="V1895" s="264" t="str">
        <f t="shared" si="6"/>
        <v/>
      </c>
      <c r="W1895" s="267" t="str">
        <f t="shared" si="8"/>
        <v/>
      </c>
      <c r="X1895" s="264" t="str">
        <f t="shared" si="7"/>
        <v/>
      </c>
    </row>
    <row r="1896" ht="15.75" customHeight="1">
      <c r="A1896" s="258"/>
      <c r="B1896" s="258"/>
      <c r="C1896" s="269"/>
      <c r="D1896" s="258"/>
      <c r="E1896" s="258"/>
      <c r="F1896" s="258"/>
      <c r="G1896" s="258"/>
      <c r="H1896" s="271"/>
      <c r="I1896" s="258"/>
      <c r="J1896" s="272"/>
      <c r="K1896" s="260"/>
      <c r="L1896" s="261"/>
      <c r="M1896" s="262" t="str">
        <f t="shared" si="1"/>
        <v/>
      </c>
      <c r="N1896" s="263" t="str">
        <f t="shared" si="2"/>
        <v/>
      </c>
      <c r="O1896" s="264" t="str">
        <f t="shared" si="3"/>
        <v/>
      </c>
      <c r="P1896" s="265" t="str">
        <f>IFERROR(__xludf.DUMMYFUNCTION("IF(ISBLANK(A1896),"""",IFERROR(IF(H1896=""Sell"",VLOOKUP(9^99,FILTER({ROW(P$2:P1895),P$2:P1895},D$2:D1895=D1896),2),(VLOOKUP(9^99,FILTER({ROW(P$2:P1895),P$2:P1895},D$2:D1895=D1896),2)*VLOOKUP(9^99,FILTER({ROW(O$2:O1895),O$2:O1895},D$2:D1895=D1896),2)-N189"&amp;"6)/O1896),J1896))"),"")</f>
        <v/>
      </c>
      <c r="Q1896" s="264" t="str">
        <f>IFERROR(__xludf.DUMMYFUNCTION("IFERROR(IF(F1896=""Crypto"",B1896,(IF(ISBLANK(D1896),"""",IF(D1896=""Cash"",B1896,IF(GOOGLEFINANCE(D1896,""CURRENCY"")=""GBX"",""GBP"",GOOGLEFINANCE(D1896,""CURRENCY"")))))),B1896)"),"")</f>
        <v/>
      </c>
      <c r="R1896" s="263" t="str">
        <f>IFERROR(__xludf.DUMMYFUNCTION("IF(ISBLANK(A1896),"""",IFERROR(IF(OR(Q1896=""GPB"",Q1896=""ZAR""),IF(Q1896=Dashboard!$L$1,K1896,(K1896*GOOGLEFINANCE(""CURRENCY:""&amp;Q1896&amp;""""&amp;Dashboard!$L$1&amp;""""))/100),IF(Q1896=Dashboard!$L$1,K1896,K1896*GOOGLEFINANCE(""CURRENCY:""&amp;Q1896&amp;""""&amp;Dashboard!$"&amp;"L$1&amp;""""))),K1896))"),"")</f>
        <v/>
      </c>
      <c r="S1896" s="266" t="str">
        <f>IFERROR(__xludf.DUMMYFUNCTION("IF(ISBLANK(A1896),"""",IFERROR(IF(OR(Q1896=""GPB"",Q1896=""ZAR""),IF(Q1896=Dashboard!$L$1,M1896,(M1896*GOOGLEFINANCE(""CURRENCY:""&amp;Q1896&amp;""""&amp;Dashboard!$L$1&amp;""""))/100),IF(Q1896=Dashboard!$L$1,M1896,M1896*GOOGLEFINANCE(""CURRENCY:""&amp;Q1896&amp;""""&amp;Dashboard!$"&amp;"L$1&amp;""""))),M1896))"),"")</f>
        <v/>
      </c>
      <c r="T1896" s="264" t="str">
        <f t="shared" si="4"/>
        <v/>
      </c>
      <c r="U1896" s="264" t="str">
        <f t="shared" si="5"/>
        <v/>
      </c>
      <c r="V1896" s="264" t="str">
        <f t="shared" si="6"/>
        <v/>
      </c>
      <c r="W1896" s="267" t="str">
        <f t="shared" si="8"/>
        <v/>
      </c>
      <c r="X1896" s="264" t="str">
        <f t="shared" si="7"/>
        <v/>
      </c>
    </row>
    <row r="1897" ht="15.75" customHeight="1">
      <c r="A1897" s="258"/>
      <c r="B1897" s="258"/>
      <c r="C1897" s="269"/>
      <c r="D1897" s="258"/>
      <c r="E1897" s="258"/>
      <c r="F1897" s="258"/>
      <c r="G1897" s="258"/>
      <c r="H1897" s="271"/>
      <c r="I1897" s="258"/>
      <c r="J1897" s="272"/>
      <c r="K1897" s="260"/>
      <c r="L1897" s="261"/>
      <c r="M1897" s="262" t="str">
        <f t="shared" si="1"/>
        <v/>
      </c>
      <c r="N1897" s="263" t="str">
        <f t="shared" si="2"/>
        <v/>
      </c>
      <c r="O1897" s="264" t="str">
        <f t="shared" si="3"/>
        <v/>
      </c>
      <c r="P1897" s="265" t="str">
        <f>IFERROR(__xludf.DUMMYFUNCTION("IF(ISBLANK(A1897),"""",IFERROR(IF(H1897=""Sell"",VLOOKUP(9^99,FILTER({ROW(P$2:P1896),P$2:P1896},D$2:D1896=D1897),2),(VLOOKUP(9^99,FILTER({ROW(P$2:P1896),P$2:P1896},D$2:D1896=D1897),2)*VLOOKUP(9^99,FILTER({ROW(O$2:O1896),O$2:O1896},D$2:D1896=D1897),2)-N189"&amp;"7)/O1897),J1897))"),"")</f>
        <v/>
      </c>
      <c r="Q1897" s="264" t="str">
        <f>IFERROR(__xludf.DUMMYFUNCTION("IFERROR(IF(F1897=""Crypto"",B1897,(IF(ISBLANK(D1897),"""",IF(D1897=""Cash"",B1897,IF(GOOGLEFINANCE(D1897,""CURRENCY"")=""GBX"",""GBP"",GOOGLEFINANCE(D1897,""CURRENCY"")))))),B1897)"),"")</f>
        <v/>
      </c>
      <c r="R1897" s="263" t="str">
        <f>IFERROR(__xludf.DUMMYFUNCTION("IF(ISBLANK(A1897),"""",IFERROR(IF(OR(Q1897=""GPB"",Q1897=""ZAR""),IF(Q1897=Dashboard!$L$1,K1897,(K1897*GOOGLEFINANCE(""CURRENCY:""&amp;Q1897&amp;""""&amp;Dashboard!$L$1&amp;""""))/100),IF(Q1897=Dashboard!$L$1,K1897,K1897*GOOGLEFINANCE(""CURRENCY:""&amp;Q1897&amp;""""&amp;Dashboard!$"&amp;"L$1&amp;""""))),K1897))"),"")</f>
        <v/>
      </c>
      <c r="S1897" s="266" t="str">
        <f>IFERROR(__xludf.DUMMYFUNCTION("IF(ISBLANK(A1897),"""",IFERROR(IF(OR(Q1897=""GPB"",Q1897=""ZAR""),IF(Q1897=Dashboard!$L$1,M1897,(M1897*GOOGLEFINANCE(""CURRENCY:""&amp;Q1897&amp;""""&amp;Dashboard!$L$1&amp;""""))/100),IF(Q1897=Dashboard!$L$1,M1897,M1897*GOOGLEFINANCE(""CURRENCY:""&amp;Q1897&amp;""""&amp;Dashboard!$"&amp;"L$1&amp;""""))),M1897))"),"")</f>
        <v/>
      </c>
      <c r="T1897" s="264" t="str">
        <f t="shared" si="4"/>
        <v/>
      </c>
      <c r="U1897" s="264" t="str">
        <f t="shared" si="5"/>
        <v/>
      </c>
      <c r="V1897" s="264" t="str">
        <f t="shared" si="6"/>
        <v/>
      </c>
      <c r="W1897" s="267" t="str">
        <f t="shared" si="8"/>
        <v/>
      </c>
      <c r="X1897" s="264" t="str">
        <f t="shared" si="7"/>
        <v/>
      </c>
    </row>
    <row r="1898" ht="15.75" customHeight="1">
      <c r="A1898" s="258"/>
      <c r="B1898" s="258"/>
      <c r="C1898" s="269"/>
      <c r="D1898" s="258"/>
      <c r="E1898" s="258"/>
      <c r="F1898" s="258"/>
      <c r="G1898" s="258"/>
      <c r="H1898" s="271"/>
      <c r="I1898" s="258"/>
      <c r="J1898" s="272"/>
      <c r="K1898" s="260"/>
      <c r="L1898" s="261"/>
      <c r="M1898" s="262" t="str">
        <f t="shared" si="1"/>
        <v/>
      </c>
      <c r="N1898" s="263" t="str">
        <f t="shared" si="2"/>
        <v/>
      </c>
      <c r="O1898" s="264" t="str">
        <f t="shared" si="3"/>
        <v/>
      </c>
      <c r="P1898" s="265" t="str">
        <f>IFERROR(__xludf.DUMMYFUNCTION("IF(ISBLANK(A1898),"""",IFERROR(IF(H1898=""Sell"",VLOOKUP(9^99,FILTER({ROW(P$2:P1897),P$2:P1897},D$2:D1897=D1898),2),(VLOOKUP(9^99,FILTER({ROW(P$2:P1897),P$2:P1897},D$2:D1897=D1898),2)*VLOOKUP(9^99,FILTER({ROW(O$2:O1897),O$2:O1897},D$2:D1897=D1898),2)-N189"&amp;"8)/O1898),J1898))"),"")</f>
        <v/>
      </c>
      <c r="Q1898" s="264" t="str">
        <f>IFERROR(__xludf.DUMMYFUNCTION("IFERROR(IF(F1898=""Crypto"",B1898,(IF(ISBLANK(D1898),"""",IF(D1898=""Cash"",B1898,IF(GOOGLEFINANCE(D1898,""CURRENCY"")=""GBX"",""GBP"",GOOGLEFINANCE(D1898,""CURRENCY"")))))),B1898)"),"")</f>
        <v/>
      </c>
      <c r="R1898" s="263" t="str">
        <f>IFERROR(__xludf.DUMMYFUNCTION("IF(ISBLANK(A1898),"""",IFERROR(IF(OR(Q1898=""GPB"",Q1898=""ZAR""),IF(Q1898=Dashboard!$L$1,K1898,(K1898*GOOGLEFINANCE(""CURRENCY:""&amp;Q1898&amp;""""&amp;Dashboard!$L$1&amp;""""))/100),IF(Q1898=Dashboard!$L$1,K1898,K1898*GOOGLEFINANCE(""CURRENCY:""&amp;Q1898&amp;""""&amp;Dashboard!$"&amp;"L$1&amp;""""))),K1898))"),"")</f>
        <v/>
      </c>
      <c r="S1898" s="266" t="str">
        <f>IFERROR(__xludf.DUMMYFUNCTION("IF(ISBLANK(A1898),"""",IFERROR(IF(OR(Q1898=""GPB"",Q1898=""ZAR""),IF(Q1898=Dashboard!$L$1,M1898,(M1898*GOOGLEFINANCE(""CURRENCY:""&amp;Q1898&amp;""""&amp;Dashboard!$L$1&amp;""""))/100),IF(Q1898=Dashboard!$L$1,M1898,M1898*GOOGLEFINANCE(""CURRENCY:""&amp;Q1898&amp;""""&amp;Dashboard!$"&amp;"L$1&amp;""""))),M1898))"),"")</f>
        <v/>
      </c>
      <c r="T1898" s="264" t="str">
        <f t="shared" si="4"/>
        <v/>
      </c>
      <c r="U1898" s="264" t="str">
        <f t="shared" si="5"/>
        <v/>
      </c>
      <c r="V1898" s="264" t="str">
        <f t="shared" si="6"/>
        <v/>
      </c>
      <c r="W1898" s="267" t="str">
        <f t="shared" si="8"/>
        <v/>
      </c>
      <c r="X1898" s="264" t="str">
        <f t="shared" si="7"/>
        <v/>
      </c>
    </row>
    <row r="1899" ht="15.75" customHeight="1">
      <c r="A1899" s="258"/>
      <c r="B1899" s="258"/>
      <c r="C1899" s="269"/>
      <c r="D1899" s="258"/>
      <c r="E1899" s="258"/>
      <c r="F1899" s="258"/>
      <c r="G1899" s="258"/>
      <c r="H1899" s="271"/>
      <c r="I1899" s="258"/>
      <c r="J1899" s="272"/>
      <c r="K1899" s="260"/>
      <c r="L1899" s="261"/>
      <c r="M1899" s="262" t="str">
        <f t="shared" si="1"/>
        <v/>
      </c>
      <c r="N1899" s="263" t="str">
        <f t="shared" si="2"/>
        <v/>
      </c>
      <c r="O1899" s="264" t="str">
        <f t="shared" si="3"/>
        <v/>
      </c>
      <c r="P1899" s="265" t="str">
        <f>IFERROR(__xludf.DUMMYFUNCTION("IF(ISBLANK(A1899),"""",IFERROR(IF(H1899=""Sell"",VLOOKUP(9^99,FILTER({ROW(P$2:P1898),P$2:P1898},D$2:D1898=D1899),2),(VLOOKUP(9^99,FILTER({ROW(P$2:P1898),P$2:P1898},D$2:D1898=D1899),2)*VLOOKUP(9^99,FILTER({ROW(O$2:O1898),O$2:O1898},D$2:D1898=D1899),2)-N189"&amp;"9)/O1899),J1899))"),"")</f>
        <v/>
      </c>
      <c r="Q1899" s="264" t="str">
        <f>IFERROR(__xludf.DUMMYFUNCTION("IFERROR(IF(F1899=""Crypto"",B1899,(IF(ISBLANK(D1899),"""",IF(D1899=""Cash"",B1899,IF(GOOGLEFINANCE(D1899,""CURRENCY"")=""GBX"",""GBP"",GOOGLEFINANCE(D1899,""CURRENCY"")))))),B1899)"),"")</f>
        <v/>
      </c>
      <c r="R1899" s="263" t="str">
        <f>IFERROR(__xludf.DUMMYFUNCTION("IF(ISBLANK(A1899),"""",IFERROR(IF(OR(Q1899=""GPB"",Q1899=""ZAR""),IF(Q1899=Dashboard!$L$1,K1899,(K1899*GOOGLEFINANCE(""CURRENCY:""&amp;Q1899&amp;""""&amp;Dashboard!$L$1&amp;""""))/100),IF(Q1899=Dashboard!$L$1,K1899,K1899*GOOGLEFINANCE(""CURRENCY:""&amp;Q1899&amp;""""&amp;Dashboard!$"&amp;"L$1&amp;""""))),K1899))"),"")</f>
        <v/>
      </c>
      <c r="S1899" s="266" t="str">
        <f>IFERROR(__xludf.DUMMYFUNCTION("IF(ISBLANK(A1899),"""",IFERROR(IF(OR(Q1899=""GPB"",Q1899=""ZAR""),IF(Q1899=Dashboard!$L$1,M1899,(M1899*GOOGLEFINANCE(""CURRENCY:""&amp;Q1899&amp;""""&amp;Dashboard!$L$1&amp;""""))/100),IF(Q1899=Dashboard!$L$1,M1899,M1899*GOOGLEFINANCE(""CURRENCY:""&amp;Q1899&amp;""""&amp;Dashboard!$"&amp;"L$1&amp;""""))),M1899))"),"")</f>
        <v/>
      </c>
      <c r="T1899" s="264" t="str">
        <f t="shared" si="4"/>
        <v/>
      </c>
      <c r="U1899" s="264" t="str">
        <f t="shared" si="5"/>
        <v/>
      </c>
      <c r="V1899" s="264" t="str">
        <f t="shared" si="6"/>
        <v/>
      </c>
      <c r="W1899" s="267" t="str">
        <f t="shared" si="8"/>
        <v/>
      </c>
      <c r="X1899" s="264" t="str">
        <f t="shared" si="7"/>
        <v/>
      </c>
    </row>
    <row r="1900" ht="15.75" customHeight="1">
      <c r="A1900" s="258"/>
      <c r="B1900" s="258"/>
      <c r="C1900" s="269"/>
      <c r="D1900" s="258"/>
      <c r="E1900" s="258"/>
      <c r="F1900" s="258"/>
      <c r="G1900" s="258"/>
      <c r="H1900" s="271"/>
      <c r="I1900" s="258"/>
      <c r="J1900" s="272"/>
      <c r="K1900" s="260"/>
      <c r="L1900" s="261"/>
      <c r="M1900" s="262" t="str">
        <f t="shared" si="1"/>
        <v/>
      </c>
      <c r="N1900" s="263" t="str">
        <f t="shared" si="2"/>
        <v/>
      </c>
      <c r="O1900" s="264" t="str">
        <f t="shared" si="3"/>
        <v/>
      </c>
      <c r="P1900" s="265" t="str">
        <f>IFERROR(__xludf.DUMMYFUNCTION("IF(ISBLANK(A1900),"""",IFERROR(IF(H1900=""Sell"",VLOOKUP(9^99,FILTER({ROW(P$2:P1899),P$2:P1899},D$2:D1899=D1900),2),(VLOOKUP(9^99,FILTER({ROW(P$2:P1899),P$2:P1899},D$2:D1899=D1900),2)*VLOOKUP(9^99,FILTER({ROW(O$2:O1899),O$2:O1899},D$2:D1899=D1900),2)-N190"&amp;"0)/O1900),J1900))"),"")</f>
        <v/>
      </c>
      <c r="Q1900" s="264" t="str">
        <f>IFERROR(__xludf.DUMMYFUNCTION("IFERROR(IF(F1900=""Crypto"",B1900,(IF(ISBLANK(D1900),"""",IF(D1900=""Cash"",B1900,IF(GOOGLEFINANCE(D1900,""CURRENCY"")=""GBX"",""GBP"",GOOGLEFINANCE(D1900,""CURRENCY"")))))),B1900)"),"")</f>
        <v/>
      </c>
      <c r="R1900" s="263" t="str">
        <f>IFERROR(__xludf.DUMMYFUNCTION("IF(ISBLANK(A1900),"""",IFERROR(IF(OR(Q1900=""GPB"",Q1900=""ZAR""),IF(Q1900=Dashboard!$L$1,K1900,(K1900*GOOGLEFINANCE(""CURRENCY:""&amp;Q1900&amp;""""&amp;Dashboard!$L$1&amp;""""))/100),IF(Q1900=Dashboard!$L$1,K1900,K1900*GOOGLEFINANCE(""CURRENCY:""&amp;Q1900&amp;""""&amp;Dashboard!$"&amp;"L$1&amp;""""))),K1900))"),"")</f>
        <v/>
      </c>
      <c r="S1900" s="266" t="str">
        <f>IFERROR(__xludf.DUMMYFUNCTION("IF(ISBLANK(A1900),"""",IFERROR(IF(OR(Q1900=""GPB"",Q1900=""ZAR""),IF(Q1900=Dashboard!$L$1,M1900,(M1900*GOOGLEFINANCE(""CURRENCY:""&amp;Q1900&amp;""""&amp;Dashboard!$L$1&amp;""""))/100),IF(Q1900=Dashboard!$L$1,M1900,M1900*GOOGLEFINANCE(""CURRENCY:""&amp;Q1900&amp;""""&amp;Dashboard!$"&amp;"L$1&amp;""""))),M1900))"),"")</f>
        <v/>
      </c>
      <c r="T1900" s="264" t="str">
        <f t="shared" si="4"/>
        <v/>
      </c>
      <c r="U1900" s="264" t="str">
        <f t="shared" si="5"/>
        <v/>
      </c>
      <c r="V1900" s="264" t="str">
        <f t="shared" si="6"/>
        <v/>
      </c>
      <c r="W1900" s="267" t="str">
        <f t="shared" si="8"/>
        <v/>
      </c>
      <c r="X1900" s="264" t="str">
        <f t="shared" si="7"/>
        <v/>
      </c>
    </row>
    <row r="1901" ht="15.75" customHeight="1">
      <c r="A1901" s="258"/>
      <c r="B1901" s="258"/>
      <c r="C1901" s="269"/>
      <c r="D1901" s="258"/>
      <c r="E1901" s="258"/>
      <c r="F1901" s="258"/>
      <c r="G1901" s="258"/>
      <c r="H1901" s="271"/>
      <c r="I1901" s="258"/>
      <c r="J1901" s="272"/>
      <c r="K1901" s="260"/>
      <c r="L1901" s="261"/>
      <c r="M1901" s="262" t="str">
        <f t="shared" si="1"/>
        <v/>
      </c>
      <c r="N1901" s="263" t="str">
        <f t="shared" si="2"/>
        <v/>
      </c>
      <c r="O1901" s="264" t="str">
        <f t="shared" si="3"/>
        <v/>
      </c>
      <c r="P1901" s="265" t="str">
        <f>IFERROR(__xludf.DUMMYFUNCTION("IF(ISBLANK(A1901),"""",IFERROR(IF(H1901=""Sell"",VLOOKUP(9^99,FILTER({ROW(P$2:P1900),P$2:P1900},D$2:D1900=D1901),2),(VLOOKUP(9^99,FILTER({ROW(P$2:P1900),P$2:P1900},D$2:D1900=D1901),2)*VLOOKUP(9^99,FILTER({ROW(O$2:O1900),O$2:O1900},D$2:D1900=D1901),2)-N190"&amp;"1)/O1901),J1901))"),"")</f>
        <v/>
      </c>
      <c r="Q1901" s="264" t="str">
        <f>IFERROR(__xludf.DUMMYFUNCTION("IFERROR(IF(F1901=""Crypto"",B1901,(IF(ISBLANK(D1901),"""",IF(D1901=""Cash"",B1901,IF(GOOGLEFINANCE(D1901,""CURRENCY"")=""GBX"",""GBP"",GOOGLEFINANCE(D1901,""CURRENCY"")))))),B1901)"),"")</f>
        <v/>
      </c>
      <c r="R1901" s="263" t="str">
        <f>IFERROR(__xludf.DUMMYFUNCTION("IF(ISBLANK(A1901),"""",IFERROR(IF(OR(Q1901=""GPB"",Q1901=""ZAR""),IF(Q1901=Dashboard!$L$1,K1901,(K1901*GOOGLEFINANCE(""CURRENCY:""&amp;Q1901&amp;""""&amp;Dashboard!$L$1&amp;""""))/100),IF(Q1901=Dashboard!$L$1,K1901,K1901*GOOGLEFINANCE(""CURRENCY:""&amp;Q1901&amp;""""&amp;Dashboard!$"&amp;"L$1&amp;""""))),K1901))"),"")</f>
        <v/>
      </c>
      <c r="S1901" s="266" t="str">
        <f>IFERROR(__xludf.DUMMYFUNCTION("IF(ISBLANK(A1901),"""",IFERROR(IF(OR(Q1901=""GPB"",Q1901=""ZAR""),IF(Q1901=Dashboard!$L$1,M1901,(M1901*GOOGLEFINANCE(""CURRENCY:""&amp;Q1901&amp;""""&amp;Dashboard!$L$1&amp;""""))/100),IF(Q1901=Dashboard!$L$1,M1901,M1901*GOOGLEFINANCE(""CURRENCY:""&amp;Q1901&amp;""""&amp;Dashboard!$"&amp;"L$1&amp;""""))),M1901))"),"")</f>
        <v/>
      </c>
      <c r="T1901" s="264" t="str">
        <f t="shared" si="4"/>
        <v/>
      </c>
      <c r="U1901" s="264" t="str">
        <f t="shared" si="5"/>
        <v/>
      </c>
      <c r="V1901" s="264" t="str">
        <f t="shared" si="6"/>
        <v/>
      </c>
      <c r="W1901" s="267" t="str">
        <f t="shared" si="8"/>
        <v/>
      </c>
      <c r="X1901" s="264" t="str">
        <f t="shared" si="7"/>
        <v/>
      </c>
    </row>
    <row r="1902" ht="15.75" customHeight="1">
      <c r="A1902" s="258"/>
      <c r="B1902" s="258"/>
      <c r="C1902" s="269"/>
      <c r="D1902" s="258"/>
      <c r="E1902" s="258"/>
      <c r="F1902" s="258"/>
      <c r="G1902" s="258"/>
      <c r="H1902" s="271"/>
      <c r="I1902" s="258"/>
      <c r="J1902" s="272"/>
      <c r="K1902" s="260"/>
      <c r="L1902" s="261"/>
      <c r="M1902" s="262" t="str">
        <f t="shared" si="1"/>
        <v/>
      </c>
      <c r="N1902" s="263" t="str">
        <f t="shared" si="2"/>
        <v/>
      </c>
      <c r="O1902" s="264" t="str">
        <f t="shared" si="3"/>
        <v/>
      </c>
      <c r="P1902" s="265" t="str">
        <f>IFERROR(__xludf.DUMMYFUNCTION("IF(ISBLANK(A1902),"""",IFERROR(IF(H1902=""Sell"",VLOOKUP(9^99,FILTER({ROW(P$2:P1901),P$2:P1901},D$2:D1901=D1902),2),(VLOOKUP(9^99,FILTER({ROW(P$2:P1901),P$2:P1901},D$2:D1901=D1902),2)*VLOOKUP(9^99,FILTER({ROW(O$2:O1901),O$2:O1901},D$2:D1901=D1902),2)-N190"&amp;"2)/O1902),J1902))"),"")</f>
        <v/>
      </c>
      <c r="Q1902" s="264" t="str">
        <f>IFERROR(__xludf.DUMMYFUNCTION("IFERROR(IF(F1902=""Crypto"",B1902,(IF(ISBLANK(D1902),"""",IF(D1902=""Cash"",B1902,IF(GOOGLEFINANCE(D1902,""CURRENCY"")=""GBX"",""GBP"",GOOGLEFINANCE(D1902,""CURRENCY"")))))),B1902)"),"")</f>
        <v/>
      </c>
      <c r="R1902" s="263" t="str">
        <f>IFERROR(__xludf.DUMMYFUNCTION("IF(ISBLANK(A1902),"""",IFERROR(IF(OR(Q1902=""GPB"",Q1902=""ZAR""),IF(Q1902=Dashboard!$L$1,K1902,(K1902*GOOGLEFINANCE(""CURRENCY:""&amp;Q1902&amp;""""&amp;Dashboard!$L$1&amp;""""))/100),IF(Q1902=Dashboard!$L$1,K1902,K1902*GOOGLEFINANCE(""CURRENCY:""&amp;Q1902&amp;""""&amp;Dashboard!$"&amp;"L$1&amp;""""))),K1902))"),"")</f>
        <v/>
      </c>
      <c r="S1902" s="266" t="str">
        <f>IFERROR(__xludf.DUMMYFUNCTION("IF(ISBLANK(A1902),"""",IFERROR(IF(OR(Q1902=""GPB"",Q1902=""ZAR""),IF(Q1902=Dashboard!$L$1,M1902,(M1902*GOOGLEFINANCE(""CURRENCY:""&amp;Q1902&amp;""""&amp;Dashboard!$L$1&amp;""""))/100),IF(Q1902=Dashboard!$L$1,M1902,M1902*GOOGLEFINANCE(""CURRENCY:""&amp;Q1902&amp;""""&amp;Dashboard!$"&amp;"L$1&amp;""""))),M1902))"),"")</f>
        <v/>
      </c>
      <c r="T1902" s="264" t="str">
        <f t="shared" si="4"/>
        <v/>
      </c>
      <c r="U1902" s="264" t="str">
        <f t="shared" si="5"/>
        <v/>
      </c>
      <c r="V1902" s="264" t="str">
        <f t="shared" si="6"/>
        <v/>
      </c>
      <c r="W1902" s="267" t="str">
        <f t="shared" si="8"/>
        <v/>
      </c>
      <c r="X1902" s="264" t="str">
        <f t="shared" si="7"/>
        <v/>
      </c>
    </row>
    <row r="1903" ht="15.75" customHeight="1">
      <c r="A1903" s="258"/>
      <c r="B1903" s="258"/>
      <c r="C1903" s="269"/>
      <c r="D1903" s="258"/>
      <c r="E1903" s="258"/>
      <c r="F1903" s="258"/>
      <c r="G1903" s="258"/>
      <c r="H1903" s="271"/>
      <c r="I1903" s="258"/>
      <c r="J1903" s="272"/>
      <c r="K1903" s="260"/>
      <c r="L1903" s="261"/>
      <c r="M1903" s="262" t="str">
        <f t="shared" si="1"/>
        <v/>
      </c>
      <c r="N1903" s="263" t="str">
        <f t="shared" si="2"/>
        <v/>
      </c>
      <c r="O1903" s="264" t="str">
        <f t="shared" si="3"/>
        <v/>
      </c>
      <c r="P1903" s="265" t="str">
        <f>IFERROR(__xludf.DUMMYFUNCTION("IF(ISBLANK(A1903),"""",IFERROR(IF(H1903=""Sell"",VLOOKUP(9^99,FILTER({ROW(P$2:P1902),P$2:P1902},D$2:D1902=D1903),2),(VLOOKUP(9^99,FILTER({ROW(P$2:P1902),P$2:P1902},D$2:D1902=D1903),2)*VLOOKUP(9^99,FILTER({ROW(O$2:O1902),O$2:O1902},D$2:D1902=D1903),2)-N190"&amp;"3)/O1903),J1903))"),"")</f>
        <v/>
      </c>
      <c r="Q1903" s="264" t="str">
        <f>IFERROR(__xludf.DUMMYFUNCTION("IFERROR(IF(F1903=""Crypto"",B1903,(IF(ISBLANK(D1903),"""",IF(D1903=""Cash"",B1903,IF(GOOGLEFINANCE(D1903,""CURRENCY"")=""GBX"",""GBP"",GOOGLEFINANCE(D1903,""CURRENCY"")))))),B1903)"),"")</f>
        <v/>
      </c>
      <c r="R1903" s="263" t="str">
        <f>IFERROR(__xludf.DUMMYFUNCTION("IF(ISBLANK(A1903),"""",IFERROR(IF(OR(Q1903=""GPB"",Q1903=""ZAR""),IF(Q1903=Dashboard!$L$1,K1903,(K1903*GOOGLEFINANCE(""CURRENCY:""&amp;Q1903&amp;""""&amp;Dashboard!$L$1&amp;""""))/100),IF(Q1903=Dashboard!$L$1,K1903,K1903*GOOGLEFINANCE(""CURRENCY:""&amp;Q1903&amp;""""&amp;Dashboard!$"&amp;"L$1&amp;""""))),K1903))"),"")</f>
        <v/>
      </c>
      <c r="S1903" s="266" t="str">
        <f>IFERROR(__xludf.DUMMYFUNCTION("IF(ISBLANK(A1903),"""",IFERROR(IF(OR(Q1903=""GPB"",Q1903=""ZAR""),IF(Q1903=Dashboard!$L$1,M1903,(M1903*GOOGLEFINANCE(""CURRENCY:""&amp;Q1903&amp;""""&amp;Dashboard!$L$1&amp;""""))/100),IF(Q1903=Dashboard!$L$1,M1903,M1903*GOOGLEFINANCE(""CURRENCY:""&amp;Q1903&amp;""""&amp;Dashboard!$"&amp;"L$1&amp;""""))),M1903))"),"")</f>
        <v/>
      </c>
      <c r="T1903" s="264" t="str">
        <f t="shared" si="4"/>
        <v/>
      </c>
      <c r="U1903" s="264" t="str">
        <f t="shared" si="5"/>
        <v/>
      </c>
      <c r="V1903" s="264" t="str">
        <f t="shared" si="6"/>
        <v/>
      </c>
      <c r="W1903" s="267" t="str">
        <f t="shared" si="8"/>
        <v/>
      </c>
      <c r="X1903" s="264" t="str">
        <f t="shared" si="7"/>
        <v/>
      </c>
    </row>
    <row r="1904" ht="15.75" customHeight="1">
      <c r="A1904" s="258"/>
      <c r="B1904" s="258"/>
      <c r="C1904" s="269"/>
      <c r="D1904" s="258"/>
      <c r="E1904" s="258"/>
      <c r="F1904" s="258"/>
      <c r="G1904" s="258"/>
      <c r="H1904" s="271"/>
      <c r="I1904" s="258"/>
      <c r="J1904" s="272"/>
      <c r="K1904" s="260"/>
      <c r="L1904" s="261"/>
      <c r="M1904" s="262" t="str">
        <f t="shared" si="1"/>
        <v/>
      </c>
      <c r="N1904" s="263" t="str">
        <f t="shared" si="2"/>
        <v/>
      </c>
      <c r="O1904" s="264" t="str">
        <f t="shared" si="3"/>
        <v/>
      </c>
      <c r="P1904" s="265" t="str">
        <f>IFERROR(__xludf.DUMMYFUNCTION("IF(ISBLANK(A1904),"""",IFERROR(IF(H1904=""Sell"",VLOOKUP(9^99,FILTER({ROW(P$2:P1903),P$2:P1903},D$2:D1903=D1904),2),(VLOOKUP(9^99,FILTER({ROW(P$2:P1903),P$2:P1903},D$2:D1903=D1904),2)*VLOOKUP(9^99,FILTER({ROW(O$2:O1903),O$2:O1903},D$2:D1903=D1904),2)-N190"&amp;"4)/O1904),J1904))"),"")</f>
        <v/>
      </c>
      <c r="Q1904" s="264" t="str">
        <f>IFERROR(__xludf.DUMMYFUNCTION("IFERROR(IF(F1904=""Crypto"",B1904,(IF(ISBLANK(D1904),"""",IF(D1904=""Cash"",B1904,IF(GOOGLEFINANCE(D1904,""CURRENCY"")=""GBX"",""GBP"",GOOGLEFINANCE(D1904,""CURRENCY"")))))),B1904)"),"")</f>
        <v/>
      </c>
      <c r="R1904" s="263" t="str">
        <f>IFERROR(__xludf.DUMMYFUNCTION("IF(ISBLANK(A1904),"""",IFERROR(IF(OR(Q1904=""GPB"",Q1904=""ZAR""),IF(Q1904=Dashboard!$L$1,K1904,(K1904*GOOGLEFINANCE(""CURRENCY:""&amp;Q1904&amp;""""&amp;Dashboard!$L$1&amp;""""))/100),IF(Q1904=Dashboard!$L$1,K1904,K1904*GOOGLEFINANCE(""CURRENCY:""&amp;Q1904&amp;""""&amp;Dashboard!$"&amp;"L$1&amp;""""))),K1904))"),"")</f>
        <v/>
      </c>
      <c r="S1904" s="266" t="str">
        <f>IFERROR(__xludf.DUMMYFUNCTION("IF(ISBLANK(A1904),"""",IFERROR(IF(OR(Q1904=""GPB"",Q1904=""ZAR""),IF(Q1904=Dashboard!$L$1,M1904,(M1904*GOOGLEFINANCE(""CURRENCY:""&amp;Q1904&amp;""""&amp;Dashboard!$L$1&amp;""""))/100),IF(Q1904=Dashboard!$L$1,M1904,M1904*GOOGLEFINANCE(""CURRENCY:""&amp;Q1904&amp;""""&amp;Dashboard!$"&amp;"L$1&amp;""""))),M1904))"),"")</f>
        <v/>
      </c>
      <c r="T1904" s="264" t="str">
        <f t="shared" si="4"/>
        <v/>
      </c>
      <c r="U1904" s="264" t="str">
        <f t="shared" si="5"/>
        <v/>
      </c>
      <c r="V1904" s="264" t="str">
        <f t="shared" si="6"/>
        <v/>
      </c>
      <c r="W1904" s="267" t="str">
        <f t="shared" si="8"/>
        <v/>
      </c>
      <c r="X1904" s="264" t="str">
        <f t="shared" si="7"/>
        <v/>
      </c>
    </row>
    <row r="1905" ht="15.75" customHeight="1">
      <c r="A1905" s="258"/>
      <c r="B1905" s="258"/>
      <c r="C1905" s="269"/>
      <c r="D1905" s="258"/>
      <c r="E1905" s="258"/>
      <c r="F1905" s="258"/>
      <c r="G1905" s="258"/>
      <c r="H1905" s="271"/>
      <c r="I1905" s="258"/>
      <c r="J1905" s="272"/>
      <c r="K1905" s="260"/>
      <c r="L1905" s="261"/>
      <c r="M1905" s="262" t="str">
        <f t="shared" si="1"/>
        <v/>
      </c>
      <c r="N1905" s="263" t="str">
        <f t="shared" si="2"/>
        <v/>
      </c>
      <c r="O1905" s="264" t="str">
        <f t="shared" si="3"/>
        <v/>
      </c>
      <c r="P1905" s="265" t="str">
        <f>IFERROR(__xludf.DUMMYFUNCTION("IF(ISBLANK(A1905),"""",IFERROR(IF(H1905=""Sell"",VLOOKUP(9^99,FILTER({ROW(P$2:P1904),P$2:P1904},D$2:D1904=D1905),2),(VLOOKUP(9^99,FILTER({ROW(P$2:P1904),P$2:P1904},D$2:D1904=D1905),2)*VLOOKUP(9^99,FILTER({ROW(O$2:O1904),O$2:O1904},D$2:D1904=D1905),2)-N190"&amp;"5)/O1905),J1905))"),"")</f>
        <v/>
      </c>
      <c r="Q1905" s="264" t="str">
        <f>IFERROR(__xludf.DUMMYFUNCTION("IFERROR(IF(F1905=""Crypto"",B1905,(IF(ISBLANK(D1905),"""",IF(D1905=""Cash"",B1905,IF(GOOGLEFINANCE(D1905,""CURRENCY"")=""GBX"",""GBP"",GOOGLEFINANCE(D1905,""CURRENCY"")))))),B1905)"),"")</f>
        <v/>
      </c>
      <c r="R1905" s="263" t="str">
        <f>IFERROR(__xludf.DUMMYFUNCTION("IF(ISBLANK(A1905),"""",IFERROR(IF(OR(Q1905=""GPB"",Q1905=""ZAR""),IF(Q1905=Dashboard!$L$1,K1905,(K1905*GOOGLEFINANCE(""CURRENCY:""&amp;Q1905&amp;""""&amp;Dashboard!$L$1&amp;""""))/100),IF(Q1905=Dashboard!$L$1,K1905,K1905*GOOGLEFINANCE(""CURRENCY:""&amp;Q1905&amp;""""&amp;Dashboard!$"&amp;"L$1&amp;""""))),K1905))"),"")</f>
        <v/>
      </c>
      <c r="S1905" s="266" t="str">
        <f>IFERROR(__xludf.DUMMYFUNCTION("IF(ISBLANK(A1905),"""",IFERROR(IF(OR(Q1905=""GPB"",Q1905=""ZAR""),IF(Q1905=Dashboard!$L$1,M1905,(M1905*GOOGLEFINANCE(""CURRENCY:""&amp;Q1905&amp;""""&amp;Dashboard!$L$1&amp;""""))/100),IF(Q1905=Dashboard!$L$1,M1905,M1905*GOOGLEFINANCE(""CURRENCY:""&amp;Q1905&amp;""""&amp;Dashboard!$"&amp;"L$1&amp;""""))),M1905))"),"")</f>
        <v/>
      </c>
      <c r="T1905" s="264" t="str">
        <f t="shared" si="4"/>
        <v/>
      </c>
      <c r="U1905" s="264" t="str">
        <f t="shared" si="5"/>
        <v/>
      </c>
      <c r="V1905" s="264" t="str">
        <f t="shared" si="6"/>
        <v/>
      </c>
      <c r="W1905" s="267" t="str">
        <f t="shared" si="8"/>
        <v/>
      </c>
      <c r="X1905" s="264" t="str">
        <f t="shared" si="7"/>
        <v/>
      </c>
    </row>
    <row r="1906" ht="15.75" customHeight="1">
      <c r="A1906" s="258"/>
      <c r="B1906" s="258"/>
      <c r="C1906" s="269"/>
      <c r="D1906" s="258"/>
      <c r="E1906" s="258"/>
      <c r="F1906" s="258"/>
      <c r="G1906" s="258"/>
      <c r="H1906" s="271"/>
      <c r="I1906" s="258"/>
      <c r="J1906" s="272"/>
      <c r="K1906" s="260"/>
      <c r="L1906" s="261"/>
      <c r="M1906" s="262" t="str">
        <f t="shared" si="1"/>
        <v/>
      </c>
      <c r="N1906" s="263" t="str">
        <f t="shared" si="2"/>
        <v/>
      </c>
      <c r="O1906" s="264" t="str">
        <f t="shared" si="3"/>
        <v/>
      </c>
      <c r="P1906" s="265" t="str">
        <f>IFERROR(__xludf.DUMMYFUNCTION("IF(ISBLANK(A1906),"""",IFERROR(IF(H1906=""Sell"",VLOOKUP(9^99,FILTER({ROW(P$2:P1905),P$2:P1905},D$2:D1905=D1906),2),(VLOOKUP(9^99,FILTER({ROW(P$2:P1905),P$2:P1905},D$2:D1905=D1906),2)*VLOOKUP(9^99,FILTER({ROW(O$2:O1905),O$2:O1905},D$2:D1905=D1906),2)-N190"&amp;"6)/O1906),J1906))"),"")</f>
        <v/>
      </c>
      <c r="Q1906" s="264" t="str">
        <f>IFERROR(__xludf.DUMMYFUNCTION("IFERROR(IF(F1906=""Crypto"",B1906,(IF(ISBLANK(D1906),"""",IF(D1906=""Cash"",B1906,IF(GOOGLEFINANCE(D1906,""CURRENCY"")=""GBX"",""GBP"",GOOGLEFINANCE(D1906,""CURRENCY"")))))),B1906)"),"")</f>
        <v/>
      </c>
      <c r="R1906" s="263" t="str">
        <f>IFERROR(__xludf.DUMMYFUNCTION("IF(ISBLANK(A1906),"""",IFERROR(IF(OR(Q1906=""GPB"",Q1906=""ZAR""),IF(Q1906=Dashboard!$L$1,K1906,(K1906*GOOGLEFINANCE(""CURRENCY:""&amp;Q1906&amp;""""&amp;Dashboard!$L$1&amp;""""))/100),IF(Q1906=Dashboard!$L$1,K1906,K1906*GOOGLEFINANCE(""CURRENCY:""&amp;Q1906&amp;""""&amp;Dashboard!$"&amp;"L$1&amp;""""))),K1906))"),"")</f>
        <v/>
      </c>
      <c r="S1906" s="266" t="str">
        <f>IFERROR(__xludf.DUMMYFUNCTION("IF(ISBLANK(A1906),"""",IFERROR(IF(OR(Q1906=""GPB"",Q1906=""ZAR""),IF(Q1906=Dashboard!$L$1,M1906,(M1906*GOOGLEFINANCE(""CURRENCY:""&amp;Q1906&amp;""""&amp;Dashboard!$L$1&amp;""""))/100),IF(Q1906=Dashboard!$L$1,M1906,M1906*GOOGLEFINANCE(""CURRENCY:""&amp;Q1906&amp;""""&amp;Dashboard!$"&amp;"L$1&amp;""""))),M1906))"),"")</f>
        <v/>
      </c>
      <c r="T1906" s="264" t="str">
        <f t="shared" si="4"/>
        <v/>
      </c>
      <c r="U1906" s="264" t="str">
        <f t="shared" si="5"/>
        <v/>
      </c>
      <c r="V1906" s="264" t="str">
        <f t="shared" si="6"/>
        <v/>
      </c>
      <c r="W1906" s="267" t="str">
        <f t="shared" si="8"/>
        <v/>
      </c>
      <c r="X1906" s="264" t="str">
        <f t="shared" si="7"/>
        <v/>
      </c>
    </row>
    <row r="1907" ht="15.75" customHeight="1">
      <c r="A1907" s="258"/>
      <c r="B1907" s="258"/>
      <c r="C1907" s="269"/>
      <c r="D1907" s="258"/>
      <c r="E1907" s="258"/>
      <c r="F1907" s="258"/>
      <c r="G1907" s="258"/>
      <c r="H1907" s="271"/>
      <c r="I1907" s="258"/>
      <c r="J1907" s="272"/>
      <c r="K1907" s="260"/>
      <c r="L1907" s="261"/>
      <c r="M1907" s="262" t="str">
        <f t="shared" si="1"/>
        <v/>
      </c>
      <c r="N1907" s="263" t="str">
        <f t="shared" si="2"/>
        <v/>
      </c>
      <c r="O1907" s="264" t="str">
        <f t="shared" si="3"/>
        <v/>
      </c>
      <c r="P1907" s="265" t="str">
        <f>IFERROR(__xludf.DUMMYFUNCTION("IF(ISBLANK(A1907),"""",IFERROR(IF(H1907=""Sell"",VLOOKUP(9^99,FILTER({ROW(P$2:P1906),P$2:P1906},D$2:D1906=D1907),2),(VLOOKUP(9^99,FILTER({ROW(P$2:P1906),P$2:P1906},D$2:D1906=D1907),2)*VLOOKUP(9^99,FILTER({ROW(O$2:O1906),O$2:O1906},D$2:D1906=D1907),2)-N190"&amp;"7)/O1907),J1907))"),"")</f>
        <v/>
      </c>
      <c r="Q1907" s="264" t="str">
        <f>IFERROR(__xludf.DUMMYFUNCTION("IFERROR(IF(F1907=""Crypto"",B1907,(IF(ISBLANK(D1907),"""",IF(D1907=""Cash"",B1907,IF(GOOGLEFINANCE(D1907,""CURRENCY"")=""GBX"",""GBP"",GOOGLEFINANCE(D1907,""CURRENCY"")))))),B1907)"),"")</f>
        <v/>
      </c>
      <c r="R1907" s="263" t="str">
        <f>IFERROR(__xludf.DUMMYFUNCTION("IF(ISBLANK(A1907),"""",IFERROR(IF(OR(Q1907=""GPB"",Q1907=""ZAR""),IF(Q1907=Dashboard!$L$1,K1907,(K1907*GOOGLEFINANCE(""CURRENCY:""&amp;Q1907&amp;""""&amp;Dashboard!$L$1&amp;""""))/100),IF(Q1907=Dashboard!$L$1,K1907,K1907*GOOGLEFINANCE(""CURRENCY:""&amp;Q1907&amp;""""&amp;Dashboard!$"&amp;"L$1&amp;""""))),K1907))"),"")</f>
        <v/>
      </c>
      <c r="S1907" s="266" t="str">
        <f>IFERROR(__xludf.DUMMYFUNCTION("IF(ISBLANK(A1907),"""",IFERROR(IF(OR(Q1907=""GPB"",Q1907=""ZAR""),IF(Q1907=Dashboard!$L$1,M1907,(M1907*GOOGLEFINANCE(""CURRENCY:""&amp;Q1907&amp;""""&amp;Dashboard!$L$1&amp;""""))/100),IF(Q1907=Dashboard!$L$1,M1907,M1907*GOOGLEFINANCE(""CURRENCY:""&amp;Q1907&amp;""""&amp;Dashboard!$"&amp;"L$1&amp;""""))),M1907))"),"")</f>
        <v/>
      </c>
      <c r="T1907" s="264" t="str">
        <f t="shared" si="4"/>
        <v/>
      </c>
      <c r="U1907" s="264" t="str">
        <f t="shared" si="5"/>
        <v/>
      </c>
      <c r="V1907" s="264" t="str">
        <f t="shared" si="6"/>
        <v/>
      </c>
      <c r="W1907" s="267" t="str">
        <f t="shared" si="8"/>
        <v/>
      </c>
      <c r="X1907" s="264" t="str">
        <f t="shared" si="7"/>
        <v/>
      </c>
    </row>
    <row r="1908" ht="15.75" customHeight="1">
      <c r="A1908" s="258"/>
      <c r="B1908" s="258"/>
      <c r="C1908" s="269"/>
      <c r="D1908" s="258"/>
      <c r="E1908" s="258"/>
      <c r="F1908" s="258"/>
      <c r="G1908" s="258"/>
      <c r="H1908" s="271"/>
      <c r="I1908" s="258"/>
      <c r="J1908" s="272"/>
      <c r="K1908" s="260"/>
      <c r="L1908" s="261"/>
      <c r="M1908" s="262" t="str">
        <f t="shared" si="1"/>
        <v/>
      </c>
      <c r="N1908" s="263" t="str">
        <f t="shared" si="2"/>
        <v/>
      </c>
      <c r="O1908" s="264" t="str">
        <f t="shared" si="3"/>
        <v/>
      </c>
      <c r="P1908" s="265" t="str">
        <f>IFERROR(__xludf.DUMMYFUNCTION("IF(ISBLANK(A1908),"""",IFERROR(IF(H1908=""Sell"",VLOOKUP(9^99,FILTER({ROW(P$2:P1907),P$2:P1907},D$2:D1907=D1908),2),(VLOOKUP(9^99,FILTER({ROW(P$2:P1907),P$2:P1907},D$2:D1907=D1908),2)*VLOOKUP(9^99,FILTER({ROW(O$2:O1907),O$2:O1907},D$2:D1907=D1908),2)-N190"&amp;"8)/O1908),J1908))"),"")</f>
        <v/>
      </c>
      <c r="Q1908" s="264" t="str">
        <f>IFERROR(__xludf.DUMMYFUNCTION("IFERROR(IF(F1908=""Crypto"",B1908,(IF(ISBLANK(D1908),"""",IF(D1908=""Cash"",B1908,IF(GOOGLEFINANCE(D1908,""CURRENCY"")=""GBX"",""GBP"",GOOGLEFINANCE(D1908,""CURRENCY"")))))),B1908)"),"")</f>
        <v/>
      </c>
      <c r="R1908" s="263" t="str">
        <f>IFERROR(__xludf.DUMMYFUNCTION("IF(ISBLANK(A1908),"""",IFERROR(IF(OR(Q1908=""GPB"",Q1908=""ZAR""),IF(Q1908=Dashboard!$L$1,K1908,(K1908*GOOGLEFINANCE(""CURRENCY:""&amp;Q1908&amp;""""&amp;Dashboard!$L$1&amp;""""))/100),IF(Q1908=Dashboard!$L$1,K1908,K1908*GOOGLEFINANCE(""CURRENCY:""&amp;Q1908&amp;""""&amp;Dashboard!$"&amp;"L$1&amp;""""))),K1908))"),"")</f>
        <v/>
      </c>
      <c r="S1908" s="266" t="str">
        <f>IFERROR(__xludf.DUMMYFUNCTION("IF(ISBLANK(A1908),"""",IFERROR(IF(OR(Q1908=""GPB"",Q1908=""ZAR""),IF(Q1908=Dashboard!$L$1,M1908,(M1908*GOOGLEFINANCE(""CURRENCY:""&amp;Q1908&amp;""""&amp;Dashboard!$L$1&amp;""""))/100),IF(Q1908=Dashboard!$L$1,M1908,M1908*GOOGLEFINANCE(""CURRENCY:""&amp;Q1908&amp;""""&amp;Dashboard!$"&amp;"L$1&amp;""""))),M1908))"),"")</f>
        <v/>
      </c>
      <c r="T1908" s="264" t="str">
        <f t="shared" si="4"/>
        <v/>
      </c>
      <c r="U1908" s="264" t="str">
        <f t="shared" si="5"/>
        <v/>
      </c>
      <c r="V1908" s="264" t="str">
        <f t="shared" si="6"/>
        <v/>
      </c>
      <c r="W1908" s="267" t="str">
        <f t="shared" si="8"/>
        <v/>
      </c>
      <c r="X1908" s="264" t="str">
        <f t="shared" si="7"/>
        <v/>
      </c>
    </row>
    <row r="1909" ht="15.75" customHeight="1">
      <c r="A1909" s="258"/>
      <c r="B1909" s="258"/>
      <c r="C1909" s="269"/>
      <c r="D1909" s="258"/>
      <c r="E1909" s="258"/>
      <c r="F1909" s="258"/>
      <c r="G1909" s="258"/>
      <c r="H1909" s="271"/>
      <c r="I1909" s="258"/>
      <c r="J1909" s="272"/>
      <c r="K1909" s="260"/>
      <c r="L1909" s="261"/>
      <c r="M1909" s="262" t="str">
        <f t="shared" si="1"/>
        <v/>
      </c>
      <c r="N1909" s="263" t="str">
        <f t="shared" si="2"/>
        <v/>
      </c>
      <c r="O1909" s="264" t="str">
        <f t="shared" si="3"/>
        <v/>
      </c>
      <c r="P1909" s="265" t="str">
        <f>IFERROR(__xludf.DUMMYFUNCTION("IF(ISBLANK(A1909),"""",IFERROR(IF(H1909=""Sell"",VLOOKUP(9^99,FILTER({ROW(P$2:P1908),P$2:P1908},D$2:D1908=D1909),2),(VLOOKUP(9^99,FILTER({ROW(P$2:P1908),P$2:P1908},D$2:D1908=D1909),2)*VLOOKUP(9^99,FILTER({ROW(O$2:O1908),O$2:O1908},D$2:D1908=D1909),2)-N190"&amp;"9)/O1909),J1909))"),"")</f>
        <v/>
      </c>
      <c r="Q1909" s="264" t="str">
        <f>IFERROR(__xludf.DUMMYFUNCTION("IFERROR(IF(F1909=""Crypto"",B1909,(IF(ISBLANK(D1909),"""",IF(D1909=""Cash"",B1909,IF(GOOGLEFINANCE(D1909,""CURRENCY"")=""GBX"",""GBP"",GOOGLEFINANCE(D1909,""CURRENCY"")))))),B1909)"),"")</f>
        <v/>
      </c>
      <c r="R1909" s="263" t="str">
        <f>IFERROR(__xludf.DUMMYFUNCTION("IF(ISBLANK(A1909),"""",IFERROR(IF(OR(Q1909=""GPB"",Q1909=""ZAR""),IF(Q1909=Dashboard!$L$1,K1909,(K1909*GOOGLEFINANCE(""CURRENCY:""&amp;Q1909&amp;""""&amp;Dashboard!$L$1&amp;""""))/100),IF(Q1909=Dashboard!$L$1,K1909,K1909*GOOGLEFINANCE(""CURRENCY:""&amp;Q1909&amp;""""&amp;Dashboard!$"&amp;"L$1&amp;""""))),K1909))"),"")</f>
        <v/>
      </c>
      <c r="S1909" s="266" t="str">
        <f>IFERROR(__xludf.DUMMYFUNCTION("IF(ISBLANK(A1909),"""",IFERROR(IF(OR(Q1909=""GPB"",Q1909=""ZAR""),IF(Q1909=Dashboard!$L$1,M1909,(M1909*GOOGLEFINANCE(""CURRENCY:""&amp;Q1909&amp;""""&amp;Dashboard!$L$1&amp;""""))/100),IF(Q1909=Dashboard!$L$1,M1909,M1909*GOOGLEFINANCE(""CURRENCY:""&amp;Q1909&amp;""""&amp;Dashboard!$"&amp;"L$1&amp;""""))),M1909))"),"")</f>
        <v/>
      </c>
      <c r="T1909" s="264" t="str">
        <f t="shared" si="4"/>
        <v/>
      </c>
      <c r="U1909" s="264" t="str">
        <f t="shared" si="5"/>
        <v/>
      </c>
      <c r="V1909" s="264" t="str">
        <f t="shared" si="6"/>
        <v/>
      </c>
      <c r="W1909" s="267" t="str">
        <f t="shared" si="8"/>
        <v/>
      </c>
      <c r="X1909" s="264" t="str">
        <f t="shared" si="7"/>
        <v/>
      </c>
    </row>
    <row r="1910" ht="15.75" customHeight="1">
      <c r="A1910" s="258"/>
      <c r="B1910" s="258"/>
      <c r="C1910" s="269"/>
      <c r="D1910" s="258"/>
      <c r="E1910" s="258"/>
      <c r="F1910" s="258"/>
      <c r="G1910" s="258"/>
      <c r="H1910" s="271"/>
      <c r="I1910" s="258"/>
      <c r="J1910" s="272"/>
      <c r="K1910" s="260"/>
      <c r="L1910" s="261"/>
      <c r="M1910" s="262" t="str">
        <f t="shared" si="1"/>
        <v/>
      </c>
      <c r="N1910" s="263" t="str">
        <f t="shared" si="2"/>
        <v/>
      </c>
      <c r="O1910" s="264" t="str">
        <f t="shared" si="3"/>
        <v/>
      </c>
      <c r="P1910" s="265" t="str">
        <f>IFERROR(__xludf.DUMMYFUNCTION("IF(ISBLANK(A1910),"""",IFERROR(IF(H1910=""Sell"",VLOOKUP(9^99,FILTER({ROW(P$2:P1909),P$2:P1909},D$2:D1909=D1910),2),(VLOOKUP(9^99,FILTER({ROW(P$2:P1909),P$2:P1909},D$2:D1909=D1910),2)*VLOOKUP(9^99,FILTER({ROW(O$2:O1909),O$2:O1909},D$2:D1909=D1910),2)-N191"&amp;"0)/O1910),J1910))"),"")</f>
        <v/>
      </c>
      <c r="Q1910" s="264" t="str">
        <f>IFERROR(__xludf.DUMMYFUNCTION("IFERROR(IF(F1910=""Crypto"",B1910,(IF(ISBLANK(D1910),"""",IF(D1910=""Cash"",B1910,IF(GOOGLEFINANCE(D1910,""CURRENCY"")=""GBX"",""GBP"",GOOGLEFINANCE(D1910,""CURRENCY"")))))),B1910)"),"")</f>
        <v/>
      </c>
      <c r="R1910" s="263" t="str">
        <f>IFERROR(__xludf.DUMMYFUNCTION("IF(ISBLANK(A1910),"""",IFERROR(IF(OR(Q1910=""GPB"",Q1910=""ZAR""),IF(Q1910=Dashboard!$L$1,K1910,(K1910*GOOGLEFINANCE(""CURRENCY:""&amp;Q1910&amp;""""&amp;Dashboard!$L$1&amp;""""))/100),IF(Q1910=Dashboard!$L$1,K1910,K1910*GOOGLEFINANCE(""CURRENCY:""&amp;Q1910&amp;""""&amp;Dashboard!$"&amp;"L$1&amp;""""))),K1910))"),"")</f>
        <v/>
      </c>
      <c r="S1910" s="266" t="str">
        <f>IFERROR(__xludf.DUMMYFUNCTION("IF(ISBLANK(A1910),"""",IFERROR(IF(OR(Q1910=""GPB"",Q1910=""ZAR""),IF(Q1910=Dashboard!$L$1,M1910,(M1910*GOOGLEFINANCE(""CURRENCY:""&amp;Q1910&amp;""""&amp;Dashboard!$L$1&amp;""""))/100),IF(Q1910=Dashboard!$L$1,M1910,M1910*GOOGLEFINANCE(""CURRENCY:""&amp;Q1910&amp;""""&amp;Dashboard!$"&amp;"L$1&amp;""""))),M1910))"),"")</f>
        <v/>
      </c>
      <c r="T1910" s="264" t="str">
        <f t="shared" si="4"/>
        <v/>
      </c>
      <c r="U1910" s="264" t="str">
        <f t="shared" si="5"/>
        <v/>
      </c>
      <c r="V1910" s="264" t="str">
        <f t="shared" si="6"/>
        <v/>
      </c>
      <c r="W1910" s="267" t="str">
        <f t="shared" si="8"/>
        <v/>
      </c>
      <c r="X1910" s="264" t="str">
        <f t="shared" si="7"/>
        <v/>
      </c>
    </row>
    <row r="1911" ht="15.75" customHeight="1">
      <c r="A1911" s="258"/>
      <c r="B1911" s="258"/>
      <c r="C1911" s="269"/>
      <c r="D1911" s="258"/>
      <c r="E1911" s="258"/>
      <c r="F1911" s="258"/>
      <c r="G1911" s="258"/>
      <c r="H1911" s="271"/>
      <c r="I1911" s="258"/>
      <c r="J1911" s="272"/>
      <c r="K1911" s="260"/>
      <c r="L1911" s="261"/>
      <c r="M1911" s="262" t="str">
        <f t="shared" si="1"/>
        <v/>
      </c>
      <c r="N1911" s="263" t="str">
        <f t="shared" si="2"/>
        <v/>
      </c>
      <c r="O1911" s="264" t="str">
        <f t="shared" si="3"/>
        <v/>
      </c>
      <c r="P1911" s="265" t="str">
        <f>IFERROR(__xludf.DUMMYFUNCTION("IF(ISBLANK(A1911),"""",IFERROR(IF(H1911=""Sell"",VLOOKUP(9^99,FILTER({ROW(P$2:P1910),P$2:P1910},D$2:D1910=D1911),2),(VLOOKUP(9^99,FILTER({ROW(P$2:P1910),P$2:P1910},D$2:D1910=D1911),2)*VLOOKUP(9^99,FILTER({ROW(O$2:O1910),O$2:O1910},D$2:D1910=D1911),2)-N191"&amp;"1)/O1911),J1911))"),"")</f>
        <v/>
      </c>
      <c r="Q1911" s="264" t="str">
        <f>IFERROR(__xludf.DUMMYFUNCTION("IFERROR(IF(F1911=""Crypto"",B1911,(IF(ISBLANK(D1911),"""",IF(D1911=""Cash"",B1911,IF(GOOGLEFINANCE(D1911,""CURRENCY"")=""GBX"",""GBP"",GOOGLEFINANCE(D1911,""CURRENCY"")))))),B1911)"),"")</f>
        <v/>
      </c>
      <c r="R1911" s="263" t="str">
        <f>IFERROR(__xludf.DUMMYFUNCTION("IF(ISBLANK(A1911),"""",IFERROR(IF(OR(Q1911=""GPB"",Q1911=""ZAR""),IF(Q1911=Dashboard!$L$1,K1911,(K1911*GOOGLEFINANCE(""CURRENCY:""&amp;Q1911&amp;""""&amp;Dashboard!$L$1&amp;""""))/100),IF(Q1911=Dashboard!$L$1,K1911,K1911*GOOGLEFINANCE(""CURRENCY:""&amp;Q1911&amp;""""&amp;Dashboard!$"&amp;"L$1&amp;""""))),K1911))"),"")</f>
        <v/>
      </c>
      <c r="S1911" s="266" t="str">
        <f>IFERROR(__xludf.DUMMYFUNCTION("IF(ISBLANK(A1911),"""",IFERROR(IF(OR(Q1911=""GPB"",Q1911=""ZAR""),IF(Q1911=Dashboard!$L$1,M1911,(M1911*GOOGLEFINANCE(""CURRENCY:""&amp;Q1911&amp;""""&amp;Dashboard!$L$1&amp;""""))/100),IF(Q1911=Dashboard!$L$1,M1911,M1911*GOOGLEFINANCE(""CURRENCY:""&amp;Q1911&amp;""""&amp;Dashboard!$"&amp;"L$1&amp;""""))),M1911))"),"")</f>
        <v/>
      </c>
      <c r="T1911" s="264" t="str">
        <f t="shared" si="4"/>
        <v/>
      </c>
      <c r="U1911" s="264" t="str">
        <f t="shared" si="5"/>
        <v/>
      </c>
      <c r="V1911" s="264" t="str">
        <f t="shared" si="6"/>
        <v/>
      </c>
      <c r="W1911" s="267" t="str">
        <f t="shared" si="8"/>
        <v/>
      </c>
      <c r="X1911" s="264" t="str">
        <f t="shared" si="7"/>
        <v/>
      </c>
    </row>
    <row r="1912" ht="15.75" customHeight="1">
      <c r="A1912" s="258"/>
      <c r="B1912" s="258"/>
      <c r="C1912" s="269"/>
      <c r="D1912" s="258"/>
      <c r="E1912" s="258"/>
      <c r="F1912" s="258"/>
      <c r="G1912" s="258"/>
      <c r="H1912" s="271"/>
      <c r="I1912" s="258"/>
      <c r="J1912" s="272"/>
      <c r="K1912" s="260"/>
      <c r="L1912" s="261"/>
      <c r="M1912" s="262" t="str">
        <f t="shared" si="1"/>
        <v/>
      </c>
      <c r="N1912" s="263" t="str">
        <f t="shared" si="2"/>
        <v/>
      </c>
      <c r="O1912" s="264" t="str">
        <f t="shared" si="3"/>
        <v/>
      </c>
      <c r="P1912" s="265" t="str">
        <f>IFERROR(__xludf.DUMMYFUNCTION("IF(ISBLANK(A1912),"""",IFERROR(IF(H1912=""Sell"",VLOOKUP(9^99,FILTER({ROW(P$2:P1911),P$2:P1911},D$2:D1911=D1912),2),(VLOOKUP(9^99,FILTER({ROW(P$2:P1911),P$2:P1911},D$2:D1911=D1912),2)*VLOOKUP(9^99,FILTER({ROW(O$2:O1911),O$2:O1911},D$2:D1911=D1912),2)-N191"&amp;"2)/O1912),J1912))"),"")</f>
        <v/>
      </c>
      <c r="Q1912" s="264" t="str">
        <f>IFERROR(__xludf.DUMMYFUNCTION("IFERROR(IF(F1912=""Crypto"",B1912,(IF(ISBLANK(D1912),"""",IF(D1912=""Cash"",B1912,IF(GOOGLEFINANCE(D1912,""CURRENCY"")=""GBX"",""GBP"",GOOGLEFINANCE(D1912,""CURRENCY"")))))),B1912)"),"")</f>
        <v/>
      </c>
      <c r="R1912" s="263" t="str">
        <f>IFERROR(__xludf.DUMMYFUNCTION("IF(ISBLANK(A1912),"""",IFERROR(IF(OR(Q1912=""GPB"",Q1912=""ZAR""),IF(Q1912=Dashboard!$L$1,K1912,(K1912*GOOGLEFINANCE(""CURRENCY:""&amp;Q1912&amp;""""&amp;Dashboard!$L$1&amp;""""))/100),IF(Q1912=Dashboard!$L$1,K1912,K1912*GOOGLEFINANCE(""CURRENCY:""&amp;Q1912&amp;""""&amp;Dashboard!$"&amp;"L$1&amp;""""))),K1912))"),"")</f>
        <v/>
      </c>
      <c r="S1912" s="266" t="str">
        <f>IFERROR(__xludf.DUMMYFUNCTION("IF(ISBLANK(A1912),"""",IFERROR(IF(OR(Q1912=""GPB"",Q1912=""ZAR""),IF(Q1912=Dashboard!$L$1,M1912,(M1912*GOOGLEFINANCE(""CURRENCY:""&amp;Q1912&amp;""""&amp;Dashboard!$L$1&amp;""""))/100),IF(Q1912=Dashboard!$L$1,M1912,M1912*GOOGLEFINANCE(""CURRENCY:""&amp;Q1912&amp;""""&amp;Dashboard!$"&amp;"L$1&amp;""""))),M1912))"),"")</f>
        <v/>
      </c>
      <c r="T1912" s="264" t="str">
        <f t="shared" si="4"/>
        <v/>
      </c>
      <c r="U1912" s="264" t="str">
        <f t="shared" si="5"/>
        <v/>
      </c>
      <c r="V1912" s="264" t="str">
        <f t="shared" si="6"/>
        <v/>
      </c>
      <c r="W1912" s="267" t="str">
        <f t="shared" si="8"/>
        <v/>
      </c>
      <c r="X1912" s="264" t="str">
        <f t="shared" si="7"/>
        <v/>
      </c>
    </row>
    <row r="1913" ht="15.75" customHeight="1">
      <c r="A1913" s="258"/>
      <c r="B1913" s="258"/>
      <c r="C1913" s="269"/>
      <c r="D1913" s="258"/>
      <c r="E1913" s="258"/>
      <c r="F1913" s="258"/>
      <c r="G1913" s="258"/>
      <c r="H1913" s="271"/>
      <c r="I1913" s="258"/>
      <c r="J1913" s="272"/>
      <c r="K1913" s="260"/>
      <c r="L1913" s="261"/>
      <c r="M1913" s="262" t="str">
        <f t="shared" si="1"/>
        <v/>
      </c>
      <c r="N1913" s="263" t="str">
        <f t="shared" si="2"/>
        <v/>
      </c>
      <c r="O1913" s="264" t="str">
        <f t="shared" si="3"/>
        <v/>
      </c>
      <c r="P1913" s="265" t="str">
        <f>IFERROR(__xludf.DUMMYFUNCTION("IF(ISBLANK(A1913),"""",IFERROR(IF(H1913=""Sell"",VLOOKUP(9^99,FILTER({ROW(P$2:P1912),P$2:P1912},D$2:D1912=D1913),2),(VLOOKUP(9^99,FILTER({ROW(P$2:P1912),P$2:P1912},D$2:D1912=D1913),2)*VLOOKUP(9^99,FILTER({ROW(O$2:O1912),O$2:O1912},D$2:D1912=D1913),2)-N191"&amp;"3)/O1913),J1913))"),"")</f>
        <v/>
      </c>
      <c r="Q1913" s="264" t="str">
        <f>IFERROR(__xludf.DUMMYFUNCTION("IFERROR(IF(F1913=""Crypto"",B1913,(IF(ISBLANK(D1913),"""",IF(D1913=""Cash"",B1913,IF(GOOGLEFINANCE(D1913,""CURRENCY"")=""GBX"",""GBP"",GOOGLEFINANCE(D1913,""CURRENCY"")))))),B1913)"),"")</f>
        <v/>
      </c>
      <c r="R1913" s="263" t="str">
        <f>IFERROR(__xludf.DUMMYFUNCTION("IF(ISBLANK(A1913),"""",IFERROR(IF(OR(Q1913=""GPB"",Q1913=""ZAR""),IF(Q1913=Dashboard!$L$1,K1913,(K1913*GOOGLEFINANCE(""CURRENCY:""&amp;Q1913&amp;""""&amp;Dashboard!$L$1&amp;""""))/100),IF(Q1913=Dashboard!$L$1,K1913,K1913*GOOGLEFINANCE(""CURRENCY:""&amp;Q1913&amp;""""&amp;Dashboard!$"&amp;"L$1&amp;""""))),K1913))"),"")</f>
        <v/>
      </c>
      <c r="S1913" s="266" t="str">
        <f>IFERROR(__xludf.DUMMYFUNCTION("IF(ISBLANK(A1913),"""",IFERROR(IF(OR(Q1913=""GPB"",Q1913=""ZAR""),IF(Q1913=Dashboard!$L$1,M1913,(M1913*GOOGLEFINANCE(""CURRENCY:""&amp;Q1913&amp;""""&amp;Dashboard!$L$1&amp;""""))/100),IF(Q1913=Dashboard!$L$1,M1913,M1913*GOOGLEFINANCE(""CURRENCY:""&amp;Q1913&amp;""""&amp;Dashboard!$"&amp;"L$1&amp;""""))),M1913))"),"")</f>
        <v/>
      </c>
      <c r="T1913" s="264" t="str">
        <f t="shared" si="4"/>
        <v/>
      </c>
      <c r="U1913" s="264" t="str">
        <f t="shared" si="5"/>
        <v/>
      </c>
      <c r="V1913" s="264" t="str">
        <f t="shared" si="6"/>
        <v/>
      </c>
      <c r="W1913" s="267" t="str">
        <f t="shared" si="8"/>
        <v/>
      </c>
      <c r="X1913" s="264" t="str">
        <f t="shared" si="7"/>
        <v/>
      </c>
    </row>
    <row r="1914" ht="15.75" customHeight="1">
      <c r="A1914" s="258"/>
      <c r="B1914" s="258"/>
      <c r="C1914" s="269"/>
      <c r="D1914" s="258"/>
      <c r="E1914" s="258"/>
      <c r="F1914" s="258"/>
      <c r="G1914" s="258"/>
      <c r="H1914" s="271"/>
      <c r="I1914" s="258"/>
      <c r="J1914" s="272"/>
      <c r="K1914" s="260"/>
      <c r="L1914" s="261"/>
      <c r="M1914" s="262" t="str">
        <f t="shared" si="1"/>
        <v/>
      </c>
      <c r="N1914" s="263" t="str">
        <f t="shared" si="2"/>
        <v/>
      </c>
      <c r="O1914" s="264" t="str">
        <f t="shared" si="3"/>
        <v/>
      </c>
      <c r="P1914" s="265" t="str">
        <f>IFERROR(__xludf.DUMMYFUNCTION("IF(ISBLANK(A1914),"""",IFERROR(IF(H1914=""Sell"",VLOOKUP(9^99,FILTER({ROW(P$2:P1913),P$2:P1913},D$2:D1913=D1914),2),(VLOOKUP(9^99,FILTER({ROW(P$2:P1913),P$2:P1913},D$2:D1913=D1914),2)*VLOOKUP(9^99,FILTER({ROW(O$2:O1913),O$2:O1913},D$2:D1913=D1914),2)-N191"&amp;"4)/O1914),J1914))"),"")</f>
        <v/>
      </c>
      <c r="Q1914" s="264" t="str">
        <f>IFERROR(__xludf.DUMMYFUNCTION("IFERROR(IF(F1914=""Crypto"",B1914,(IF(ISBLANK(D1914),"""",IF(D1914=""Cash"",B1914,IF(GOOGLEFINANCE(D1914,""CURRENCY"")=""GBX"",""GBP"",GOOGLEFINANCE(D1914,""CURRENCY"")))))),B1914)"),"")</f>
        <v/>
      </c>
      <c r="R1914" s="263" t="str">
        <f>IFERROR(__xludf.DUMMYFUNCTION("IF(ISBLANK(A1914),"""",IFERROR(IF(OR(Q1914=""GPB"",Q1914=""ZAR""),IF(Q1914=Dashboard!$L$1,K1914,(K1914*GOOGLEFINANCE(""CURRENCY:""&amp;Q1914&amp;""""&amp;Dashboard!$L$1&amp;""""))/100),IF(Q1914=Dashboard!$L$1,K1914,K1914*GOOGLEFINANCE(""CURRENCY:""&amp;Q1914&amp;""""&amp;Dashboard!$"&amp;"L$1&amp;""""))),K1914))"),"")</f>
        <v/>
      </c>
      <c r="S1914" s="266" t="str">
        <f>IFERROR(__xludf.DUMMYFUNCTION("IF(ISBLANK(A1914),"""",IFERROR(IF(OR(Q1914=""GPB"",Q1914=""ZAR""),IF(Q1914=Dashboard!$L$1,M1914,(M1914*GOOGLEFINANCE(""CURRENCY:""&amp;Q1914&amp;""""&amp;Dashboard!$L$1&amp;""""))/100),IF(Q1914=Dashboard!$L$1,M1914,M1914*GOOGLEFINANCE(""CURRENCY:""&amp;Q1914&amp;""""&amp;Dashboard!$"&amp;"L$1&amp;""""))),M1914))"),"")</f>
        <v/>
      </c>
      <c r="T1914" s="264" t="str">
        <f t="shared" si="4"/>
        <v/>
      </c>
      <c r="U1914" s="264" t="str">
        <f t="shared" si="5"/>
        <v/>
      </c>
      <c r="V1914" s="264" t="str">
        <f t="shared" si="6"/>
        <v/>
      </c>
      <c r="W1914" s="267" t="str">
        <f t="shared" si="8"/>
        <v/>
      </c>
      <c r="X1914" s="264" t="str">
        <f t="shared" si="7"/>
        <v/>
      </c>
    </row>
    <row r="1915" ht="15.75" customHeight="1">
      <c r="A1915" s="258"/>
      <c r="B1915" s="258"/>
      <c r="C1915" s="269"/>
      <c r="D1915" s="258"/>
      <c r="E1915" s="258"/>
      <c r="F1915" s="258"/>
      <c r="G1915" s="258"/>
      <c r="H1915" s="271"/>
      <c r="I1915" s="258"/>
      <c r="J1915" s="272"/>
      <c r="K1915" s="260"/>
      <c r="L1915" s="261"/>
      <c r="M1915" s="262" t="str">
        <f t="shared" si="1"/>
        <v/>
      </c>
      <c r="N1915" s="263" t="str">
        <f t="shared" si="2"/>
        <v/>
      </c>
      <c r="O1915" s="264" t="str">
        <f t="shared" si="3"/>
        <v/>
      </c>
      <c r="P1915" s="265" t="str">
        <f>IFERROR(__xludf.DUMMYFUNCTION("IF(ISBLANK(A1915),"""",IFERROR(IF(H1915=""Sell"",VLOOKUP(9^99,FILTER({ROW(P$2:P1914),P$2:P1914},D$2:D1914=D1915),2),(VLOOKUP(9^99,FILTER({ROW(P$2:P1914),P$2:P1914},D$2:D1914=D1915),2)*VLOOKUP(9^99,FILTER({ROW(O$2:O1914),O$2:O1914},D$2:D1914=D1915),2)-N191"&amp;"5)/O1915),J1915))"),"")</f>
        <v/>
      </c>
      <c r="Q1915" s="264" t="str">
        <f>IFERROR(__xludf.DUMMYFUNCTION("IFERROR(IF(F1915=""Crypto"",B1915,(IF(ISBLANK(D1915),"""",IF(D1915=""Cash"",B1915,IF(GOOGLEFINANCE(D1915,""CURRENCY"")=""GBX"",""GBP"",GOOGLEFINANCE(D1915,""CURRENCY"")))))),B1915)"),"")</f>
        <v/>
      </c>
      <c r="R1915" s="263" t="str">
        <f>IFERROR(__xludf.DUMMYFUNCTION("IF(ISBLANK(A1915),"""",IFERROR(IF(OR(Q1915=""GPB"",Q1915=""ZAR""),IF(Q1915=Dashboard!$L$1,K1915,(K1915*GOOGLEFINANCE(""CURRENCY:""&amp;Q1915&amp;""""&amp;Dashboard!$L$1&amp;""""))/100),IF(Q1915=Dashboard!$L$1,K1915,K1915*GOOGLEFINANCE(""CURRENCY:""&amp;Q1915&amp;""""&amp;Dashboard!$"&amp;"L$1&amp;""""))),K1915))"),"")</f>
        <v/>
      </c>
      <c r="S1915" s="266" t="str">
        <f>IFERROR(__xludf.DUMMYFUNCTION("IF(ISBLANK(A1915),"""",IFERROR(IF(OR(Q1915=""GPB"",Q1915=""ZAR""),IF(Q1915=Dashboard!$L$1,M1915,(M1915*GOOGLEFINANCE(""CURRENCY:""&amp;Q1915&amp;""""&amp;Dashboard!$L$1&amp;""""))/100),IF(Q1915=Dashboard!$L$1,M1915,M1915*GOOGLEFINANCE(""CURRENCY:""&amp;Q1915&amp;""""&amp;Dashboard!$"&amp;"L$1&amp;""""))),M1915))"),"")</f>
        <v/>
      </c>
      <c r="T1915" s="264" t="str">
        <f t="shared" si="4"/>
        <v/>
      </c>
      <c r="U1915" s="264" t="str">
        <f t="shared" si="5"/>
        <v/>
      </c>
      <c r="V1915" s="264" t="str">
        <f t="shared" si="6"/>
        <v/>
      </c>
      <c r="W1915" s="267" t="str">
        <f t="shared" si="8"/>
        <v/>
      </c>
      <c r="X1915" s="264" t="str">
        <f t="shared" si="7"/>
        <v/>
      </c>
    </row>
    <row r="1916" ht="15.75" customHeight="1">
      <c r="A1916" s="258"/>
      <c r="B1916" s="258"/>
      <c r="C1916" s="269"/>
      <c r="D1916" s="258"/>
      <c r="E1916" s="258"/>
      <c r="F1916" s="258"/>
      <c r="G1916" s="258"/>
      <c r="H1916" s="271"/>
      <c r="I1916" s="258"/>
      <c r="J1916" s="272"/>
      <c r="K1916" s="260"/>
      <c r="L1916" s="261"/>
      <c r="M1916" s="262" t="str">
        <f t="shared" si="1"/>
        <v/>
      </c>
      <c r="N1916" s="263" t="str">
        <f t="shared" si="2"/>
        <v/>
      </c>
      <c r="O1916" s="264" t="str">
        <f t="shared" si="3"/>
        <v/>
      </c>
      <c r="P1916" s="265" t="str">
        <f>IFERROR(__xludf.DUMMYFUNCTION("IF(ISBLANK(A1916),"""",IFERROR(IF(H1916=""Sell"",VLOOKUP(9^99,FILTER({ROW(P$2:P1915),P$2:P1915},D$2:D1915=D1916),2),(VLOOKUP(9^99,FILTER({ROW(P$2:P1915),P$2:P1915},D$2:D1915=D1916),2)*VLOOKUP(9^99,FILTER({ROW(O$2:O1915),O$2:O1915},D$2:D1915=D1916),2)-N191"&amp;"6)/O1916),J1916))"),"")</f>
        <v/>
      </c>
      <c r="Q1916" s="264" t="str">
        <f>IFERROR(__xludf.DUMMYFUNCTION("IFERROR(IF(F1916=""Crypto"",B1916,(IF(ISBLANK(D1916),"""",IF(D1916=""Cash"",B1916,IF(GOOGLEFINANCE(D1916,""CURRENCY"")=""GBX"",""GBP"",GOOGLEFINANCE(D1916,""CURRENCY"")))))),B1916)"),"")</f>
        <v/>
      </c>
      <c r="R1916" s="263" t="str">
        <f>IFERROR(__xludf.DUMMYFUNCTION("IF(ISBLANK(A1916),"""",IFERROR(IF(OR(Q1916=""GPB"",Q1916=""ZAR""),IF(Q1916=Dashboard!$L$1,K1916,(K1916*GOOGLEFINANCE(""CURRENCY:""&amp;Q1916&amp;""""&amp;Dashboard!$L$1&amp;""""))/100),IF(Q1916=Dashboard!$L$1,K1916,K1916*GOOGLEFINANCE(""CURRENCY:""&amp;Q1916&amp;""""&amp;Dashboard!$"&amp;"L$1&amp;""""))),K1916))"),"")</f>
        <v/>
      </c>
      <c r="S1916" s="266" t="str">
        <f>IFERROR(__xludf.DUMMYFUNCTION("IF(ISBLANK(A1916),"""",IFERROR(IF(OR(Q1916=""GPB"",Q1916=""ZAR""),IF(Q1916=Dashboard!$L$1,M1916,(M1916*GOOGLEFINANCE(""CURRENCY:""&amp;Q1916&amp;""""&amp;Dashboard!$L$1&amp;""""))/100),IF(Q1916=Dashboard!$L$1,M1916,M1916*GOOGLEFINANCE(""CURRENCY:""&amp;Q1916&amp;""""&amp;Dashboard!$"&amp;"L$1&amp;""""))),M1916))"),"")</f>
        <v/>
      </c>
      <c r="T1916" s="264" t="str">
        <f t="shared" si="4"/>
        <v/>
      </c>
      <c r="U1916" s="264" t="str">
        <f t="shared" si="5"/>
        <v/>
      </c>
      <c r="V1916" s="264" t="str">
        <f t="shared" si="6"/>
        <v/>
      </c>
      <c r="W1916" s="267" t="str">
        <f t="shared" si="8"/>
        <v/>
      </c>
      <c r="X1916" s="264" t="str">
        <f t="shared" si="7"/>
        <v/>
      </c>
    </row>
    <row r="1917" ht="15.75" customHeight="1">
      <c r="A1917" s="258"/>
      <c r="B1917" s="258"/>
      <c r="C1917" s="269"/>
      <c r="D1917" s="258"/>
      <c r="E1917" s="258"/>
      <c r="F1917" s="258"/>
      <c r="G1917" s="258"/>
      <c r="H1917" s="271"/>
      <c r="I1917" s="258"/>
      <c r="J1917" s="272"/>
      <c r="K1917" s="260"/>
      <c r="L1917" s="261"/>
      <c r="M1917" s="262" t="str">
        <f t="shared" si="1"/>
        <v/>
      </c>
      <c r="N1917" s="263" t="str">
        <f t="shared" si="2"/>
        <v/>
      </c>
      <c r="O1917" s="264" t="str">
        <f t="shared" si="3"/>
        <v/>
      </c>
      <c r="P1917" s="265" t="str">
        <f>IFERROR(__xludf.DUMMYFUNCTION("IF(ISBLANK(A1917),"""",IFERROR(IF(H1917=""Sell"",VLOOKUP(9^99,FILTER({ROW(P$2:P1916),P$2:P1916},D$2:D1916=D1917),2),(VLOOKUP(9^99,FILTER({ROW(P$2:P1916),P$2:P1916},D$2:D1916=D1917),2)*VLOOKUP(9^99,FILTER({ROW(O$2:O1916),O$2:O1916},D$2:D1916=D1917),2)-N191"&amp;"7)/O1917),J1917))"),"")</f>
        <v/>
      </c>
      <c r="Q1917" s="264" t="str">
        <f>IFERROR(__xludf.DUMMYFUNCTION("IFERROR(IF(F1917=""Crypto"",B1917,(IF(ISBLANK(D1917),"""",IF(D1917=""Cash"",B1917,IF(GOOGLEFINANCE(D1917,""CURRENCY"")=""GBX"",""GBP"",GOOGLEFINANCE(D1917,""CURRENCY"")))))),B1917)"),"")</f>
        <v/>
      </c>
      <c r="R1917" s="263" t="str">
        <f>IFERROR(__xludf.DUMMYFUNCTION("IF(ISBLANK(A1917),"""",IFERROR(IF(OR(Q1917=""GPB"",Q1917=""ZAR""),IF(Q1917=Dashboard!$L$1,K1917,(K1917*GOOGLEFINANCE(""CURRENCY:""&amp;Q1917&amp;""""&amp;Dashboard!$L$1&amp;""""))/100),IF(Q1917=Dashboard!$L$1,K1917,K1917*GOOGLEFINANCE(""CURRENCY:""&amp;Q1917&amp;""""&amp;Dashboard!$"&amp;"L$1&amp;""""))),K1917))"),"")</f>
        <v/>
      </c>
      <c r="S1917" s="266" t="str">
        <f>IFERROR(__xludf.DUMMYFUNCTION("IF(ISBLANK(A1917),"""",IFERROR(IF(OR(Q1917=""GPB"",Q1917=""ZAR""),IF(Q1917=Dashboard!$L$1,M1917,(M1917*GOOGLEFINANCE(""CURRENCY:""&amp;Q1917&amp;""""&amp;Dashboard!$L$1&amp;""""))/100),IF(Q1917=Dashboard!$L$1,M1917,M1917*GOOGLEFINANCE(""CURRENCY:""&amp;Q1917&amp;""""&amp;Dashboard!$"&amp;"L$1&amp;""""))),M1917))"),"")</f>
        <v/>
      </c>
      <c r="T1917" s="264" t="str">
        <f t="shared" si="4"/>
        <v/>
      </c>
      <c r="U1917" s="264" t="str">
        <f t="shared" si="5"/>
        <v/>
      </c>
      <c r="V1917" s="264" t="str">
        <f t="shared" si="6"/>
        <v/>
      </c>
      <c r="W1917" s="267" t="str">
        <f t="shared" si="8"/>
        <v/>
      </c>
      <c r="X1917" s="264" t="str">
        <f t="shared" si="7"/>
        <v/>
      </c>
    </row>
    <row r="1918" ht="15.75" customHeight="1">
      <c r="A1918" s="258"/>
      <c r="B1918" s="258"/>
      <c r="C1918" s="269"/>
      <c r="D1918" s="258"/>
      <c r="E1918" s="258"/>
      <c r="F1918" s="258"/>
      <c r="G1918" s="258"/>
      <c r="H1918" s="271"/>
      <c r="I1918" s="258"/>
      <c r="J1918" s="272"/>
      <c r="K1918" s="260"/>
      <c r="L1918" s="261"/>
      <c r="M1918" s="262" t="str">
        <f t="shared" si="1"/>
        <v/>
      </c>
      <c r="N1918" s="263" t="str">
        <f t="shared" si="2"/>
        <v/>
      </c>
      <c r="O1918" s="264" t="str">
        <f t="shared" si="3"/>
        <v/>
      </c>
      <c r="P1918" s="265" t="str">
        <f>IFERROR(__xludf.DUMMYFUNCTION("IF(ISBLANK(A1918),"""",IFERROR(IF(H1918=""Sell"",VLOOKUP(9^99,FILTER({ROW(P$2:P1917),P$2:P1917},D$2:D1917=D1918),2),(VLOOKUP(9^99,FILTER({ROW(P$2:P1917),P$2:P1917},D$2:D1917=D1918),2)*VLOOKUP(9^99,FILTER({ROW(O$2:O1917),O$2:O1917},D$2:D1917=D1918),2)-N191"&amp;"8)/O1918),J1918))"),"")</f>
        <v/>
      </c>
      <c r="Q1918" s="264" t="str">
        <f>IFERROR(__xludf.DUMMYFUNCTION("IFERROR(IF(F1918=""Crypto"",B1918,(IF(ISBLANK(D1918),"""",IF(D1918=""Cash"",B1918,IF(GOOGLEFINANCE(D1918,""CURRENCY"")=""GBX"",""GBP"",GOOGLEFINANCE(D1918,""CURRENCY"")))))),B1918)"),"")</f>
        <v/>
      </c>
      <c r="R1918" s="263" t="str">
        <f>IFERROR(__xludf.DUMMYFUNCTION("IF(ISBLANK(A1918),"""",IFERROR(IF(OR(Q1918=""GPB"",Q1918=""ZAR""),IF(Q1918=Dashboard!$L$1,K1918,(K1918*GOOGLEFINANCE(""CURRENCY:""&amp;Q1918&amp;""""&amp;Dashboard!$L$1&amp;""""))/100),IF(Q1918=Dashboard!$L$1,K1918,K1918*GOOGLEFINANCE(""CURRENCY:""&amp;Q1918&amp;""""&amp;Dashboard!$"&amp;"L$1&amp;""""))),K1918))"),"")</f>
        <v/>
      </c>
      <c r="S1918" s="266" t="str">
        <f>IFERROR(__xludf.DUMMYFUNCTION("IF(ISBLANK(A1918),"""",IFERROR(IF(OR(Q1918=""GPB"",Q1918=""ZAR""),IF(Q1918=Dashboard!$L$1,M1918,(M1918*GOOGLEFINANCE(""CURRENCY:""&amp;Q1918&amp;""""&amp;Dashboard!$L$1&amp;""""))/100),IF(Q1918=Dashboard!$L$1,M1918,M1918*GOOGLEFINANCE(""CURRENCY:""&amp;Q1918&amp;""""&amp;Dashboard!$"&amp;"L$1&amp;""""))),M1918))"),"")</f>
        <v/>
      </c>
      <c r="T1918" s="264" t="str">
        <f t="shared" si="4"/>
        <v/>
      </c>
      <c r="U1918" s="264" t="str">
        <f t="shared" si="5"/>
        <v/>
      </c>
      <c r="V1918" s="264" t="str">
        <f t="shared" si="6"/>
        <v/>
      </c>
      <c r="W1918" s="267" t="str">
        <f t="shared" si="8"/>
        <v/>
      </c>
      <c r="X1918" s="264" t="str">
        <f t="shared" si="7"/>
        <v/>
      </c>
    </row>
    <row r="1919" ht="15.75" customHeight="1">
      <c r="A1919" s="258"/>
      <c r="B1919" s="258"/>
      <c r="C1919" s="269"/>
      <c r="D1919" s="258"/>
      <c r="E1919" s="258"/>
      <c r="F1919" s="258"/>
      <c r="G1919" s="258"/>
      <c r="H1919" s="271"/>
      <c r="I1919" s="258"/>
      <c r="J1919" s="272"/>
      <c r="K1919" s="260"/>
      <c r="L1919" s="261"/>
      <c r="M1919" s="262" t="str">
        <f t="shared" si="1"/>
        <v/>
      </c>
      <c r="N1919" s="263" t="str">
        <f t="shared" si="2"/>
        <v/>
      </c>
      <c r="O1919" s="264" t="str">
        <f t="shared" si="3"/>
        <v/>
      </c>
      <c r="P1919" s="265" t="str">
        <f>IFERROR(__xludf.DUMMYFUNCTION("IF(ISBLANK(A1919),"""",IFERROR(IF(H1919=""Sell"",VLOOKUP(9^99,FILTER({ROW(P$2:P1918),P$2:P1918},D$2:D1918=D1919),2),(VLOOKUP(9^99,FILTER({ROW(P$2:P1918),P$2:P1918},D$2:D1918=D1919),2)*VLOOKUP(9^99,FILTER({ROW(O$2:O1918),O$2:O1918},D$2:D1918=D1919),2)-N191"&amp;"9)/O1919),J1919))"),"")</f>
        <v/>
      </c>
      <c r="Q1919" s="264" t="str">
        <f>IFERROR(__xludf.DUMMYFUNCTION("IFERROR(IF(F1919=""Crypto"",B1919,(IF(ISBLANK(D1919),"""",IF(D1919=""Cash"",B1919,IF(GOOGLEFINANCE(D1919,""CURRENCY"")=""GBX"",""GBP"",GOOGLEFINANCE(D1919,""CURRENCY"")))))),B1919)"),"")</f>
        <v/>
      </c>
      <c r="R1919" s="263" t="str">
        <f>IFERROR(__xludf.DUMMYFUNCTION("IF(ISBLANK(A1919),"""",IFERROR(IF(OR(Q1919=""GPB"",Q1919=""ZAR""),IF(Q1919=Dashboard!$L$1,K1919,(K1919*GOOGLEFINANCE(""CURRENCY:""&amp;Q1919&amp;""""&amp;Dashboard!$L$1&amp;""""))/100),IF(Q1919=Dashboard!$L$1,K1919,K1919*GOOGLEFINANCE(""CURRENCY:""&amp;Q1919&amp;""""&amp;Dashboard!$"&amp;"L$1&amp;""""))),K1919))"),"")</f>
        <v/>
      </c>
      <c r="S1919" s="266" t="str">
        <f>IFERROR(__xludf.DUMMYFUNCTION("IF(ISBLANK(A1919),"""",IFERROR(IF(OR(Q1919=""GPB"",Q1919=""ZAR""),IF(Q1919=Dashboard!$L$1,M1919,(M1919*GOOGLEFINANCE(""CURRENCY:""&amp;Q1919&amp;""""&amp;Dashboard!$L$1&amp;""""))/100),IF(Q1919=Dashboard!$L$1,M1919,M1919*GOOGLEFINANCE(""CURRENCY:""&amp;Q1919&amp;""""&amp;Dashboard!$"&amp;"L$1&amp;""""))),M1919))"),"")</f>
        <v/>
      </c>
      <c r="T1919" s="264" t="str">
        <f t="shared" si="4"/>
        <v/>
      </c>
      <c r="U1919" s="264" t="str">
        <f t="shared" si="5"/>
        <v/>
      </c>
      <c r="V1919" s="264" t="str">
        <f t="shared" si="6"/>
        <v/>
      </c>
      <c r="W1919" s="267" t="str">
        <f t="shared" si="8"/>
        <v/>
      </c>
      <c r="X1919" s="264" t="str">
        <f t="shared" si="7"/>
        <v/>
      </c>
    </row>
    <row r="1920" ht="15.75" customHeight="1">
      <c r="A1920" s="258"/>
      <c r="B1920" s="258"/>
      <c r="C1920" s="269"/>
      <c r="D1920" s="258"/>
      <c r="E1920" s="258"/>
      <c r="F1920" s="258"/>
      <c r="G1920" s="258"/>
      <c r="H1920" s="271"/>
      <c r="I1920" s="258"/>
      <c r="J1920" s="272"/>
      <c r="K1920" s="260"/>
      <c r="L1920" s="261"/>
      <c r="M1920" s="262" t="str">
        <f t="shared" si="1"/>
        <v/>
      </c>
      <c r="N1920" s="263" t="str">
        <f t="shared" si="2"/>
        <v/>
      </c>
      <c r="O1920" s="264" t="str">
        <f t="shared" si="3"/>
        <v/>
      </c>
      <c r="P1920" s="265" t="str">
        <f>IFERROR(__xludf.DUMMYFUNCTION("IF(ISBLANK(A1920),"""",IFERROR(IF(H1920=""Sell"",VLOOKUP(9^99,FILTER({ROW(P$2:P1919),P$2:P1919},D$2:D1919=D1920),2),(VLOOKUP(9^99,FILTER({ROW(P$2:P1919),P$2:P1919},D$2:D1919=D1920),2)*VLOOKUP(9^99,FILTER({ROW(O$2:O1919),O$2:O1919},D$2:D1919=D1920),2)-N192"&amp;"0)/O1920),J1920))"),"")</f>
        <v/>
      </c>
      <c r="Q1920" s="264" t="str">
        <f>IFERROR(__xludf.DUMMYFUNCTION("IFERROR(IF(F1920=""Crypto"",B1920,(IF(ISBLANK(D1920),"""",IF(D1920=""Cash"",B1920,IF(GOOGLEFINANCE(D1920,""CURRENCY"")=""GBX"",""GBP"",GOOGLEFINANCE(D1920,""CURRENCY"")))))),B1920)"),"")</f>
        <v/>
      </c>
      <c r="R1920" s="263" t="str">
        <f>IFERROR(__xludf.DUMMYFUNCTION("IF(ISBLANK(A1920),"""",IFERROR(IF(OR(Q1920=""GPB"",Q1920=""ZAR""),IF(Q1920=Dashboard!$L$1,K1920,(K1920*GOOGLEFINANCE(""CURRENCY:""&amp;Q1920&amp;""""&amp;Dashboard!$L$1&amp;""""))/100),IF(Q1920=Dashboard!$L$1,K1920,K1920*GOOGLEFINANCE(""CURRENCY:""&amp;Q1920&amp;""""&amp;Dashboard!$"&amp;"L$1&amp;""""))),K1920))"),"")</f>
        <v/>
      </c>
      <c r="S1920" s="266" t="str">
        <f>IFERROR(__xludf.DUMMYFUNCTION("IF(ISBLANK(A1920),"""",IFERROR(IF(OR(Q1920=""GPB"",Q1920=""ZAR""),IF(Q1920=Dashboard!$L$1,M1920,(M1920*GOOGLEFINANCE(""CURRENCY:""&amp;Q1920&amp;""""&amp;Dashboard!$L$1&amp;""""))/100),IF(Q1920=Dashboard!$L$1,M1920,M1920*GOOGLEFINANCE(""CURRENCY:""&amp;Q1920&amp;""""&amp;Dashboard!$"&amp;"L$1&amp;""""))),M1920))"),"")</f>
        <v/>
      </c>
      <c r="T1920" s="264" t="str">
        <f t="shared" si="4"/>
        <v/>
      </c>
      <c r="U1920" s="264" t="str">
        <f t="shared" si="5"/>
        <v/>
      </c>
      <c r="V1920" s="264" t="str">
        <f t="shared" si="6"/>
        <v/>
      </c>
      <c r="W1920" s="267" t="str">
        <f t="shared" si="8"/>
        <v/>
      </c>
      <c r="X1920" s="264" t="str">
        <f t="shared" si="7"/>
        <v/>
      </c>
    </row>
    <row r="1921" ht="15.75" customHeight="1">
      <c r="A1921" s="258"/>
      <c r="B1921" s="258"/>
      <c r="C1921" s="269"/>
      <c r="D1921" s="258"/>
      <c r="E1921" s="258"/>
      <c r="F1921" s="258"/>
      <c r="G1921" s="258"/>
      <c r="H1921" s="271"/>
      <c r="I1921" s="258"/>
      <c r="J1921" s="272"/>
      <c r="K1921" s="260"/>
      <c r="L1921" s="261"/>
      <c r="M1921" s="262" t="str">
        <f t="shared" si="1"/>
        <v/>
      </c>
      <c r="N1921" s="263" t="str">
        <f t="shared" si="2"/>
        <v/>
      </c>
      <c r="O1921" s="264" t="str">
        <f t="shared" si="3"/>
        <v/>
      </c>
      <c r="P1921" s="265" t="str">
        <f>IFERROR(__xludf.DUMMYFUNCTION("IF(ISBLANK(A1921),"""",IFERROR(IF(H1921=""Sell"",VLOOKUP(9^99,FILTER({ROW(P$2:P1920),P$2:P1920},D$2:D1920=D1921),2),(VLOOKUP(9^99,FILTER({ROW(P$2:P1920),P$2:P1920},D$2:D1920=D1921),2)*VLOOKUP(9^99,FILTER({ROW(O$2:O1920),O$2:O1920},D$2:D1920=D1921),2)-N192"&amp;"1)/O1921),J1921))"),"")</f>
        <v/>
      </c>
      <c r="Q1921" s="264" t="str">
        <f>IFERROR(__xludf.DUMMYFUNCTION("IFERROR(IF(F1921=""Crypto"",B1921,(IF(ISBLANK(D1921),"""",IF(D1921=""Cash"",B1921,IF(GOOGLEFINANCE(D1921,""CURRENCY"")=""GBX"",""GBP"",GOOGLEFINANCE(D1921,""CURRENCY"")))))),B1921)"),"")</f>
        <v/>
      </c>
      <c r="R1921" s="263" t="str">
        <f>IFERROR(__xludf.DUMMYFUNCTION("IF(ISBLANK(A1921),"""",IFERROR(IF(OR(Q1921=""GPB"",Q1921=""ZAR""),IF(Q1921=Dashboard!$L$1,K1921,(K1921*GOOGLEFINANCE(""CURRENCY:""&amp;Q1921&amp;""""&amp;Dashboard!$L$1&amp;""""))/100),IF(Q1921=Dashboard!$L$1,K1921,K1921*GOOGLEFINANCE(""CURRENCY:""&amp;Q1921&amp;""""&amp;Dashboard!$"&amp;"L$1&amp;""""))),K1921))"),"")</f>
        <v/>
      </c>
      <c r="S1921" s="266" t="str">
        <f>IFERROR(__xludf.DUMMYFUNCTION("IF(ISBLANK(A1921),"""",IFERROR(IF(OR(Q1921=""GPB"",Q1921=""ZAR""),IF(Q1921=Dashboard!$L$1,M1921,(M1921*GOOGLEFINANCE(""CURRENCY:""&amp;Q1921&amp;""""&amp;Dashboard!$L$1&amp;""""))/100),IF(Q1921=Dashboard!$L$1,M1921,M1921*GOOGLEFINANCE(""CURRENCY:""&amp;Q1921&amp;""""&amp;Dashboard!$"&amp;"L$1&amp;""""))),M1921))"),"")</f>
        <v/>
      </c>
      <c r="T1921" s="264" t="str">
        <f t="shared" si="4"/>
        <v/>
      </c>
      <c r="U1921" s="264" t="str">
        <f t="shared" si="5"/>
        <v/>
      </c>
      <c r="V1921" s="264" t="str">
        <f t="shared" si="6"/>
        <v/>
      </c>
      <c r="W1921" s="267" t="str">
        <f t="shared" si="8"/>
        <v/>
      </c>
      <c r="X1921" s="264" t="str">
        <f t="shared" si="7"/>
        <v/>
      </c>
    </row>
    <row r="1922" ht="15.75" customHeight="1">
      <c r="A1922" s="258"/>
      <c r="B1922" s="258"/>
      <c r="C1922" s="269"/>
      <c r="D1922" s="258"/>
      <c r="E1922" s="258"/>
      <c r="F1922" s="258"/>
      <c r="G1922" s="258"/>
      <c r="H1922" s="271"/>
      <c r="I1922" s="258"/>
      <c r="J1922" s="272"/>
      <c r="K1922" s="260"/>
      <c r="L1922" s="261"/>
      <c r="M1922" s="262" t="str">
        <f t="shared" si="1"/>
        <v/>
      </c>
      <c r="N1922" s="263" t="str">
        <f t="shared" si="2"/>
        <v/>
      </c>
      <c r="O1922" s="264" t="str">
        <f t="shared" si="3"/>
        <v/>
      </c>
      <c r="P1922" s="265" t="str">
        <f>IFERROR(__xludf.DUMMYFUNCTION("IF(ISBLANK(A1922),"""",IFERROR(IF(H1922=""Sell"",VLOOKUP(9^99,FILTER({ROW(P$2:P1921),P$2:P1921},D$2:D1921=D1922),2),(VLOOKUP(9^99,FILTER({ROW(P$2:P1921),P$2:P1921},D$2:D1921=D1922),2)*VLOOKUP(9^99,FILTER({ROW(O$2:O1921),O$2:O1921},D$2:D1921=D1922),2)-N192"&amp;"2)/O1922),J1922))"),"")</f>
        <v/>
      </c>
      <c r="Q1922" s="264" t="str">
        <f>IFERROR(__xludf.DUMMYFUNCTION("IFERROR(IF(F1922=""Crypto"",B1922,(IF(ISBLANK(D1922),"""",IF(D1922=""Cash"",B1922,IF(GOOGLEFINANCE(D1922,""CURRENCY"")=""GBX"",""GBP"",GOOGLEFINANCE(D1922,""CURRENCY"")))))),B1922)"),"")</f>
        <v/>
      </c>
      <c r="R1922" s="263" t="str">
        <f>IFERROR(__xludf.DUMMYFUNCTION("IF(ISBLANK(A1922),"""",IFERROR(IF(OR(Q1922=""GPB"",Q1922=""ZAR""),IF(Q1922=Dashboard!$L$1,K1922,(K1922*GOOGLEFINANCE(""CURRENCY:""&amp;Q1922&amp;""""&amp;Dashboard!$L$1&amp;""""))/100),IF(Q1922=Dashboard!$L$1,K1922,K1922*GOOGLEFINANCE(""CURRENCY:""&amp;Q1922&amp;""""&amp;Dashboard!$"&amp;"L$1&amp;""""))),K1922))"),"")</f>
        <v/>
      </c>
      <c r="S1922" s="266" t="str">
        <f>IFERROR(__xludf.DUMMYFUNCTION("IF(ISBLANK(A1922),"""",IFERROR(IF(OR(Q1922=""GPB"",Q1922=""ZAR""),IF(Q1922=Dashboard!$L$1,M1922,(M1922*GOOGLEFINANCE(""CURRENCY:""&amp;Q1922&amp;""""&amp;Dashboard!$L$1&amp;""""))/100),IF(Q1922=Dashboard!$L$1,M1922,M1922*GOOGLEFINANCE(""CURRENCY:""&amp;Q1922&amp;""""&amp;Dashboard!$"&amp;"L$1&amp;""""))),M1922))"),"")</f>
        <v/>
      </c>
      <c r="T1922" s="264" t="str">
        <f t="shared" si="4"/>
        <v/>
      </c>
      <c r="U1922" s="264" t="str">
        <f t="shared" si="5"/>
        <v/>
      </c>
      <c r="V1922" s="264" t="str">
        <f t="shared" si="6"/>
        <v/>
      </c>
      <c r="W1922" s="267" t="str">
        <f t="shared" si="8"/>
        <v/>
      </c>
      <c r="X1922" s="264" t="str">
        <f t="shared" si="7"/>
        <v/>
      </c>
    </row>
    <row r="1923" ht="15.75" customHeight="1">
      <c r="A1923" s="258"/>
      <c r="B1923" s="258"/>
      <c r="C1923" s="269"/>
      <c r="D1923" s="258"/>
      <c r="E1923" s="258"/>
      <c r="F1923" s="258"/>
      <c r="G1923" s="258"/>
      <c r="H1923" s="271"/>
      <c r="I1923" s="258"/>
      <c r="J1923" s="272"/>
      <c r="K1923" s="260"/>
      <c r="L1923" s="261"/>
      <c r="M1923" s="262" t="str">
        <f t="shared" si="1"/>
        <v/>
      </c>
      <c r="N1923" s="263" t="str">
        <f t="shared" si="2"/>
        <v/>
      </c>
      <c r="O1923" s="264" t="str">
        <f t="shared" si="3"/>
        <v/>
      </c>
      <c r="P1923" s="265" t="str">
        <f>IFERROR(__xludf.DUMMYFUNCTION("IF(ISBLANK(A1923),"""",IFERROR(IF(H1923=""Sell"",VLOOKUP(9^99,FILTER({ROW(P$2:P1922),P$2:P1922},D$2:D1922=D1923),2),(VLOOKUP(9^99,FILTER({ROW(P$2:P1922),P$2:P1922},D$2:D1922=D1923),2)*VLOOKUP(9^99,FILTER({ROW(O$2:O1922),O$2:O1922},D$2:D1922=D1923),2)-N192"&amp;"3)/O1923),J1923))"),"")</f>
        <v/>
      </c>
      <c r="Q1923" s="264" t="str">
        <f>IFERROR(__xludf.DUMMYFUNCTION("IFERROR(IF(F1923=""Crypto"",B1923,(IF(ISBLANK(D1923),"""",IF(D1923=""Cash"",B1923,IF(GOOGLEFINANCE(D1923,""CURRENCY"")=""GBX"",""GBP"",GOOGLEFINANCE(D1923,""CURRENCY"")))))),B1923)"),"")</f>
        <v/>
      </c>
      <c r="R1923" s="263" t="str">
        <f>IFERROR(__xludf.DUMMYFUNCTION("IF(ISBLANK(A1923),"""",IFERROR(IF(OR(Q1923=""GPB"",Q1923=""ZAR""),IF(Q1923=Dashboard!$L$1,K1923,(K1923*GOOGLEFINANCE(""CURRENCY:""&amp;Q1923&amp;""""&amp;Dashboard!$L$1&amp;""""))/100),IF(Q1923=Dashboard!$L$1,K1923,K1923*GOOGLEFINANCE(""CURRENCY:""&amp;Q1923&amp;""""&amp;Dashboard!$"&amp;"L$1&amp;""""))),K1923))"),"")</f>
        <v/>
      </c>
      <c r="S1923" s="266" t="str">
        <f>IFERROR(__xludf.DUMMYFUNCTION("IF(ISBLANK(A1923),"""",IFERROR(IF(OR(Q1923=""GPB"",Q1923=""ZAR""),IF(Q1923=Dashboard!$L$1,M1923,(M1923*GOOGLEFINANCE(""CURRENCY:""&amp;Q1923&amp;""""&amp;Dashboard!$L$1&amp;""""))/100),IF(Q1923=Dashboard!$L$1,M1923,M1923*GOOGLEFINANCE(""CURRENCY:""&amp;Q1923&amp;""""&amp;Dashboard!$"&amp;"L$1&amp;""""))),M1923))"),"")</f>
        <v/>
      </c>
      <c r="T1923" s="264" t="str">
        <f t="shared" si="4"/>
        <v/>
      </c>
      <c r="U1923" s="264" t="str">
        <f t="shared" si="5"/>
        <v/>
      </c>
      <c r="V1923" s="264" t="str">
        <f t="shared" si="6"/>
        <v/>
      </c>
      <c r="W1923" s="267" t="str">
        <f t="shared" si="8"/>
        <v/>
      </c>
      <c r="X1923" s="264" t="str">
        <f t="shared" si="7"/>
        <v/>
      </c>
    </row>
    <row r="1924" ht="15.75" customHeight="1">
      <c r="A1924" s="258"/>
      <c r="B1924" s="258"/>
      <c r="C1924" s="269"/>
      <c r="D1924" s="258"/>
      <c r="E1924" s="258"/>
      <c r="F1924" s="258"/>
      <c r="G1924" s="258"/>
      <c r="H1924" s="271"/>
      <c r="I1924" s="258"/>
      <c r="J1924" s="272"/>
      <c r="K1924" s="260"/>
      <c r="L1924" s="261"/>
      <c r="M1924" s="262" t="str">
        <f t="shared" si="1"/>
        <v/>
      </c>
      <c r="N1924" s="263" t="str">
        <f t="shared" si="2"/>
        <v/>
      </c>
      <c r="O1924" s="264" t="str">
        <f t="shared" si="3"/>
        <v/>
      </c>
      <c r="P1924" s="265" t="str">
        <f>IFERROR(__xludf.DUMMYFUNCTION("IF(ISBLANK(A1924),"""",IFERROR(IF(H1924=""Sell"",VLOOKUP(9^99,FILTER({ROW(P$2:P1923),P$2:P1923},D$2:D1923=D1924),2),(VLOOKUP(9^99,FILTER({ROW(P$2:P1923),P$2:P1923},D$2:D1923=D1924),2)*VLOOKUP(9^99,FILTER({ROW(O$2:O1923),O$2:O1923},D$2:D1923=D1924),2)-N192"&amp;"4)/O1924),J1924))"),"")</f>
        <v/>
      </c>
      <c r="Q1924" s="264" t="str">
        <f>IFERROR(__xludf.DUMMYFUNCTION("IFERROR(IF(F1924=""Crypto"",B1924,(IF(ISBLANK(D1924),"""",IF(D1924=""Cash"",B1924,IF(GOOGLEFINANCE(D1924,""CURRENCY"")=""GBX"",""GBP"",GOOGLEFINANCE(D1924,""CURRENCY"")))))),B1924)"),"")</f>
        <v/>
      </c>
      <c r="R1924" s="263" t="str">
        <f>IFERROR(__xludf.DUMMYFUNCTION("IF(ISBLANK(A1924),"""",IFERROR(IF(OR(Q1924=""GPB"",Q1924=""ZAR""),IF(Q1924=Dashboard!$L$1,K1924,(K1924*GOOGLEFINANCE(""CURRENCY:""&amp;Q1924&amp;""""&amp;Dashboard!$L$1&amp;""""))/100),IF(Q1924=Dashboard!$L$1,K1924,K1924*GOOGLEFINANCE(""CURRENCY:""&amp;Q1924&amp;""""&amp;Dashboard!$"&amp;"L$1&amp;""""))),K1924))"),"")</f>
        <v/>
      </c>
      <c r="S1924" s="266" t="str">
        <f>IFERROR(__xludf.DUMMYFUNCTION("IF(ISBLANK(A1924),"""",IFERROR(IF(OR(Q1924=""GPB"",Q1924=""ZAR""),IF(Q1924=Dashboard!$L$1,M1924,(M1924*GOOGLEFINANCE(""CURRENCY:""&amp;Q1924&amp;""""&amp;Dashboard!$L$1&amp;""""))/100),IF(Q1924=Dashboard!$L$1,M1924,M1924*GOOGLEFINANCE(""CURRENCY:""&amp;Q1924&amp;""""&amp;Dashboard!$"&amp;"L$1&amp;""""))),M1924))"),"")</f>
        <v/>
      </c>
      <c r="T1924" s="264" t="str">
        <f t="shared" si="4"/>
        <v/>
      </c>
      <c r="U1924" s="264" t="str">
        <f t="shared" si="5"/>
        <v/>
      </c>
      <c r="V1924" s="264" t="str">
        <f t="shared" si="6"/>
        <v/>
      </c>
      <c r="W1924" s="267" t="str">
        <f t="shared" si="8"/>
        <v/>
      </c>
      <c r="X1924" s="264" t="str">
        <f t="shared" si="7"/>
        <v/>
      </c>
    </row>
    <row r="1925" ht="15.75" customHeight="1">
      <c r="A1925" s="258"/>
      <c r="B1925" s="258"/>
      <c r="C1925" s="269"/>
      <c r="D1925" s="258"/>
      <c r="E1925" s="258"/>
      <c r="F1925" s="258"/>
      <c r="G1925" s="258"/>
      <c r="H1925" s="271"/>
      <c r="I1925" s="258"/>
      <c r="J1925" s="272"/>
      <c r="K1925" s="260"/>
      <c r="L1925" s="261"/>
      <c r="M1925" s="262" t="str">
        <f t="shared" si="1"/>
        <v/>
      </c>
      <c r="N1925" s="263" t="str">
        <f t="shared" si="2"/>
        <v/>
      </c>
      <c r="O1925" s="264" t="str">
        <f t="shared" si="3"/>
        <v/>
      </c>
      <c r="P1925" s="265" t="str">
        <f>IFERROR(__xludf.DUMMYFUNCTION("IF(ISBLANK(A1925),"""",IFERROR(IF(H1925=""Sell"",VLOOKUP(9^99,FILTER({ROW(P$2:P1924),P$2:P1924},D$2:D1924=D1925),2),(VLOOKUP(9^99,FILTER({ROW(P$2:P1924),P$2:P1924},D$2:D1924=D1925),2)*VLOOKUP(9^99,FILTER({ROW(O$2:O1924),O$2:O1924},D$2:D1924=D1925),2)-N192"&amp;"5)/O1925),J1925))"),"")</f>
        <v/>
      </c>
      <c r="Q1925" s="264" t="str">
        <f>IFERROR(__xludf.DUMMYFUNCTION("IFERROR(IF(F1925=""Crypto"",B1925,(IF(ISBLANK(D1925),"""",IF(D1925=""Cash"",B1925,IF(GOOGLEFINANCE(D1925,""CURRENCY"")=""GBX"",""GBP"",GOOGLEFINANCE(D1925,""CURRENCY"")))))),B1925)"),"")</f>
        <v/>
      </c>
      <c r="R1925" s="263" t="str">
        <f>IFERROR(__xludf.DUMMYFUNCTION("IF(ISBLANK(A1925),"""",IFERROR(IF(OR(Q1925=""GPB"",Q1925=""ZAR""),IF(Q1925=Dashboard!$L$1,K1925,(K1925*GOOGLEFINANCE(""CURRENCY:""&amp;Q1925&amp;""""&amp;Dashboard!$L$1&amp;""""))/100),IF(Q1925=Dashboard!$L$1,K1925,K1925*GOOGLEFINANCE(""CURRENCY:""&amp;Q1925&amp;""""&amp;Dashboard!$"&amp;"L$1&amp;""""))),K1925))"),"")</f>
        <v/>
      </c>
      <c r="S1925" s="266" t="str">
        <f>IFERROR(__xludf.DUMMYFUNCTION("IF(ISBLANK(A1925),"""",IFERROR(IF(OR(Q1925=""GPB"",Q1925=""ZAR""),IF(Q1925=Dashboard!$L$1,M1925,(M1925*GOOGLEFINANCE(""CURRENCY:""&amp;Q1925&amp;""""&amp;Dashboard!$L$1&amp;""""))/100),IF(Q1925=Dashboard!$L$1,M1925,M1925*GOOGLEFINANCE(""CURRENCY:""&amp;Q1925&amp;""""&amp;Dashboard!$"&amp;"L$1&amp;""""))),M1925))"),"")</f>
        <v/>
      </c>
      <c r="T1925" s="264" t="str">
        <f t="shared" si="4"/>
        <v/>
      </c>
      <c r="U1925" s="264" t="str">
        <f t="shared" si="5"/>
        <v/>
      </c>
      <c r="V1925" s="264" t="str">
        <f t="shared" si="6"/>
        <v/>
      </c>
      <c r="W1925" s="267" t="str">
        <f t="shared" si="8"/>
        <v/>
      </c>
      <c r="X1925" s="264" t="str">
        <f t="shared" si="7"/>
        <v/>
      </c>
    </row>
    <row r="1926" ht="15.75" customHeight="1">
      <c r="A1926" s="258"/>
      <c r="B1926" s="258"/>
      <c r="C1926" s="269"/>
      <c r="D1926" s="258"/>
      <c r="E1926" s="258"/>
      <c r="F1926" s="258"/>
      <c r="G1926" s="258"/>
      <c r="H1926" s="271"/>
      <c r="I1926" s="258"/>
      <c r="J1926" s="272"/>
      <c r="K1926" s="260"/>
      <c r="L1926" s="261"/>
      <c r="M1926" s="262" t="str">
        <f t="shared" si="1"/>
        <v/>
      </c>
      <c r="N1926" s="263" t="str">
        <f t="shared" si="2"/>
        <v/>
      </c>
      <c r="O1926" s="264" t="str">
        <f t="shared" si="3"/>
        <v/>
      </c>
      <c r="P1926" s="265" t="str">
        <f>IFERROR(__xludf.DUMMYFUNCTION("IF(ISBLANK(A1926),"""",IFERROR(IF(H1926=""Sell"",VLOOKUP(9^99,FILTER({ROW(P$2:P1925),P$2:P1925},D$2:D1925=D1926),2),(VLOOKUP(9^99,FILTER({ROW(P$2:P1925),P$2:P1925},D$2:D1925=D1926),2)*VLOOKUP(9^99,FILTER({ROW(O$2:O1925),O$2:O1925},D$2:D1925=D1926),2)-N192"&amp;"6)/O1926),J1926))"),"")</f>
        <v/>
      </c>
      <c r="Q1926" s="264" t="str">
        <f>IFERROR(__xludf.DUMMYFUNCTION("IFERROR(IF(F1926=""Crypto"",B1926,(IF(ISBLANK(D1926),"""",IF(D1926=""Cash"",B1926,IF(GOOGLEFINANCE(D1926,""CURRENCY"")=""GBX"",""GBP"",GOOGLEFINANCE(D1926,""CURRENCY"")))))),B1926)"),"")</f>
        <v/>
      </c>
      <c r="R1926" s="263" t="str">
        <f>IFERROR(__xludf.DUMMYFUNCTION("IF(ISBLANK(A1926),"""",IFERROR(IF(OR(Q1926=""GPB"",Q1926=""ZAR""),IF(Q1926=Dashboard!$L$1,K1926,(K1926*GOOGLEFINANCE(""CURRENCY:""&amp;Q1926&amp;""""&amp;Dashboard!$L$1&amp;""""))/100),IF(Q1926=Dashboard!$L$1,K1926,K1926*GOOGLEFINANCE(""CURRENCY:""&amp;Q1926&amp;""""&amp;Dashboard!$"&amp;"L$1&amp;""""))),K1926))"),"")</f>
        <v/>
      </c>
      <c r="S1926" s="266" t="str">
        <f>IFERROR(__xludf.DUMMYFUNCTION("IF(ISBLANK(A1926),"""",IFERROR(IF(OR(Q1926=""GPB"",Q1926=""ZAR""),IF(Q1926=Dashboard!$L$1,M1926,(M1926*GOOGLEFINANCE(""CURRENCY:""&amp;Q1926&amp;""""&amp;Dashboard!$L$1&amp;""""))/100),IF(Q1926=Dashboard!$L$1,M1926,M1926*GOOGLEFINANCE(""CURRENCY:""&amp;Q1926&amp;""""&amp;Dashboard!$"&amp;"L$1&amp;""""))),M1926))"),"")</f>
        <v/>
      </c>
      <c r="T1926" s="264" t="str">
        <f t="shared" si="4"/>
        <v/>
      </c>
      <c r="U1926" s="264" t="str">
        <f t="shared" si="5"/>
        <v/>
      </c>
      <c r="V1926" s="264" t="str">
        <f t="shared" si="6"/>
        <v/>
      </c>
      <c r="W1926" s="267" t="str">
        <f t="shared" si="8"/>
        <v/>
      </c>
      <c r="X1926" s="264" t="str">
        <f t="shared" si="7"/>
        <v/>
      </c>
    </row>
    <row r="1927" ht="15.75" customHeight="1">
      <c r="A1927" s="258"/>
      <c r="B1927" s="258"/>
      <c r="C1927" s="269"/>
      <c r="D1927" s="258"/>
      <c r="E1927" s="258"/>
      <c r="F1927" s="258"/>
      <c r="G1927" s="258"/>
      <c r="H1927" s="271"/>
      <c r="I1927" s="258"/>
      <c r="J1927" s="272"/>
      <c r="K1927" s="260"/>
      <c r="L1927" s="261"/>
      <c r="M1927" s="262" t="str">
        <f t="shared" si="1"/>
        <v/>
      </c>
      <c r="N1927" s="263" t="str">
        <f t="shared" si="2"/>
        <v/>
      </c>
      <c r="O1927" s="264" t="str">
        <f t="shared" si="3"/>
        <v/>
      </c>
      <c r="P1927" s="265" t="str">
        <f>IFERROR(__xludf.DUMMYFUNCTION("IF(ISBLANK(A1927),"""",IFERROR(IF(H1927=""Sell"",VLOOKUP(9^99,FILTER({ROW(P$2:P1926),P$2:P1926},D$2:D1926=D1927),2),(VLOOKUP(9^99,FILTER({ROW(P$2:P1926),P$2:P1926},D$2:D1926=D1927),2)*VLOOKUP(9^99,FILTER({ROW(O$2:O1926),O$2:O1926},D$2:D1926=D1927),2)-N192"&amp;"7)/O1927),J1927))"),"")</f>
        <v/>
      </c>
      <c r="Q1927" s="264" t="str">
        <f>IFERROR(__xludf.DUMMYFUNCTION("IFERROR(IF(F1927=""Crypto"",B1927,(IF(ISBLANK(D1927),"""",IF(D1927=""Cash"",B1927,IF(GOOGLEFINANCE(D1927,""CURRENCY"")=""GBX"",""GBP"",GOOGLEFINANCE(D1927,""CURRENCY"")))))),B1927)"),"")</f>
        <v/>
      </c>
      <c r="R1927" s="263" t="str">
        <f>IFERROR(__xludf.DUMMYFUNCTION("IF(ISBLANK(A1927),"""",IFERROR(IF(OR(Q1927=""GPB"",Q1927=""ZAR""),IF(Q1927=Dashboard!$L$1,K1927,(K1927*GOOGLEFINANCE(""CURRENCY:""&amp;Q1927&amp;""""&amp;Dashboard!$L$1&amp;""""))/100),IF(Q1927=Dashboard!$L$1,K1927,K1927*GOOGLEFINANCE(""CURRENCY:""&amp;Q1927&amp;""""&amp;Dashboard!$"&amp;"L$1&amp;""""))),K1927))"),"")</f>
        <v/>
      </c>
      <c r="S1927" s="266" t="str">
        <f>IFERROR(__xludf.DUMMYFUNCTION("IF(ISBLANK(A1927),"""",IFERROR(IF(OR(Q1927=""GPB"",Q1927=""ZAR""),IF(Q1927=Dashboard!$L$1,M1927,(M1927*GOOGLEFINANCE(""CURRENCY:""&amp;Q1927&amp;""""&amp;Dashboard!$L$1&amp;""""))/100),IF(Q1927=Dashboard!$L$1,M1927,M1927*GOOGLEFINANCE(""CURRENCY:""&amp;Q1927&amp;""""&amp;Dashboard!$"&amp;"L$1&amp;""""))),M1927))"),"")</f>
        <v/>
      </c>
      <c r="T1927" s="264" t="str">
        <f t="shared" si="4"/>
        <v/>
      </c>
      <c r="U1927" s="264" t="str">
        <f t="shared" si="5"/>
        <v/>
      </c>
      <c r="V1927" s="264" t="str">
        <f t="shared" si="6"/>
        <v/>
      </c>
      <c r="W1927" s="267" t="str">
        <f t="shared" si="8"/>
        <v/>
      </c>
      <c r="X1927" s="264" t="str">
        <f t="shared" si="7"/>
        <v/>
      </c>
    </row>
    <row r="1928" ht="15.75" customHeight="1">
      <c r="A1928" s="258"/>
      <c r="B1928" s="258"/>
      <c r="C1928" s="269"/>
      <c r="D1928" s="258"/>
      <c r="E1928" s="258"/>
      <c r="F1928" s="258"/>
      <c r="G1928" s="258"/>
      <c r="H1928" s="271"/>
      <c r="I1928" s="258"/>
      <c r="J1928" s="272"/>
      <c r="K1928" s="260"/>
      <c r="L1928" s="261"/>
      <c r="M1928" s="262" t="str">
        <f t="shared" si="1"/>
        <v/>
      </c>
      <c r="N1928" s="263" t="str">
        <f t="shared" si="2"/>
        <v/>
      </c>
      <c r="O1928" s="264" t="str">
        <f t="shared" si="3"/>
        <v/>
      </c>
      <c r="P1928" s="265" t="str">
        <f>IFERROR(__xludf.DUMMYFUNCTION("IF(ISBLANK(A1928),"""",IFERROR(IF(H1928=""Sell"",VLOOKUP(9^99,FILTER({ROW(P$2:P1927),P$2:P1927},D$2:D1927=D1928),2),(VLOOKUP(9^99,FILTER({ROW(P$2:P1927),P$2:P1927},D$2:D1927=D1928),2)*VLOOKUP(9^99,FILTER({ROW(O$2:O1927),O$2:O1927},D$2:D1927=D1928),2)-N192"&amp;"8)/O1928),J1928))"),"")</f>
        <v/>
      </c>
      <c r="Q1928" s="264" t="str">
        <f>IFERROR(__xludf.DUMMYFUNCTION("IFERROR(IF(F1928=""Crypto"",B1928,(IF(ISBLANK(D1928),"""",IF(D1928=""Cash"",B1928,IF(GOOGLEFINANCE(D1928,""CURRENCY"")=""GBX"",""GBP"",GOOGLEFINANCE(D1928,""CURRENCY"")))))),B1928)"),"")</f>
        <v/>
      </c>
      <c r="R1928" s="263" t="str">
        <f>IFERROR(__xludf.DUMMYFUNCTION("IF(ISBLANK(A1928),"""",IFERROR(IF(OR(Q1928=""GPB"",Q1928=""ZAR""),IF(Q1928=Dashboard!$L$1,K1928,(K1928*GOOGLEFINANCE(""CURRENCY:""&amp;Q1928&amp;""""&amp;Dashboard!$L$1&amp;""""))/100),IF(Q1928=Dashboard!$L$1,K1928,K1928*GOOGLEFINANCE(""CURRENCY:""&amp;Q1928&amp;""""&amp;Dashboard!$"&amp;"L$1&amp;""""))),K1928))"),"")</f>
        <v/>
      </c>
      <c r="S1928" s="266" t="str">
        <f>IFERROR(__xludf.DUMMYFUNCTION("IF(ISBLANK(A1928),"""",IFERROR(IF(OR(Q1928=""GPB"",Q1928=""ZAR""),IF(Q1928=Dashboard!$L$1,M1928,(M1928*GOOGLEFINANCE(""CURRENCY:""&amp;Q1928&amp;""""&amp;Dashboard!$L$1&amp;""""))/100),IF(Q1928=Dashboard!$L$1,M1928,M1928*GOOGLEFINANCE(""CURRENCY:""&amp;Q1928&amp;""""&amp;Dashboard!$"&amp;"L$1&amp;""""))),M1928))"),"")</f>
        <v/>
      </c>
      <c r="T1928" s="264" t="str">
        <f t="shared" si="4"/>
        <v/>
      </c>
      <c r="U1928" s="264" t="str">
        <f t="shared" si="5"/>
        <v/>
      </c>
      <c r="V1928" s="264" t="str">
        <f t="shared" si="6"/>
        <v/>
      </c>
      <c r="W1928" s="267" t="str">
        <f t="shared" si="8"/>
        <v/>
      </c>
      <c r="X1928" s="264" t="str">
        <f t="shared" si="7"/>
        <v/>
      </c>
    </row>
    <row r="1929" ht="15.75" customHeight="1">
      <c r="A1929" s="258"/>
      <c r="B1929" s="258"/>
      <c r="C1929" s="269"/>
      <c r="D1929" s="258"/>
      <c r="E1929" s="258"/>
      <c r="F1929" s="258"/>
      <c r="G1929" s="258"/>
      <c r="H1929" s="271"/>
      <c r="I1929" s="258"/>
      <c r="J1929" s="272"/>
      <c r="K1929" s="260"/>
      <c r="L1929" s="261"/>
      <c r="M1929" s="262" t="str">
        <f t="shared" si="1"/>
        <v/>
      </c>
      <c r="N1929" s="263" t="str">
        <f t="shared" si="2"/>
        <v/>
      </c>
      <c r="O1929" s="264" t="str">
        <f t="shared" si="3"/>
        <v/>
      </c>
      <c r="P1929" s="265" t="str">
        <f>IFERROR(__xludf.DUMMYFUNCTION("IF(ISBLANK(A1929),"""",IFERROR(IF(H1929=""Sell"",VLOOKUP(9^99,FILTER({ROW(P$2:P1928),P$2:P1928},D$2:D1928=D1929),2),(VLOOKUP(9^99,FILTER({ROW(P$2:P1928),P$2:P1928},D$2:D1928=D1929),2)*VLOOKUP(9^99,FILTER({ROW(O$2:O1928),O$2:O1928},D$2:D1928=D1929),2)-N192"&amp;"9)/O1929),J1929))"),"")</f>
        <v/>
      </c>
      <c r="Q1929" s="264" t="str">
        <f>IFERROR(__xludf.DUMMYFUNCTION("IFERROR(IF(F1929=""Crypto"",B1929,(IF(ISBLANK(D1929),"""",IF(D1929=""Cash"",B1929,IF(GOOGLEFINANCE(D1929,""CURRENCY"")=""GBX"",""GBP"",GOOGLEFINANCE(D1929,""CURRENCY"")))))),B1929)"),"")</f>
        <v/>
      </c>
      <c r="R1929" s="263" t="str">
        <f>IFERROR(__xludf.DUMMYFUNCTION("IF(ISBLANK(A1929),"""",IFERROR(IF(OR(Q1929=""GPB"",Q1929=""ZAR""),IF(Q1929=Dashboard!$L$1,K1929,(K1929*GOOGLEFINANCE(""CURRENCY:""&amp;Q1929&amp;""""&amp;Dashboard!$L$1&amp;""""))/100),IF(Q1929=Dashboard!$L$1,K1929,K1929*GOOGLEFINANCE(""CURRENCY:""&amp;Q1929&amp;""""&amp;Dashboard!$"&amp;"L$1&amp;""""))),K1929))"),"")</f>
        <v/>
      </c>
      <c r="S1929" s="266" t="str">
        <f>IFERROR(__xludf.DUMMYFUNCTION("IF(ISBLANK(A1929),"""",IFERROR(IF(OR(Q1929=""GPB"",Q1929=""ZAR""),IF(Q1929=Dashboard!$L$1,M1929,(M1929*GOOGLEFINANCE(""CURRENCY:""&amp;Q1929&amp;""""&amp;Dashboard!$L$1&amp;""""))/100),IF(Q1929=Dashboard!$L$1,M1929,M1929*GOOGLEFINANCE(""CURRENCY:""&amp;Q1929&amp;""""&amp;Dashboard!$"&amp;"L$1&amp;""""))),M1929))"),"")</f>
        <v/>
      </c>
      <c r="T1929" s="264" t="str">
        <f t="shared" si="4"/>
        <v/>
      </c>
      <c r="U1929" s="264" t="str">
        <f t="shared" si="5"/>
        <v/>
      </c>
      <c r="V1929" s="264" t="str">
        <f t="shared" si="6"/>
        <v/>
      </c>
      <c r="W1929" s="267" t="str">
        <f t="shared" si="8"/>
        <v/>
      </c>
      <c r="X1929" s="264" t="str">
        <f t="shared" si="7"/>
        <v/>
      </c>
    </row>
    <row r="1930" ht="15.75" customHeight="1">
      <c r="A1930" s="258"/>
      <c r="B1930" s="258"/>
      <c r="C1930" s="269"/>
      <c r="D1930" s="258"/>
      <c r="E1930" s="258"/>
      <c r="F1930" s="258"/>
      <c r="G1930" s="258"/>
      <c r="H1930" s="271"/>
      <c r="I1930" s="258"/>
      <c r="J1930" s="272"/>
      <c r="K1930" s="260"/>
      <c r="L1930" s="261"/>
      <c r="M1930" s="262" t="str">
        <f t="shared" si="1"/>
        <v/>
      </c>
      <c r="N1930" s="263" t="str">
        <f t="shared" si="2"/>
        <v/>
      </c>
      <c r="O1930" s="264" t="str">
        <f t="shared" si="3"/>
        <v/>
      </c>
      <c r="P1930" s="265" t="str">
        <f>IFERROR(__xludf.DUMMYFUNCTION("IF(ISBLANK(A1930),"""",IFERROR(IF(H1930=""Sell"",VLOOKUP(9^99,FILTER({ROW(P$2:P1929),P$2:P1929},D$2:D1929=D1930),2),(VLOOKUP(9^99,FILTER({ROW(P$2:P1929),P$2:P1929},D$2:D1929=D1930),2)*VLOOKUP(9^99,FILTER({ROW(O$2:O1929),O$2:O1929},D$2:D1929=D1930),2)-N193"&amp;"0)/O1930),J1930))"),"")</f>
        <v/>
      </c>
      <c r="Q1930" s="264" t="str">
        <f>IFERROR(__xludf.DUMMYFUNCTION("IFERROR(IF(F1930=""Crypto"",B1930,(IF(ISBLANK(D1930),"""",IF(D1930=""Cash"",B1930,IF(GOOGLEFINANCE(D1930,""CURRENCY"")=""GBX"",""GBP"",GOOGLEFINANCE(D1930,""CURRENCY"")))))),B1930)"),"")</f>
        <v/>
      </c>
      <c r="R1930" s="263" t="str">
        <f>IFERROR(__xludf.DUMMYFUNCTION("IF(ISBLANK(A1930),"""",IFERROR(IF(OR(Q1930=""GPB"",Q1930=""ZAR""),IF(Q1930=Dashboard!$L$1,K1930,(K1930*GOOGLEFINANCE(""CURRENCY:""&amp;Q1930&amp;""""&amp;Dashboard!$L$1&amp;""""))/100),IF(Q1930=Dashboard!$L$1,K1930,K1930*GOOGLEFINANCE(""CURRENCY:""&amp;Q1930&amp;""""&amp;Dashboard!$"&amp;"L$1&amp;""""))),K1930))"),"")</f>
        <v/>
      </c>
      <c r="S1930" s="266" t="str">
        <f>IFERROR(__xludf.DUMMYFUNCTION("IF(ISBLANK(A1930),"""",IFERROR(IF(OR(Q1930=""GPB"",Q1930=""ZAR""),IF(Q1930=Dashboard!$L$1,M1930,(M1930*GOOGLEFINANCE(""CURRENCY:""&amp;Q1930&amp;""""&amp;Dashboard!$L$1&amp;""""))/100),IF(Q1930=Dashboard!$L$1,M1930,M1930*GOOGLEFINANCE(""CURRENCY:""&amp;Q1930&amp;""""&amp;Dashboard!$"&amp;"L$1&amp;""""))),M1930))"),"")</f>
        <v/>
      </c>
      <c r="T1930" s="264" t="str">
        <f t="shared" si="4"/>
        <v/>
      </c>
      <c r="U1930" s="264" t="str">
        <f t="shared" si="5"/>
        <v/>
      </c>
      <c r="V1930" s="264" t="str">
        <f t="shared" si="6"/>
        <v/>
      </c>
      <c r="W1930" s="267" t="str">
        <f t="shared" si="8"/>
        <v/>
      </c>
      <c r="X1930" s="264" t="str">
        <f t="shared" si="7"/>
        <v/>
      </c>
    </row>
    <row r="1931" ht="15.75" customHeight="1">
      <c r="A1931" s="258"/>
      <c r="B1931" s="258"/>
      <c r="C1931" s="269"/>
      <c r="D1931" s="258"/>
      <c r="E1931" s="258"/>
      <c r="F1931" s="258"/>
      <c r="G1931" s="258"/>
      <c r="H1931" s="271"/>
      <c r="I1931" s="258"/>
      <c r="J1931" s="272"/>
      <c r="K1931" s="260"/>
      <c r="L1931" s="261"/>
      <c r="M1931" s="262" t="str">
        <f t="shared" si="1"/>
        <v/>
      </c>
      <c r="N1931" s="263" t="str">
        <f t="shared" si="2"/>
        <v/>
      </c>
      <c r="O1931" s="264" t="str">
        <f t="shared" si="3"/>
        <v/>
      </c>
      <c r="P1931" s="265" t="str">
        <f>IFERROR(__xludf.DUMMYFUNCTION("IF(ISBLANK(A1931),"""",IFERROR(IF(H1931=""Sell"",VLOOKUP(9^99,FILTER({ROW(P$2:P1930),P$2:P1930},D$2:D1930=D1931),2),(VLOOKUP(9^99,FILTER({ROW(P$2:P1930),P$2:P1930},D$2:D1930=D1931),2)*VLOOKUP(9^99,FILTER({ROW(O$2:O1930),O$2:O1930},D$2:D1930=D1931),2)-N193"&amp;"1)/O1931),J1931))"),"")</f>
        <v/>
      </c>
      <c r="Q1931" s="264" t="str">
        <f>IFERROR(__xludf.DUMMYFUNCTION("IFERROR(IF(F1931=""Crypto"",B1931,(IF(ISBLANK(D1931),"""",IF(D1931=""Cash"",B1931,IF(GOOGLEFINANCE(D1931,""CURRENCY"")=""GBX"",""GBP"",GOOGLEFINANCE(D1931,""CURRENCY"")))))),B1931)"),"")</f>
        <v/>
      </c>
      <c r="R1931" s="263" t="str">
        <f>IFERROR(__xludf.DUMMYFUNCTION("IF(ISBLANK(A1931),"""",IFERROR(IF(OR(Q1931=""GPB"",Q1931=""ZAR""),IF(Q1931=Dashboard!$L$1,K1931,(K1931*GOOGLEFINANCE(""CURRENCY:""&amp;Q1931&amp;""""&amp;Dashboard!$L$1&amp;""""))/100),IF(Q1931=Dashboard!$L$1,K1931,K1931*GOOGLEFINANCE(""CURRENCY:""&amp;Q1931&amp;""""&amp;Dashboard!$"&amp;"L$1&amp;""""))),K1931))"),"")</f>
        <v/>
      </c>
      <c r="S1931" s="266" t="str">
        <f>IFERROR(__xludf.DUMMYFUNCTION("IF(ISBLANK(A1931),"""",IFERROR(IF(OR(Q1931=""GPB"",Q1931=""ZAR""),IF(Q1931=Dashboard!$L$1,M1931,(M1931*GOOGLEFINANCE(""CURRENCY:""&amp;Q1931&amp;""""&amp;Dashboard!$L$1&amp;""""))/100),IF(Q1931=Dashboard!$L$1,M1931,M1931*GOOGLEFINANCE(""CURRENCY:""&amp;Q1931&amp;""""&amp;Dashboard!$"&amp;"L$1&amp;""""))),M1931))"),"")</f>
        <v/>
      </c>
      <c r="T1931" s="264" t="str">
        <f t="shared" si="4"/>
        <v/>
      </c>
      <c r="U1931" s="264" t="str">
        <f t="shared" si="5"/>
        <v/>
      </c>
      <c r="V1931" s="264" t="str">
        <f t="shared" si="6"/>
        <v/>
      </c>
      <c r="W1931" s="267" t="str">
        <f t="shared" si="8"/>
        <v/>
      </c>
      <c r="X1931" s="264" t="str">
        <f t="shared" si="7"/>
        <v/>
      </c>
    </row>
    <row r="1932" ht="15.75" customHeight="1">
      <c r="A1932" s="258"/>
      <c r="B1932" s="258"/>
      <c r="C1932" s="269"/>
      <c r="D1932" s="258"/>
      <c r="E1932" s="258"/>
      <c r="F1932" s="258"/>
      <c r="G1932" s="258"/>
      <c r="H1932" s="271"/>
      <c r="I1932" s="258"/>
      <c r="J1932" s="272"/>
      <c r="K1932" s="260"/>
      <c r="L1932" s="261"/>
      <c r="M1932" s="262" t="str">
        <f t="shared" si="1"/>
        <v/>
      </c>
      <c r="N1932" s="263" t="str">
        <f t="shared" si="2"/>
        <v/>
      </c>
      <c r="O1932" s="264" t="str">
        <f t="shared" si="3"/>
        <v/>
      </c>
      <c r="P1932" s="265" t="str">
        <f>IFERROR(__xludf.DUMMYFUNCTION("IF(ISBLANK(A1932),"""",IFERROR(IF(H1932=""Sell"",VLOOKUP(9^99,FILTER({ROW(P$2:P1931),P$2:P1931},D$2:D1931=D1932),2),(VLOOKUP(9^99,FILTER({ROW(P$2:P1931),P$2:P1931},D$2:D1931=D1932),2)*VLOOKUP(9^99,FILTER({ROW(O$2:O1931),O$2:O1931},D$2:D1931=D1932),2)-N193"&amp;"2)/O1932),J1932))"),"")</f>
        <v/>
      </c>
      <c r="Q1932" s="264" t="str">
        <f>IFERROR(__xludf.DUMMYFUNCTION("IFERROR(IF(F1932=""Crypto"",B1932,(IF(ISBLANK(D1932),"""",IF(D1932=""Cash"",B1932,IF(GOOGLEFINANCE(D1932,""CURRENCY"")=""GBX"",""GBP"",GOOGLEFINANCE(D1932,""CURRENCY"")))))),B1932)"),"")</f>
        <v/>
      </c>
      <c r="R1932" s="263" t="str">
        <f>IFERROR(__xludf.DUMMYFUNCTION("IF(ISBLANK(A1932),"""",IFERROR(IF(OR(Q1932=""GPB"",Q1932=""ZAR""),IF(Q1932=Dashboard!$L$1,K1932,(K1932*GOOGLEFINANCE(""CURRENCY:""&amp;Q1932&amp;""""&amp;Dashboard!$L$1&amp;""""))/100),IF(Q1932=Dashboard!$L$1,K1932,K1932*GOOGLEFINANCE(""CURRENCY:""&amp;Q1932&amp;""""&amp;Dashboard!$"&amp;"L$1&amp;""""))),K1932))"),"")</f>
        <v/>
      </c>
      <c r="S1932" s="266" t="str">
        <f>IFERROR(__xludf.DUMMYFUNCTION("IF(ISBLANK(A1932),"""",IFERROR(IF(OR(Q1932=""GPB"",Q1932=""ZAR""),IF(Q1932=Dashboard!$L$1,M1932,(M1932*GOOGLEFINANCE(""CURRENCY:""&amp;Q1932&amp;""""&amp;Dashboard!$L$1&amp;""""))/100),IF(Q1932=Dashboard!$L$1,M1932,M1932*GOOGLEFINANCE(""CURRENCY:""&amp;Q1932&amp;""""&amp;Dashboard!$"&amp;"L$1&amp;""""))),M1932))"),"")</f>
        <v/>
      </c>
      <c r="T1932" s="264" t="str">
        <f t="shared" si="4"/>
        <v/>
      </c>
      <c r="U1932" s="264" t="str">
        <f t="shared" si="5"/>
        <v/>
      </c>
      <c r="V1932" s="264" t="str">
        <f t="shared" si="6"/>
        <v/>
      </c>
      <c r="W1932" s="267" t="str">
        <f t="shared" si="8"/>
        <v/>
      </c>
      <c r="X1932" s="264" t="str">
        <f t="shared" si="7"/>
        <v/>
      </c>
    </row>
    <row r="1933" ht="15.75" customHeight="1">
      <c r="A1933" s="258"/>
      <c r="B1933" s="258"/>
      <c r="C1933" s="269"/>
      <c r="D1933" s="258"/>
      <c r="E1933" s="258"/>
      <c r="F1933" s="258"/>
      <c r="G1933" s="258"/>
      <c r="H1933" s="271"/>
      <c r="I1933" s="258"/>
      <c r="J1933" s="272"/>
      <c r="K1933" s="260"/>
      <c r="L1933" s="261"/>
      <c r="M1933" s="262" t="str">
        <f t="shared" si="1"/>
        <v/>
      </c>
      <c r="N1933" s="263" t="str">
        <f t="shared" si="2"/>
        <v/>
      </c>
      <c r="O1933" s="264" t="str">
        <f t="shared" si="3"/>
        <v/>
      </c>
      <c r="P1933" s="265" t="str">
        <f>IFERROR(__xludf.DUMMYFUNCTION("IF(ISBLANK(A1933),"""",IFERROR(IF(H1933=""Sell"",VLOOKUP(9^99,FILTER({ROW(P$2:P1932),P$2:P1932},D$2:D1932=D1933),2),(VLOOKUP(9^99,FILTER({ROW(P$2:P1932),P$2:P1932},D$2:D1932=D1933),2)*VLOOKUP(9^99,FILTER({ROW(O$2:O1932),O$2:O1932},D$2:D1932=D1933),2)-N193"&amp;"3)/O1933),J1933))"),"")</f>
        <v/>
      </c>
      <c r="Q1933" s="264" t="str">
        <f>IFERROR(__xludf.DUMMYFUNCTION("IFERROR(IF(F1933=""Crypto"",B1933,(IF(ISBLANK(D1933),"""",IF(D1933=""Cash"",B1933,IF(GOOGLEFINANCE(D1933,""CURRENCY"")=""GBX"",""GBP"",GOOGLEFINANCE(D1933,""CURRENCY"")))))),B1933)"),"")</f>
        <v/>
      </c>
      <c r="R1933" s="263" t="str">
        <f>IFERROR(__xludf.DUMMYFUNCTION("IF(ISBLANK(A1933),"""",IFERROR(IF(OR(Q1933=""GPB"",Q1933=""ZAR""),IF(Q1933=Dashboard!$L$1,K1933,(K1933*GOOGLEFINANCE(""CURRENCY:""&amp;Q1933&amp;""""&amp;Dashboard!$L$1&amp;""""))/100),IF(Q1933=Dashboard!$L$1,K1933,K1933*GOOGLEFINANCE(""CURRENCY:""&amp;Q1933&amp;""""&amp;Dashboard!$"&amp;"L$1&amp;""""))),K1933))"),"")</f>
        <v/>
      </c>
      <c r="S1933" s="266" t="str">
        <f>IFERROR(__xludf.DUMMYFUNCTION("IF(ISBLANK(A1933),"""",IFERROR(IF(OR(Q1933=""GPB"",Q1933=""ZAR""),IF(Q1933=Dashboard!$L$1,M1933,(M1933*GOOGLEFINANCE(""CURRENCY:""&amp;Q1933&amp;""""&amp;Dashboard!$L$1&amp;""""))/100),IF(Q1933=Dashboard!$L$1,M1933,M1933*GOOGLEFINANCE(""CURRENCY:""&amp;Q1933&amp;""""&amp;Dashboard!$"&amp;"L$1&amp;""""))),M1933))"),"")</f>
        <v/>
      </c>
      <c r="T1933" s="264" t="str">
        <f t="shared" si="4"/>
        <v/>
      </c>
      <c r="U1933" s="264" t="str">
        <f t="shared" si="5"/>
        <v/>
      </c>
      <c r="V1933" s="264" t="str">
        <f t="shared" si="6"/>
        <v/>
      </c>
      <c r="W1933" s="267" t="str">
        <f t="shared" si="8"/>
        <v/>
      </c>
      <c r="X1933" s="264" t="str">
        <f t="shared" si="7"/>
        <v/>
      </c>
    </row>
    <row r="1934" ht="15.75" customHeight="1">
      <c r="A1934" s="258"/>
      <c r="B1934" s="258"/>
      <c r="C1934" s="269"/>
      <c r="D1934" s="258"/>
      <c r="E1934" s="258"/>
      <c r="F1934" s="258"/>
      <c r="G1934" s="258"/>
      <c r="H1934" s="271"/>
      <c r="I1934" s="258"/>
      <c r="J1934" s="272"/>
      <c r="K1934" s="260"/>
      <c r="L1934" s="261"/>
      <c r="M1934" s="262" t="str">
        <f t="shared" si="1"/>
        <v/>
      </c>
      <c r="N1934" s="263" t="str">
        <f t="shared" si="2"/>
        <v/>
      </c>
      <c r="O1934" s="264" t="str">
        <f t="shared" si="3"/>
        <v/>
      </c>
      <c r="P1934" s="265" t="str">
        <f>IFERROR(__xludf.DUMMYFUNCTION("IF(ISBLANK(A1934),"""",IFERROR(IF(H1934=""Sell"",VLOOKUP(9^99,FILTER({ROW(P$2:P1933),P$2:P1933},D$2:D1933=D1934),2),(VLOOKUP(9^99,FILTER({ROW(P$2:P1933),P$2:P1933},D$2:D1933=D1934),2)*VLOOKUP(9^99,FILTER({ROW(O$2:O1933),O$2:O1933},D$2:D1933=D1934),2)-N193"&amp;"4)/O1934),J1934))"),"")</f>
        <v/>
      </c>
      <c r="Q1934" s="264" t="str">
        <f>IFERROR(__xludf.DUMMYFUNCTION("IFERROR(IF(F1934=""Crypto"",B1934,(IF(ISBLANK(D1934),"""",IF(D1934=""Cash"",B1934,IF(GOOGLEFINANCE(D1934,""CURRENCY"")=""GBX"",""GBP"",GOOGLEFINANCE(D1934,""CURRENCY"")))))),B1934)"),"")</f>
        <v/>
      </c>
      <c r="R1934" s="263" t="str">
        <f>IFERROR(__xludf.DUMMYFUNCTION("IF(ISBLANK(A1934),"""",IFERROR(IF(OR(Q1934=""GPB"",Q1934=""ZAR""),IF(Q1934=Dashboard!$L$1,K1934,(K1934*GOOGLEFINANCE(""CURRENCY:""&amp;Q1934&amp;""""&amp;Dashboard!$L$1&amp;""""))/100),IF(Q1934=Dashboard!$L$1,K1934,K1934*GOOGLEFINANCE(""CURRENCY:""&amp;Q1934&amp;""""&amp;Dashboard!$"&amp;"L$1&amp;""""))),K1934))"),"")</f>
        <v/>
      </c>
      <c r="S1934" s="266" t="str">
        <f>IFERROR(__xludf.DUMMYFUNCTION("IF(ISBLANK(A1934),"""",IFERROR(IF(OR(Q1934=""GPB"",Q1934=""ZAR""),IF(Q1934=Dashboard!$L$1,M1934,(M1934*GOOGLEFINANCE(""CURRENCY:""&amp;Q1934&amp;""""&amp;Dashboard!$L$1&amp;""""))/100),IF(Q1934=Dashboard!$L$1,M1934,M1934*GOOGLEFINANCE(""CURRENCY:""&amp;Q1934&amp;""""&amp;Dashboard!$"&amp;"L$1&amp;""""))),M1934))"),"")</f>
        <v/>
      </c>
      <c r="T1934" s="264" t="str">
        <f t="shared" si="4"/>
        <v/>
      </c>
      <c r="U1934" s="264" t="str">
        <f t="shared" si="5"/>
        <v/>
      </c>
      <c r="V1934" s="264" t="str">
        <f t="shared" si="6"/>
        <v/>
      </c>
      <c r="W1934" s="267" t="str">
        <f t="shared" si="8"/>
        <v/>
      </c>
      <c r="X1934" s="264" t="str">
        <f t="shared" si="7"/>
        <v/>
      </c>
    </row>
    <row r="1935" ht="15.75" customHeight="1">
      <c r="A1935" s="258"/>
      <c r="B1935" s="258"/>
      <c r="C1935" s="269"/>
      <c r="D1935" s="258"/>
      <c r="E1935" s="258"/>
      <c r="F1935" s="258"/>
      <c r="G1935" s="258"/>
      <c r="H1935" s="271"/>
      <c r="I1935" s="258"/>
      <c r="J1935" s="272"/>
      <c r="K1935" s="260"/>
      <c r="L1935" s="261"/>
      <c r="M1935" s="262" t="str">
        <f t="shared" si="1"/>
        <v/>
      </c>
      <c r="N1935" s="263" t="str">
        <f t="shared" si="2"/>
        <v/>
      </c>
      <c r="O1935" s="264" t="str">
        <f t="shared" si="3"/>
        <v/>
      </c>
      <c r="P1935" s="265" t="str">
        <f>IFERROR(__xludf.DUMMYFUNCTION("IF(ISBLANK(A1935),"""",IFERROR(IF(H1935=""Sell"",VLOOKUP(9^99,FILTER({ROW(P$2:P1934),P$2:P1934},D$2:D1934=D1935),2),(VLOOKUP(9^99,FILTER({ROW(P$2:P1934),P$2:P1934},D$2:D1934=D1935),2)*VLOOKUP(9^99,FILTER({ROW(O$2:O1934),O$2:O1934},D$2:D1934=D1935),2)-N193"&amp;"5)/O1935),J1935))"),"")</f>
        <v/>
      </c>
      <c r="Q1935" s="264" t="str">
        <f>IFERROR(__xludf.DUMMYFUNCTION("IFERROR(IF(F1935=""Crypto"",B1935,(IF(ISBLANK(D1935),"""",IF(D1935=""Cash"",B1935,IF(GOOGLEFINANCE(D1935,""CURRENCY"")=""GBX"",""GBP"",GOOGLEFINANCE(D1935,""CURRENCY"")))))),B1935)"),"")</f>
        <v/>
      </c>
      <c r="R1935" s="263" t="str">
        <f>IFERROR(__xludf.DUMMYFUNCTION("IF(ISBLANK(A1935),"""",IFERROR(IF(OR(Q1935=""GPB"",Q1935=""ZAR""),IF(Q1935=Dashboard!$L$1,K1935,(K1935*GOOGLEFINANCE(""CURRENCY:""&amp;Q1935&amp;""""&amp;Dashboard!$L$1&amp;""""))/100),IF(Q1935=Dashboard!$L$1,K1935,K1935*GOOGLEFINANCE(""CURRENCY:""&amp;Q1935&amp;""""&amp;Dashboard!$"&amp;"L$1&amp;""""))),K1935))"),"")</f>
        <v/>
      </c>
      <c r="S1935" s="266" t="str">
        <f>IFERROR(__xludf.DUMMYFUNCTION("IF(ISBLANK(A1935),"""",IFERROR(IF(OR(Q1935=""GPB"",Q1935=""ZAR""),IF(Q1935=Dashboard!$L$1,M1935,(M1935*GOOGLEFINANCE(""CURRENCY:""&amp;Q1935&amp;""""&amp;Dashboard!$L$1&amp;""""))/100),IF(Q1935=Dashboard!$L$1,M1935,M1935*GOOGLEFINANCE(""CURRENCY:""&amp;Q1935&amp;""""&amp;Dashboard!$"&amp;"L$1&amp;""""))),M1935))"),"")</f>
        <v/>
      </c>
      <c r="T1935" s="264" t="str">
        <f t="shared" si="4"/>
        <v/>
      </c>
      <c r="U1935" s="264" t="str">
        <f t="shared" si="5"/>
        <v/>
      </c>
      <c r="V1935" s="264" t="str">
        <f t="shared" si="6"/>
        <v/>
      </c>
      <c r="W1935" s="267" t="str">
        <f t="shared" si="8"/>
        <v/>
      </c>
      <c r="X1935" s="264" t="str">
        <f t="shared" si="7"/>
        <v/>
      </c>
    </row>
    <row r="1936" ht="15.75" customHeight="1">
      <c r="A1936" s="258"/>
      <c r="B1936" s="258"/>
      <c r="C1936" s="269"/>
      <c r="D1936" s="258"/>
      <c r="E1936" s="258"/>
      <c r="F1936" s="258"/>
      <c r="G1936" s="258"/>
      <c r="H1936" s="271"/>
      <c r="I1936" s="258"/>
      <c r="J1936" s="272"/>
      <c r="K1936" s="260"/>
      <c r="L1936" s="261"/>
      <c r="M1936" s="262" t="str">
        <f t="shared" si="1"/>
        <v/>
      </c>
      <c r="N1936" s="263" t="str">
        <f t="shared" si="2"/>
        <v/>
      </c>
      <c r="O1936" s="264" t="str">
        <f t="shared" si="3"/>
        <v/>
      </c>
      <c r="P1936" s="265" t="str">
        <f>IFERROR(__xludf.DUMMYFUNCTION("IF(ISBLANK(A1936),"""",IFERROR(IF(H1936=""Sell"",VLOOKUP(9^99,FILTER({ROW(P$2:P1935),P$2:P1935},D$2:D1935=D1936),2),(VLOOKUP(9^99,FILTER({ROW(P$2:P1935),P$2:P1935},D$2:D1935=D1936),2)*VLOOKUP(9^99,FILTER({ROW(O$2:O1935),O$2:O1935},D$2:D1935=D1936),2)-N193"&amp;"6)/O1936),J1936))"),"")</f>
        <v/>
      </c>
      <c r="Q1936" s="264" t="str">
        <f>IFERROR(__xludf.DUMMYFUNCTION("IFERROR(IF(F1936=""Crypto"",B1936,(IF(ISBLANK(D1936),"""",IF(D1936=""Cash"",B1936,IF(GOOGLEFINANCE(D1936,""CURRENCY"")=""GBX"",""GBP"",GOOGLEFINANCE(D1936,""CURRENCY"")))))),B1936)"),"")</f>
        <v/>
      </c>
      <c r="R1936" s="263" t="str">
        <f>IFERROR(__xludf.DUMMYFUNCTION("IF(ISBLANK(A1936),"""",IFERROR(IF(OR(Q1936=""GPB"",Q1936=""ZAR""),IF(Q1936=Dashboard!$L$1,K1936,(K1936*GOOGLEFINANCE(""CURRENCY:""&amp;Q1936&amp;""""&amp;Dashboard!$L$1&amp;""""))/100),IF(Q1936=Dashboard!$L$1,K1936,K1936*GOOGLEFINANCE(""CURRENCY:""&amp;Q1936&amp;""""&amp;Dashboard!$"&amp;"L$1&amp;""""))),K1936))"),"")</f>
        <v/>
      </c>
      <c r="S1936" s="266" t="str">
        <f>IFERROR(__xludf.DUMMYFUNCTION("IF(ISBLANK(A1936),"""",IFERROR(IF(OR(Q1936=""GPB"",Q1936=""ZAR""),IF(Q1936=Dashboard!$L$1,M1936,(M1936*GOOGLEFINANCE(""CURRENCY:""&amp;Q1936&amp;""""&amp;Dashboard!$L$1&amp;""""))/100),IF(Q1936=Dashboard!$L$1,M1936,M1936*GOOGLEFINANCE(""CURRENCY:""&amp;Q1936&amp;""""&amp;Dashboard!$"&amp;"L$1&amp;""""))),M1936))"),"")</f>
        <v/>
      </c>
      <c r="T1936" s="264" t="str">
        <f t="shared" si="4"/>
        <v/>
      </c>
      <c r="U1936" s="264" t="str">
        <f t="shared" si="5"/>
        <v/>
      </c>
      <c r="V1936" s="264" t="str">
        <f t="shared" si="6"/>
        <v/>
      </c>
      <c r="W1936" s="267" t="str">
        <f t="shared" si="8"/>
        <v/>
      </c>
      <c r="X1936" s="264" t="str">
        <f t="shared" si="7"/>
        <v/>
      </c>
    </row>
    <row r="1937" ht="15.75" customHeight="1">
      <c r="A1937" s="258"/>
      <c r="B1937" s="258"/>
      <c r="C1937" s="269"/>
      <c r="D1937" s="258"/>
      <c r="E1937" s="258"/>
      <c r="F1937" s="258"/>
      <c r="G1937" s="258"/>
      <c r="H1937" s="271"/>
      <c r="I1937" s="258"/>
      <c r="J1937" s="272"/>
      <c r="K1937" s="260"/>
      <c r="L1937" s="261"/>
      <c r="M1937" s="262" t="str">
        <f t="shared" si="1"/>
        <v/>
      </c>
      <c r="N1937" s="263" t="str">
        <f t="shared" si="2"/>
        <v/>
      </c>
      <c r="O1937" s="264" t="str">
        <f t="shared" si="3"/>
        <v/>
      </c>
      <c r="P1937" s="265" t="str">
        <f>IFERROR(__xludf.DUMMYFUNCTION("IF(ISBLANK(A1937),"""",IFERROR(IF(H1937=""Sell"",VLOOKUP(9^99,FILTER({ROW(P$2:P1936),P$2:P1936},D$2:D1936=D1937),2),(VLOOKUP(9^99,FILTER({ROW(P$2:P1936),P$2:P1936},D$2:D1936=D1937),2)*VLOOKUP(9^99,FILTER({ROW(O$2:O1936),O$2:O1936},D$2:D1936=D1937),2)-N193"&amp;"7)/O1937),J1937))"),"")</f>
        <v/>
      </c>
      <c r="Q1937" s="264" t="str">
        <f>IFERROR(__xludf.DUMMYFUNCTION("IFERROR(IF(F1937=""Crypto"",B1937,(IF(ISBLANK(D1937),"""",IF(D1937=""Cash"",B1937,IF(GOOGLEFINANCE(D1937,""CURRENCY"")=""GBX"",""GBP"",GOOGLEFINANCE(D1937,""CURRENCY"")))))),B1937)"),"")</f>
        <v/>
      </c>
      <c r="R1937" s="263" t="str">
        <f>IFERROR(__xludf.DUMMYFUNCTION("IF(ISBLANK(A1937),"""",IFERROR(IF(OR(Q1937=""GPB"",Q1937=""ZAR""),IF(Q1937=Dashboard!$L$1,K1937,(K1937*GOOGLEFINANCE(""CURRENCY:""&amp;Q1937&amp;""""&amp;Dashboard!$L$1&amp;""""))/100),IF(Q1937=Dashboard!$L$1,K1937,K1937*GOOGLEFINANCE(""CURRENCY:""&amp;Q1937&amp;""""&amp;Dashboard!$"&amp;"L$1&amp;""""))),K1937))"),"")</f>
        <v/>
      </c>
      <c r="S1937" s="266" t="str">
        <f>IFERROR(__xludf.DUMMYFUNCTION("IF(ISBLANK(A1937),"""",IFERROR(IF(OR(Q1937=""GPB"",Q1937=""ZAR""),IF(Q1937=Dashboard!$L$1,M1937,(M1937*GOOGLEFINANCE(""CURRENCY:""&amp;Q1937&amp;""""&amp;Dashboard!$L$1&amp;""""))/100),IF(Q1937=Dashboard!$L$1,M1937,M1937*GOOGLEFINANCE(""CURRENCY:""&amp;Q1937&amp;""""&amp;Dashboard!$"&amp;"L$1&amp;""""))),M1937))"),"")</f>
        <v/>
      </c>
      <c r="T1937" s="264" t="str">
        <f t="shared" si="4"/>
        <v/>
      </c>
      <c r="U1937" s="264" t="str">
        <f t="shared" si="5"/>
        <v/>
      </c>
      <c r="V1937" s="264" t="str">
        <f t="shared" si="6"/>
        <v/>
      </c>
      <c r="W1937" s="267" t="str">
        <f t="shared" si="8"/>
        <v/>
      </c>
      <c r="X1937" s="264" t="str">
        <f t="shared" si="7"/>
        <v/>
      </c>
    </row>
    <row r="1938" ht="15.75" customHeight="1">
      <c r="A1938" s="258"/>
      <c r="B1938" s="258"/>
      <c r="C1938" s="269"/>
      <c r="D1938" s="258"/>
      <c r="E1938" s="258"/>
      <c r="F1938" s="258"/>
      <c r="G1938" s="258"/>
      <c r="H1938" s="271"/>
      <c r="I1938" s="258"/>
      <c r="J1938" s="272"/>
      <c r="K1938" s="260"/>
      <c r="L1938" s="261"/>
      <c r="M1938" s="262" t="str">
        <f t="shared" si="1"/>
        <v/>
      </c>
      <c r="N1938" s="263" t="str">
        <f t="shared" si="2"/>
        <v/>
      </c>
      <c r="O1938" s="264" t="str">
        <f t="shared" si="3"/>
        <v/>
      </c>
      <c r="P1938" s="265" t="str">
        <f>IFERROR(__xludf.DUMMYFUNCTION("IF(ISBLANK(A1938),"""",IFERROR(IF(H1938=""Sell"",VLOOKUP(9^99,FILTER({ROW(P$2:P1937),P$2:P1937},D$2:D1937=D1938),2),(VLOOKUP(9^99,FILTER({ROW(P$2:P1937),P$2:P1937},D$2:D1937=D1938),2)*VLOOKUP(9^99,FILTER({ROW(O$2:O1937),O$2:O1937},D$2:D1937=D1938),2)-N193"&amp;"8)/O1938),J1938))"),"")</f>
        <v/>
      </c>
      <c r="Q1938" s="264" t="str">
        <f>IFERROR(__xludf.DUMMYFUNCTION("IFERROR(IF(F1938=""Crypto"",B1938,(IF(ISBLANK(D1938),"""",IF(D1938=""Cash"",B1938,IF(GOOGLEFINANCE(D1938,""CURRENCY"")=""GBX"",""GBP"",GOOGLEFINANCE(D1938,""CURRENCY"")))))),B1938)"),"")</f>
        <v/>
      </c>
      <c r="R1938" s="263" t="str">
        <f>IFERROR(__xludf.DUMMYFUNCTION("IF(ISBLANK(A1938),"""",IFERROR(IF(OR(Q1938=""GPB"",Q1938=""ZAR""),IF(Q1938=Dashboard!$L$1,K1938,(K1938*GOOGLEFINANCE(""CURRENCY:""&amp;Q1938&amp;""""&amp;Dashboard!$L$1&amp;""""))/100),IF(Q1938=Dashboard!$L$1,K1938,K1938*GOOGLEFINANCE(""CURRENCY:""&amp;Q1938&amp;""""&amp;Dashboard!$"&amp;"L$1&amp;""""))),K1938))"),"")</f>
        <v/>
      </c>
      <c r="S1938" s="266" t="str">
        <f>IFERROR(__xludf.DUMMYFUNCTION("IF(ISBLANK(A1938),"""",IFERROR(IF(OR(Q1938=""GPB"",Q1938=""ZAR""),IF(Q1938=Dashboard!$L$1,M1938,(M1938*GOOGLEFINANCE(""CURRENCY:""&amp;Q1938&amp;""""&amp;Dashboard!$L$1&amp;""""))/100),IF(Q1938=Dashboard!$L$1,M1938,M1938*GOOGLEFINANCE(""CURRENCY:""&amp;Q1938&amp;""""&amp;Dashboard!$"&amp;"L$1&amp;""""))),M1938))"),"")</f>
        <v/>
      </c>
      <c r="T1938" s="264" t="str">
        <f t="shared" si="4"/>
        <v/>
      </c>
      <c r="U1938" s="264" t="str">
        <f t="shared" si="5"/>
        <v/>
      </c>
      <c r="V1938" s="264" t="str">
        <f t="shared" si="6"/>
        <v/>
      </c>
      <c r="W1938" s="267" t="str">
        <f t="shared" si="8"/>
        <v/>
      </c>
      <c r="X1938" s="264" t="str">
        <f t="shared" si="7"/>
        <v/>
      </c>
    </row>
    <row r="1939" ht="15.75" customHeight="1">
      <c r="A1939" s="258"/>
      <c r="B1939" s="258"/>
      <c r="C1939" s="269"/>
      <c r="D1939" s="258"/>
      <c r="E1939" s="258"/>
      <c r="F1939" s="258"/>
      <c r="G1939" s="258"/>
      <c r="H1939" s="271"/>
      <c r="I1939" s="258"/>
      <c r="J1939" s="272"/>
      <c r="K1939" s="260"/>
      <c r="L1939" s="261"/>
      <c r="M1939" s="262" t="str">
        <f t="shared" si="1"/>
        <v/>
      </c>
      <c r="N1939" s="263" t="str">
        <f t="shared" si="2"/>
        <v/>
      </c>
      <c r="O1939" s="264" t="str">
        <f t="shared" si="3"/>
        <v/>
      </c>
      <c r="P1939" s="265" t="str">
        <f>IFERROR(__xludf.DUMMYFUNCTION("IF(ISBLANK(A1939),"""",IFERROR(IF(H1939=""Sell"",VLOOKUP(9^99,FILTER({ROW(P$2:P1938),P$2:P1938},D$2:D1938=D1939),2),(VLOOKUP(9^99,FILTER({ROW(P$2:P1938),P$2:P1938},D$2:D1938=D1939),2)*VLOOKUP(9^99,FILTER({ROW(O$2:O1938),O$2:O1938},D$2:D1938=D1939),2)-N193"&amp;"9)/O1939),J1939))"),"")</f>
        <v/>
      </c>
      <c r="Q1939" s="264" t="str">
        <f>IFERROR(__xludf.DUMMYFUNCTION("IFERROR(IF(F1939=""Crypto"",B1939,(IF(ISBLANK(D1939),"""",IF(D1939=""Cash"",B1939,IF(GOOGLEFINANCE(D1939,""CURRENCY"")=""GBX"",""GBP"",GOOGLEFINANCE(D1939,""CURRENCY"")))))),B1939)"),"")</f>
        <v/>
      </c>
      <c r="R1939" s="263" t="str">
        <f>IFERROR(__xludf.DUMMYFUNCTION("IF(ISBLANK(A1939),"""",IFERROR(IF(OR(Q1939=""GPB"",Q1939=""ZAR""),IF(Q1939=Dashboard!$L$1,K1939,(K1939*GOOGLEFINANCE(""CURRENCY:""&amp;Q1939&amp;""""&amp;Dashboard!$L$1&amp;""""))/100),IF(Q1939=Dashboard!$L$1,K1939,K1939*GOOGLEFINANCE(""CURRENCY:""&amp;Q1939&amp;""""&amp;Dashboard!$"&amp;"L$1&amp;""""))),K1939))"),"")</f>
        <v/>
      </c>
      <c r="S1939" s="266" t="str">
        <f>IFERROR(__xludf.DUMMYFUNCTION("IF(ISBLANK(A1939),"""",IFERROR(IF(OR(Q1939=""GPB"",Q1939=""ZAR""),IF(Q1939=Dashboard!$L$1,M1939,(M1939*GOOGLEFINANCE(""CURRENCY:""&amp;Q1939&amp;""""&amp;Dashboard!$L$1&amp;""""))/100),IF(Q1939=Dashboard!$L$1,M1939,M1939*GOOGLEFINANCE(""CURRENCY:""&amp;Q1939&amp;""""&amp;Dashboard!$"&amp;"L$1&amp;""""))),M1939))"),"")</f>
        <v/>
      </c>
      <c r="T1939" s="264" t="str">
        <f t="shared" si="4"/>
        <v/>
      </c>
      <c r="U1939" s="264" t="str">
        <f t="shared" si="5"/>
        <v/>
      </c>
      <c r="V1939" s="264" t="str">
        <f t="shared" si="6"/>
        <v/>
      </c>
      <c r="W1939" s="267" t="str">
        <f t="shared" si="8"/>
        <v/>
      </c>
      <c r="X1939" s="264" t="str">
        <f t="shared" si="7"/>
        <v/>
      </c>
    </row>
    <row r="1940" ht="15.75" customHeight="1">
      <c r="A1940" s="258"/>
      <c r="B1940" s="258"/>
      <c r="C1940" s="269"/>
      <c r="D1940" s="258"/>
      <c r="E1940" s="258"/>
      <c r="F1940" s="258"/>
      <c r="G1940" s="258"/>
      <c r="H1940" s="271"/>
      <c r="I1940" s="258"/>
      <c r="J1940" s="272"/>
      <c r="K1940" s="260"/>
      <c r="L1940" s="261"/>
      <c r="M1940" s="262" t="str">
        <f t="shared" si="1"/>
        <v/>
      </c>
      <c r="N1940" s="263" t="str">
        <f t="shared" si="2"/>
        <v/>
      </c>
      <c r="O1940" s="264" t="str">
        <f t="shared" si="3"/>
        <v/>
      </c>
      <c r="P1940" s="265" t="str">
        <f>IFERROR(__xludf.DUMMYFUNCTION("IF(ISBLANK(A1940),"""",IFERROR(IF(H1940=""Sell"",VLOOKUP(9^99,FILTER({ROW(P$2:P1939),P$2:P1939},D$2:D1939=D1940),2),(VLOOKUP(9^99,FILTER({ROW(P$2:P1939),P$2:P1939},D$2:D1939=D1940),2)*VLOOKUP(9^99,FILTER({ROW(O$2:O1939),O$2:O1939},D$2:D1939=D1940),2)-N194"&amp;"0)/O1940),J1940))"),"")</f>
        <v/>
      </c>
      <c r="Q1940" s="264" t="str">
        <f>IFERROR(__xludf.DUMMYFUNCTION("IFERROR(IF(F1940=""Crypto"",B1940,(IF(ISBLANK(D1940),"""",IF(D1940=""Cash"",B1940,IF(GOOGLEFINANCE(D1940,""CURRENCY"")=""GBX"",""GBP"",GOOGLEFINANCE(D1940,""CURRENCY"")))))),B1940)"),"")</f>
        <v/>
      </c>
      <c r="R1940" s="263" t="str">
        <f>IFERROR(__xludf.DUMMYFUNCTION("IF(ISBLANK(A1940),"""",IFERROR(IF(OR(Q1940=""GPB"",Q1940=""ZAR""),IF(Q1940=Dashboard!$L$1,K1940,(K1940*GOOGLEFINANCE(""CURRENCY:""&amp;Q1940&amp;""""&amp;Dashboard!$L$1&amp;""""))/100),IF(Q1940=Dashboard!$L$1,K1940,K1940*GOOGLEFINANCE(""CURRENCY:""&amp;Q1940&amp;""""&amp;Dashboard!$"&amp;"L$1&amp;""""))),K1940))"),"")</f>
        <v/>
      </c>
      <c r="S1940" s="266" t="str">
        <f>IFERROR(__xludf.DUMMYFUNCTION("IF(ISBLANK(A1940),"""",IFERROR(IF(OR(Q1940=""GPB"",Q1940=""ZAR""),IF(Q1940=Dashboard!$L$1,M1940,(M1940*GOOGLEFINANCE(""CURRENCY:""&amp;Q1940&amp;""""&amp;Dashboard!$L$1&amp;""""))/100),IF(Q1940=Dashboard!$L$1,M1940,M1940*GOOGLEFINANCE(""CURRENCY:""&amp;Q1940&amp;""""&amp;Dashboard!$"&amp;"L$1&amp;""""))),M1940))"),"")</f>
        <v/>
      </c>
      <c r="T1940" s="264" t="str">
        <f t="shared" si="4"/>
        <v/>
      </c>
      <c r="U1940" s="264" t="str">
        <f t="shared" si="5"/>
        <v/>
      </c>
      <c r="V1940" s="264" t="str">
        <f t="shared" si="6"/>
        <v/>
      </c>
      <c r="W1940" s="267" t="str">
        <f t="shared" si="8"/>
        <v/>
      </c>
      <c r="X1940" s="264" t="str">
        <f t="shared" si="7"/>
        <v/>
      </c>
    </row>
    <row r="1941" ht="15.75" customHeight="1">
      <c r="A1941" s="258"/>
      <c r="B1941" s="258"/>
      <c r="C1941" s="269"/>
      <c r="D1941" s="258"/>
      <c r="E1941" s="258"/>
      <c r="F1941" s="258"/>
      <c r="G1941" s="258"/>
      <c r="H1941" s="271"/>
      <c r="I1941" s="258"/>
      <c r="J1941" s="272"/>
      <c r="K1941" s="260"/>
      <c r="L1941" s="261"/>
      <c r="M1941" s="262" t="str">
        <f t="shared" si="1"/>
        <v/>
      </c>
      <c r="N1941" s="263" t="str">
        <f t="shared" si="2"/>
        <v/>
      </c>
      <c r="O1941" s="264" t="str">
        <f t="shared" si="3"/>
        <v/>
      </c>
      <c r="P1941" s="265" t="str">
        <f>IFERROR(__xludf.DUMMYFUNCTION("IF(ISBLANK(A1941),"""",IFERROR(IF(H1941=""Sell"",VLOOKUP(9^99,FILTER({ROW(P$2:P1940),P$2:P1940},D$2:D1940=D1941),2),(VLOOKUP(9^99,FILTER({ROW(P$2:P1940),P$2:P1940},D$2:D1940=D1941),2)*VLOOKUP(9^99,FILTER({ROW(O$2:O1940),O$2:O1940},D$2:D1940=D1941),2)-N194"&amp;"1)/O1941),J1941))"),"")</f>
        <v/>
      </c>
      <c r="Q1941" s="264" t="str">
        <f>IFERROR(__xludf.DUMMYFUNCTION("IFERROR(IF(F1941=""Crypto"",B1941,(IF(ISBLANK(D1941),"""",IF(D1941=""Cash"",B1941,IF(GOOGLEFINANCE(D1941,""CURRENCY"")=""GBX"",""GBP"",GOOGLEFINANCE(D1941,""CURRENCY"")))))),B1941)"),"")</f>
        <v/>
      </c>
      <c r="R1941" s="263" t="str">
        <f>IFERROR(__xludf.DUMMYFUNCTION("IF(ISBLANK(A1941),"""",IFERROR(IF(OR(Q1941=""GPB"",Q1941=""ZAR""),IF(Q1941=Dashboard!$L$1,K1941,(K1941*GOOGLEFINANCE(""CURRENCY:""&amp;Q1941&amp;""""&amp;Dashboard!$L$1&amp;""""))/100),IF(Q1941=Dashboard!$L$1,K1941,K1941*GOOGLEFINANCE(""CURRENCY:""&amp;Q1941&amp;""""&amp;Dashboard!$"&amp;"L$1&amp;""""))),K1941))"),"")</f>
        <v/>
      </c>
      <c r="S1941" s="266" t="str">
        <f>IFERROR(__xludf.DUMMYFUNCTION("IF(ISBLANK(A1941),"""",IFERROR(IF(OR(Q1941=""GPB"",Q1941=""ZAR""),IF(Q1941=Dashboard!$L$1,M1941,(M1941*GOOGLEFINANCE(""CURRENCY:""&amp;Q1941&amp;""""&amp;Dashboard!$L$1&amp;""""))/100),IF(Q1941=Dashboard!$L$1,M1941,M1941*GOOGLEFINANCE(""CURRENCY:""&amp;Q1941&amp;""""&amp;Dashboard!$"&amp;"L$1&amp;""""))),M1941))"),"")</f>
        <v/>
      </c>
      <c r="T1941" s="264" t="str">
        <f t="shared" si="4"/>
        <v/>
      </c>
      <c r="U1941" s="264" t="str">
        <f t="shared" si="5"/>
        <v/>
      </c>
      <c r="V1941" s="264" t="str">
        <f t="shared" si="6"/>
        <v/>
      </c>
      <c r="W1941" s="267" t="str">
        <f t="shared" si="8"/>
        <v/>
      </c>
      <c r="X1941" s="264" t="str">
        <f t="shared" si="7"/>
        <v/>
      </c>
    </row>
    <row r="1942" ht="15.75" customHeight="1">
      <c r="A1942" s="258"/>
      <c r="B1942" s="258"/>
      <c r="C1942" s="269"/>
      <c r="D1942" s="258"/>
      <c r="E1942" s="258"/>
      <c r="F1942" s="258"/>
      <c r="G1942" s="258"/>
      <c r="H1942" s="271"/>
      <c r="I1942" s="258"/>
      <c r="J1942" s="272"/>
      <c r="K1942" s="260"/>
      <c r="L1942" s="261"/>
      <c r="M1942" s="262" t="str">
        <f t="shared" si="1"/>
        <v/>
      </c>
      <c r="N1942" s="263" t="str">
        <f t="shared" si="2"/>
        <v/>
      </c>
      <c r="O1942" s="264" t="str">
        <f t="shared" si="3"/>
        <v/>
      </c>
      <c r="P1942" s="265" t="str">
        <f>IFERROR(__xludf.DUMMYFUNCTION("IF(ISBLANK(A1942),"""",IFERROR(IF(H1942=""Sell"",VLOOKUP(9^99,FILTER({ROW(P$2:P1941),P$2:P1941},D$2:D1941=D1942),2),(VLOOKUP(9^99,FILTER({ROW(P$2:P1941),P$2:P1941},D$2:D1941=D1942),2)*VLOOKUP(9^99,FILTER({ROW(O$2:O1941),O$2:O1941},D$2:D1941=D1942),2)-N194"&amp;"2)/O1942),J1942))"),"")</f>
        <v/>
      </c>
      <c r="Q1942" s="264" t="str">
        <f>IFERROR(__xludf.DUMMYFUNCTION("IFERROR(IF(F1942=""Crypto"",B1942,(IF(ISBLANK(D1942),"""",IF(D1942=""Cash"",B1942,IF(GOOGLEFINANCE(D1942,""CURRENCY"")=""GBX"",""GBP"",GOOGLEFINANCE(D1942,""CURRENCY"")))))),B1942)"),"")</f>
        <v/>
      </c>
      <c r="R1942" s="263" t="str">
        <f>IFERROR(__xludf.DUMMYFUNCTION("IF(ISBLANK(A1942),"""",IFERROR(IF(OR(Q1942=""GPB"",Q1942=""ZAR""),IF(Q1942=Dashboard!$L$1,K1942,(K1942*GOOGLEFINANCE(""CURRENCY:""&amp;Q1942&amp;""""&amp;Dashboard!$L$1&amp;""""))/100),IF(Q1942=Dashboard!$L$1,K1942,K1942*GOOGLEFINANCE(""CURRENCY:""&amp;Q1942&amp;""""&amp;Dashboard!$"&amp;"L$1&amp;""""))),K1942))"),"")</f>
        <v/>
      </c>
      <c r="S1942" s="266" t="str">
        <f>IFERROR(__xludf.DUMMYFUNCTION("IF(ISBLANK(A1942),"""",IFERROR(IF(OR(Q1942=""GPB"",Q1942=""ZAR""),IF(Q1942=Dashboard!$L$1,M1942,(M1942*GOOGLEFINANCE(""CURRENCY:""&amp;Q1942&amp;""""&amp;Dashboard!$L$1&amp;""""))/100),IF(Q1942=Dashboard!$L$1,M1942,M1942*GOOGLEFINANCE(""CURRENCY:""&amp;Q1942&amp;""""&amp;Dashboard!$"&amp;"L$1&amp;""""))),M1942))"),"")</f>
        <v/>
      </c>
      <c r="T1942" s="264" t="str">
        <f t="shared" si="4"/>
        <v/>
      </c>
      <c r="U1942" s="264" t="str">
        <f t="shared" si="5"/>
        <v/>
      </c>
      <c r="V1942" s="264" t="str">
        <f t="shared" si="6"/>
        <v/>
      </c>
      <c r="W1942" s="267" t="str">
        <f t="shared" si="8"/>
        <v/>
      </c>
      <c r="X1942" s="264" t="str">
        <f t="shared" si="7"/>
        <v/>
      </c>
    </row>
    <row r="1943" ht="15.75" customHeight="1">
      <c r="A1943" s="258"/>
      <c r="B1943" s="258"/>
      <c r="C1943" s="269"/>
      <c r="D1943" s="258"/>
      <c r="E1943" s="258"/>
      <c r="F1943" s="258"/>
      <c r="G1943" s="258"/>
      <c r="H1943" s="271"/>
      <c r="I1943" s="258"/>
      <c r="J1943" s="272"/>
      <c r="K1943" s="260"/>
      <c r="L1943" s="261"/>
      <c r="M1943" s="262" t="str">
        <f t="shared" si="1"/>
        <v/>
      </c>
      <c r="N1943" s="263" t="str">
        <f t="shared" si="2"/>
        <v/>
      </c>
      <c r="O1943" s="264" t="str">
        <f t="shared" si="3"/>
        <v/>
      </c>
      <c r="P1943" s="265" t="str">
        <f>IFERROR(__xludf.DUMMYFUNCTION("IF(ISBLANK(A1943),"""",IFERROR(IF(H1943=""Sell"",VLOOKUP(9^99,FILTER({ROW(P$2:P1942),P$2:P1942},D$2:D1942=D1943),2),(VLOOKUP(9^99,FILTER({ROW(P$2:P1942),P$2:P1942},D$2:D1942=D1943),2)*VLOOKUP(9^99,FILTER({ROW(O$2:O1942),O$2:O1942},D$2:D1942=D1943),2)-N194"&amp;"3)/O1943),J1943))"),"")</f>
        <v/>
      </c>
      <c r="Q1943" s="264" t="str">
        <f>IFERROR(__xludf.DUMMYFUNCTION("IFERROR(IF(F1943=""Crypto"",B1943,(IF(ISBLANK(D1943),"""",IF(D1943=""Cash"",B1943,IF(GOOGLEFINANCE(D1943,""CURRENCY"")=""GBX"",""GBP"",GOOGLEFINANCE(D1943,""CURRENCY"")))))),B1943)"),"")</f>
        <v/>
      </c>
      <c r="R1943" s="263" t="str">
        <f>IFERROR(__xludf.DUMMYFUNCTION("IF(ISBLANK(A1943),"""",IFERROR(IF(OR(Q1943=""GPB"",Q1943=""ZAR""),IF(Q1943=Dashboard!$L$1,K1943,(K1943*GOOGLEFINANCE(""CURRENCY:""&amp;Q1943&amp;""""&amp;Dashboard!$L$1&amp;""""))/100),IF(Q1943=Dashboard!$L$1,K1943,K1943*GOOGLEFINANCE(""CURRENCY:""&amp;Q1943&amp;""""&amp;Dashboard!$"&amp;"L$1&amp;""""))),K1943))"),"")</f>
        <v/>
      </c>
      <c r="S1943" s="266" t="str">
        <f>IFERROR(__xludf.DUMMYFUNCTION("IF(ISBLANK(A1943),"""",IFERROR(IF(OR(Q1943=""GPB"",Q1943=""ZAR""),IF(Q1943=Dashboard!$L$1,M1943,(M1943*GOOGLEFINANCE(""CURRENCY:""&amp;Q1943&amp;""""&amp;Dashboard!$L$1&amp;""""))/100),IF(Q1943=Dashboard!$L$1,M1943,M1943*GOOGLEFINANCE(""CURRENCY:""&amp;Q1943&amp;""""&amp;Dashboard!$"&amp;"L$1&amp;""""))),M1943))"),"")</f>
        <v/>
      </c>
      <c r="T1943" s="264" t="str">
        <f t="shared" si="4"/>
        <v/>
      </c>
      <c r="U1943" s="264" t="str">
        <f t="shared" si="5"/>
        <v/>
      </c>
      <c r="V1943" s="264" t="str">
        <f t="shared" si="6"/>
        <v/>
      </c>
      <c r="W1943" s="267" t="str">
        <f t="shared" si="8"/>
        <v/>
      </c>
      <c r="X1943" s="264" t="str">
        <f t="shared" si="7"/>
        <v/>
      </c>
    </row>
    <row r="1944" ht="15.75" customHeight="1">
      <c r="A1944" s="258"/>
      <c r="B1944" s="258"/>
      <c r="C1944" s="269"/>
      <c r="D1944" s="258"/>
      <c r="E1944" s="258"/>
      <c r="F1944" s="258"/>
      <c r="G1944" s="258"/>
      <c r="H1944" s="271"/>
      <c r="I1944" s="258"/>
      <c r="J1944" s="272"/>
      <c r="K1944" s="260"/>
      <c r="L1944" s="261"/>
      <c r="M1944" s="262" t="str">
        <f t="shared" si="1"/>
        <v/>
      </c>
      <c r="N1944" s="263" t="str">
        <f t="shared" si="2"/>
        <v/>
      </c>
      <c r="O1944" s="264" t="str">
        <f t="shared" si="3"/>
        <v/>
      </c>
      <c r="P1944" s="265" t="str">
        <f>IFERROR(__xludf.DUMMYFUNCTION("IF(ISBLANK(A1944),"""",IFERROR(IF(H1944=""Sell"",VLOOKUP(9^99,FILTER({ROW(P$2:P1943),P$2:P1943},D$2:D1943=D1944),2),(VLOOKUP(9^99,FILTER({ROW(P$2:P1943),P$2:P1943},D$2:D1943=D1944),2)*VLOOKUP(9^99,FILTER({ROW(O$2:O1943),O$2:O1943},D$2:D1943=D1944),2)-N194"&amp;"4)/O1944),J1944))"),"")</f>
        <v/>
      </c>
      <c r="Q1944" s="264" t="str">
        <f>IFERROR(__xludf.DUMMYFUNCTION("IFERROR(IF(F1944=""Crypto"",B1944,(IF(ISBLANK(D1944),"""",IF(D1944=""Cash"",B1944,IF(GOOGLEFINANCE(D1944,""CURRENCY"")=""GBX"",""GBP"",GOOGLEFINANCE(D1944,""CURRENCY"")))))),B1944)"),"")</f>
        <v/>
      </c>
      <c r="R1944" s="263" t="str">
        <f>IFERROR(__xludf.DUMMYFUNCTION("IF(ISBLANK(A1944),"""",IFERROR(IF(OR(Q1944=""GPB"",Q1944=""ZAR""),IF(Q1944=Dashboard!$L$1,K1944,(K1944*GOOGLEFINANCE(""CURRENCY:""&amp;Q1944&amp;""""&amp;Dashboard!$L$1&amp;""""))/100),IF(Q1944=Dashboard!$L$1,K1944,K1944*GOOGLEFINANCE(""CURRENCY:""&amp;Q1944&amp;""""&amp;Dashboard!$"&amp;"L$1&amp;""""))),K1944))"),"")</f>
        <v/>
      </c>
      <c r="S1944" s="266" t="str">
        <f>IFERROR(__xludf.DUMMYFUNCTION("IF(ISBLANK(A1944),"""",IFERROR(IF(OR(Q1944=""GPB"",Q1944=""ZAR""),IF(Q1944=Dashboard!$L$1,M1944,(M1944*GOOGLEFINANCE(""CURRENCY:""&amp;Q1944&amp;""""&amp;Dashboard!$L$1&amp;""""))/100),IF(Q1944=Dashboard!$L$1,M1944,M1944*GOOGLEFINANCE(""CURRENCY:""&amp;Q1944&amp;""""&amp;Dashboard!$"&amp;"L$1&amp;""""))),M1944))"),"")</f>
        <v/>
      </c>
      <c r="T1944" s="264" t="str">
        <f t="shared" si="4"/>
        <v/>
      </c>
      <c r="U1944" s="264" t="str">
        <f t="shared" si="5"/>
        <v/>
      </c>
      <c r="V1944" s="264" t="str">
        <f t="shared" si="6"/>
        <v/>
      </c>
      <c r="W1944" s="267" t="str">
        <f t="shared" si="8"/>
        <v/>
      </c>
      <c r="X1944" s="264" t="str">
        <f t="shared" si="7"/>
        <v/>
      </c>
    </row>
    <row r="1945" ht="15.75" customHeight="1">
      <c r="A1945" s="258"/>
      <c r="B1945" s="258"/>
      <c r="C1945" s="269"/>
      <c r="D1945" s="258"/>
      <c r="E1945" s="258"/>
      <c r="F1945" s="258"/>
      <c r="G1945" s="258"/>
      <c r="H1945" s="271"/>
      <c r="I1945" s="258"/>
      <c r="J1945" s="272"/>
      <c r="K1945" s="260"/>
      <c r="L1945" s="261"/>
      <c r="M1945" s="262" t="str">
        <f t="shared" si="1"/>
        <v/>
      </c>
      <c r="N1945" s="263" t="str">
        <f t="shared" si="2"/>
        <v/>
      </c>
      <c r="O1945" s="264" t="str">
        <f t="shared" si="3"/>
        <v/>
      </c>
      <c r="P1945" s="265" t="str">
        <f>IFERROR(__xludf.DUMMYFUNCTION("IF(ISBLANK(A1945),"""",IFERROR(IF(H1945=""Sell"",VLOOKUP(9^99,FILTER({ROW(P$2:P1944),P$2:P1944},D$2:D1944=D1945),2),(VLOOKUP(9^99,FILTER({ROW(P$2:P1944),P$2:P1944},D$2:D1944=D1945),2)*VLOOKUP(9^99,FILTER({ROW(O$2:O1944),O$2:O1944},D$2:D1944=D1945),2)-N194"&amp;"5)/O1945),J1945))"),"")</f>
        <v/>
      </c>
      <c r="Q1945" s="264" t="str">
        <f>IFERROR(__xludf.DUMMYFUNCTION("IFERROR(IF(F1945=""Crypto"",B1945,(IF(ISBLANK(D1945),"""",IF(D1945=""Cash"",B1945,IF(GOOGLEFINANCE(D1945,""CURRENCY"")=""GBX"",""GBP"",GOOGLEFINANCE(D1945,""CURRENCY"")))))),B1945)"),"")</f>
        <v/>
      </c>
      <c r="R1945" s="263" t="str">
        <f>IFERROR(__xludf.DUMMYFUNCTION("IF(ISBLANK(A1945),"""",IFERROR(IF(OR(Q1945=""GPB"",Q1945=""ZAR""),IF(Q1945=Dashboard!$L$1,K1945,(K1945*GOOGLEFINANCE(""CURRENCY:""&amp;Q1945&amp;""""&amp;Dashboard!$L$1&amp;""""))/100),IF(Q1945=Dashboard!$L$1,K1945,K1945*GOOGLEFINANCE(""CURRENCY:""&amp;Q1945&amp;""""&amp;Dashboard!$"&amp;"L$1&amp;""""))),K1945))"),"")</f>
        <v/>
      </c>
      <c r="S1945" s="266" t="str">
        <f>IFERROR(__xludf.DUMMYFUNCTION("IF(ISBLANK(A1945),"""",IFERROR(IF(OR(Q1945=""GPB"",Q1945=""ZAR""),IF(Q1945=Dashboard!$L$1,M1945,(M1945*GOOGLEFINANCE(""CURRENCY:""&amp;Q1945&amp;""""&amp;Dashboard!$L$1&amp;""""))/100),IF(Q1945=Dashboard!$L$1,M1945,M1945*GOOGLEFINANCE(""CURRENCY:""&amp;Q1945&amp;""""&amp;Dashboard!$"&amp;"L$1&amp;""""))),M1945))"),"")</f>
        <v/>
      </c>
      <c r="T1945" s="264" t="str">
        <f t="shared" si="4"/>
        <v/>
      </c>
      <c r="U1945" s="264" t="str">
        <f t="shared" si="5"/>
        <v/>
      </c>
      <c r="V1945" s="264" t="str">
        <f t="shared" si="6"/>
        <v/>
      </c>
      <c r="W1945" s="267" t="str">
        <f t="shared" si="8"/>
        <v/>
      </c>
      <c r="X1945" s="264" t="str">
        <f t="shared" si="7"/>
        <v/>
      </c>
    </row>
    <row r="1946" ht="15.75" customHeight="1">
      <c r="A1946" s="258"/>
      <c r="B1946" s="258"/>
      <c r="C1946" s="269"/>
      <c r="D1946" s="258"/>
      <c r="E1946" s="258"/>
      <c r="F1946" s="258"/>
      <c r="G1946" s="258"/>
      <c r="H1946" s="271"/>
      <c r="I1946" s="258"/>
      <c r="J1946" s="272"/>
      <c r="K1946" s="260"/>
      <c r="L1946" s="261"/>
      <c r="M1946" s="262" t="str">
        <f t="shared" si="1"/>
        <v/>
      </c>
      <c r="N1946" s="263" t="str">
        <f t="shared" si="2"/>
        <v/>
      </c>
      <c r="O1946" s="264" t="str">
        <f t="shared" si="3"/>
        <v/>
      </c>
      <c r="P1946" s="265" t="str">
        <f>IFERROR(__xludf.DUMMYFUNCTION("IF(ISBLANK(A1946),"""",IFERROR(IF(H1946=""Sell"",VLOOKUP(9^99,FILTER({ROW(P$2:P1945),P$2:P1945},D$2:D1945=D1946),2),(VLOOKUP(9^99,FILTER({ROW(P$2:P1945),P$2:P1945},D$2:D1945=D1946),2)*VLOOKUP(9^99,FILTER({ROW(O$2:O1945),O$2:O1945},D$2:D1945=D1946),2)-N194"&amp;"6)/O1946),J1946))"),"")</f>
        <v/>
      </c>
      <c r="Q1946" s="264" t="str">
        <f>IFERROR(__xludf.DUMMYFUNCTION("IFERROR(IF(F1946=""Crypto"",B1946,(IF(ISBLANK(D1946),"""",IF(D1946=""Cash"",B1946,IF(GOOGLEFINANCE(D1946,""CURRENCY"")=""GBX"",""GBP"",GOOGLEFINANCE(D1946,""CURRENCY"")))))),B1946)"),"")</f>
        <v/>
      </c>
      <c r="R1946" s="263" t="str">
        <f>IFERROR(__xludf.DUMMYFUNCTION("IF(ISBLANK(A1946),"""",IFERROR(IF(OR(Q1946=""GPB"",Q1946=""ZAR""),IF(Q1946=Dashboard!$L$1,K1946,(K1946*GOOGLEFINANCE(""CURRENCY:""&amp;Q1946&amp;""""&amp;Dashboard!$L$1&amp;""""))/100),IF(Q1946=Dashboard!$L$1,K1946,K1946*GOOGLEFINANCE(""CURRENCY:""&amp;Q1946&amp;""""&amp;Dashboard!$"&amp;"L$1&amp;""""))),K1946))"),"")</f>
        <v/>
      </c>
      <c r="S1946" s="266" t="str">
        <f>IFERROR(__xludf.DUMMYFUNCTION("IF(ISBLANK(A1946),"""",IFERROR(IF(OR(Q1946=""GPB"",Q1946=""ZAR""),IF(Q1946=Dashboard!$L$1,M1946,(M1946*GOOGLEFINANCE(""CURRENCY:""&amp;Q1946&amp;""""&amp;Dashboard!$L$1&amp;""""))/100),IF(Q1946=Dashboard!$L$1,M1946,M1946*GOOGLEFINANCE(""CURRENCY:""&amp;Q1946&amp;""""&amp;Dashboard!$"&amp;"L$1&amp;""""))),M1946))"),"")</f>
        <v/>
      </c>
      <c r="T1946" s="264" t="str">
        <f t="shared" si="4"/>
        <v/>
      </c>
      <c r="U1946" s="264" t="str">
        <f t="shared" si="5"/>
        <v/>
      </c>
      <c r="V1946" s="264" t="str">
        <f t="shared" si="6"/>
        <v/>
      </c>
      <c r="W1946" s="267" t="str">
        <f t="shared" si="8"/>
        <v/>
      </c>
      <c r="X1946" s="264" t="str">
        <f t="shared" si="7"/>
        <v/>
      </c>
    </row>
    <row r="1947" ht="15.75" customHeight="1">
      <c r="A1947" s="258"/>
      <c r="B1947" s="258"/>
      <c r="C1947" s="269"/>
      <c r="D1947" s="258"/>
      <c r="E1947" s="258"/>
      <c r="F1947" s="258"/>
      <c r="G1947" s="258"/>
      <c r="H1947" s="271"/>
      <c r="I1947" s="258"/>
      <c r="J1947" s="272"/>
      <c r="K1947" s="260"/>
      <c r="L1947" s="261"/>
      <c r="M1947" s="262" t="str">
        <f t="shared" si="1"/>
        <v/>
      </c>
      <c r="N1947" s="263" t="str">
        <f t="shared" si="2"/>
        <v/>
      </c>
      <c r="O1947" s="264" t="str">
        <f t="shared" si="3"/>
        <v/>
      </c>
      <c r="P1947" s="265" t="str">
        <f>IFERROR(__xludf.DUMMYFUNCTION("IF(ISBLANK(A1947),"""",IFERROR(IF(H1947=""Sell"",VLOOKUP(9^99,FILTER({ROW(P$2:P1946),P$2:P1946},D$2:D1946=D1947),2),(VLOOKUP(9^99,FILTER({ROW(P$2:P1946),P$2:P1946},D$2:D1946=D1947),2)*VLOOKUP(9^99,FILTER({ROW(O$2:O1946),O$2:O1946},D$2:D1946=D1947),2)-N194"&amp;"7)/O1947),J1947))"),"")</f>
        <v/>
      </c>
      <c r="Q1947" s="264" t="str">
        <f>IFERROR(__xludf.DUMMYFUNCTION("IFERROR(IF(F1947=""Crypto"",B1947,(IF(ISBLANK(D1947),"""",IF(D1947=""Cash"",B1947,IF(GOOGLEFINANCE(D1947,""CURRENCY"")=""GBX"",""GBP"",GOOGLEFINANCE(D1947,""CURRENCY"")))))),B1947)"),"")</f>
        <v/>
      </c>
      <c r="R1947" s="263" t="str">
        <f>IFERROR(__xludf.DUMMYFUNCTION("IF(ISBLANK(A1947),"""",IFERROR(IF(OR(Q1947=""GPB"",Q1947=""ZAR""),IF(Q1947=Dashboard!$L$1,K1947,(K1947*GOOGLEFINANCE(""CURRENCY:""&amp;Q1947&amp;""""&amp;Dashboard!$L$1&amp;""""))/100),IF(Q1947=Dashboard!$L$1,K1947,K1947*GOOGLEFINANCE(""CURRENCY:""&amp;Q1947&amp;""""&amp;Dashboard!$"&amp;"L$1&amp;""""))),K1947))"),"")</f>
        <v/>
      </c>
      <c r="S1947" s="266" t="str">
        <f>IFERROR(__xludf.DUMMYFUNCTION("IF(ISBLANK(A1947),"""",IFERROR(IF(OR(Q1947=""GPB"",Q1947=""ZAR""),IF(Q1947=Dashboard!$L$1,M1947,(M1947*GOOGLEFINANCE(""CURRENCY:""&amp;Q1947&amp;""""&amp;Dashboard!$L$1&amp;""""))/100),IF(Q1947=Dashboard!$L$1,M1947,M1947*GOOGLEFINANCE(""CURRENCY:""&amp;Q1947&amp;""""&amp;Dashboard!$"&amp;"L$1&amp;""""))),M1947))"),"")</f>
        <v/>
      </c>
      <c r="T1947" s="264" t="str">
        <f t="shared" si="4"/>
        <v/>
      </c>
      <c r="U1947" s="264" t="str">
        <f t="shared" si="5"/>
        <v/>
      </c>
      <c r="V1947" s="264" t="str">
        <f t="shared" si="6"/>
        <v/>
      </c>
      <c r="W1947" s="267" t="str">
        <f t="shared" si="8"/>
        <v/>
      </c>
      <c r="X1947" s="264" t="str">
        <f t="shared" si="7"/>
        <v/>
      </c>
    </row>
    <row r="1948" ht="15.75" customHeight="1">
      <c r="A1948" s="258"/>
      <c r="B1948" s="258"/>
      <c r="C1948" s="269"/>
      <c r="D1948" s="258"/>
      <c r="E1948" s="258"/>
      <c r="F1948" s="258"/>
      <c r="G1948" s="258"/>
      <c r="H1948" s="271"/>
      <c r="I1948" s="258"/>
      <c r="J1948" s="272"/>
      <c r="K1948" s="260"/>
      <c r="L1948" s="261"/>
      <c r="M1948" s="262" t="str">
        <f t="shared" si="1"/>
        <v/>
      </c>
      <c r="N1948" s="263" t="str">
        <f t="shared" si="2"/>
        <v/>
      </c>
      <c r="O1948" s="264" t="str">
        <f t="shared" si="3"/>
        <v/>
      </c>
      <c r="P1948" s="265" t="str">
        <f>IFERROR(__xludf.DUMMYFUNCTION("IF(ISBLANK(A1948),"""",IFERROR(IF(H1948=""Sell"",VLOOKUP(9^99,FILTER({ROW(P$2:P1947),P$2:P1947},D$2:D1947=D1948),2),(VLOOKUP(9^99,FILTER({ROW(P$2:P1947),P$2:P1947},D$2:D1947=D1948),2)*VLOOKUP(9^99,FILTER({ROW(O$2:O1947),O$2:O1947},D$2:D1947=D1948),2)-N194"&amp;"8)/O1948),J1948))"),"")</f>
        <v/>
      </c>
      <c r="Q1948" s="264" t="str">
        <f>IFERROR(__xludf.DUMMYFUNCTION("IFERROR(IF(F1948=""Crypto"",B1948,(IF(ISBLANK(D1948),"""",IF(D1948=""Cash"",B1948,IF(GOOGLEFINANCE(D1948,""CURRENCY"")=""GBX"",""GBP"",GOOGLEFINANCE(D1948,""CURRENCY"")))))),B1948)"),"")</f>
        <v/>
      </c>
      <c r="R1948" s="263" t="str">
        <f>IFERROR(__xludf.DUMMYFUNCTION("IF(ISBLANK(A1948),"""",IFERROR(IF(OR(Q1948=""GPB"",Q1948=""ZAR""),IF(Q1948=Dashboard!$L$1,K1948,(K1948*GOOGLEFINANCE(""CURRENCY:""&amp;Q1948&amp;""""&amp;Dashboard!$L$1&amp;""""))/100),IF(Q1948=Dashboard!$L$1,K1948,K1948*GOOGLEFINANCE(""CURRENCY:""&amp;Q1948&amp;""""&amp;Dashboard!$"&amp;"L$1&amp;""""))),K1948))"),"")</f>
        <v/>
      </c>
      <c r="S1948" s="266" t="str">
        <f>IFERROR(__xludf.DUMMYFUNCTION("IF(ISBLANK(A1948),"""",IFERROR(IF(OR(Q1948=""GPB"",Q1948=""ZAR""),IF(Q1948=Dashboard!$L$1,M1948,(M1948*GOOGLEFINANCE(""CURRENCY:""&amp;Q1948&amp;""""&amp;Dashboard!$L$1&amp;""""))/100),IF(Q1948=Dashboard!$L$1,M1948,M1948*GOOGLEFINANCE(""CURRENCY:""&amp;Q1948&amp;""""&amp;Dashboard!$"&amp;"L$1&amp;""""))),M1948))"),"")</f>
        <v/>
      </c>
      <c r="T1948" s="264" t="str">
        <f t="shared" si="4"/>
        <v/>
      </c>
      <c r="U1948" s="264" t="str">
        <f t="shared" si="5"/>
        <v/>
      </c>
      <c r="V1948" s="264" t="str">
        <f t="shared" si="6"/>
        <v/>
      </c>
      <c r="W1948" s="267" t="str">
        <f t="shared" si="8"/>
        <v/>
      </c>
      <c r="X1948" s="264" t="str">
        <f t="shared" si="7"/>
        <v/>
      </c>
    </row>
    <row r="1949" ht="15.75" customHeight="1">
      <c r="A1949" s="258"/>
      <c r="B1949" s="258"/>
      <c r="C1949" s="269"/>
      <c r="D1949" s="258"/>
      <c r="E1949" s="258"/>
      <c r="F1949" s="258"/>
      <c r="G1949" s="258"/>
      <c r="H1949" s="271"/>
      <c r="I1949" s="258"/>
      <c r="J1949" s="272"/>
      <c r="K1949" s="260"/>
      <c r="L1949" s="261"/>
      <c r="M1949" s="262" t="str">
        <f t="shared" si="1"/>
        <v/>
      </c>
      <c r="N1949" s="263" t="str">
        <f t="shared" si="2"/>
        <v/>
      </c>
      <c r="O1949" s="264" t="str">
        <f t="shared" si="3"/>
        <v/>
      </c>
      <c r="P1949" s="265" t="str">
        <f>IFERROR(__xludf.DUMMYFUNCTION("IF(ISBLANK(A1949),"""",IFERROR(IF(H1949=""Sell"",VLOOKUP(9^99,FILTER({ROW(P$2:P1948),P$2:P1948},D$2:D1948=D1949),2),(VLOOKUP(9^99,FILTER({ROW(P$2:P1948),P$2:P1948},D$2:D1948=D1949),2)*VLOOKUP(9^99,FILTER({ROW(O$2:O1948),O$2:O1948},D$2:D1948=D1949),2)-N194"&amp;"9)/O1949),J1949))"),"")</f>
        <v/>
      </c>
      <c r="Q1949" s="264" t="str">
        <f>IFERROR(__xludf.DUMMYFUNCTION("IFERROR(IF(F1949=""Crypto"",B1949,(IF(ISBLANK(D1949),"""",IF(D1949=""Cash"",B1949,IF(GOOGLEFINANCE(D1949,""CURRENCY"")=""GBX"",""GBP"",GOOGLEFINANCE(D1949,""CURRENCY"")))))),B1949)"),"")</f>
        <v/>
      </c>
      <c r="R1949" s="263" t="str">
        <f>IFERROR(__xludf.DUMMYFUNCTION("IF(ISBLANK(A1949),"""",IFERROR(IF(OR(Q1949=""GPB"",Q1949=""ZAR""),IF(Q1949=Dashboard!$L$1,K1949,(K1949*GOOGLEFINANCE(""CURRENCY:""&amp;Q1949&amp;""""&amp;Dashboard!$L$1&amp;""""))/100),IF(Q1949=Dashboard!$L$1,K1949,K1949*GOOGLEFINANCE(""CURRENCY:""&amp;Q1949&amp;""""&amp;Dashboard!$"&amp;"L$1&amp;""""))),K1949))"),"")</f>
        <v/>
      </c>
      <c r="S1949" s="266" t="str">
        <f>IFERROR(__xludf.DUMMYFUNCTION("IF(ISBLANK(A1949),"""",IFERROR(IF(OR(Q1949=""GPB"",Q1949=""ZAR""),IF(Q1949=Dashboard!$L$1,M1949,(M1949*GOOGLEFINANCE(""CURRENCY:""&amp;Q1949&amp;""""&amp;Dashboard!$L$1&amp;""""))/100),IF(Q1949=Dashboard!$L$1,M1949,M1949*GOOGLEFINANCE(""CURRENCY:""&amp;Q1949&amp;""""&amp;Dashboard!$"&amp;"L$1&amp;""""))),M1949))"),"")</f>
        <v/>
      </c>
      <c r="T1949" s="264" t="str">
        <f t="shared" si="4"/>
        <v/>
      </c>
      <c r="U1949" s="264" t="str">
        <f t="shared" si="5"/>
        <v/>
      </c>
      <c r="V1949" s="264" t="str">
        <f t="shared" si="6"/>
        <v/>
      </c>
      <c r="W1949" s="267" t="str">
        <f t="shared" si="8"/>
        <v/>
      </c>
      <c r="X1949" s="264" t="str">
        <f t="shared" si="7"/>
        <v/>
      </c>
    </row>
    <row r="1950" ht="15.75" customHeight="1">
      <c r="A1950" s="258"/>
      <c r="B1950" s="258"/>
      <c r="C1950" s="269"/>
      <c r="D1950" s="258"/>
      <c r="E1950" s="258"/>
      <c r="F1950" s="258"/>
      <c r="G1950" s="258"/>
      <c r="H1950" s="271"/>
      <c r="I1950" s="258"/>
      <c r="J1950" s="272"/>
      <c r="K1950" s="260"/>
      <c r="L1950" s="261"/>
      <c r="M1950" s="262" t="str">
        <f t="shared" si="1"/>
        <v/>
      </c>
      <c r="N1950" s="263" t="str">
        <f t="shared" si="2"/>
        <v/>
      </c>
      <c r="O1950" s="264" t="str">
        <f t="shared" si="3"/>
        <v/>
      </c>
      <c r="P1950" s="265" t="str">
        <f>IFERROR(__xludf.DUMMYFUNCTION("IF(ISBLANK(A1950),"""",IFERROR(IF(H1950=""Sell"",VLOOKUP(9^99,FILTER({ROW(P$2:P1949),P$2:P1949},D$2:D1949=D1950),2),(VLOOKUP(9^99,FILTER({ROW(P$2:P1949),P$2:P1949},D$2:D1949=D1950),2)*VLOOKUP(9^99,FILTER({ROW(O$2:O1949),O$2:O1949},D$2:D1949=D1950),2)-N195"&amp;"0)/O1950),J1950))"),"")</f>
        <v/>
      </c>
      <c r="Q1950" s="264" t="str">
        <f>IFERROR(__xludf.DUMMYFUNCTION("IFERROR(IF(F1950=""Crypto"",B1950,(IF(ISBLANK(D1950),"""",IF(D1950=""Cash"",B1950,IF(GOOGLEFINANCE(D1950,""CURRENCY"")=""GBX"",""GBP"",GOOGLEFINANCE(D1950,""CURRENCY"")))))),B1950)"),"")</f>
        <v/>
      </c>
      <c r="R1950" s="263" t="str">
        <f>IFERROR(__xludf.DUMMYFUNCTION("IF(ISBLANK(A1950),"""",IFERROR(IF(OR(Q1950=""GPB"",Q1950=""ZAR""),IF(Q1950=Dashboard!$L$1,K1950,(K1950*GOOGLEFINANCE(""CURRENCY:""&amp;Q1950&amp;""""&amp;Dashboard!$L$1&amp;""""))/100),IF(Q1950=Dashboard!$L$1,K1950,K1950*GOOGLEFINANCE(""CURRENCY:""&amp;Q1950&amp;""""&amp;Dashboard!$"&amp;"L$1&amp;""""))),K1950))"),"")</f>
        <v/>
      </c>
      <c r="S1950" s="266" t="str">
        <f>IFERROR(__xludf.DUMMYFUNCTION("IF(ISBLANK(A1950),"""",IFERROR(IF(OR(Q1950=""GPB"",Q1950=""ZAR""),IF(Q1950=Dashboard!$L$1,M1950,(M1950*GOOGLEFINANCE(""CURRENCY:""&amp;Q1950&amp;""""&amp;Dashboard!$L$1&amp;""""))/100),IF(Q1950=Dashboard!$L$1,M1950,M1950*GOOGLEFINANCE(""CURRENCY:""&amp;Q1950&amp;""""&amp;Dashboard!$"&amp;"L$1&amp;""""))),M1950))"),"")</f>
        <v/>
      </c>
      <c r="T1950" s="264" t="str">
        <f t="shared" si="4"/>
        <v/>
      </c>
      <c r="U1950" s="264" t="str">
        <f t="shared" si="5"/>
        <v/>
      </c>
      <c r="V1950" s="264" t="str">
        <f t="shared" si="6"/>
        <v/>
      </c>
      <c r="W1950" s="267" t="str">
        <f t="shared" si="8"/>
        <v/>
      </c>
      <c r="X1950" s="264" t="str">
        <f t="shared" si="7"/>
        <v/>
      </c>
    </row>
    <row r="1951" ht="15.75" customHeight="1">
      <c r="A1951" s="258"/>
      <c r="B1951" s="258"/>
      <c r="C1951" s="269"/>
      <c r="D1951" s="258"/>
      <c r="E1951" s="258"/>
      <c r="F1951" s="258"/>
      <c r="G1951" s="258"/>
      <c r="H1951" s="271"/>
      <c r="I1951" s="258"/>
      <c r="J1951" s="272"/>
      <c r="K1951" s="260"/>
      <c r="L1951" s="261"/>
      <c r="M1951" s="262" t="str">
        <f t="shared" si="1"/>
        <v/>
      </c>
      <c r="N1951" s="263" t="str">
        <f t="shared" si="2"/>
        <v/>
      </c>
      <c r="O1951" s="264" t="str">
        <f t="shared" si="3"/>
        <v/>
      </c>
      <c r="P1951" s="265" t="str">
        <f>IFERROR(__xludf.DUMMYFUNCTION("IF(ISBLANK(A1951),"""",IFERROR(IF(H1951=""Sell"",VLOOKUP(9^99,FILTER({ROW(P$2:P1950),P$2:P1950},D$2:D1950=D1951),2),(VLOOKUP(9^99,FILTER({ROW(P$2:P1950),P$2:P1950},D$2:D1950=D1951),2)*VLOOKUP(9^99,FILTER({ROW(O$2:O1950),O$2:O1950},D$2:D1950=D1951),2)-N195"&amp;"1)/O1951),J1951))"),"")</f>
        <v/>
      </c>
      <c r="Q1951" s="264" t="str">
        <f>IFERROR(__xludf.DUMMYFUNCTION("IFERROR(IF(F1951=""Crypto"",B1951,(IF(ISBLANK(D1951),"""",IF(D1951=""Cash"",B1951,IF(GOOGLEFINANCE(D1951,""CURRENCY"")=""GBX"",""GBP"",GOOGLEFINANCE(D1951,""CURRENCY"")))))),B1951)"),"")</f>
        <v/>
      </c>
      <c r="R1951" s="263" t="str">
        <f>IFERROR(__xludf.DUMMYFUNCTION("IF(ISBLANK(A1951),"""",IFERROR(IF(OR(Q1951=""GPB"",Q1951=""ZAR""),IF(Q1951=Dashboard!$L$1,K1951,(K1951*GOOGLEFINANCE(""CURRENCY:""&amp;Q1951&amp;""""&amp;Dashboard!$L$1&amp;""""))/100),IF(Q1951=Dashboard!$L$1,K1951,K1951*GOOGLEFINANCE(""CURRENCY:""&amp;Q1951&amp;""""&amp;Dashboard!$"&amp;"L$1&amp;""""))),K1951))"),"")</f>
        <v/>
      </c>
      <c r="S1951" s="266" t="str">
        <f>IFERROR(__xludf.DUMMYFUNCTION("IF(ISBLANK(A1951),"""",IFERROR(IF(OR(Q1951=""GPB"",Q1951=""ZAR""),IF(Q1951=Dashboard!$L$1,M1951,(M1951*GOOGLEFINANCE(""CURRENCY:""&amp;Q1951&amp;""""&amp;Dashboard!$L$1&amp;""""))/100),IF(Q1951=Dashboard!$L$1,M1951,M1951*GOOGLEFINANCE(""CURRENCY:""&amp;Q1951&amp;""""&amp;Dashboard!$"&amp;"L$1&amp;""""))),M1951))"),"")</f>
        <v/>
      </c>
      <c r="T1951" s="264" t="str">
        <f t="shared" si="4"/>
        <v/>
      </c>
      <c r="U1951" s="264" t="str">
        <f t="shared" si="5"/>
        <v/>
      </c>
      <c r="V1951" s="264" t="str">
        <f t="shared" si="6"/>
        <v/>
      </c>
      <c r="W1951" s="267" t="str">
        <f t="shared" si="8"/>
        <v/>
      </c>
      <c r="X1951" s="264" t="str">
        <f t="shared" si="7"/>
        <v/>
      </c>
    </row>
    <row r="1952" ht="15.75" customHeight="1">
      <c r="A1952" s="258"/>
      <c r="B1952" s="258"/>
      <c r="C1952" s="269"/>
      <c r="D1952" s="258"/>
      <c r="E1952" s="258"/>
      <c r="F1952" s="258"/>
      <c r="G1952" s="258"/>
      <c r="H1952" s="271"/>
      <c r="I1952" s="258"/>
      <c r="J1952" s="272"/>
      <c r="K1952" s="260"/>
      <c r="L1952" s="261"/>
      <c r="M1952" s="262" t="str">
        <f t="shared" si="1"/>
        <v/>
      </c>
      <c r="N1952" s="263" t="str">
        <f t="shared" si="2"/>
        <v/>
      </c>
      <c r="O1952" s="264" t="str">
        <f t="shared" si="3"/>
        <v/>
      </c>
      <c r="P1952" s="265" t="str">
        <f>IFERROR(__xludf.DUMMYFUNCTION("IF(ISBLANK(A1952),"""",IFERROR(IF(H1952=""Sell"",VLOOKUP(9^99,FILTER({ROW(P$2:P1951),P$2:P1951},D$2:D1951=D1952),2),(VLOOKUP(9^99,FILTER({ROW(P$2:P1951),P$2:P1951},D$2:D1951=D1952),2)*VLOOKUP(9^99,FILTER({ROW(O$2:O1951),O$2:O1951},D$2:D1951=D1952),2)-N195"&amp;"2)/O1952),J1952))"),"")</f>
        <v/>
      </c>
      <c r="Q1952" s="264" t="str">
        <f>IFERROR(__xludf.DUMMYFUNCTION("IFERROR(IF(F1952=""Crypto"",B1952,(IF(ISBLANK(D1952),"""",IF(D1952=""Cash"",B1952,IF(GOOGLEFINANCE(D1952,""CURRENCY"")=""GBX"",""GBP"",GOOGLEFINANCE(D1952,""CURRENCY"")))))),B1952)"),"")</f>
        <v/>
      </c>
      <c r="R1952" s="263" t="str">
        <f>IFERROR(__xludf.DUMMYFUNCTION("IF(ISBLANK(A1952),"""",IFERROR(IF(OR(Q1952=""GPB"",Q1952=""ZAR""),IF(Q1952=Dashboard!$L$1,K1952,(K1952*GOOGLEFINANCE(""CURRENCY:""&amp;Q1952&amp;""""&amp;Dashboard!$L$1&amp;""""))/100),IF(Q1952=Dashboard!$L$1,K1952,K1952*GOOGLEFINANCE(""CURRENCY:""&amp;Q1952&amp;""""&amp;Dashboard!$"&amp;"L$1&amp;""""))),K1952))"),"")</f>
        <v/>
      </c>
      <c r="S1952" s="266" t="str">
        <f>IFERROR(__xludf.DUMMYFUNCTION("IF(ISBLANK(A1952),"""",IFERROR(IF(OR(Q1952=""GPB"",Q1952=""ZAR""),IF(Q1952=Dashboard!$L$1,M1952,(M1952*GOOGLEFINANCE(""CURRENCY:""&amp;Q1952&amp;""""&amp;Dashboard!$L$1&amp;""""))/100),IF(Q1952=Dashboard!$L$1,M1952,M1952*GOOGLEFINANCE(""CURRENCY:""&amp;Q1952&amp;""""&amp;Dashboard!$"&amp;"L$1&amp;""""))),M1952))"),"")</f>
        <v/>
      </c>
      <c r="T1952" s="264" t="str">
        <f t="shared" si="4"/>
        <v/>
      </c>
      <c r="U1952" s="264" t="str">
        <f t="shared" si="5"/>
        <v/>
      </c>
      <c r="V1952" s="264" t="str">
        <f t="shared" si="6"/>
        <v/>
      </c>
      <c r="W1952" s="267" t="str">
        <f t="shared" si="8"/>
        <v/>
      </c>
      <c r="X1952" s="264" t="str">
        <f t="shared" si="7"/>
        <v/>
      </c>
    </row>
    <row r="1953" ht="15.75" customHeight="1">
      <c r="A1953" s="258"/>
      <c r="B1953" s="258"/>
      <c r="C1953" s="269"/>
      <c r="D1953" s="258"/>
      <c r="E1953" s="258"/>
      <c r="F1953" s="258"/>
      <c r="G1953" s="258"/>
      <c r="H1953" s="271"/>
      <c r="I1953" s="258"/>
      <c r="J1953" s="272"/>
      <c r="K1953" s="260"/>
      <c r="L1953" s="261"/>
      <c r="M1953" s="262" t="str">
        <f t="shared" si="1"/>
        <v/>
      </c>
      <c r="N1953" s="263" t="str">
        <f t="shared" si="2"/>
        <v/>
      </c>
      <c r="O1953" s="264" t="str">
        <f t="shared" si="3"/>
        <v/>
      </c>
      <c r="P1953" s="265" t="str">
        <f>IFERROR(__xludf.DUMMYFUNCTION("IF(ISBLANK(A1953),"""",IFERROR(IF(H1953=""Sell"",VLOOKUP(9^99,FILTER({ROW(P$2:P1952),P$2:P1952},D$2:D1952=D1953),2),(VLOOKUP(9^99,FILTER({ROW(P$2:P1952),P$2:P1952},D$2:D1952=D1953),2)*VLOOKUP(9^99,FILTER({ROW(O$2:O1952),O$2:O1952},D$2:D1952=D1953),2)-N195"&amp;"3)/O1953),J1953))"),"")</f>
        <v/>
      </c>
      <c r="Q1953" s="264" t="str">
        <f>IFERROR(__xludf.DUMMYFUNCTION("IFERROR(IF(F1953=""Crypto"",B1953,(IF(ISBLANK(D1953),"""",IF(D1953=""Cash"",B1953,IF(GOOGLEFINANCE(D1953,""CURRENCY"")=""GBX"",""GBP"",GOOGLEFINANCE(D1953,""CURRENCY"")))))),B1953)"),"")</f>
        <v/>
      </c>
      <c r="R1953" s="263" t="str">
        <f>IFERROR(__xludf.DUMMYFUNCTION("IF(ISBLANK(A1953),"""",IFERROR(IF(OR(Q1953=""GPB"",Q1953=""ZAR""),IF(Q1953=Dashboard!$L$1,K1953,(K1953*GOOGLEFINANCE(""CURRENCY:""&amp;Q1953&amp;""""&amp;Dashboard!$L$1&amp;""""))/100),IF(Q1953=Dashboard!$L$1,K1953,K1953*GOOGLEFINANCE(""CURRENCY:""&amp;Q1953&amp;""""&amp;Dashboard!$"&amp;"L$1&amp;""""))),K1953))"),"")</f>
        <v/>
      </c>
      <c r="S1953" s="266" t="str">
        <f>IFERROR(__xludf.DUMMYFUNCTION("IF(ISBLANK(A1953),"""",IFERROR(IF(OR(Q1953=""GPB"",Q1953=""ZAR""),IF(Q1953=Dashboard!$L$1,M1953,(M1953*GOOGLEFINANCE(""CURRENCY:""&amp;Q1953&amp;""""&amp;Dashboard!$L$1&amp;""""))/100),IF(Q1953=Dashboard!$L$1,M1953,M1953*GOOGLEFINANCE(""CURRENCY:""&amp;Q1953&amp;""""&amp;Dashboard!$"&amp;"L$1&amp;""""))),M1953))"),"")</f>
        <v/>
      </c>
      <c r="T1953" s="264" t="str">
        <f t="shared" si="4"/>
        <v/>
      </c>
      <c r="U1953" s="264" t="str">
        <f t="shared" si="5"/>
        <v/>
      </c>
      <c r="V1953" s="264" t="str">
        <f t="shared" si="6"/>
        <v/>
      </c>
      <c r="W1953" s="267" t="str">
        <f t="shared" si="8"/>
        <v/>
      </c>
      <c r="X1953" s="264" t="str">
        <f t="shared" si="7"/>
        <v/>
      </c>
    </row>
    <row r="1954" ht="15.75" customHeight="1">
      <c r="A1954" s="258"/>
      <c r="B1954" s="258"/>
      <c r="C1954" s="269"/>
      <c r="D1954" s="258"/>
      <c r="E1954" s="258"/>
      <c r="F1954" s="258"/>
      <c r="G1954" s="258"/>
      <c r="H1954" s="271"/>
      <c r="I1954" s="258"/>
      <c r="J1954" s="272"/>
      <c r="K1954" s="260"/>
      <c r="L1954" s="261"/>
      <c r="M1954" s="262" t="str">
        <f t="shared" si="1"/>
        <v/>
      </c>
      <c r="N1954" s="263" t="str">
        <f t="shared" si="2"/>
        <v/>
      </c>
      <c r="O1954" s="264" t="str">
        <f t="shared" si="3"/>
        <v/>
      </c>
      <c r="P1954" s="265" t="str">
        <f>IFERROR(__xludf.DUMMYFUNCTION("IF(ISBLANK(A1954),"""",IFERROR(IF(H1954=""Sell"",VLOOKUP(9^99,FILTER({ROW(P$2:P1953),P$2:P1953},D$2:D1953=D1954),2),(VLOOKUP(9^99,FILTER({ROW(P$2:P1953),P$2:P1953},D$2:D1953=D1954),2)*VLOOKUP(9^99,FILTER({ROW(O$2:O1953),O$2:O1953},D$2:D1953=D1954),2)-N195"&amp;"4)/O1954),J1954))"),"")</f>
        <v/>
      </c>
      <c r="Q1954" s="264" t="str">
        <f>IFERROR(__xludf.DUMMYFUNCTION("IFERROR(IF(F1954=""Crypto"",B1954,(IF(ISBLANK(D1954),"""",IF(D1954=""Cash"",B1954,IF(GOOGLEFINANCE(D1954,""CURRENCY"")=""GBX"",""GBP"",GOOGLEFINANCE(D1954,""CURRENCY"")))))),B1954)"),"")</f>
        <v/>
      </c>
      <c r="R1954" s="263" t="str">
        <f>IFERROR(__xludf.DUMMYFUNCTION("IF(ISBLANK(A1954),"""",IFERROR(IF(OR(Q1954=""GPB"",Q1954=""ZAR""),IF(Q1954=Dashboard!$L$1,K1954,(K1954*GOOGLEFINANCE(""CURRENCY:""&amp;Q1954&amp;""""&amp;Dashboard!$L$1&amp;""""))/100),IF(Q1954=Dashboard!$L$1,K1954,K1954*GOOGLEFINANCE(""CURRENCY:""&amp;Q1954&amp;""""&amp;Dashboard!$"&amp;"L$1&amp;""""))),K1954))"),"")</f>
        <v/>
      </c>
      <c r="S1954" s="266" t="str">
        <f>IFERROR(__xludf.DUMMYFUNCTION("IF(ISBLANK(A1954),"""",IFERROR(IF(OR(Q1954=""GPB"",Q1954=""ZAR""),IF(Q1954=Dashboard!$L$1,M1954,(M1954*GOOGLEFINANCE(""CURRENCY:""&amp;Q1954&amp;""""&amp;Dashboard!$L$1&amp;""""))/100),IF(Q1954=Dashboard!$L$1,M1954,M1954*GOOGLEFINANCE(""CURRENCY:""&amp;Q1954&amp;""""&amp;Dashboard!$"&amp;"L$1&amp;""""))),M1954))"),"")</f>
        <v/>
      </c>
      <c r="T1954" s="264" t="str">
        <f t="shared" si="4"/>
        <v/>
      </c>
      <c r="U1954" s="264" t="str">
        <f t="shared" si="5"/>
        <v/>
      </c>
      <c r="V1954" s="264" t="str">
        <f t="shared" si="6"/>
        <v/>
      </c>
      <c r="W1954" s="267" t="str">
        <f t="shared" si="8"/>
        <v/>
      </c>
      <c r="X1954" s="264" t="str">
        <f t="shared" si="7"/>
        <v/>
      </c>
    </row>
    <row r="1955" ht="15.75" customHeight="1">
      <c r="A1955" s="258"/>
      <c r="B1955" s="258"/>
      <c r="C1955" s="269"/>
      <c r="D1955" s="258"/>
      <c r="E1955" s="258"/>
      <c r="F1955" s="258"/>
      <c r="G1955" s="258"/>
      <c r="H1955" s="271"/>
      <c r="I1955" s="258"/>
      <c r="J1955" s="272"/>
      <c r="K1955" s="260"/>
      <c r="L1955" s="261"/>
      <c r="M1955" s="262" t="str">
        <f t="shared" si="1"/>
        <v/>
      </c>
      <c r="N1955" s="263" t="str">
        <f t="shared" si="2"/>
        <v/>
      </c>
      <c r="O1955" s="264" t="str">
        <f t="shared" si="3"/>
        <v/>
      </c>
      <c r="P1955" s="265" t="str">
        <f>IFERROR(__xludf.DUMMYFUNCTION("IF(ISBLANK(A1955),"""",IFERROR(IF(H1955=""Sell"",VLOOKUP(9^99,FILTER({ROW(P$2:P1954),P$2:P1954},D$2:D1954=D1955),2),(VLOOKUP(9^99,FILTER({ROW(P$2:P1954),P$2:P1954},D$2:D1954=D1955),2)*VLOOKUP(9^99,FILTER({ROW(O$2:O1954),O$2:O1954},D$2:D1954=D1955),2)-N195"&amp;"5)/O1955),J1955))"),"")</f>
        <v/>
      </c>
      <c r="Q1955" s="264" t="str">
        <f>IFERROR(__xludf.DUMMYFUNCTION("IFERROR(IF(F1955=""Crypto"",B1955,(IF(ISBLANK(D1955),"""",IF(D1955=""Cash"",B1955,IF(GOOGLEFINANCE(D1955,""CURRENCY"")=""GBX"",""GBP"",GOOGLEFINANCE(D1955,""CURRENCY"")))))),B1955)"),"")</f>
        <v/>
      </c>
      <c r="R1955" s="263" t="str">
        <f>IFERROR(__xludf.DUMMYFUNCTION("IF(ISBLANK(A1955),"""",IFERROR(IF(OR(Q1955=""GPB"",Q1955=""ZAR""),IF(Q1955=Dashboard!$L$1,K1955,(K1955*GOOGLEFINANCE(""CURRENCY:""&amp;Q1955&amp;""""&amp;Dashboard!$L$1&amp;""""))/100),IF(Q1955=Dashboard!$L$1,K1955,K1955*GOOGLEFINANCE(""CURRENCY:""&amp;Q1955&amp;""""&amp;Dashboard!$"&amp;"L$1&amp;""""))),K1955))"),"")</f>
        <v/>
      </c>
      <c r="S1955" s="266" t="str">
        <f>IFERROR(__xludf.DUMMYFUNCTION("IF(ISBLANK(A1955),"""",IFERROR(IF(OR(Q1955=""GPB"",Q1955=""ZAR""),IF(Q1955=Dashboard!$L$1,M1955,(M1955*GOOGLEFINANCE(""CURRENCY:""&amp;Q1955&amp;""""&amp;Dashboard!$L$1&amp;""""))/100),IF(Q1955=Dashboard!$L$1,M1955,M1955*GOOGLEFINANCE(""CURRENCY:""&amp;Q1955&amp;""""&amp;Dashboard!$"&amp;"L$1&amp;""""))),M1955))"),"")</f>
        <v/>
      </c>
      <c r="T1955" s="264" t="str">
        <f t="shared" si="4"/>
        <v/>
      </c>
      <c r="U1955" s="264" t="str">
        <f t="shared" si="5"/>
        <v/>
      </c>
      <c r="V1955" s="264" t="str">
        <f t="shared" si="6"/>
        <v/>
      </c>
      <c r="W1955" s="267" t="str">
        <f t="shared" si="8"/>
        <v/>
      </c>
      <c r="X1955" s="264" t="str">
        <f t="shared" si="7"/>
        <v/>
      </c>
    </row>
    <row r="1956" ht="15.75" customHeight="1">
      <c r="A1956" s="258"/>
      <c r="B1956" s="258"/>
      <c r="C1956" s="269"/>
      <c r="D1956" s="258"/>
      <c r="E1956" s="258"/>
      <c r="F1956" s="258"/>
      <c r="G1956" s="258"/>
      <c r="H1956" s="271"/>
      <c r="I1956" s="258"/>
      <c r="J1956" s="272"/>
      <c r="K1956" s="260"/>
      <c r="L1956" s="261"/>
      <c r="M1956" s="262" t="str">
        <f t="shared" si="1"/>
        <v/>
      </c>
      <c r="N1956" s="263" t="str">
        <f t="shared" si="2"/>
        <v/>
      </c>
      <c r="O1956" s="264" t="str">
        <f t="shared" si="3"/>
        <v/>
      </c>
      <c r="P1956" s="265" t="str">
        <f>IFERROR(__xludf.DUMMYFUNCTION("IF(ISBLANK(A1956),"""",IFERROR(IF(H1956=""Sell"",VLOOKUP(9^99,FILTER({ROW(P$2:P1955),P$2:P1955},D$2:D1955=D1956),2),(VLOOKUP(9^99,FILTER({ROW(P$2:P1955),P$2:P1955},D$2:D1955=D1956),2)*VLOOKUP(9^99,FILTER({ROW(O$2:O1955),O$2:O1955},D$2:D1955=D1956),2)-N195"&amp;"6)/O1956),J1956))"),"")</f>
        <v/>
      </c>
      <c r="Q1956" s="264" t="str">
        <f>IFERROR(__xludf.DUMMYFUNCTION("IFERROR(IF(F1956=""Crypto"",B1956,(IF(ISBLANK(D1956),"""",IF(D1956=""Cash"",B1956,IF(GOOGLEFINANCE(D1956,""CURRENCY"")=""GBX"",""GBP"",GOOGLEFINANCE(D1956,""CURRENCY"")))))),B1956)"),"")</f>
        <v/>
      </c>
      <c r="R1956" s="263" t="str">
        <f>IFERROR(__xludf.DUMMYFUNCTION("IF(ISBLANK(A1956),"""",IFERROR(IF(OR(Q1956=""GPB"",Q1956=""ZAR""),IF(Q1956=Dashboard!$L$1,K1956,(K1956*GOOGLEFINANCE(""CURRENCY:""&amp;Q1956&amp;""""&amp;Dashboard!$L$1&amp;""""))/100),IF(Q1956=Dashboard!$L$1,K1956,K1956*GOOGLEFINANCE(""CURRENCY:""&amp;Q1956&amp;""""&amp;Dashboard!$"&amp;"L$1&amp;""""))),K1956))"),"")</f>
        <v/>
      </c>
      <c r="S1956" s="266" t="str">
        <f>IFERROR(__xludf.DUMMYFUNCTION("IF(ISBLANK(A1956),"""",IFERROR(IF(OR(Q1956=""GPB"",Q1956=""ZAR""),IF(Q1956=Dashboard!$L$1,M1956,(M1956*GOOGLEFINANCE(""CURRENCY:""&amp;Q1956&amp;""""&amp;Dashboard!$L$1&amp;""""))/100),IF(Q1956=Dashboard!$L$1,M1956,M1956*GOOGLEFINANCE(""CURRENCY:""&amp;Q1956&amp;""""&amp;Dashboard!$"&amp;"L$1&amp;""""))),M1956))"),"")</f>
        <v/>
      </c>
      <c r="T1956" s="264" t="str">
        <f t="shared" si="4"/>
        <v/>
      </c>
      <c r="U1956" s="264" t="str">
        <f t="shared" si="5"/>
        <v/>
      </c>
      <c r="V1956" s="264" t="str">
        <f t="shared" si="6"/>
        <v/>
      </c>
      <c r="W1956" s="267" t="str">
        <f t="shared" si="8"/>
        <v/>
      </c>
      <c r="X1956" s="264" t="str">
        <f t="shared" si="7"/>
        <v/>
      </c>
    </row>
    <row r="1957" ht="15.75" customHeight="1">
      <c r="A1957" s="258"/>
      <c r="B1957" s="258"/>
      <c r="C1957" s="269"/>
      <c r="D1957" s="258"/>
      <c r="E1957" s="258"/>
      <c r="F1957" s="258"/>
      <c r="G1957" s="258"/>
      <c r="H1957" s="271"/>
      <c r="I1957" s="258"/>
      <c r="J1957" s="272"/>
      <c r="K1957" s="260"/>
      <c r="L1957" s="261"/>
      <c r="M1957" s="262" t="str">
        <f t="shared" si="1"/>
        <v/>
      </c>
      <c r="N1957" s="263" t="str">
        <f t="shared" si="2"/>
        <v/>
      </c>
      <c r="O1957" s="264" t="str">
        <f t="shared" si="3"/>
        <v/>
      </c>
      <c r="P1957" s="265" t="str">
        <f>IFERROR(__xludf.DUMMYFUNCTION("IF(ISBLANK(A1957),"""",IFERROR(IF(H1957=""Sell"",VLOOKUP(9^99,FILTER({ROW(P$2:P1956),P$2:P1956},D$2:D1956=D1957),2),(VLOOKUP(9^99,FILTER({ROW(P$2:P1956),P$2:P1956},D$2:D1956=D1957),2)*VLOOKUP(9^99,FILTER({ROW(O$2:O1956),O$2:O1956},D$2:D1956=D1957),2)-N195"&amp;"7)/O1957),J1957))"),"")</f>
        <v/>
      </c>
      <c r="Q1957" s="264" t="str">
        <f>IFERROR(__xludf.DUMMYFUNCTION("IFERROR(IF(F1957=""Crypto"",B1957,(IF(ISBLANK(D1957),"""",IF(D1957=""Cash"",B1957,IF(GOOGLEFINANCE(D1957,""CURRENCY"")=""GBX"",""GBP"",GOOGLEFINANCE(D1957,""CURRENCY"")))))),B1957)"),"")</f>
        <v/>
      </c>
      <c r="R1957" s="263" t="str">
        <f>IFERROR(__xludf.DUMMYFUNCTION("IF(ISBLANK(A1957),"""",IFERROR(IF(OR(Q1957=""GPB"",Q1957=""ZAR""),IF(Q1957=Dashboard!$L$1,K1957,(K1957*GOOGLEFINANCE(""CURRENCY:""&amp;Q1957&amp;""""&amp;Dashboard!$L$1&amp;""""))/100),IF(Q1957=Dashboard!$L$1,K1957,K1957*GOOGLEFINANCE(""CURRENCY:""&amp;Q1957&amp;""""&amp;Dashboard!$"&amp;"L$1&amp;""""))),K1957))"),"")</f>
        <v/>
      </c>
      <c r="S1957" s="266" t="str">
        <f>IFERROR(__xludf.DUMMYFUNCTION("IF(ISBLANK(A1957),"""",IFERROR(IF(OR(Q1957=""GPB"",Q1957=""ZAR""),IF(Q1957=Dashboard!$L$1,M1957,(M1957*GOOGLEFINANCE(""CURRENCY:""&amp;Q1957&amp;""""&amp;Dashboard!$L$1&amp;""""))/100),IF(Q1957=Dashboard!$L$1,M1957,M1957*GOOGLEFINANCE(""CURRENCY:""&amp;Q1957&amp;""""&amp;Dashboard!$"&amp;"L$1&amp;""""))),M1957))"),"")</f>
        <v/>
      </c>
      <c r="T1957" s="264" t="str">
        <f t="shared" si="4"/>
        <v/>
      </c>
      <c r="U1957" s="264" t="str">
        <f t="shared" si="5"/>
        <v/>
      </c>
      <c r="V1957" s="264" t="str">
        <f t="shared" si="6"/>
        <v/>
      </c>
      <c r="W1957" s="267" t="str">
        <f t="shared" si="8"/>
        <v/>
      </c>
      <c r="X1957" s="264" t="str">
        <f t="shared" si="7"/>
        <v/>
      </c>
    </row>
    <row r="1958" ht="15.75" customHeight="1">
      <c r="A1958" s="258"/>
      <c r="B1958" s="258"/>
      <c r="C1958" s="269"/>
      <c r="D1958" s="258"/>
      <c r="E1958" s="258"/>
      <c r="F1958" s="258"/>
      <c r="G1958" s="258"/>
      <c r="H1958" s="271"/>
      <c r="I1958" s="258"/>
      <c r="J1958" s="272"/>
      <c r="K1958" s="260"/>
      <c r="L1958" s="261"/>
      <c r="M1958" s="262" t="str">
        <f t="shared" si="1"/>
        <v/>
      </c>
      <c r="N1958" s="263" t="str">
        <f t="shared" si="2"/>
        <v/>
      </c>
      <c r="O1958" s="264" t="str">
        <f t="shared" si="3"/>
        <v/>
      </c>
      <c r="P1958" s="265" t="str">
        <f>IFERROR(__xludf.DUMMYFUNCTION("IF(ISBLANK(A1958),"""",IFERROR(IF(H1958=""Sell"",VLOOKUP(9^99,FILTER({ROW(P$2:P1957),P$2:P1957},D$2:D1957=D1958),2),(VLOOKUP(9^99,FILTER({ROW(P$2:P1957),P$2:P1957},D$2:D1957=D1958),2)*VLOOKUP(9^99,FILTER({ROW(O$2:O1957),O$2:O1957},D$2:D1957=D1958),2)-N195"&amp;"8)/O1958),J1958))"),"")</f>
        <v/>
      </c>
      <c r="Q1958" s="264" t="str">
        <f>IFERROR(__xludf.DUMMYFUNCTION("IFERROR(IF(F1958=""Crypto"",B1958,(IF(ISBLANK(D1958),"""",IF(D1958=""Cash"",B1958,IF(GOOGLEFINANCE(D1958,""CURRENCY"")=""GBX"",""GBP"",GOOGLEFINANCE(D1958,""CURRENCY"")))))),B1958)"),"")</f>
        <v/>
      </c>
      <c r="R1958" s="263" t="str">
        <f>IFERROR(__xludf.DUMMYFUNCTION("IF(ISBLANK(A1958),"""",IFERROR(IF(OR(Q1958=""GPB"",Q1958=""ZAR""),IF(Q1958=Dashboard!$L$1,K1958,(K1958*GOOGLEFINANCE(""CURRENCY:""&amp;Q1958&amp;""""&amp;Dashboard!$L$1&amp;""""))/100),IF(Q1958=Dashboard!$L$1,K1958,K1958*GOOGLEFINANCE(""CURRENCY:""&amp;Q1958&amp;""""&amp;Dashboard!$"&amp;"L$1&amp;""""))),K1958))"),"")</f>
        <v/>
      </c>
      <c r="S1958" s="266" t="str">
        <f>IFERROR(__xludf.DUMMYFUNCTION("IF(ISBLANK(A1958),"""",IFERROR(IF(OR(Q1958=""GPB"",Q1958=""ZAR""),IF(Q1958=Dashboard!$L$1,M1958,(M1958*GOOGLEFINANCE(""CURRENCY:""&amp;Q1958&amp;""""&amp;Dashboard!$L$1&amp;""""))/100),IF(Q1958=Dashboard!$L$1,M1958,M1958*GOOGLEFINANCE(""CURRENCY:""&amp;Q1958&amp;""""&amp;Dashboard!$"&amp;"L$1&amp;""""))),M1958))"),"")</f>
        <v/>
      </c>
      <c r="T1958" s="264" t="str">
        <f t="shared" si="4"/>
        <v/>
      </c>
      <c r="U1958" s="264" t="str">
        <f t="shared" si="5"/>
        <v/>
      </c>
      <c r="V1958" s="264" t="str">
        <f t="shared" si="6"/>
        <v/>
      </c>
      <c r="W1958" s="267" t="str">
        <f t="shared" si="8"/>
        <v/>
      </c>
      <c r="X1958" s="264" t="str">
        <f t="shared" si="7"/>
        <v/>
      </c>
    </row>
    <row r="1959" ht="15.75" customHeight="1">
      <c r="A1959" s="258"/>
      <c r="B1959" s="258"/>
      <c r="C1959" s="269"/>
      <c r="D1959" s="258"/>
      <c r="E1959" s="258"/>
      <c r="F1959" s="258"/>
      <c r="G1959" s="258"/>
      <c r="H1959" s="271"/>
      <c r="I1959" s="258"/>
      <c r="J1959" s="272"/>
      <c r="K1959" s="260"/>
      <c r="L1959" s="261"/>
      <c r="M1959" s="262" t="str">
        <f t="shared" si="1"/>
        <v/>
      </c>
      <c r="N1959" s="263" t="str">
        <f t="shared" si="2"/>
        <v/>
      </c>
      <c r="O1959" s="264" t="str">
        <f t="shared" si="3"/>
        <v/>
      </c>
      <c r="P1959" s="265" t="str">
        <f>IFERROR(__xludf.DUMMYFUNCTION("IF(ISBLANK(A1959),"""",IFERROR(IF(H1959=""Sell"",VLOOKUP(9^99,FILTER({ROW(P$2:P1958),P$2:P1958},D$2:D1958=D1959),2),(VLOOKUP(9^99,FILTER({ROW(P$2:P1958),P$2:P1958},D$2:D1958=D1959),2)*VLOOKUP(9^99,FILTER({ROW(O$2:O1958),O$2:O1958},D$2:D1958=D1959),2)-N195"&amp;"9)/O1959),J1959))"),"")</f>
        <v/>
      </c>
      <c r="Q1959" s="264" t="str">
        <f>IFERROR(__xludf.DUMMYFUNCTION("IFERROR(IF(F1959=""Crypto"",B1959,(IF(ISBLANK(D1959),"""",IF(D1959=""Cash"",B1959,IF(GOOGLEFINANCE(D1959,""CURRENCY"")=""GBX"",""GBP"",GOOGLEFINANCE(D1959,""CURRENCY"")))))),B1959)"),"")</f>
        <v/>
      </c>
      <c r="R1959" s="263" t="str">
        <f>IFERROR(__xludf.DUMMYFUNCTION("IF(ISBLANK(A1959),"""",IFERROR(IF(OR(Q1959=""GPB"",Q1959=""ZAR""),IF(Q1959=Dashboard!$L$1,K1959,(K1959*GOOGLEFINANCE(""CURRENCY:""&amp;Q1959&amp;""""&amp;Dashboard!$L$1&amp;""""))/100),IF(Q1959=Dashboard!$L$1,K1959,K1959*GOOGLEFINANCE(""CURRENCY:""&amp;Q1959&amp;""""&amp;Dashboard!$"&amp;"L$1&amp;""""))),K1959))"),"")</f>
        <v/>
      </c>
      <c r="S1959" s="266" t="str">
        <f>IFERROR(__xludf.DUMMYFUNCTION("IF(ISBLANK(A1959),"""",IFERROR(IF(OR(Q1959=""GPB"",Q1959=""ZAR""),IF(Q1959=Dashboard!$L$1,M1959,(M1959*GOOGLEFINANCE(""CURRENCY:""&amp;Q1959&amp;""""&amp;Dashboard!$L$1&amp;""""))/100),IF(Q1959=Dashboard!$L$1,M1959,M1959*GOOGLEFINANCE(""CURRENCY:""&amp;Q1959&amp;""""&amp;Dashboard!$"&amp;"L$1&amp;""""))),M1959))"),"")</f>
        <v/>
      </c>
      <c r="T1959" s="264" t="str">
        <f t="shared" si="4"/>
        <v/>
      </c>
      <c r="U1959" s="264" t="str">
        <f t="shared" si="5"/>
        <v/>
      </c>
      <c r="V1959" s="264" t="str">
        <f t="shared" si="6"/>
        <v/>
      </c>
      <c r="W1959" s="267" t="str">
        <f t="shared" si="8"/>
        <v/>
      </c>
      <c r="X1959" s="264" t="str">
        <f t="shared" si="7"/>
        <v/>
      </c>
    </row>
    <row r="1960" ht="15.75" customHeight="1">
      <c r="A1960" s="258"/>
      <c r="B1960" s="258"/>
      <c r="C1960" s="269"/>
      <c r="D1960" s="258"/>
      <c r="E1960" s="258"/>
      <c r="F1960" s="258"/>
      <c r="G1960" s="258"/>
      <c r="H1960" s="271"/>
      <c r="I1960" s="258"/>
      <c r="J1960" s="272"/>
      <c r="K1960" s="260"/>
      <c r="L1960" s="261"/>
      <c r="M1960" s="262" t="str">
        <f t="shared" si="1"/>
        <v/>
      </c>
      <c r="N1960" s="263" t="str">
        <f t="shared" si="2"/>
        <v/>
      </c>
      <c r="O1960" s="264" t="str">
        <f t="shared" si="3"/>
        <v/>
      </c>
      <c r="P1960" s="265" t="str">
        <f>IFERROR(__xludf.DUMMYFUNCTION("IF(ISBLANK(A1960),"""",IFERROR(IF(H1960=""Sell"",VLOOKUP(9^99,FILTER({ROW(P$2:P1959),P$2:P1959},D$2:D1959=D1960),2),(VLOOKUP(9^99,FILTER({ROW(P$2:P1959),P$2:P1959},D$2:D1959=D1960),2)*VLOOKUP(9^99,FILTER({ROW(O$2:O1959),O$2:O1959},D$2:D1959=D1960),2)-N196"&amp;"0)/O1960),J1960))"),"")</f>
        <v/>
      </c>
      <c r="Q1960" s="264" t="str">
        <f>IFERROR(__xludf.DUMMYFUNCTION("IFERROR(IF(F1960=""Crypto"",B1960,(IF(ISBLANK(D1960),"""",IF(D1960=""Cash"",B1960,IF(GOOGLEFINANCE(D1960,""CURRENCY"")=""GBX"",""GBP"",GOOGLEFINANCE(D1960,""CURRENCY"")))))),B1960)"),"")</f>
        <v/>
      </c>
      <c r="R1960" s="263" t="str">
        <f>IFERROR(__xludf.DUMMYFUNCTION("IF(ISBLANK(A1960),"""",IFERROR(IF(OR(Q1960=""GPB"",Q1960=""ZAR""),IF(Q1960=Dashboard!$L$1,K1960,(K1960*GOOGLEFINANCE(""CURRENCY:""&amp;Q1960&amp;""""&amp;Dashboard!$L$1&amp;""""))/100),IF(Q1960=Dashboard!$L$1,K1960,K1960*GOOGLEFINANCE(""CURRENCY:""&amp;Q1960&amp;""""&amp;Dashboard!$"&amp;"L$1&amp;""""))),K1960))"),"")</f>
        <v/>
      </c>
      <c r="S1960" s="266" t="str">
        <f>IFERROR(__xludf.DUMMYFUNCTION("IF(ISBLANK(A1960),"""",IFERROR(IF(OR(Q1960=""GPB"",Q1960=""ZAR""),IF(Q1960=Dashboard!$L$1,M1960,(M1960*GOOGLEFINANCE(""CURRENCY:""&amp;Q1960&amp;""""&amp;Dashboard!$L$1&amp;""""))/100),IF(Q1960=Dashboard!$L$1,M1960,M1960*GOOGLEFINANCE(""CURRENCY:""&amp;Q1960&amp;""""&amp;Dashboard!$"&amp;"L$1&amp;""""))),M1960))"),"")</f>
        <v/>
      </c>
      <c r="T1960" s="264" t="str">
        <f t="shared" si="4"/>
        <v/>
      </c>
      <c r="U1960" s="264" t="str">
        <f t="shared" si="5"/>
        <v/>
      </c>
      <c r="V1960" s="264" t="str">
        <f t="shared" si="6"/>
        <v/>
      </c>
      <c r="W1960" s="267" t="str">
        <f t="shared" si="8"/>
        <v/>
      </c>
      <c r="X1960" s="264" t="str">
        <f t="shared" si="7"/>
        <v/>
      </c>
    </row>
    <row r="1961" ht="15.75" customHeight="1">
      <c r="A1961" s="258"/>
      <c r="B1961" s="258"/>
      <c r="C1961" s="269"/>
      <c r="D1961" s="258"/>
      <c r="E1961" s="258"/>
      <c r="F1961" s="258"/>
      <c r="G1961" s="258"/>
      <c r="H1961" s="271"/>
      <c r="I1961" s="258"/>
      <c r="J1961" s="272"/>
      <c r="K1961" s="260"/>
      <c r="L1961" s="261"/>
      <c r="M1961" s="262" t="str">
        <f t="shared" si="1"/>
        <v/>
      </c>
      <c r="N1961" s="263" t="str">
        <f t="shared" si="2"/>
        <v/>
      </c>
      <c r="O1961" s="264" t="str">
        <f t="shared" si="3"/>
        <v/>
      </c>
      <c r="P1961" s="265" t="str">
        <f>IFERROR(__xludf.DUMMYFUNCTION("IF(ISBLANK(A1961),"""",IFERROR(IF(H1961=""Sell"",VLOOKUP(9^99,FILTER({ROW(P$2:P1960),P$2:P1960},D$2:D1960=D1961),2),(VLOOKUP(9^99,FILTER({ROW(P$2:P1960),P$2:P1960},D$2:D1960=D1961),2)*VLOOKUP(9^99,FILTER({ROW(O$2:O1960),O$2:O1960},D$2:D1960=D1961),2)-N196"&amp;"1)/O1961),J1961))"),"")</f>
        <v/>
      </c>
      <c r="Q1961" s="264" t="str">
        <f>IFERROR(__xludf.DUMMYFUNCTION("IFERROR(IF(F1961=""Crypto"",B1961,(IF(ISBLANK(D1961),"""",IF(D1961=""Cash"",B1961,IF(GOOGLEFINANCE(D1961,""CURRENCY"")=""GBX"",""GBP"",GOOGLEFINANCE(D1961,""CURRENCY"")))))),B1961)"),"")</f>
        <v/>
      </c>
      <c r="R1961" s="263" t="str">
        <f>IFERROR(__xludf.DUMMYFUNCTION("IF(ISBLANK(A1961),"""",IFERROR(IF(OR(Q1961=""GPB"",Q1961=""ZAR""),IF(Q1961=Dashboard!$L$1,K1961,(K1961*GOOGLEFINANCE(""CURRENCY:""&amp;Q1961&amp;""""&amp;Dashboard!$L$1&amp;""""))/100),IF(Q1961=Dashboard!$L$1,K1961,K1961*GOOGLEFINANCE(""CURRENCY:""&amp;Q1961&amp;""""&amp;Dashboard!$"&amp;"L$1&amp;""""))),K1961))"),"")</f>
        <v/>
      </c>
      <c r="S1961" s="266" t="str">
        <f>IFERROR(__xludf.DUMMYFUNCTION("IF(ISBLANK(A1961),"""",IFERROR(IF(OR(Q1961=""GPB"",Q1961=""ZAR""),IF(Q1961=Dashboard!$L$1,M1961,(M1961*GOOGLEFINANCE(""CURRENCY:""&amp;Q1961&amp;""""&amp;Dashboard!$L$1&amp;""""))/100),IF(Q1961=Dashboard!$L$1,M1961,M1961*GOOGLEFINANCE(""CURRENCY:""&amp;Q1961&amp;""""&amp;Dashboard!$"&amp;"L$1&amp;""""))),M1961))"),"")</f>
        <v/>
      </c>
      <c r="T1961" s="264" t="str">
        <f t="shared" si="4"/>
        <v/>
      </c>
      <c r="U1961" s="264" t="str">
        <f t="shared" si="5"/>
        <v/>
      </c>
      <c r="V1961" s="264" t="str">
        <f t="shared" si="6"/>
        <v/>
      </c>
      <c r="W1961" s="267" t="str">
        <f t="shared" si="8"/>
        <v/>
      </c>
      <c r="X1961" s="264" t="str">
        <f t="shared" si="7"/>
        <v/>
      </c>
    </row>
    <row r="1962" ht="15.75" customHeight="1">
      <c r="A1962" s="258"/>
      <c r="B1962" s="258"/>
      <c r="C1962" s="269"/>
      <c r="D1962" s="258"/>
      <c r="E1962" s="258"/>
      <c r="F1962" s="258"/>
      <c r="G1962" s="258"/>
      <c r="H1962" s="271"/>
      <c r="I1962" s="258"/>
      <c r="J1962" s="272"/>
      <c r="K1962" s="260"/>
      <c r="L1962" s="261"/>
      <c r="M1962" s="262" t="str">
        <f t="shared" si="1"/>
        <v/>
      </c>
      <c r="N1962" s="263" t="str">
        <f t="shared" si="2"/>
        <v/>
      </c>
      <c r="O1962" s="264" t="str">
        <f t="shared" si="3"/>
        <v/>
      </c>
      <c r="P1962" s="265" t="str">
        <f>IFERROR(__xludf.DUMMYFUNCTION("IF(ISBLANK(A1962),"""",IFERROR(IF(H1962=""Sell"",VLOOKUP(9^99,FILTER({ROW(P$2:P1961),P$2:P1961},D$2:D1961=D1962),2),(VLOOKUP(9^99,FILTER({ROW(P$2:P1961),P$2:P1961},D$2:D1961=D1962),2)*VLOOKUP(9^99,FILTER({ROW(O$2:O1961),O$2:O1961},D$2:D1961=D1962),2)-N196"&amp;"2)/O1962),J1962))"),"")</f>
        <v/>
      </c>
      <c r="Q1962" s="264" t="str">
        <f>IFERROR(__xludf.DUMMYFUNCTION("IFERROR(IF(F1962=""Crypto"",B1962,(IF(ISBLANK(D1962),"""",IF(D1962=""Cash"",B1962,IF(GOOGLEFINANCE(D1962,""CURRENCY"")=""GBX"",""GBP"",GOOGLEFINANCE(D1962,""CURRENCY"")))))),B1962)"),"")</f>
        <v/>
      </c>
      <c r="R1962" s="263" t="str">
        <f>IFERROR(__xludf.DUMMYFUNCTION("IF(ISBLANK(A1962),"""",IFERROR(IF(OR(Q1962=""GPB"",Q1962=""ZAR""),IF(Q1962=Dashboard!$L$1,K1962,(K1962*GOOGLEFINANCE(""CURRENCY:""&amp;Q1962&amp;""""&amp;Dashboard!$L$1&amp;""""))/100),IF(Q1962=Dashboard!$L$1,K1962,K1962*GOOGLEFINANCE(""CURRENCY:""&amp;Q1962&amp;""""&amp;Dashboard!$"&amp;"L$1&amp;""""))),K1962))"),"")</f>
        <v/>
      </c>
      <c r="S1962" s="266" t="str">
        <f>IFERROR(__xludf.DUMMYFUNCTION("IF(ISBLANK(A1962),"""",IFERROR(IF(OR(Q1962=""GPB"",Q1962=""ZAR""),IF(Q1962=Dashboard!$L$1,M1962,(M1962*GOOGLEFINANCE(""CURRENCY:""&amp;Q1962&amp;""""&amp;Dashboard!$L$1&amp;""""))/100),IF(Q1962=Dashboard!$L$1,M1962,M1962*GOOGLEFINANCE(""CURRENCY:""&amp;Q1962&amp;""""&amp;Dashboard!$"&amp;"L$1&amp;""""))),M1962))"),"")</f>
        <v/>
      </c>
      <c r="T1962" s="264" t="str">
        <f t="shared" si="4"/>
        <v/>
      </c>
      <c r="U1962" s="264" t="str">
        <f t="shared" si="5"/>
        <v/>
      </c>
      <c r="V1962" s="264" t="str">
        <f t="shared" si="6"/>
        <v/>
      </c>
      <c r="W1962" s="267" t="str">
        <f t="shared" si="8"/>
        <v/>
      </c>
      <c r="X1962" s="264" t="str">
        <f t="shared" si="7"/>
        <v/>
      </c>
    </row>
    <row r="1963" ht="15.75" customHeight="1">
      <c r="A1963" s="258"/>
      <c r="B1963" s="258"/>
      <c r="C1963" s="269"/>
      <c r="D1963" s="258"/>
      <c r="E1963" s="258"/>
      <c r="F1963" s="258"/>
      <c r="G1963" s="258"/>
      <c r="H1963" s="271"/>
      <c r="I1963" s="258"/>
      <c r="J1963" s="272"/>
      <c r="K1963" s="260"/>
      <c r="L1963" s="261"/>
      <c r="M1963" s="262" t="str">
        <f t="shared" si="1"/>
        <v/>
      </c>
      <c r="N1963" s="263" t="str">
        <f t="shared" si="2"/>
        <v/>
      </c>
      <c r="O1963" s="264" t="str">
        <f t="shared" si="3"/>
        <v/>
      </c>
      <c r="P1963" s="265" t="str">
        <f>IFERROR(__xludf.DUMMYFUNCTION("IF(ISBLANK(A1963),"""",IFERROR(IF(H1963=""Sell"",VLOOKUP(9^99,FILTER({ROW(P$2:P1962),P$2:P1962},D$2:D1962=D1963),2),(VLOOKUP(9^99,FILTER({ROW(P$2:P1962),P$2:P1962},D$2:D1962=D1963),2)*VLOOKUP(9^99,FILTER({ROW(O$2:O1962),O$2:O1962},D$2:D1962=D1963),2)-N196"&amp;"3)/O1963),J1963))"),"")</f>
        <v/>
      </c>
      <c r="Q1963" s="264" t="str">
        <f>IFERROR(__xludf.DUMMYFUNCTION("IFERROR(IF(F1963=""Crypto"",B1963,(IF(ISBLANK(D1963),"""",IF(D1963=""Cash"",B1963,IF(GOOGLEFINANCE(D1963,""CURRENCY"")=""GBX"",""GBP"",GOOGLEFINANCE(D1963,""CURRENCY"")))))),B1963)"),"")</f>
        <v/>
      </c>
      <c r="R1963" s="263" t="str">
        <f>IFERROR(__xludf.DUMMYFUNCTION("IF(ISBLANK(A1963),"""",IFERROR(IF(OR(Q1963=""GPB"",Q1963=""ZAR""),IF(Q1963=Dashboard!$L$1,K1963,(K1963*GOOGLEFINANCE(""CURRENCY:""&amp;Q1963&amp;""""&amp;Dashboard!$L$1&amp;""""))/100),IF(Q1963=Dashboard!$L$1,K1963,K1963*GOOGLEFINANCE(""CURRENCY:""&amp;Q1963&amp;""""&amp;Dashboard!$"&amp;"L$1&amp;""""))),K1963))"),"")</f>
        <v/>
      </c>
      <c r="S1963" s="266" t="str">
        <f>IFERROR(__xludf.DUMMYFUNCTION("IF(ISBLANK(A1963),"""",IFERROR(IF(OR(Q1963=""GPB"",Q1963=""ZAR""),IF(Q1963=Dashboard!$L$1,M1963,(M1963*GOOGLEFINANCE(""CURRENCY:""&amp;Q1963&amp;""""&amp;Dashboard!$L$1&amp;""""))/100),IF(Q1963=Dashboard!$L$1,M1963,M1963*GOOGLEFINANCE(""CURRENCY:""&amp;Q1963&amp;""""&amp;Dashboard!$"&amp;"L$1&amp;""""))),M1963))"),"")</f>
        <v/>
      </c>
      <c r="T1963" s="264" t="str">
        <f t="shared" si="4"/>
        <v/>
      </c>
      <c r="U1963" s="264" t="str">
        <f t="shared" si="5"/>
        <v/>
      </c>
      <c r="V1963" s="264" t="str">
        <f t="shared" si="6"/>
        <v/>
      </c>
      <c r="W1963" s="267" t="str">
        <f t="shared" si="8"/>
        <v/>
      </c>
      <c r="X1963" s="264" t="str">
        <f t="shared" si="7"/>
        <v/>
      </c>
    </row>
    <row r="1964" ht="15.75" customHeight="1">
      <c r="A1964" s="258"/>
      <c r="B1964" s="258"/>
      <c r="C1964" s="269"/>
      <c r="D1964" s="258"/>
      <c r="E1964" s="258"/>
      <c r="F1964" s="258"/>
      <c r="G1964" s="258"/>
      <c r="H1964" s="271"/>
      <c r="I1964" s="258"/>
      <c r="J1964" s="272"/>
      <c r="K1964" s="260"/>
      <c r="L1964" s="261"/>
      <c r="M1964" s="262" t="str">
        <f t="shared" si="1"/>
        <v/>
      </c>
      <c r="N1964" s="263" t="str">
        <f t="shared" si="2"/>
        <v/>
      </c>
      <c r="O1964" s="264" t="str">
        <f t="shared" si="3"/>
        <v/>
      </c>
      <c r="P1964" s="265" t="str">
        <f>IFERROR(__xludf.DUMMYFUNCTION("IF(ISBLANK(A1964),"""",IFERROR(IF(H1964=""Sell"",VLOOKUP(9^99,FILTER({ROW(P$2:P1963),P$2:P1963},D$2:D1963=D1964),2),(VLOOKUP(9^99,FILTER({ROW(P$2:P1963),P$2:P1963},D$2:D1963=D1964),2)*VLOOKUP(9^99,FILTER({ROW(O$2:O1963),O$2:O1963},D$2:D1963=D1964),2)-N196"&amp;"4)/O1964),J1964))"),"")</f>
        <v/>
      </c>
      <c r="Q1964" s="264" t="str">
        <f>IFERROR(__xludf.DUMMYFUNCTION("IFERROR(IF(F1964=""Crypto"",B1964,(IF(ISBLANK(D1964),"""",IF(D1964=""Cash"",B1964,IF(GOOGLEFINANCE(D1964,""CURRENCY"")=""GBX"",""GBP"",GOOGLEFINANCE(D1964,""CURRENCY"")))))),B1964)"),"")</f>
        <v/>
      </c>
      <c r="R1964" s="263" t="str">
        <f>IFERROR(__xludf.DUMMYFUNCTION("IF(ISBLANK(A1964),"""",IFERROR(IF(OR(Q1964=""GPB"",Q1964=""ZAR""),IF(Q1964=Dashboard!$L$1,K1964,(K1964*GOOGLEFINANCE(""CURRENCY:""&amp;Q1964&amp;""""&amp;Dashboard!$L$1&amp;""""))/100),IF(Q1964=Dashboard!$L$1,K1964,K1964*GOOGLEFINANCE(""CURRENCY:""&amp;Q1964&amp;""""&amp;Dashboard!$"&amp;"L$1&amp;""""))),K1964))"),"")</f>
        <v/>
      </c>
      <c r="S1964" s="266" t="str">
        <f>IFERROR(__xludf.DUMMYFUNCTION("IF(ISBLANK(A1964),"""",IFERROR(IF(OR(Q1964=""GPB"",Q1964=""ZAR""),IF(Q1964=Dashboard!$L$1,M1964,(M1964*GOOGLEFINANCE(""CURRENCY:""&amp;Q1964&amp;""""&amp;Dashboard!$L$1&amp;""""))/100),IF(Q1964=Dashboard!$L$1,M1964,M1964*GOOGLEFINANCE(""CURRENCY:""&amp;Q1964&amp;""""&amp;Dashboard!$"&amp;"L$1&amp;""""))),M1964))"),"")</f>
        <v/>
      </c>
      <c r="T1964" s="264" t="str">
        <f t="shared" si="4"/>
        <v/>
      </c>
      <c r="U1964" s="264" t="str">
        <f t="shared" si="5"/>
        <v/>
      </c>
      <c r="V1964" s="264" t="str">
        <f t="shared" si="6"/>
        <v/>
      </c>
      <c r="W1964" s="267" t="str">
        <f t="shared" si="8"/>
        <v/>
      </c>
      <c r="X1964" s="264" t="str">
        <f t="shared" si="7"/>
        <v/>
      </c>
    </row>
    <row r="1965" ht="15.75" customHeight="1">
      <c r="A1965" s="258"/>
      <c r="B1965" s="258"/>
      <c r="C1965" s="269"/>
      <c r="D1965" s="258"/>
      <c r="E1965" s="258"/>
      <c r="F1965" s="258"/>
      <c r="G1965" s="258"/>
      <c r="H1965" s="271"/>
      <c r="I1965" s="258"/>
      <c r="J1965" s="272"/>
      <c r="K1965" s="260"/>
      <c r="L1965" s="261"/>
      <c r="M1965" s="262" t="str">
        <f t="shared" si="1"/>
        <v/>
      </c>
      <c r="N1965" s="263" t="str">
        <f t="shared" si="2"/>
        <v/>
      </c>
      <c r="O1965" s="264" t="str">
        <f t="shared" si="3"/>
        <v/>
      </c>
      <c r="P1965" s="265" t="str">
        <f>IFERROR(__xludf.DUMMYFUNCTION("IF(ISBLANK(A1965),"""",IFERROR(IF(H1965=""Sell"",VLOOKUP(9^99,FILTER({ROW(P$2:P1964),P$2:P1964},D$2:D1964=D1965),2),(VLOOKUP(9^99,FILTER({ROW(P$2:P1964),P$2:P1964},D$2:D1964=D1965),2)*VLOOKUP(9^99,FILTER({ROW(O$2:O1964),O$2:O1964},D$2:D1964=D1965),2)-N196"&amp;"5)/O1965),J1965))"),"")</f>
        <v/>
      </c>
      <c r="Q1965" s="264" t="str">
        <f>IFERROR(__xludf.DUMMYFUNCTION("IFERROR(IF(F1965=""Crypto"",B1965,(IF(ISBLANK(D1965),"""",IF(D1965=""Cash"",B1965,IF(GOOGLEFINANCE(D1965,""CURRENCY"")=""GBX"",""GBP"",GOOGLEFINANCE(D1965,""CURRENCY"")))))),B1965)"),"")</f>
        <v/>
      </c>
      <c r="R1965" s="263" t="str">
        <f>IFERROR(__xludf.DUMMYFUNCTION("IF(ISBLANK(A1965),"""",IFERROR(IF(OR(Q1965=""GPB"",Q1965=""ZAR""),IF(Q1965=Dashboard!$L$1,K1965,(K1965*GOOGLEFINANCE(""CURRENCY:""&amp;Q1965&amp;""""&amp;Dashboard!$L$1&amp;""""))/100),IF(Q1965=Dashboard!$L$1,K1965,K1965*GOOGLEFINANCE(""CURRENCY:""&amp;Q1965&amp;""""&amp;Dashboard!$"&amp;"L$1&amp;""""))),K1965))"),"")</f>
        <v/>
      </c>
      <c r="S1965" s="266" t="str">
        <f>IFERROR(__xludf.DUMMYFUNCTION("IF(ISBLANK(A1965),"""",IFERROR(IF(OR(Q1965=""GPB"",Q1965=""ZAR""),IF(Q1965=Dashboard!$L$1,M1965,(M1965*GOOGLEFINANCE(""CURRENCY:""&amp;Q1965&amp;""""&amp;Dashboard!$L$1&amp;""""))/100),IF(Q1965=Dashboard!$L$1,M1965,M1965*GOOGLEFINANCE(""CURRENCY:""&amp;Q1965&amp;""""&amp;Dashboard!$"&amp;"L$1&amp;""""))),M1965))"),"")</f>
        <v/>
      </c>
      <c r="T1965" s="264" t="str">
        <f t="shared" si="4"/>
        <v/>
      </c>
      <c r="U1965" s="264" t="str">
        <f t="shared" si="5"/>
        <v/>
      </c>
      <c r="V1965" s="264" t="str">
        <f t="shared" si="6"/>
        <v/>
      </c>
      <c r="W1965" s="267" t="str">
        <f t="shared" si="8"/>
        <v/>
      </c>
      <c r="X1965" s="264" t="str">
        <f t="shared" si="7"/>
        <v/>
      </c>
    </row>
    <row r="1966" ht="15.75" customHeight="1">
      <c r="A1966" s="258"/>
      <c r="B1966" s="258"/>
      <c r="C1966" s="269"/>
      <c r="D1966" s="258"/>
      <c r="E1966" s="258"/>
      <c r="F1966" s="258"/>
      <c r="G1966" s="258"/>
      <c r="H1966" s="271"/>
      <c r="I1966" s="258"/>
      <c r="J1966" s="272"/>
      <c r="K1966" s="260"/>
      <c r="L1966" s="261"/>
      <c r="M1966" s="262" t="str">
        <f t="shared" si="1"/>
        <v/>
      </c>
      <c r="N1966" s="263" t="str">
        <f t="shared" si="2"/>
        <v/>
      </c>
      <c r="O1966" s="264" t="str">
        <f t="shared" si="3"/>
        <v/>
      </c>
      <c r="P1966" s="265" t="str">
        <f>IFERROR(__xludf.DUMMYFUNCTION("IF(ISBLANK(A1966),"""",IFERROR(IF(H1966=""Sell"",VLOOKUP(9^99,FILTER({ROW(P$2:P1965),P$2:P1965},D$2:D1965=D1966),2),(VLOOKUP(9^99,FILTER({ROW(P$2:P1965),P$2:P1965},D$2:D1965=D1966),2)*VLOOKUP(9^99,FILTER({ROW(O$2:O1965),O$2:O1965},D$2:D1965=D1966),2)-N196"&amp;"6)/O1966),J1966))"),"")</f>
        <v/>
      </c>
      <c r="Q1966" s="264" t="str">
        <f>IFERROR(__xludf.DUMMYFUNCTION("IFERROR(IF(F1966=""Crypto"",B1966,(IF(ISBLANK(D1966),"""",IF(D1966=""Cash"",B1966,IF(GOOGLEFINANCE(D1966,""CURRENCY"")=""GBX"",""GBP"",GOOGLEFINANCE(D1966,""CURRENCY"")))))),B1966)"),"")</f>
        <v/>
      </c>
      <c r="R1966" s="263" t="str">
        <f>IFERROR(__xludf.DUMMYFUNCTION("IF(ISBLANK(A1966),"""",IFERROR(IF(OR(Q1966=""GPB"",Q1966=""ZAR""),IF(Q1966=Dashboard!$L$1,K1966,(K1966*GOOGLEFINANCE(""CURRENCY:""&amp;Q1966&amp;""""&amp;Dashboard!$L$1&amp;""""))/100),IF(Q1966=Dashboard!$L$1,K1966,K1966*GOOGLEFINANCE(""CURRENCY:""&amp;Q1966&amp;""""&amp;Dashboard!$"&amp;"L$1&amp;""""))),K1966))"),"")</f>
        <v/>
      </c>
      <c r="S1966" s="266" t="str">
        <f>IFERROR(__xludf.DUMMYFUNCTION("IF(ISBLANK(A1966),"""",IFERROR(IF(OR(Q1966=""GPB"",Q1966=""ZAR""),IF(Q1966=Dashboard!$L$1,M1966,(M1966*GOOGLEFINANCE(""CURRENCY:""&amp;Q1966&amp;""""&amp;Dashboard!$L$1&amp;""""))/100),IF(Q1966=Dashboard!$L$1,M1966,M1966*GOOGLEFINANCE(""CURRENCY:""&amp;Q1966&amp;""""&amp;Dashboard!$"&amp;"L$1&amp;""""))),M1966))"),"")</f>
        <v/>
      </c>
      <c r="T1966" s="264" t="str">
        <f t="shared" si="4"/>
        <v/>
      </c>
      <c r="U1966" s="264" t="str">
        <f t="shared" si="5"/>
        <v/>
      </c>
      <c r="V1966" s="264" t="str">
        <f t="shared" si="6"/>
        <v/>
      </c>
      <c r="W1966" s="267" t="str">
        <f t="shared" si="8"/>
        <v/>
      </c>
      <c r="X1966" s="264" t="str">
        <f t="shared" si="7"/>
        <v/>
      </c>
    </row>
    <row r="1967" ht="15.75" customHeight="1">
      <c r="A1967" s="258"/>
      <c r="B1967" s="258"/>
      <c r="C1967" s="269"/>
      <c r="D1967" s="258"/>
      <c r="E1967" s="258"/>
      <c r="F1967" s="258"/>
      <c r="G1967" s="258"/>
      <c r="H1967" s="271"/>
      <c r="I1967" s="258"/>
      <c r="J1967" s="272"/>
      <c r="K1967" s="260"/>
      <c r="L1967" s="261"/>
      <c r="M1967" s="262" t="str">
        <f t="shared" si="1"/>
        <v/>
      </c>
      <c r="N1967" s="263" t="str">
        <f t="shared" si="2"/>
        <v/>
      </c>
      <c r="O1967" s="264" t="str">
        <f t="shared" si="3"/>
        <v/>
      </c>
      <c r="P1967" s="265" t="str">
        <f>IFERROR(__xludf.DUMMYFUNCTION("IF(ISBLANK(A1967),"""",IFERROR(IF(H1967=""Sell"",VLOOKUP(9^99,FILTER({ROW(P$2:P1966),P$2:P1966},D$2:D1966=D1967),2),(VLOOKUP(9^99,FILTER({ROW(P$2:P1966),P$2:P1966},D$2:D1966=D1967),2)*VLOOKUP(9^99,FILTER({ROW(O$2:O1966),O$2:O1966},D$2:D1966=D1967),2)-N196"&amp;"7)/O1967),J1967))"),"")</f>
        <v/>
      </c>
      <c r="Q1967" s="264" t="str">
        <f>IFERROR(__xludf.DUMMYFUNCTION("IFERROR(IF(F1967=""Crypto"",B1967,(IF(ISBLANK(D1967),"""",IF(D1967=""Cash"",B1967,IF(GOOGLEFINANCE(D1967,""CURRENCY"")=""GBX"",""GBP"",GOOGLEFINANCE(D1967,""CURRENCY"")))))),B1967)"),"")</f>
        <v/>
      </c>
      <c r="R1967" s="263" t="str">
        <f>IFERROR(__xludf.DUMMYFUNCTION("IF(ISBLANK(A1967),"""",IFERROR(IF(OR(Q1967=""GPB"",Q1967=""ZAR""),IF(Q1967=Dashboard!$L$1,K1967,(K1967*GOOGLEFINANCE(""CURRENCY:""&amp;Q1967&amp;""""&amp;Dashboard!$L$1&amp;""""))/100),IF(Q1967=Dashboard!$L$1,K1967,K1967*GOOGLEFINANCE(""CURRENCY:""&amp;Q1967&amp;""""&amp;Dashboard!$"&amp;"L$1&amp;""""))),K1967))"),"")</f>
        <v/>
      </c>
      <c r="S1967" s="266" t="str">
        <f>IFERROR(__xludf.DUMMYFUNCTION("IF(ISBLANK(A1967),"""",IFERROR(IF(OR(Q1967=""GPB"",Q1967=""ZAR""),IF(Q1967=Dashboard!$L$1,M1967,(M1967*GOOGLEFINANCE(""CURRENCY:""&amp;Q1967&amp;""""&amp;Dashboard!$L$1&amp;""""))/100),IF(Q1967=Dashboard!$L$1,M1967,M1967*GOOGLEFINANCE(""CURRENCY:""&amp;Q1967&amp;""""&amp;Dashboard!$"&amp;"L$1&amp;""""))),M1967))"),"")</f>
        <v/>
      </c>
      <c r="T1967" s="264" t="str">
        <f t="shared" si="4"/>
        <v/>
      </c>
      <c r="U1967" s="264" t="str">
        <f t="shared" si="5"/>
        <v/>
      </c>
      <c r="V1967" s="264" t="str">
        <f t="shared" si="6"/>
        <v/>
      </c>
      <c r="W1967" s="267" t="str">
        <f t="shared" si="8"/>
        <v/>
      </c>
      <c r="X1967" s="264" t="str">
        <f t="shared" si="7"/>
        <v/>
      </c>
    </row>
    <row r="1968" ht="15.75" customHeight="1">
      <c r="A1968" s="258"/>
      <c r="B1968" s="258"/>
      <c r="C1968" s="269"/>
      <c r="D1968" s="258"/>
      <c r="E1968" s="258"/>
      <c r="F1968" s="258"/>
      <c r="G1968" s="258"/>
      <c r="H1968" s="271"/>
      <c r="I1968" s="258"/>
      <c r="J1968" s="272"/>
      <c r="K1968" s="260"/>
      <c r="L1968" s="261"/>
      <c r="M1968" s="262" t="str">
        <f t="shared" si="1"/>
        <v/>
      </c>
      <c r="N1968" s="263" t="str">
        <f t="shared" si="2"/>
        <v/>
      </c>
      <c r="O1968" s="264" t="str">
        <f t="shared" si="3"/>
        <v/>
      </c>
      <c r="P1968" s="265" t="str">
        <f>IFERROR(__xludf.DUMMYFUNCTION("IF(ISBLANK(A1968),"""",IFERROR(IF(H1968=""Sell"",VLOOKUP(9^99,FILTER({ROW(P$2:P1967),P$2:P1967},D$2:D1967=D1968),2),(VLOOKUP(9^99,FILTER({ROW(P$2:P1967),P$2:P1967},D$2:D1967=D1968),2)*VLOOKUP(9^99,FILTER({ROW(O$2:O1967),O$2:O1967},D$2:D1967=D1968),2)-N196"&amp;"8)/O1968),J1968))"),"")</f>
        <v/>
      </c>
      <c r="Q1968" s="264" t="str">
        <f>IFERROR(__xludf.DUMMYFUNCTION("IFERROR(IF(F1968=""Crypto"",B1968,(IF(ISBLANK(D1968),"""",IF(D1968=""Cash"",B1968,IF(GOOGLEFINANCE(D1968,""CURRENCY"")=""GBX"",""GBP"",GOOGLEFINANCE(D1968,""CURRENCY"")))))),B1968)"),"")</f>
        <v/>
      </c>
      <c r="R1968" s="263" t="str">
        <f>IFERROR(__xludf.DUMMYFUNCTION("IF(ISBLANK(A1968),"""",IFERROR(IF(OR(Q1968=""GPB"",Q1968=""ZAR""),IF(Q1968=Dashboard!$L$1,K1968,(K1968*GOOGLEFINANCE(""CURRENCY:""&amp;Q1968&amp;""""&amp;Dashboard!$L$1&amp;""""))/100),IF(Q1968=Dashboard!$L$1,K1968,K1968*GOOGLEFINANCE(""CURRENCY:""&amp;Q1968&amp;""""&amp;Dashboard!$"&amp;"L$1&amp;""""))),K1968))"),"")</f>
        <v/>
      </c>
      <c r="S1968" s="266" t="str">
        <f>IFERROR(__xludf.DUMMYFUNCTION("IF(ISBLANK(A1968),"""",IFERROR(IF(OR(Q1968=""GPB"",Q1968=""ZAR""),IF(Q1968=Dashboard!$L$1,M1968,(M1968*GOOGLEFINANCE(""CURRENCY:""&amp;Q1968&amp;""""&amp;Dashboard!$L$1&amp;""""))/100),IF(Q1968=Dashboard!$L$1,M1968,M1968*GOOGLEFINANCE(""CURRENCY:""&amp;Q1968&amp;""""&amp;Dashboard!$"&amp;"L$1&amp;""""))),M1968))"),"")</f>
        <v/>
      </c>
      <c r="T1968" s="264" t="str">
        <f t="shared" si="4"/>
        <v/>
      </c>
      <c r="U1968" s="264" t="str">
        <f t="shared" si="5"/>
        <v/>
      </c>
      <c r="V1968" s="264" t="str">
        <f t="shared" si="6"/>
        <v/>
      </c>
      <c r="W1968" s="267" t="str">
        <f t="shared" si="8"/>
        <v/>
      </c>
      <c r="X1968" s="264" t="str">
        <f t="shared" si="7"/>
        <v/>
      </c>
    </row>
    <row r="1969" ht="15.75" customHeight="1">
      <c r="A1969" s="258"/>
      <c r="B1969" s="258"/>
      <c r="C1969" s="269"/>
      <c r="D1969" s="258"/>
      <c r="E1969" s="258"/>
      <c r="F1969" s="258"/>
      <c r="G1969" s="258"/>
      <c r="H1969" s="271"/>
      <c r="I1969" s="258"/>
      <c r="J1969" s="272"/>
      <c r="K1969" s="260"/>
      <c r="L1969" s="261"/>
      <c r="M1969" s="262" t="str">
        <f t="shared" si="1"/>
        <v/>
      </c>
      <c r="N1969" s="263" t="str">
        <f t="shared" si="2"/>
        <v/>
      </c>
      <c r="O1969" s="264" t="str">
        <f t="shared" si="3"/>
        <v/>
      </c>
      <c r="P1969" s="265" t="str">
        <f>IFERROR(__xludf.DUMMYFUNCTION("IF(ISBLANK(A1969),"""",IFERROR(IF(H1969=""Sell"",VLOOKUP(9^99,FILTER({ROW(P$2:P1968),P$2:P1968},D$2:D1968=D1969),2),(VLOOKUP(9^99,FILTER({ROW(P$2:P1968),P$2:P1968},D$2:D1968=D1969),2)*VLOOKUP(9^99,FILTER({ROW(O$2:O1968),O$2:O1968},D$2:D1968=D1969),2)-N196"&amp;"9)/O1969),J1969))"),"")</f>
        <v/>
      </c>
      <c r="Q1969" s="264" t="str">
        <f>IFERROR(__xludf.DUMMYFUNCTION("IFERROR(IF(F1969=""Crypto"",B1969,(IF(ISBLANK(D1969),"""",IF(D1969=""Cash"",B1969,IF(GOOGLEFINANCE(D1969,""CURRENCY"")=""GBX"",""GBP"",GOOGLEFINANCE(D1969,""CURRENCY"")))))),B1969)"),"")</f>
        <v/>
      </c>
      <c r="R1969" s="263" t="str">
        <f>IFERROR(__xludf.DUMMYFUNCTION("IF(ISBLANK(A1969),"""",IFERROR(IF(OR(Q1969=""GPB"",Q1969=""ZAR""),IF(Q1969=Dashboard!$L$1,K1969,(K1969*GOOGLEFINANCE(""CURRENCY:""&amp;Q1969&amp;""""&amp;Dashboard!$L$1&amp;""""))/100),IF(Q1969=Dashboard!$L$1,K1969,K1969*GOOGLEFINANCE(""CURRENCY:""&amp;Q1969&amp;""""&amp;Dashboard!$"&amp;"L$1&amp;""""))),K1969))"),"")</f>
        <v/>
      </c>
      <c r="S1969" s="266" t="str">
        <f>IFERROR(__xludf.DUMMYFUNCTION("IF(ISBLANK(A1969),"""",IFERROR(IF(OR(Q1969=""GPB"",Q1969=""ZAR""),IF(Q1969=Dashboard!$L$1,M1969,(M1969*GOOGLEFINANCE(""CURRENCY:""&amp;Q1969&amp;""""&amp;Dashboard!$L$1&amp;""""))/100),IF(Q1969=Dashboard!$L$1,M1969,M1969*GOOGLEFINANCE(""CURRENCY:""&amp;Q1969&amp;""""&amp;Dashboard!$"&amp;"L$1&amp;""""))),M1969))"),"")</f>
        <v/>
      </c>
      <c r="T1969" s="264" t="str">
        <f t="shared" si="4"/>
        <v/>
      </c>
      <c r="U1969" s="264" t="str">
        <f t="shared" si="5"/>
        <v/>
      </c>
      <c r="V1969" s="264" t="str">
        <f t="shared" si="6"/>
        <v/>
      </c>
      <c r="W1969" s="267" t="str">
        <f t="shared" si="8"/>
        <v/>
      </c>
      <c r="X1969" s="264" t="str">
        <f t="shared" si="7"/>
        <v/>
      </c>
    </row>
    <row r="1970" ht="15.75" customHeight="1">
      <c r="A1970" s="258"/>
      <c r="B1970" s="258"/>
      <c r="C1970" s="269"/>
      <c r="D1970" s="258"/>
      <c r="E1970" s="258"/>
      <c r="F1970" s="258"/>
      <c r="G1970" s="258"/>
      <c r="H1970" s="271"/>
      <c r="I1970" s="258"/>
      <c r="J1970" s="272"/>
      <c r="K1970" s="260"/>
      <c r="L1970" s="261"/>
      <c r="M1970" s="262" t="str">
        <f t="shared" si="1"/>
        <v/>
      </c>
      <c r="N1970" s="263" t="str">
        <f t="shared" si="2"/>
        <v/>
      </c>
      <c r="O1970" s="264" t="str">
        <f t="shared" si="3"/>
        <v/>
      </c>
      <c r="P1970" s="265" t="str">
        <f>IFERROR(__xludf.DUMMYFUNCTION("IF(ISBLANK(A1970),"""",IFERROR(IF(H1970=""Sell"",VLOOKUP(9^99,FILTER({ROW(P$2:P1969),P$2:P1969},D$2:D1969=D1970),2),(VLOOKUP(9^99,FILTER({ROW(P$2:P1969),P$2:P1969},D$2:D1969=D1970),2)*VLOOKUP(9^99,FILTER({ROW(O$2:O1969),O$2:O1969},D$2:D1969=D1970),2)-N197"&amp;"0)/O1970),J1970))"),"")</f>
        <v/>
      </c>
      <c r="Q1970" s="264" t="str">
        <f>IFERROR(__xludf.DUMMYFUNCTION("IFERROR(IF(F1970=""Crypto"",B1970,(IF(ISBLANK(D1970),"""",IF(D1970=""Cash"",B1970,IF(GOOGLEFINANCE(D1970,""CURRENCY"")=""GBX"",""GBP"",GOOGLEFINANCE(D1970,""CURRENCY"")))))),B1970)"),"")</f>
        <v/>
      </c>
      <c r="R1970" s="263" t="str">
        <f>IFERROR(__xludf.DUMMYFUNCTION("IF(ISBLANK(A1970),"""",IFERROR(IF(OR(Q1970=""GPB"",Q1970=""ZAR""),IF(Q1970=Dashboard!$L$1,K1970,(K1970*GOOGLEFINANCE(""CURRENCY:""&amp;Q1970&amp;""""&amp;Dashboard!$L$1&amp;""""))/100),IF(Q1970=Dashboard!$L$1,K1970,K1970*GOOGLEFINANCE(""CURRENCY:""&amp;Q1970&amp;""""&amp;Dashboard!$"&amp;"L$1&amp;""""))),K1970))"),"")</f>
        <v/>
      </c>
      <c r="S1970" s="266" t="str">
        <f>IFERROR(__xludf.DUMMYFUNCTION("IF(ISBLANK(A1970),"""",IFERROR(IF(OR(Q1970=""GPB"",Q1970=""ZAR""),IF(Q1970=Dashboard!$L$1,M1970,(M1970*GOOGLEFINANCE(""CURRENCY:""&amp;Q1970&amp;""""&amp;Dashboard!$L$1&amp;""""))/100),IF(Q1970=Dashboard!$L$1,M1970,M1970*GOOGLEFINANCE(""CURRENCY:""&amp;Q1970&amp;""""&amp;Dashboard!$"&amp;"L$1&amp;""""))),M1970))"),"")</f>
        <v/>
      </c>
      <c r="T1970" s="264" t="str">
        <f t="shared" si="4"/>
        <v/>
      </c>
      <c r="U1970" s="264" t="str">
        <f t="shared" si="5"/>
        <v/>
      </c>
      <c r="V1970" s="264" t="str">
        <f t="shared" si="6"/>
        <v/>
      </c>
      <c r="W1970" s="267" t="str">
        <f t="shared" si="8"/>
        <v/>
      </c>
      <c r="X1970" s="264" t="str">
        <f t="shared" si="7"/>
        <v/>
      </c>
    </row>
    <row r="1971" ht="15.75" customHeight="1">
      <c r="A1971" s="258"/>
      <c r="B1971" s="258"/>
      <c r="C1971" s="269"/>
      <c r="D1971" s="258"/>
      <c r="E1971" s="258"/>
      <c r="F1971" s="258"/>
      <c r="G1971" s="258"/>
      <c r="H1971" s="271"/>
      <c r="I1971" s="258"/>
      <c r="J1971" s="272"/>
      <c r="K1971" s="260"/>
      <c r="L1971" s="261"/>
      <c r="M1971" s="262" t="str">
        <f t="shared" si="1"/>
        <v/>
      </c>
      <c r="N1971" s="263" t="str">
        <f t="shared" si="2"/>
        <v/>
      </c>
      <c r="O1971" s="264" t="str">
        <f t="shared" si="3"/>
        <v/>
      </c>
      <c r="P1971" s="265" t="str">
        <f>IFERROR(__xludf.DUMMYFUNCTION("IF(ISBLANK(A1971),"""",IFERROR(IF(H1971=""Sell"",VLOOKUP(9^99,FILTER({ROW(P$2:P1970),P$2:P1970},D$2:D1970=D1971),2),(VLOOKUP(9^99,FILTER({ROW(P$2:P1970),P$2:P1970},D$2:D1970=D1971),2)*VLOOKUP(9^99,FILTER({ROW(O$2:O1970),O$2:O1970},D$2:D1970=D1971),2)-N197"&amp;"1)/O1971),J1971))"),"")</f>
        <v/>
      </c>
      <c r="Q1971" s="264" t="str">
        <f>IFERROR(__xludf.DUMMYFUNCTION("IFERROR(IF(F1971=""Crypto"",B1971,(IF(ISBLANK(D1971),"""",IF(D1971=""Cash"",B1971,IF(GOOGLEFINANCE(D1971,""CURRENCY"")=""GBX"",""GBP"",GOOGLEFINANCE(D1971,""CURRENCY"")))))),B1971)"),"")</f>
        <v/>
      </c>
      <c r="R1971" s="263" t="str">
        <f>IFERROR(__xludf.DUMMYFUNCTION("IF(ISBLANK(A1971),"""",IFERROR(IF(OR(Q1971=""GPB"",Q1971=""ZAR""),IF(Q1971=Dashboard!$L$1,K1971,(K1971*GOOGLEFINANCE(""CURRENCY:""&amp;Q1971&amp;""""&amp;Dashboard!$L$1&amp;""""))/100),IF(Q1971=Dashboard!$L$1,K1971,K1971*GOOGLEFINANCE(""CURRENCY:""&amp;Q1971&amp;""""&amp;Dashboard!$"&amp;"L$1&amp;""""))),K1971))"),"")</f>
        <v/>
      </c>
      <c r="S1971" s="266" t="str">
        <f>IFERROR(__xludf.DUMMYFUNCTION("IF(ISBLANK(A1971),"""",IFERROR(IF(OR(Q1971=""GPB"",Q1971=""ZAR""),IF(Q1971=Dashboard!$L$1,M1971,(M1971*GOOGLEFINANCE(""CURRENCY:""&amp;Q1971&amp;""""&amp;Dashboard!$L$1&amp;""""))/100),IF(Q1971=Dashboard!$L$1,M1971,M1971*GOOGLEFINANCE(""CURRENCY:""&amp;Q1971&amp;""""&amp;Dashboard!$"&amp;"L$1&amp;""""))),M1971))"),"")</f>
        <v/>
      </c>
      <c r="T1971" s="264" t="str">
        <f t="shared" si="4"/>
        <v/>
      </c>
      <c r="U1971" s="264" t="str">
        <f t="shared" si="5"/>
        <v/>
      </c>
      <c r="V1971" s="264" t="str">
        <f t="shared" si="6"/>
        <v/>
      </c>
      <c r="W1971" s="267" t="str">
        <f t="shared" si="8"/>
        <v/>
      </c>
      <c r="X1971" s="264" t="str">
        <f t="shared" si="7"/>
        <v/>
      </c>
    </row>
    <row r="1972" ht="15.75" customHeight="1">
      <c r="A1972" s="258"/>
      <c r="B1972" s="258"/>
      <c r="C1972" s="269"/>
      <c r="D1972" s="258"/>
      <c r="E1972" s="258"/>
      <c r="F1972" s="258"/>
      <c r="G1972" s="258"/>
      <c r="H1972" s="271"/>
      <c r="I1972" s="258"/>
      <c r="J1972" s="272"/>
      <c r="K1972" s="260"/>
      <c r="L1972" s="261"/>
      <c r="M1972" s="262" t="str">
        <f t="shared" si="1"/>
        <v/>
      </c>
      <c r="N1972" s="263" t="str">
        <f t="shared" si="2"/>
        <v/>
      </c>
      <c r="O1972" s="264" t="str">
        <f t="shared" si="3"/>
        <v/>
      </c>
      <c r="P1972" s="265" t="str">
        <f>IFERROR(__xludf.DUMMYFUNCTION("IF(ISBLANK(A1972),"""",IFERROR(IF(H1972=""Sell"",VLOOKUP(9^99,FILTER({ROW(P$2:P1971),P$2:P1971},D$2:D1971=D1972),2),(VLOOKUP(9^99,FILTER({ROW(P$2:P1971),P$2:P1971},D$2:D1971=D1972),2)*VLOOKUP(9^99,FILTER({ROW(O$2:O1971),O$2:O1971},D$2:D1971=D1972),2)-N197"&amp;"2)/O1972),J1972))"),"")</f>
        <v/>
      </c>
      <c r="Q1972" s="264" t="str">
        <f>IFERROR(__xludf.DUMMYFUNCTION("IFERROR(IF(F1972=""Crypto"",B1972,(IF(ISBLANK(D1972),"""",IF(D1972=""Cash"",B1972,IF(GOOGLEFINANCE(D1972,""CURRENCY"")=""GBX"",""GBP"",GOOGLEFINANCE(D1972,""CURRENCY"")))))),B1972)"),"")</f>
        <v/>
      </c>
      <c r="R1972" s="263" t="str">
        <f>IFERROR(__xludf.DUMMYFUNCTION("IF(ISBLANK(A1972),"""",IFERROR(IF(OR(Q1972=""GPB"",Q1972=""ZAR""),IF(Q1972=Dashboard!$L$1,K1972,(K1972*GOOGLEFINANCE(""CURRENCY:""&amp;Q1972&amp;""""&amp;Dashboard!$L$1&amp;""""))/100),IF(Q1972=Dashboard!$L$1,K1972,K1972*GOOGLEFINANCE(""CURRENCY:""&amp;Q1972&amp;""""&amp;Dashboard!$"&amp;"L$1&amp;""""))),K1972))"),"")</f>
        <v/>
      </c>
      <c r="S1972" s="266" t="str">
        <f>IFERROR(__xludf.DUMMYFUNCTION("IF(ISBLANK(A1972),"""",IFERROR(IF(OR(Q1972=""GPB"",Q1972=""ZAR""),IF(Q1972=Dashboard!$L$1,M1972,(M1972*GOOGLEFINANCE(""CURRENCY:""&amp;Q1972&amp;""""&amp;Dashboard!$L$1&amp;""""))/100),IF(Q1972=Dashboard!$L$1,M1972,M1972*GOOGLEFINANCE(""CURRENCY:""&amp;Q1972&amp;""""&amp;Dashboard!$"&amp;"L$1&amp;""""))),M1972))"),"")</f>
        <v/>
      </c>
      <c r="T1972" s="264" t="str">
        <f t="shared" si="4"/>
        <v/>
      </c>
      <c r="U1972" s="264" t="str">
        <f t="shared" si="5"/>
        <v/>
      </c>
      <c r="V1972" s="264" t="str">
        <f t="shared" si="6"/>
        <v/>
      </c>
      <c r="W1972" s="267" t="str">
        <f t="shared" si="8"/>
        <v/>
      </c>
      <c r="X1972" s="264" t="str">
        <f t="shared" si="7"/>
        <v/>
      </c>
    </row>
    <row r="1973" ht="15.75" customHeight="1">
      <c r="A1973" s="258"/>
      <c r="B1973" s="258"/>
      <c r="C1973" s="269"/>
      <c r="D1973" s="258"/>
      <c r="E1973" s="258"/>
      <c r="F1973" s="258"/>
      <c r="G1973" s="258"/>
      <c r="H1973" s="271"/>
      <c r="I1973" s="258"/>
      <c r="J1973" s="272"/>
      <c r="K1973" s="260"/>
      <c r="L1973" s="261"/>
      <c r="M1973" s="262" t="str">
        <f t="shared" si="1"/>
        <v/>
      </c>
      <c r="N1973" s="263" t="str">
        <f t="shared" si="2"/>
        <v/>
      </c>
      <c r="O1973" s="264" t="str">
        <f t="shared" si="3"/>
        <v/>
      </c>
      <c r="P1973" s="265" t="str">
        <f>IFERROR(__xludf.DUMMYFUNCTION("IF(ISBLANK(A1973),"""",IFERROR(IF(H1973=""Sell"",VLOOKUP(9^99,FILTER({ROW(P$2:P1972),P$2:P1972},D$2:D1972=D1973),2),(VLOOKUP(9^99,FILTER({ROW(P$2:P1972),P$2:P1972},D$2:D1972=D1973),2)*VLOOKUP(9^99,FILTER({ROW(O$2:O1972),O$2:O1972},D$2:D1972=D1973),2)-N197"&amp;"3)/O1973),J1973))"),"")</f>
        <v/>
      </c>
      <c r="Q1973" s="264" t="str">
        <f>IFERROR(__xludf.DUMMYFUNCTION("IFERROR(IF(F1973=""Crypto"",B1973,(IF(ISBLANK(D1973),"""",IF(D1973=""Cash"",B1973,IF(GOOGLEFINANCE(D1973,""CURRENCY"")=""GBX"",""GBP"",GOOGLEFINANCE(D1973,""CURRENCY"")))))),B1973)"),"")</f>
        <v/>
      </c>
      <c r="R1973" s="263" t="str">
        <f>IFERROR(__xludf.DUMMYFUNCTION("IF(ISBLANK(A1973),"""",IFERROR(IF(OR(Q1973=""GPB"",Q1973=""ZAR""),IF(Q1973=Dashboard!$L$1,K1973,(K1973*GOOGLEFINANCE(""CURRENCY:""&amp;Q1973&amp;""""&amp;Dashboard!$L$1&amp;""""))/100),IF(Q1973=Dashboard!$L$1,K1973,K1973*GOOGLEFINANCE(""CURRENCY:""&amp;Q1973&amp;""""&amp;Dashboard!$"&amp;"L$1&amp;""""))),K1973))"),"")</f>
        <v/>
      </c>
      <c r="S1973" s="266" t="str">
        <f>IFERROR(__xludf.DUMMYFUNCTION("IF(ISBLANK(A1973),"""",IFERROR(IF(OR(Q1973=""GPB"",Q1973=""ZAR""),IF(Q1973=Dashboard!$L$1,M1973,(M1973*GOOGLEFINANCE(""CURRENCY:""&amp;Q1973&amp;""""&amp;Dashboard!$L$1&amp;""""))/100),IF(Q1973=Dashboard!$L$1,M1973,M1973*GOOGLEFINANCE(""CURRENCY:""&amp;Q1973&amp;""""&amp;Dashboard!$"&amp;"L$1&amp;""""))),M1973))"),"")</f>
        <v/>
      </c>
      <c r="T1973" s="264" t="str">
        <f t="shared" si="4"/>
        <v/>
      </c>
      <c r="U1973" s="264" t="str">
        <f t="shared" si="5"/>
        <v/>
      </c>
      <c r="V1973" s="264" t="str">
        <f t="shared" si="6"/>
        <v/>
      </c>
      <c r="W1973" s="267" t="str">
        <f t="shared" si="8"/>
        <v/>
      </c>
      <c r="X1973" s="264" t="str">
        <f t="shared" si="7"/>
        <v/>
      </c>
    </row>
    <row r="1974" ht="15.75" customHeight="1">
      <c r="A1974" s="258"/>
      <c r="B1974" s="258"/>
      <c r="C1974" s="269"/>
      <c r="D1974" s="258"/>
      <c r="E1974" s="258"/>
      <c r="F1974" s="258"/>
      <c r="G1974" s="258"/>
      <c r="H1974" s="271"/>
      <c r="I1974" s="258"/>
      <c r="J1974" s="272"/>
      <c r="K1974" s="260"/>
      <c r="L1974" s="261"/>
      <c r="M1974" s="262" t="str">
        <f t="shared" si="1"/>
        <v/>
      </c>
      <c r="N1974" s="263" t="str">
        <f t="shared" si="2"/>
        <v/>
      </c>
      <c r="O1974" s="264" t="str">
        <f t="shared" si="3"/>
        <v/>
      </c>
      <c r="P1974" s="265" t="str">
        <f>IFERROR(__xludf.DUMMYFUNCTION("IF(ISBLANK(A1974),"""",IFERROR(IF(H1974=""Sell"",VLOOKUP(9^99,FILTER({ROW(P$2:P1973),P$2:P1973},D$2:D1973=D1974),2),(VLOOKUP(9^99,FILTER({ROW(P$2:P1973),P$2:P1973},D$2:D1973=D1974),2)*VLOOKUP(9^99,FILTER({ROW(O$2:O1973),O$2:O1973},D$2:D1973=D1974),2)-N197"&amp;"4)/O1974),J1974))"),"")</f>
        <v/>
      </c>
      <c r="Q1974" s="264" t="str">
        <f>IFERROR(__xludf.DUMMYFUNCTION("IFERROR(IF(F1974=""Crypto"",B1974,(IF(ISBLANK(D1974),"""",IF(D1974=""Cash"",B1974,IF(GOOGLEFINANCE(D1974,""CURRENCY"")=""GBX"",""GBP"",GOOGLEFINANCE(D1974,""CURRENCY"")))))),B1974)"),"")</f>
        <v/>
      </c>
      <c r="R1974" s="263" t="str">
        <f>IFERROR(__xludf.DUMMYFUNCTION("IF(ISBLANK(A1974),"""",IFERROR(IF(OR(Q1974=""GPB"",Q1974=""ZAR""),IF(Q1974=Dashboard!$L$1,K1974,(K1974*GOOGLEFINANCE(""CURRENCY:""&amp;Q1974&amp;""""&amp;Dashboard!$L$1&amp;""""))/100),IF(Q1974=Dashboard!$L$1,K1974,K1974*GOOGLEFINANCE(""CURRENCY:""&amp;Q1974&amp;""""&amp;Dashboard!$"&amp;"L$1&amp;""""))),K1974))"),"")</f>
        <v/>
      </c>
      <c r="S1974" s="266" t="str">
        <f>IFERROR(__xludf.DUMMYFUNCTION("IF(ISBLANK(A1974),"""",IFERROR(IF(OR(Q1974=""GPB"",Q1974=""ZAR""),IF(Q1974=Dashboard!$L$1,M1974,(M1974*GOOGLEFINANCE(""CURRENCY:""&amp;Q1974&amp;""""&amp;Dashboard!$L$1&amp;""""))/100),IF(Q1974=Dashboard!$L$1,M1974,M1974*GOOGLEFINANCE(""CURRENCY:""&amp;Q1974&amp;""""&amp;Dashboard!$"&amp;"L$1&amp;""""))),M1974))"),"")</f>
        <v/>
      </c>
      <c r="T1974" s="264" t="str">
        <f t="shared" si="4"/>
        <v/>
      </c>
      <c r="U1974" s="264" t="str">
        <f t="shared" si="5"/>
        <v/>
      </c>
      <c r="V1974" s="264" t="str">
        <f t="shared" si="6"/>
        <v/>
      </c>
      <c r="W1974" s="267" t="str">
        <f t="shared" si="8"/>
        <v/>
      </c>
      <c r="X1974" s="264" t="str">
        <f t="shared" si="7"/>
        <v/>
      </c>
    </row>
    <row r="1975" ht="15.75" customHeight="1">
      <c r="A1975" s="258"/>
      <c r="B1975" s="258"/>
      <c r="C1975" s="269"/>
      <c r="D1975" s="258"/>
      <c r="E1975" s="258"/>
      <c r="F1975" s="258"/>
      <c r="G1975" s="258"/>
      <c r="H1975" s="271"/>
      <c r="I1975" s="258"/>
      <c r="J1975" s="272"/>
      <c r="K1975" s="260"/>
      <c r="L1975" s="261"/>
      <c r="M1975" s="262" t="str">
        <f t="shared" si="1"/>
        <v/>
      </c>
      <c r="N1975" s="263" t="str">
        <f t="shared" si="2"/>
        <v/>
      </c>
      <c r="O1975" s="264" t="str">
        <f t="shared" si="3"/>
        <v/>
      </c>
      <c r="P1975" s="265" t="str">
        <f>IFERROR(__xludf.DUMMYFUNCTION("IF(ISBLANK(A1975),"""",IFERROR(IF(H1975=""Sell"",VLOOKUP(9^99,FILTER({ROW(P$2:P1974),P$2:P1974},D$2:D1974=D1975),2),(VLOOKUP(9^99,FILTER({ROW(P$2:P1974),P$2:P1974},D$2:D1974=D1975),2)*VLOOKUP(9^99,FILTER({ROW(O$2:O1974),O$2:O1974},D$2:D1974=D1975),2)-N197"&amp;"5)/O1975),J1975))"),"")</f>
        <v/>
      </c>
      <c r="Q1975" s="264" t="str">
        <f>IFERROR(__xludf.DUMMYFUNCTION("IFERROR(IF(F1975=""Crypto"",B1975,(IF(ISBLANK(D1975),"""",IF(D1975=""Cash"",B1975,IF(GOOGLEFINANCE(D1975,""CURRENCY"")=""GBX"",""GBP"",GOOGLEFINANCE(D1975,""CURRENCY"")))))),B1975)"),"")</f>
        <v/>
      </c>
      <c r="R1975" s="263" t="str">
        <f>IFERROR(__xludf.DUMMYFUNCTION("IF(ISBLANK(A1975),"""",IFERROR(IF(OR(Q1975=""GPB"",Q1975=""ZAR""),IF(Q1975=Dashboard!$L$1,K1975,(K1975*GOOGLEFINANCE(""CURRENCY:""&amp;Q1975&amp;""""&amp;Dashboard!$L$1&amp;""""))/100),IF(Q1975=Dashboard!$L$1,K1975,K1975*GOOGLEFINANCE(""CURRENCY:""&amp;Q1975&amp;""""&amp;Dashboard!$"&amp;"L$1&amp;""""))),K1975))"),"")</f>
        <v/>
      </c>
      <c r="S1975" s="266" t="str">
        <f>IFERROR(__xludf.DUMMYFUNCTION("IF(ISBLANK(A1975),"""",IFERROR(IF(OR(Q1975=""GPB"",Q1975=""ZAR""),IF(Q1975=Dashboard!$L$1,M1975,(M1975*GOOGLEFINANCE(""CURRENCY:""&amp;Q1975&amp;""""&amp;Dashboard!$L$1&amp;""""))/100),IF(Q1975=Dashboard!$L$1,M1975,M1975*GOOGLEFINANCE(""CURRENCY:""&amp;Q1975&amp;""""&amp;Dashboard!$"&amp;"L$1&amp;""""))),M1975))"),"")</f>
        <v/>
      </c>
      <c r="T1975" s="264" t="str">
        <f t="shared" si="4"/>
        <v/>
      </c>
      <c r="U1975" s="264" t="str">
        <f t="shared" si="5"/>
        <v/>
      </c>
      <c r="V1975" s="264" t="str">
        <f t="shared" si="6"/>
        <v/>
      </c>
      <c r="W1975" s="267" t="str">
        <f t="shared" si="8"/>
        <v/>
      </c>
      <c r="X1975" s="264" t="str">
        <f t="shared" si="7"/>
        <v/>
      </c>
    </row>
    <row r="1976" ht="15.75" customHeight="1">
      <c r="A1976" s="258"/>
      <c r="B1976" s="258"/>
      <c r="C1976" s="269"/>
      <c r="D1976" s="258"/>
      <c r="E1976" s="258"/>
      <c r="F1976" s="258"/>
      <c r="G1976" s="258"/>
      <c r="H1976" s="271"/>
      <c r="I1976" s="258"/>
      <c r="J1976" s="272"/>
      <c r="K1976" s="260"/>
      <c r="L1976" s="261"/>
      <c r="M1976" s="262" t="str">
        <f t="shared" si="1"/>
        <v/>
      </c>
      <c r="N1976" s="263" t="str">
        <f t="shared" si="2"/>
        <v/>
      </c>
      <c r="O1976" s="264" t="str">
        <f t="shared" si="3"/>
        <v/>
      </c>
      <c r="P1976" s="265" t="str">
        <f>IFERROR(__xludf.DUMMYFUNCTION("IF(ISBLANK(A1976),"""",IFERROR(IF(H1976=""Sell"",VLOOKUP(9^99,FILTER({ROW(P$2:P1975),P$2:P1975},D$2:D1975=D1976),2),(VLOOKUP(9^99,FILTER({ROW(P$2:P1975),P$2:P1975},D$2:D1975=D1976),2)*VLOOKUP(9^99,FILTER({ROW(O$2:O1975),O$2:O1975},D$2:D1975=D1976),2)-N197"&amp;"6)/O1976),J1976))"),"")</f>
        <v/>
      </c>
      <c r="Q1976" s="264" t="str">
        <f>IFERROR(__xludf.DUMMYFUNCTION("IFERROR(IF(F1976=""Crypto"",B1976,(IF(ISBLANK(D1976),"""",IF(D1976=""Cash"",B1976,IF(GOOGLEFINANCE(D1976,""CURRENCY"")=""GBX"",""GBP"",GOOGLEFINANCE(D1976,""CURRENCY"")))))),B1976)"),"")</f>
        <v/>
      </c>
      <c r="R1976" s="263" t="str">
        <f>IFERROR(__xludf.DUMMYFUNCTION("IF(ISBLANK(A1976),"""",IFERROR(IF(OR(Q1976=""GPB"",Q1976=""ZAR""),IF(Q1976=Dashboard!$L$1,K1976,(K1976*GOOGLEFINANCE(""CURRENCY:""&amp;Q1976&amp;""""&amp;Dashboard!$L$1&amp;""""))/100),IF(Q1976=Dashboard!$L$1,K1976,K1976*GOOGLEFINANCE(""CURRENCY:""&amp;Q1976&amp;""""&amp;Dashboard!$"&amp;"L$1&amp;""""))),K1976))"),"")</f>
        <v/>
      </c>
      <c r="S1976" s="266" t="str">
        <f>IFERROR(__xludf.DUMMYFUNCTION("IF(ISBLANK(A1976),"""",IFERROR(IF(OR(Q1976=""GPB"",Q1976=""ZAR""),IF(Q1976=Dashboard!$L$1,M1976,(M1976*GOOGLEFINANCE(""CURRENCY:""&amp;Q1976&amp;""""&amp;Dashboard!$L$1&amp;""""))/100),IF(Q1976=Dashboard!$L$1,M1976,M1976*GOOGLEFINANCE(""CURRENCY:""&amp;Q1976&amp;""""&amp;Dashboard!$"&amp;"L$1&amp;""""))),M1976))"),"")</f>
        <v/>
      </c>
      <c r="T1976" s="264" t="str">
        <f t="shared" si="4"/>
        <v/>
      </c>
      <c r="U1976" s="264" t="str">
        <f t="shared" si="5"/>
        <v/>
      </c>
      <c r="V1976" s="264" t="str">
        <f t="shared" si="6"/>
        <v/>
      </c>
      <c r="W1976" s="267" t="str">
        <f t="shared" si="8"/>
        <v/>
      </c>
      <c r="X1976" s="264" t="str">
        <f t="shared" si="7"/>
        <v/>
      </c>
    </row>
    <row r="1977" ht="15.75" customHeight="1">
      <c r="A1977" s="258"/>
      <c r="B1977" s="258"/>
      <c r="C1977" s="269"/>
      <c r="D1977" s="258"/>
      <c r="E1977" s="258"/>
      <c r="F1977" s="258"/>
      <c r="G1977" s="258"/>
      <c r="H1977" s="271"/>
      <c r="I1977" s="258"/>
      <c r="J1977" s="272"/>
      <c r="K1977" s="260"/>
      <c r="L1977" s="261"/>
      <c r="M1977" s="262" t="str">
        <f t="shared" si="1"/>
        <v/>
      </c>
      <c r="N1977" s="263" t="str">
        <f t="shared" si="2"/>
        <v/>
      </c>
      <c r="O1977" s="264" t="str">
        <f t="shared" si="3"/>
        <v/>
      </c>
      <c r="P1977" s="265" t="str">
        <f>IFERROR(__xludf.DUMMYFUNCTION("IF(ISBLANK(A1977),"""",IFERROR(IF(H1977=""Sell"",VLOOKUP(9^99,FILTER({ROW(P$2:P1976),P$2:P1976},D$2:D1976=D1977),2),(VLOOKUP(9^99,FILTER({ROW(P$2:P1976),P$2:P1976},D$2:D1976=D1977),2)*VLOOKUP(9^99,FILTER({ROW(O$2:O1976),O$2:O1976},D$2:D1976=D1977),2)-N197"&amp;"7)/O1977),J1977))"),"")</f>
        <v/>
      </c>
      <c r="Q1977" s="264" t="str">
        <f>IFERROR(__xludf.DUMMYFUNCTION("IFERROR(IF(F1977=""Crypto"",B1977,(IF(ISBLANK(D1977),"""",IF(D1977=""Cash"",B1977,IF(GOOGLEFINANCE(D1977,""CURRENCY"")=""GBX"",""GBP"",GOOGLEFINANCE(D1977,""CURRENCY"")))))),B1977)"),"")</f>
        <v/>
      </c>
      <c r="R1977" s="263" t="str">
        <f>IFERROR(__xludf.DUMMYFUNCTION("IF(ISBLANK(A1977),"""",IFERROR(IF(OR(Q1977=""GPB"",Q1977=""ZAR""),IF(Q1977=Dashboard!$L$1,K1977,(K1977*GOOGLEFINANCE(""CURRENCY:""&amp;Q1977&amp;""""&amp;Dashboard!$L$1&amp;""""))/100),IF(Q1977=Dashboard!$L$1,K1977,K1977*GOOGLEFINANCE(""CURRENCY:""&amp;Q1977&amp;""""&amp;Dashboard!$"&amp;"L$1&amp;""""))),K1977))"),"")</f>
        <v/>
      </c>
      <c r="S1977" s="266" t="str">
        <f>IFERROR(__xludf.DUMMYFUNCTION("IF(ISBLANK(A1977),"""",IFERROR(IF(OR(Q1977=""GPB"",Q1977=""ZAR""),IF(Q1977=Dashboard!$L$1,M1977,(M1977*GOOGLEFINANCE(""CURRENCY:""&amp;Q1977&amp;""""&amp;Dashboard!$L$1&amp;""""))/100),IF(Q1977=Dashboard!$L$1,M1977,M1977*GOOGLEFINANCE(""CURRENCY:""&amp;Q1977&amp;""""&amp;Dashboard!$"&amp;"L$1&amp;""""))),M1977))"),"")</f>
        <v/>
      </c>
      <c r="T1977" s="264" t="str">
        <f t="shared" si="4"/>
        <v/>
      </c>
      <c r="U1977" s="264" t="str">
        <f t="shared" si="5"/>
        <v/>
      </c>
      <c r="V1977" s="264" t="str">
        <f t="shared" si="6"/>
        <v/>
      </c>
      <c r="W1977" s="267" t="str">
        <f t="shared" si="8"/>
        <v/>
      </c>
      <c r="X1977" s="264" t="str">
        <f t="shared" si="7"/>
        <v/>
      </c>
    </row>
    <row r="1978" ht="15.75" customHeight="1">
      <c r="A1978" s="258"/>
      <c r="B1978" s="258"/>
      <c r="C1978" s="269"/>
      <c r="D1978" s="258"/>
      <c r="E1978" s="258"/>
      <c r="F1978" s="258"/>
      <c r="G1978" s="258"/>
      <c r="H1978" s="271"/>
      <c r="I1978" s="258"/>
      <c r="J1978" s="272"/>
      <c r="K1978" s="260"/>
      <c r="L1978" s="261"/>
      <c r="M1978" s="262" t="str">
        <f t="shared" si="1"/>
        <v/>
      </c>
      <c r="N1978" s="263" t="str">
        <f t="shared" si="2"/>
        <v/>
      </c>
      <c r="O1978" s="264" t="str">
        <f t="shared" si="3"/>
        <v/>
      </c>
      <c r="P1978" s="265" t="str">
        <f>IFERROR(__xludf.DUMMYFUNCTION("IF(ISBLANK(A1978),"""",IFERROR(IF(H1978=""Sell"",VLOOKUP(9^99,FILTER({ROW(P$2:P1977),P$2:P1977},D$2:D1977=D1978),2),(VLOOKUP(9^99,FILTER({ROW(P$2:P1977),P$2:P1977},D$2:D1977=D1978),2)*VLOOKUP(9^99,FILTER({ROW(O$2:O1977),O$2:O1977},D$2:D1977=D1978),2)-N197"&amp;"8)/O1978),J1978))"),"")</f>
        <v/>
      </c>
      <c r="Q1978" s="264" t="str">
        <f>IFERROR(__xludf.DUMMYFUNCTION("IFERROR(IF(F1978=""Crypto"",B1978,(IF(ISBLANK(D1978),"""",IF(D1978=""Cash"",B1978,IF(GOOGLEFINANCE(D1978,""CURRENCY"")=""GBX"",""GBP"",GOOGLEFINANCE(D1978,""CURRENCY"")))))),B1978)"),"")</f>
        <v/>
      </c>
      <c r="R1978" s="263" t="str">
        <f>IFERROR(__xludf.DUMMYFUNCTION("IF(ISBLANK(A1978),"""",IFERROR(IF(OR(Q1978=""GPB"",Q1978=""ZAR""),IF(Q1978=Dashboard!$L$1,K1978,(K1978*GOOGLEFINANCE(""CURRENCY:""&amp;Q1978&amp;""""&amp;Dashboard!$L$1&amp;""""))/100),IF(Q1978=Dashboard!$L$1,K1978,K1978*GOOGLEFINANCE(""CURRENCY:""&amp;Q1978&amp;""""&amp;Dashboard!$"&amp;"L$1&amp;""""))),K1978))"),"")</f>
        <v/>
      </c>
      <c r="S1978" s="266" t="str">
        <f>IFERROR(__xludf.DUMMYFUNCTION("IF(ISBLANK(A1978),"""",IFERROR(IF(OR(Q1978=""GPB"",Q1978=""ZAR""),IF(Q1978=Dashboard!$L$1,M1978,(M1978*GOOGLEFINANCE(""CURRENCY:""&amp;Q1978&amp;""""&amp;Dashboard!$L$1&amp;""""))/100),IF(Q1978=Dashboard!$L$1,M1978,M1978*GOOGLEFINANCE(""CURRENCY:""&amp;Q1978&amp;""""&amp;Dashboard!$"&amp;"L$1&amp;""""))),M1978))"),"")</f>
        <v/>
      </c>
      <c r="T1978" s="264" t="str">
        <f t="shared" si="4"/>
        <v/>
      </c>
      <c r="U1978" s="264" t="str">
        <f t="shared" si="5"/>
        <v/>
      </c>
      <c r="V1978" s="264" t="str">
        <f t="shared" si="6"/>
        <v/>
      </c>
      <c r="W1978" s="267" t="str">
        <f t="shared" si="8"/>
        <v/>
      </c>
      <c r="X1978" s="264" t="str">
        <f t="shared" si="7"/>
        <v/>
      </c>
    </row>
    <row r="1979" ht="15.75" customHeight="1">
      <c r="A1979" s="258"/>
      <c r="B1979" s="258"/>
      <c r="C1979" s="269"/>
      <c r="D1979" s="258"/>
      <c r="E1979" s="258"/>
      <c r="F1979" s="258"/>
      <c r="G1979" s="258"/>
      <c r="H1979" s="271"/>
      <c r="I1979" s="258"/>
      <c r="J1979" s="272"/>
      <c r="K1979" s="260"/>
      <c r="L1979" s="261"/>
      <c r="M1979" s="262" t="str">
        <f t="shared" si="1"/>
        <v/>
      </c>
      <c r="N1979" s="263" t="str">
        <f t="shared" si="2"/>
        <v/>
      </c>
      <c r="O1979" s="264" t="str">
        <f t="shared" si="3"/>
        <v/>
      </c>
      <c r="P1979" s="265" t="str">
        <f>IFERROR(__xludf.DUMMYFUNCTION("IF(ISBLANK(A1979),"""",IFERROR(IF(H1979=""Sell"",VLOOKUP(9^99,FILTER({ROW(P$2:P1978),P$2:P1978},D$2:D1978=D1979),2),(VLOOKUP(9^99,FILTER({ROW(P$2:P1978),P$2:P1978},D$2:D1978=D1979),2)*VLOOKUP(9^99,FILTER({ROW(O$2:O1978),O$2:O1978},D$2:D1978=D1979),2)-N197"&amp;"9)/O1979),J1979))"),"")</f>
        <v/>
      </c>
      <c r="Q1979" s="264" t="str">
        <f>IFERROR(__xludf.DUMMYFUNCTION("IFERROR(IF(F1979=""Crypto"",B1979,(IF(ISBLANK(D1979),"""",IF(D1979=""Cash"",B1979,IF(GOOGLEFINANCE(D1979,""CURRENCY"")=""GBX"",""GBP"",GOOGLEFINANCE(D1979,""CURRENCY"")))))),B1979)"),"")</f>
        <v/>
      </c>
      <c r="R1979" s="263" t="str">
        <f>IFERROR(__xludf.DUMMYFUNCTION("IF(ISBLANK(A1979),"""",IFERROR(IF(OR(Q1979=""GPB"",Q1979=""ZAR""),IF(Q1979=Dashboard!$L$1,K1979,(K1979*GOOGLEFINANCE(""CURRENCY:""&amp;Q1979&amp;""""&amp;Dashboard!$L$1&amp;""""))/100),IF(Q1979=Dashboard!$L$1,K1979,K1979*GOOGLEFINANCE(""CURRENCY:""&amp;Q1979&amp;""""&amp;Dashboard!$"&amp;"L$1&amp;""""))),K1979))"),"")</f>
        <v/>
      </c>
      <c r="S1979" s="266" t="str">
        <f>IFERROR(__xludf.DUMMYFUNCTION("IF(ISBLANK(A1979),"""",IFERROR(IF(OR(Q1979=""GPB"",Q1979=""ZAR""),IF(Q1979=Dashboard!$L$1,M1979,(M1979*GOOGLEFINANCE(""CURRENCY:""&amp;Q1979&amp;""""&amp;Dashboard!$L$1&amp;""""))/100),IF(Q1979=Dashboard!$L$1,M1979,M1979*GOOGLEFINANCE(""CURRENCY:""&amp;Q1979&amp;""""&amp;Dashboard!$"&amp;"L$1&amp;""""))),M1979))"),"")</f>
        <v/>
      </c>
      <c r="T1979" s="264" t="str">
        <f t="shared" si="4"/>
        <v/>
      </c>
      <c r="U1979" s="264" t="str">
        <f t="shared" si="5"/>
        <v/>
      </c>
      <c r="V1979" s="264" t="str">
        <f t="shared" si="6"/>
        <v/>
      </c>
      <c r="W1979" s="267" t="str">
        <f t="shared" si="8"/>
        <v/>
      </c>
      <c r="X1979" s="264" t="str">
        <f t="shared" si="7"/>
        <v/>
      </c>
    </row>
    <row r="1980" ht="15.75" customHeight="1">
      <c r="A1980" s="258"/>
      <c r="B1980" s="258"/>
      <c r="C1980" s="269"/>
      <c r="D1980" s="258"/>
      <c r="E1980" s="258"/>
      <c r="F1980" s="258"/>
      <c r="G1980" s="258"/>
      <c r="H1980" s="271"/>
      <c r="I1980" s="258"/>
      <c r="J1980" s="272"/>
      <c r="K1980" s="260"/>
      <c r="L1980" s="261"/>
      <c r="M1980" s="262" t="str">
        <f t="shared" si="1"/>
        <v/>
      </c>
      <c r="N1980" s="263" t="str">
        <f t="shared" si="2"/>
        <v/>
      </c>
      <c r="O1980" s="264" t="str">
        <f t="shared" si="3"/>
        <v/>
      </c>
      <c r="P1980" s="265" t="str">
        <f>IFERROR(__xludf.DUMMYFUNCTION("IF(ISBLANK(A1980),"""",IFERROR(IF(H1980=""Sell"",VLOOKUP(9^99,FILTER({ROW(P$2:P1979),P$2:P1979},D$2:D1979=D1980),2),(VLOOKUP(9^99,FILTER({ROW(P$2:P1979),P$2:P1979},D$2:D1979=D1980),2)*VLOOKUP(9^99,FILTER({ROW(O$2:O1979),O$2:O1979},D$2:D1979=D1980),2)-N198"&amp;"0)/O1980),J1980))"),"")</f>
        <v/>
      </c>
      <c r="Q1980" s="264" t="str">
        <f>IFERROR(__xludf.DUMMYFUNCTION("IFERROR(IF(F1980=""Crypto"",B1980,(IF(ISBLANK(D1980),"""",IF(D1980=""Cash"",B1980,IF(GOOGLEFINANCE(D1980,""CURRENCY"")=""GBX"",""GBP"",GOOGLEFINANCE(D1980,""CURRENCY"")))))),B1980)"),"")</f>
        <v/>
      </c>
      <c r="R1980" s="263" t="str">
        <f>IFERROR(__xludf.DUMMYFUNCTION("IF(ISBLANK(A1980),"""",IFERROR(IF(OR(Q1980=""GPB"",Q1980=""ZAR""),IF(Q1980=Dashboard!$L$1,K1980,(K1980*GOOGLEFINANCE(""CURRENCY:""&amp;Q1980&amp;""""&amp;Dashboard!$L$1&amp;""""))/100),IF(Q1980=Dashboard!$L$1,K1980,K1980*GOOGLEFINANCE(""CURRENCY:""&amp;Q1980&amp;""""&amp;Dashboard!$"&amp;"L$1&amp;""""))),K1980))"),"")</f>
        <v/>
      </c>
      <c r="S1980" s="266" t="str">
        <f>IFERROR(__xludf.DUMMYFUNCTION("IF(ISBLANK(A1980),"""",IFERROR(IF(OR(Q1980=""GPB"",Q1980=""ZAR""),IF(Q1980=Dashboard!$L$1,M1980,(M1980*GOOGLEFINANCE(""CURRENCY:""&amp;Q1980&amp;""""&amp;Dashboard!$L$1&amp;""""))/100),IF(Q1980=Dashboard!$L$1,M1980,M1980*GOOGLEFINANCE(""CURRENCY:""&amp;Q1980&amp;""""&amp;Dashboard!$"&amp;"L$1&amp;""""))),M1980))"),"")</f>
        <v/>
      </c>
      <c r="T1980" s="264" t="str">
        <f t="shared" si="4"/>
        <v/>
      </c>
      <c r="U1980" s="264" t="str">
        <f t="shared" si="5"/>
        <v/>
      </c>
      <c r="V1980" s="264" t="str">
        <f t="shared" si="6"/>
        <v/>
      </c>
      <c r="W1980" s="267" t="str">
        <f t="shared" si="8"/>
        <v/>
      </c>
      <c r="X1980" s="264" t="str">
        <f t="shared" si="7"/>
        <v/>
      </c>
    </row>
    <row r="1981" ht="15.75" customHeight="1">
      <c r="A1981" s="258"/>
      <c r="B1981" s="258"/>
      <c r="C1981" s="269"/>
      <c r="D1981" s="258"/>
      <c r="E1981" s="258"/>
      <c r="F1981" s="258"/>
      <c r="G1981" s="258"/>
      <c r="H1981" s="271"/>
      <c r="I1981" s="258"/>
      <c r="J1981" s="272"/>
      <c r="K1981" s="260"/>
      <c r="L1981" s="261"/>
      <c r="M1981" s="262" t="str">
        <f t="shared" si="1"/>
        <v/>
      </c>
      <c r="N1981" s="263" t="str">
        <f t="shared" si="2"/>
        <v/>
      </c>
      <c r="O1981" s="264" t="str">
        <f t="shared" si="3"/>
        <v/>
      </c>
      <c r="P1981" s="265" t="str">
        <f>IFERROR(__xludf.DUMMYFUNCTION("IF(ISBLANK(A1981),"""",IFERROR(IF(H1981=""Sell"",VLOOKUP(9^99,FILTER({ROW(P$2:P1980),P$2:P1980},D$2:D1980=D1981),2),(VLOOKUP(9^99,FILTER({ROW(P$2:P1980),P$2:P1980},D$2:D1980=D1981),2)*VLOOKUP(9^99,FILTER({ROW(O$2:O1980),O$2:O1980},D$2:D1980=D1981),2)-N198"&amp;"1)/O1981),J1981))"),"")</f>
        <v/>
      </c>
      <c r="Q1981" s="264" t="str">
        <f>IFERROR(__xludf.DUMMYFUNCTION("IFERROR(IF(F1981=""Crypto"",B1981,(IF(ISBLANK(D1981),"""",IF(D1981=""Cash"",B1981,IF(GOOGLEFINANCE(D1981,""CURRENCY"")=""GBX"",""GBP"",GOOGLEFINANCE(D1981,""CURRENCY"")))))),B1981)"),"")</f>
        <v/>
      </c>
      <c r="R1981" s="263" t="str">
        <f>IFERROR(__xludf.DUMMYFUNCTION("IF(ISBLANK(A1981),"""",IFERROR(IF(OR(Q1981=""GPB"",Q1981=""ZAR""),IF(Q1981=Dashboard!$L$1,K1981,(K1981*GOOGLEFINANCE(""CURRENCY:""&amp;Q1981&amp;""""&amp;Dashboard!$L$1&amp;""""))/100),IF(Q1981=Dashboard!$L$1,K1981,K1981*GOOGLEFINANCE(""CURRENCY:""&amp;Q1981&amp;""""&amp;Dashboard!$"&amp;"L$1&amp;""""))),K1981))"),"")</f>
        <v/>
      </c>
      <c r="S1981" s="266" t="str">
        <f>IFERROR(__xludf.DUMMYFUNCTION("IF(ISBLANK(A1981),"""",IFERROR(IF(OR(Q1981=""GPB"",Q1981=""ZAR""),IF(Q1981=Dashboard!$L$1,M1981,(M1981*GOOGLEFINANCE(""CURRENCY:""&amp;Q1981&amp;""""&amp;Dashboard!$L$1&amp;""""))/100),IF(Q1981=Dashboard!$L$1,M1981,M1981*GOOGLEFINANCE(""CURRENCY:""&amp;Q1981&amp;""""&amp;Dashboard!$"&amp;"L$1&amp;""""))),M1981))"),"")</f>
        <v/>
      </c>
      <c r="T1981" s="264" t="str">
        <f t="shared" si="4"/>
        <v/>
      </c>
      <c r="U1981" s="264" t="str">
        <f t="shared" si="5"/>
        <v/>
      </c>
      <c r="V1981" s="264" t="str">
        <f t="shared" si="6"/>
        <v/>
      </c>
      <c r="W1981" s="267" t="str">
        <f t="shared" si="8"/>
        <v/>
      </c>
      <c r="X1981" s="264" t="str">
        <f t="shared" si="7"/>
        <v/>
      </c>
    </row>
    <row r="1982" ht="15.75" customHeight="1">
      <c r="A1982" s="258"/>
      <c r="B1982" s="258"/>
      <c r="C1982" s="269"/>
      <c r="D1982" s="258"/>
      <c r="E1982" s="258"/>
      <c r="F1982" s="258"/>
      <c r="G1982" s="258"/>
      <c r="H1982" s="271"/>
      <c r="I1982" s="258"/>
      <c r="J1982" s="272"/>
      <c r="K1982" s="260"/>
      <c r="L1982" s="261"/>
      <c r="M1982" s="262" t="str">
        <f t="shared" si="1"/>
        <v/>
      </c>
      <c r="N1982" s="263" t="str">
        <f t="shared" si="2"/>
        <v/>
      </c>
      <c r="O1982" s="264" t="str">
        <f t="shared" si="3"/>
        <v/>
      </c>
      <c r="P1982" s="265" t="str">
        <f>IFERROR(__xludf.DUMMYFUNCTION("IF(ISBLANK(A1982),"""",IFERROR(IF(H1982=""Sell"",VLOOKUP(9^99,FILTER({ROW(P$2:P1981),P$2:P1981},D$2:D1981=D1982),2),(VLOOKUP(9^99,FILTER({ROW(P$2:P1981),P$2:P1981},D$2:D1981=D1982),2)*VLOOKUP(9^99,FILTER({ROW(O$2:O1981),O$2:O1981},D$2:D1981=D1982),2)-N198"&amp;"2)/O1982),J1982))"),"")</f>
        <v/>
      </c>
      <c r="Q1982" s="264" t="str">
        <f>IFERROR(__xludf.DUMMYFUNCTION("IFERROR(IF(F1982=""Crypto"",B1982,(IF(ISBLANK(D1982),"""",IF(D1982=""Cash"",B1982,IF(GOOGLEFINANCE(D1982,""CURRENCY"")=""GBX"",""GBP"",GOOGLEFINANCE(D1982,""CURRENCY"")))))),B1982)"),"")</f>
        <v/>
      </c>
      <c r="R1982" s="263" t="str">
        <f>IFERROR(__xludf.DUMMYFUNCTION("IF(ISBLANK(A1982),"""",IFERROR(IF(OR(Q1982=""GPB"",Q1982=""ZAR""),IF(Q1982=Dashboard!$L$1,K1982,(K1982*GOOGLEFINANCE(""CURRENCY:""&amp;Q1982&amp;""""&amp;Dashboard!$L$1&amp;""""))/100),IF(Q1982=Dashboard!$L$1,K1982,K1982*GOOGLEFINANCE(""CURRENCY:""&amp;Q1982&amp;""""&amp;Dashboard!$"&amp;"L$1&amp;""""))),K1982))"),"")</f>
        <v/>
      </c>
      <c r="S1982" s="266" t="str">
        <f>IFERROR(__xludf.DUMMYFUNCTION("IF(ISBLANK(A1982),"""",IFERROR(IF(OR(Q1982=""GPB"",Q1982=""ZAR""),IF(Q1982=Dashboard!$L$1,M1982,(M1982*GOOGLEFINANCE(""CURRENCY:""&amp;Q1982&amp;""""&amp;Dashboard!$L$1&amp;""""))/100),IF(Q1982=Dashboard!$L$1,M1982,M1982*GOOGLEFINANCE(""CURRENCY:""&amp;Q1982&amp;""""&amp;Dashboard!$"&amp;"L$1&amp;""""))),M1982))"),"")</f>
        <v/>
      </c>
      <c r="T1982" s="264" t="str">
        <f t="shared" si="4"/>
        <v/>
      </c>
      <c r="U1982" s="264" t="str">
        <f t="shared" si="5"/>
        <v/>
      </c>
      <c r="V1982" s="264" t="str">
        <f t="shared" si="6"/>
        <v/>
      </c>
      <c r="W1982" s="267" t="str">
        <f t="shared" si="8"/>
        <v/>
      </c>
      <c r="X1982" s="264" t="str">
        <f t="shared" si="7"/>
        <v/>
      </c>
    </row>
    <row r="1983" ht="15.75" customHeight="1">
      <c r="A1983" s="258"/>
      <c r="B1983" s="258"/>
      <c r="C1983" s="269"/>
      <c r="D1983" s="258"/>
      <c r="E1983" s="258"/>
      <c r="F1983" s="258"/>
      <c r="G1983" s="258"/>
      <c r="H1983" s="271"/>
      <c r="I1983" s="258"/>
      <c r="J1983" s="272"/>
      <c r="K1983" s="260"/>
      <c r="L1983" s="261"/>
      <c r="M1983" s="262" t="str">
        <f t="shared" si="1"/>
        <v/>
      </c>
      <c r="N1983" s="263" t="str">
        <f t="shared" si="2"/>
        <v/>
      </c>
      <c r="O1983" s="264" t="str">
        <f t="shared" si="3"/>
        <v/>
      </c>
      <c r="P1983" s="265" t="str">
        <f>IFERROR(__xludf.DUMMYFUNCTION("IF(ISBLANK(A1983),"""",IFERROR(IF(H1983=""Sell"",VLOOKUP(9^99,FILTER({ROW(P$2:P1982),P$2:P1982},D$2:D1982=D1983),2),(VLOOKUP(9^99,FILTER({ROW(P$2:P1982),P$2:P1982},D$2:D1982=D1983),2)*VLOOKUP(9^99,FILTER({ROW(O$2:O1982),O$2:O1982},D$2:D1982=D1983),2)-N198"&amp;"3)/O1983),J1983))"),"")</f>
        <v/>
      </c>
      <c r="Q1983" s="264" t="str">
        <f>IFERROR(__xludf.DUMMYFUNCTION("IFERROR(IF(F1983=""Crypto"",B1983,(IF(ISBLANK(D1983),"""",IF(D1983=""Cash"",B1983,IF(GOOGLEFINANCE(D1983,""CURRENCY"")=""GBX"",""GBP"",GOOGLEFINANCE(D1983,""CURRENCY"")))))),B1983)"),"")</f>
        <v/>
      </c>
      <c r="R1983" s="263" t="str">
        <f>IFERROR(__xludf.DUMMYFUNCTION("IF(ISBLANK(A1983),"""",IFERROR(IF(OR(Q1983=""GPB"",Q1983=""ZAR""),IF(Q1983=Dashboard!$L$1,K1983,(K1983*GOOGLEFINANCE(""CURRENCY:""&amp;Q1983&amp;""""&amp;Dashboard!$L$1&amp;""""))/100),IF(Q1983=Dashboard!$L$1,K1983,K1983*GOOGLEFINANCE(""CURRENCY:""&amp;Q1983&amp;""""&amp;Dashboard!$"&amp;"L$1&amp;""""))),K1983))"),"")</f>
        <v/>
      </c>
      <c r="S1983" s="266" t="str">
        <f>IFERROR(__xludf.DUMMYFUNCTION("IF(ISBLANK(A1983),"""",IFERROR(IF(OR(Q1983=""GPB"",Q1983=""ZAR""),IF(Q1983=Dashboard!$L$1,M1983,(M1983*GOOGLEFINANCE(""CURRENCY:""&amp;Q1983&amp;""""&amp;Dashboard!$L$1&amp;""""))/100),IF(Q1983=Dashboard!$L$1,M1983,M1983*GOOGLEFINANCE(""CURRENCY:""&amp;Q1983&amp;""""&amp;Dashboard!$"&amp;"L$1&amp;""""))),M1983))"),"")</f>
        <v/>
      </c>
      <c r="T1983" s="264" t="str">
        <f t="shared" si="4"/>
        <v/>
      </c>
      <c r="U1983" s="264" t="str">
        <f t="shared" si="5"/>
        <v/>
      </c>
      <c r="V1983" s="264" t="str">
        <f t="shared" si="6"/>
        <v/>
      </c>
      <c r="W1983" s="267" t="str">
        <f t="shared" si="8"/>
        <v/>
      </c>
      <c r="X1983" s="264" t="str">
        <f t="shared" si="7"/>
        <v/>
      </c>
    </row>
    <row r="1984" ht="15.75" customHeight="1">
      <c r="A1984" s="258"/>
      <c r="B1984" s="258"/>
      <c r="C1984" s="269"/>
      <c r="D1984" s="258"/>
      <c r="E1984" s="258"/>
      <c r="F1984" s="258"/>
      <c r="G1984" s="258"/>
      <c r="H1984" s="271"/>
      <c r="I1984" s="258"/>
      <c r="J1984" s="272"/>
      <c r="K1984" s="260"/>
      <c r="L1984" s="261"/>
      <c r="M1984" s="262" t="str">
        <f t="shared" si="1"/>
        <v/>
      </c>
      <c r="N1984" s="263" t="str">
        <f t="shared" si="2"/>
        <v/>
      </c>
      <c r="O1984" s="264" t="str">
        <f t="shared" si="3"/>
        <v/>
      </c>
      <c r="P1984" s="265" t="str">
        <f>IFERROR(__xludf.DUMMYFUNCTION("IF(ISBLANK(A1984),"""",IFERROR(IF(H1984=""Sell"",VLOOKUP(9^99,FILTER({ROW(P$2:P1983),P$2:P1983},D$2:D1983=D1984),2),(VLOOKUP(9^99,FILTER({ROW(P$2:P1983),P$2:P1983},D$2:D1983=D1984),2)*VLOOKUP(9^99,FILTER({ROW(O$2:O1983),O$2:O1983},D$2:D1983=D1984),2)-N198"&amp;"4)/O1984),J1984))"),"")</f>
        <v/>
      </c>
      <c r="Q1984" s="264" t="str">
        <f>IFERROR(__xludf.DUMMYFUNCTION("IFERROR(IF(F1984=""Crypto"",B1984,(IF(ISBLANK(D1984),"""",IF(D1984=""Cash"",B1984,IF(GOOGLEFINANCE(D1984,""CURRENCY"")=""GBX"",""GBP"",GOOGLEFINANCE(D1984,""CURRENCY"")))))),B1984)"),"")</f>
        <v/>
      </c>
      <c r="R1984" s="263" t="str">
        <f>IFERROR(__xludf.DUMMYFUNCTION("IF(ISBLANK(A1984),"""",IFERROR(IF(OR(Q1984=""GPB"",Q1984=""ZAR""),IF(Q1984=Dashboard!$L$1,K1984,(K1984*GOOGLEFINANCE(""CURRENCY:""&amp;Q1984&amp;""""&amp;Dashboard!$L$1&amp;""""))/100),IF(Q1984=Dashboard!$L$1,K1984,K1984*GOOGLEFINANCE(""CURRENCY:""&amp;Q1984&amp;""""&amp;Dashboard!$"&amp;"L$1&amp;""""))),K1984))"),"")</f>
        <v/>
      </c>
      <c r="S1984" s="266" t="str">
        <f>IFERROR(__xludf.DUMMYFUNCTION("IF(ISBLANK(A1984),"""",IFERROR(IF(OR(Q1984=""GPB"",Q1984=""ZAR""),IF(Q1984=Dashboard!$L$1,M1984,(M1984*GOOGLEFINANCE(""CURRENCY:""&amp;Q1984&amp;""""&amp;Dashboard!$L$1&amp;""""))/100),IF(Q1984=Dashboard!$L$1,M1984,M1984*GOOGLEFINANCE(""CURRENCY:""&amp;Q1984&amp;""""&amp;Dashboard!$"&amp;"L$1&amp;""""))),M1984))"),"")</f>
        <v/>
      </c>
      <c r="T1984" s="264" t="str">
        <f t="shared" si="4"/>
        <v/>
      </c>
      <c r="U1984" s="264" t="str">
        <f t="shared" si="5"/>
        <v/>
      </c>
      <c r="V1984" s="264" t="str">
        <f t="shared" si="6"/>
        <v/>
      </c>
      <c r="W1984" s="267" t="str">
        <f t="shared" si="8"/>
        <v/>
      </c>
      <c r="X1984" s="264" t="str">
        <f t="shared" si="7"/>
        <v/>
      </c>
    </row>
    <row r="1985" ht="15.75" customHeight="1">
      <c r="A1985" s="258"/>
      <c r="B1985" s="258"/>
      <c r="C1985" s="269"/>
      <c r="D1985" s="258"/>
      <c r="E1985" s="258"/>
      <c r="F1985" s="258"/>
      <c r="G1985" s="258"/>
      <c r="H1985" s="271"/>
      <c r="I1985" s="258"/>
      <c r="J1985" s="272"/>
      <c r="K1985" s="260"/>
      <c r="L1985" s="261"/>
      <c r="M1985" s="262" t="str">
        <f t="shared" si="1"/>
        <v/>
      </c>
      <c r="N1985" s="263" t="str">
        <f t="shared" si="2"/>
        <v/>
      </c>
      <c r="O1985" s="264" t="str">
        <f t="shared" si="3"/>
        <v/>
      </c>
      <c r="P1985" s="265" t="str">
        <f>IFERROR(__xludf.DUMMYFUNCTION("IF(ISBLANK(A1985),"""",IFERROR(IF(H1985=""Sell"",VLOOKUP(9^99,FILTER({ROW(P$2:P1984),P$2:P1984},D$2:D1984=D1985),2),(VLOOKUP(9^99,FILTER({ROW(P$2:P1984),P$2:P1984},D$2:D1984=D1985),2)*VLOOKUP(9^99,FILTER({ROW(O$2:O1984),O$2:O1984},D$2:D1984=D1985),2)-N198"&amp;"5)/O1985),J1985))"),"")</f>
        <v/>
      </c>
      <c r="Q1985" s="264" t="str">
        <f>IFERROR(__xludf.DUMMYFUNCTION("IFERROR(IF(F1985=""Crypto"",B1985,(IF(ISBLANK(D1985),"""",IF(D1985=""Cash"",B1985,IF(GOOGLEFINANCE(D1985,""CURRENCY"")=""GBX"",""GBP"",GOOGLEFINANCE(D1985,""CURRENCY"")))))),B1985)"),"")</f>
        <v/>
      </c>
      <c r="R1985" s="263" t="str">
        <f>IFERROR(__xludf.DUMMYFUNCTION("IF(ISBLANK(A1985),"""",IFERROR(IF(OR(Q1985=""GPB"",Q1985=""ZAR""),IF(Q1985=Dashboard!$L$1,K1985,(K1985*GOOGLEFINANCE(""CURRENCY:""&amp;Q1985&amp;""""&amp;Dashboard!$L$1&amp;""""))/100),IF(Q1985=Dashboard!$L$1,K1985,K1985*GOOGLEFINANCE(""CURRENCY:""&amp;Q1985&amp;""""&amp;Dashboard!$"&amp;"L$1&amp;""""))),K1985))"),"")</f>
        <v/>
      </c>
      <c r="S1985" s="266" t="str">
        <f>IFERROR(__xludf.DUMMYFUNCTION("IF(ISBLANK(A1985),"""",IFERROR(IF(OR(Q1985=""GPB"",Q1985=""ZAR""),IF(Q1985=Dashboard!$L$1,M1985,(M1985*GOOGLEFINANCE(""CURRENCY:""&amp;Q1985&amp;""""&amp;Dashboard!$L$1&amp;""""))/100),IF(Q1985=Dashboard!$L$1,M1985,M1985*GOOGLEFINANCE(""CURRENCY:""&amp;Q1985&amp;""""&amp;Dashboard!$"&amp;"L$1&amp;""""))),M1985))"),"")</f>
        <v/>
      </c>
      <c r="T1985" s="264" t="str">
        <f t="shared" si="4"/>
        <v/>
      </c>
      <c r="U1985" s="264" t="str">
        <f t="shared" si="5"/>
        <v/>
      </c>
      <c r="V1985" s="264" t="str">
        <f t="shared" si="6"/>
        <v/>
      </c>
      <c r="W1985" s="267" t="str">
        <f t="shared" si="8"/>
        <v/>
      </c>
      <c r="X1985" s="264" t="str">
        <f t="shared" si="7"/>
        <v/>
      </c>
    </row>
    <row r="1986" ht="15.75" customHeight="1">
      <c r="A1986" s="258"/>
      <c r="B1986" s="258"/>
      <c r="C1986" s="269"/>
      <c r="D1986" s="258"/>
      <c r="E1986" s="258"/>
      <c r="F1986" s="258"/>
      <c r="G1986" s="258"/>
      <c r="H1986" s="271"/>
      <c r="I1986" s="258"/>
      <c r="J1986" s="272"/>
      <c r="K1986" s="260"/>
      <c r="L1986" s="261"/>
      <c r="M1986" s="262" t="str">
        <f t="shared" si="1"/>
        <v/>
      </c>
      <c r="N1986" s="263" t="str">
        <f t="shared" si="2"/>
        <v/>
      </c>
      <c r="O1986" s="264" t="str">
        <f t="shared" si="3"/>
        <v/>
      </c>
      <c r="P1986" s="265" t="str">
        <f>IFERROR(__xludf.DUMMYFUNCTION("IF(ISBLANK(A1986),"""",IFERROR(IF(H1986=""Sell"",VLOOKUP(9^99,FILTER({ROW(P$2:P1985),P$2:P1985},D$2:D1985=D1986),2),(VLOOKUP(9^99,FILTER({ROW(P$2:P1985),P$2:P1985},D$2:D1985=D1986),2)*VLOOKUP(9^99,FILTER({ROW(O$2:O1985),O$2:O1985},D$2:D1985=D1986),2)-N198"&amp;"6)/O1986),J1986))"),"")</f>
        <v/>
      </c>
      <c r="Q1986" s="264" t="str">
        <f>IFERROR(__xludf.DUMMYFUNCTION("IFERROR(IF(F1986=""Crypto"",B1986,(IF(ISBLANK(D1986),"""",IF(D1986=""Cash"",B1986,IF(GOOGLEFINANCE(D1986,""CURRENCY"")=""GBX"",""GBP"",GOOGLEFINANCE(D1986,""CURRENCY"")))))),B1986)"),"")</f>
        <v/>
      </c>
      <c r="R1986" s="263" t="str">
        <f>IFERROR(__xludf.DUMMYFUNCTION("IF(ISBLANK(A1986),"""",IFERROR(IF(OR(Q1986=""GPB"",Q1986=""ZAR""),IF(Q1986=Dashboard!$L$1,K1986,(K1986*GOOGLEFINANCE(""CURRENCY:""&amp;Q1986&amp;""""&amp;Dashboard!$L$1&amp;""""))/100),IF(Q1986=Dashboard!$L$1,K1986,K1986*GOOGLEFINANCE(""CURRENCY:""&amp;Q1986&amp;""""&amp;Dashboard!$"&amp;"L$1&amp;""""))),K1986))"),"")</f>
        <v/>
      </c>
      <c r="S1986" s="266" t="str">
        <f>IFERROR(__xludf.DUMMYFUNCTION("IF(ISBLANK(A1986),"""",IFERROR(IF(OR(Q1986=""GPB"",Q1986=""ZAR""),IF(Q1986=Dashboard!$L$1,M1986,(M1986*GOOGLEFINANCE(""CURRENCY:""&amp;Q1986&amp;""""&amp;Dashboard!$L$1&amp;""""))/100),IF(Q1986=Dashboard!$L$1,M1986,M1986*GOOGLEFINANCE(""CURRENCY:""&amp;Q1986&amp;""""&amp;Dashboard!$"&amp;"L$1&amp;""""))),M1986))"),"")</f>
        <v/>
      </c>
      <c r="T1986" s="264" t="str">
        <f t="shared" si="4"/>
        <v/>
      </c>
      <c r="U1986" s="264" t="str">
        <f t="shared" si="5"/>
        <v/>
      </c>
      <c r="V1986" s="264" t="str">
        <f t="shared" si="6"/>
        <v/>
      </c>
      <c r="W1986" s="267" t="str">
        <f t="shared" si="8"/>
        <v/>
      </c>
      <c r="X1986" s="264" t="str">
        <f t="shared" si="7"/>
        <v/>
      </c>
    </row>
    <row r="1987" ht="15.75" customHeight="1">
      <c r="A1987" s="258"/>
      <c r="B1987" s="258"/>
      <c r="C1987" s="269"/>
      <c r="D1987" s="258"/>
      <c r="E1987" s="258"/>
      <c r="F1987" s="258"/>
      <c r="G1987" s="258"/>
      <c r="H1987" s="271"/>
      <c r="I1987" s="258"/>
      <c r="J1987" s="272"/>
      <c r="K1987" s="260"/>
      <c r="L1987" s="261"/>
      <c r="M1987" s="262" t="str">
        <f t="shared" si="1"/>
        <v/>
      </c>
      <c r="N1987" s="263" t="str">
        <f t="shared" si="2"/>
        <v/>
      </c>
      <c r="O1987" s="264" t="str">
        <f t="shared" si="3"/>
        <v/>
      </c>
      <c r="P1987" s="265" t="str">
        <f>IFERROR(__xludf.DUMMYFUNCTION("IF(ISBLANK(A1987),"""",IFERROR(IF(H1987=""Sell"",VLOOKUP(9^99,FILTER({ROW(P$2:P1986),P$2:P1986},D$2:D1986=D1987),2),(VLOOKUP(9^99,FILTER({ROW(P$2:P1986),P$2:P1986},D$2:D1986=D1987),2)*VLOOKUP(9^99,FILTER({ROW(O$2:O1986),O$2:O1986},D$2:D1986=D1987),2)-N198"&amp;"7)/O1987),J1987))"),"")</f>
        <v/>
      </c>
      <c r="Q1987" s="264" t="str">
        <f>IFERROR(__xludf.DUMMYFUNCTION("IFERROR(IF(F1987=""Crypto"",B1987,(IF(ISBLANK(D1987),"""",IF(D1987=""Cash"",B1987,IF(GOOGLEFINANCE(D1987,""CURRENCY"")=""GBX"",""GBP"",GOOGLEFINANCE(D1987,""CURRENCY"")))))),B1987)"),"")</f>
        <v/>
      </c>
      <c r="R1987" s="263" t="str">
        <f>IFERROR(__xludf.DUMMYFUNCTION("IF(ISBLANK(A1987),"""",IFERROR(IF(OR(Q1987=""GPB"",Q1987=""ZAR""),IF(Q1987=Dashboard!$L$1,K1987,(K1987*GOOGLEFINANCE(""CURRENCY:""&amp;Q1987&amp;""""&amp;Dashboard!$L$1&amp;""""))/100),IF(Q1987=Dashboard!$L$1,K1987,K1987*GOOGLEFINANCE(""CURRENCY:""&amp;Q1987&amp;""""&amp;Dashboard!$"&amp;"L$1&amp;""""))),K1987))"),"")</f>
        <v/>
      </c>
      <c r="S1987" s="266" t="str">
        <f>IFERROR(__xludf.DUMMYFUNCTION("IF(ISBLANK(A1987),"""",IFERROR(IF(OR(Q1987=""GPB"",Q1987=""ZAR""),IF(Q1987=Dashboard!$L$1,M1987,(M1987*GOOGLEFINANCE(""CURRENCY:""&amp;Q1987&amp;""""&amp;Dashboard!$L$1&amp;""""))/100),IF(Q1987=Dashboard!$L$1,M1987,M1987*GOOGLEFINANCE(""CURRENCY:""&amp;Q1987&amp;""""&amp;Dashboard!$"&amp;"L$1&amp;""""))),M1987))"),"")</f>
        <v/>
      </c>
      <c r="T1987" s="264" t="str">
        <f t="shared" si="4"/>
        <v/>
      </c>
      <c r="U1987" s="264" t="str">
        <f t="shared" si="5"/>
        <v/>
      </c>
      <c r="V1987" s="264" t="str">
        <f t="shared" si="6"/>
        <v/>
      </c>
      <c r="W1987" s="267" t="str">
        <f t="shared" si="8"/>
        <v/>
      </c>
      <c r="X1987" s="264" t="str">
        <f t="shared" si="7"/>
        <v/>
      </c>
    </row>
    <row r="1988" ht="15.75" customHeight="1">
      <c r="A1988" s="258"/>
      <c r="B1988" s="258"/>
      <c r="C1988" s="269"/>
      <c r="D1988" s="258"/>
      <c r="E1988" s="258"/>
      <c r="F1988" s="258"/>
      <c r="G1988" s="258"/>
      <c r="H1988" s="271"/>
      <c r="I1988" s="258"/>
      <c r="J1988" s="272"/>
      <c r="K1988" s="260"/>
      <c r="L1988" s="261"/>
      <c r="M1988" s="262" t="str">
        <f t="shared" si="1"/>
        <v/>
      </c>
      <c r="N1988" s="263" t="str">
        <f t="shared" si="2"/>
        <v/>
      </c>
      <c r="O1988" s="264" t="str">
        <f t="shared" si="3"/>
        <v/>
      </c>
      <c r="P1988" s="265" t="str">
        <f>IFERROR(__xludf.DUMMYFUNCTION("IF(ISBLANK(A1988),"""",IFERROR(IF(H1988=""Sell"",VLOOKUP(9^99,FILTER({ROW(P$2:P1987),P$2:P1987},D$2:D1987=D1988),2),(VLOOKUP(9^99,FILTER({ROW(P$2:P1987),P$2:P1987},D$2:D1987=D1988),2)*VLOOKUP(9^99,FILTER({ROW(O$2:O1987),O$2:O1987},D$2:D1987=D1988),2)-N198"&amp;"8)/O1988),J1988))"),"")</f>
        <v/>
      </c>
      <c r="Q1988" s="264" t="str">
        <f>IFERROR(__xludf.DUMMYFUNCTION("IFERROR(IF(F1988=""Crypto"",B1988,(IF(ISBLANK(D1988),"""",IF(D1988=""Cash"",B1988,IF(GOOGLEFINANCE(D1988,""CURRENCY"")=""GBX"",""GBP"",GOOGLEFINANCE(D1988,""CURRENCY"")))))),B1988)"),"")</f>
        <v/>
      </c>
      <c r="R1988" s="263" t="str">
        <f>IFERROR(__xludf.DUMMYFUNCTION("IF(ISBLANK(A1988),"""",IFERROR(IF(OR(Q1988=""GPB"",Q1988=""ZAR""),IF(Q1988=Dashboard!$L$1,K1988,(K1988*GOOGLEFINANCE(""CURRENCY:""&amp;Q1988&amp;""""&amp;Dashboard!$L$1&amp;""""))/100),IF(Q1988=Dashboard!$L$1,K1988,K1988*GOOGLEFINANCE(""CURRENCY:""&amp;Q1988&amp;""""&amp;Dashboard!$"&amp;"L$1&amp;""""))),K1988))"),"")</f>
        <v/>
      </c>
      <c r="S1988" s="266" t="str">
        <f>IFERROR(__xludf.DUMMYFUNCTION("IF(ISBLANK(A1988),"""",IFERROR(IF(OR(Q1988=""GPB"",Q1988=""ZAR""),IF(Q1988=Dashboard!$L$1,M1988,(M1988*GOOGLEFINANCE(""CURRENCY:""&amp;Q1988&amp;""""&amp;Dashboard!$L$1&amp;""""))/100),IF(Q1988=Dashboard!$L$1,M1988,M1988*GOOGLEFINANCE(""CURRENCY:""&amp;Q1988&amp;""""&amp;Dashboard!$"&amp;"L$1&amp;""""))),M1988))"),"")</f>
        <v/>
      </c>
      <c r="T1988" s="264" t="str">
        <f t="shared" si="4"/>
        <v/>
      </c>
      <c r="U1988" s="264" t="str">
        <f t="shared" si="5"/>
        <v/>
      </c>
      <c r="V1988" s="264" t="str">
        <f t="shared" si="6"/>
        <v/>
      </c>
      <c r="W1988" s="267" t="str">
        <f t="shared" si="8"/>
        <v/>
      </c>
      <c r="X1988" s="264" t="str">
        <f t="shared" si="7"/>
        <v/>
      </c>
    </row>
    <row r="1989" ht="15.75" customHeight="1">
      <c r="A1989" s="258"/>
      <c r="B1989" s="258"/>
      <c r="C1989" s="269"/>
      <c r="D1989" s="258"/>
      <c r="E1989" s="258"/>
      <c r="F1989" s="258"/>
      <c r="G1989" s="258"/>
      <c r="H1989" s="271"/>
      <c r="I1989" s="258"/>
      <c r="J1989" s="272"/>
      <c r="K1989" s="260"/>
      <c r="L1989" s="261"/>
      <c r="M1989" s="262" t="str">
        <f t="shared" si="1"/>
        <v/>
      </c>
      <c r="N1989" s="263" t="str">
        <f t="shared" si="2"/>
        <v/>
      </c>
      <c r="O1989" s="264" t="str">
        <f t="shared" si="3"/>
        <v/>
      </c>
      <c r="P1989" s="265" t="str">
        <f>IFERROR(__xludf.DUMMYFUNCTION("IF(ISBLANK(A1989),"""",IFERROR(IF(H1989=""Sell"",VLOOKUP(9^99,FILTER({ROW(P$2:P1988),P$2:P1988},D$2:D1988=D1989),2),(VLOOKUP(9^99,FILTER({ROW(P$2:P1988),P$2:P1988},D$2:D1988=D1989),2)*VLOOKUP(9^99,FILTER({ROW(O$2:O1988),O$2:O1988},D$2:D1988=D1989),2)-N198"&amp;"9)/O1989),J1989))"),"")</f>
        <v/>
      </c>
      <c r="Q1989" s="264" t="str">
        <f>IFERROR(__xludf.DUMMYFUNCTION("IFERROR(IF(F1989=""Crypto"",B1989,(IF(ISBLANK(D1989),"""",IF(D1989=""Cash"",B1989,IF(GOOGLEFINANCE(D1989,""CURRENCY"")=""GBX"",""GBP"",GOOGLEFINANCE(D1989,""CURRENCY"")))))),B1989)"),"")</f>
        <v/>
      </c>
      <c r="R1989" s="263" t="str">
        <f>IFERROR(__xludf.DUMMYFUNCTION("IF(ISBLANK(A1989),"""",IFERROR(IF(OR(Q1989=""GPB"",Q1989=""ZAR""),IF(Q1989=Dashboard!$L$1,K1989,(K1989*GOOGLEFINANCE(""CURRENCY:""&amp;Q1989&amp;""""&amp;Dashboard!$L$1&amp;""""))/100),IF(Q1989=Dashboard!$L$1,K1989,K1989*GOOGLEFINANCE(""CURRENCY:""&amp;Q1989&amp;""""&amp;Dashboard!$"&amp;"L$1&amp;""""))),K1989))"),"")</f>
        <v/>
      </c>
      <c r="S1989" s="266" t="str">
        <f>IFERROR(__xludf.DUMMYFUNCTION("IF(ISBLANK(A1989),"""",IFERROR(IF(OR(Q1989=""GPB"",Q1989=""ZAR""),IF(Q1989=Dashboard!$L$1,M1989,(M1989*GOOGLEFINANCE(""CURRENCY:""&amp;Q1989&amp;""""&amp;Dashboard!$L$1&amp;""""))/100),IF(Q1989=Dashboard!$L$1,M1989,M1989*GOOGLEFINANCE(""CURRENCY:""&amp;Q1989&amp;""""&amp;Dashboard!$"&amp;"L$1&amp;""""))),M1989))"),"")</f>
        <v/>
      </c>
      <c r="T1989" s="264" t="str">
        <f t="shared" si="4"/>
        <v/>
      </c>
      <c r="U1989" s="264" t="str">
        <f t="shared" si="5"/>
        <v/>
      </c>
      <c r="V1989" s="264" t="str">
        <f t="shared" si="6"/>
        <v/>
      </c>
      <c r="W1989" s="267" t="str">
        <f t="shared" si="8"/>
        <v/>
      </c>
      <c r="X1989" s="264" t="str">
        <f t="shared" si="7"/>
        <v/>
      </c>
    </row>
    <row r="1990" ht="15.75" customHeight="1">
      <c r="A1990" s="258"/>
      <c r="B1990" s="258"/>
      <c r="C1990" s="269"/>
      <c r="D1990" s="258"/>
      <c r="E1990" s="258"/>
      <c r="F1990" s="258"/>
      <c r="G1990" s="258"/>
      <c r="H1990" s="271"/>
      <c r="I1990" s="258"/>
      <c r="J1990" s="272"/>
      <c r="K1990" s="260"/>
      <c r="L1990" s="261"/>
      <c r="M1990" s="262" t="str">
        <f t="shared" si="1"/>
        <v/>
      </c>
      <c r="N1990" s="263" t="str">
        <f t="shared" si="2"/>
        <v/>
      </c>
      <c r="O1990" s="264" t="str">
        <f t="shared" si="3"/>
        <v/>
      </c>
      <c r="P1990" s="265" t="str">
        <f>IFERROR(__xludf.DUMMYFUNCTION("IF(ISBLANK(A1990),"""",IFERROR(IF(H1990=""Sell"",VLOOKUP(9^99,FILTER({ROW(P$2:P1989),P$2:P1989},D$2:D1989=D1990),2),(VLOOKUP(9^99,FILTER({ROW(P$2:P1989),P$2:P1989},D$2:D1989=D1990),2)*VLOOKUP(9^99,FILTER({ROW(O$2:O1989),O$2:O1989},D$2:D1989=D1990),2)-N199"&amp;"0)/O1990),J1990))"),"")</f>
        <v/>
      </c>
      <c r="Q1990" s="264" t="str">
        <f>IFERROR(__xludf.DUMMYFUNCTION("IFERROR(IF(F1990=""Crypto"",B1990,(IF(ISBLANK(D1990),"""",IF(D1990=""Cash"",B1990,IF(GOOGLEFINANCE(D1990,""CURRENCY"")=""GBX"",""GBP"",GOOGLEFINANCE(D1990,""CURRENCY"")))))),B1990)"),"")</f>
        <v/>
      </c>
      <c r="R1990" s="263" t="str">
        <f>IFERROR(__xludf.DUMMYFUNCTION("IF(ISBLANK(A1990),"""",IFERROR(IF(OR(Q1990=""GPB"",Q1990=""ZAR""),IF(Q1990=Dashboard!$L$1,K1990,(K1990*GOOGLEFINANCE(""CURRENCY:""&amp;Q1990&amp;""""&amp;Dashboard!$L$1&amp;""""))/100),IF(Q1990=Dashboard!$L$1,K1990,K1990*GOOGLEFINANCE(""CURRENCY:""&amp;Q1990&amp;""""&amp;Dashboard!$"&amp;"L$1&amp;""""))),K1990))"),"")</f>
        <v/>
      </c>
      <c r="S1990" s="266" t="str">
        <f>IFERROR(__xludf.DUMMYFUNCTION("IF(ISBLANK(A1990),"""",IFERROR(IF(OR(Q1990=""GPB"",Q1990=""ZAR""),IF(Q1990=Dashboard!$L$1,M1990,(M1990*GOOGLEFINANCE(""CURRENCY:""&amp;Q1990&amp;""""&amp;Dashboard!$L$1&amp;""""))/100),IF(Q1990=Dashboard!$L$1,M1990,M1990*GOOGLEFINANCE(""CURRENCY:""&amp;Q1990&amp;""""&amp;Dashboard!$"&amp;"L$1&amp;""""))),M1990))"),"")</f>
        <v/>
      </c>
      <c r="T1990" s="264" t="str">
        <f t="shared" si="4"/>
        <v/>
      </c>
      <c r="U1990" s="264" t="str">
        <f t="shared" si="5"/>
        <v/>
      </c>
      <c r="V1990" s="264" t="str">
        <f t="shared" si="6"/>
        <v/>
      </c>
      <c r="W1990" s="267" t="str">
        <f t="shared" si="8"/>
        <v/>
      </c>
      <c r="X1990" s="264" t="str">
        <f t="shared" si="7"/>
        <v/>
      </c>
    </row>
    <row r="1991" ht="15.75" customHeight="1">
      <c r="A1991" s="258"/>
      <c r="B1991" s="258"/>
      <c r="C1991" s="269"/>
      <c r="D1991" s="258"/>
      <c r="E1991" s="258"/>
      <c r="F1991" s="258"/>
      <c r="G1991" s="258"/>
      <c r="H1991" s="271"/>
      <c r="I1991" s="258"/>
      <c r="J1991" s="272"/>
      <c r="K1991" s="260"/>
      <c r="L1991" s="261"/>
      <c r="M1991" s="262" t="str">
        <f t="shared" si="1"/>
        <v/>
      </c>
      <c r="N1991" s="263" t="str">
        <f t="shared" si="2"/>
        <v/>
      </c>
      <c r="O1991" s="264" t="str">
        <f t="shared" si="3"/>
        <v/>
      </c>
      <c r="P1991" s="265" t="str">
        <f>IFERROR(__xludf.DUMMYFUNCTION("IF(ISBLANK(A1991),"""",IFERROR(IF(H1991=""Sell"",VLOOKUP(9^99,FILTER({ROW(P$2:P1990),P$2:P1990},D$2:D1990=D1991),2),(VLOOKUP(9^99,FILTER({ROW(P$2:P1990),P$2:P1990},D$2:D1990=D1991),2)*VLOOKUP(9^99,FILTER({ROW(O$2:O1990),O$2:O1990},D$2:D1990=D1991),2)-N199"&amp;"1)/O1991),J1991))"),"")</f>
        <v/>
      </c>
      <c r="Q1991" s="264" t="str">
        <f>IFERROR(__xludf.DUMMYFUNCTION("IFERROR(IF(F1991=""Crypto"",B1991,(IF(ISBLANK(D1991),"""",IF(D1991=""Cash"",B1991,IF(GOOGLEFINANCE(D1991,""CURRENCY"")=""GBX"",""GBP"",GOOGLEFINANCE(D1991,""CURRENCY"")))))),B1991)"),"")</f>
        <v/>
      </c>
      <c r="R1991" s="263" t="str">
        <f>IFERROR(__xludf.DUMMYFUNCTION("IF(ISBLANK(A1991),"""",IFERROR(IF(OR(Q1991=""GPB"",Q1991=""ZAR""),IF(Q1991=Dashboard!$L$1,K1991,(K1991*GOOGLEFINANCE(""CURRENCY:""&amp;Q1991&amp;""""&amp;Dashboard!$L$1&amp;""""))/100),IF(Q1991=Dashboard!$L$1,K1991,K1991*GOOGLEFINANCE(""CURRENCY:""&amp;Q1991&amp;""""&amp;Dashboard!$"&amp;"L$1&amp;""""))),K1991))"),"")</f>
        <v/>
      </c>
      <c r="S1991" s="266" t="str">
        <f>IFERROR(__xludf.DUMMYFUNCTION("IF(ISBLANK(A1991),"""",IFERROR(IF(OR(Q1991=""GPB"",Q1991=""ZAR""),IF(Q1991=Dashboard!$L$1,M1991,(M1991*GOOGLEFINANCE(""CURRENCY:""&amp;Q1991&amp;""""&amp;Dashboard!$L$1&amp;""""))/100),IF(Q1991=Dashboard!$L$1,M1991,M1991*GOOGLEFINANCE(""CURRENCY:""&amp;Q1991&amp;""""&amp;Dashboard!$"&amp;"L$1&amp;""""))),M1991))"),"")</f>
        <v/>
      </c>
      <c r="T1991" s="264" t="str">
        <f t="shared" si="4"/>
        <v/>
      </c>
      <c r="U1991" s="264" t="str">
        <f t="shared" si="5"/>
        <v/>
      </c>
      <c r="V1991" s="264" t="str">
        <f t="shared" si="6"/>
        <v/>
      </c>
      <c r="W1991" s="267" t="str">
        <f t="shared" si="8"/>
        <v/>
      </c>
      <c r="X1991" s="264" t="str">
        <f t="shared" si="7"/>
        <v/>
      </c>
    </row>
    <row r="1992" ht="15.75" customHeight="1">
      <c r="A1992" s="258"/>
      <c r="B1992" s="258"/>
      <c r="C1992" s="269"/>
      <c r="D1992" s="258"/>
      <c r="E1992" s="258"/>
      <c r="F1992" s="258"/>
      <c r="G1992" s="258"/>
      <c r="H1992" s="271"/>
      <c r="I1992" s="258"/>
      <c r="J1992" s="272"/>
      <c r="K1992" s="260"/>
      <c r="L1992" s="261"/>
      <c r="M1992" s="262" t="str">
        <f t="shared" si="1"/>
        <v/>
      </c>
      <c r="N1992" s="263" t="str">
        <f t="shared" si="2"/>
        <v/>
      </c>
      <c r="O1992" s="264" t="str">
        <f t="shared" si="3"/>
        <v/>
      </c>
      <c r="P1992" s="265" t="str">
        <f>IFERROR(__xludf.DUMMYFUNCTION("IF(ISBLANK(A1992),"""",IFERROR(IF(H1992=""Sell"",VLOOKUP(9^99,FILTER({ROW(P$2:P1991),P$2:P1991},D$2:D1991=D1992),2),(VLOOKUP(9^99,FILTER({ROW(P$2:P1991),P$2:P1991},D$2:D1991=D1992),2)*VLOOKUP(9^99,FILTER({ROW(O$2:O1991),O$2:O1991},D$2:D1991=D1992),2)-N199"&amp;"2)/O1992),J1992))"),"")</f>
        <v/>
      </c>
      <c r="Q1992" s="264" t="str">
        <f>IFERROR(__xludf.DUMMYFUNCTION("IFERROR(IF(F1992=""Crypto"",B1992,(IF(ISBLANK(D1992),"""",IF(D1992=""Cash"",B1992,IF(GOOGLEFINANCE(D1992,""CURRENCY"")=""GBX"",""GBP"",GOOGLEFINANCE(D1992,""CURRENCY"")))))),B1992)"),"")</f>
        <v/>
      </c>
      <c r="R1992" s="263" t="str">
        <f>IFERROR(__xludf.DUMMYFUNCTION("IF(ISBLANK(A1992),"""",IFERROR(IF(OR(Q1992=""GPB"",Q1992=""ZAR""),IF(Q1992=Dashboard!$L$1,K1992,(K1992*GOOGLEFINANCE(""CURRENCY:""&amp;Q1992&amp;""""&amp;Dashboard!$L$1&amp;""""))/100),IF(Q1992=Dashboard!$L$1,K1992,K1992*GOOGLEFINANCE(""CURRENCY:""&amp;Q1992&amp;""""&amp;Dashboard!$"&amp;"L$1&amp;""""))),K1992))"),"")</f>
        <v/>
      </c>
      <c r="S1992" s="266" t="str">
        <f>IFERROR(__xludf.DUMMYFUNCTION("IF(ISBLANK(A1992),"""",IFERROR(IF(OR(Q1992=""GPB"",Q1992=""ZAR""),IF(Q1992=Dashboard!$L$1,M1992,(M1992*GOOGLEFINANCE(""CURRENCY:""&amp;Q1992&amp;""""&amp;Dashboard!$L$1&amp;""""))/100),IF(Q1992=Dashboard!$L$1,M1992,M1992*GOOGLEFINANCE(""CURRENCY:""&amp;Q1992&amp;""""&amp;Dashboard!$"&amp;"L$1&amp;""""))),M1992))"),"")</f>
        <v/>
      </c>
      <c r="T1992" s="264" t="str">
        <f t="shared" si="4"/>
        <v/>
      </c>
      <c r="U1992" s="264" t="str">
        <f t="shared" si="5"/>
        <v/>
      </c>
      <c r="V1992" s="264" t="str">
        <f t="shared" si="6"/>
        <v/>
      </c>
      <c r="W1992" s="267" t="str">
        <f t="shared" si="8"/>
        <v/>
      </c>
      <c r="X1992" s="264" t="str">
        <f t="shared" si="7"/>
        <v/>
      </c>
    </row>
    <row r="1993" ht="15.75" customHeight="1">
      <c r="A1993" s="258"/>
      <c r="B1993" s="258"/>
      <c r="C1993" s="269"/>
      <c r="D1993" s="258"/>
      <c r="E1993" s="258"/>
      <c r="F1993" s="258"/>
      <c r="G1993" s="258"/>
      <c r="H1993" s="271"/>
      <c r="I1993" s="258"/>
      <c r="J1993" s="272"/>
      <c r="K1993" s="260"/>
      <c r="L1993" s="261"/>
      <c r="M1993" s="262" t="str">
        <f t="shared" si="1"/>
        <v/>
      </c>
      <c r="N1993" s="263" t="str">
        <f t="shared" si="2"/>
        <v/>
      </c>
      <c r="O1993" s="264" t="str">
        <f t="shared" si="3"/>
        <v/>
      </c>
      <c r="P1993" s="265" t="str">
        <f>IFERROR(__xludf.DUMMYFUNCTION("IF(ISBLANK(A1993),"""",IFERROR(IF(H1993=""Sell"",VLOOKUP(9^99,FILTER({ROW(P$2:P1992),P$2:P1992},D$2:D1992=D1993),2),(VLOOKUP(9^99,FILTER({ROW(P$2:P1992),P$2:P1992},D$2:D1992=D1993),2)*VLOOKUP(9^99,FILTER({ROW(O$2:O1992),O$2:O1992},D$2:D1992=D1993),2)-N199"&amp;"3)/O1993),J1993))"),"")</f>
        <v/>
      </c>
      <c r="Q1993" s="264" t="str">
        <f>IFERROR(__xludf.DUMMYFUNCTION("IFERROR(IF(F1993=""Crypto"",B1993,(IF(ISBLANK(D1993),"""",IF(D1993=""Cash"",B1993,IF(GOOGLEFINANCE(D1993,""CURRENCY"")=""GBX"",""GBP"",GOOGLEFINANCE(D1993,""CURRENCY"")))))),B1993)"),"")</f>
        <v/>
      </c>
      <c r="R1993" s="263" t="str">
        <f>IFERROR(__xludf.DUMMYFUNCTION("IF(ISBLANK(A1993),"""",IFERROR(IF(OR(Q1993=""GPB"",Q1993=""ZAR""),IF(Q1993=Dashboard!$L$1,K1993,(K1993*GOOGLEFINANCE(""CURRENCY:""&amp;Q1993&amp;""""&amp;Dashboard!$L$1&amp;""""))/100),IF(Q1993=Dashboard!$L$1,K1993,K1993*GOOGLEFINANCE(""CURRENCY:""&amp;Q1993&amp;""""&amp;Dashboard!$"&amp;"L$1&amp;""""))),K1993))"),"")</f>
        <v/>
      </c>
      <c r="S1993" s="266" t="str">
        <f>IFERROR(__xludf.DUMMYFUNCTION("IF(ISBLANK(A1993),"""",IFERROR(IF(OR(Q1993=""GPB"",Q1993=""ZAR""),IF(Q1993=Dashboard!$L$1,M1993,(M1993*GOOGLEFINANCE(""CURRENCY:""&amp;Q1993&amp;""""&amp;Dashboard!$L$1&amp;""""))/100),IF(Q1993=Dashboard!$L$1,M1993,M1993*GOOGLEFINANCE(""CURRENCY:""&amp;Q1993&amp;""""&amp;Dashboard!$"&amp;"L$1&amp;""""))),M1993))"),"")</f>
        <v/>
      </c>
      <c r="T1993" s="264" t="str">
        <f t="shared" si="4"/>
        <v/>
      </c>
      <c r="U1993" s="264" t="str">
        <f t="shared" si="5"/>
        <v/>
      </c>
      <c r="V1993" s="264" t="str">
        <f t="shared" si="6"/>
        <v/>
      </c>
      <c r="W1993" s="267" t="str">
        <f t="shared" si="8"/>
        <v/>
      </c>
      <c r="X1993" s="264" t="str">
        <f t="shared" si="7"/>
        <v/>
      </c>
    </row>
    <row r="1994" ht="15.75" customHeight="1">
      <c r="A1994" s="258"/>
      <c r="B1994" s="258"/>
      <c r="C1994" s="269"/>
      <c r="D1994" s="258"/>
      <c r="E1994" s="258"/>
      <c r="F1994" s="258"/>
      <c r="G1994" s="258"/>
      <c r="H1994" s="271"/>
      <c r="I1994" s="258"/>
      <c r="J1994" s="272"/>
      <c r="K1994" s="260"/>
      <c r="L1994" s="261"/>
      <c r="M1994" s="262" t="str">
        <f t="shared" si="1"/>
        <v/>
      </c>
      <c r="N1994" s="263" t="str">
        <f t="shared" si="2"/>
        <v/>
      </c>
      <c r="O1994" s="264" t="str">
        <f t="shared" si="3"/>
        <v/>
      </c>
      <c r="P1994" s="265" t="str">
        <f>IFERROR(__xludf.DUMMYFUNCTION("IF(ISBLANK(A1994),"""",IFERROR(IF(H1994=""Sell"",VLOOKUP(9^99,FILTER({ROW(P$2:P1993),P$2:P1993},D$2:D1993=D1994),2),(VLOOKUP(9^99,FILTER({ROW(P$2:P1993),P$2:P1993},D$2:D1993=D1994),2)*VLOOKUP(9^99,FILTER({ROW(O$2:O1993),O$2:O1993},D$2:D1993=D1994),2)-N199"&amp;"4)/O1994),J1994))"),"")</f>
        <v/>
      </c>
      <c r="Q1994" s="264" t="str">
        <f>IFERROR(__xludf.DUMMYFUNCTION("IFERROR(IF(F1994=""Crypto"",B1994,(IF(ISBLANK(D1994),"""",IF(D1994=""Cash"",B1994,IF(GOOGLEFINANCE(D1994,""CURRENCY"")=""GBX"",""GBP"",GOOGLEFINANCE(D1994,""CURRENCY"")))))),B1994)"),"")</f>
        <v/>
      </c>
      <c r="R1994" s="263" t="str">
        <f>IFERROR(__xludf.DUMMYFUNCTION("IF(ISBLANK(A1994),"""",IFERROR(IF(OR(Q1994=""GPB"",Q1994=""ZAR""),IF(Q1994=Dashboard!$L$1,K1994,(K1994*GOOGLEFINANCE(""CURRENCY:""&amp;Q1994&amp;""""&amp;Dashboard!$L$1&amp;""""))/100),IF(Q1994=Dashboard!$L$1,K1994,K1994*GOOGLEFINANCE(""CURRENCY:""&amp;Q1994&amp;""""&amp;Dashboard!$"&amp;"L$1&amp;""""))),K1994))"),"")</f>
        <v/>
      </c>
      <c r="S1994" s="266" t="str">
        <f>IFERROR(__xludf.DUMMYFUNCTION("IF(ISBLANK(A1994),"""",IFERROR(IF(OR(Q1994=""GPB"",Q1994=""ZAR""),IF(Q1994=Dashboard!$L$1,M1994,(M1994*GOOGLEFINANCE(""CURRENCY:""&amp;Q1994&amp;""""&amp;Dashboard!$L$1&amp;""""))/100),IF(Q1994=Dashboard!$L$1,M1994,M1994*GOOGLEFINANCE(""CURRENCY:""&amp;Q1994&amp;""""&amp;Dashboard!$"&amp;"L$1&amp;""""))),M1994))"),"")</f>
        <v/>
      </c>
      <c r="T1994" s="264" t="str">
        <f t="shared" si="4"/>
        <v/>
      </c>
      <c r="U1994" s="264" t="str">
        <f t="shared" si="5"/>
        <v/>
      </c>
      <c r="V1994" s="264" t="str">
        <f t="shared" si="6"/>
        <v/>
      </c>
      <c r="W1994" s="267" t="str">
        <f t="shared" si="8"/>
        <v/>
      </c>
      <c r="X1994" s="264" t="str">
        <f t="shared" si="7"/>
        <v/>
      </c>
    </row>
    <row r="1995" ht="15.75" customHeight="1">
      <c r="A1995" s="258"/>
      <c r="B1995" s="258"/>
      <c r="C1995" s="269"/>
      <c r="D1995" s="258"/>
      <c r="E1995" s="258"/>
      <c r="F1995" s="258"/>
      <c r="G1995" s="258"/>
      <c r="H1995" s="271"/>
      <c r="I1995" s="258"/>
      <c r="J1995" s="272"/>
      <c r="K1995" s="260"/>
      <c r="L1995" s="261"/>
      <c r="M1995" s="262" t="str">
        <f t="shared" si="1"/>
        <v/>
      </c>
      <c r="N1995" s="263" t="str">
        <f t="shared" si="2"/>
        <v/>
      </c>
      <c r="O1995" s="264" t="str">
        <f t="shared" si="3"/>
        <v/>
      </c>
      <c r="P1995" s="265" t="str">
        <f>IFERROR(__xludf.DUMMYFUNCTION("IF(ISBLANK(A1995),"""",IFERROR(IF(H1995=""Sell"",VLOOKUP(9^99,FILTER({ROW(P$2:P1994),P$2:P1994},D$2:D1994=D1995),2),(VLOOKUP(9^99,FILTER({ROW(P$2:P1994),P$2:P1994},D$2:D1994=D1995),2)*VLOOKUP(9^99,FILTER({ROW(O$2:O1994),O$2:O1994},D$2:D1994=D1995),2)-N199"&amp;"5)/O1995),J1995))"),"")</f>
        <v/>
      </c>
      <c r="Q1995" s="264" t="str">
        <f>IFERROR(__xludf.DUMMYFUNCTION("IFERROR(IF(F1995=""Crypto"",B1995,(IF(ISBLANK(D1995),"""",IF(D1995=""Cash"",B1995,IF(GOOGLEFINANCE(D1995,""CURRENCY"")=""GBX"",""GBP"",GOOGLEFINANCE(D1995,""CURRENCY"")))))),B1995)"),"")</f>
        <v/>
      </c>
      <c r="R1995" s="263" t="str">
        <f>IFERROR(__xludf.DUMMYFUNCTION("IF(ISBLANK(A1995),"""",IFERROR(IF(OR(Q1995=""GPB"",Q1995=""ZAR""),IF(Q1995=Dashboard!$L$1,K1995,(K1995*GOOGLEFINANCE(""CURRENCY:""&amp;Q1995&amp;""""&amp;Dashboard!$L$1&amp;""""))/100),IF(Q1995=Dashboard!$L$1,K1995,K1995*GOOGLEFINANCE(""CURRENCY:""&amp;Q1995&amp;""""&amp;Dashboard!$"&amp;"L$1&amp;""""))),K1995))"),"")</f>
        <v/>
      </c>
      <c r="S1995" s="266" t="str">
        <f>IFERROR(__xludf.DUMMYFUNCTION("IF(ISBLANK(A1995),"""",IFERROR(IF(OR(Q1995=""GPB"",Q1995=""ZAR""),IF(Q1995=Dashboard!$L$1,M1995,(M1995*GOOGLEFINANCE(""CURRENCY:""&amp;Q1995&amp;""""&amp;Dashboard!$L$1&amp;""""))/100),IF(Q1995=Dashboard!$L$1,M1995,M1995*GOOGLEFINANCE(""CURRENCY:""&amp;Q1995&amp;""""&amp;Dashboard!$"&amp;"L$1&amp;""""))),M1995))"),"")</f>
        <v/>
      </c>
      <c r="T1995" s="264" t="str">
        <f t="shared" si="4"/>
        <v/>
      </c>
      <c r="U1995" s="264" t="str">
        <f t="shared" si="5"/>
        <v/>
      </c>
      <c r="V1995" s="264" t="str">
        <f t="shared" si="6"/>
        <v/>
      </c>
      <c r="W1995" s="267" t="str">
        <f t="shared" si="8"/>
        <v/>
      </c>
      <c r="X1995" s="264" t="str">
        <f t="shared" si="7"/>
        <v/>
      </c>
    </row>
    <row r="1996" ht="15.75" customHeight="1">
      <c r="A1996" s="258"/>
      <c r="B1996" s="258"/>
      <c r="C1996" s="269"/>
      <c r="D1996" s="258"/>
      <c r="E1996" s="258"/>
      <c r="F1996" s="258"/>
      <c r="G1996" s="258"/>
      <c r="H1996" s="271"/>
      <c r="I1996" s="258"/>
      <c r="J1996" s="272"/>
      <c r="K1996" s="260"/>
      <c r="L1996" s="261"/>
      <c r="M1996" s="262" t="str">
        <f t="shared" si="1"/>
        <v/>
      </c>
      <c r="N1996" s="263" t="str">
        <f t="shared" si="2"/>
        <v/>
      </c>
      <c r="O1996" s="264" t="str">
        <f t="shared" si="3"/>
        <v/>
      </c>
      <c r="P1996" s="265" t="str">
        <f>IFERROR(__xludf.DUMMYFUNCTION("IF(ISBLANK(A1996),"""",IFERROR(IF(H1996=""Sell"",VLOOKUP(9^99,FILTER({ROW(P$2:P1995),P$2:P1995},D$2:D1995=D1996),2),(VLOOKUP(9^99,FILTER({ROW(P$2:P1995),P$2:P1995},D$2:D1995=D1996),2)*VLOOKUP(9^99,FILTER({ROW(O$2:O1995),O$2:O1995},D$2:D1995=D1996),2)-N199"&amp;"6)/O1996),J1996))"),"")</f>
        <v/>
      </c>
      <c r="Q1996" s="264" t="str">
        <f>IFERROR(__xludf.DUMMYFUNCTION("IFERROR(IF(F1996=""Crypto"",B1996,(IF(ISBLANK(D1996),"""",IF(D1996=""Cash"",B1996,IF(GOOGLEFINANCE(D1996,""CURRENCY"")=""GBX"",""GBP"",GOOGLEFINANCE(D1996,""CURRENCY"")))))),B1996)"),"")</f>
        <v/>
      </c>
      <c r="R1996" s="263" t="str">
        <f>IFERROR(__xludf.DUMMYFUNCTION("IF(ISBLANK(A1996),"""",IFERROR(IF(OR(Q1996=""GPB"",Q1996=""ZAR""),IF(Q1996=Dashboard!$L$1,K1996,(K1996*GOOGLEFINANCE(""CURRENCY:""&amp;Q1996&amp;""""&amp;Dashboard!$L$1&amp;""""))/100),IF(Q1996=Dashboard!$L$1,K1996,K1996*GOOGLEFINANCE(""CURRENCY:""&amp;Q1996&amp;""""&amp;Dashboard!$"&amp;"L$1&amp;""""))),K1996))"),"")</f>
        <v/>
      </c>
      <c r="S1996" s="266" t="str">
        <f>IFERROR(__xludf.DUMMYFUNCTION("IF(ISBLANK(A1996),"""",IFERROR(IF(OR(Q1996=""GPB"",Q1996=""ZAR""),IF(Q1996=Dashboard!$L$1,M1996,(M1996*GOOGLEFINANCE(""CURRENCY:""&amp;Q1996&amp;""""&amp;Dashboard!$L$1&amp;""""))/100),IF(Q1996=Dashboard!$L$1,M1996,M1996*GOOGLEFINANCE(""CURRENCY:""&amp;Q1996&amp;""""&amp;Dashboard!$"&amp;"L$1&amp;""""))),M1996))"),"")</f>
        <v/>
      </c>
      <c r="T1996" s="264" t="str">
        <f t="shared" si="4"/>
        <v/>
      </c>
      <c r="U1996" s="264" t="str">
        <f t="shared" si="5"/>
        <v/>
      </c>
      <c r="V1996" s="264" t="str">
        <f t="shared" si="6"/>
        <v/>
      </c>
      <c r="W1996" s="267" t="str">
        <f t="shared" si="8"/>
        <v/>
      </c>
      <c r="X1996" s="264" t="str">
        <f t="shared" si="7"/>
        <v/>
      </c>
    </row>
    <row r="1997" ht="15.75" customHeight="1">
      <c r="A1997" s="258"/>
      <c r="B1997" s="258"/>
      <c r="C1997" s="269"/>
      <c r="D1997" s="258"/>
      <c r="E1997" s="258"/>
      <c r="F1997" s="258"/>
      <c r="G1997" s="258"/>
      <c r="H1997" s="271"/>
      <c r="I1997" s="258"/>
      <c r="J1997" s="272"/>
      <c r="K1997" s="260"/>
      <c r="L1997" s="261"/>
      <c r="M1997" s="262" t="str">
        <f t="shared" si="1"/>
        <v/>
      </c>
      <c r="N1997" s="263" t="str">
        <f t="shared" si="2"/>
        <v/>
      </c>
      <c r="O1997" s="264" t="str">
        <f t="shared" si="3"/>
        <v/>
      </c>
      <c r="P1997" s="265" t="str">
        <f>IFERROR(__xludf.DUMMYFUNCTION("IF(ISBLANK(A1997),"""",IFERROR(IF(H1997=""Sell"",VLOOKUP(9^99,FILTER({ROW(P$2:P1996),P$2:P1996},D$2:D1996=D1997),2),(VLOOKUP(9^99,FILTER({ROW(P$2:P1996),P$2:P1996},D$2:D1996=D1997),2)*VLOOKUP(9^99,FILTER({ROW(O$2:O1996),O$2:O1996},D$2:D1996=D1997),2)-N199"&amp;"7)/O1997),J1997))"),"")</f>
        <v/>
      </c>
      <c r="Q1997" s="264" t="str">
        <f>IFERROR(__xludf.DUMMYFUNCTION("IFERROR(IF(F1997=""Crypto"",B1997,(IF(ISBLANK(D1997),"""",IF(D1997=""Cash"",B1997,IF(GOOGLEFINANCE(D1997,""CURRENCY"")=""GBX"",""GBP"",GOOGLEFINANCE(D1997,""CURRENCY"")))))),B1997)"),"")</f>
        <v/>
      </c>
      <c r="R1997" s="263" t="str">
        <f>IFERROR(__xludf.DUMMYFUNCTION("IF(ISBLANK(A1997),"""",IFERROR(IF(OR(Q1997=""GPB"",Q1997=""ZAR""),IF(Q1997=Dashboard!$L$1,K1997,(K1997*GOOGLEFINANCE(""CURRENCY:""&amp;Q1997&amp;""""&amp;Dashboard!$L$1&amp;""""))/100),IF(Q1997=Dashboard!$L$1,K1997,K1997*GOOGLEFINANCE(""CURRENCY:""&amp;Q1997&amp;""""&amp;Dashboard!$"&amp;"L$1&amp;""""))),K1997))"),"")</f>
        <v/>
      </c>
      <c r="S1997" s="266" t="str">
        <f>IFERROR(__xludf.DUMMYFUNCTION("IF(ISBLANK(A1997),"""",IFERROR(IF(OR(Q1997=""GPB"",Q1997=""ZAR""),IF(Q1997=Dashboard!$L$1,M1997,(M1997*GOOGLEFINANCE(""CURRENCY:""&amp;Q1997&amp;""""&amp;Dashboard!$L$1&amp;""""))/100),IF(Q1997=Dashboard!$L$1,M1997,M1997*GOOGLEFINANCE(""CURRENCY:""&amp;Q1997&amp;""""&amp;Dashboard!$"&amp;"L$1&amp;""""))),M1997))"),"")</f>
        <v/>
      </c>
      <c r="T1997" s="264" t="str">
        <f t="shared" si="4"/>
        <v/>
      </c>
      <c r="U1997" s="264" t="str">
        <f t="shared" si="5"/>
        <v/>
      </c>
      <c r="V1997" s="264" t="str">
        <f t="shared" si="6"/>
        <v/>
      </c>
      <c r="W1997" s="267" t="str">
        <f t="shared" si="8"/>
        <v/>
      </c>
      <c r="X1997" s="264" t="str">
        <f t="shared" si="7"/>
        <v/>
      </c>
    </row>
    <row r="1998" ht="15.75" customHeight="1">
      <c r="A1998" s="258"/>
      <c r="B1998" s="258"/>
      <c r="C1998" s="269"/>
      <c r="D1998" s="258"/>
      <c r="E1998" s="258"/>
      <c r="F1998" s="258"/>
      <c r="G1998" s="258"/>
      <c r="H1998" s="271"/>
      <c r="I1998" s="258"/>
      <c r="J1998" s="272"/>
      <c r="K1998" s="260"/>
      <c r="L1998" s="261"/>
      <c r="M1998" s="262" t="str">
        <f t="shared" si="1"/>
        <v/>
      </c>
      <c r="N1998" s="263" t="str">
        <f t="shared" si="2"/>
        <v/>
      </c>
      <c r="O1998" s="264" t="str">
        <f t="shared" si="3"/>
        <v/>
      </c>
      <c r="P1998" s="265" t="str">
        <f>IFERROR(__xludf.DUMMYFUNCTION("IF(ISBLANK(A1998),"""",IFERROR(IF(H1998=""Sell"",VLOOKUP(9^99,FILTER({ROW(P$2:P1997),P$2:P1997},D$2:D1997=D1998),2),(VLOOKUP(9^99,FILTER({ROW(P$2:P1997),P$2:P1997},D$2:D1997=D1998),2)*VLOOKUP(9^99,FILTER({ROW(O$2:O1997),O$2:O1997},D$2:D1997=D1998),2)-N199"&amp;"8)/O1998),J1998))"),"")</f>
        <v/>
      </c>
      <c r="Q1998" s="264" t="str">
        <f>IFERROR(__xludf.DUMMYFUNCTION("IFERROR(IF(F1998=""Crypto"",B1998,(IF(ISBLANK(D1998),"""",IF(D1998=""Cash"",B1998,IF(GOOGLEFINANCE(D1998,""CURRENCY"")=""GBX"",""GBP"",GOOGLEFINANCE(D1998,""CURRENCY"")))))),B1998)"),"")</f>
        <v/>
      </c>
      <c r="R1998" s="263" t="str">
        <f>IFERROR(__xludf.DUMMYFUNCTION("IF(ISBLANK(A1998),"""",IFERROR(IF(OR(Q1998=""GPB"",Q1998=""ZAR""),IF(Q1998=Dashboard!$L$1,K1998,(K1998*GOOGLEFINANCE(""CURRENCY:""&amp;Q1998&amp;""""&amp;Dashboard!$L$1&amp;""""))/100),IF(Q1998=Dashboard!$L$1,K1998,K1998*GOOGLEFINANCE(""CURRENCY:""&amp;Q1998&amp;""""&amp;Dashboard!$"&amp;"L$1&amp;""""))),K1998))"),"")</f>
        <v/>
      </c>
      <c r="S1998" s="266" t="str">
        <f>IFERROR(__xludf.DUMMYFUNCTION("IF(ISBLANK(A1998),"""",IFERROR(IF(OR(Q1998=""GPB"",Q1998=""ZAR""),IF(Q1998=Dashboard!$L$1,M1998,(M1998*GOOGLEFINANCE(""CURRENCY:""&amp;Q1998&amp;""""&amp;Dashboard!$L$1&amp;""""))/100),IF(Q1998=Dashboard!$L$1,M1998,M1998*GOOGLEFINANCE(""CURRENCY:""&amp;Q1998&amp;""""&amp;Dashboard!$"&amp;"L$1&amp;""""))),M1998))"),"")</f>
        <v/>
      </c>
      <c r="T1998" s="264" t="str">
        <f t="shared" si="4"/>
        <v/>
      </c>
      <c r="U1998" s="264" t="str">
        <f t="shared" si="5"/>
        <v/>
      </c>
      <c r="V1998" s="264" t="str">
        <f t="shared" si="6"/>
        <v/>
      </c>
      <c r="W1998" s="267" t="str">
        <f t="shared" si="8"/>
        <v/>
      </c>
      <c r="X1998" s="264" t="str">
        <f t="shared" si="7"/>
        <v/>
      </c>
    </row>
    <row r="1999" ht="15.75" customHeight="1">
      <c r="A1999" s="258"/>
      <c r="B1999" s="258"/>
      <c r="C1999" s="269"/>
      <c r="D1999" s="258"/>
      <c r="E1999" s="258"/>
      <c r="F1999" s="258"/>
      <c r="G1999" s="258"/>
      <c r="H1999" s="271"/>
      <c r="I1999" s="258"/>
      <c r="J1999" s="272"/>
      <c r="K1999" s="260"/>
      <c r="L1999" s="261"/>
      <c r="M1999" s="262" t="str">
        <f t="shared" si="1"/>
        <v/>
      </c>
      <c r="N1999" s="263" t="str">
        <f t="shared" si="2"/>
        <v/>
      </c>
      <c r="O1999" s="264" t="str">
        <f t="shared" si="3"/>
        <v/>
      </c>
      <c r="P1999" s="265" t="str">
        <f>IFERROR(__xludf.DUMMYFUNCTION("IF(ISBLANK(A1999),"""",IFERROR(IF(H1999=""Sell"",VLOOKUP(9^99,FILTER({ROW(P$2:P1998),P$2:P1998},D$2:D1998=D1999),2),(VLOOKUP(9^99,FILTER({ROW(P$2:P1998),P$2:P1998},D$2:D1998=D1999),2)*VLOOKUP(9^99,FILTER({ROW(O$2:O1998),O$2:O1998},D$2:D1998=D1999),2)-N199"&amp;"9)/O1999),J1999))"),"")</f>
        <v/>
      </c>
      <c r="Q1999" s="264" t="str">
        <f>IFERROR(__xludf.DUMMYFUNCTION("IFERROR(IF(F1999=""Crypto"",B1999,(IF(ISBLANK(D1999),"""",IF(D1999=""Cash"",B1999,IF(GOOGLEFINANCE(D1999,""CURRENCY"")=""GBX"",""GBP"",GOOGLEFINANCE(D1999,""CURRENCY"")))))),B1999)"),"")</f>
        <v/>
      </c>
      <c r="R1999" s="263" t="str">
        <f>IFERROR(__xludf.DUMMYFUNCTION("IF(ISBLANK(A1999),"""",IFERROR(IF(OR(Q1999=""GPB"",Q1999=""ZAR""),IF(Q1999=Dashboard!$L$1,K1999,(K1999*GOOGLEFINANCE(""CURRENCY:""&amp;Q1999&amp;""""&amp;Dashboard!$L$1&amp;""""))/100),IF(Q1999=Dashboard!$L$1,K1999,K1999*GOOGLEFINANCE(""CURRENCY:""&amp;Q1999&amp;""""&amp;Dashboard!$"&amp;"L$1&amp;""""))),K1999))"),"")</f>
        <v/>
      </c>
      <c r="S1999" s="266" t="str">
        <f>IFERROR(__xludf.DUMMYFUNCTION("IF(ISBLANK(A1999),"""",IFERROR(IF(OR(Q1999=""GPB"",Q1999=""ZAR""),IF(Q1999=Dashboard!$L$1,M1999,(M1999*GOOGLEFINANCE(""CURRENCY:""&amp;Q1999&amp;""""&amp;Dashboard!$L$1&amp;""""))/100),IF(Q1999=Dashboard!$L$1,M1999,M1999*GOOGLEFINANCE(""CURRENCY:""&amp;Q1999&amp;""""&amp;Dashboard!$"&amp;"L$1&amp;""""))),M1999))"),"")</f>
        <v/>
      </c>
      <c r="T1999" s="264" t="str">
        <f t="shared" si="4"/>
        <v/>
      </c>
      <c r="U1999" s="264" t="str">
        <f t="shared" si="5"/>
        <v/>
      </c>
      <c r="V1999" s="264" t="str">
        <f t="shared" si="6"/>
        <v/>
      </c>
      <c r="W1999" s="267" t="str">
        <f t="shared" si="8"/>
        <v/>
      </c>
      <c r="X1999" s="264" t="str">
        <f t="shared" si="7"/>
        <v/>
      </c>
    </row>
    <row r="2000" ht="15.75" customHeight="1">
      <c r="A2000" s="258"/>
      <c r="B2000" s="258"/>
      <c r="C2000" s="269"/>
      <c r="D2000" s="258"/>
      <c r="E2000" s="258"/>
      <c r="F2000" s="258"/>
      <c r="G2000" s="258"/>
      <c r="H2000" s="271"/>
      <c r="I2000" s="258"/>
      <c r="J2000" s="272"/>
      <c r="K2000" s="260"/>
      <c r="L2000" s="261"/>
      <c r="M2000" s="262" t="str">
        <f t="shared" si="1"/>
        <v/>
      </c>
      <c r="N2000" s="263" t="str">
        <f t="shared" si="2"/>
        <v/>
      </c>
      <c r="O2000" s="264" t="str">
        <f t="shared" si="3"/>
        <v/>
      </c>
      <c r="P2000" s="265" t="str">
        <f>IFERROR(__xludf.DUMMYFUNCTION("IF(ISBLANK(A2000),"""",IFERROR(IF(H2000=""Sell"",VLOOKUP(9^99,FILTER({ROW(P$2:P1999),P$2:P1999},D$2:D1999=D2000),2),(VLOOKUP(9^99,FILTER({ROW(P$2:P1999),P$2:P1999},D$2:D1999=D2000),2)*VLOOKUP(9^99,FILTER({ROW(O$2:O1999),O$2:O1999},D$2:D1999=D2000),2)-N200"&amp;"0)/O2000),J2000))"),"")</f>
        <v/>
      </c>
      <c r="Q2000" s="264" t="str">
        <f>IFERROR(__xludf.DUMMYFUNCTION("IFERROR(IF(F2000=""Crypto"",B2000,(IF(ISBLANK(D2000),"""",IF(D2000=""Cash"",B2000,IF(GOOGLEFINANCE(D2000,""CURRENCY"")=""GBX"",""GBP"",GOOGLEFINANCE(D2000,""CURRENCY"")))))),B2000)"),"")</f>
        <v/>
      </c>
      <c r="R2000" s="263" t="str">
        <f>IFERROR(__xludf.DUMMYFUNCTION("IF(ISBLANK(A2000),"""",IFERROR(IF(OR(Q2000=""GPB"",Q2000=""ZAR""),IF(Q2000=Dashboard!$L$1,K2000,(K2000*GOOGLEFINANCE(""CURRENCY:""&amp;Q2000&amp;""""&amp;Dashboard!$L$1&amp;""""))/100),IF(Q2000=Dashboard!$L$1,K2000,K2000*GOOGLEFINANCE(""CURRENCY:""&amp;Q2000&amp;""""&amp;Dashboard!$"&amp;"L$1&amp;""""))),K2000))"),"")</f>
        <v/>
      </c>
      <c r="S2000" s="266" t="str">
        <f>IFERROR(__xludf.DUMMYFUNCTION("IF(ISBLANK(A2000),"""",IFERROR(IF(OR(Q2000=""GPB"",Q2000=""ZAR""),IF(Q2000=Dashboard!$L$1,M2000,(M2000*GOOGLEFINANCE(""CURRENCY:""&amp;Q2000&amp;""""&amp;Dashboard!$L$1&amp;""""))/100),IF(Q2000=Dashboard!$L$1,M2000,M2000*GOOGLEFINANCE(""CURRENCY:""&amp;Q2000&amp;""""&amp;Dashboard!$"&amp;"L$1&amp;""""))),M2000))"),"")</f>
        <v/>
      </c>
      <c r="T2000" s="264" t="str">
        <f t="shared" si="4"/>
        <v/>
      </c>
      <c r="U2000" s="264" t="str">
        <f t="shared" si="5"/>
        <v/>
      </c>
      <c r="V2000" s="264" t="str">
        <f t="shared" si="6"/>
        <v/>
      </c>
      <c r="W2000" s="267" t="str">
        <f t="shared" si="8"/>
        <v/>
      </c>
      <c r="X2000" s="264" t="str">
        <f t="shared" si="7"/>
        <v/>
      </c>
    </row>
    <row r="2001" ht="15.75" customHeight="1">
      <c r="A2001" s="258"/>
      <c r="B2001" s="258"/>
      <c r="C2001" s="269"/>
      <c r="D2001" s="258"/>
      <c r="E2001" s="258"/>
      <c r="F2001" s="258"/>
      <c r="G2001" s="258"/>
      <c r="H2001" s="271"/>
      <c r="I2001" s="258"/>
      <c r="J2001" s="272"/>
      <c r="K2001" s="260"/>
      <c r="L2001" s="261"/>
      <c r="M2001" s="262" t="str">
        <f t="shared" si="1"/>
        <v/>
      </c>
      <c r="N2001" s="263" t="str">
        <f t="shared" si="2"/>
        <v/>
      </c>
      <c r="O2001" s="264" t="str">
        <f t="shared" si="3"/>
        <v/>
      </c>
      <c r="P2001" s="265" t="str">
        <f>IFERROR(__xludf.DUMMYFUNCTION("IF(ISBLANK(A2001),"""",IFERROR(IF(H2001=""Sell"",VLOOKUP(9^99,FILTER({ROW(P$2:P2000),P$2:P2000},D$2:D2000=D2001),2),(VLOOKUP(9^99,FILTER({ROW(P$2:P2000),P$2:P2000},D$2:D2000=D2001),2)*VLOOKUP(9^99,FILTER({ROW(O$2:O2000),O$2:O2000},D$2:D2000=D2001),2)-N200"&amp;"1)/O2001),J2001))"),"")</f>
        <v/>
      </c>
      <c r="Q2001" s="264" t="str">
        <f>IFERROR(__xludf.DUMMYFUNCTION("IFERROR(IF(F2001=""Crypto"",B2001,(IF(ISBLANK(D2001),"""",IF(D2001=""Cash"",B2001,IF(GOOGLEFINANCE(D2001,""CURRENCY"")=""GBX"",""GBP"",GOOGLEFINANCE(D2001,""CURRENCY"")))))),B2001)"),"")</f>
        <v/>
      </c>
      <c r="R2001" s="263" t="str">
        <f>IFERROR(__xludf.DUMMYFUNCTION("IF(ISBLANK(A2001),"""",IFERROR(IF(OR(Q2001=""GPB"",Q2001=""ZAR""),IF(Q2001=Dashboard!$L$1,K2001,(K2001*GOOGLEFINANCE(""CURRENCY:""&amp;Q2001&amp;""""&amp;Dashboard!$L$1&amp;""""))/100),IF(Q2001=Dashboard!$L$1,K2001,K2001*GOOGLEFINANCE(""CURRENCY:""&amp;Q2001&amp;""""&amp;Dashboard!$"&amp;"L$1&amp;""""))),K2001))"),"")</f>
        <v/>
      </c>
      <c r="S2001" s="266" t="str">
        <f>IFERROR(__xludf.DUMMYFUNCTION("IF(ISBLANK(A2001),"""",IFERROR(IF(OR(Q2001=""GPB"",Q2001=""ZAR""),IF(Q2001=Dashboard!$L$1,M2001,(M2001*GOOGLEFINANCE(""CURRENCY:""&amp;Q2001&amp;""""&amp;Dashboard!$L$1&amp;""""))/100),IF(Q2001=Dashboard!$L$1,M2001,M2001*GOOGLEFINANCE(""CURRENCY:""&amp;Q2001&amp;""""&amp;Dashboard!$"&amp;"L$1&amp;""""))),M2001))"),"")</f>
        <v/>
      </c>
      <c r="T2001" s="264" t="str">
        <f t="shared" si="4"/>
        <v/>
      </c>
      <c r="U2001" s="264" t="str">
        <f t="shared" si="5"/>
        <v/>
      </c>
      <c r="V2001" s="264" t="str">
        <f t="shared" si="6"/>
        <v/>
      </c>
      <c r="W2001" s="267" t="str">
        <f t="shared" si="8"/>
        <v/>
      </c>
      <c r="X2001" s="264" t="str">
        <f t="shared" si="7"/>
        <v/>
      </c>
    </row>
    <row r="2002" ht="15.75" customHeight="1">
      <c r="A2002" s="258"/>
      <c r="B2002" s="258"/>
      <c r="C2002" s="269"/>
      <c r="D2002" s="258"/>
      <c r="E2002" s="258"/>
      <c r="F2002" s="258"/>
      <c r="G2002" s="258"/>
      <c r="H2002" s="271"/>
      <c r="I2002" s="258"/>
      <c r="J2002" s="272"/>
      <c r="K2002" s="260"/>
      <c r="L2002" s="261"/>
      <c r="M2002" s="262" t="str">
        <f t="shared" si="1"/>
        <v/>
      </c>
      <c r="N2002" s="263" t="str">
        <f t="shared" si="2"/>
        <v/>
      </c>
      <c r="O2002" s="264" t="str">
        <f t="shared" si="3"/>
        <v/>
      </c>
      <c r="P2002" s="265" t="str">
        <f>IFERROR(__xludf.DUMMYFUNCTION("IF(ISBLANK(A2002),"""",IFERROR(IF(H2002=""Sell"",VLOOKUP(9^99,FILTER({ROW(P$2:P2001),P$2:P2001},D$2:D2001=D2002),2),(VLOOKUP(9^99,FILTER({ROW(P$2:P2001),P$2:P2001},D$2:D2001=D2002),2)*VLOOKUP(9^99,FILTER({ROW(O$2:O2001),O$2:O2001},D$2:D2001=D2002),2)-N200"&amp;"2)/O2002),J2002))"),"")</f>
        <v/>
      </c>
      <c r="Q2002" s="264" t="str">
        <f>IFERROR(__xludf.DUMMYFUNCTION("IFERROR(IF(F2002=""Crypto"",B2002,(IF(ISBLANK(D2002),"""",IF(D2002=""Cash"",B2002,IF(GOOGLEFINANCE(D2002,""CURRENCY"")=""GBX"",""GBP"",GOOGLEFINANCE(D2002,""CURRENCY"")))))),B2002)"),"")</f>
        <v/>
      </c>
      <c r="R2002" s="263" t="str">
        <f>IFERROR(__xludf.DUMMYFUNCTION("IF(ISBLANK(A2002),"""",IFERROR(IF(OR(Q2002=""GPB"",Q2002=""ZAR""),IF(Q2002=Dashboard!$L$1,K2002,(K2002*GOOGLEFINANCE(""CURRENCY:""&amp;Q2002&amp;""""&amp;Dashboard!$L$1&amp;""""))/100),IF(Q2002=Dashboard!$L$1,K2002,K2002*GOOGLEFINANCE(""CURRENCY:""&amp;Q2002&amp;""""&amp;Dashboard!$"&amp;"L$1&amp;""""))),K2002))"),"")</f>
        <v/>
      </c>
      <c r="S2002" s="266" t="str">
        <f>IFERROR(__xludf.DUMMYFUNCTION("IF(ISBLANK(A2002),"""",IFERROR(IF(OR(Q2002=""GPB"",Q2002=""ZAR""),IF(Q2002=Dashboard!$L$1,M2002,(M2002*GOOGLEFINANCE(""CURRENCY:""&amp;Q2002&amp;""""&amp;Dashboard!$L$1&amp;""""))/100),IF(Q2002=Dashboard!$L$1,M2002,M2002*GOOGLEFINANCE(""CURRENCY:""&amp;Q2002&amp;""""&amp;Dashboard!$"&amp;"L$1&amp;""""))),M2002))"),"")</f>
        <v/>
      </c>
      <c r="T2002" s="264" t="str">
        <f t="shared" si="4"/>
        <v/>
      </c>
      <c r="U2002" s="264" t="str">
        <f t="shared" si="5"/>
        <v/>
      </c>
      <c r="V2002" s="264" t="str">
        <f t="shared" si="6"/>
        <v/>
      </c>
      <c r="W2002" s="267" t="str">
        <f t="shared" si="8"/>
        <v/>
      </c>
      <c r="X2002" s="264" t="str">
        <f t="shared" si="7"/>
        <v/>
      </c>
    </row>
    <row r="2003" ht="15.75" customHeight="1">
      <c r="A2003" s="258"/>
      <c r="B2003" s="258"/>
      <c r="C2003" s="269"/>
      <c r="D2003" s="258"/>
      <c r="E2003" s="258"/>
      <c r="F2003" s="258"/>
      <c r="G2003" s="258"/>
      <c r="H2003" s="271"/>
      <c r="I2003" s="258"/>
      <c r="J2003" s="272"/>
      <c r="K2003" s="260"/>
      <c r="L2003" s="261"/>
      <c r="M2003" s="262" t="str">
        <f t="shared" si="1"/>
        <v/>
      </c>
      <c r="N2003" s="263" t="str">
        <f t="shared" si="2"/>
        <v/>
      </c>
      <c r="O2003" s="264" t="str">
        <f t="shared" si="3"/>
        <v/>
      </c>
      <c r="P2003" s="265" t="str">
        <f>IFERROR(__xludf.DUMMYFUNCTION("IF(ISBLANK(A2003),"""",IFERROR(IF(H2003=""Sell"",VLOOKUP(9^99,FILTER({ROW(P$2:P2002),P$2:P2002},D$2:D2002=D2003),2),(VLOOKUP(9^99,FILTER({ROW(P$2:P2002),P$2:P2002},D$2:D2002=D2003),2)*VLOOKUP(9^99,FILTER({ROW(O$2:O2002),O$2:O2002},D$2:D2002=D2003),2)-N200"&amp;"3)/O2003),J2003))"),"")</f>
        <v/>
      </c>
      <c r="Q2003" s="264" t="str">
        <f>IFERROR(__xludf.DUMMYFUNCTION("IFERROR(IF(F2003=""Crypto"",B2003,(IF(ISBLANK(D2003),"""",IF(D2003=""Cash"",B2003,IF(GOOGLEFINANCE(D2003,""CURRENCY"")=""GBX"",""GBP"",GOOGLEFINANCE(D2003,""CURRENCY"")))))),B2003)"),"")</f>
        <v/>
      </c>
      <c r="R2003" s="263" t="str">
        <f>IFERROR(__xludf.DUMMYFUNCTION("IF(ISBLANK(A2003),"""",IFERROR(IF(OR(Q2003=""GPB"",Q2003=""ZAR""),IF(Q2003=Dashboard!$L$1,K2003,(K2003*GOOGLEFINANCE(""CURRENCY:""&amp;Q2003&amp;""""&amp;Dashboard!$L$1&amp;""""))/100),IF(Q2003=Dashboard!$L$1,K2003,K2003*GOOGLEFINANCE(""CURRENCY:""&amp;Q2003&amp;""""&amp;Dashboard!$"&amp;"L$1&amp;""""))),K2003))"),"")</f>
        <v/>
      </c>
      <c r="S2003" s="266" t="str">
        <f>IFERROR(__xludf.DUMMYFUNCTION("IF(ISBLANK(A2003),"""",IFERROR(IF(OR(Q2003=""GPB"",Q2003=""ZAR""),IF(Q2003=Dashboard!$L$1,M2003,(M2003*GOOGLEFINANCE(""CURRENCY:""&amp;Q2003&amp;""""&amp;Dashboard!$L$1&amp;""""))/100),IF(Q2003=Dashboard!$L$1,M2003,M2003*GOOGLEFINANCE(""CURRENCY:""&amp;Q2003&amp;""""&amp;Dashboard!$"&amp;"L$1&amp;""""))),M2003))"),"")</f>
        <v/>
      </c>
      <c r="T2003" s="264" t="str">
        <f t="shared" si="4"/>
        <v/>
      </c>
      <c r="U2003" s="264" t="str">
        <f t="shared" si="5"/>
        <v/>
      </c>
      <c r="V2003" s="264" t="str">
        <f t="shared" si="6"/>
        <v/>
      </c>
      <c r="W2003" s="267" t="str">
        <f t="shared" si="8"/>
        <v/>
      </c>
      <c r="X2003" s="264" t="str">
        <f t="shared" si="7"/>
        <v/>
      </c>
    </row>
    <row r="2004" ht="15.75" customHeight="1">
      <c r="A2004" s="258"/>
      <c r="B2004" s="258"/>
      <c r="C2004" s="269"/>
      <c r="D2004" s="258"/>
      <c r="E2004" s="258"/>
      <c r="F2004" s="258"/>
      <c r="G2004" s="258"/>
      <c r="H2004" s="271"/>
      <c r="I2004" s="258"/>
      <c r="J2004" s="272"/>
      <c r="K2004" s="260"/>
      <c r="L2004" s="261"/>
      <c r="M2004" s="262" t="str">
        <f t="shared" si="1"/>
        <v/>
      </c>
      <c r="N2004" s="263" t="str">
        <f t="shared" si="2"/>
        <v/>
      </c>
      <c r="O2004" s="264" t="str">
        <f t="shared" si="3"/>
        <v/>
      </c>
      <c r="P2004" s="265" t="str">
        <f>IFERROR(__xludf.DUMMYFUNCTION("IF(ISBLANK(A2004),"""",IFERROR(IF(H2004=""Sell"",VLOOKUP(9^99,FILTER({ROW(P$2:P2003),P$2:P2003},D$2:D2003=D2004),2),(VLOOKUP(9^99,FILTER({ROW(P$2:P2003),P$2:P2003},D$2:D2003=D2004),2)*VLOOKUP(9^99,FILTER({ROW(O$2:O2003),O$2:O2003},D$2:D2003=D2004),2)-N200"&amp;"4)/O2004),J2004))"),"")</f>
        <v/>
      </c>
      <c r="Q2004" s="264" t="str">
        <f>IFERROR(__xludf.DUMMYFUNCTION("IFERROR(IF(F2004=""Crypto"",B2004,(IF(ISBLANK(D2004),"""",IF(D2004=""Cash"",B2004,IF(GOOGLEFINANCE(D2004,""CURRENCY"")=""GBX"",""GBP"",GOOGLEFINANCE(D2004,""CURRENCY"")))))),B2004)"),"")</f>
        <v/>
      </c>
      <c r="R2004" s="263" t="str">
        <f>IFERROR(__xludf.DUMMYFUNCTION("IF(ISBLANK(A2004),"""",IFERROR(IF(OR(Q2004=""GPB"",Q2004=""ZAR""),IF(Q2004=Dashboard!$L$1,K2004,(K2004*GOOGLEFINANCE(""CURRENCY:""&amp;Q2004&amp;""""&amp;Dashboard!$L$1&amp;""""))/100),IF(Q2004=Dashboard!$L$1,K2004,K2004*GOOGLEFINANCE(""CURRENCY:""&amp;Q2004&amp;""""&amp;Dashboard!$"&amp;"L$1&amp;""""))),K2004))"),"")</f>
        <v/>
      </c>
      <c r="S2004" s="266" t="str">
        <f>IFERROR(__xludf.DUMMYFUNCTION("IF(ISBLANK(A2004),"""",IFERROR(IF(OR(Q2004=""GPB"",Q2004=""ZAR""),IF(Q2004=Dashboard!$L$1,M2004,(M2004*GOOGLEFINANCE(""CURRENCY:""&amp;Q2004&amp;""""&amp;Dashboard!$L$1&amp;""""))/100),IF(Q2004=Dashboard!$L$1,M2004,M2004*GOOGLEFINANCE(""CURRENCY:""&amp;Q2004&amp;""""&amp;Dashboard!$"&amp;"L$1&amp;""""))),M2004))"),"")</f>
        <v/>
      </c>
      <c r="T2004" s="264" t="str">
        <f t="shared" si="4"/>
        <v/>
      </c>
      <c r="U2004" s="264" t="str">
        <f t="shared" si="5"/>
        <v/>
      </c>
      <c r="V2004" s="264" t="str">
        <f t="shared" si="6"/>
        <v/>
      </c>
      <c r="W2004" s="267" t="str">
        <f t="shared" si="8"/>
        <v/>
      </c>
      <c r="X2004" s="264" t="str">
        <f t="shared" si="7"/>
        <v/>
      </c>
    </row>
    <row r="2005" ht="15.75" customHeight="1">
      <c r="A2005" s="258"/>
      <c r="B2005" s="258"/>
      <c r="C2005" s="269"/>
      <c r="D2005" s="258"/>
      <c r="E2005" s="258"/>
      <c r="F2005" s="258"/>
      <c r="G2005" s="258"/>
      <c r="H2005" s="271"/>
      <c r="I2005" s="258"/>
      <c r="J2005" s="272"/>
      <c r="K2005" s="260"/>
      <c r="L2005" s="261"/>
      <c r="M2005" s="262" t="str">
        <f t="shared" si="1"/>
        <v/>
      </c>
      <c r="N2005" s="263" t="str">
        <f t="shared" si="2"/>
        <v/>
      </c>
      <c r="O2005" s="264" t="str">
        <f t="shared" si="3"/>
        <v/>
      </c>
      <c r="P2005" s="265" t="str">
        <f>IFERROR(__xludf.DUMMYFUNCTION("IF(ISBLANK(A2005),"""",IFERROR(IF(H2005=""Sell"",VLOOKUP(9^99,FILTER({ROW(P$2:P2004),P$2:P2004},D$2:D2004=D2005),2),(VLOOKUP(9^99,FILTER({ROW(P$2:P2004),P$2:P2004},D$2:D2004=D2005),2)*VLOOKUP(9^99,FILTER({ROW(O$2:O2004),O$2:O2004},D$2:D2004=D2005),2)-N200"&amp;"5)/O2005),J2005))"),"")</f>
        <v/>
      </c>
      <c r="Q2005" s="264" t="str">
        <f>IFERROR(__xludf.DUMMYFUNCTION("IFERROR(IF(F2005=""Crypto"",B2005,(IF(ISBLANK(D2005),"""",IF(D2005=""Cash"",B2005,IF(GOOGLEFINANCE(D2005,""CURRENCY"")=""GBX"",""GBP"",GOOGLEFINANCE(D2005,""CURRENCY"")))))),B2005)"),"")</f>
        <v/>
      </c>
      <c r="R2005" s="263" t="str">
        <f>IFERROR(__xludf.DUMMYFUNCTION("IF(ISBLANK(A2005),"""",IFERROR(IF(OR(Q2005=""GPB"",Q2005=""ZAR""),IF(Q2005=Dashboard!$L$1,K2005,(K2005*GOOGLEFINANCE(""CURRENCY:""&amp;Q2005&amp;""""&amp;Dashboard!$L$1&amp;""""))/100),IF(Q2005=Dashboard!$L$1,K2005,K2005*GOOGLEFINANCE(""CURRENCY:""&amp;Q2005&amp;""""&amp;Dashboard!$"&amp;"L$1&amp;""""))),K2005))"),"")</f>
        <v/>
      </c>
      <c r="S2005" s="266" t="str">
        <f>IFERROR(__xludf.DUMMYFUNCTION("IF(ISBLANK(A2005),"""",IFERROR(IF(OR(Q2005=""GPB"",Q2005=""ZAR""),IF(Q2005=Dashboard!$L$1,M2005,(M2005*GOOGLEFINANCE(""CURRENCY:""&amp;Q2005&amp;""""&amp;Dashboard!$L$1&amp;""""))/100),IF(Q2005=Dashboard!$L$1,M2005,M2005*GOOGLEFINANCE(""CURRENCY:""&amp;Q2005&amp;""""&amp;Dashboard!$"&amp;"L$1&amp;""""))),M2005))"),"")</f>
        <v/>
      </c>
      <c r="T2005" s="264" t="str">
        <f t="shared" si="4"/>
        <v/>
      </c>
      <c r="U2005" s="264" t="str">
        <f t="shared" si="5"/>
        <v/>
      </c>
      <c r="V2005" s="264" t="str">
        <f t="shared" si="6"/>
        <v/>
      </c>
      <c r="W2005" s="267" t="str">
        <f t="shared" si="8"/>
        <v/>
      </c>
      <c r="X2005" s="264" t="str">
        <f t="shared" si="7"/>
        <v/>
      </c>
    </row>
    <row r="2006" ht="15.75" customHeight="1">
      <c r="A2006" s="258"/>
      <c r="B2006" s="258"/>
      <c r="C2006" s="269"/>
      <c r="D2006" s="258"/>
      <c r="E2006" s="258"/>
      <c r="F2006" s="258"/>
      <c r="G2006" s="258"/>
      <c r="H2006" s="271"/>
      <c r="I2006" s="258"/>
      <c r="J2006" s="272"/>
      <c r="K2006" s="260"/>
      <c r="L2006" s="261"/>
      <c r="M2006" s="262" t="str">
        <f t="shared" si="1"/>
        <v/>
      </c>
      <c r="N2006" s="263" t="str">
        <f t="shared" si="2"/>
        <v/>
      </c>
      <c r="O2006" s="264" t="str">
        <f t="shared" si="3"/>
        <v/>
      </c>
      <c r="P2006" s="265" t="str">
        <f>IFERROR(__xludf.DUMMYFUNCTION("IF(ISBLANK(A2006),"""",IFERROR(IF(H2006=""Sell"",VLOOKUP(9^99,FILTER({ROW(P$2:P2005),P$2:P2005},D$2:D2005=D2006),2),(VLOOKUP(9^99,FILTER({ROW(P$2:P2005),P$2:P2005},D$2:D2005=D2006),2)*VLOOKUP(9^99,FILTER({ROW(O$2:O2005),O$2:O2005},D$2:D2005=D2006),2)-N200"&amp;"6)/O2006),J2006))"),"")</f>
        <v/>
      </c>
      <c r="Q2006" s="264" t="str">
        <f>IFERROR(__xludf.DUMMYFUNCTION("IFERROR(IF(F2006=""Crypto"",B2006,(IF(ISBLANK(D2006),"""",IF(D2006=""Cash"",B2006,IF(GOOGLEFINANCE(D2006,""CURRENCY"")=""GBX"",""GBP"",GOOGLEFINANCE(D2006,""CURRENCY"")))))),B2006)"),"")</f>
        <v/>
      </c>
      <c r="R2006" s="263" t="str">
        <f>IFERROR(__xludf.DUMMYFUNCTION("IF(ISBLANK(A2006),"""",IFERROR(IF(OR(Q2006=""GPB"",Q2006=""ZAR""),IF(Q2006=Dashboard!$L$1,K2006,(K2006*GOOGLEFINANCE(""CURRENCY:""&amp;Q2006&amp;""""&amp;Dashboard!$L$1&amp;""""))/100),IF(Q2006=Dashboard!$L$1,K2006,K2006*GOOGLEFINANCE(""CURRENCY:""&amp;Q2006&amp;""""&amp;Dashboard!$"&amp;"L$1&amp;""""))),K2006))"),"")</f>
        <v/>
      </c>
      <c r="S2006" s="266" t="str">
        <f>IFERROR(__xludf.DUMMYFUNCTION("IF(ISBLANK(A2006),"""",IFERROR(IF(OR(Q2006=""GPB"",Q2006=""ZAR""),IF(Q2006=Dashboard!$L$1,M2006,(M2006*GOOGLEFINANCE(""CURRENCY:""&amp;Q2006&amp;""""&amp;Dashboard!$L$1&amp;""""))/100),IF(Q2006=Dashboard!$L$1,M2006,M2006*GOOGLEFINANCE(""CURRENCY:""&amp;Q2006&amp;""""&amp;Dashboard!$"&amp;"L$1&amp;""""))),M2006))"),"")</f>
        <v/>
      </c>
      <c r="T2006" s="264" t="str">
        <f t="shared" si="4"/>
        <v/>
      </c>
      <c r="U2006" s="264" t="str">
        <f t="shared" si="5"/>
        <v/>
      </c>
      <c r="V2006" s="264" t="str">
        <f t="shared" si="6"/>
        <v/>
      </c>
      <c r="W2006" s="267" t="str">
        <f t="shared" si="8"/>
        <v/>
      </c>
      <c r="X2006" s="264" t="str">
        <f t="shared" si="7"/>
        <v/>
      </c>
    </row>
    <row r="2007" ht="15.75" customHeight="1">
      <c r="A2007" s="258"/>
      <c r="B2007" s="258"/>
      <c r="C2007" s="269"/>
      <c r="D2007" s="258"/>
      <c r="E2007" s="258"/>
      <c r="F2007" s="258"/>
      <c r="G2007" s="258"/>
      <c r="H2007" s="271"/>
      <c r="I2007" s="258"/>
      <c r="J2007" s="272"/>
      <c r="K2007" s="260"/>
      <c r="L2007" s="261"/>
      <c r="M2007" s="262" t="str">
        <f t="shared" si="1"/>
        <v/>
      </c>
      <c r="N2007" s="263" t="str">
        <f t="shared" si="2"/>
        <v/>
      </c>
      <c r="O2007" s="264" t="str">
        <f t="shared" si="3"/>
        <v/>
      </c>
      <c r="P2007" s="265" t="str">
        <f>IFERROR(__xludf.DUMMYFUNCTION("IF(ISBLANK(A2007),"""",IFERROR(IF(H2007=""Sell"",VLOOKUP(9^99,FILTER({ROW(P$2:P2006),P$2:P2006},D$2:D2006=D2007),2),(VLOOKUP(9^99,FILTER({ROW(P$2:P2006),P$2:P2006},D$2:D2006=D2007),2)*VLOOKUP(9^99,FILTER({ROW(O$2:O2006),O$2:O2006},D$2:D2006=D2007),2)-N200"&amp;"7)/O2007),J2007))"),"")</f>
        <v/>
      </c>
      <c r="Q2007" s="264" t="str">
        <f>IFERROR(__xludf.DUMMYFUNCTION("IFERROR(IF(F2007=""Crypto"",B2007,(IF(ISBLANK(D2007),"""",IF(D2007=""Cash"",B2007,IF(GOOGLEFINANCE(D2007,""CURRENCY"")=""GBX"",""GBP"",GOOGLEFINANCE(D2007,""CURRENCY"")))))),B2007)"),"")</f>
        <v/>
      </c>
      <c r="R2007" s="263" t="str">
        <f>IFERROR(__xludf.DUMMYFUNCTION("IF(ISBLANK(A2007),"""",IFERROR(IF(OR(Q2007=""GPB"",Q2007=""ZAR""),IF(Q2007=Dashboard!$L$1,K2007,(K2007*GOOGLEFINANCE(""CURRENCY:""&amp;Q2007&amp;""""&amp;Dashboard!$L$1&amp;""""))/100),IF(Q2007=Dashboard!$L$1,K2007,K2007*GOOGLEFINANCE(""CURRENCY:""&amp;Q2007&amp;""""&amp;Dashboard!$"&amp;"L$1&amp;""""))),K2007))"),"")</f>
        <v/>
      </c>
      <c r="S2007" s="266" t="str">
        <f>IFERROR(__xludf.DUMMYFUNCTION("IF(ISBLANK(A2007),"""",IFERROR(IF(OR(Q2007=""GPB"",Q2007=""ZAR""),IF(Q2007=Dashboard!$L$1,M2007,(M2007*GOOGLEFINANCE(""CURRENCY:""&amp;Q2007&amp;""""&amp;Dashboard!$L$1&amp;""""))/100),IF(Q2007=Dashboard!$L$1,M2007,M2007*GOOGLEFINANCE(""CURRENCY:""&amp;Q2007&amp;""""&amp;Dashboard!$"&amp;"L$1&amp;""""))),M2007))"),"")</f>
        <v/>
      </c>
      <c r="T2007" s="264" t="str">
        <f t="shared" si="4"/>
        <v/>
      </c>
      <c r="U2007" s="264" t="str">
        <f t="shared" si="5"/>
        <v/>
      </c>
      <c r="V2007" s="264" t="str">
        <f t="shared" si="6"/>
        <v/>
      </c>
      <c r="W2007" s="267" t="str">
        <f t="shared" si="8"/>
        <v/>
      </c>
      <c r="X2007" s="264" t="str">
        <f t="shared" si="7"/>
        <v/>
      </c>
    </row>
    <row r="2008" ht="15.75" customHeight="1">
      <c r="A2008" s="258"/>
      <c r="B2008" s="258"/>
      <c r="C2008" s="269"/>
      <c r="D2008" s="258"/>
      <c r="E2008" s="258"/>
      <c r="F2008" s="258"/>
      <c r="G2008" s="258"/>
      <c r="H2008" s="271"/>
      <c r="I2008" s="258"/>
      <c r="J2008" s="272"/>
      <c r="K2008" s="260"/>
      <c r="L2008" s="261"/>
      <c r="M2008" s="262" t="str">
        <f t="shared" si="1"/>
        <v/>
      </c>
      <c r="N2008" s="263" t="str">
        <f t="shared" si="2"/>
        <v/>
      </c>
      <c r="O2008" s="264" t="str">
        <f t="shared" si="3"/>
        <v/>
      </c>
      <c r="P2008" s="265" t="str">
        <f>IFERROR(__xludf.DUMMYFUNCTION("IF(ISBLANK(A2008),"""",IFERROR(IF(H2008=""Sell"",VLOOKUP(9^99,FILTER({ROW(P$2:P2007),P$2:P2007},D$2:D2007=D2008),2),(VLOOKUP(9^99,FILTER({ROW(P$2:P2007),P$2:P2007},D$2:D2007=D2008),2)*VLOOKUP(9^99,FILTER({ROW(O$2:O2007),O$2:O2007},D$2:D2007=D2008),2)-N200"&amp;"8)/O2008),J2008))"),"")</f>
        <v/>
      </c>
      <c r="Q2008" s="264" t="str">
        <f>IFERROR(__xludf.DUMMYFUNCTION("IFERROR(IF(F2008=""Crypto"",B2008,(IF(ISBLANK(D2008),"""",IF(D2008=""Cash"",B2008,IF(GOOGLEFINANCE(D2008,""CURRENCY"")=""GBX"",""GBP"",GOOGLEFINANCE(D2008,""CURRENCY"")))))),B2008)"),"")</f>
        <v/>
      </c>
      <c r="R2008" s="263" t="str">
        <f>IFERROR(__xludf.DUMMYFUNCTION("IF(ISBLANK(A2008),"""",IFERROR(IF(OR(Q2008=""GPB"",Q2008=""ZAR""),IF(Q2008=Dashboard!$L$1,K2008,(K2008*GOOGLEFINANCE(""CURRENCY:""&amp;Q2008&amp;""""&amp;Dashboard!$L$1&amp;""""))/100),IF(Q2008=Dashboard!$L$1,K2008,K2008*GOOGLEFINANCE(""CURRENCY:""&amp;Q2008&amp;""""&amp;Dashboard!$"&amp;"L$1&amp;""""))),K2008))"),"")</f>
        <v/>
      </c>
      <c r="S2008" s="266" t="str">
        <f>IFERROR(__xludf.DUMMYFUNCTION("IF(ISBLANK(A2008),"""",IFERROR(IF(OR(Q2008=""GPB"",Q2008=""ZAR""),IF(Q2008=Dashboard!$L$1,M2008,(M2008*GOOGLEFINANCE(""CURRENCY:""&amp;Q2008&amp;""""&amp;Dashboard!$L$1&amp;""""))/100),IF(Q2008=Dashboard!$L$1,M2008,M2008*GOOGLEFINANCE(""CURRENCY:""&amp;Q2008&amp;""""&amp;Dashboard!$"&amp;"L$1&amp;""""))),M2008))"),"")</f>
        <v/>
      </c>
      <c r="T2008" s="264" t="str">
        <f t="shared" si="4"/>
        <v/>
      </c>
      <c r="U2008" s="264" t="str">
        <f t="shared" si="5"/>
        <v/>
      </c>
      <c r="V2008" s="264" t="str">
        <f t="shared" si="6"/>
        <v/>
      </c>
      <c r="W2008" s="267" t="str">
        <f t="shared" si="8"/>
        <v/>
      </c>
      <c r="X2008" s="264" t="str">
        <f t="shared" si="7"/>
        <v/>
      </c>
    </row>
    <row r="2009" ht="15.75" customHeight="1">
      <c r="A2009" s="258"/>
      <c r="B2009" s="258"/>
      <c r="C2009" s="269"/>
      <c r="D2009" s="258"/>
      <c r="E2009" s="258"/>
      <c r="F2009" s="258"/>
      <c r="G2009" s="258"/>
      <c r="H2009" s="271"/>
      <c r="I2009" s="258"/>
      <c r="J2009" s="272"/>
      <c r="K2009" s="260"/>
      <c r="L2009" s="261"/>
      <c r="M2009" s="262" t="str">
        <f t="shared" si="1"/>
        <v/>
      </c>
      <c r="N2009" s="263" t="str">
        <f t="shared" si="2"/>
        <v/>
      </c>
      <c r="O2009" s="264" t="str">
        <f t="shared" si="3"/>
        <v/>
      </c>
      <c r="P2009" s="265" t="str">
        <f>IFERROR(__xludf.DUMMYFUNCTION("IF(ISBLANK(A2009),"""",IFERROR(IF(H2009=""Sell"",VLOOKUP(9^99,FILTER({ROW(P$2:P2008),P$2:P2008},D$2:D2008=D2009),2),(VLOOKUP(9^99,FILTER({ROW(P$2:P2008),P$2:P2008},D$2:D2008=D2009),2)*VLOOKUP(9^99,FILTER({ROW(O$2:O2008),O$2:O2008},D$2:D2008=D2009),2)-N200"&amp;"9)/O2009),J2009))"),"")</f>
        <v/>
      </c>
      <c r="Q2009" s="264" t="str">
        <f>IFERROR(__xludf.DUMMYFUNCTION("IFERROR(IF(F2009=""Crypto"",B2009,(IF(ISBLANK(D2009),"""",IF(D2009=""Cash"",B2009,IF(GOOGLEFINANCE(D2009,""CURRENCY"")=""GBX"",""GBP"",GOOGLEFINANCE(D2009,""CURRENCY"")))))),B2009)"),"")</f>
        <v/>
      </c>
      <c r="R2009" s="263" t="str">
        <f>IFERROR(__xludf.DUMMYFUNCTION("IF(ISBLANK(A2009),"""",IFERROR(IF(OR(Q2009=""GPB"",Q2009=""ZAR""),IF(Q2009=Dashboard!$L$1,K2009,(K2009*GOOGLEFINANCE(""CURRENCY:""&amp;Q2009&amp;""""&amp;Dashboard!$L$1&amp;""""))/100),IF(Q2009=Dashboard!$L$1,K2009,K2009*GOOGLEFINANCE(""CURRENCY:""&amp;Q2009&amp;""""&amp;Dashboard!$"&amp;"L$1&amp;""""))),K2009))"),"")</f>
        <v/>
      </c>
      <c r="S2009" s="266" t="str">
        <f>IFERROR(__xludf.DUMMYFUNCTION("IF(ISBLANK(A2009),"""",IFERROR(IF(OR(Q2009=""GPB"",Q2009=""ZAR""),IF(Q2009=Dashboard!$L$1,M2009,(M2009*GOOGLEFINANCE(""CURRENCY:""&amp;Q2009&amp;""""&amp;Dashboard!$L$1&amp;""""))/100),IF(Q2009=Dashboard!$L$1,M2009,M2009*GOOGLEFINANCE(""CURRENCY:""&amp;Q2009&amp;""""&amp;Dashboard!$"&amp;"L$1&amp;""""))),M2009))"),"")</f>
        <v/>
      </c>
      <c r="T2009" s="264" t="str">
        <f t="shared" si="4"/>
        <v/>
      </c>
      <c r="U2009" s="264" t="str">
        <f t="shared" si="5"/>
        <v/>
      </c>
      <c r="V2009" s="264" t="str">
        <f t="shared" si="6"/>
        <v/>
      </c>
      <c r="W2009" s="267" t="str">
        <f t="shared" si="8"/>
        <v/>
      </c>
      <c r="X2009" s="264" t="str">
        <f t="shared" si="7"/>
        <v/>
      </c>
    </row>
    <row r="2010" ht="15.75" customHeight="1">
      <c r="A2010" s="258"/>
      <c r="B2010" s="258"/>
      <c r="C2010" s="269"/>
      <c r="D2010" s="258"/>
      <c r="E2010" s="258"/>
      <c r="F2010" s="258"/>
      <c r="G2010" s="258"/>
      <c r="H2010" s="271"/>
      <c r="I2010" s="258"/>
      <c r="J2010" s="272"/>
      <c r="K2010" s="260"/>
      <c r="L2010" s="261"/>
      <c r="M2010" s="262" t="str">
        <f t="shared" si="1"/>
        <v/>
      </c>
      <c r="N2010" s="263" t="str">
        <f t="shared" si="2"/>
        <v/>
      </c>
      <c r="O2010" s="264" t="str">
        <f t="shared" si="3"/>
        <v/>
      </c>
      <c r="P2010" s="265" t="str">
        <f>IFERROR(__xludf.DUMMYFUNCTION("IF(ISBLANK(A2010),"""",IFERROR(IF(H2010=""Sell"",VLOOKUP(9^99,FILTER({ROW(P$2:P2009),P$2:P2009},D$2:D2009=D2010),2),(VLOOKUP(9^99,FILTER({ROW(P$2:P2009),P$2:P2009},D$2:D2009=D2010),2)*VLOOKUP(9^99,FILTER({ROW(O$2:O2009),O$2:O2009},D$2:D2009=D2010),2)-N201"&amp;"0)/O2010),J2010))"),"")</f>
        <v/>
      </c>
      <c r="Q2010" s="264" t="str">
        <f>IFERROR(__xludf.DUMMYFUNCTION("IFERROR(IF(F2010=""Crypto"",B2010,(IF(ISBLANK(D2010),"""",IF(D2010=""Cash"",B2010,IF(GOOGLEFINANCE(D2010,""CURRENCY"")=""GBX"",""GBP"",GOOGLEFINANCE(D2010,""CURRENCY"")))))),B2010)"),"")</f>
        <v/>
      </c>
      <c r="R2010" s="263" t="str">
        <f>IFERROR(__xludf.DUMMYFUNCTION("IF(ISBLANK(A2010),"""",IFERROR(IF(OR(Q2010=""GPB"",Q2010=""ZAR""),IF(Q2010=Dashboard!$L$1,K2010,(K2010*GOOGLEFINANCE(""CURRENCY:""&amp;Q2010&amp;""""&amp;Dashboard!$L$1&amp;""""))/100),IF(Q2010=Dashboard!$L$1,K2010,K2010*GOOGLEFINANCE(""CURRENCY:""&amp;Q2010&amp;""""&amp;Dashboard!$"&amp;"L$1&amp;""""))),K2010))"),"")</f>
        <v/>
      </c>
      <c r="S2010" s="266" t="str">
        <f>IFERROR(__xludf.DUMMYFUNCTION("IF(ISBLANK(A2010),"""",IFERROR(IF(OR(Q2010=""GPB"",Q2010=""ZAR""),IF(Q2010=Dashboard!$L$1,M2010,(M2010*GOOGLEFINANCE(""CURRENCY:""&amp;Q2010&amp;""""&amp;Dashboard!$L$1&amp;""""))/100),IF(Q2010=Dashboard!$L$1,M2010,M2010*GOOGLEFINANCE(""CURRENCY:""&amp;Q2010&amp;""""&amp;Dashboard!$"&amp;"L$1&amp;""""))),M2010))"),"")</f>
        <v/>
      </c>
      <c r="T2010" s="264" t="str">
        <f t="shared" si="4"/>
        <v/>
      </c>
      <c r="U2010" s="264" t="str">
        <f t="shared" si="5"/>
        <v/>
      </c>
      <c r="V2010" s="264" t="str">
        <f t="shared" si="6"/>
        <v/>
      </c>
      <c r="W2010" s="267" t="str">
        <f t="shared" si="8"/>
        <v/>
      </c>
      <c r="X2010" s="264" t="str">
        <f t="shared" si="7"/>
        <v/>
      </c>
    </row>
    <row r="2011" ht="15.75" customHeight="1">
      <c r="A2011" s="258"/>
      <c r="B2011" s="258"/>
      <c r="C2011" s="269"/>
      <c r="D2011" s="258"/>
      <c r="E2011" s="258"/>
      <c r="F2011" s="258"/>
      <c r="G2011" s="258"/>
      <c r="H2011" s="271"/>
      <c r="I2011" s="258"/>
      <c r="J2011" s="272"/>
      <c r="K2011" s="260"/>
      <c r="L2011" s="261"/>
      <c r="M2011" s="262" t="str">
        <f t="shared" si="1"/>
        <v/>
      </c>
      <c r="N2011" s="263" t="str">
        <f t="shared" si="2"/>
        <v/>
      </c>
      <c r="O2011" s="264" t="str">
        <f t="shared" si="3"/>
        <v/>
      </c>
      <c r="P2011" s="265" t="str">
        <f>IFERROR(__xludf.DUMMYFUNCTION("IF(ISBLANK(A2011),"""",IFERROR(IF(H2011=""Sell"",VLOOKUP(9^99,FILTER({ROW(P$2:P2010),P$2:P2010},D$2:D2010=D2011),2),(VLOOKUP(9^99,FILTER({ROW(P$2:P2010),P$2:P2010},D$2:D2010=D2011),2)*VLOOKUP(9^99,FILTER({ROW(O$2:O2010),O$2:O2010},D$2:D2010=D2011),2)-N201"&amp;"1)/O2011),J2011))"),"")</f>
        <v/>
      </c>
      <c r="Q2011" s="264" t="str">
        <f>IFERROR(__xludf.DUMMYFUNCTION("IFERROR(IF(F2011=""Crypto"",B2011,(IF(ISBLANK(D2011),"""",IF(D2011=""Cash"",B2011,IF(GOOGLEFINANCE(D2011,""CURRENCY"")=""GBX"",""GBP"",GOOGLEFINANCE(D2011,""CURRENCY"")))))),B2011)"),"")</f>
        <v/>
      </c>
      <c r="R2011" s="263" t="str">
        <f>IFERROR(__xludf.DUMMYFUNCTION("IF(ISBLANK(A2011),"""",IFERROR(IF(OR(Q2011=""GPB"",Q2011=""ZAR""),IF(Q2011=Dashboard!$L$1,K2011,(K2011*GOOGLEFINANCE(""CURRENCY:""&amp;Q2011&amp;""""&amp;Dashboard!$L$1&amp;""""))/100),IF(Q2011=Dashboard!$L$1,K2011,K2011*GOOGLEFINANCE(""CURRENCY:""&amp;Q2011&amp;""""&amp;Dashboard!$"&amp;"L$1&amp;""""))),K2011))"),"")</f>
        <v/>
      </c>
      <c r="S2011" s="266" t="str">
        <f>IFERROR(__xludf.DUMMYFUNCTION("IF(ISBLANK(A2011),"""",IFERROR(IF(OR(Q2011=""GPB"",Q2011=""ZAR""),IF(Q2011=Dashboard!$L$1,M2011,(M2011*GOOGLEFINANCE(""CURRENCY:""&amp;Q2011&amp;""""&amp;Dashboard!$L$1&amp;""""))/100),IF(Q2011=Dashboard!$L$1,M2011,M2011*GOOGLEFINANCE(""CURRENCY:""&amp;Q2011&amp;""""&amp;Dashboard!$"&amp;"L$1&amp;""""))),M2011))"),"")</f>
        <v/>
      </c>
      <c r="T2011" s="264" t="str">
        <f t="shared" si="4"/>
        <v/>
      </c>
      <c r="U2011" s="264" t="str">
        <f t="shared" si="5"/>
        <v/>
      </c>
      <c r="V2011" s="264" t="str">
        <f t="shared" si="6"/>
        <v/>
      </c>
      <c r="W2011" s="267" t="str">
        <f t="shared" si="8"/>
        <v/>
      </c>
      <c r="X2011" s="264" t="str">
        <f t="shared" si="7"/>
        <v/>
      </c>
    </row>
    <row r="2012" ht="15.75" customHeight="1">
      <c r="A2012" s="258"/>
      <c r="B2012" s="258"/>
      <c r="C2012" s="269"/>
      <c r="D2012" s="258"/>
      <c r="E2012" s="258"/>
      <c r="F2012" s="258"/>
      <c r="G2012" s="258"/>
      <c r="H2012" s="271"/>
      <c r="I2012" s="258"/>
      <c r="J2012" s="272"/>
      <c r="K2012" s="260"/>
      <c r="L2012" s="261"/>
      <c r="M2012" s="262" t="str">
        <f t="shared" si="1"/>
        <v/>
      </c>
      <c r="N2012" s="263" t="str">
        <f t="shared" si="2"/>
        <v/>
      </c>
      <c r="O2012" s="264" t="str">
        <f t="shared" si="3"/>
        <v/>
      </c>
      <c r="P2012" s="265" t="str">
        <f>IFERROR(__xludf.DUMMYFUNCTION("IF(ISBLANK(A2012),"""",IFERROR(IF(H2012=""Sell"",VLOOKUP(9^99,FILTER({ROW(P$2:P2011),P$2:P2011},D$2:D2011=D2012),2),(VLOOKUP(9^99,FILTER({ROW(P$2:P2011),P$2:P2011},D$2:D2011=D2012),2)*VLOOKUP(9^99,FILTER({ROW(O$2:O2011),O$2:O2011},D$2:D2011=D2012),2)-N201"&amp;"2)/O2012),J2012))"),"")</f>
        <v/>
      </c>
      <c r="Q2012" s="264" t="str">
        <f>IFERROR(__xludf.DUMMYFUNCTION("IFERROR(IF(F2012=""Crypto"",B2012,(IF(ISBLANK(D2012),"""",IF(D2012=""Cash"",B2012,IF(GOOGLEFINANCE(D2012,""CURRENCY"")=""GBX"",""GBP"",GOOGLEFINANCE(D2012,""CURRENCY"")))))),B2012)"),"")</f>
        <v/>
      </c>
      <c r="R2012" s="263" t="str">
        <f>IFERROR(__xludf.DUMMYFUNCTION("IF(ISBLANK(A2012),"""",IFERROR(IF(OR(Q2012=""GPB"",Q2012=""ZAR""),IF(Q2012=Dashboard!$L$1,K2012,(K2012*GOOGLEFINANCE(""CURRENCY:""&amp;Q2012&amp;""""&amp;Dashboard!$L$1&amp;""""))/100),IF(Q2012=Dashboard!$L$1,K2012,K2012*GOOGLEFINANCE(""CURRENCY:""&amp;Q2012&amp;""""&amp;Dashboard!$"&amp;"L$1&amp;""""))),K2012))"),"")</f>
        <v/>
      </c>
      <c r="S2012" s="266" t="str">
        <f>IFERROR(__xludf.DUMMYFUNCTION("IF(ISBLANK(A2012),"""",IFERROR(IF(OR(Q2012=""GPB"",Q2012=""ZAR""),IF(Q2012=Dashboard!$L$1,M2012,(M2012*GOOGLEFINANCE(""CURRENCY:""&amp;Q2012&amp;""""&amp;Dashboard!$L$1&amp;""""))/100),IF(Q2012=Dashboard!$L$1,M2012,M2012*GOOGLEFINANCE(""CURRENCY:""&amp;Q2012&amp;""""&amp;Dashboard!$"&amp;"L$1&amp;""""))),M2012))"),"")</f>
        <v/>
      </c>
      <c r="T2012" s="264" t="str">
        <f t="shared" si="4"/>
        <v/>
      </c>
      <c r="U2012" s="264" t="str">
        <f t="shared" si="5"/>
        <v/>
      </c>
      <c r="V2012" s="264" t="str">
        <f t="shared" si="6"/>
        <v/>
      </c>
      <c r="W2012" s="267" t="str">
        <f t="shared" si="8"/>
        <v/>
      </c>
      <c r="X2012" s="264" t="str">
        <f t="shared" si="7"/>
        <v/>
      </c>
    </row>
    <row r="2013" ht="15.75" customHeight="1">
      <c r="A2013" s="258"/>
      <c r="B2013" s="258"/>
      <c r="C2013" s="269"/>
      <c r="D2013" s="258"/>
      <c r="E2013" s="258"/>
      <c r="F2013" s="258"/>
      <c r="G2013" s="258"/>
      <c r="H2013" s="271"/>
      <c r="I2013" s="258"/>
      <c r="J2013" s="272"/>
      <c r="K2013" s="260"/>
      <c r="L2013" s="261"/>
      <c r="M2013" s="262" t="str">
        <f t="shared" si="1"/>
        <v/>
      </c>
      <c r="N2013" s="263" t="str">
        <f t="shared" si="2"/>
        <v/>
      </c>
      <c r="O2013" s="264" t="str">
        <f t="shared" si="3"/>
        <v/>
      </c>
      <c r="P2013" s="265" t="str">
        <f>IFERROR(__xludf.DUMMYFUNCTION("IF(ISBLANK(A2013),"""",IFERROR(IF(H2013=""Sell"",VLOOKUP(9^99,FILTER({ROW(P$2:P2012),P$2:P2012},D$2:D2012=D2013),2),(VLOOKUP(9^99,FILTER({ROW(P$2:P2012),P$2:P2012},D$2:D2012=D2013),2)*VLOOKUP(9^99,FILTER({ROW(O$2:O2012),O$2:O2012},D$2:D2012=D2013),2)-N201"&amp;"3)/O2013),J2013))"),"")</f>
        <v/>
      </c>
      <c r="Q2013" s="264" t="str">
        <f>IFERROR(__xludf.DUMMYFUNCTION("IFERROR(IF(F2013=""Crypto"",B2013,(IF(ISBLANK(D2013),"""",IF(D2013=""Cash"",B2013,IF(GOOGLEFINANCE(D2013,""CURRENCY"")=""GBX"",""GBP"",GOOGLEFINANCE(D2013,""CURRENCY"")))))),B2013)"),"")</f>
        <v/>
      </c>
      <c r="R2013" s="263" t="str">
        <f>IFERROR(__xludf.DUMMYFUNCTION("IF(ISBLANK(A2013),"""",IFERROR(IF(OR(Q2013=""GPB"",Q2013=""ZAR""),IF(Q2013=Dashboard!$L$1,K2013,(K2013*GOOGLEFINANCE(""CURRENCY:""&amp;Q2013&amp;""""&amp;Dashboard!$L$1&amp;""""))/100),IF(Q2013=Dashboard!$L$1,K2013,K2013*GOOGLEFINANCE(""CURRENCY:""&amp;Q2013&amp;""""&amp;Dashboard!$"&amp;"L$1&amp;""""))),K2013))"),"")</f>
        <v/>
      </c>
      <c r="S2013" s="266" t="str">
        <f>IFERROR(__xludf.DUMMYFUNCTION("IF(ISBLANK(A2013),"""",IFERROR(IF(OR(Q2013=""GPB"",Q2013=""ZAR""),IF(Q2013=Dashboard!$L$1,M2013,(M2013*GOOGLEFINANCE(""CURRENCY:""&amp;Q2013&amp;""""&amp;Dashboard!$L$1&amp;""""))/100),IF(Q2013=Dashboard!$L$1,M2013,M2013*GOOGLEFINANCE(""CURRENCY:""&amp;Q2013&amp;""""&amp;Dashboard!$"&amp;"L$1&amp;""""))),M2013))"),"")</f>
        <v/>
      </c>
      <c r="T2013" s="264" t="str">
        <f t="shared" si="4"/>
        <v/>
      </c>
      <c r="U2013" s="264" t="str">
        <f t="shared" si="5"/>
        <v/>
      </c>
      <c r="V2013" s="264" t="str">
        <f t="shared" si="6"/>
        <v/>
      </c>
      <c r="W2013" s="267" t="str">
        <f t="shared" si="8"/>
        <v/>
      </c>
      <c r="X2013" s="264" t="str">
        <f t="shared" si="7"/>
        <v/>
      </c>
    </row>
    <row r="2014" ht="15.75" customHeight="1">
      <c r="A2014" s="258"/>
      <c r="B2014" s="258"/>
      <c r="C2014" s="269"/>
      <c r="D2014" s="258"/>
      <c r="E2014" s="258"/>
      <c r="F2014" s="258"/>
      <c r="G2014" s="258"/>
      <c r="H2014" s="271"/>
      <c r="I2014" s="258"/>
      <c r="J2014" s="272"/>
      <c r="K2014" s="260"/>
      <c r="L2014" s="261"/>
      <c r="M2014" s="262" t="str">
        <f t="shared" si="1"/>
        <v/>
      </c>
      <c r="N2014" s="263" t="str">
        <f t="shared" si="2"/>
        <v/>
      </c>
      <c r="O2014" s="264" t="str">
        <f t="shared" si="3"/>
        <v/>
      </c>
      <c r="P2014" s="265" t="str">
        <f>IFERROR(__xludf.DUMMYFUNCTION("IF(ISBLANK(A2014),"""",IFERROR(IF(H2014=""Sell"",VLOOKUP(9^99,FILTER({ROW(P$2:P2013),P$2:P2013},D$2:D2013=D2014),2),(VLOOKUP(9^99,FILTER({ROW(P$2:P2013),P$2:P2013},D$2:D2013=D2014),2)*VLOOKUP(9^99,FILTER({ROW(O$2:O2013),O$2:O2013},D$2:D2013=D2014),2)-N201"&amp;"4)/O2014),J2014))"),"")</f>
        <v/>
      </c>
      <c r="Q2014" s="264" t="str">
        <f>IFERROR(__xludf.DUMMYFUNCTION("IFERROR(IF(F2014=""Crypto"",B2014,(IF(ISBLANK(D2014),"""",IF(D2014=""Cash"",B2014,IF(GOOGLEFINANCE(D2014,""CURRENCY"")=""GBX"",""GBP"",GOOGLEFINANCE(D2014,""CURRENCY"")))))),B2014)"),"")</f>
        <v/>
      </c>
      <c r="R2014" s="263" t="str">
        <f>IFERROR(__xludf.DUMMYFUNCTION("IF(ISBLANK(A2014),"""",IFERROR(IF(OR(Q2014=""GPB"",Q2014=""ZAR""),IF(Q2014=Dashboard!$L$1,K2014,(K2014*GOOGLEFINANCE(""CURRENCY:""&amp;Q2014&amp;""""&amp;Dashboard!$L$1&amp;""""))/100),IF(Q2014=Dashboard!$L$1,K2014,K2014*GOOGLEFINANCE(""CURRENCY:""&amp;Q2014&amp;""""&amp;Dashboard!$"&amp;"L$1&amp;""""))),K2014))"),"")</f>
        <v/>
      </c>
      <c r="S2014" s="266" t="str">
        <f>IFERROR(__xludf.DUMMYFUNCTION("IF(ISBLANK(A2014),"""",IFERROR(IF(OR(Q2014=""GPB"",Q2014=""ZAR""),IF(Q2014=Dashboard!$L$1,M2014,(M2014*GOOGLEFINANCE(""CURRENCY:""&amp;Q2014&amp;""""&amp;Dashboard!$L$1&amp;""""))/100),IF(Q2014=Dashboard!$L$1,M2014,M2014*GOOGLEFINANCE(""CURRENCY:""&amp;Q2014&amp;""""&amp;Dashboard!$"&amp;"L$1&amp;""""))),M2014))"),"")</f>
        <v/>
      </c>
      <c r="T2014" s="264" t="str">
        <f t="shared" si="4"/>
        <v/>
      </c>
      <c r="U2014" s="264" t="str">
        <f t="shared" si="5"/>
        <v/>
      </c>
      <c r="V2014" s="264" t="str">
        <f t="shared" si="6"/>
        <v/>
      </c>
      <c r="W2014" s="267" t="str">
        <f t="shared" si="8"/>
        <v/>
      </c>
      <c r="X2014" s="264" t="str">
        <f t="shared" si="7"/>
        <v/>
      </c>
    </row>
    <row r="2015" ht="15.75" customHeight="1">
      <c r="A2015" s="258"/>
      <c r="B2015" s="258"/>
      <c r="C2015" s="269"/>
      <c r="D2015" s="258"/>
      <c r="E2015" s="258"/>
      <c r="F2015" s="258"/>
      <c r="G2015" s="258"/>
      <c r="H2015" s="271"/>
      <c r="I2015" s="258"/>
      <c r="J2015" s="272"/>
      <c r="K2015" s="260"/>
      <c r="L2015" s="261"/>
      <c r="M2015" s="262" t="str">
        <f t="shared" si="1"/>
        <v/>
      </c>
      <c r="N2015" s="263" t="str">
        <f t="shared" si="2"/>
        <v/>
      </c>
      <c r="O2015" s="264" t="str">
        <f t="shared" si="3"/>
        <v/>
      </c>
      <c r="P2015" s="265" t="str">
        <f>IFERROR(__xludf.DUMMYFUNCTION("IF(ISBLANK(A2015),"""",IFERROR(IF(H2015=""Sell"",VLOOKUP(9^99,FILTER({ROW(P$2:P2014),P$2:P2014},D$2:D2014=D2015),2),(VLOOKUP(9^99,FILTER({ROW(P$2:P2014),P$2:P2014},D$2:D2014=D2015),2)*VLOOKUP(9^99,FILTER({ROW(O$2:O2014),O$2:O2014},D$2:D2014=D2015),2)-N201"&amp;"5)/O2015),J2015))"),"")</f>
        <v/>
      </c>
      <c r="Q2015" s="264" t="str">
        <f>IFERROR(__xludf.DUMMYFUNCTION("IFERROR(IF(F2015=""Crypto"",B2015,(IF(ISBLANK(D2015),"""",IF(D2015=""Cash"",B2015,IF(GOOGLEFINANCE(D2015,""CURRENCY"")=""GBX"",""GBP"",GOOGLEFINANCE(D2015,""CURRENCY"")))))),B2015)"),"")</f>
        <v/>
      </c>
      <c r="R2015" s="263" t="str">
        <f>IFERROR(__xludf.DUMMYFUNCTION("IF(ISBLANK(A2015),"""",IFERROR(IF(OR(Q2015=""GPB"",Q2015=""ZAR""),IF(Q2015=Dashboard!$L$1,K2015,(K2015*GOOGLEFINANCE(""CURRENCY:""&amp;Q2015&amp;""""&amp;Dashboard!$L$1&amp;""""))/100),IF(Q2015=Dashboard!$L$1,K2015,K2015*GOOGLEFINANCE(""CURRENCY:""&amp;Q2015&amp;""""&amp;Dashboard!$"&amp;"L$1&amp;""""))),K2015))"),"")</f>
        <v/>
      </c>
      <c r="S2015" s="266" t="str">
        <f>IFERROR(__xludf.DUMMYFUNCTION("IF(ISBLANK(A2015),"""",IFERROR(IF(OR(Q2015=""GPB"",Q2015=""ZAR""),IF(Q2015=Dashboard!$L$1,M2015,(M2015*GOOGLEFINANCE(""CURRENCY:""&amp;Q2015&amp;""""&amp;Dashboard!$L$1&amp;""""))/100),IF(Q2015=Dashboard!$L$1,M2015,M2015*GOOGLEFINANCE(""CURRENCY:""&amp;Q2015&amp;""""&amp;Dashboard!$"&amp;"L$1&amp;""""))),M2015))"),"")</f>
        <v/>
      </c>
      <c r="T2015" s="264" t="str">
        <f t="shared" si="4"/>
        <v/>
      </c>
      <c r="U2015" s="264" t="str">
        <f t="shared" si="5"/>
        <v/>
      </c>
      <c r="V2015" s="264" t="str">
        <f t="shared" si="6"/>
        <v/>
      </c>
      <c r="W2015" s="267" t="str">
        <f t="shared" si="8"/>
        <v/>
      </c>
      <c r="X2015" s="264" t="str">
        <f t="shared" si="7"/>
        <v/>
      </c>
    </row>
    <row r="2016" ht="15.75" customHeight="1">
      <c r="A2016" s="258"/>
      <c r="B2016" s="258"/>
      <c r="C2016" s="269"/>
      <c r="D2016" s="258"/>
      <c r="E2016" s="258"/>
      <c r="F2016" s="258"/>
      <c r="G2016" s="258"/>
      <c r="H2016" s="271"/>
      <c r="I2016" s="258"/>
      <c r="J2016" s="272"/>
      <c r="K2016" s="260"/>
      <c r="L2016" s="261"/>
      <c r="M2016" s="262" t="str">
        <f t="shared" si="1"/>
        <v/>
      </c>
      <c r="N2016" s="263" t="str">
        <f t="shared" si="2"/>
        <v/>
      </c>
      <c r="O2016" s="264" t="str">
        <f t="shared" si="3"/>
        <v/>
      </c>
      <c r="P2016" s="265" t="str">
        <f>IFERROR(__xludf.DUMMYFUNCTION("IF(ISBLANK(A2016),"""",IFERROR(IF(H2016=""Sell"",VLOOKUP(9^99,FILTER({ROW(P$2:P2015),P$2:P2015},D$2:D2015=D2016),2),(VLOOKUP(9^99,FILTER({ROW(P$2:P2015),P$2:P2015},D$2:D2015=D2016),2)*VLOOKUP(9^99,FILTER({ROW(O$2:O2015),O$2:O2015},D$2:D2015=D2016),2)-N201"&amp;"6)/O2016),J2016))"),"")</f>
        <v/>
      </c>
      <c r="Q2016" s="264" t="str">
        <f>IFERROR(__xludf.DUMMYFUNCTION("IFERROR(IF(F2016=""Crypto"",B2016,(IF(ISBLANK(D2016),"""",IF(D2016=""Cash"",B2016,IF(GOOGLEFINANCE(D2016,""CURRENCY"")=""GBX"",""GBP"",GOOGLEFINANCE(D2016,""CURRENCY"")))))),B2016)"),"")</f>
        <v/>
      </c>
      <c r="R2016" s="263" t="str">
        <f>IFERROR(__xludf.DUMMYFUNCTION("IF(ISBLANK(A2016),"""",IFERROR(IF(OR(Q2016=""GPB"",Q2016=""ZAR""),IF(Q2016=Dashboard!$L$1,K2016,(K2016*GOOGLEFINANCE(""CURRENCY:""&amp;Q2016&amp;""""&amp;Dashboard!$L$1&amp;""""))/100),IF(Q2016=Dashboard!$L$1,K2016,K2016*GOOGLEFINANCE(""CURRENCY:""&amp;Q2016&amp;""""&amp;Dashboard!$"&amp;"L$1&amp;""""))),K2016))"),"")</f>
        <v/>
      </c>
      <c r="S2016" s="266" t="str">
        <f>IFERROR(__xludf.DUMMYFUNCTION("IF(ISBLANK(A2016),"""",IFERROR(IF(OR(Q2016=""GPB"",Q2016=""ZAR""),IF(Q2016=Dashboard!$L$1,M2016,(M2016*GOOGLEFINANCE(""CURRENCY:""&amp;Q2016&amp;""""&amp;Dashboard!$L$1&amp;""""))/100),IF(Q2016=Dashboard!$L$1,M2016,M2016*GOOGLEFINANCE(""CURRENCY:""&amp;Q2016&amp;""""&amp;Dashboard!$"&amp;"L$1&amp;""""))),M2016))"),"")</f>
        <v/>
      </c>
      <c r="T2016" s="264" t="str">
        <f t="shared" si="4"/>
        <v/>
      </c>
      <c r="U2016" s="264" t="str">
        <f t="shared" si="5"/>
        <v/>
      </c>
      <c r="V2016" s="264" t="str">
        <f t="shared" si="6"/>
        <v/>
      </c>
      <c r="W2016" s="267" t="str">
        <f t="shared" si="8"/>
        <v/>
      </c>
      <c r="X2016" s="264" t="str">
        <f t="shared" si="7"/>
        <v/>
      </c>
    </row>
    <row r="2017" ht="15.75" customHeight="1">
      <c r="A2017" s="258"/>
      <c r="B2017" s="258"/>
      <c r="C2017" s="269"/>
      <c r="D2017" s="258"/>
      <c r="E2017" s="258"/>
      <c r="F2017" s="258"/>
      <c r="G2017" s="258"/>
      <c r="H2017" s="271"/>
      <c r="I2017" s="258"/>
      <c r="J2017" s="272"/>
      <c r="K2017" s="260"/>
      <c r="L2017" s="261"/>
      <c r="M2017" s="262" t="str">
        <f t="shared" si="1"/>
        <v/>
      </c>
      <c r="N2017" s="263" t="str">
        <f t="shared" si="2"/>
        <v/>
      </c>
      <c r="O2017" s="264" t="str">
        <f t="shared" si="3"/>
        <v/>
      </c>
      <c r="P2017" s="265" t="str">
        <f>IFERROR(__xludf.DUMMYFUNCTION("IF(ISBLANK(A2017),"""",IFERROR(IF(H2017=""Sell"",VLOOKUP(9^99,FILTER({ROW(P$2:P2016),P$2:P2016},D$2:D2016=D2017),2),(VLOOKUP(9^99,FILTER({ROW(P$2:P2016),P$2:P2016},D$2:D2016=D2017),2)*VLOOKUP(9^99,FILTER({ROW(O$2:O2016),O$2:O2016},D$2:D2016=D2017),2)-N201"&amp;"7)/O2017),J2017))"),"")</f>
        <v/>
      </c>
      <c r="Q2017" s="264" t="str">
        <f>IFERROR(__xludf.DUMMYFUNCTION("IFERROR(IF(F2017=""Crypto"",B2017,(IF(ISBLANK(D2017),"""",IF(D2017=""Cash"",B2017,IF(GOOGLEFINANCE(D2017,""CURRENCY"")=""GBX"",""GBP"",GOOGLEFINANCE(D2017,""CURRENCY"")))))),B2017)"),"")</f>
        <v/>
      </c>
      <c r="R2017" s="263" t="str">
        <f>IFERROR(__xludf.DUMMYFUNCTION("IF(ISBLANK(A2017),"""",IFERROR(IF(OR(Q2017=""GPB"",Q2017=""ZAR""),IF(Q2017=Dashboard!$L$1,K2017,(K2017*GOOGLEFINANCE(""CURRENCY:""&amp;Q2017&amp;""""&amp;Dashboard!$L$1&amp;""""))/100),IF(Q2017=Dashboard!$L$1,K2017,K2017*GOOGLEFINANCE(""CURRENCY:""&amp;Q2017&amp;""""&amp;Dashboard!$"&amp;"L$1&amp;""""))),K2017))"),"")</f>
        <v/>
      </c>
      <c r="S2017" s="266" t="str">
        <f>IFERROR(__xludf.DUMMYFUNCTION("IF(ISBLANK(A2017),"""",IFERROR(IF(OR(Q2017=""GPB"",Q2017=""ZAR""),IF(Q2017=Dashboard!$L$1,M2017,(M2017*GOOGLEFINANCE(""CURRENCY:""&amp;Q2017&amp;""""&amp;Dashboard!$L$1&amp;""""))/100),IF(Q2017=Dashboard!$L$1,M2017,M2017*GOOGLEFINANCE(""CURRENCY:""&amp;Q2017&amp;""""&amp;Dashboard!$"&amp;"L$1&amp;""""))),M2017))"),"")</f>
        <v/>
      </c>
      <c r="T2017" s="264" t="str">
        <f t="shared" si="4"/>
        <v/>
      </c>
      <c r="U2017" s="264" t="str">
        <f t="shared" si="5"/>
        <v/>
      </c>
      <c r="V2017" s="264" t="str">
        <f t="shared" si="6"/>
        <v/>
      </c>
      <c r="W2017" s="267" t="str">
        <f t="shared" si="8"/>
        <v/>
      </c>
      <c r="X2017" s="264" t="str">
        <f t="shared" si="7"/>
        <v/>
      </c>
    </row>
    <row r="2018" ht="15.75" customHeight="1">
      <c r="A2018" s="258"/>
      <c r="B2018" s="258"/>
      <c r="C2018" s="269"/>
      <c r="D2018" s="258"/>
      <c r="E2018" s="258"/>
      <c r="F2018" s="258"/>
      <c r="G2018" s="258"/>
      <c r="H2018" s="271"/>
      <c r="I2018" s="258"/>
      <c r="J2018" s="272"/>
      <c r="K2018" s="260"/>
      <c r="L2018" s="261"/>
      <c r="M2018" s="262" t="str">
        <f t="shared" si="1"/>
        <v/>
      </c>
      <c r="N2018" s="263" t="str">
        <f t="shared" si="2"/>
        <v/>
      </c>
      <c r="O2018" s="264" t="str">
        <f t="shared" si="3"/>
        <v/>
      </c>
      <c r="P2018" s="265" t="str">
        <f>IFERROR(__xludf.DUMMYFUNCTION("IF(ISBLANK(A2018),"""",IFERROR(IF(H2018=""Sell"",VLOOKUP(9^99,FILTER({ROW(P$2:P2017),P$2:P2017},D$2:D2017=D2018),2),(VLOOKUP(9^99,FILTER({ROW(P$2:P2017),P$2:P2017},D$2:D2017=D2018),2)*VLOOKUP(9^99,FILTER({ROW(O$2:O2017),O$2:O2017},D$2:D2017=D2018),2)-N201"&amp;"8)/O2018),J2018))"),"")</f>
        <v/>
      </c>
      <c r="Q2018" s="264" t="str">
        <f>IFERROR(__xludf.DUMMYFUNCTION("IFERROR(IF(F2018=""Crypto"",B2018,(IF(ISBLANK(D2018),"""",IF(D2018=""Cash"",B2018,IF(GOOGLEFINANCE(D2018,""CURRENCY"")=""GBX"",""GBP"",GOOGLEFINANCE(D2018,""CURRENCY"")))))),B2018)"),"")</f>
        <v/>
      </c>
      <c r="R2018" s="263" t="str">
        <f>IFERROR(__xludf.DUMMYFUNCTION("IF(ISBLANK(A2018),"""",IFERROR(IF(OR(Q2018=""GPB"",Q2018=""ZAR""),IF(Q2018=Dashboard!$L$1,K2018,(K2018*GOOGLEFINANCE(""CURRENCY:""&amp;Q2018&amp;""""&amp;Dashboard!$L$1&amp;""""))/100),IF(Q2018=Dashboard!$L$1,K2018,K2018*GOOGLEFINANCE(""CURRENCY:""&amp;Q2018&amp;""""&amp;Dashboard!$"&amp;"L$1&amp;""""))),K2018))"),"")</f>
        <v/>
      </c>
      <c r="S2018" s="266" t="str">
        <f>IFERROR(__xludf.DUMMYFUNCTION("IF(ISBLANK(A2018),"""",IFERROR(IF(OR(Q2018=""GPB"",Q2018=""ZAR""),IF(Q2018=Dashboard!$L$1,M2018,(M2018*GOOGLEFINANCE(""CURRENCY:""&amp;Q2018&amp;""""&amp;Dashboard!$L$1&amp;""""))/100),IF(Q2018=Dashboard!$L$1,M2018,M2018*GOOGLEFINANCE(""CURRENCY:""&amp;Q2018&amp;""""&amp;Dashboard!$"&amp;"L$1&amp;""""))),M2018))"),"")</f>
        <v/>
      </c>
      <c r="T2018" s="264" t="str">
        <f t="shared" si="4"/>
        <v/>
      </c>
      <c r="U2018" s="264" t="str">
        <f t="shared" si="5"/>
        <v/>
      </c>
      <c r="V2018" s="264" t="str">
        <f t="shared" si="6"/>
        <v/>
      </c>
      <c r="W2018" s="267" t="str">
        <f t="shared" si="8"/>
        <v/>
      </c>
      <c r="X2018" s="264" t="str">
        <f t="shared" si="7"/>
        <v/>
      </c>
    </row>
    <row r="2019" ht="15.75" customHeight="1">
      <c r="A2019" s="258"/>
      <c r="B2019" s="258"/>
      <c r="C2019" s="269"/>
      <c r="D2019" s="258"/>
      <c r="E2019" s="258"/>
      <c r="F2019" s="258"/>
      <c r="G2019" s="258"/>
      <c r="H2019" s="271"/>
      <c r="I2019" s="258"/>
      <c r="J2019" s="272"/>
      <c r="K2019" s="260"/>
      <c r="L2019" s="261"/>
      <c r="M2019" s="262" t="str">
        <f t="shared" si="1"/>
        <v/>
      </c>
      <c r="N2019" s="263" t="str">
        <f t="shared" si="2"/>
        <v/>
      </c>
      <c r="O2019" s="264" t="str">
        <f t="shared" si="3"/>
        <v/>
      </c>
      <c r="P2019" s="265" t="str">
        <f>IFERROR(__xludf.DUMMYFUNCTION("IF(ISBLANK(A2019),"""",IFERROR(IF(H2019=""Sell"",VLOOKUP(9^99,FILTER({ROW(P$2:P2018),P$2:P2018},D$2:D2018=D2019),2),(VLOOKUP(9^99,FILTER({ROW(P$2:P2018),P$2:P2018},D$2:D2018=D2019),2)*VLOOKUP(9^99,FILTER({ROW(O$2:O2018),O$2:O2018},D$2:D2018=D2019),2)-N201"&amp;"9)/O2019),J2019))"),"")</f>
        <v/>
      </c>
      <c r="Q2019" s="264" t="str">
        <f>IFERROR(__xludf.DUMMYFUNCTION("IFERROR(IF(F2019=""Crypto"",B2019,(IF(ISBLANK(D2019),"""",IF(D2019=""Cash"",B2019,IF(GOOGLEFINANCE(D2019,""CURRENCY"")=""GBX"",""GBP"",GOOGLEFINANCE(D2019,""CURRENCY"")))))),B2019)"),"")</f>
        <v/>
      </c>
      <c r="R2019" s="263" t="str">
        <f>IFERROR(__xludf.DUMMYFUNCTION("IF(ISBLANK(A2019),"""",IFERROR(IF(OR(Q2019=""GPB"",Q2019=""ZAR""),IF(Q2019=Dashboard!$L$1,K2019,(K2019*GOOGLEFINANCE(""CURRENCY:""&amp;Q2019&amp;""""&amp;Dashboard!$L$1&amp;""""))/100),IF(Q2019=Dashboard!$L$1,K2019,K2019*GOOGLEFINANCE(""CURRENCY:""&amp;Q2019&amp;""""&amp;Dashboard!$"&amp;"L$1&amp;""""))),K2019))"),"")</f>
        <v/>
      </c>
      <c r="S2019" s="266" t="str">
        <f>IFERROR(__xludf.DUMMYFUNCTION("IF(ISBLANK(A2019),"""",IFERROR(IF(OR(Q2019=""GPB"",Q2019=""ZAR""),IF(Q2019=Dashboard!$L$1,M2019,(M2019*GOOGLEFINANCE(""CURRENCY:""&amp;Q2019&amp;""""&amp;Dashboard!$L$1&amp;""""))/100),IF(Q2019=Dashboard!$L$1,M2019,M2019*GOOGLEFINANCE(""CURRENCY:""&amp;Q2019&amp;""""&amp;Dashboard!$"&amp;"L$1&amp;""""))),M2019))"),"")</f>
        <v/>
      </c>
      <c r="T2019" s="264" t="str">
        <f t="shared" si="4"/>
        <v/>
      </c>
      <c r="U2019" s="264" t="str">
        <f t="shared" si="5"/>
        <v/>
      </c>
      <c r="V2019" s="264" t="str">
        <f t="shared" si="6"/>
        <v/>
      </c>
      <c r="W2019" s="267" t="str">
        <f t="shared" si="8"/>
        <v/>
      </c>
      <c r="X2019" s="264" t="str">
        <f t="shared" si="7"/>
        <v/>
      </c>
    </row>
    <row r="2020" ht="15.75" customHeight="1">
      <c r="A2020" s="258"/>
      <c r="B2020" s="258"/>
      <c r="C2020" s="269"/>
      <c r="D2020" s="258"/>
      <c r="E2020" s="258"/>
      <c r="F2020" s="258"/>
      <c r="G2020" s="258"/>
      <c r="H2020" s="271"/>
      <c r="I2020" s="258"/>
      <c r="J2020" s="272"/>
      <c r="K2020" s="260"/>
      <c r="L2020" s="261"/>
      <c r="M2020" s="262" t="str">
        <f t="shared" si="1"/>
        <v/>
      </c>
      <c r="N2020" s="263" t="str">
        <f t="shared" si="2"/>
        <v/>
      </c>
      <c r="O2020" s="264" t="str">
        <f t="shared" si="3"/>
        <v/>
      </c>
      <c r="P2020" s="265" t="str">
        <f>IFERROR(__xludf.DUMMYFUNCTION("IF(ISBLANK(A2020),"""",IFERROR(IF(H2020=""Sell"",VLOOKUP(9^99,FILTER({ROW(P$2:P2019),P$2:P2019},D$2:D2019=D2020),2),(VLOOKUP(9^99,FILTER({ROW(P$2:P2019),P$2:P2019},D$2:D2019=D2020),2)*VLOOKUP(9^99,FILTER({ROW(O$2:O2019),O$2:O2019},D$2:D2019=D2020),2)-N202"&amp;"0)/O2020),J2020))"),"")</f>
        <v/>
      </c>
      <c r="Q2020" s="264" t="str">
        <f>IFERROR(__xludf.DUMMYFUNCTION("IFERROR(IF(F2020=""Crypto"",B2020,(IF(ISBLANK(D2020),"""",IF(D2020=""Cash"",B2020,IF(GOOGLEFINANCE(D2020,""CURRENCY"")=""GBX"",""GBP"",GOOGLEFINANCE(D2020,""CURRENCY"")))))),B2020)"),"")</f>
        <v/>
      </c>
      <c r="R2020" s="263" t="str">
        <f>IFERROR(__xludf.DUMMYFUNCTION("IF(ISBLANK(A2020),"""",IFERROR(IF(OR(Q2020=""GPB"",Q2020=""ZAR""),IF(Q2020=Dashboard!$L$1,K2020,(K2020*GOOGLEFINANCE(""CURRENCY:""&amp;Q2020&amp;""""&amp;Dashboard!$L$1&amp;""""))/100),IF(Q2020=Dashboard!$L$1,K2020,K2020*GOOGLEFINANCE(""CURRENCY:""&amp;Q2020&amp;""""&amp;Dashboard!$"&amp;"L$1&amp;""""))),K2020))"),"")</f>
        <v/>
      </c>
      <c r="S2020" s="266" t="str">
        <f>IFERROR(__xludf.DUMMYFUNCTION("IF(ISBLANK(A2020),"""",IFERROR(IF(OR(Q2020=""GPB"",Q2020=""ZAR""),IF(Q2020=Dashboard!$L$1,M2020,(M2020*GOOGLEFINANCE(""CURRENCY:""&amp;Q2020&amp;""""&amp;Dashboard!$L$1&amp;""""))/100),IF(Q2020=Dashboard!$L$1,M2020,M2020*GOOGLEFINANCE(""CURRENCY:""&amp;Q2020&amp;""""&amp;Dashboard!$"&amp;"L$1&amp;""""))),M2020))"),"")</f>
        <v/>
      </c>
      <c r="T2020" s="264" t="str">
        <f t="shared" si="4"/>
        <v/>
      </c>
      <c r="U2020" s="264" t="str">
        <f t="shared" si="5"/>
        <v/>
      </c>
      <c r="V2020" s="264" t="str">
        <f t="shared" si="6"/>
        <v/>
      </c>
      <c r="W2020" s="267" t="str">
        <f t="shared" si="8"/>
        <v/>
      </c>
      <c r="X2020" s="264" t="str">
        <f t="shared" si="7"/>
        <v/>
      </c>
    </row>
    <row r="2021" ht="15.75" customHeight="1">
      <c r="A2021" s="258"/>
      <c r="B2021" s="258"/>
      <c r="C2021" s="269"/>
      <c r="D2021" s="258"/>
      <c r="E2021" s="258"/>
      <c r="F2021" s="258"/>
      <c r="G2021" s="258"/>
      <c r="H2021" s="271"/>
      <c r="I2021" s="258"/>
      <c r="J2021" s="272"/>
      <c r="K2021" s="260"/>
      <c r="L2021" s="261"/>
      <c r="M2021" s="262" t="str">
        <f t="shared" si="1"/>
        <v/>
      </c>
      <c r="N2021" s="263" t="str">
        <f t="shared" si="2"/>
        <v/>
      </c>
      <c r="O2021" s="264" t="str">
        <f t="shared" si="3"/>
        <v/>
      </c>
      <c r="P2021" s="265" t="str">
        <f>IFERROR(__xludf.DUMMYFUNCTION("IF(ISBLANK(A2021),"""",IFERROR(IF(H2021=""Sell"",VLOOKUP(9^99,FILTER({ROW(P$2:P2020),P$2:P2020},D$2:D2020=D2021),2),(VLOOKUP(9^99,FILTER({ROW(P$2:P2020),P$2:P2020},D$2:D2020=D2021),2)*VLOOKUP(9^99,FILTER({ROW(O$2:O2020),O$2:O2020},D$2:D2020=D2021),2)-N202"&amp;"1)/O2021),J2021))"),"")</f>
        <v/>
      </c>
      <c r="Q2021" s="264" t="str">
        <f>IFERROR(__xludf.DUMMYFUNCTION("IFERROR(IF(F2021=""Crypto"",B2021,(IF(ISBLANK(D2021),"""",IF(D2021=""Cash"",B2021,IF(GOOGLEFINANCE(D2021,""CURRENCY"")=""GBX"",""GBP"",GOOGLEFINANCE(D2021,""CURRENCY"")))))),B2021)"),"")</f>
        <v/>
      </c>
      <c r="R2021" s="263" t="str">
        <f>IFERROR(__xludf.DUMMYFUNCTION("IF(ISBLANK(A2021),"""",IFERROR(IF(OR(Q2021=""GPB"",Q2021=""ZAR""),IF(Q2021=Dashboard!$L$1,K2021,(K2021*GOOGLEFINANCE(""CURRENCY:""&amp;Q2021&amp;""""&amp;Dashboard!$L$1&amp;""""))/100),IF(Q2021=Dashboard!$L$1,K2021,K2021*GOOGLEFINANCE(""CURRENCY:""&amp;Q2021&amp;""""&amp;Dashboard!$"&amp;"L$1&amp;""""))),K2021))"),"")</f>
        <v/>
      </c>
      <c r="S2021" s="266" t="str">
        <f>IFERROR(__xludf.DUMMYFUNCTION("IF(ISBLANK(A2021),"""",IFERROR(IF(OR(Q2021=""GPB"",Q2021=""ZAR""),IF(Q2021=Dashboard!$L$1,M2021,(M2021*GOOGLEFINANCE(""CURRENCY:""&amp;Q2021&amp;""""&amp;Dashboard!$L$1&amp;""""))/100),IF(Q2021=Dashboard!$L$1,M2021,M2021*GOOGLEFINANCE(""CURRENCY:""&amp;Q2021&amp;""""&amp;Dashboard!$"&amp;"L$1&amp;""""))),M2021))"),"")</f>
        <v/>
      </c>
      <c r="T2021" s="264" t="str">
        <f t="shared" si="4"/>
        <v/>
      </c>
      <c r="U2021" s="264" t="str">
        <f t="shared" si="5"/>
        <v/>
      </c>
      <c r="V2021" s="264" t="str">
        <f t="shared" si="6"/>
        <v/>
      </c>
      <c r="W2021" s="267" t="str">
        <f t="shared" si="8"/>
        <v/>
      </c>
      <c r="X2021" s="264" t="str">
        <f t="shared" si="7"/>
        <v/>
      </c>
    </row>
    <row r="2022" ht="15.75" customHeight="1">
      <c r="A2022" s="258"/>
      <c r="B2022" s="258"/>
      <c r="C2022" s="269"/>
      <c r="D2022" s="258"/>
      <c r="E2022" s="258"/>
      <c r="F2022" s="258"/>
      <c r="G2022" s="258"/>
      <c r="H2022" s="271"/>
      <c r="I2022" s="258"/>
      <c r="J2022" s="272"/>
      <c r="K2022" s="260"/>
      <c r="L2022" s="261"/>
      <c r="M2022" s="262" t="str">
        <f t="shared" si="1"/>
        <v/>
      </c>
      <c r="N2022" s="263" t="str">
        <f t="shared" si="2"/>
        <v/>
      </c>
      <c r="O2022" s="264" t="str">
        <f t="shared" si="3"/>
        <v/>
      </c>
      <c r="P2022" s="265" t="str">
        <f>IFERROR(__xludf.DUMMYFUNCTION("IF(ISBLANK(A2022),"""",IFERROR(IF(H2022=""Sell"",VLOOKUP(9^99,FILTER({ROW(P$2:P2021),P$2:P2021},D$2:D2021=D2022),2),(VLOOKUP(9^99,FILTER({ROW(P$2:P2021),P$2:P2021},D$2:D2021=D2022),2)*VLOOKUP(9^99,FILTER({ROW(O$2:O2021),O$2:O2021},D$2:D2021=D2022),2)-N202"&amp;"2)/O2022),J2022))"),"")</f>
        <v/>
      </c>
      <c r="Q2022" s="264" t="str">
        <f>IFERROR(__xludf.DUMMYFUNCTION("IFERROR(IF(F2022=""Crypto"",B2022,(IF(ISBLANK(D2022),"""",IF(D2022=""Cash"",B2022,IF(GOOGLEFINANCE(D2022,""CURRENCY"")=""GBX"",""GBP"",GOOGLEFINANCE(D2022,""CURRENCY"")))))),B2022)"),"")</f>
        <v/>
      </c>
      <c r="R2022" s="263" t="str">
        <f>IFERROR(__xludf.DUMMYFUNCTION("IF(ISBLANK(A2022),"""",IFERROR(IF(OR(Q2022=""GPB"",Q2022=""ZAR""),IF(Q2022=Dashboard!$L$1,K2022,(K2022*GOOGLEFINANCE(""CURRENCY:""&amp;Q2022&amp;""""&amp;Dashboard!$L$1&amp;""""))/100),IF(Q2022=Dashboard!$L$1,K2022,K2022*GOOGLEFINANCE(""CURRENCY:""&amp;Q2022&amp;""""&amp;Dashboard!$"&amp;"L$1&amp;""""))),K2022))"),"")</f>
        <v/>
      </c>
      <c r="S2022" s="266" t="str">
        <f>IFERROR(__xludf.DUMMYFUNCTION("IF(ISBLANK(A2022),"""",IFERROR(IF(OR(Q2022=""GPB"",Q2022=""ZAR""),IF(Q2022=Dashboard!$L$1,M2022,(M2022*GOOGLEFINANCE(""CURRENCY:""&amp;Q2022&amp;""""&amp;Dashboard!$L$1&amp;""""))/100),IF(Q2022=Dashboard!$L$1,M2022,M2022*GOOGLEFINANCE(""CURRENCY:""&amp;Q2022&amp;""""&amp;Dashboard!$"&amp;"L$1&amp;""""))),M2022))"),"")</f>
        <v/>
      </c>
      <c r="T2022" s="264" t="str">
        <f t="shared" si="4"/>
        <v/>
      </c>
      <c r="U2022" s="264" t="str">
        <f t="shared" si="5"/>
        <v/>
      </c>
      <c r="V2022" s="264" t="str">
        <f t="shared" si="6"/>
        <v/>
      </c>
      <c r="W2022" s="267" t="str">
        <f t="shared" si="8"/>
        <v/>
      </c>
      <c r="X2022" s="264" t="str">
        <f t="shared" si="7"/>
        <v/>
      </c>
    </row>
    <row r="2023" ht="15.75" customHeight="1">
      <c r="A2023" s="258"/>
      <c r="B2023" s="258"/>
      <c r="C2023" s="269"/>
      <c r="D2023" s="258"/>
      <c r="E2023" s="258"/>
      <c r="F2023" s="258"/>
      <c r="G2023" s="258"/>
      <c r="H2023" s="271"/>
      <c r="I2023" s="258"/>
      <c r="J2023" s="272"/>
      <c r="K2023" s="260"/>
      <c r="L2023" s="261"/>
      <c r="M2023" s="262" t="str">
        <f t="shared" si="1"/>
        <v/>
      </c>
      <c r="N2023" s="263" t="str">
        <f t="shared" si="2"/>
        <v/>
      </c>
      <c r="O2023" s="264" t="str">
        <f t="shared" si="3"/>
        <v/>
      </c>
      <c r="P2023" s="265" t="str">
        <f>IFERROR(__xludf.DUMMYFUNCTION("IF(ISBLANK(A2023),"""",IFERROR(IF(H2023=""Sell"",VLOOKUP(9^99,FILTER({ROW(P$2:P2022),P$2:P2022},D$2:D2022=D2023),2),(VLOOKUP(9^99,FILTER({ROW(P$2:P2022),P$2:P2022},D$2:D2022=D2023),2)*VLOOKUP(9^99,FILTER({ROW(O$2:O2022),O$2:O2022},D$2:D2022=D2023),2)-N202"&amp;"3)/O2023),J2023))"),"")</f>
        <v/>
      </c>
      <c r="Q2023" s="264" t="str">
        <f>IFERROR(__xludf.DUMMYFUNCTION("IFERROR(IF(F2023=""Crypto"",B2023,(IF(ISBLANK(D2023),"""",IF(D2023=""Cash"",B2023,IF(GOOGLEFINANCE(D2023,""CURRENCY"")=""GBX"",""GBP"",GOOGLEFINANCE(D2023,""CURRENCY"")))))),B2023)"),"")</f>
        <v/>
      </c>
      <c r="R2023" s="263" t="str">
        <f>IFERROR(__xludf.DUMMYFUNCTION("IF(ISBLANK(A2023),"""",IFERROR(IF(OR(Q2023=""GPB"",Q2023=""ZAR""),IF(Q2023=Dashboard!$L$1,K2023,(K2023*GOOGLEFINANCE(""CURRENCY:""&amp;Q2023&amp;""""&amp;Dashboard!$L$1&amp;""""))/100),IF(Q2023=Dashboard!$L$1,K2023,K2023*GOOGLEFINANCE(""CURRENCY:""&amp;Q2023&amp;""""&amp;Dashboard!$"&amp;"L$1&amp;""""))),K2023))"),"")</f>
        <v/>
      </c>
      <c r="S2023" s="266" t="str">
        <f>IFERROR(__xludf.DUMMYFUNCTION("IF(ISBLANK(A2023),"""",IFERROR(IF(OR(Q2023=""GPB"",Q2023=""ZAR""),IF(Q2023=Dashboard!$L$1,M2023,(M2023*GOOGLEFINANCE(""CURRENCY:""&amp;Q2023&amp;""""&amp;Dashboard!$L$1&amp;""""))/100),IF(Q2023=Dashboard!$L$1,M2023,M2023*GOOGLEFINANCE(""CURRENCY:""&amp;Q2023&amp;""""&amp;Dashboard!$"&amp;"L$1&amp;""""))),M2023))"),"")</f>
        <v/>
      </c>
      <c r="T2023" s="264" t="str">
        <f t="shared" si="4"/>
        <v/>
      </c>
      <c r="U2023" s="264" t="str">
        <f t="shared" si="5"/>
        <v/>
      </c>
      <c r="V2023" s="264" t="str">
        <f t="shared" si="6"/>
        <v/>
      </c>
      <c r="W2023" s="267" t="str">
        <f t="shared" si="8"/>
        <v/>
      </c>
      <c r="X2023" s="264" t="str">
        <f t="shared" si="7"/>
        <v/>
      </c>
    </row>
    <row r="2024" ht="15.75" customHeight="1">
      <c r="A2024" s="258"/>
      <c r="B2024" s="258"/>
      <c r="C2024" s="269"/>
      <c r="D2024" s="258"/>
      <c r="E2024" s="258"/>
      <c r="F2024" s="258"/>
      <c r="G2024" s="258"/>
      <c r="H2024" s="271"/>
      <c r="I2024" s="258"/>
      <c r="J2024" s="272"/>
      <c r="K2024" s="260"/>
      <c r="L2024" s="261"/>
      <c r="M2024" s="262" t="str">
        <f t="shared" si="1"/>
        <v/>
      </c>
      <c r="N2024" s="263" t="str">
        <f t="shared" si="2"/>
        <v/>
      </c>
      <c r="O2024" s="264" t="str">
        <f t="shared" si="3"/>
        <v/>
      </c>
      <c r="P2024" s="265" t="str">
        <f>IFERROR(__xludf.DUMMYFUNCTION("IF(ISBLANK(A2024),"""",IFERROR(IF(H2024=""Sell"",VLOOKUP(9^99,FILTER({ROW(P$2:P2023),P$2:P2023},D$2:D2023=D2024),2),(VLOOKUP(9^99,FILTER({ROW(P$2:P2023),P$2:P2023},D$2:D2023=D2024),2)*VLOOKUP(9^99,FILTER({ROW(O$2:O2023),O$2:O2023},D$2:D2023=D2024),2)-N202"&amp;"4)/O2024),J2024))"),"")</f>
        <v/>
      </c>
      <c r="Q2024" s="264" t="str">
        <f>IFERROR(__xludf.DUMMYFUNCTION("IFERROR(IF(F2024=""Crypto"",B2024,(IF(ISBLANK(D2024),"""",IF(D2024=""Cash"",B2024,IF(GOOGLEFINANCE(D2024,""CURRENCY"")=""GBX"",""GBP"",GOOGLEFINANCE(D2024,""CURRENCY"")))))),B2024)"),"")</f>
        <v/>
      </c>
      <c r="R2024" s="263" t="str">
        <f>IFERROR(__xludf.DUMMYFUNCTION("IF(ISBLANK(A2024),"""",IFERROR(IF(OR(Q2024=""GPB"",Q2024=""ZAR""),IF(Q2024=Dashboard!$L$1,K2024,(K2024*GOOGLEFINANCE(""CURRENCY:""&amp;Q2024&amp;""""&amp;Dashboard!$L$1&amp;""""))/100),IF(Q2024=Dashboard!$L$1,K2024,K2024*GOOGLEFINANCE(""CURRENCY:""&amp;Q2024&amp;""""&amp;Dashboard!$"&amp;"L$1&amp;""""))),K2024))"),"")</f>
        <v/>
      </c>
      <c r="S2024" s="266" t="str">
        <f>IFERROR(__xludf.DUMMYFUNCTION("IF(ISBLANK(A2024),"""",IFERROR(IF(OR(Q2024=""GPB"",Q2024=""ZAR""),IF(Q2024=Dashboard!$L$1,M2024,(M2024*GOOGLEFINANCE(""CURRENCY:""&amp;Q2024&amp;""""&amp;Dashboard!$L$1&amp;""""))/100),IF(Q2024=Dashboard!$L$1,M2024,M2024*GOOGLEFINANCE(""CURRENCY:""&amp;Q2024&amp;""""&amp;Dashboard!$"&amp;"L$1&amp;""""))),M2024))"),"")</f>
        <v/>
      </c>
      <c r="T2024" s="264" t="str">
        <f t="shared" si="4"/>
        <v/>
      </c>
      <c r="U2024" s="264" t="str">
        <f t="shared" si="5"/>
        <v/>
      </c>
      <c r="V2024" s="264" t="str">
        <f t="shared" si="6"/>
        <v/>
      </c>
      <c r="W2024" s="267" t="str">
        <f t="shared" si="8"/>
        <v/>
      </c>
      <c r="X2024" s="264" t="str">
        <f t="shared" si="7"/>
        <v/>
      </c>
    </row>
    <row r="2025" ht="15.75" customHeight="1">
      <c r="A2025" s="258"/>
      <c r="B2025" s="258"/>
      <c r="C2025" s="269"/>
      <c r="D2025" s="258"/>
      <c r="E2025" s="258"/>
      <c r="F2025" s="258"/>
      <c r="G2025" s="258"/>
      <c r="H2025" s="271"/>
      <c r="I2025" s="258"/>
      <c r="J2025" s="272"/>
      <c r="K2025" s="260"/>
      <c r="L2025" s="261"/>
      <c r="M2025" s="262" t="str">
        <f t="shared" si="1"/>
        <v/>
      </c>
      <c r="N2025" s="263" t="str">
        <f t="shared" si="2"/>
        <v/>
      </c>
      <c r="O2025" s="264" t="str">
        <f t="shared" si="3"/>
        <v/>
      </c>
      <c r="P2025" s="265" t="str">
        <f>IFERROR(__xludf.DUMMYFUNCTION("IF(ISBLANK(A2025),"""",IFERROR(IF(H2025=""Sell"",VLOOKUP(9^99,FILTER({ROW(P$2:P2024),P$2:P2024},D$2:D2024=D2025),2),(VLOOKUP(9^99,FILTER({ROW(P$2:P2024),P$2:P2024},D$2:D2024=D2025),2)*VLOOKUP(9^99,FILTER({ROW(O$2:O2024),O$2:O2024},D$2:D2024=D2025),2)-N202"&amp;"5)/O2025),J2025))"),"")</f>
        <v/>
      </c>
      <c r="Q2025" s="264" t="str">
        <f>IFERROR(__xludf.DUMMYFUNCTION("IFERROR(IF(F2025=""Crypto"",B2025,(IF(ISBLANK(D2025),"""",IF(D2025=""Cash"",B2025,IF(GOOGLEFINANCE(D2025,""CURRENCY"")=""GBX"",""GBP"",GOOGLEFINANCE(D2025,""CURRENCY"")))))),B2025)"),"")</f>
        <v/>
      </c>
      <c r="R2025" s="263" t="str">
        <f>IFERROR(__xludf.DUMMYFUNCTION("IF(ISBLANK(A2025),"""",IFERROR(IF(OR(Q2025=""GPB"",Q2025=""ZAR""),IF(Q2025=Dashboard!$L$1,K2025,(K2025*GOOGLEFINANCE(""CURRENCY:""&amp;Q2025&amp;""""&amp;Dashboard!$L$1&amp;""""))/100),IF(Q2025=Dashboard!$L$1,K2025,K2025*GOOGLEFINANCE(""CURRENCY:""&amp;Q2025&amp;""""&amp;Dashboard!$"&amp;"L$1&amp;""""))),K2025))"),"")</f>
        <v/>
      </c>
      <c r="S2025" s="266" t="str">
        <f>IFERROR(__xludf.DUMMYFUNCTION("IF(ISBLANK(A2025),"""",IFERROR(IF(OR(Q2025=""GPB"",Q2025=""ZAR""),IF(Q2025=Dashboard!$L$1,M2025,(M2025*GOOGLEFINANCE(""CURRENCY:""&amp;Q2025&amp;""""&amp;Dashboard!$L$1&amp;""""))/100),IF(Q2025=Dashboard!$L$1,M2025,M2025*GOOGLEFINANCE(""CURRENCY:""&amp;Q2025&amp;""""&amp;Dashboard!$"&amp;"L$1&amp;""""))),M2025))"),"")</f>
        <v/>
      </c>
      <c r="T2025" s="264" t="str">
        <f t="shared" si="4"/>
        <v/>
      </c>
      <c r="U2025" s="264" t="str">
        <f t="shared" si="5"/>
        <v/>
      </c>
      <c r="V2025" s="264" t="str">
        <f t="shared" si="6"/>
        <v/>
      </c>
      <c r="W2025" s="267" t="str">
        <f t="shared" si="8"/>
        <v/>
      </c>
      <c r="X2025" s="264" t="str">
        <f t="shared" si="7"/>
        <v/>
      </c>
    </row>
    <row r="2026" ht="15.75" customHeight="1">
      <c r="A2026" s="258"/>
      <c r="B2026" s="258"/>
      <c r="C2026" s="269"/>
      <c r="D2026" s="258"/>
      <c r="E2026" s="258"/>
      <c r="F2026" s="258"/>
      <c r="G2026" s="258"/>
      <c r="H2026" s="271"/>
      <c r="I2026" s="258"/>
      <c r="J2026" s="272"/>
      <c r="K2026" s="260"/>
      <c r="L2026" s="261"/>
      <c r="M2026" s="262" t="str">
        <f t="shared" si="1"/>
        <v/>
      </c>
      <c r="N2026" s="263" t="str">
        <f t="shared" si="2"/>
        <v/>
      </c>
      <c r="O2026" s="264" t="str">
        <f t="shared" si="3"/>
        <v/>
      </c>
      <c r="P2026" s="265" t="str">
        <f>IFERROR(__xludf.DUMMYFUNCTION("IF(ISBLANK(A2026),"""",IFERROR(IF(H2026=""Sell"",VLOOKUP(9^99,FILTER({ROW(P$2:P2025),P$2:P2025},D$2:D2025=D2026),2),(VLOOKUP(9^99,FILTER({ROW(P$2:P2025),P$2:P2025},D$2:D2025=D2026),2)*VLOOKUP(9^99,FILTER({ROW(O$2:O2025),O$2:O2025},D$2:D2025=D2026),2)-N202"&amp;"6)/O2026),J2026))"),"")</f>
        <v/>
      </c>
      <c r="Q2026" s="264" t="str">
        <f>IFERROR(__xludf.DUMMYFUNCTION("IFERROR(IF(F2026=""Crypto"",B2026,(IF(ISBLANK(D2026),"""",IF(D2026=""Cash"",B2026,IF(GOOGLEFINANCE(D2026,""CURRENCY"")=""GBX"",""GBP"",GOOGLEFINANCE(D2026,""CURRENCY"")))))),B2026)"),"")</f>
        <v/>
      </c>
      <c r="R2026" s="263" t="str">
        <f>IFERROR(__xludf.DUMMYFUNCTION("IF(ISBLANK(A2026),"""",IFERROR(IF(OR(Q2026=""GPB"",Q2026=""ZAR""),IF(Q2026=Dashboard!$L$1,K2026,(K2026*GOOGLEFINANCE(""CURRENCY:""&amp;Q2026&amp;""""&amp;Dashboard!$L$1&amp;""""))/100),IF(Q2026=Dashboard!$L$1,K2026,K2026*GOOGLEFINANCE(""CURRENCY:""&amp;Q2026&amp;""""&amp;Dashboard!$"&amp;"L$1&amp;""""))),K2026))"),"")</f>
        <v/>
      </c>
      <c r="S2026" s="266" t="str">
        <f>IFERROR(__xludf.DUMMYFUNCTION("IF(ISBLANK(A2026),"""",IFERROR(IF(OR(Q2026=""GPB"",Q2026=""ZAR""),IF(Q2026=Dashboard!$L$1,M2026,(M2026*GOOGLEFINANCE(""CURRENCY:""&amp;Q2026&amp;""""&amp;Dashboard!$L$1&amp;""""))/100),IF(Q2026=Dashboard!$L$1,M2026,M2026*GOOGLEFINANCE(""CURRENCY:""&amp;Q2026&amp;""""&amp;Dashboard!$"&amp;"L$1&amp;""""))),M2026))"),"")</f>
        <v/>
      </c>
      <c r="T2026" s="264" t="str">
        <f t="shared" si="4"/>
        <v/>
      </c>
      <c r="U2026" s="264" t="str">
        <f t="shared" si="5"/>
        <v/>
      </c>
      <c r="V2026" s="264" t="str">
        <f t="shared" si="6"/>
        <v/>
      </c>
      <c r="W2026" s="267" t="str">
        <f t="shared" si="8"/>
        <v/>
      </c>
      <c r="X2026" s="264" t="str">
        <f t="shared" si="7"/>
        <v/>
      </c>
    </row>
    <row r="2027" ht="15.75" customHeight="1">
      <c r="A2027" s="258"/>
      <c r="B2027" s="258"/>
      <c r="C2027" s="269"/>
      <c r="D2027" s="258"/>
      <c r="E2027" s="258"/>
      <c r="F2027" s="258"/>
      <c r="G2027" s="258"/>
      <c r="H2027" s="271"/>
      <c r="I2027" s="258"/>
      <c r="J2027" s="272"/>
      <c r="K2027" s="260"/>
      <c r="L2027" s="261"/>
      <c r="M2027" s="262" t="str">
        <f t="shared" si="1"/>
        <v/>
      </c>
      <c r="N2027" s="263" t="str">
        <f t="shared" si="2"/>
        <v/>
      </c>
      <c r="O2027" s="264" t="str">
        <f t="shared" si="3"/>
        <v/>
      </c>
      <c r="P2027" s="265" t="str">
        <f>IFERROR(__xludf.DUMMYFUNCTION("IF(ISBLANK(A2027),"""",IFERROR(IF(H2027=""Sell"",VLOOKUP(9^99,FILTER({ROW(P$2:P2026),P$2:P2026},D$2:D2026=D2027),2),(VLOOKUP(9^99,FILTER({ROW(P$2:P2026),P$2:P2026},D$2:D2026=D2027),2)*VLOOKUP(9^99,FILTER({ROW(O$2:O2026),O$2:O2026},D$2:D2026=D2027),2)-N202"&amp;"7)/O2027),J2027))"),"")</f>
        <v/>
      </c>
      <c r="Q2027" s="264" t="str">
        <f>IFERROR(__xludf.DUMMYFUNCTION("IFERROR(IF(F2027=""Crypto"",B2027,(IF(ISBLANK(D2027),"""",IF(D2027=""Cash"",B2027,IF(GOOGLEFINANCE(D2027,""CURRENCY"")=""GBX"",""GBP"",GOOGLEFINANCE(D2027,""CURRENCY"")))))),B2027)"),"")</f>
        <v/>
      </c>
      <c r="R2027" s="263" t="str">
        <f>IFERROR(__xludf.DUMMYFUNCTION("IF(ISBLANK(A2027),"""",IFERROR(IF(OR(Q2027=""GPB"",Q2027=""ZAR""),IF(Q2027=Dashboard!$L$1,K2027,(K2027*GOOGLEFINANCE(""CURRENCY:""&amp;Q2027&amp;""""&amp;Dashboard!$L$1&amp;""""))/100),IF(Q2027=Dashboard!$L$1,K2027,K2027*GOOGLEFINANCE(""CURRENCY:""&amp;Q2027&amp;""""&amp;Dashboard!$"&amp;"L$1&amp;""""))),K2027))"),"")</f>
        <v/>
      </c>
      <c r="S2027" s="266" t="str">
        <f>IFERROR(__xludf.DUMMYFUNCTION("IF(ISBLANK(A2027),"""",IFERROR(IF(OR(Q2027=""GPB"",Q2027=""ZAR""),IF(Q2027=Dashboard!$L$1,M2027,(M2027*GOOGLEFINANCE(""CURRENCY:""&amp;Q2027&amp;""""&amp;Dashboard!$L$1&amp;""""))/100),IF(Q2027=Dashboard!$L$1,M2027,M2027*GOOGLEFINANCE(""CURRENCY:""&amp;Q2027&amp;""""&amp;Dashboard!$"&amp;"L$1&amp;""""))),M2027))"),"")</f>
        <v/>
      </c>
      <c r="T2027" s="264" t="str">
        <f t="shared" si="4"/>
        <v/>
      </c>
      <c r="U2027" s="264" t="str">
        <f t="shared" si="5"/>
        <v/>
      </c>
      <c r="V2027" s="264" t="str">
        <f t="shared" si="6"/>
        <v/>
      </c>
      <c r="W2027" s="267" t="str">
        <f t="shared" si="8"/>
        <v/>
      </c>
      <c r="X2027" s="264" t="str">
        <f t="shared" si="7"/>
        <v/>
      </c>
    </row>
    <row r="2028" ht="15.75" customHeight="1">
      <c r="A2028" s="258"/>
      <c r="B2028" s="258"/>
      <c r="C2028" s="269"/>
      <c r="D2028" s="258"/>
      <c r="E2028" s="258"/>
      <c r="F2028" s="258"/>
      <c r="G2028" s="258"/>
      <c r="H2028" s="271"/>
      <c r="I2028" s="258"/>
      <c r="J2028" s="272"/>
      <c r="K2028" s="260"/>
      <c r="L2028" s="261"/>
      <c r="M2028" s="262" t="str">
        <f t="shared" si="1"/>
        <v/>
      </c>
      <c r="N2028" s="263" t="str">
        <f t="shared" si="2"/>
        <v/>
      </c>
      <c r="O2028" s="264" t="str">
        <f t="shared" si="3"/>
        <v/>
      </c>
      <c r="P2028" s="265" t="str">
        <f>IFERROR(__xludf.DUMMYFUNCTION("IF(ISBLANK(A2028),"""",IFERROR(IF(H2028=""Sell"",VLOOKUP(9^99,FILTER({ROW(P$2:P2027),P$2:P2027},D$2:D2027=D2028),2),(VLOOKUP(9^99,FILTER({ROW(P$2:P2027),P$2:P2027},D$2:D2027=D2028),2)*VLOOKUP(9^99,FILTER({ROW(O$2:O2027),O$2:O2027},D$2:D2027=D2028),2)-N202"&amp;"8)/O2028),J2028))"),"")</f>
        <v/>
      </c>
      <c r="Q2028" s="264" t="str">
        <f>IFERROR(__xludf.DUMMYFUNCTION("IFERROR(IF(F2028=""Crypto"",B2028,(IF(ISBLANK(D2028),"""",IF(D2028=""Cash"",B2028,IF(GOOGLEFINANCE(D2028,""CURRENCY"")=""GBX"",""GBP"",GOOGLEFINANCE(D2028,""CURRENCY"")))))),B2028)"),"")</f>
        <v/>
      </c>
      <c r="R2028" s="263" t="str">
        <f>IFERROR(__xludf.DUMMYFUNCTION("IF(ISBLANK(A2028),"""",IFERROR(IF(OR(Q2028=""GPB"",Q2028=""ZAR""),IF(Q2028=Dashboard!$L$1,K2028,(K2028*GOOGLEFINANCE(""CURRENCY:""&amp;Q2028&amp;""""&amp;Dashboard!$L$1&amp;""""))/100),IF(Q2028=Dashboard!$L$1,K2028,K2028*GOOGLEFINANCE(""CURRENCY:""&amp;Q2028&amp;""""&amp;Dashboard!$"&amp;"L$1&amp;""""))),K2028))"),"")</f>
        <v/>
      </c>
      <c r="S2028" s="266" t="str">
        <f>IFERROR(__xludf.DUMMYFUNCTION("IF(ISBLANK(A2028),"""",IFERROR(IF(OR(Q2028=""GPB"",Q2028=""ZAR""),IF(Q2028=Dashboard!$L$1,M2028,(M2028*GOOGLEFINANCE(""CURRENCY:""&amp;Q2028&amp;""""&amp;Dashboard!$L$1&amp;""""))/100),IF(Q2028=Dashboard!$L$1,M2028,M2028*GOOGLEFINANCE(""CURRENCY:""&amp;Q2028&amp;""""&amp;Dashboard!$"&amp;"L$1&amp;""""))),M2028))"),"")</f>
        <v/>
      </c>
      <c r="T2028" s="264" t="str">
        <f t="shared" si="4"/>
        <v/>
      </c>
      <c r="U2028" s="264" t="str">
        <f t="shared" si="5"/>
        <v/>
      </c>
      <c r="V2028" s="264" t="str">
        <f t="shared" si="6"/>
        <v/>
      </c>
      <c r="W2028" s="267" t="str">
        <f t="shared" si="8"/>
        <v/>
      </c>
      <c r="X2028" s="264" t="str">
        <f t="shared" si="7"/>
        <v/>
      </c>
    </row>
    <row r="2029" ht="15.75" customHeight="1">
      <c r="A2029" s="258"/>
      <c r="B2029" s="258"/>
      <c r="C2029" s="269"/>
      <c r="D2029" s="258"/>
      <c r="E2029" s="258"/>
      <c r="F2029" s="258"/>
      <c r="G2029" s="258"/>
      <c r="H2029" s="271"/>
      <c r="I2029" s="258"/>
      <c r="J2029" s="272"/>
      <c r="K2029" s="260"/>
      <c r="L2029" s="261"/>
      <c r="M2029" s="262" t="str">
        <f t="shared" si="1"/>
        <v/>
      </c>
      <c r="N2029" s="263" t="str">
        <f t="shared" si="2"/>
        <v/>
      </c>
      <c r="O2029" s="264" t="str">
        <f t="shared" si="3"/>
        <v/>
      </c>
      <c r="P2029" s="265" t="str">
        <f>IFERROR(__xludf.DUMMYFUNCTION("IF(ISBLANK(A2029),"""",IFERROR(IF(H2029=""Sell"",VLOOKUP(9^99,FILTER({ROW(P$2:P2028),P$2:P2028},D$2:D2028=D2029),2),(VLOOKUP(9^99,FILTER({ROW(P$2:P2028),P$2:P2028},D$2:D2028=D2029),2)*VLOOKUP(9^99,FILTER({ROW(O$2:O2028),O$2:O2028},D$2:D2028=D2029),2)-N202"&amp;"9)/O2029),J2029))"),"")</f>
        <v/>
      </c>
      <c r="Q2029" s="264" t="str">
        <f>IFERROR(__xludf.DUMMYFUNCTION("IFERROR(IF(F2029=""Crypto"",B2029,(IF(ISBLANK(D2029),"""",IF(D2029=""Cash"",B2029,IF(GOOGLEFINANCE(D2029,""CURRENCY"")=""GBX"",""GBP"",GOOGLEFINANCE(D2029,""CURRENCY"")))))),B2029)"),"")</f>
        <v/>
      </c>
      <c r="R2029" s="263" t="str">
        <f>IFERROR(__xludf.DUMMYFUNCTION("IF(ISBLANK(A2029),"""",IFERROR(IF(OR(Q2029=""GPB"",Q2029=""ZAR""),IF(Q2029=Dashboard!$L$1,K2029,(K2029*GOOGLEFINANCE(""CURRENCY:""&amp;Q2029&amp;""""&amp;Dashboard!$L$1&amp;""""))/100),IF(Q2029=Dashboard!$L$1,K2029,K2029*GOOGLEFINANCE(""CURRENCY:""&amp;Q2029&amp;""""&amp;Dashboard!$"&amp;"L$1&amp;""""))),K2029))"),"")</f>
        <v/>
      </c>
      <c r="S2029" s="266" t="str">
        <f>IFERROR(__xludf.DUMMYFUNCTION("IF(ISBLANK(A2029),"""",IFERROR(IF(OR(Q2029=""GPB"",Q2029=""ZAR""),IF(Q2029=Dashboard!$L$1,M2029,(M2029*GOOGLEFINANCE(""CURRENCY:""&amp;Q2029&amp;""""&amp;Dashboard!$L$1&amp;""""))/100),IF(Q2029=Dashboard!$L$1,M2029,M2029*GOOGLEFINANCE(""CURRENCY:""&amp;Q2029&amp;""""&amp;Dashboard!$"&amp;"L$1&amp;""""))),M2029))"),"")</f>
        <v/>
      </c>
      <c r="T2029" s="264" t="str">
        <f t="shared" si="4"/>
        <v/>
      </c>
      <c r="U2029" s="264" t="str">
        <f t="shared" si="5"/>
        <v/>
      </c>
      <c r="V2029" s="264" t="str">
        <f t="shared" si="6"/>
        <v/>
      </c>
      <c r="W2029" s="267" t="str">
        <f t="shared" si="8"/>
        <v/>
      </c>
      <c r="X2029" s="264" t="str">
        <f t="shared" si="7"/>
        <v/>
      </c>
    </row>
    <row r="2030" ht="15.75" customHeight="1">
      <c r="A2030" s="258"/>
      <c r="B2030" s="258"/>
      <c r="C2030" s="269"/>
      <c r="D2030" s="258"/>
      <c r="E2030" s="258"/>
      <c r="F2030" s="258"/>
      <c r="G2030" s="258"/>
      <c r="H2030" s="271"/>
      <c r="I2030" s="258"/>
      <c r="J2030" s="272"/>
      <c r="K2030" s="260"/>
      <c r="L2030" s="261"/>
      <c r="M2030" s="262" t="str">
        <f t="shared" si="1"/>
        <v/>
      </c>
      <c r="N2030" s="263" t="str">
        <f t="shared" si="2"/>
        <v/>
      </c>
      <c r="O2030" s="264" t="str">
        <f t="shared" si="3"/>
        <v/>
      </c>
      <c r="P2030" s="265" t="str">
        <f>IFERROR(__xludf.DUMMYFUNCTION("IF(ISBLANK(A2030),"""",IFERROR(IF(H2030=""Sell"",VLOOKUP(9^99,FILTER({ROW(P$2:P2029),P$2:P2029},D$2:D2029=D2030),2),(VLOOKUP(9^99,FILTER({ROW(P$2:P2029),P$2:P2029},D$2:D2029=D2030),2)*VLOOKUP(9^99,FILTER({ROW(O$2:O2029),O$2:O2029},D$2:D2029=D2030),2)-N203"&amp;"0)/O2030),J2030))"),"")</f>
        <v/>
      </c>
      <c r="Q2030" s="264" t="str">
        <f>IFERROR(__xludf.DUMMYFUNCTION("IFERROR(IF(F2030=""Crypto"",B2030,(IF(ISBLANK(D2030),"""",IF(D2030=""Cash"",B2030,IF(GOOGLEFINANCE(D2030,""CURRENCY"")=""GBX"",""GBP"",GOOGLEFINANCE(D2030,""CURRENCY"")))))),B2030)"),"")</f>
        <v/>
      </c>
      <c r="R2030" s="263" t="str">
        <f>IFERROR(__xludf.DUMMYFUNCTION("IF(ISBLANK(A2030),"""",IFERROR(IF(OR(Q2030=""GPB"",Q2030=""ZAR""),IF(Q2030=Dashboard!$L$1,K2030,(K2030*GOOGLEFINANCE(""CURRENCY:""&amp;Q2030&amp;""""&amp;Dashboard!$L$1&amp;""""))/100),IF(Q2030=Dashboard!$L$1,K2030,K2030*GOOGLEFINANCE(""CURRENCY:""&amp;Q2030&amp;""""&amp;Dashboard!$"&amp;"L$1&amp;""""))),K2030))"),"")</f>
        <v/>
      </c>
      <c r="S2030" s="266" t="str">
        <f>IFERROR(__xludf.DUMMYFUNCTION("IF(ISBLANK(A2030),"""",IFERROR(IF(OR(Q2030=""GPB"",Q2030=""ZAR""),IF(Q2030=Dashboard!$L$1,M2030,(M2030*GOOGLEFINANCE(""CURRENCY:""&amp;Q2030&amp;""""&amp;Dashboard!$L$1&amp;""""))/100),IF(Q2030=Dashboard!$L$1,M2030,M2030*GOOGLEFINANCE(""CURRENCY:""&amp;Q2030&amp;""""&amp;Dashboard!$"&amp;"L$1&amp;""""))),M2030))"),"")</f>
        <v/>
      </c>
      <c r="T2030" s="264" t="str">
        <f t="shared" si="4"/>
        <v/>
      </c>
      <c r="U2030" s="264" t="str">
        <f t="shared" si="5"/>
        <v/>
      </c>
      <c r="V2030" s="264" t="str">
        <f t="shared" si="6"/>
        <v/>
      </c>
      <c r="W2030" s="267" t="str">
        <f t="shared" si="8"/>
        <v/>
      </c>
      <c r="X2030" s="264" t="str">
        <f t="shared" si="7"/>
        <v/>
      </c>
    </row>
    <row r="2031" ht="15.75" customHeight="1">
      <c r="A2031" s="258"/>
      <c r="B2031" s="258"/>
      <c r="C2031" s="269"/>
      <c r="D2031" s="258"/>
      <c r="E2031" s="258"/>
      <c r="F2031" s="258"/>
      <c r="G2031" s="258"/>
      <c r="H2031" s="271"/>
      <c r="I2031" s="258"/>
      <c r="J2031" s="272"/>
      <c r="K2031" s="260"/>
      <c r="L2031" s="261"/>
      <c r="M2031" s="262" t="str">
        <f t="shared" si="1"/>
        <v/>
      </c>
      <c r="N2031" s="263" t="str">
        <f t="shared" si="2"/>
        <v/>
      </c>
      <c r="O2031" s="264" t="str">
        <f t="shared" si="3"/>
        <v/>
      </c>
      <c r="P2031" s="265" t="str">
        <f>IFERROR(__xludf.DUMMYFUNCTION("IF(ISBLANK(A2031),"""",IFERROR(IF(H2031=""Sell"",VLOOKUP(9^99,FILTER({ROW(P$2:P2030),P$2:P2030},D$2:D2030=D2031),2),(VLOOKUP(9^99,FILTER({ROW(P$2:P2030),P$2:P2030},D$2:D2030=D2031),2)*VLOOKUP(9^99,FILTER({ROW(O$2:O2030),O$2:O2030},D$2:D2030=D2031),2)-N203"&amp;"1)/O2031),J2031))"),"")</f>
        <v/>
      </c>
      <c r="Q2031" s="264" t="str">
        <f>IFERROR(__xludf.DUMMYFUNCTION("IFERROR(IF(F2031=""Crypto"",B2031,(IF(ISBLANK(D2031),"""",IF(D2031=""Cash"",B2031,IF(GOOGLEFINANCE(D2031,""CURRENCY"")=""GBX"",""GBP"",GOOGLEFINANCE(D2031,""CURRENCY"")))))),B2031)"),"")</f>
        <v/>
      </c>
      <c r="R2031" s="263" t="str">
        <f>IFERROR(__xludf.DUMMYFUNCTION("IF(ISBLANK(A2031),"""",IFERROR(IF(OR(Q2031=""GPB"",Q2031=""ZAR""),IF(Q2031=Dashboard!$L$1,K2031,(K2031*GOOGLEFINANCE(""CURRENCY:""&amp;Q2031&amp;""""&amp;Dashboard!$L$1&amp;""""))/100),IF(Q2031=Dashboard!$L$1,K2031,K2031*GOOGLEFINANCE(""CURRENCY:""&amp;Q2031&amp;""""&amp;Dashboard!$"&amp;"L$1&amp;""""))),K2031))"),"")</f>
        <v/>
      </c>
      <c r="S2031" s="266" t="str">
        <f>IFERROR(__xludf.DUMMYFUNCTION("IF(ISBLANK(A2031),"""",IFERROR(IF(OR(Q2031=""GPB"",Q2031=""ZAR""),IF(Q2031=Dashboard!$L$1,M2031,(M2031*GOOGLEFINANCE(""CURRENCY:""&amp;Q2031&amp;""""&amp;Dashboard!$L$1&amp;""""))/100),IF(Q2031=Dashboard!$L$1,M2031,M2031*GOOGLEFINANCE(""CURRENCY:""&amp;Q2031&amp;""""&amp;Dashboard!$"&amp;"L$1&amp;""""))),M2031))"),"")</f>
        <v/>
      </c>
      <c r="T2031" s="264" t="str">
        <f t="shared" si="4"/>
        <v/>
      </c>
      <c r="U2031" s="264" t="str">
        <f t="shared" si="5"/>
        <v/>
      </c>
      <c r="V2031" s="264" t="str">
        <f t="shared" si="6"/>
        <v/>
      </c>
      <c r="W2031" s="267" t="str">
        <f t="shared" si="8"/>
        <v/>
      </c>
      <c r="X2031" s="264" t="str">
        <f t="shared" si="7"/>
        <v/>
      </c>
    </row>
    <row r="2032" ht="15.75" customHeight="1">
      <c r="A2032" s="258"/>
      <c r="B2032" s="258"/>
      <c r="C2032" s="269"/>
      <c r="D2032" s="258"/>
      <c r="E2032" s="258"/>
      <c r="F2032" s="258"/>
      <c r="G2032" s="258"/>
      <c r="H2032" s="271"/>
      <c r="I2032" s="258"/>
      <c r="J2032" s="272"/>
      <c r="K2032" s="260"/>
      <c r="L2032" s="261"/>
      <c r="M2032" s="262" t="str">
        <f t="shared" si="1"/>
        <v/>
      </c>
      <c r="N2032" s="263" t="str">
        <f t="shared" si="2"/>
        <v/>
      </c>
      <c r="O2032" s="264" t="str">
        <f t="shared" si="3"/>
        <v/>
      </c>
      <c r="P2032" s="265" t="str">
        <f>IFERROR(__xludf.DUMMYFUNCTION("IF(ISBLANK(A2032),"""",IFERROR(IF(H2032=""Sell"",VLOOKUP(9^99,FILTER({ROW(P$2:P2031),P$2:P2031},D$2:D2031=D2032),2),(VLOOKUP(9^99,FILTER({ROW(P$2:P2031),P$2:P2031},D$2:D2031=D2032),2)*VLOOKUP(9^99,FILTER({ROW(O$2:O2031),O$2:O2031},D$2:D2031=D2032),2)-N203"&amp;"2)/O2032),J2032))"),"")</f>
        <v/>
      </c>
      <c r="Q2032" s="264" t="str">
        <f>IFERROR(__xludf.DUMMYFUNCTION("IFERROR(IF(F2032=""Crypto"",B2032,(IF(ISBLANK(D2032),"""",IF(D2032=""Cash"",B2032,IF(GOOGLEFINANCE(D2032,""CURRENCY"")=""GBX"",""GBP"",GOOGLEFINANCE(D2032,""CURRENCY"")))))),B2032)"),"")</f>
        <v/>
      </c>
      <c r="R2032" s="263" t="str">
        <f>IFERROR(__xludf.DUMMYFUNCTION("IF(ISBLANK(A2032),"""",IFERROR(IF(OR(Q2032=""GPB"",Q2032=""ZAR""),IF(Q2032=Dashboard!$L$1,K2032,(K2032*GOOGLEFINANCE(""CURRENCY:""&amp;Q2032&amp;""""&amp;Dashboard!$L$1&amp;""""))/100),IF(Q2032=Dashboard!$L$1,K2032,K2032*GOOGLEFINANCE(""CURRENCY:""&amp;Q2032&amp;""""&amp;Dashboard!$"&amp;"L$1&amp;""""))),K2032))"),"")</f>
        <v/>
      </c>
      <c r="S2032" s="266" t="str">
        <f>IFERROR(__xludf.DUMMYFUNCTION("IF(ISBLANK(A2032),"""",IFERROR(IF(OR(Q2032=""GPB"",Q2032=""ZAR""),IF(Q2032=Dashboard!$L$1,M2032,(M2032*GOOGLEFINANCE(""CURRENCY:""&amp;Q2032&amp;""""&amp;Dashboard!$L$1&amp;""""))/100),IF(Q2032=Dashboard!$L$1,M2032,M2032*GOOGLEFINANCE(""CURRENCY:""&amp;Q2032&amp;""""&amp;Dashboard!$"&amp;"L$1&amp;""""))),M2032))"),"")</f>
        <v/>
      </c>
      <c r="T2032" s="264" t="str">
        <f t="shared" si="4"/>
        <v/>
      </c>
      <c r="U2032" s="264" t="str">
        <f t="shared" si="5"/>
        <v/>
      </c>
      <c r="V2032" s="264" t="str">
        <f t="shared" si="6"/>
        <v/>
      </c>
      <c r="W2032" s="267" t="str">
        <f t="shared" si="8"/>
        <v/>
      </c>
      <c r="X2032" s="264" t="str">
        <f t="shared" si="7"/>
        <v/>
      </c>
    </row>
    <row r="2033" ht="15.75" customHeight="1">
      <c r="A2033" s="258"/>
      <c r="B2033" s="258"/>
      <c r="C2033" s="269"/>
      <c r="D2033" s="258"/>
      <c r="E2033" s="258"/>
      <c r="F2033" s="258"/>
      <c r="G2033" s="258"/>
      <c r="H2033" s="271"/>
      <c r="I2033" s="258"/>
      <c r="J2033" s="272"/>
      <c r="K2033" s="260"/>
      <c r="L2033" s="261"/>
      <c r="M2033" s="262" t="str">
        <f t="shared" si="1"/>
        <v/>
      </c>
      <c r="N2033" s="263" t="str">
        <f t="shared" si="2"/>
        <v/>
      </c>
      <c r="O2033" s="264" t="str">
        <f t="shared" si="3"/>
        <v/>
      </c>
      <c r="P2033" s="265" t="str">
        <f>IFERROR(__xludf.DUMMYFUNCTION("IF(ISBLANK(A2033),"""",IFERROR(IF(H2033=""Sell"",VLOOKUP(9^99,FILTER({ROW(P$2:P2032),P$2:P2032},D$2:D2032=D2033),2),(VLOOKUP(9^99,FILTER({ROW(P$2:P2032),P$2:P2032},D$2:D2032=D2033),2)*VLOOKUP(9^99,FILTER({ROW(O$2:O2032),O$2:O2032},D$2:D2032=D2033),2)-N203"&amp;"3)/O2033),J2033))"),"")</f>
        <v/>
      </c>
      <c r="Q2033" s="264" t="str">
        <f>IFERROR(__xludf.DUMMYFUNCTION("IFERROR(IF(F2033=""Crypto"",B2033,(IF(ISBLANK(D2033),"""",IF(D2033=""Cash"",B2033,IF(GOOGLEFINANCE(D2033,""CURRENCY"")=""GBX"",""GBP"",GOOGLEFINANCE(D2033,""CURRENCY"")))))),B2033)"),"")</f>
        <v/>
      </c>
      <c r="R2033" s="263" t="str">
        <f>IFERROR(__xludf.DUMMYFUNCTION("IF(ISBLANK(A2033),"""",IFERROR(IF(OR(Q2033=""GPB"",Q2033=""ZAR""),IF(Q2033=Dashboard!$L$1,K2033,(K2033*GOOGLEFINANCE(""CURRENCY:""&amp;Q2033&amp;""""&amp;Dashboard!$L$1&amp;""""))/100),IF(Q2033=Dashboard!$L$1,K2033,K2033*GOOGLEFINANCE(""CURRENCY:""&amp;Q2033&amp;""""&amp;Dashboard!$"&amp;"L$1&amp;""""))),K2033))"),"")</f>
        <v/>
      </c>
      <c r="S2033" s="266" t="str">
        <f>IFERROR(__xludf.DUMMYFUNCTION("IF(ISBLANK(A2033),"""",IFERROR(IF(OR(Q2033=""GPB"",Q2033=""ZAR""),IF(Q2033=Dashboard!$L$1,M2033,(M2033*GOOGLEFINANCE(""CURRENCY:""&amp;Q2033&amp;""""&amp;Dashboard!$L$1&amp;""""))/100),IF(Q2033=Dashboard!$L$1,M2033,M2033*GOOGLEFINANCE(""CURRENCY:""&amp;Q2033&amp;""""&amp;Dashboard!$"&amp;"L$1&amp;""""))),M2033))"),"")</f>
        <v/>
      </c>
      <c r="T2033" s="264" t="str">
        <f t="shared" si="4"/>
        <v/>
      </c>
      <c r="U2033" s="264" t="str">
        <f t="shared" si="5"/>
        <v/>
      </c>
      <c r="V2033" s="264" t="str">
        <f t="shared" si="6"/>
        <v/>
      </c>
      <c r="W2033" s="267" t="str">
        <f t="shared" si="8"/>
        <v/>
      </c>
      <c r="X2033" s="264" t="str">
        <f t="shared" si="7"/>
        <v/>
      </c>
    </row>
    <row r="2034" ht="15.75" customHeight="1">
      <c r="A2034" s="258"/>
      <c r="B2034" s="258"/>
      <c r="C2034" s="269"/>
      <c r="D2034" s="258"/>
      <c r="E2034" s="258"/>
      <c r="F2034" s="258"/>
      <c r="G2034" s="258"/>
      <c r="H2034" s="271"/>
      <c r="I2034" s="258"/>
      <c r="J2034" s="272"/>
      <c r="K2034" s="260"/>
      <c r="L2034" s="261"/>
      <c r="M2034" s="262" t="str">
        <f t="shared" si="1"/>
        <v/>
      </c>
      <c r="N2034" s="263" t="str">
        <f t="shared" si="2"/>
        <v/>
      </c>
      <c r="O2034" s="264" t="str">
        <f t="shared" si="3"/>
        <v/>
      </c>
      <c r="P2034" s="265" t="str">
        <f>IFERROR(__xludf.DUMMYFUNCTION("IF(ISBLANK(A2034),"""",IFERROR(IF(H2034=""Sell"",VLOOKUP(9^99,FILTER({ROW(P$2:P2033),P$2:P2033},D$2:D2033=D2034),2),(VLOOKUP(9^99,FILTER({ROW(P$2:P2033),P$2:P2033},D$2:D2033=D2034),2)*VLOOKUP(9^99,FILTER({ROW(O$2:O2033),O$2:O2033},D$2:D2033=D2034),2)-N203"&amp;"4)/O2034),J2034))"),"")</f>
        <v/>
      </c>
      <c r="Q2034" s="264" t="str">
        <f>IFERROR(__xludf.DUMMYFUNCTION("IFERROR(IF(F2034=""Crypto"",B2034,(IF(ISBLANK(D2034),"""",IF(D2034=""Cash"",B2034,IF(GOOGLEFINANCE(D2034,""CURRENCY"")=""GBX"",""GBP"",GOOGLEFINANCE(D2034,""CURRENCY"")))))),B2034)"),"")</f>
        <v/>
      </c>
      <c r="R2034" s="263" t="str">
        <f>IFERROR(__xludf.DUMMYFUNCTION("IF(ISBLANK(A2034),"""",IFERROR(IF(OR(Q2034=""GPB"",Q2034=""ZAR""),IF(Q2034=Dashboard!$L$1,K2034,(K2034*GOOGLEFINANCE(""CURRENCY:""&amp;Q2034&amp;""""&amp;Dashboard!$L$1&amp;""""))/100),IF(Q2034=Dashboard!$L$1,K2034,K2034*GOOGLEFINANCE(""CURRENCY:""&amp;Q2034&amp;""""&amp;Dashboard!$"&amp;"L$1&amp;""""))),K2034))"),"")</f>
        <v/>
      </c>
      <c r="S2034" s="266" t="str">
        <f>IFERROR(__xludf.DUMMYFUNCTION("IF(ISBLANK(A2034),"""",IFERROR(IF(OR(Q2034=""GPB"",Q2034=""ZAR""),IF(Q2034=Dashboard!$L$1,M2034,(M2034*GOOGLEFINANCE(""CURRENCY:""&amp;Q2034&amp;""""&amp;Dashboard!$L$1&amp;""""))/100),IF(Q2034=Dashboard!$L$1,M2034,M2034*GOOGLEFINANCE(""CURRENCY:""&amp;Q2034&amp;""""&amp;Dashboard!$"&amp;"L$1&amp;""""))),M2034))"),"")</f>
        <v/>
      </c>
      <c r="T2034" s="264" t="str">
        <f t="shared" si="4"/>
        <v/>
      </c>
      <c r="U2034" s="264" t="str">
        <f t="shared" si="5"/>
        <v/>
      </c>
      <c r="V2034" s="264" t="str">
        <f t="shared" si="6"/>
        <v/>
      </c>
      <c r="W2034" s="267" t="str">
        <f t="shared" si="8"/>
        <v/>
      </c>
      <c r="X2034" s="264" t="str">
        <f t="shared" si="7"/>
        <v/>
      </c>
    </row>
    <row r="2035" ht="15.75" customHeight="1">
      <c r="A2035" s="258"/>
      <c r="B2035" s="258"/>
      <c r="C2035" s="269"/>
      <c r="D2035" s="258"/>
      <c r="E2035" s="258"/>
      <c r="F2035" s="258"/>
      <c r="G2035" s="258"/>
      <c r="H2035" s="271"/>
      <c r="I2035" s="258"/>
      <c r="J2035" s="272"/>
      <c r="K2035" s="260"/>
      <c r="L2035" s="261"/>
      <c r="M2035" s="262" t="str">
        <f t="shared" si="1"/>
        <v/>
      </c>
      <c r="N2035" s="263" t="str">
        <f t="shared" si="2"/>
        <v/>
      </c>
      <c r="O2035" s="264" t="str">
        <f t="shared" si="3"/>
        <v/>
      </c>
      <c r="P2035" s="265" t="str">
        <f>IFERROR(__xludf.DUMMYFUNCTION("IF(ISBLANK(A2035),"""",IFERROR(IF(H2035=""Sell"",VLOOKUP(9^99,FILTER({ROW(P$2:P2034),P$2:P2034},D$2:D2034=D2035),2),(VLOOKUP(9^99,FILTER({ROW(P$2:P2034),P$2:P2034},D$2:D2034=D2035),2)*VLOOKUP(9^99,FILTER({ROW(O$2:O2034),O$2:O2034},D$2:D2034=D2035),2)-N203"&amp;"5)/O2035),J2035))"),"")</f>
        <v/>
      </c>
      <c r="Q2035" s="264" t="str">
        <f>IFERROR(__xludf.DUMMYFUNCTION("IFERROR(IF(F2035=""Crypto"",B2035,(IF(ISBLANK(D2035),"""",IF(D2035=""Cash"",B2035,IF(GOOGLEFINANCE(D2035,""CURRENCY"")=""GBX"",""GBP"",GOOGLEFINANCE(D2035,""CURRENCY"")))))),B2035)"),"")</f>
        <v/>
      </c>
      <c r="R2035" s="263" t="str">
        <f>IFERROR(__xludf.DUMMYFUNCTION("IF(ISBLANK(A2035),"""",IFERROR(IF(OR(Q2035=""GPB"",Q2035=""ZAR""),IF(Q2035=Dashboard!$L$1,K2035,(K2035*GOOGLEFINANCE(""CURRENCY:""&amp;Q2035&amp;""""&amp;Dashboard!$L$1&amp;""""))/100),IF(Q2035=Dashboard!$L$1,K2035,K2035*GOOGLEFINANCE(""CURRENCY:""&amp;Q2035&amp;""""&amp;Dashboard!$"&amp;"L$1&amp;""""))),K2035))"),"")</f>
        <v/>
      </c>
      <c r="S2035" s="266" t="str">
        <f>IFERROR(__xludf.DUMMYFUNCTION("IF(ISBLANK(A2035),"""",IFERROR(IF(OR(Q2035=""GPB"",Q2035=""ZAR""),IF(Q2035=Dashboard!$L$1,M2035,(M2035*GOOGLEFINANCE(""CURRENCY:""&amp;Q2035&amp;""""&amp;Dashboard!$L$1&amp;""""))/100),IF(Q2035=Dashboard!$L$1,M2035,M2035*GOOGLEFINANCE(""CURRENCY:""&amp;Q2035&amp;""""&amp;Dashboard!$"&amp;"L$1&amp;""""))),M2035))"),"")</f>
        <v/>
      </c>
      <c r="T2035" s="264" t="str">
        <f t="shared" si="4"/>
        <v/>
      </c>
      <c r="U2035" s="264" t="str">
        <f t="shared" si="5"/>
        <v/>
      </c>
      <c r="V2035" s="264" t="str">
        <f t="shared" si="6"/>
        <v/>
      </c>
      <c r="W2035" s="267" t="str">
        <f t="shared" si="8"/>
        <v/>
      </c>
      <c r="X2035" s="264" t="str">
        <f t="shared" si="7"/>
        <v/>
      </c>
    </row>
    <row r="2036" ht="15.75" customHeight="1">
      <c r="A2036" s="258"/>
      <c r="B2036" s="258"/>
      <c r="C2036" s="269"/>
      <c r="D2036" s="258"/>
      <c r="E2036" s="258"/>
      <c r="F2036" s="258"/>
      <c r="G2036" s="258"/>
      <c r="H2036" s="271"/>
      <c r="I2036" s="258"/>
      <c r="J2036" s="272"/>
      <c r="K2036" s="260"/>
      <c r="L2036" s="261"/>
      <c r="M2036" s="262" t="str">
        <f t="shared" si="1"/>
        <v/>
      </c>
      <c r="N2036" s="263" t="str">
        <f t="shared" si="2"/>
        <v/>
      </c>
      <c r="O2036" s="264" t="str">
        <f t="shared" si="3"/>
        <v/>
      </c>
      <c r="P2036" s="265" t="str">
        <f>IFERROR(__xludf.DUMMYFUNCTION("IF(ISBLANK(A2036),"""",IFERROR(IF(H2036=""Sell"",VLOOKUP(9^99,FILTER({ROW(P$2:P2035),P$2:P2035},D$2:D2035=D2036),2),(VLOOKUP(9^99,FILTER({ROW(P$2:P2035),P$2:P2035},D$2:D2035=D2036),2)*VLOOKUP(9^99,FILTER({ROW(O$2:O2035),O$2:O2035},D$2:D2035=D2036),2)-N203"&amp;"6)/O2036),J2036))"),"")</f>
        <v/>
      </c>
      <c r="Q2036" s="264" t="str">
        <f>IFERROR(__xludf.DUMMYFUNCTION("IFERROR(IF(F2036=""Crypto"",B2036,(IF(ISBLANK(D2036),"""",IF(D2036=""Cash"",B2036,IF(GOOGLEFINANCE(D2036,""CURRENCY"")=""GBX"",""GBP"",GOOGLEFINANCE(D2036,""CURRENCY"")))))),B2036)"),"")</f>
        <v/>
      </c>
      <c r="R2036" s="263" t="str">
        <f>IFERROR(__xludf.DUMMYFUNCTION("IF(ISBLANK(A2036),"""",IFERROR(IF(OR(Q2036=""GPB"",Q2036=""ZAR""),IF(Q2036=Dashboard!$L$1,K2036,(K2036*GOOGLEFINANCE(""CURRENCY:""&amp;Q2036&amp;""""&amp;Dashboard!$L$1&amp;""""))/100),IF(Q2036=Dashboard!$L$1,K2036,K2036*GOOGLEFINANCE(""CURRENCY:""&amp;Q2036&amp;""""&amp;Dashboard!$"&amp;"L$1&amp;""""))),K2036))"),"")</f>
        <v/>
      </c>
      <c r="S2036" s="266" t="str">
        <f>IFERROR(__xludf.DUMMYFUNCTION("IF(ISBLANK(A2036),"""",IFERROR(IF(OR(Q2036=""GPB"",Q2036=""ZAR""),IF(Q2036=Dashboard!$L$1,M2036,(M2036*GOOGLEFINANCE(""CURRENCY:""&amp;Q2036&amp;""""&amp;Dashboard!$L$1&amp;""""))/100),IF(Q2036=Dashboard!$L$1,M2036,M2036*GOOGLEFINANCE(""CURRENCY:""&amp;Q2036&amp;""""&amp;Dashboard!$"&amp;"L$1&amp;""""))),M2036))"),"")</f>
        <v/>
      </c>
      <c r="T2036" s="264" t="str">
        <f t="shared" si="4"/>
        <v/>
      </c>
      <c r="U2036" s="264" t="str">
        <f t="shared" si="5"/>
        <v/>
      </c>
      <c r="V2036" s="264" t="str">
        <f t="shared" si="6"/>
        <v/>
      </c>
      <c r="W2036" s="267" t="str">
        <f t="shared" si="8"/>
        <v/>
      </c>
      <c r="X2036" s="264" t="str">
        <f t="shared" si="7"/>
        <v/>
      </c>
    </row>
    <row r="2037" ht="15.75" customHeight="1">
      <c r="A2037" s="258"/>
      <c r="B2037" s="258"/>
      <c r="C2037" s="269"/>
      <c r="D2037" s="258"/>
      <c r="E2037" s="258"/>
      <c r="F2037" s="258"/>
      <c r="G2037" s="258"/>
      <c r="H2037" s="271"/>
      <c r="I2037" s="258"/>
      <c r="J2037" s="272"/>
      <c r="K2037" s="260"/>
      <c r="L2037" s="261"/>
      <c r="M2037" s="262" t="str">
        <f t="shared" si="1"/>
        <v/>
      </c>
      <c r="N2037" s="263" t="str">
        <f t="shared" si="2"/>
        <v/>
      </c>
      <c r="O2037" s="264" t="str">
        <f t="shared" si="3"/>
        <v/>
      </c>
      <c r="P2037" s="265" t="str">
        <f>IFERROR(__xludf.DUMMYFUNCTION("IF(ISBLANK(A2037),"""",IFERROR(IF(H2037=""Sell"",VLOOKUP(9^99,FILTER({ROW(P$2:P2036),P$2:P2036},D$2:D2036=D2037),2),(VLOOKUP(9^99,FILTER({ROW(P$2:P2036),P$2:P2036},D$2:D2036=D2037),2)*VLOOKUP(9^99,FILTER({ROW(O$2:O2036),O$2:O2036},D$2:D2036=D2037),2)-N203"&amp;"7)/O2037),J2037))"),"")</f>
        <v/>
      </c>
      <c r="Q2037" s="264" t="str">
        <f>IFERROR(__xludf.DUMMYFUNCTION("IFERROR(IF(F2037=""Crypto"",B2037,(IF(ISBLANK(D2037),"""",IF(D2037=""Cash"",B2037,IF(GOOGLEFINANCE(D2037,""CURRENCY"")=""GBX"",""GBP"",GOOGLEFINANCE(D2037,""CURRENCY"")))))),B2037)"),"")</f>
        <v/>
      </c>
      <c r="R2037" s="263" t="str">
        <f>IFERROR(__xludf.DUMMYFUNCTION("IF(ISBLANK(A2037),"""",IFERROR(IF(OR(Q2037=""GPB"",Q2037=""ZAR""),IF(Q2037=Dashboard!$L$1,K2037,(K2037*GOOGLEFINANCE(""CURRENCY:""&amp;Q2037&amp;""""&amp;Dashboard!$L$1&amp;""""))/100),IF(Q2037=Dashboard!$L$1,K2037,K2037*GOOGLEFINANCE(""CURRENCY:""&amp;Q2037&amp;""""&amp;Dashboard!$"&amp;"L$1&amp;""""))),K2037))"),"")</f>
        <v/>
      </c>
      <c r="S2037" s="266" t="str">
        <f>IFERROR(__xludf.DUMMYFUNCTION("IF(ISBLANK(A2037),"""",IFERROR(IF(OR(Q2037=""GPB"",Q2037=""ZAR""),IF(Q2037=Dashboard!$L$1,M2037,(M2037*GOOGLEFINANCE(""CURRENCY:""&amp;Q2037&amp;""""&amp;Dashboard!$L$1&amp;""""))/100),IF(Q2037=Dashboard!$L$1,M2037,M2037*GOOGLEFINANCE(""CURRENCY:""&amp;Q2037&amp;""""&amp;Dashboard!$"&amp;"L$1&amp;""""))),M2037))"),"")</f>
        <v/>
      </c>
      <c r="T2037" s="264" t="str">
        <f t="shared" si="4"/>
        <v/>
      </c>
      <c r="U2037" s="264" t="str">
        <f t="shared" si="5"/>
        <v/>
      </c>
      <c r="V2037" s="264" t="str">
        <f t="shared" si="6"/>
        <v/>
      </c>
      <c r="W2037" s="267" t="str">
        <f t="shared" si="8"/>
        <v/>
      </c>
      <c r="X2037" s="264" t="str">
        <f t="shared" si="7"/>
        <v/>
      </c>
    </row>
    <row r="2038" ht="15.75" customHeight="1">
      <c r="A2038" s="258"/>
      <c r="B2038" s="258"/>
      <c r="C2038" s="269"/>
      <c r="D2038" s="258"/>
      <c r="E2038" s="258"/>
      <c r="F2038" s="258"/>
      <c r="G2038" s="258"/>
      <c r="H2038" s="271"/>
      <c r="I2038" s="258"/>
      <c r="J2038" s="272"/>
      <c r="K2038" s="260"/>
      <c r="L2038" s="261"/>
      <c r="M2038" s="262" t="str">
        <f t="shared" si="1"/>
        <v/>
      </c>
      <c r="N2038" s="263" t="str">
        <f t="shared" si="2"/>
        <v/>
      </c>
      <c r="O2038" s="264" t="str">
        <f t="shared" si="3"/>
        <v/>
      </c>
      <c r="P2038" s="265" t="str">
        <f>IFERROR(__xludf.DUMMYFUNCTION("IF(ISBLANK(A2038),"""",IFERROR(IF(H2038=""Sell"",VLOOKUP(9^99,FILTER({ROW(P$2:P2037),P$2:P2037},D$2:D2037=D2038),2),(VLOOKUP(9^99,FILTER({ROW(P$2:P2037),P$2:P2037},D$2:D2037=D2038),2)*VLOOKUP(9^99,FILTER({ROW(O$2:O2037),O$2:O2037},D$2:D2037=D2038),2)-N203"&amp;"8)/O2038),J2038))"),"")</f>
        <v/>
      </c>
      <c r="Q2038" s="264" t="str">
        <f>IFERROR(__xludf.DUMMYFUNCTION("IFERROR(IF(F2038=""Crypto"",B2038,(IF(ISBLANK(D2038),"""",IF(D2038=""Cash"",B2038,IF(GOOGLEFINANCE(D2038,""CURRENCY"")=""GBX"",""GBP"",GOOGLEFINANCE(D2038,""CURRENCY"")))))),B2038)"),"")</f>
        <v/>
      </c>
      <c r="R2038" s="263" t="str">
        <f>IFERROR(__xludf.DUMMYFUNCTION("IF(ISBLANK(A2038),"""",IFERROR(IF(OR(Q2038=""GPB"",Q2038=""ZAR""),IF(Q2038=Dashboard!$L$1,K2038,(K2038*GOOGLEFINANCE(""CURRENCY:""&amp;Q2038&amp;""""&amp;Dashboard!$L$1&amp;""""))/100),IF(Q2038=Dashboard!$L$1,K2038,K2038*GOOGLEFINANCE(""CURRENCY:""&amp;Q2038&amp;""""&amp;Dashboard!$"&amp;"L$1&amp;""""))),K2038))"),"")</f>
        <v/>
      </c>
      <c r="S2038" s="266" t="str">
        <f>IFERROR(__xludf.DUMMYFUNCTION("IF(ISBLANK(A2038),"""",IFERROR(IF(OR(Q2038=""GPB"",Q2038=""ZAR""),IF(Q2038=Dashboard!$L$1,M2038,(M2038*GOOGLEFINANCE(""CURRENCY:""&amp;Q2038&amp;""""&amp;Dashboard!$L$1&amp;""""))/100),IF(Q2038=Dashboard!$L$1,M2038,M2038*GOOGLEFINANCE(""CURRENCY:""&amp;Q2038&amp;""""&amp;Dashboard!$"&amp;"L$1&amp;""""))),M2038))"),"")</f>
        <v/>
      </c>
      <c r="T2038" s="264" t="str">
        <f t="shared" si="4"/>
        <v/>
      </c>
      <c r="U2038" s="264" t="str">
        <f t="shared" si="5"/>
        <v/>
      </c>
      <c r="V2038" s="264" t="str">
        <f t="shared" si="6"/>
        <v/>
      </c>
      <c r="W2038" s="267" t="str">
        <f t="shared" si="8"/>
        <v/>
      </c>
      <c r="X2038" s="264" t="str">
        <f t="shared" si="7"/>
        <v/>
      </c>
    </row>
    <row r="2039" ht="15.75" customHeight="1">
      <c r="A2039" s="258"/>
      <c r="B2039" s="258"/>
      <c r="C2039" s="269"/>
      <c r="D2039" s="258"/>
      <c r="E2039" s="258"/>
      <c r="F2039" s="258"/>
      <c r="G2039" s="258"/>
      <c r="H2039" s="271"/>
      <c r="I2039" s="258"/>
      <c r="J2039" s="272"/>
      <c r="K2039" s="260"/>
      <c r="L2039" s="261"/>
      <c r="M2039" s="262" t="str">
        <f t="shared" si="1"/>
        <v/>
      </c>
      <c r="N2039" s="263" t="str">
        <f t="shared" si="2"/>
        <v/>
      </c>
      <c r="O2039" s="264" t="str">
        <f t="shared" si="3"/>
        <v/>
      </c>
      <c r="P2039" s="265" t="str">
        <f>IFERROR(__xludf.DUMMYFUNCTION("IF(ISBLANK(A2039),"""",IFERROR(IF(H2039=""Sell"",VLOOKUP(9^99,FILTER({ROW(P$2:P2038),P$2:P2038},D$2:D2038=D2039),2),(VLOOKUP(9^99,FILTER({ROW(P$2:P2038),P$2:P2038},D$2:D2038=D2039),2)*VLOOKUP(9^99,FILTER({ROW(O$2:O2038),O$2:O2038},D$2:D2038=D2039),2)-N203"&amp;"9)/O2039),J2039))"),"")</f>
        <v/>
      </c>
      <c r="Q2039" s="264" t="str">
        <f>IFERROR(__xludf.DUMMYFUNCTION("IFERROR(IF(F2039=""Crypto"",B2039,(IF(ISBLANK(D2039),"""",IF(D2039=""Cash"",B2039,IF(GOOGLEFINANCE(D2039,""CURRENCY"")=""GBX"",""GBP"",GOOGLEFINANCE(D2039,""CURRENCY"")))))),B2039)"),"")</f>
        <v/>
      </c>
      <c r="R2039" s="263" t="str">
        <f>IFERROR(__xludf.DUMMYFUNCTION("IF(ISBLANK(A2039),"""",IFERROR(IF(OR(Q2039=""GPB"",Q2039=""ZAR""),IF(Q2039=Dashboard!$L$1,K2039,(K2039*GOOGLEFINANCE(""CURRENCY:""&amp;Q2039&amp;""""&amp;Dashboard!$L$1&amp;""""))/100),IF(Q2039=Dashboard!$L$1,K2039,K2039*GOOGLEFINANCE(""CURRENCY:""&amp;Q2039&amp;""""&amp;Dashboard!$"&amp;"L$1&amp;""""))),K2039))"),"")</f>
        <v/>
      </c>
      <c r="S2039" s="266" t="str">
        <f>IFERROR(__xludf.DUMMYFUNCTION("IF(ISBLANK(A2039),"""",IFERROR(IF(OR(Q2039=""GPB"",Q2039=""ZAR""),IF(Q2039=Dashboard!$L$1,M2039,(M2039*GOOGLEFINANCE(""CURRENCY:""&amp;Q2039&amp;""""&amp;Dashboard!$L$1&amp;""""))/100),IF(Q2039=Dashboard!$L$1,M2039,M2039*GOOGLEFINANCE(""CURRENCY:""&amp;Q2039&amp;""""&amp;Dashboard!$"&amp;"L$1&amp;""""))),M2039))"),"")</f>
        <v/>
      </c>
      <c r="T2039" s="264" t="str">
        <f t="shared" si="4"/>
        <v/>
      </c>
      <c r="U2039" s="264" t="str">
        <f t="shared" si="5"/>
        <v/>
      </c>
      <c r="V2039" s="264" t="str">
        <f t="shared" si="6"/>
        <v/>
      </c>
      <c r="W2039" s="267" t="str">
        <f t="shared" si="8"/>
        <v/>
      </c>
      <c r="X2039" s="264" t="str">
        <f t="shared" si="7"/>
        <v/>
      </c>
    </row>
    <row r="2040" ht="15.75" customHeight="1">
      <c r="A2040" s="258"/>
      <c r="B2040" s="258"/>
      <c r="C2040" s="269"/>
      <c r="D2040" s="258"/>
      <c r="E2040" s="258"/>
      <c r="F2040" s="258"/>
      <c r="G2040" s="258"/>
      <c r="H2040" s="271"/>
      <c r="I2040" s="258"/>
      <c r="J2040" s="272"/>
      <c r="K2040" s="260"/>
      <c r="L2040" s="261"/>
      <c r="M2040" s="262" t="str">
        <f t="shared" si="1"/>
        <v/>
      </c>
      <c r="N2040" s="263" t="str">
        <f t="shared" si="2"/>
        <v/>
      </c>
      <c r="O2040" s="264" t="str">
        <f t="shared" si="3"/>
        <v/>
      </c>
      <c r="P2040" s="265" t="str">
        <f>IFERROR(__xludf.DUMMYFUNCTION("IF(ISBLANK(A2040),"""",IFERROR(IF(H2040=""Sell"",VLOOKUP(9^99,FILTER({ROW(P$2:P2039),P$2:P2039},D$2:D2039=D2040),2),(VLOOKUP(9^99,FILTER({ROW(P$2:P2039),P$2:P2039},D$2:D2039=D2040),2)*VLOOKUP(9^99,FILTER({ROW(O$2:O2039),O$2:O2039},D$2:D2039=D2040),2)-N204"&amp;"0)/O2040),J2040))"),"")</f>
        <v/>
      </c>
      <c r="Q2040" s="264" t="str">
        <f>IFERROR(__xludf.DUMMYFUNCTION("IFERROR(IF(F2040=""Crypto"",B2040,(IF(ISBLANK(D2040),"""",IF(D2040=""Cash"",B2040,IF(GOOGLEFINANCE(D2040,""CURRENCY"")=""GBX"",""GBP"",GOOGLEFINANCE(D2040,""CURRENCY"")))))),B2040)"),"")</f>
        <v/>
      </c>
      <c r="R2040" s="263" t="str">
        <f>IFERROR(__xludf.DUMMYFUNCTION("IF(ISBLANK(A2040),"""",IFERROR(IF(OR(Q2040=""GPB"",Q2040=""ZAR""),IF(Q2040=Dashboard!$L$1,K2040,(K2040*GOOGLEFINANCE(""CURRENCY:""&amp;Q2040&amp;""""&amp;Dashboard!$L$1&amp;""""))/100),IF(Q2040=Dashboard!$L$1,K2040,K2040*GOOGLEFINANCE(""CURRENCY:""&amp;Q2040&amp;""""&amp;Dashboard!$"&amp;"L$1&amp;""""))),K2040))"),"")</f>
        <v/>
      </c>
      <c r="S2040" s="266" t="str">
        <f>IFERROR(__xludf.DUMMYFUNCTION("IF(ISBLANK(A2040),"""",IFERROR(IF(OR(Q2040=""GPB"",Q2040=""ZAR""),IF(Q2040=Dashboard!$L$1,M2040,(M2040*GOOGLEFINANCE(""CURRENCY:""&amp;Q2040&amp;""""&amp;Dashboard!$L$1&amp;""""))/100),IF(Q2040=Dashboard!$L$1,M2040,M2040*GOOGLEFINANCE(""CURRENCY:""&amp;Q2040&amp;""""&amp;Dashboard!$"&amp;"L$1&amp;""""))),M2040))"),"")</f>
        <v/>
      </c>
      <c r="T2040" s="264" t="str">
        <f t="shared" si="4"/>
        <v/>
      </c>
      <c r="U2040" s="264" t="str">
        <f t="shared" si="5"/>
        <v/>
      </c>
      <c r="V2040" s="264" t="str">
        <f t="shared" si="6"/>
        <v/>
      </c>
      <c r="W2040" s="267" t="str">
        <f t="shared" si="8"/>
        <v/>
      </c>
      <c r="X2040" s="264" t="str">
        <f t="shared" si="7"/>
        <v/>
      </c>
    </row>
    <row r="2041" ht="15.75" customHeight="1">
      <c r="A2041" s="258"/>
      <c r="B2041" s="258"/>
      <c r="C2041" s="269"/>
      <c r="D2041" s="258"/>
      <c r="E2041" s="258"/>
      <c r="F2041" s="258"/>
      <c r="G2041" s="258"/>
      <c r="H2041" s="271"/>
      <c r="I2041" s="258"/>
      <c r="J2041" s="272"/>
      <c r="K2041" s="260"/>
      <c r="L2041" s="261"/>
      <c r="M2041" s="262" t="str">
        <f t="shared" si="1"/>
        <v/>
      </c>
      <c r="N2041" s="263" t="str">
        <f t="shared" si="2"/>
        <v/>
      </c>
      <c r="O2041" s="264" t="str">
        <f t="shared" si="3"/>
        <v/>
      </c>
      <c r="P2041" s="265" t="str">
        <f>IFERROR(__xludf.DUMMYFUNCTION("IF(ISBLANK(A2041),"""",IFERROR(IF(H2041=""Sell"",VLOOKUP(9^99,FILTER({ROW(P$2:P2040),P$2:P2040},D$2:D2040=D2041),2),(VLOOKUP(9^99,FILTER({ROW(P$2:P2040),P$2:P2040},D$2:D2040=D2041),2)*VLOOKUP(9^99,FILTER({ROW(O$2:O2040),O$2:O2040},D$2:D2040=D2041),2)-N204"&amp;"1)/O2041),J2041))"),"")</f>
        <v/>
      </c>
      <c r="Q2041" s="264" t="str">
        <f>IFERROR(__xludf.DUMMYFUNCTION("IFERROR(IF(F2041=""Crypto"",B2041,(IF(ISBLANK(D2041),"""",IF(D2041=""Cash"",B2041,IF(GOOGLEFINANCE(D2041,""CURRENCY"")=""GBX"",""GBP"",GOOGLEFINANCE(D2041,""CURRENCY"")))))),B2041)"),"")</f>
        <v/>
      </c>
      <c r="R2041" s="263" t="str">
        <f>IFERROR(__xludf.DUMMYFUNCTION("IF(ISBLANK(A2041),"""",IFERROR(IF(OR(Q2041=""GPB"",Q2041=""ZAR""),IF(Q2041=Dashboard!$L$1,K2041,(K2041*GOOGLEFINANCE(""CURRENCY:""&amp;Q2041&amp;""""&amp;Dashboard!$L$1&amp;""""))/100),IF(Q2041=Dashboard!$L$1,K2041,K2041*GOOGLEFINANCE(""CURRENCY:""&amp;Q2041&amp;""""&amp;Dashboard!$"&amp;"L$1&amp;""""))),K2041))"),"")</f>
        <v/>
      </c>
      <c r="S2041" s="266" t="str">
        <f>IFERROR(__xludf.DUMMYFUNCTION("IF(ISBLANK(A2041),"""",IFERROR(IF(OR(Q2041=""GPB"",Q2041=""ZAR""),IF(Q2041=Dashboard!$L$1,M2041,(M2041*GOOGLEFINANCE(""CURRENCY:""&amp;Q2041&amp;""""&amp;Dashboard!$L$1&amp;""""))/100),IF(Q2041=Dashboard!$L$1,M2041,M2041*GOOGLEFINANCE(""CURRENCY:""&amp;Q2041&amp;""""&amp;Dashboard!$"&amp;"L$1&amp;""""))),M2041))"),"")</f>
        <v/>
      </c>
      <c r="T2041" s="264" t="str">
        <f t="shared" si="4"/>
        <v/>
      </c>
      <c r="U2041" s="264" t="str">
        <f t="shared" si="5"/>
        <v/>
      </c>
      <c r="V2041" s="264" t="str">
        <f t="shared" si="6"/>
        <v/>
      </c>
      <c r="W2041" s="267" t="str">
        <f t="shared" si="8"/>
        <v/>
      </c>
      <c r="X2041" s="264" t="str">
        <f t="shared" si="7"/>
        <v/>
      </c>
    </row>
    <row r="2042" ht="15.75" customHeight="1">
      <c r="A2042" s="258"/>
      <c r="B2042" s="258"/>
      <c r="C2042" s="269"/>
      <c r="D2042" s="258"/>
      <c r="E2042" s="258"/>
      <c r="F2042" s="258"/>
      <c r="G2042" s="258"/>
      <c r="H2042" s="271"/>
      <c r="I2042" s="258"/>
      <c r="J2042" s="272"/>
      <c r="K2042" s="260"/>
      <c r="L2042" s="261"/>
      <c r="M2042" s="262" t="str">
        <f t="shared" si="1"/>
        <v/>
      </c>
      <c r="N2042" s="263" t="str">
        <f t="shared" si="2"/>
        <v/>
      </c>
      <c r="O2042" s="264" t="str">
        <f t="shared" si="3"/>
        <v/>
      </c>
      <c r="P2042" s="265" t="str">
        <f>IFERROR(__xludf.DUMMYFUNCTION("IF(ISBLANK(A2042),"""",IFERROR(IF(H2042=""Sell"",VLOOKUP(9^99,FILTER({ROW(P$2:P2041),P$2:P2041},D$2:D2041=D2042),2),(VLOOKUP(9^99,FILTER({ROW(P$2:P2041),P$2:P2041},D$2:D2041=D2042),2)*VLOOKUP(9^99,FILTER({ROW(O$2:O2041),O$2:O2041},D$2:D2041=D2042),2)-N204"&amp;"2)/O2042),J2042))"),"")</f>
        <v/>
      </c>
      <c r="Q2042" s="264" t="str">
        <f>IFERROR(__xludf.DUMMYFUNCTION("IFERROR(IF(F2042=""Crypto"",B2042,(IF(ISBLANK(D2042),"""",IF(D2042=""Cash"",B2042,IF(GOOGLEFINANCE(D2042,""CURRENCY"")=""GBX"",""GBP"",GOOGLEFINANCE(D2042,""CURRENCY"")))))),B2042)"),"")</f>
        <v/>
      </c>
      <c r="R2042" s="263" t="str">
        <f>IFERROR(__xludf.DUMMYFUNCTION("IF(ISBLANK(A2042),"""",IFERROR(IF(OR(Q2042=""GPB"",Q2042=""ZAR""),IF(Q2042=Dashboard!$L$1,K2042,(K2042*GOOGLEFINANCE(""CURRENCY:""&amp;Q2042&amp;""""&amp;Dashboard!$L$1&amp;""""))/100),IF(Q2042=Dashboard!$L$1,K2042,K2042*GOOGLEFINANCE(""CURRENCY:""&amp;Q2042&amp;""""&amp;Dashboard!$"&amp;"L$1&amp;""""))),K2042))"),"")</f>
        <v/>
      </c>
      <c r="S2042" s="266" t="str">
        <f>IFERROR(__xludf.DUMMYFUNCTION("IF(ISBLANK(A2042),"""",IFERROR(IF(OR(Q2042=""GPB"",Q2042=""ZAR""),IF(Q2042=Dashboard!$L$1,M2042,(M2042*GOOGLEFINANCE(""CURRENCY:""&amp;Q2042&amp;""""&amp;Dashboard!$L$1&amp;""""))/100),IF(Q2042=Dashboard!$L$1,M2042,M2042*GOOGLEFINANCE(""CURRENCY:""&amp;Q2042&amp;""""&amp;Dashboard!$"&amp;"L$1&amp;""""))),M2042))"),"")</f>
        <v/>
      </c>
      <c r="T2042" s="264" t="str">
        <f t="shared" si="4"/>
        <v/>
      </c>
      <c r="U2042" s="264" t="str">
        <f t="shared" si="5"/>
        <v/>
      </c>
      <c r="V2042" s="264" t="str">
        <f t="shared" si="6"/>
        <v/>
      </c>
      <c r="W2042" s="267" t="str">
        <f t="shared" si="8"/>
        <v/>
      </c>
      <c r="X2042" s="264" t="str">
        <f t="shared" si="7"/>
        <v/>
      </c>
    </row>
    <row r="2043" ht="15.75" customHeight="1">
      <c r="A2043" s="258"/>
      <c r="B2043" s="258"/>
      <c r="C2043" s="269"/>
      <c r="D2043" s="258"/>
      <c r="E2043" s="258"/>
      <c r="F2043" s="258"/>
      <c r="G2043" s="258"/>
      <c r="H2043" s="271"/>
      <c r="I2043" s="258"/>
      <c r="J2043" s="272"/>
      <c r="K2043" s="260"/>
      <c r="L2043" s="261"/>
      <c r="M2043" s="262" t="str">
        <f t="shared" si="1"/>
        <v/>
      </c>
      <c r="N2043" s="263" t="str">
        <f t="shared" si="2"/>
        <v/>
      </c>
      <c r="O2043" s="264" t="str">
        <f t="shared" si="3"/>
        <v/>
      </c>
      <c r="P2043" s="265" t="str">
        <f>IFERROR(__xludf.DUMMYFUNCTION("IF(ISBLANK(A2043),"""",IFERROR(IF(H2043=""Sell"",VLOOKUP(9^99,FILTER({ROW(P$2:P2042),P$2:P2042},D$2:D2042=D2043),2),(VLOOKUP(9^99,FILTER({ROW(P$2:P2042),P$2:P2042},D$2:D2042=D2043),2)*VLOOKUP(9^99,FILTER({ROW(O$2:O2042),O$2:O2042},D$2:D2042=D2043),2)-N204"&amp;"3)/O2043),J2043))"),"")</f>
        <v/>
      </c>
      <c r="Q2043" s="264" t="str">
        <f>IFERROR(__xludf.DUMMYFUNCTION("IFERROR(IF(F2043=""Crypto"",B2043,(IF(ISBLANK(D2043),"""",IF(D2043=""Cash"",B2043,IF(GOOGLEFINANCE(D2043,""CURRENCY"")=""GBX"",""GBP"",GOOGLEFINANCE(D2043,""CURRENCY"")))))),B2043)"),"")</f>
        <v/>
      </c>
      <c r="R2043" s="263" t="str">
        <f>IFERROR(__xludf.DUMMYFUNCTION("IF(ISBLANK(A2043),"""",IFERROR(IF(OR(Q2043=""GPB"",Q2043=""ZAR""),IF(Q2043=Dashboard!$L$1,K2043,(K2043*GOOGLEFINANCE(""CURRENCY:""&amp;Q2043&amp;""""&amp;Dashboard!$L$1&amp;""""))/100),IF(Q2043=Dashboard!$L$1,K2043,K2043*GOOGLEFINANCE(""CURRENCY:""&amp;Q2043&amp;""""&amp;Dashboard!$"&amp;"L$1&amp;""""))),K2043))"),"")</f>
        <v/>
      </c>
      <c r="S2043" s="266" t="str">
        <f>IFERROR(__xludf.DUMMYFUNCTION("IF(ISBLANK(A2043),"""",IFERROR(IF(OR(Q2043=""GPB"",Q2043=""ZAR""),IF(Q2043=Dashboard!$L$1,M2043,(M2043*GOOGLEFINANCE(""CURRENCY:""&amp;Q2043&amp;""""&amp;Dashboard!$L$1&amp;""""))/100),IF(Q2043=Dashboard!$L$1,M2043,M2043*GOOGLEFINANCE(""CURRENCY:""&amp;Q2043&amp;""""&amp;Dashboard!$"&amp;"L$1&amp;""""))),M2043))"),"")</f>
        <v/>
      </c>
      <c r="T2043" s="264" t="str">
        <f t="shared" si="4"/>
        <v/>
      </c>
      <c r="U2043" s="264" t="str">
        <f t="shared" si="5"/>
        <v/>
      </c>
      <c r="V2043" s="264" t="str">
        <f t="shared" si="6"/>
        <v/>
      </c>
      <c r="W2043" s="267" t="str">
        <f t="shared" si="8"/>
        <v/>
      </c>
      <c r="X2043" s="264" t="str">
        <f t="shared" si="7"/>
        <v/>
      </c>
    </row>
    <row r="2044" ht="15.75" customHeight="1">
      <c r="A2044" s="258"/>
      <c r="B2044" s="258"/>
      <c r="C2044" s="269"/>
      <c r="D2044" s="258"/>
      <c r="E2044" s="258"/>
      <c r="F2044" s="258"/>
      <c r="G2044" s="258"/>
      <c r="H2044" s="271"/>
      <c r="I2044" s="258"/>
      <c r="J2044" s="272"/>
      <c r="K2044" s="260"/>
      <c r="L2044" s="261"/>
      <c r="M2044" s="262" t="str">
        <f t="shared" si="1"/>
        <v/>
      </c>
      <c r="N2044" s="263" t="str">
        <f t="shared" si="2"/>
        <v/>
      </c>
      <c r="O2044" s="264" t="str">
        <f t="shared" si="3"/>
        <v/>
      </c>
      <c r="P2044" s="265" t="str">
        <f>IFERROR(__xludf.DUMMYFUNCTION("IF(ISBLANK(A2044),"""",IFERROR(IF(H2044=""Sell"",VLOOKUP(9^99,FILTER({ROW(P$2:P2043),P$2:P2043},D$2:D2043=D2044),2),(VLOOKUP(9^99,FILTER({ROW(P$2:P2043),P$2:P2043},D$2:D2043=D2044),2)*VLOOKUP(9^99,FILTER({ROW(O$2:O2043),O$2:O2043},D$2:D2043=D2044),2)-N204"&amp;"4)/O2044),J2044))"),"")</f>
        <v/>
      </c>
      <c r="Q2044" s="264" t="str">
        <f>IFERROR(__xludf.DUMMYFUNCTION("IFERROR(IF(F2044=""Crypto"",B2044,(IF(ISBLANK(D2044),"""",IF(D2044=""Cash"",B2044,IF(GOOGLEFINANCE(D2044,""CURRENCY"")=""GBX"",""GBP"",GOOGLEFINANCE(D2044,""CURRENCY"")))))),B2044)"),"")</f>
        <v/>
      </c>
      <c r="R2044" s="263" t="str">
        <f>IFERROR(__xludf.DUMMYFUNCTION("IF(ISBLANK(A2044),"""",IFERROR(IF(OR(Q2044=""GPB"",Q2044=""ZAR""),IF(Q2044=Dashboard!$L$1,K2044,(K2044*GOOGLEFINANCE(""CURRENCY:""&amp;Q2044&amp;""""&amp;Dashboard!$L$1&amp;""""))/100),IF(Q2044=Dashboard!$L$1,K2044,K2044*GOOGLEFINANCE(""CURRENCY:""&amp;Q2044&amp;""""&amp;Dashboard!$"&amp;"L$1&amp;""""))),K2044))"),"")</f>
        <v/>
      </c>
      <c r="S2044" s="266" t="str">
        <f>IFERROR(__xludf.DUMMYFUNCTION("IF(ISBLANK(A2044),"""",IFERROR(IF(OR(Q2044=""GPB"",Q2044=""ZAR""),IF(Q2044=Dashboard!$L$1,M2044,(M2044*GOOGLEFINANCE(""CURRENCY:""&amp;Q2044&amp;""""&amp;Dashboard!$L$1&amp;""""))/100),IF(Q2044=Dashboard!$L$1,M2044,M2044*GOOGLEFINANCE(""CURRENCY:""&amp;Q2044&amp;""""&amp;Dashboard!$"&amp;"L$1&amp;""""))),M2044))"),"")</f>
        <v/>
      </c>
      <c r="T2044" s="264" t="str">
        <f t="shared" si="4"/>
        <v/>
      </c>
      <c r="U2044" s="264" t="str">
        <f t="shared" si="5"/>
        <v/>
      </c>
      <c r="V2044" s="264" t="str">
        <f t="shared" si="6"/>
        <v/>
      </c>
      <c r="W2044" s="267" t="str">
        <f t="shared" si="8"/>
        <v/>
      </c>
      <c r="X2044" s="264" t="str">
        <f t="shared" si="7"/>
        <v/>
      </c>
    </row>
    <row r="2045" ht="15.75" customHeight="1">
      <c r="A2045" s="258"/>
      <c r="B2045" s="258"/>
      <c r="C2045" s="269"/>
      <c r="D2045" s="258"/>
      <c r="E2045" s="258"/>
      <c r="F2045" s="258"/>
      <c r="G2045" s="258"/>
      <c r="H2045" s="271"/>
      <c r="I2045" s="258"/>
      <c r="J2045" s="272"/>
      <c r="K2045" s="260"/>
      <c r="L2045" s="261"/>
      <c r="M2045" s="262" t="str">
        <f t="shared" si="1"/>
        <v/>
      </c>
      <c r="N2045" s="263" t="str">
        <f t="shared" si="2"/>
        <v/>
      </c>
      <c r="O2045" s="264" t="str">
        <f t="shared" si="3"/>
        <v/>
      </c>
      <c r="P2045" s="265" t="str">
        <f>IFERROR(__xludf.DUMMYFUNCTION("IF(ISBLANK(A2045),"""",IFERROR(IF(H2045=""Sell"",VLOOKUP(9^99,FILTER({ROW(P$2:P2044),P$2:P2044},D$2:D2044=D2045),2),(VLOOKUP(9^99,FILTER({ROW(P$2:P2044),P$2:P2044},D$2:D2044=D2045),2)*VLOOKUP(9^99,FILTER({ROW(O$2:O2044),O$2:O2044},D$2:D2044=D2045),2)-N204"&amp;"5)/O2045),J2045))"),"")</f>
        <v/>
      </c>
      <c r="Q2045" s="264" t="str">
        <f>IFERROR(__xludf.DUMMYFUNCTION("IFERROR(IF(F2045=""Crypto"",B2045,(IF(ISBLANK(D2045),"""",IF(D2045=""Cash"",B2045,IF(GOOGLEFINANCE(D2045,""CURRENCY"")=""GBX"",""GBP"",GOOGLEFINANCE(D2045,""CURRENCY"")))))),B2045)"),"")</f>
        <v/>
      </c>
      <c r="R2045" s="263" t="str">
        <f>IFERROR(__xludf.DUMMYFUNCTION("IF(ISBLANK(A2045),"""",IFERROR(IF(OR(Q2045=""GPB"",Q2045=""ZAR""),IF(Q2045=Dashboard!$L$1,K2045,(K2045*GOOGLEFINANCE(""CURRENCY:""&amp;Q2045&amp;""""&amp;Dashboard!$L$1&amp;""""))/100),IF(Q2045=Dashboard!$L$1,K2045,K2045*GOOGLEFINANCE(""CURRENCY:""&amp;Q2045&amp;""""&amp;Dashboard!$"&amp;"L$1&amp;""""))),K2045))"),"")</f>
        <v/>
      </c>
      <c r="S2045" s="266" t="str">
        <f>IFERROR(__xludf.DUMMYFUNCTION("IF(ISBLANK(A2045),"""",IFERROR(IF(OR(Q2045=""GPB"",Q2045=""ZAR""),IF(Q2045=Dashboard!$L$1,M2045,(M2045*GOOGLEFINANCE(""CURRENCY:""&amp;Q2045&amp;""""&amp;Dashboard!$L$1&amp;""""))/100),IF(Q2045=Dashboard!$L$1,M2045,M2045*GOOGLEFINANCE(""CURRENCY:""&amp;Q2045&amp;""""&amp;Dashboard!$"&amp;"L$1&amp;""""))),M2045))"),"")</f>
        <v/>
      </c>
      <c r="T2045" s="264" t="str">
        <f t="shared" si="4"/>
        <v/>
      </c>
      <c r="U2045" s="264" t="str">
        <f t="shared" si="5"/>
        <v/>
      </c>
      <c r="V2045" s="264" t="str">
        <f t="shared" si="6"/>
        <v/>
      </c>
      <c r="W2045" s="267" t="str">
        <f t="shared" si="8"/>
        <v/>
      </c>
      <c r="X2045" s="264" t="str">
        <f t="shared" si="7"/>
        <v/>
      </c>
    </row>
    <row r="2046" ht="15.75" customHeight="1">
      <c r="A2046" s="258"/>
      <c r="B2046" s="258"/>
      <c r="C2046" s="269"/>
      <c r="D2046" s="258"/>
      <c r="E2046" s="258"/>
      <c r="F2046" s="258"/>
      <c r="G2046" s="258"/>
      <c r="H2046" s="271"/>
      <c r="I2046" s="258"/>
      <c r="J2046" s="272"/>
      <c r="K2046" s="260"/>
      <c r="L2046" s="261"/>
      <c r="M2046" s="262" t="str">
        <f t="shared" si="1"/>
        <v/>
      </c>
      <c r="N2046" s="263" t="str">
        <f t="shared" si="2"/>
        <v/>
      </c>
      <c r="O2046" s="264" t="str">
        <f t="shared" si="3"/>
        <v/>
      </c>
      <c r="P2046" s="265" t="str">
        <f>IFERROR(__xludf.DUMMYFUNCTION("IF(ISBLANK(A2046),"""",IFERROR(IF(H2046=""Sell"",VLOOKUP(9^99,FILTER({ROW(P$2:P2045),P$2:P2045},D$2:D2045=D2046),2),(VLOOKUP(9^99,FILTER({ROW(P$2:P2045),P$2:P2045},D$2:D2045=D2046),2)*VLOOKUP(9^99,FILTER({ROW(O$2:O2045),O$2:O2045},D$2:D2045=D2046),2)-N204"&amp;"6)/O2046),J2046))"),"")</f>
        <v/>
      </c>
      <c r="Q2046" s="264" t="str">
        <f>IFERROR(__xludf.DUMMYFUNCTION("IFERROR(IF(F2046=""Crypto"",B2046,(IF(ISBLANK(D2046),"""",IF(D2046=""Cash"",B2046,IF(GOOGLEFINANCE(D2046,""CURRENCY"")=""GBX"",""GBP"",GOOGLEFINANCE(D2046,""CURRENCY"")))))),B2046)"),"")</f>
        <v/>
      </c>
      <c r="R2046" s="263" t="str">
        <f>IFERROR(__xludf.DUMMYFUNCTION("IF(ISBLANK(A2046),"""",IFERROR(IF(OR(Q2046=""GPB"",Q2046=""ZAR""),IF(Q2046=Dashboard!$L$1,K2046,(K2046*GOOGLEFINANCE(""CURRENCY:""&amp;Q2046&amp;""""&amp;Dashboard!$L$1&amp;""""))/100),IF(Q2046=Dashboard!$L$1,K2046,K2046*GOOGLEFINANCE(""CURRENCY:""&amp;Q2046&amp;""""&amp;Dashboard!$"&amp;"L$1&amp;""""))),K2046))"),"")</f>
        <v/>
      </c>
      <c r="S2046" s="266" t="str">
        <f>IFERROR(__xludf.DUMMYFUNCTION("IF(ISBLANK(A2046),"""",IFERROR(IF(OR(Q2046=""GPB"",Q2046=""ZAR""),IF(Q2046=Dashboard!$L$1,M2046,(M2046*GOOGLEFINANCE(""CURRENCY:""&amp;Q2046&amp;""""&amp;Dashboard!$L$1&amp;""""))/100),IF(Q2046=Dashboard!$L$1,M2046,M2046*GOOGLEFINANCE(""CURRENCY:""&amp;Q2046&amp;""""&amp;Dashboard!$"&amp;"L$1&amp;""""))),M2046))"),"")</f>
        <v/>
      </c>
      <c r="T2046" s="264" t="str">
        <f t="shared" si="4"/>
        <v/>
      </c>
      <c r="U2046" s="264" t="str">
        <f t="shared" si="5"/>
        <v/>
      </c>
      <c r="V2046" s="264" t="str">
        <f t="shared" si="6"/>
        <v/>
      </c>
      <c r="W2046" s="267" t="str">
        <f t="shared" si="8"/>
        <v/>
      </c>
      <c r="X2046" s="264" t="str">
        <f t="shared" si="7"/>
        <v/>
      </c>
    </row>
    <row r="2047" ht="15.75" customHeight="1">
      <c r="A2047" s="258"/>
      <c r="B2047" s="258"/>
      <c r="C2047" s="269"/>
      <c r="D2047" s="258"/>
      <c r="E2047" s="258"/>
      <c r="F2047" s="258"/>
      <c r="G2047" s="258"/>
      <c r="H2047" s="271"/>
      <c r="I2047" s="258"/>
      <c r="J2047" s="272"/>
      <c r="K2047" s="260"/>
      <c r="L2047" s="261"/>
      <c r="M2047" s="262" t="str">
        <f t="shared" si="1"/>
        <v/>
      </c>
      <c r="N2047" s="263" t="str">
        <f t="shared" si="2"/>
        <v/>
      </c>
      <c r="O2047" s="264" t="str">
        <f t="shared" si="3"/>
        <v/>
      </c>
      <c r="P2047" s="265" t="str">
        <f>IFERROR(__xludf.DUMMYFUNCTION("IF(ISBLANK(A2047),"""",IFERROR(IF(H2047=""Sell"",VLOOKUP(9^99,FILTER({ROW(P$2:P2046),P$2:P2046},D$2:D2046=D2047),2),(VLOOKUP(9^99,FILTER({ROW(P$2:P2046),P$2:P2046},D$2:D2046=D2047),2)*VLOOKUP(9^99,FILTER({ROW(O$2:O2046),O$2:O2046},D$2:D2046=D2047),2)-N204"&amp;"7)/O2047),J2047))"),"")</f>
        <v/>
      </c>
      <c r="Q2047" s="264" t="str">
        <f>IFERROR(__xludf.DUMMYFUNCTION("IFERROR(IF(F2047=""Crypto"",B2047,(IF(ISBLANK(D2047),"""",IF(D2047=""Cash"",B2047,IF(GOOGLEFINANCE(D2047,""CURRENCY"")=""GBX"",""GBP"",GOOGLEFINANCE(D2047,""CURRENCY"")))))),B2047)"),"")</f>
        <v/>
      </c>
      <c r="R2047" s="263" t="str">
        <f>IFERROR(__xludf.DUMMYFUNCTION("IF(ISBLANK(A2047),"""",IFERROR(IF(OR(Q2047=""GPB"",Q2047=""ZAR""),IF(Q2047=Dashboard!$L$1,K2047,(K2047*GOOGLEFINANCE(""CURRENCY:""&amp;Q2047&amp;""""&amp;Dashboard!$L$1&amp;""""))/100),IF(Q2047=Dashboard!$L$1,K2047,K2047*GOOGLEFINANCE(""CURRENCY:""&amp;Q2047&amp;""""&amp;Dashboard!$"&amp;"L$1&amp;""""))),K2047))"),"")</f>
        <v/>
      </c>
      <c r="S2047" s="266" t="str">
        <f>IFERROR(__xludf.DUMMYFUNCTION("IF(ISBLANK(A2047),"""",IFERROR(IF(OR(Q2047=""GPB"",Q2047=""ZAR""),IF(Q2047=Dashboard!$L$1,M2047,(M2047*GOOGLEFINANCE(""CURRENCY:""&amp;Q2047&amp;""""&amp;Dashboard!$L$1&amp;""""))/100),IF(Q2047=Dashboard!$L$1,M2047,M2047*GOOGLEFINANCE(""CURRENCY:""&amp;Q2047&amp;""""&amp;Dashboard!$"&amp;"L$1&amp;""""))),M2047))"),"")</f>
        <v/>
      </c>
      <c r="T2047" s="264" t="str">
        <f t="shared" si="4"/>
        <v/>
      </c>
      <c r="U2047" s="264" t="str">
        <f t="shared" si="5"/>
        <v/>
      </c>
      <c r="V2047" s="264" t="str">
        <f t="shared" si="6"/>
        <v/>
      </c>
      <c r="W2047" s="267" t="str">
        <f t="shared" si="8"/>
        <v/>
      </c>
      <c r="X2047" s="264" t="str">
        <f t="shared" si="7"/>
        <v/>
      </c>
    </row>
    <row r="2048" ht="15.75" customHeight="1">
      <c r="A2048" s="258"/>
      <c r="B2048" s="258"/>
      <c r="C2048" s="269"/>
      <c r="D2048" s="258"/>
      <c r="E2048" s="258"/>
      <c r="F2048" s="258"/>
      <c r="G2048" s="258"/>
      <c r="H2048" s="271"/>
      <c r="I2048" s="258"/>
      <c r="J2048" s="272"/>
      <c r="K2048" s="260"/>
      <c r="L2048" s="261"/>
      <c r="M2048" s="262" t="str">
        <f t="shared" si="1"/>
        <v/>
      </c>
      <c r="N2048" s="263" t="str">
        <f t="shared" si="2"/>
        <v/>
      </c>
      <c r="O2048" s="264" t="str">
        <f t="shared" si="3"/>
        <v/>
      </c>
      <c r="P2048" s="265" t="str">
        <f>IFERROR(__xludf.DUMMYFUNCTION("IF(ISBLANK(A2048),"""",IFERROR(IF(H2048=""Sell"",VLOOKUP(9^99,FILTER({ROW(P$2:P2047),P$2:P2047},D$2:D2047=D2048),2),(VLOOKUP(9^99,FILTER({ROW(P$2:P2047),P$2:P2047},D$2:D2047=D2048),2)*VLOOKUP(9^99,FILTER({ROW(O$2:O2047),O$2:O2047},D$2:D2047=D2048),2)-N204"&amp;"8)/O2048),J2048))"),"")</f>
        <v/>
      </c>
      <c r="Q2048" s="264" t="str">
        <f>IFERROR(__xludf.DUMMYFUNCTION("IFERROR(IF(F2048=""Crypto"",B2048,(IF(ISBLANK(D2048),"""",IF(D2048=""Cash"",B2048,IF(GOOGLEFINANCE(D2048,""CURRENCY"")=""GBX"",""GBP"",GOOGLEFINANCE(D2048,""CURRENCY"")))))),B2048)"),"")</f>
        <v/>
      </c>
      <c r="R2048" s="263" t="str">
        <f>IFERROR(__xludf.DUMMYFUNCTION("IF(ISBLANK(A2048),"""",IFERROR(IF(OR(Q2048=""GPB"",Q2048=""ZAR""),IF(Q2048=Dashboard!$L$1,K2048,(K2048*GOOGLEFINANCE(""CURRENCY:""&amp;Q2048&amp;""""&amp;Dashboard!$L$1&amp;""""))/100),IF(Q2048=Dashboard!$L$1,K2048,K2048*GOOGLEFINANCE(""CURRENCY:""&amp;Q2048&amp;""""&amp;Dashboard!$"&amp;"L$1&amp;""""))),K2048))"),"")</f>
        <v/>
      </c>
      <c r="S2048" s="266" t="str">
        <f>IFERROR(__xludf.DUMMYFUNCTION("IF(ISBLANK(A2048),"""",IFERROR(IF(OR(Q2048=""GPB"",Q2048=""ZAR""),IF(Q2048=Dashboard!$L$1,M2048,(M2048*GOOGLEFINANCE(""CURRENCY:""&amp;Q2048&amp;""""&amp;Dashboard!$L$1&amp;""""))/100),IF(Q2048=Dashboard!$L$1,M2048,M2048*GOOGLEFINANCE(""CURRENCY:""&amp;Q2048&amp;""""&amp;Dashboard!$"&amp;"L$1&amp;""""))),M2048))"),"")</f>
        <v/>
      </c>
      <c r="T2048" s="264" t="str">
        <f t="shared" si="4"/>
        <v/>
      </c>
      <c r="U2048" s="264" t="str">
        <f t="shared" si="5"/>
        <v/>
      </c>
      <c r="V2048" s="264" t="str">
        <f t="shared" si="6"/>
        <v/>
      </c>
      <c r="W2048" s="267" t="str">
        <f t="shared" si="8"/>
        <v/>
      </c>
      <c r="X2048" s="264" t="str">
        <f t="shared" si="7"/>
        <v/>
      </c>
    </row>
    <row r="2049" ht="15.75" customHeight="1">
      <c r="A2049" s="258"/>
      <c r="B2049" s="258"/>
      <c r="C2049" s="269"/>
      <c r="D2049" s="258"/>
      <c r="E2049" s="258"/>
      <c r="F2049" s="258"/>
      <c r="G2049" s="258"/>
      <c r="H2049" s="271"/>
      <c r="I2049" s="258"/>
      <c r="J2049" s="272"/>
      <c r="K2049" s="260"/>
      <c r="L2049" s="261"/>
      <c r="M2049" s="262" t="str">
        <f t="shared" si="1"/>
        <v/>
      </c>
      <c r="N2049" s="263" t="str">
        <f t="shared" si="2"/>
        <v/>
      </c>
      <c r="O2049" s="264" t="str">
        <f t="shared" si="3"/>
        <v/>
      </c>
      <c r="P2049" s="265" t="str">
        <f>IFERROR(__xludf.DUMMYFUNCTION("IF(ISBLANK(A2049),"""",IFERROR(IF(H2049=""Sell"",VLOOKUP(9^99,FILTER({ROW(P$2:P2048),P$2:P2048},D$2:D2048=D2049),2),(VLOOKUP(9^99,FILTER({ROW(P$2:P2048),P$2:P2048},D$2:D2048=D2049),2)*VLOOKUP(9^99,FILTER({ROW(O$2:O2048),O$2:O2048},D$2:D2048=D2049),2)-N204"&amp;"9)/O2049),J2049))"),"")</f>
        <v/>
      </c>
      <c r="Q2049" s="264" t="str">
        <f>IFERROR(__xludf.DUMMYFUNCTION("IFERROR(IF(F2049=""Crypto"",B2049,(IF(ISBLANK(D2049),"""",IF(D2049=""Cash"",B2049,IF(GOOGLEFINANCE(D2049,""CURRENCY"")=""GBX"",""GBP"",GOOGLEFINANCE(D2049,""CURRENCY"")))))),B2049)"),"")</f>
        <v/>
      </c>
      <c r="R2049" s="263" t="str">
        <f>IFERROR(__xludf.DUMMYFUNCTION("IF(ISBLANK(A2049),"""",IFERROR(IF(OR(Q2049=""GPB"",Q2049=""ZAR""),IF(Q2049=Dashboard!$L$1,K2049,(K2049*GOOGLEFINANCE(""CURRENCY:""&amp;Q2049&amp;""""&amp;Dashboard!$L$1&amp;""""))/100),IF(Q2049=Dashboard!$L$1,K2049,K2049*GOOGLEFINANCE(""CURRENCY:""&amp;Q2049&amp;""""&amp;Dashboard!$"&amp;"L$1&amp;""""))),K2049))"),"")</f>
        <v/>
      </c>
      <c r="S2049" s="266" t="str">
        <f>IFERROR(__xludf.DUMMYFUNCTION("IF(ISBLANK(A2049),"""",IFERROR(IF(OR(Q2049=""GPB"",Q2049=""ZAR""),IF(Q2049=Dashboard!$L$1,M2049,(M2049*GOOGLEFINANCE(""CURRENCY:""&amp;Q2049&amp;""""&amp;Dashboard!$L$1&amp;""""))/100),IF(Q2049=Dashboard!$L$1,M2049,M2049*GOOGLEFINANCE(""CURRENCY:""&amp;Q2049&amp;""""&amp;Dashboard!$"&amp;"L$1&amp;""""))),M2049))"),"")</f>
        <v/>
      </c>
      <c r="T2049" s="264" t="str">
        <f t="shared" si="4"/>
        <v/>
      </c>
      <c r="U2049" s="264" t="str">
        <f t="shared" si="5"/>
        <v/>
      </c>
      <c r="V2049" s="264" t="str">
        <f t="shared" si="6"/>
        <v/>
      </c>
      <c r="W2049" s="267" t="str">
        <f t="shared" si="8"/>
        <v/>
      </c>
      <c r="X2049" s="264" t="str">
        <f t="shared" si="7"/>
        <v/>
      </c>
    </row>
    <row r="2050" ht="15.75" customHeight="1">
      <c r="A2050" s="258"/>
      <c r="B2050" s="258"/>
      <c r="C2050" s="269"/>
      <c r="D2050" s="258"/>
      <c r="E2050" s="258"/>
      <c r="F2050" s="258"/>
      <c r="G2050" s="258"/>
      <c r="H2050" s="271"/>
      <c r="I2050" s="258"/>
      <c r="J2050" s="272"/>
      <c r="K2050" s="260"/>
      <c r="L2050" s="261"/>
      <c r="M2050" s="262" t="str">
        <f t="shared" si="1"/>
        <v/>
      </c>
      <c r="N2050" s="263" t="str">
        <f t="shared" si="2"/>
        <v/>
      </c>
      <c r="O2050" s="264" t="str">
        <f t="shared" si="3"/>
        <v/>
      </c>
      <c r="P2050" s="265" t="str">
        <f>IFERROR(__xludf.DUMMYFUNCTION("IF(ISBLANK(A2050),"""",IFERROR(IF(H2050=""Sell"",VLOOKUP(9^99,FILTER({ROW(P$2:P2049),P$2:P2049},D$2:D2049=D2050),2),(VLOOKUP(9^99,FILTER({ROW(P$2:P2049),P$2:P2049},D$2:D2049=D2050),2)*VLOOKUP(9^99,FILTER({ROW(O$2:O2049),O$2:O2049},D$2:D2049=D2050),2)-N205"&amp;"0)/O2050),J2050))"),"")</f>
        <v/>
      </c>
      <c r="Q2050" s="264" t="str">
        <f>IFERROR(__xludf.DUMMYFUNCTION("IFERROR(IF(F2050=""Crypto"",B2050,(IF(ISBLANK(D2050),"""",IF(D2050=""Cash"",B2050,IF(GOOGLEFINANCE(D2050,""CURRENCY"")=""GBX"",""GBP"",GOOGLEFINANCE(D2050,""CURRENCY"")))))),B2050)"),"")</f>
        <v/>
      </c>
      <c r="R2050" s="263" t="str">
        <f>IFERROR(__xludf.DUMMYFUNCTION("IF(ISBLANK(A2050),"""",IFERROR(IF(OR(Q2050=""GPB"",Q2050=""ZAR""),IF(Q2050=Dashboard!$L$1,K2050,(K2050*GOOGLEFINANCE(""CURRENCY:""&amp;Q2050&amp;""""&amp;Dashboard!$L$1&amp;""""))/100),IF(Q2050=Dashboard!$L$1,K2050,K2050*GOOGLEFINANCE(""CURRENCY:""&amp;Q2050&amp;""""&amp;Dashboard!$"&amp;"L$1&amp;""""))),K2050))"),"")</f>
        <v/>
      </c>
      <c r="S2050" s="266" t="str">
        <f>IFERROR(__xludf.DUMMYFUNCTION("IF(ISBLANK(A2050),"""",IFERROR(IF(OR(Q2050=""GPB"",Q2050=""ZAR""),IF(Q2050=Dashboard!$L$1,M2050,(M2050*GOOGLEFINANCE(""CURRENCY:""&amp;Q2050&amp;""""&amp;Dashboard!$L$1&amp;""""))/100),IF(Q2050=Dashboard!$L$1,M2050,M2050*GOOGLEFINANCE(""CURRENCY:""&amp;Q2050&amp;""""&amp;Dashboard!$"&amp;"L$1&amp;""""))),M2050))"),"")</f>
        <v/>
      </c>
      <c r="T2050" s="264" t="str">
        <f t="shared" si="4"/>
        <v/>
      </c>
      <c r="U2050" s="264" t="str">
        <f t="shared" si="5"/>
        <v/>
      </c>
      <c r="V2050" s="264" t="str">
        <f t="shared" si="6"/>
        <v/>
      </c>
      <c r="W2050" s="267" t="str">
        <f t="shared" si="8"/>
        <v/>
      </c>
      <c r="X2050" s="264" t="str">
        <f t="shared" si="7"/>
        <v/>
      </c>
    </row>
    <row r="2051" ht="15.75" customHeight="1">
      <c r="A2051" s="258"/>
      <c r="B2051" s="258"/>
      <c r="C2051" s="269"/>
      <c r="D2051" s="258"/>
      <c r="E2051" s="258"/>
      <c r="F2051" s="258"/>
      <c r="G2051" s="258"/>
      <c r="H2051" s="271"/>
      <c r="I2051" s="258"/>
      <c r="J2051" s="272"/>
      <c r="K2051" s="260"/>
      <c r="L2051" s="261"/>
      <c r="M2051" s="262" t="str">
        <f t="shared" si="1"/>
        <v/>
      </c>
      <c r="N2051" s="263" t="str">
        <f t="shared" si="2"/>
        <v/>
      </c>
      <c r="O2051" s="264" t="str">
        <f t="shared" si="3"/>
        <v/>
      </c>
      <c r="P2051" s="265" t="str">
        <f>IFERROR(__xludf.DUMMYFUNCTION("IF(ISBLANK(A2051),"""",IFERROR(IF(H2051=""Sell"",VLOOKUP(9^99,FILTER({ROW(P$2:P2050),P$2:P2050},D$2:D2050=D2051),2),(VLOOKUP(9^99,FILTER({ROW(P$2:P2050),P$2:P2050},D$2:D2050=D2051),2)*VLOOKUP(9^99,FILTER({ROW(O$2:O2050),O$2:O2050},D$2:D2050=D2051),2)-N205"&amp;"1)/O2051),J2051))"),"")</f>
        <v/>
      </c>
      <c r="Q2051" s="264" t="str">
        <f>IFERROR(__xludf.DUMMYFUNCTION("IFERROR(IF(F2051=""Crypto"",B2051,(IF(ISBLANK(D2051),"""",IF(D2051=""Cash"",B2051,IF(GOOGLEFINANCE(D2051,""CURRENCY"")=""GBX"",""GBP"",GOOGLEFINANCE(D2051,""CURRENCY"")))))),B2051)"),"")</f>
        <v/>
      </c>
      <c r="R2051" s="263" t="str">
        <f>IFERROR(__xludf.DUMMYFUNCTION("IF(ISBLANK(A2051),"""",IFERROR(IF(OR(Q2051=""GPB"",Q2051=""ZAR""),IF(Q2051=Dashboard!$L$1,K2051,(K2051*GOOGLEFINANCE(""CURRENCY:""&amp;Q2051&amp;""""&amp;Dashboard!$L$1&amp;""""))/100),IF(Q2051=Dashboard!$L$1,K2051,K2051*GOOGLEFINANCE(""CURRENCY:""&amp;Q2051&amp;""""&amp;Dashboard!$"&amp;"L$1&amp;""""))),K2051))"),"")</f>
        <v/>
      </c>
      <c r="S2051" s="266" t="str">
        <f>IFERROR(__xludf.DUMMYFUNCTION("IF(ISBLANK(A2051),"""",IFERROR(IF(OR(Q2051=""GPB"",Q2051=""ZAR""),IF(Q2051=Dashboard!$L$1,M2051,(M2051*GOOGLEFINANCE(""CURRENCY:""&amp;Q2051&amp;""""&amp;Dashboard!$L$1&amp;""""))/100),IF(Q2051=Dashboard!$L$1,M2051,M2051*GOOGLEFINANCE(""CURRENCY:""&amp;Q2051&amp;""""&amp;Dashboard!$"&amp;"L$1&amp;""""))),M2051))"),"")</f>
        <v/>
      </c>
      <c r="T2051" s="264" t="str">
        <f t="shared" si="4"/>
        <v/>
      </c>
      <c r="U2051" s="264" t="str">
        <f t="shared" si="5"/>
        <v/>
      </c>
      <c r="V2051" s="264" t="str">
        <f t="shared" si="6"/>
        <v/>
      </c>
      <c r="W2051" s="267" t="str">
        <f t="shared" si="8"/>
        <v/>
      </c>
      <c r="X2051" s="264" t="str">
        <f t="shared" si="7"/>
        <v/>
      </c>
    </row>
    <row r="2052" ht="15.75" customHeight="1">
      <c r="A2052" s="258"/>
      <c r="B2052" s="258"/>
      <c r="C2052" s="269"/>
      <c r="D2052" s="258"/>
      <c r="E2052" s="258"/>
      <c r="F2052" s="258"/>
      <c r="G2052" s="258"/>
      <c r="H2052" s="271"/>
      <c r="I2052" s="258"/>
      <c r="J2052" s="272"/>
      <c r="K2052" s="260"/>
      <c r="L2052" s="261"/>
      <c r="M2052" s="262" t="str">
        <f t="shared" si="1"/>
        <v/>
      </c>
      <c r="N2052" s="263" t="str">
        <f t="shared" si="2"/>
        <v/>
      </c>
      <c r="O2052" s="264" t="str">
        <f t="shared" si="3"/>
        <v/>
      </c>
      <c r="P2052" s="265" t="str">
        <f>IFERROR(__xludf.DUMMYFUNCTION("IF(ISBLANK(A2052),"""",IFERROR(IF(H2052=""Sell"",VLOOKUP(9^99,FILTER({ROW(P$2:P2051),P$2:P2051},D$2:D2051=D2052),2),(VLOOKUP(9^99,FILTER({ROW(P$2:P2051),P$2:P2051},D$2:D2051=D2052),2)*VLOOKUP(9^99,FILTER({ROW(O$2:O2051),O$2:O2051},D$2:D2051=D2052),2)-N205"&amp;"2)/O2052),J2052))"),"")</f>
        <v/>
      </c>
      <c r="Q2052" s="264" t="str">
        <f>IFERROR(__xludf.DUMMYFUNCTION("IFERROR(IF(F2052=""Crypto"",B2052,(IF(ISBLANK(D2052),"""",IF(D2052=""Cash"",B2052,IF(GOOGLEFINANCE(D2052,""CURRENCY"")=""GBX"",""GBP"",GOOGLEFINANCE(D2052,""CURRENCY"")))))),B2052)"),"")</f>
        <v/>
      </c>
      <c r="R2052" s="263" t="str">
        <f>IFERROR(__xludf.DUMMYFUNCTION("IF(ISBLANK(A2052),"""",IFERROR(IF(OR(Q2052=""GPB"",Q2052=""ZAR""),IF(Q2052=Dashboard!$L$1,K2052,(K2052*GOOGLEFINANCE(""CURRENCY:""&amp;Q2052&amp;""""&amp;Dashboard!$L$1&amp;""""))/100),IF(Q2052=Dashboard!$L$1,K2052,K2052*GOOGLEFINANCE(""CURRENCY:""&amp;Q2052&amp;""""&amp;Dashboard!$"&amp;"L$1&amp;""""))),K2052))"),"")</f>
        <v/>
      </c>
      <c r="S2052" s="266" t="str">
        <f>IFERROR(__xludf.DUMMYFUNCTION("IF(ISBLANK(A2052),"""",IFERROR(IF(OR(Q2052=""GPB"",Q2052=""ZAR""),IF(Q2052=Dashboard!$L$1,M2052,(M2052*GOOGLEFINANCE(""CURRENCY:""&amp;Q2052&amp;""""&amp;Dashboard!$L$1&amp;""""))/100),IF(Q2052=Dashboard!$L$1,M2052,M2052*GOOGLEFINANCE(""CURRENCY:""&amp;Q2052&amp;""""&amp;Dashboard!$"&amp;"L$1&amp;""""))),M2052))"),"")</f>
        <v/>
      </c>
      <c r="T2052" s="264" t="str">
        <f t="shared" si="4"/>
        <v/>
      </c>
      <c r="U2052" s="264" t="str">
        <f t="shared" si="5"/>
        <v/>
      </c>
      <c r="V2052" s="264" t="str">
        <f t="shared" si="6"/>
        <v/>
      </c>
      <c r="W2052" s="267" t="str">
        <f t="shared" si="8"/>
        <v/>
      </c>
      <c r="X2052" s="264" t="str">
        <f t="shared" si="7"/>
        <v/>
      </c>
    </row>
    <row r="2053" ht="15.75" customHeight="1">
      <c r="A2053" s="258"/>
      <c r="B2053" s="258"/>
      <c r="C2053" s="269"/>
      <c r="D2053" s="258"/>
      <c r="E2053" s="258"/>
      <c r="F2053" s="258"/>
      <c r="G2053" s="258"/>
      <c r="H2053" s="271"/>
      <c r="I2053" s="258"/>
      <c r="J2053" s="272"/>
      <c r="K2053" s="260"/>
      <c r="L2053" s="261"/>
      <c r="M2053" s="262" t="str">
        <f t="shared" si="1"/>
        <v/>
      </c>
      <c r="N2053" s="263" t="str">
        <f t="shared" si="2"/>
        <v/>
      </c>
      <c r="O2053" s="264" t="str">
        <f t="shared" si="3"/>
        <v/>
      </c>
      <c r="P2053" s="265" t="str">
        <f>IFERROR(__xludf.DUMMYFUNCTION("IF(ISBLANK(A2053),"""",IFERROR(IF(H2053=""Sell"",VLOOKUP(9^99,FILTER({ROW(P$2:P2052),P$2:P2052},D$2:D2052=D2053),2),(VLOOKUP(9^99,FILTER({ROW(P$2:P2052),P$2:P2052},D$2:D2052=D2053),2)*VLOOKUP(9^99,FILTER({ROW(O$2:O2052),O$2:O2052},D$2:D2052=D2053),2)-N205"&amp;"3)/O2053),J2053))"),"")</f>
        <v/>
      </c>
      <c r="Q2053" s="264" t="str">
        <f>IFERROR(__xludf.DUMMYFUNCTION("IFERROR(IF(F2053=""Crypto"",B2053,(IF(ISBLANK(D2053),"""",IF(D2053=""Cash"",B2053,IF(GOOGLEFINANCE(D2053,""CURRENCY"")=""GBX"",""GBP"",GOOGLEFINANCE(D2053,""CURRENCY"")))))),B2053)"),"")</f>
        <v/>
      </c>
      <c r="R2053" s="263" t="str">
        <f>IFERROR(__xludf.DUMMYFUNCTION("IF(ISBLANK(A2053),"""",IFERROR(IF(OR(Q2053=""GPB"",Q2053=""ZAR""),IF(Q2053=Dashboard!$L$1,K2053,(K2053*GOOGLEFINANCE(""CURRENCY:""&amp;Q2053&amp;""""&amp;Dashboard!$L$1&amp;""""))/100),IF(Q2053=Dashboard!$L$1,K2053,K2053*GOOGLEFINANCE(""CURRENCY:""&amp;Q2053&amp;""""&amp;Dashboard!$"&amp;"L$1&amp;""""))),K2053))"),"")</f>
        <v/>
      </c>
      <c r="S2053" s="266" t="str">
        <f>IFERROR(__xludf.DUMMYFUNCTION("IF(ISBLANK(A2053),"""",IFERROR(IF(OR(Q2053=""GPB"",Q2053=""ZAR""),IF(Q2053=Dashboard!$L$1,M2053,(M2053*GOOGLEFINANCE(""CURRENCY:""&amp;Q2053&amp;""""&amp;Dashboard!$L$1&amp;""""))/100),IF(Q2053=Dashboard!$L$1,M2053,M2053*GOOGLEFINANCE(""CURRENCY:""&amp;Q2053&amp;""""&amp;Dashboard!$"&amp;"L$1&amp;""""))),M2053))"),"")</f>
        <v/>
      </c>
      <c r="T2053" s="264" t="str">
        <f t="shared" si="4"/>
        <v/>
      </c>
      <c r="U2053" s="264" t="str">
        <f t="shared" si="5"/>
        <v/>
      </c>
      <c r="V2053" s="264" t="str">
        <f t="shared" si="6"/>
        <v/>
      </c>
      <c r="W2053" s="267" t="str">
        <f t="shared" si="8"/>
        <v/>
      </c>
      <c r="X2053" s="264" t="str">
        <f t="shared" si="7"/>
        <v/>
      </c>
    </row>
    <row r="2054" ht="15.75" customHeight="1">
      <c r="A2054" s="258"/>
      <c r="B2054" s="258"/>
      <c r="C2054" s="269"/>
      <c r="D2054" s="258"/>
      <c r="E2054" s="258"/>
      <c r="F2054" s="258"/>
      <c r="G2054" s="258"/>
      <c r="H2054" s="271"/>
      <c r="I2054" s="258"/>
      <c r="J2054" s="272"/>
      <c r="K2054" s="260"/>
      <c r="L2054" s="261"/>
      <c r="M2054" s="262" t="str">
        <f t="shared" si="1"/>
        <v/>
      </c>
      <c r="N2054" s="263" t="str">
        <f t="shared" si="2"/>
        <v/>
      </c>
      <c r="O2054" s="264" t="str">
        <f t="shared" si="3"/>
        <v/>
      </c>
      <c r="P2054" s="265" t="str">
        <f>IFERROR(__xludf.DUMMYFUNCTION("IF(ISBLANK(A2054),"""",IFERROR(IF(H2054=""Sell"",VLOOKUP(9^99,FILTER({ROW(P$2:P2053),P$2:P2053},D$2:D2053=D2054),2),(VLOOKUP(9^99,FILTER({ROW(P$2:P2053),P$2:P2053},D$2:D2053=D2054),2)*VLOOKUP(9^99,FILTER({ROW(O$2:O2053),O$2:O2053},D$2:D2053=D2054),2)-N205"&amp;"4)/O2054),J2054))"),"")</f>
        <v/>
      </c>
      <c r="Q2054" s="264" t="str">
        <f>IFERROR(__xludf.DUMMYFUNCTION("IFERROR(IF(F2054=""Crypto"",B2054,(IF(ISBLANK(D2054),"""",IF(D2054=""Cash"",B2054,IF(GOOGLEFINANCE(D2054,""CURRENCY"")=""GBX"",""GBP"",GOOGLEFINANCE(D2054,""CURRENCY"")))))),B2054)"),"")</f>
        <v/>
      </c>
      <c r="R2054" s="263" t="str">
        <f>IFERROR(__xludf.DUMMYFUNCTION("IF(ISBLANK(A2054),"""",IFERROR(IF(OR(Q2054=""GPB"",Q2054=""ZAR""),IF(Q2054=Dashboard!$L$1,K2054,(K2054*GOOGLEFINANCE(""CURRENCY:""&amp;Q2054&amp;""""&amp;Dashboard!$L$1&amp;""""))/100),IF(Q2054=Dashboard!$L$1,K2054,K2054*GOOGLEFINANCE(""CURRENCY:""&amp;Q2054&amp;""""&amp;Dashboard!$"&amp;"L$1&amp;""""))),K2054))"),"")</f>
        <v/>
      </c>
      <c r="S2054" s="266" t="str">
        <f>IFERROR(__xludf.DUMMYFUNCTION("IF(ISBLANK(A2054),"""",IFERROR(IF(OR(Q2054=""GPB"",Q2054=""ZAR""),IF(Q2054=Dashboard!$L$1,M2054,(M2054*GOOGLEFINANCE(""CURRENCY:""&amp;Q2054&amp;""""&amp;Dashboard!$L$1&amp;""""))/100),IF(Q2054=Dashboard!$L$1,M2054,M2054*GOOGLEFINANCE(""CURRENCY:""&amp;Q2054&amp;""""&amp;Dashboard!$"&amp;"L$1&amp;""""))),M2054))"),"")</f>
        <v/>
      </c>
      <c r="T2054" s="264" t="str">
        <f t="shared" si="4"/>
        <v/>
      </c>
      <c r="U2054" s="264" t="str">
        <f t="shared" si="5"/>
        <v/>
      </c>
      <c r="V2054" s="264" t="str">
        <f t="shared" si="6"/>
        <v/>
      </c>
      <c r="W2054" s="267" t="str">
        <f t="shared" si="8"/>
        <v/>
      </c>
      <c r="X2054" s="264" t="str">
        <f t="shared" si="7"/>
        <v/>
      </c>
    </row>
    <row r="2055" ht="15.75" customHeight="1">
      <c r="A2055" s="258"/>
      <c r="B2055" s="258"/>
      <c r="C2055" s="269"/>
      <c r="D2055" s="258"/>
      <c r="E2055" s="258"/>
      <c r="F2055" s="258"/>
      <c r="G2055" s="258"/>
      <c r="H2055" s="271"/>
      <c r="I2055" s="258"/>
      <c r="J2055" s="272"/>
      <c r="K2055" s="260"/>
      <c r="L2055" s="261"/>
      <c r="M2055" s="262" t="str">
        <f t="shared" si="1"/>
        <v/>
      </c>
      <c r="N2055" s="263" t="str">
        <f t="shared" si="2"/>
        <v/>
      </c>
      <c r="O2055" s="264" t="str">
        <f t="shared" si="3"/>
        <v/>
      </c>
      <c r="P2055" s="265" t="str">
        <f>IFERROR(__xludf.DUMMYFUNCTION("IF(ISBLANK(A2055),"""",IFERROR(IF(H2055=""Sell"",VLOOKUP(9^99,FILTER({ROW(P$2:P2054),P$2:P2054},D$2:D2054=D2055),2),(VLOOKUP(9^99,FILTER({ROW(P$2:P2054),P$2:P2054},D$2:D2054=D2055),2)*VLOOKUP(9^99,FILTER({ROW(O$2:O2054),O$2:O2054},D$2:D2054=D2055),2)-N205"&amp;"5)/O2055),J2055))"),"")</f>
        <v/>
      </c>
      <c r="Q2055" s="264" t="str">
        <f>IFERROR(__xludf.DUMMYFUNCTION("IFERROR(IF(F2055=""Crypto"",B2055,(IF(ISBLANK(D2055),"""",IF(D2055=""Cash"",B2055,IF(GOOGLEFINANCE(D2055,""CURRENCY"")=""GBX"",""GBP"",GOOGLEFINANCE(D2055,""CURRENCY"")))))),B2055)"),"")</f>
        <v/>
      </c>
      <c r="R2055" s="263" t="str">
        <f>IFERROR(__xludf.DUMMYFUNCTION("IF(ISBLANK(A2055),"""",IFERROR(IF(OR(Q2055=""GPB"",Q2055=""ZAR""),IF(Q2055=Dashboard!$L$1,K2055,(K2055*GOOGLEFINANCE(""CURRENCY:""&amp;Q2055&amp;""""&amp;Dashboard!$L$1&amp;""""))/100),IF(Q2055=Dashboard!$L$1,K2055,K2055*GOOGLEFINANCE(""CURRENCY:""&amp;Q2055&amp;""""&amp;Dashboard!$"&amp;"L$1&amp;""""))),K2055))"),"")</f>
        <v/>
      </c>
      <c r="S2055" s="266" t="str">
        <f>IFERROR(__xludf.DUMMYFUNCTION("IF(ISBLANK(A2055),"""",IFERROR(IF(OR(Q2055=""GPB"",Q2055=""ZAR""),IF(Q2055=Dashboard!$L$1,M2055,(M2055*GOOGLEFINANCE(""CURRENCY:""&amp;Q2055&amp;""""&amp;Dashboard!$L$1&amp;""""))/100),IF(Q2055=Dashboard!$L$1,M2055,M2055*GOOGLEFINANCE(""CURRENCY:""&amp;Q2055&amp;""""&amp;Dashboard!$"&amp;"L$1&amp;""""))),M2055))"),"")</f>
        <v/>
      </c>
      <c r="T2055" s="264" t="str">
        <f t="shared" si="4"/>
        <v/>
      </c>
      <c r="U2055" s="264" t="str">
        <f t="shared" si="5"/>
        <v/>
      </c>
      <c r="V2055" s="264" t="str">
        <f t="shared" si="6"/>
        <v/>
      </c>
      <c r="W2055" s="267" t="str">
        <f t="shared" si="8"/>
        <v/>
      </c>
      <c r="X2055" s="264" t="str">
        <f t="shared" si="7"/>
        <v/>
      </c>
    </row>
    <row r="2056" ht="15.75" customHeight="1">
      <c r="A2056" s="258"/>
      <c r="B2056" s="258"/>
      <c r="C2056" s="269"/>
      <c r="D2056" s="258"/>
      <c r="E2056" s="258"/>
      <c r="F2056" s="258"/>
      <c r="G2056" s="258"/>
      <c r="H2056" s="271"/>
      <c r="I2056" s="258"/>
      <c r="J2056" s="272"/>
      <c r="K2056" s="260"/>
      <c r="L2056" s="261"/>
      <c r="M2056" s="262" t="str">
        <f t="shared" si="1"/>
        <v/>
      </c>
      <c r="N2056" s="263" t="str">
        <f t="shared" si="2"/>
        <v/>
      </c>
      <c r="O2056" s="264" t="str">
        <f t="shared" si="3"/>
        <v/>
      </c>
      <c r="P2056" s="265" t="str">
        <f>IFERROR(__xludf.DUMMYFUNCTION("IF(ISBLANK(A2056),"""",IFERROR(IF(H2056=""Sell"",VLOOKUP(9^99,FILTER({ROW(P$2:P2055),P$2:P2055},D$2:D2055=D2056),2),(VLOOKUP(9^99,FILTER({ROW(P$2:P2055),P$2:P2055},D$2:D2055=D2056),2)*VLOOKUP(9^99,FILTER({ROW(O$2:O2055),O$2:O2055},D$2:D2055=D2056),2)-N205"&amp;"6)/O2056),J2056))"),"")</f>
        <v/>
      </c>
      <c r="Q2056" s="264" t="str">
        <f>IFERROR(__xludf.DUMMYFUNCTION("IFERROR(IF(F2056=""Crypto"",B2056,(IF(ISBLANK(D2056),"""",IF(D2056=""Cash"",B2056,IF(GOOGLEFINANCE(D2056,""CURRENCY"")=""GBX"",""GBP"",GOOGLEFINANCE(D2056,""CURRENCY"")))))),B2056)"),"")</f>
        <v/>
      </c>
      <c r="R2056" s="263" t="str">
        <f>IFERROR(__xludf.DUMMYFUNCTION("IF(ISBLANK(A2056),"""",IFERROR(IF(OR(Q2056=""GPB"",Q2056=""ZAR""),IF(Q2056=Dashboard!$L$1,K2056,(K2056*GOOGLEFINANCE(""CURRENCY:""&amp;Q2056&amp;""""&amp;Dashboard!$L$1&amp;""""))/100),IF(Q2056=Dashboard!$L$1,K2056,K2056*GOOGLEFINANCE(""CURRENCY:""&amp;Q2056&amp;""""&amp;Dashboard!$"&amp;"L$1&amp;""""))),K2056))"),"")</f>
        <v/>
      </c>
      <c r="S2056" s="266" t="str">
        <f>IFERROR(__xludf.DUMMYFUNCTION("IF(ISBLANK(A2056),"""",IFERROR(IF(OR(Q2056=""GPB"",Q2056=""ZAR""),IF(Q2056=Dashboard!$L$1,M2056,(M2056*GOOGLEFINANCE(""CURRENCY:""&amp;Q2056&amp;""""&amp;Dashboard!$L$1&amp;""""))/100),IF(Q2056=Dashboard!$L$1,M2056,M2056*GOOGLEFINANCE(""CURRENCY:""&amp;Q2056&amp;""""&amp;Dashboard!$"&amp;"L$1&amp;""""))),M2056))"),"")</f>
        <v/>
      </c>
      <c r="T2056" s="264" t="str">
        <f t="shared" si="4"/>
        <v/>
      </c>
      <c r="U2056" s="264" t="str">
        <f t="shared" si="5"/>
        <v/>
      </c>
      <c r="V2056" s="264" t="str">
        <f t="shared" si="6"/>
        <v/>
      </c>
      <c r="W2056" s="267" t="str">
        <f t="shared" si="8"/>
        <v/>
      </c>
      <c r="X2056" s="264" t="str">
        <f t="shared" si="7"/>
        <v/>
      </c>
    </row>
    <row r="2057" ht="15.75" customHeight="1">
      <c r="A2057" s="258"/>
      <c r="B2057" s="258"/>
      <c r="C2057" s="269"/>
      <c r="D2057" s="258"/>
      <c r="E2057" s="258"/>
      <c r="F2057" s="258"/>
      <c r="G2057" s="258"/>
      <c r="H2057" s="271"/>
      <c r="I2057" s="258"/>
      <c r="J2057" s="272"/>
      <c r="K2057" s="260"/>
      <c r="L2057" s="261"/>
      <c r="M2057" s="262" t="str">
        <f t="shared" si="1"/>
        <v/>
      </c>
      <c r="N2057" s="263" t="str">
        <f t="shared" si="2"/>
        <v/>
      </c>
      <c r="O2057" s="264" t="str">
        <f t="shared" si="3"/>
        <v/>
      </c>
      <c r="P2057" s="265" t="str">
        <f>IFERROR(__xludf.DUMMYFUNCTION("IF(ISBLANK(A2057),"""",IFERROR(IF(H2057=""Sell"",VLOOKUP(9^99,FILTER({ROW(P$2:P2056),P$2:P2056},D$2:D2056=D2057),2),(VLOOKUP(9^99,FILTER({ROW(P$2:P2056),P$2:P2056},D$2:D2056=D2057),2)*VLOOKUP(9^99,FILTER({ROW(O$2:O2056),O$2:O2056},D$2:D2056=D2057),2)-N205"&amp;"7)/O2057),J2057))"),"")</f>
        <v/>
      </c>
      <c r="Q2057" s="264" t="str">
        <f>IFERROR(__xludf.DUMMYFUNCTION("IFERROR(IF(F2057=""Crypto"",B2057,(IF(ISBLANK(D2057),"""",IF(D2057=""Cash"",B2057,IF(GOOGLEFINANCE(D2057,""CURRENCY"")=""GBX"",""GBP"",GOOGLEFINANCE(D2057,""CURRENCY"")))))),B2057)"),"")</f>
        <v/>
      </c>
      <c r="R2057" s="263" t="str">
        <f>IFERROR(__xludf.DUMMYFUNCTION("IF(ISBLANK(A2057),"""",IFERROR(IF(OR(Q2057=""GPB"",Q2057=""ZAR""),IF(Q2057=Dashboard!$L$1,K2057,(K2057*GOOGLEFINANCE(""CURRENCY:""&amp;Q2057&amp;""""&amp;Dashboard!$L$1&amp;""""))/100),IF(Q2057=Dashboard!$L$1,K2057,K2057*GOOGLEFINANCE(""CURRENCY:""&amp;Q2057&amp;""""&amp;Dashboard!$"&amp;"L$1&amp;""""))),K2057))"),"")</f>
        <v/>
      </c>
      <c r="S2057" s="266" t="str">
        <f>IFERROR(__xludf.DUMMYFUNCTION("IF(ISBLANK(A2057),"""",IFERROR(IF(OR(Q2057=""GPB"",Q2057=""ZAR""),IF(Q2057=Dashboard!$L$1,M2057,(M2057*GOOGLEFINANCE(""CURRENCY:""&amp;Q2057&amp;""""&amp;Dashboard!$L$1&amp;""""))/100),IF(Q2057=Dashboard!$L$1,M2057,M2057*GOOGLEFINANCE(""CURRENCY:""&amp;Q2057&amp;""""&amp;Dashboard!$"&amp;"L$1&amp;""""))),M2057))"),"")</f>
        <v/>
      </c>
      <c r="T2057" s="264" t="str">
        <f t="shared" si="4"/>
        <v/>
      </c>
      <c r="U2057" s="264" t="str">
        <f t="shared" si="5"/>
        <v/>
      </c>
      <c r="V2057" s="264" t="str">
        <f t="shared" si="6"/>
        <v/>
      </c>
      <c r="W2057" s="267" t="str">
        <f t="shared" si="8"/>
        <v/>
      </c>
      <c r="X2057" s="264" t="str">
        <f t="shared" si="7"/>
        <v/>
      </c>
    </row>
    <row r="2058" ht="15.75" customHeight="1">
      <c r="A2058" s="258"/>
      <c r="B2058" s="258"/>
      <c r="C2058" s="269"/>
      <c r="D2058" s="258"/>
      <c r="E2058" s="258"/>
      <c r="F2058" s="258"/>
      <c r="G2058" s="258"/>
      <c r="H2058" s="271"/>
      <c r="I2058" s="258"/>
      <c r="J2058" s="272"/>
      <c r="K2058" s="260"/>
      <c r="L2058" s="261"/>
      <c r="M2058" s="262" t="str">
        <f t="shared" si="1"/>
        <v/>
      </c>
      <c r="N2058" s="263" t="str">
        <f t="shared" si="2"/>
        <v/>
      </c>
      <c r="O2058" s="264" t="str">
        <f t="shared" si="3"/>
        <v/>
      </c>
      <c r="P2058" s="265" t="str">
        <f>IFERROR(__xludf.DUMMYFUNCTION("IF(ISBLANK(A2058),"""",IFERROR(IF(H2058=""Sell"",VLOOKUP(9^99,FILTER({ROW(P$2:P2057),P$2:P2057},D$2:D2057=D2058),2),(VLOOKUP(9^99,FILTER({ROW(P$2:P2057),P$2:P2057},D$2:D2057=D2058),2)*VLOOKUP(9^99,FILTER({ROW(O$2:O2057),O$2:O2057},D$2:D2057=D2058),2)-N205"&amp;"8)/O2058),J2058))"),"")</f>
        <v/>
      </c>
      <c r="Q2058" s="264" t="str">
        <f>IFERROR(__xludf.DUMMYFUNCTION("IFERROR(IF(F2058=""Crypto"",B2058,(IF(ISBLANK(D2058),"""",IF(D2058=""Cash"",B2058,IF(GOOGLEFINANCE(D2058,""CURRENCY"")=""GBX"",""GBP"",GOOGLEFINANCE(D2058,""CURRENCY"")))))),B2058)"),"")</f>
        <v/>
      </c>
      <c r="R2058" s="263" t="str">
        <f>IFERROR(__xludf.DUMMYFUNCTION("IF(ISBLANK(A2058),"""",IFERROR(IF(OR(Q2058=""GPB"",Q2058=""ZAR""),IF(Q2058=Dashboard!$L$1,K2058,(K2058*GOOGLEFINANCE(""CURRENCY:""&amp;Q2058&amp;""""&amp;Dashboard!$L$1&amp;""""))/100),IF(Q2058=Dashboard!$L$1,K2058,K2058*GOOGLEFINANCE(""CURRENCY:""&amp;Q2058&amp;""""&amp;Dashboard!$"&amp;"L$1&amp;""""))),K2058))"),"")</f>
        <v/>
      </c>
      <c r="S2058" s="266" t="str">
        <f>IFERROR(__xludf.DUMMYFUNCTION("IF(ISBLANK(A2058),"""",IFERROR(IF(OR(Q2058=""GPB"",Q2058=""ZAR""),IF(Q2058=Dashboard!$L$1,M2058,(M2058*GOOGLEFINANCE(""CURRENCY:""&amp;Q2058&amp;""""&amp;Dashboard!$L$1&amp;""""))/100),IF(Q2058=Dashboard!$L$1,M2058,M2058*GOOGLEFINANCE(""CURRENCY:""&amp;Q2058&amp;""""&amp;Dashboard!$"&amp;"L$1&amp;""""))),M2058))"),"")</f>
        <v/>
      </c>
      <c r="T2058" s="264" t="str">
        <f t="shared" si="4"/>
        <v/>
      </c>
      <c r="U2058" s="264" t="str">
        <f t="shared" si="5"/>
        <v/>
      </c>
      <c r="V2058" s="264" t="str">
        <f t="shared" si="6"/>
        <v/>
      </c>
      <c r="W2058" s="267" t="str">
        <f t="shared" si="8"/>
        <v/>
      </c>
      <c r="X2058" s="264" t="str">
        <f t="shared" si="7"/>
        <v/>
      </c>
    </row>
    <row r="2059" ht="15.75" customHeight="1">
      <c r="A2059" s="258"/>
      <c r="B2059" s="258"/>
      <c r="C2059" s="269"/>
      <c r="D2059" s="258"/>
      <c r="E2059" s="258"/>
      <c r="F2059" s="258"/>
      <c r="G2059" s="258"/>
      <c r="H2059" s="271"/>
      <c r="I2059" s="258"/>
      <c r="J2059" s="272"/>
      <c r="K2059" s="260"/>
      <c r="L2059" s="261"/>
      <c r="M2059" s="262" t="str">
        <f t="shared" si="1"/>
        <v/>
      </c>
      <c r="N2059" s="263" t="str">
        <f t="shared" si="2"/>
        <v/>
      </c>
      <c r="O2059" s="264" t="str">
        <f t="shared" si="3"/>
        <v/>
      </c>
      <c r="P2059" s="265" t="str">
        <f>IFERROR(__xludf.DUMMYFUNCTION("IF(ISBLANK(A2059),"""",IFERROR(IF(H2059=""Sell"",VLOOKUP(9^99,FILTER({ROW(P$2:P2058),P$2:P2058},D$2:D2058=D2059),2),(VLOOKUP(9^99,FILTER({ROW(P$2:P2058),P$2:P2058},D$2:D2058=D2059),2)*VLOOKUP(9^99,FILTER({ROW(O$2:O2058),O$2:O2058},D$2:D2058=D2059),2)-N205"&amp;"9)/O2059),J2059))"),"")</f>
        <v/>
      </c>
      <c r="Q2059" s="264" t="str">
        <f>IFERROR(__xludf.DUMMYFUNCTION("IFERROR(IF(F2059=""Crypto"",B2059,(IF(ISBLANK(D2059),"""",IF(D2059=""Cash"",B2059,IF(GOOGLEFINANCE(D2059,""CURRENCY"")=""GBX"",""GBP"",GOOGLEFINANCE(D2059,""CURRENCY"")))))),B2059)"),"")</f>
        <v/>
      </c>
      <c r="R2059" s="263" t="str">
        <f>IFERROR(__xludf.DUMMYFUNCTION("IF(ISBLANK(A2059),"""",IFERROR(IF(OR(Q2059=""GPB"",Q2059=""ZAR""),IF(Q2059=Dashboard!$L$1,K2059,(K2059*GOOGLEFINANCE(""CURRENCY:""&amp;Q2059&amp;""""&amp;Dashboard!$L$1&amp;""""))/100),IF(Q2059=Dashboard!$L$1,K2059,K2059*GOOGLEFINANCE(""CURRENCY:""&amp;Q2059&amp;""""&amp;Dashboard!$"&amp;"L$1&amp;""""))),K2059))"),"")</f>
        <v/>
      </c>
      <c r="S2059" s="266" t="str">
        <f>IFERROR(__xludf.DUMMYFUNCTION("IF(ISBLANK(A2059),"""",IFERROR(IF(OR(Q2059=""GPB"",Q2059=""ZAR""),IF(Q2059=Dashboard!$L$1,M2059,(M2059*GOOGLEFINANCE(""CURRENCY:""&amp;Q2059&amp;""""&amp;Dashboard!$L$1&amp;""""))/100),IF(Q2059=Dashboard!$L$1,M2059,M2059*GOOGLEFINANCE(""CURRENCY:""&amp;Q2059&amp;""""&amp;Dashboard!$"&amp;"L$1&amp;""""))),M2059))"),"")</f>
        <v/>
      </c>
      <c r="T2059" s="264" t="str">
        <f t="shared" si="4"/>
        <v/>
      </c>
      <c r="U2059" s="264" t="str">
        <f t="shared" si="5"/>
        <v/>
      </c>
      <c r="V2059" s="264" t="str">
        <f t="shared" si="6"/>
        <v/>
      </c>
      <c r="W2059" s="267" t="str">
        <f t="shared" si="8"/>
        <v/>
      </c>
      <c r="X2059" s="264" t="str">
        <f t="shared" si="7"/>
        <v/>
      </c>
    </row>
    <row r="2060" ht="15.75" customHeight="1">
      <c r="A2060" s="258"/>
      <c r="B2060" s="258"/>
      <c r="C2060" s="269"/>
      <c r="D2060" s="258"/>
      <c r="E2060" s="258"/>
      <c r="F2060" s="258"/>
      <c r="G2060" s="258"/>
      <c r="H2060" s="271"/>
      <c r="I2060" s="258"/>
      <c r="J2060" s="272"/>
      <c r="K2060" s="260"/>
      <c r="L2060" s="261"/>
      <c r="M2060" s="262" t="str">
        <f t="shared" si="1"/>
        <v/>
      </c>
      <c r="N2060" s="263" t="str">
        <f t="shared" si="2"/>
        <v/>
      </c>
      <c r="O2060" s="264" t="str">
        <f t="shared" si="3"/>
        <v/>
      </c>
      <c r="P2060" s="265" t="str">
        <f>IFERROR(__xludf.DUMMYFUNCTION("IF(ISBLANK(A2060),"""",IFERROR(IF(H2060=""Sell"",VLOOKUP(9^99,FILTER({ROW(P$2:P2059),P$2:P2059},D$2:D2059=D2060),2),(VLOOKUP(9^99,FILTER({ROW(P$2:P2059),P$2:P2059},D$2:D2059=D2060),2)*VLOOKUP(9^99,FILTER({ROW(O$2:O2059),O$2:O2059},D$2:D2059=D2060),2)-N206"&amp;"0)/O2060),J2060))"),"")</f>
        <v/>
      </c>
      <c r="Q2060" s="264" t="str">
        <f>IFERROR(__xludf.DUMMYFUNCTION("IFERROR(IF(F2060=""Crypto"",B2060,(IF(ISBLANK(D2060),"""",IF(D2060=""Cash"",B2060,IF(GOOGLEFINANCE(D2060,""CURRENCY"")=""GBX"",""GBP"",GOOGLEFINANCE(D2060,""CURRENCY"")))))),B2060)"),"")</f>
        <v/>
      </c>
      <c r="R2060" s="263" t="str">
        <f>IFERROR(__xludf.DUMMYFUNCTION("IF(ISBLANK(A2060),"""",IFERROR(IF(OR(Q2060=""GPB"",Q2060=""ZAR""),IF(Q2060=Dashboard!$L$1,K2060,(K2060*GOOGLEFINANCE(""CURRENCY:""&amp;Q2060&amp;""""&amp;Dashboard!$L$1&amp;""""))/100),IF(Q2060=Dashboard!$L$1,K2060,K2060*GOOGLEFINANCE(""CURRENCY:""&amp;Q2060&amp;""""&amp;Dashboard!$"&amp;"L$1&amp;""""))),K2060))"),"")</f>
        <v/>
      </c>
      <c r="S2060" s="266" t="str">
        <f>IFERROR(__xludf.DUMMYFUNCTION("IF(ISBLANK(A2060),"""",IFERROR(IF(OR(Q2060=""GPB"",Q2060=""ZAR""),IF(Q2060=Dashboard!$L$1,M2060,(M2060*GOOGLEFINANCE(""CURRENCY:""&amp;Q2060&amp;""""&amp;Dashboard!$L$1&amp;""""))/100),IF(Q2060=Dashboard!$L$1,M2060,M2060*GOOGLEFINANCE(""CURRENCY:""&amp;Q2060&amp;""""&amp;Dashboard!$"&amp;"L$1&amp;""""))),M2060))"),"")</f>
        <v/>
      </c>
      <c r="T2060" s="264" t="str">
        <f t="shared" si="4"/>
        <v/>
      </c>
      <c r="U2060" s="264" t="str">
        <f t="shared" si="5"/>
        <v/>
      </c>
      <c r="V2060" s="264" t="str">
        <f t="shared" si="6"/>
        <v/>
      </c>
      <c r="W2060" s="267" t="str">
        <f t="shared" si="8"/>
        <v/>
      </c>
      <c r="X2060" s="264" t="str">
        <f t="shared" si="7"/>
        <v/>
      </c>
    </row>
    <row r="2061" ht="15.75" customHeight="1">
      <c r="A2061" s="258"/>
      <c r="B2061" s="258"/>
      <c r="C2061" s="269"/>
      <c r="D2061" s="258"/>
      <c r="E2061" s="258"/>
      <c r="F2061" s="258"/>
      <c r="G2061" s="258"/>
      <c r="H2061" s="271"/>
      <c r="I2061" s="258"/>
      <c r="J2061" s="272"/>
      <c r="K2061" s="260"/>
      <c r="L2061" s="261"/>
      <c r="M2061" s="262" t="str">
        <f t="shared" si="1"/>
        <v/>
      </c>
      <c r="N2061" s="263" t="str">
        <f t="shared" si="2"/>
        <v/>
      </c>
      <c r="O2061" s="264" t="str">
        <f t="shared" si="3"/>
        <v/>
      </c>
      <c r="P2061" s="265" t="str">
        <f>IFERROR(__xludf.DUMMYFUNCTION("IF(ISBLANK(A2061),"""",IFERROR(IF(H2061=""Sell"",VLOOKUP(9^99,FILTER({ROW(P$2:P2060),P$2:P2060},D$2:D2060=D2061),2),(VLOOKUP(9^99,FILTER({ROW(P$2:P2060),P$2:P2060},D$2:D2060=D2061),2)*VLOOKUP(9^99,FILTER({ROW(O$2:O2060),O$2:O2060},D$2:D2060=D2061),2)-N206"&amp;"1)/O2061),J2061))"),"")</f>
        <v/>
      </c>
      <c r="Q2061" s="264" t="str">
        <f>IFERROR(__xludf.DUMMYFUNCTION("IFERROR(IF(F2061=""Crypto"",B2061,(IF(ISBLANK(D2061),"""",IF(D2061=""Cash"",B2061,IF(GOOGLEFINANCE(D2061,""CURRENCY"")=""GBX"",""GBP"",GOOGLEFINANCE(D2061,""CURRENCY"")))))),B2061)"),"")</f>
        <v/>
      </c>
      <c r="R2061" s="263" t="str">
        <f>IFERROR(__xludf.DUMMYFUNCTION("IF(ISBLANK(A2061),"""",IFERROR(IF(OR(Q2061=""GPB"",Q2061=""ZAR""),IF(Q2061=Dashboard!$L$1,K2061,(K2061*GOOGLEFINANCE(""CURRENCY:""&amp;Q2061&amp;""""&amp;Dashboard!$L$1&amp;""""))/100),IF(Q2061=Dashboard!$L$1,K2061,K2061*GOOGLEFINANCE(""CURRENCY:""&amp;Q2061&amp;""""&amp;Dashboard!$"&amp;"L$1&amp;""""))),K2061))"),"")</f>
        <v/>
      </c>
      <c r="S2061" s="266" t="str">
        <f>IFERROR(__xludf.DUMMYFUNCTION("IF(ISBLANK(A2061),"""",IFERROR(IF(OR(Q2061=""GPB"",Q2061=""ZAR""),IF(Q2061=Dashboard!$L$1,M2061,(M2061*GOOGLEFINANCE(""CURRENCY:""&amp;Q2061&amp;""""&amp;Dashboard!$L$1&amp;""""))/100),IF(Q2061=Dashboard!$L$1,M2061,M2061*GOOGLEFINANCE(""CURRENCY:""&amp;Q2061&amp;""""&amp;Dashboard!$"&amp;"L$1&amp;""""))),M2061))"),"")</f>
        <v/>
      </c>
      <c r="T2061" s="264" t="str">
        <f t="shared" si="4"/>
        <v/>
      </c>
      <c r="U2061" s="264" t="str">
        <f t="shared" si="5"/>
        <v/>
      </c>
      <c r="V2061" s="264" t="str">
        <f t="shared" si="6"/>
        <v/>
      </c>
      <c r="W2061" s="267" t="str">
        <f t="shared" si="8"/>
        <v/>
      </c>
      <c r="X2061" s="264" t="str">
        <f t="shared" si="7"/>
        <v/>
      </c>
    </row>
    <row r="2062" ht="15.75" customHeight="1">
      <c r="A2062" s="258"/>
      <c r="B2062" s="258"/>
      <c r="C2062" s="269"/>
      <c r="D2062" s="258"/>
      <c r="E2062" s="258"/>
      <c r="F2062" s="258"/>
      <c r="G2062" s="258"/>
      <c r="H2062" s="271"/>
      <c r="I2062" s="258"/>
      <c r="J2062" s="272"/>
      <c r="K2062" s="260"/>
      <c r="L2062" s="261"/>
      <c r="M2062" s="262" t="str">
        <f t="shared" si="1"/>
        <v/>
      </c>
      <c r="N2062" s="263" t="str">
        <f t="shared" si="2"/>
        <v/>
      </c>
      <c r="O2062" s="264" t="str">
        <f t="shared" si="3"/>
        <v/>
      </c>
      <c r="P2062" s="265" t="str">
        <f>IFERROR(__xludf.DUMMYFUNCTION("IF(ISBLANK(A2062),"""",IFERROR(IF(H2062=""Sell"",VLOOKUP(9^99,FILTER({ROW(P$2:P2061),P$2:P2061},D$2:D2061=D2062),2),(VLOOKUP(9^99,FILTER({ROW(P$2:P2061),P$2:P2061},D$2:D2061=D2062),2)*VLOOKUP(9^99,FILTER({ROW(O$2:O2061),O$2:O2061},D$2:D2061=D2062),2)-N206"&amp;"2)/O2062),J2062))"),"")</f>
        <v/>
      </c>
      <c r="Q2062" s="264" t="str">
        <f>IFERROR(__xludf.DUMMYFUNCTION("IFERROR(IF(F2062=""Crypto"",B2062,(IF(ISBLANK(D2062),"""",IF(D2062=""Cash"",B2062,IF(GOOGLEFINANCE(D2062,""CURRENCY"")=""GBX"",""GBP"",GOOGLEFINANCE(D2062,""CURRENCY"")))))),B2062)"),"")</f>
        <v/>
      </c>
      <c r="R2062" s="263" t="str">
        <f>IFERROR(__xludf.DUMMYFUNCTION("IF(ISBLANK(A2062),"""",IFERROR(IF(OR(Q2062=""GPB"",Q2062=""ZAR""),IF(Q2062=Dashboard!$L$1,K2062,(K2062*GOOGLEFINANCE(""CURRENCY:""&amp;Q2062&amp;""""&amp;Dashboard!$L$1&amp;""""))/100),IF(Q2062=Dashboard!$L$1,K2062,K2062*GOOGLEFINANCE(""CURRENCY:""&amp;Q2062&amp;""""&amp;Dashboard!$"&amp;"L$1&amp;""""))),K2062))"),"")</f>
        <v/>
      </c>
      <c r="S2062" s="266" t="str">
        <f>IFERROR(__xludf.DUMMYFUNCTION("IF(ISBLANK(A2062),"""",IFERROR(IF(OR(Q2062=""GPB"",Q2062=""ZAR""),IF(Q2062=Dashboard!$L$1,M2062,(M2062*GOOGLEFINANCE(""CURRENCY:""&amp;Q2062&amp;""""&amp;Dashboard!$L$1&amp;""""))/100),IF(Q2062=Dashboard!$L$1,M2062,M2062*GOOGLEFINANCE(""CURRENCY:""&amp;Q2062&amp;""""&amp;Dashboard!$"&amp;"L$1&amp;""""))),M2062))"),"")</f>
        <v/>
      </c>
      <c r="T2062" s="264" t="str">
        <f t="shared" si="4"/>
        <v/>
      </c>
      <c r="U2062" s="264" t="str">
        <f t="shared" si="5"/>
        <v/>
      </c>
      <c r="V2062" s="264" t="str">
        <f t="shared" si="6"/>
        <v/>
      </c>
      <c r="W2062" s="267" t="str">
        <f t="shared" si="8"/>
        <v/>
      </c>
      <c r="X2062" s="264" t="str">
        <f t="shared" si="7"/>
        <v/>
      </c>
    </row>
    <row r="2063" ht="15.75" customHeight="1">
      <c r="A2063" s="258"/>
      <c r="B2063" s="258"/>
      <c r="C2063" s="269"/>
      <c r="D2063" s="258"/>
      <c r="E2063" s="258"/>
      <c r="F2063" s="258"/>
      <c r="G2063" s="258"/>
      <c r="H2063" s="271"/>
      <c r="I2063" s="258"/>
      <c r="J2063" s="272"/>
      <c r="K2063" s="260"/>
      <c r="L2063" s="261"/>
      <c r="M2063" s="262" t="str">
        <f t="shared" si="1"/>
        <v/>
      </c>
      <c r="N2063" s="263" t="str">
        <f t="shared" si="2"/>
        <v/>
      </c>
      <c r="O2063" s="264" t="str">
        <f t="shared" si="3"/>
        <v/>
      </c>
      <c r="P2063" s="265" t="str">
        <f>IFERROR(__xludf.DUMMYFUNCTION("IF(ISBLANK(A2063),"""",IFERROR(IF(H2063=""Sell"",VLOOKUP(9^99,FILTER({ROW(P$2:P2062),P$2:P2062},D$2:D2062=D2063),2),(VLOOKUP(9^99,FILTER({ROW(P$2:P2062),P$2:P2062},D$2:D2062=D2063),2)*VLOOKUP(9^99,FILTER({ROW(O$2:O2062),O$2:O2062},D$2:D2062=D2063),2)-N206"&amp;"3)/O2063),J2063))"),"")</f>
        <v/>
      </c>
      <c r="Q2063" s="264" t="str">
        <f>IFERROR(__xludf.DUMMYFUNCTION("IFERROR(IF(F2063=""Crypto"",B2063,(IF(ISBLANK(D2063),"""",IF(D2063=""Cash"",B2063,IF(GOOGLEFINANCE(D2063,""CURRENCY"")=""GBX"",""GBP"",GOOGLEFINANCE(D2063,""CURRENCY"")))))),B2063)"),"")</f>
        <v/>
      </c>
      <c r="R2063" s="263" t="str">
        <f>IFERROR(__xludf.DUMMYFUNCTION("IF(ISBLANK(A2063),"""",IFERROR(IF(OR(Q2063=""GPB"",Q2063=""ZAR""),IF(Q2063=Dashboard!$L$1,K2063,(K2063*GOOGLEFINANCE(""CURRENCY:""&amp;Q2063&amp;""""&amp;Dashboard!$L$1&amp;""""))/100),IF(Q2063=Dashboard!$L$1,K2063,K2063*GOOGLEFINANCE(""CURRENCY:""&amp;Q2063&amp;""""&amp;Dashboard!$"&amp;"L$1&amp;""""))),K2063))"),"")</f>
        <v/>
      </c>
      <c r="S2063" s="266" t="str">
        <f>IFERROR(__xludf.DUMMYFUNCTION("IF(ISBLANK(A2063),"""",IFERROR(IF(OR(Q2063=""GPB"",Q2063=""ZAR""),IF(Q2063=Dashboard!$L$1,M2063,(M2063*GOOGLEFINANCE(""CURRENCY:""&amp;Q2063&amp;""""&amp;Dashboard!$L$1&amp;""""))/100),IF(Q2063=Dashboard!$L$1,M2063,M2063*GOOGLEFINANCE(""CURRENCY:""&amp;Q2063&amp;""""&amp;Dashboard!$"&amp;"L$1&amp;""""))),M2063))"),"")</f>
        <v/>
      </c>
      <c r="T2063" s="264" t="str">
        <f t="shared" si="4"/>
        <v/>
      </c>
      <c r="U2063" s="264" t="str">
        <f t="shared" si="5"/>
        <v/>
      </c>
      <c r="V2063" s="264" t="str">
        <f t="shared" si="6"/>
        <v/>
      </c>
      <c r="W2063" s="267" t="str">
        <f t="shared" si="8"/>
        <v/>
      </c>
      <c r="X2063" s="264" t="str">
        <f t="shared" si="7"/>
        <v/>
      </c>
    </row>
    <row r="2064" ht="15.75" customHeight="1">
      <c r="A2064" s="258"/>
      <c r="B2064" s="258"/>
      <c r="C2064" s="269"/>
      <c r="D2064" s="258"/>
      <c r="E2064" s="258"/>
      <c r="F2064" s="258"/>
      <c r="G2064" s="258"/>
      <c r="H2064" s="271"/>
      <c r="I2064" s="258"/>
      <c r="J2064" s="272"/>
      <c r="K2064" s="260"/>
      <c r="L2064" s="261"/>
      <c r="M2064" s="262" t="str">
        <f t="shared" si="1"/>
        <v/>
      </c>
      <c r="N2064" s="263" t="str">
        <f t="shared" si="2"/>
        <v/>
      </c>
      <c r="O2064" s="264" t="str">
        <f t="shared" si="3"/>
        <v/>
      </c>
      <c r="P2064" s="265" t="str">
        <f>IFERROR(__xludf.DUMMYFUNCTION("IF(ISBLANK(A2064),"""",IFERROR(IF(H2064=""Sell"",VLOOKUP(9^99,FILTER({ROW(P$2:P2063),P$2:P2063},D$2:D2063=D2064),2),(VLOOKUP(9^99,FILTER({ROW(P$2:P2063),P$2:P2063},D$2:D2063=D2064),2)*VLOOKUP(9^99,FILTER({ROW(O$2:O2063),O$2:O2063},D$2:D2063=D2064),2)-N206"&amp;"4)/O2064),J2064))"),"")</f>
        <v/>
      </c>
      <c r="Q2064" s="264" t="str">
        <f>IFERROR(__xludf.DUMMYFUNCTION("IFERROR(IF(F2064=""Crypto"",B2064,(IF(ISBLANK(D2064),"""",IF(D2064=""Cash"",B2064,IF(GOOGLEFINANCE(D2064,""CURRENCY"")=""GBX"",""GBP"",GOOGLEFINANCE(D2064,""CURRENCY"")))))),B2064)"),"")</f>
        <v/>
      </c>
      <c r="R2064" s="263" t="str">
        <f>IFERROR(__xludf.DUMMYFUNCTION("IF(ISBLANK(A2064),"""",IFERROR(IF(OR(Q2064=""GPB"",Q2064=""ZAR""),IF(Q2064=Dashboard!$L$1,K2064,(K2064*GOOGLEFINANCE(""CURRENCY:""&amp;Q2064&amp;""""&amp;Dashboard!$L$1&amp;""""))/100),IF(Q2064=Dashboard!$L$1,K2064,K2064*GOOGLEFINANCE(""CURRENCY:""&amp;Q2064&amp;""""&amp;Dashboard!$"&amp;"L$1&amp;""""))),K2064))"),"")</f>
        <v/>
      </c>
      <c r="S2064" s="266" t="str">
        <f>IFERROR(__xludf.DUMMYFUNCTION("IF(ISBLANK(A2064),"""",IFERROR(IF(OR(Q2064=""GPB"",Q2064=""ZAR""),IF(Q2064=Dashboard!$L$1,M2064,(M2064*GOOGLEFINANCE(""CURRENCY:""&amp;Q2064&amp;""""&amp;Dashboard!$L$1&amp;""""))/100),IF(Q2064=Dashboard!$L$1,M2064,M2064*GOOGLEFINANCE(""CURRENCY:""&amp;Q2064&amp;""""&amp;Dashboard!$"&amp;"L$1&amp;""""))),M2064))"),"")</f>
        <v/>
      </c>
      <c r="T2064" s="264" t="str">
        <f t="shared" si="4"/>
        <v/>
      </c>
      <c r="U2064" s="264" t="str">
        <f t="shared" si="5"/>
        <v/>
      </c>
      <c r="V2064" s="264" t="str">
        <f t="shared" si="6"/>
        <v/>
      </c>
      <c r="W2064" s="267" t="str">
        <f t="shared" si="8"/>
        <v/>
      </c>
      <c r="X2064" s="264" t="str">
        <f t="shared" si="7"/>
        <v/>
      </c>
    </row>
    <row r="2065" ht="15.75" customHeight="1">
      <c r="A2065" s="258"/>
      <c r="B2065" s="258"/>
      <c r="C2065" s="269"/>
      <c r="D2065" s="258"/>
      <c r="E2065" s="258"/>
      <c r="F2065" s="258"/>
      <c r="G2065" s="258"/>
      <c r="H2065" s="271"/>
      <c r="I2065" s="258"/>
      <c r="J2065" s="272"/>
      <c r="K2065" s="260"/>
      <c r="L2065" s="261"/>
      <c r="M2065" s="262" t="str">
        <f t="shared" si="1"/>
        <v/>
      </c>
      <c r="N2065" s="263" t="str">
        <f t="shared" si="2"/>
        <v/>
      </c>
      <c r="O2065" s="264" t="str">
        <f t="shared" si="3"/>
        <v/>
      </c>
      <c r="P2065" s="265" t="str">
        <f>IFERROR(__xludf.DUMMYFUNCTION("IF(ISBLANK(A2065),"""",IFERROR(IF(H2065=""Sell"",VLOOKUP(9^99,FILTER({ROW(P$2:P2064),P$2:P2064},D$2:D2064=D2065),2),(VLOOKUP(9^99,FILTER({ROW(P$2:P2064),P$2:P2064},D$2:D2064=D2065),2)*VLOOKUP(9^99,FILTER({ROW(O$2:O2064),O$2:O2064},D$2:D2064=D2065),2)-N206"&amp;"5)/O2065),J2065))"),"")</f>
        <v/>
      </c>
      <c r="Q2065" s="264" t="str">
        <f>IFERROR(__xludf.DUMMYFUNCTION("IFERROR(IF(F2065=""Crypto"",B2065,(IF(ISBLANK(D2065),"""",IF(D2065=""Cash"",B2065,IF(GOOGLEFINANCE(D2065,""CURRENCY"")=""GBX"",""GBP"",GOOGLEFINANCE(D2065,""CURRENCY"")))))),B2065)"),"")</f>
        <v/>
      </c>
      <c r="R2065" s="263" t="str">
        <f>IFERROR(__xludf.DUMMYFUNCTION("IF(ISBLANK(A2065),"""",IFERROR(IF(OR(Q2065=""GPB"",Q2065=""ZAR""),IF(Q2065=Dashboard!$L$1,K2065,(K2065*GOOGLEFINANCE(""CURRENCY:""&amp;Q2065&amp;""""&amp;Dashboard!$L$1&amp;""""))/100),IF(Q2065=Dashboard!$L$1,K2065,K2065*GOOGLEFINANCE(""CURRENCY:""&amp;Q2065&amp;""""&amp;Dashboard!$"&amp;"L$1&amp;""""))),K2065))"),"")</f>
        <v/>
      </c>
      <c r="S2065" s="266" t="str">
        <f>IFERROR(__xludf.DUMMYFUNCTION("IF(ISBLANK(A2065),"""",IFERROR(IF(OR(Q2065=""GPB"",Q2065=""ZAR""),IF(Q2065=Dashboard!$L$1,M2065,(M2065*GOOGLEFINANCE(""CURRENCY:""&amp;Q2065&amp;""""&amp;Dashboard!$L$1&amp;""""))/100),IF(Q2065=Dashboard!$L$1,M2065,M2065*GOOGLEFINANCE(""CURRENCY:""&amp;Q2065&amp;""""&amp;Dashboard!$"&amp;"L$1&amp;""""))),M2065))"),"")</f>
        <v/>
      </c>
      <c r="T2065" s="264" t="str">
        <f t="shared" si="4"/>
        <v/>
      </c>
      <c r="U2065" s="264" t="str">
        <f t="shared" si="5"/>
        <v/>
      </c>
      <c r="V2065" s="264" t="str">
        <f t="shared" si="6"/>
        <v/>
      </c>
      <c r="W2065" s="267" t="str">
        <f t="shared" si="8"/>
        <v/>
      </c>
      <c r="X2065" s="264" t="str">
        <f t="shared" si="7"/>
        <v/>
      </c>
    </row>
    <row r="2066" ht="15.75" customHeight="1">
      <c r="A2066" s="258"/>
      <c r="B2066" s="258"/>
      <c r="C2066" s="269"/>
      <c r="D2066" s="258"/>
      <c r="E2066" s="258"/>
      <c r="F2066" s="258"/>
      <c r="G2066" s="258"/>
      <c r="H2066" s="271"/>
      <c r="I2066" s="258"/>
      <c r="J2066" s="272"/>
      <c r="K2066" s="260"/>
      <c r="L2066" s="261"/>
      <c r="M2066" s="262" t="str">
        <f t="shared" si="1"/>
        <v/>
      </c>
      <c r="N2066" s="263" t="str">
        <f t="shared" si="2"/>
        <v/>
      </c>
      <c r="O2066" s="264" t="str">
        <f t="shared" si="3"/>
        <v/>
      </c>
      <c r="P2066" s="265" t="str">
        <f>IFERROR(__xludf.DUMMYFUNCTION("IF(ISBLANK(A2066),"""",IFERROR(IF(H2066=""Sell"",VLOOKUP(9^99,FILTER({ROW(P$2:P2065),P$2:P2065},D$2:D2065=D2066),2),(VLOOKUP(9^99,FILTER({ROW(P$2:P2065),P$2:P2065},D$2:D2065=D2066),2)*VLOOKUP(9^99,FILTER({ROW(O$2:O2065),O$2:O2065},D$2:D2065=D2066),2)-N206"&amp;"6)/O2066),J2066))"),"")</f>
        <v/>
      </c>
      <c r="Q2066" s="264" t="str">
        <f>IFERROR(__xludf.DUMMYFUNCTION("IFERROR(IF(F2066=""Crypto"",B2066,(IF(ISBLANK(D2066),"""",IF(D2066=""Cash"",B2066,IF(GOOGLEFINANCE(D2066,""CURRENCY"")=""GBX"",""GBP"",GOOGLEFINANCE(D2066,""CURRENCY"")))))),B2066)"),"")</f>
        <v/>
      </c>
      <c r="R2066" s="263" t="str">
        <f>IFERROR(__xludf.DUMMYFUNCTION("IF(ISBLANK(A2066),"""",IFERROR(IF(OR(Q2066=""GPB"",Q2066=""ZAR""),IF(Q2066=Dashboard!$L$1,K2066,(K2066*GOOGLEFINANCE(""CURRENCY:""&amp;Q2066&amp;""""&amp;Dashboard!$L$1&amp;""""))/100),IF(Q2066=Dashboard!$L$1,K2066,K2066*GOOGLEFINANCE(""CURRENCY:""&amp;Q2066&amp;""""&amp;Dashboard!$"&amp;"L$1&amp;""""))),K2066))"),"")</f>
        <v/>
      </c>
      <c r="S2066" s="266" t="str">
        <f>IFERROR(__xludf.DUMMYFUNCTION("IF(ISBLANK(A2066),"""",IFERROR(IF(OR(Q2066=""GPB"",Q2066=""ZAR""),IF(Q2066=Dashboard!$L$1,M2066,(M2066*GOOGLEFINANCE(""CURRENCY:""&amp;Q2066&amp;""""&amp;Dashboard!$L$1&amp;""""))/100),IF(Q2066=Dashboard!$L$1,M2066,M2066*GOOGLEFINANCE(""CURRENCY:""&amp;Q2066&amp;""""&amp;Dashboard!$"&amp;"L$1&amp;""""))),M2066))"),"")</f>
        <v/>
      </c>
      <c r="T2066" s="264" t="str">
        <f t="shared" si="4"/>
        <v/>
      </c>
      <c r="U2066" s="264" t="str">
        <f t="shared" si="5"/>
        <v/>
      </c>
      <c r="V2066" s="264" t="str">
        <f t="shared" si="6"/>
        <v/>
      </c>
      <c r="W2066" s="267" t="str">
        <f t="shared" si="8"/>
        <v/>
      </c>
      <c r="X2066" s="264" t="str">
        <f t="shared" si="7"/>
        <v/>
      </c>
    </row>
    <row r="2067" ht="15.75" customHeight="1">
      <c r="A2067" s="258"/>
      <c r="B2067" s="258"/>
      <c r="C2067" s="269"/>
      <c r="D2067" s="258"/>
      <c r="E2067" s="258"/>
      <c r="F2067" s="258"/>
      <c r="G2067" s="258"/>
      <c r="H2067" s="271"/>
      <c r="I2067" s="258"/>
      <c r="J2067" s="272"/>
      <c r="K2067" s="260"/>
      <c r="L2067" s="261"/>
      <c r="M2067" s="262" t="str">
        <f t="shared" si="1"/>
        <v/>
      </c>
      <c r="N2067" s="263" t="str">
        <f t="shared" si="2"/>
        <v/>
      </c>
      <c r="O2067" s="264" t="str">
        <f t="shared" si="3"/>
        <v/>
      </c>
      <c r="P2067" s="265" t="str">
        <f>IFERROR(__xludf.DUMMYFUNCTION("IF(ISBLANK(A2067),"""",IFERROR(IF(H2067=""Sell"",VLOOKUP(9^99,FILTER({ROW(P$2:P2066),P$2:P2066},D$2:D2066=D2067),2),(VLOOKUP(9^99,FILTER({ROW(P$2:P2066),P$2:P2066},D$2:D2066=D2067),2)*VLOOKUP(9^99,FILTER({ROW(O$2:O2066),O$2:O2066},D$2:D2066=D2067),2)-N206"&amp;"7)/O2067),J2067))"),"")</f>
        <v/>
      </c>
      <c r="Q2067" s="264" t="str">
        <f>IFERROR(__xludf.DUMMYFUNCTION("IFERROR(IF(F2067=""Crypto"",B2067,(IF(ISBLANK(D2067),"""",IF(D2067=""Cash"",B2067,IF(GOOGLEFINANCE(D2067,""CURRENCY"")=""GBX"",""GBP"",GOOGLEFINANCE(D2067,""CURRENCY"")))))),B2067)"),"")</f>
        <v/>
      </c>
      <c r="R2067" s="263" t="str">
        <f>IFERROR(__xludf.DUMMYFUNCTION("IF(ISBLANK(A2067),"""",IFERROR(IF(OR(Q2067=""GPB"",Q2067=""ZAR""),IF(Q2067=Dashboard!$L$1,K2067,(K2067*GOOGLEFINANCE(""CURRENCY:""&amp;Q2067&amp;""""&amp;Dashboard!$L$1&amp;""""))/100),IF(Q2067=Dashboard!$L$1,K2067,K2067*GOOGLEFINANCE(""CURRENCY:""&amp;Q2067&amp;""""&amp;Dashboard!$"&amp;"L$1&amp;""""))),K2067))"),"")</f>
        <v/>
      </c>
      <c r="S2067" s="266" t="str">
        <f>IFERROR(__xludf.DUMMYFUNCTION("IF(ISBLANK(A2067),"""",IFERROR(IF(OR(Q2067=""GPB"",Q2067=""ZAR""),IF(Q2067=Dashboard!$L$1,M2067,(M2067*GOOGLEFINANCE(""CURRENCY:""&amp;Q2067&amp;""""&amp;Dashboard!$L$1&amp;""""))/100),IF(Q2067=Dashboard!$L$1,M2067,M2067*GOOGLEFINANCE(""CURRENCY:""&amp;Q2067&amp;""""&amp;Dashboard!$"&amp;"L$1&amp;""""))),M2067))"),"")</f>
        <v/>
      </c>
      <c r="T2067" s="264" t="str">
        <f t="shared" si="4"/>
        <v/>
      </c>
      <c r="U2067" s="264" t="str">
        <f t="shared" si="5"/>
        <v/>
      </c>
      <c r="V2067" s="264" t="str">
        <f t="shared" si="6"/>
        <v/>
      </c>
      <c r="W2067" s="267" t="str">
        <f t="shared" si="8"/>
        <v/>
      </c>
      <c r="X2067" s="264" t="str">
        <f t="shared" si="7"/>
        <v/>
      </c>
    </row>
    <row r="2068" ht="15.75" customHeight="1">
      <c r="A2068" s="258"/>
      <c r="B2068" s="258"/>
      <c r="C2068" s="269"/>
      <c r="D2068" s="258"/>
      <c r="E2068" s="258"/>
      <c r="F2068" s="258"/>
      <c r="G2068" s="258"/>
      <c r="H2068" s="271"/>
      <c r="I2068" s="258"/>
      <c r="J2068" s="272"/>
      <c r="K2068" s="260"/>
      <c r="L2068" s="261"/>
      <c r="M2068" s="262" t="str">
        <f t="shared" si="1"/>
        <v/>
      </c>
      <c r="N2068" s="263" t="str">
        <f t="shared" si="2"/>
        <v/>
      </c>
      <c r="O2068" s="264" t="str">
        <f t="shared" si="3"/>
        <v/>
      </c>
      <c r="P2068" s="265" t="str">
        <f>IFERROR(__xludf.DUMMYFUNCTION("IF(ISBLANK(A2068),"""",IFERROR(IF(H2068=""Sell"",VLOOKUP(9^99,FILTER({ROW(P$2:P2067),P$2:P2067},D$2:D2067=D2068),2),(VLOOKUP(9^99,FILTER({ROW(P$2:P2067),P$2:P2067},D$2:D2067=D2068),2)*VLOOKUP(9^99,FILTER({ROW(O$2:O2067),O$2:O2067},D$2:D2067=D2068),2)-N206"&amp;"8)/O2068),J2068))"),"")</f>
        <v/>
      </c>
      <c r="Q2068" s="264" t="str">
        <f>IFERROR(__xludf.DUMMYFUNCTION("IFERROR(IF(F2068=""Crypto"",B2068,(IF(ISBLANK(D2068),"""",IF(D2068=""Cash"",B2068,IF(GOOGLEFINANCE(D2068,""CURRENCY"")=""GBX"",""GBP"",GOOGLEFINANCE(D2068,""CURRENCY"")))))),B2068)"),"")</f>
        <v/>
      </c>
      <c r="R2068" s="263" t="str">
        <f>IFERROR(__xludf.DUMMYFUNCTION("IF(ISBLANK(A2068),"""",IFERROR(IF(OR(Q2068=""GPB"",Q2068=""ZAR""),IF(Q2068=Dashboard!$L$1,K2068,(K2068*GOOGLEFINANCE(""CURRENCY:""&amp;Q2068&amp;""""&amp;Dashboard!$L$1&amp;""""))/100),IF(Q2068=Dashboard!$L$1,K2068,K2068*GOOGLEFINANCE(""CURRENCY:""&amp;Q2068&amp;""""&amp;Dashboard!$"&amp;"L$1&amp;""""))),K2068))"),"")</f>
        <v/>
      </c>
      <c r="S2068" s="266" t="str">
        <f>IFERROR(__xludf.DUMMYFUNCTION("IF(ISBLANK(A2068),"""",IFERROR(IF(OR(Q2068=""GPB"",Q2068=""ZAR""),IF(Q2068=Dashboard!$L$1,M2068,(M2068*GOOGLEFINANCE(""CURRENCY:""&amp;Q2068&amp;""""&amp;Dashboard!$L$1&amp;""""))/100),IF(Q2068=Dashboard!$L$1,M2068,M2068*GOOGLEFINANCE(""CURRENCY:""&amp;Q2068&amp;""""&amp;Dashboard!$"&amp;"L$1&amp;""""))),M2068))"),"")</f>
        <v/>
      </c>
      <c r="T2068" s="264" t="str">
        <f t="shared" si="4"/>
        <v/>
      </c>
      <c r="U2068" s="264" t="str">
        <f t="shared" si="5"/>
        <v/>
      </c>
      <c r="V2068" s="264" t="str">
        <f t="shared" si="6"/>
        <v/>
      </c>
      <c r="W2068" s="267" t="str">
        <f t="shared" si="8"/>
        <v/>
      </c>
      <c r="X2068" s="264" t="str">
        <f t="shared" si="7"/>
        <v/>
      </c>
    </row>
    <row r="2069" ht="15.75" customHeight="1">
      <c r="A2069" s="258"/>
      <c r="B2069" s="258"/>
      <c r="C2069" s="269"/>
      <c r="D2069" s="258"/>
      <c r="E2069" s="258"/>
      <c r="F2069" s="258"/>
      <c r="G2069" s="258"/>
      <c r="H2069" s="271"/>
      <c r="I2069" s="258"/>
      <c r="J2069" s="272"/>
      <c r="K2069" s="260"/>
      <c r="L2069" s="261"/>
      <c r="M2069" s="262" t="str">
        <f t="shared" si="1"/>
        <v/>
      </c>
      <c r="N2069" s="263" t="str">
        <f t="shared" si="2"/>
        <v/>
      </c>
      <c r="O2069" s="264" t="str">
        <f t="shared" si="3"/>
        <v/>
      </c>
      <c r="P2069" s="265" t="str">
        <f>IFERROR(__xludf.DUMMYFUNCTION("IF(ISBLANK(A2069),"""",IFERROR(IF(H2069=""Sell"",VLOOKUP(9^99,FILTER({ROW(P$2:P2068),P$2:P2068},D$2:D2068=D2069),2),(VLOOKUP(9^99,FILTER({ROW(P$2:P2068),P$2:P2068},D$2:D2068=D2069),2)*VLOOKUP(9^99,FILTER({ROW(O$2:O2068),O$2:O2068},D$2:D2068=D2069),2)-N206"&amp;"9)/O2069),J2069))"),"")</f>
        <v/>
      </c>
      <c r="Q2069" s="264" t="str">
        <f>IFERROR(__xludf.DUMMYFUNCTION("IFERROR(IF(F2069=""Crypto"",B2069,(IF(ISBLANK(D2069),"""",IF(D2069=""Cash"",B2069,IF(GOOGLEFINANCE(D2069,""CURRENCY"")=""GBX"",""GBP"",GOOGLEFINANCE(D2069,""CURRENCY"")))))),B2069)"),"")</f>
        <v/>
      </c>
      <c r="R2069" s="263" t="str">
        <f>IFERROR(__xludf.DUMMYFUNCTION("IF(ISBLANK(A2069),"""",IFERROR(IF(OR(Q2069=""GPB"",Q2069=""ZAR""),IF(Q2069=Dashboard!$L$1,K2069,(K2069*GOOGLEFINANCE(""CURRENCY:""&amp;Q2069&amp;""""&amp;Dashboard!$L$1&amp;""""))/100),IF(Q2069=Dashboard!$L$1,K2069,K2069*GOOGLEFINANCE(""CURRENCY:""&amp;Q2069&amp;""""&amp;Dashboard!$"&amp;"L$1&amp;""""))),K2069))"),"")</f>
        <v/>
      </c>
      <c r="S2069" s="266" t="str">
        <f>IFERROR(__xludf.DUMMYFUNCTION("IF(ISBLANK(A2069),"""",IFERROR(IF(OR(Q2069=""GPB"",Q2069=""ZAR""),IF(Q2069=Dashboard!$L$1,M2069,(M2069*GOOGLEFINANCE(""CURRENCY:""&amp;Q2069&amp;""""&amp;Dashboard!$L$1&amp;""""))/100),IF(Q2069=Dashboard!$L$1,M2069,M2069*GOOGLEFINANCE(""CURRENCY:""&amp;Q2069&amp;""""&amp;Dashboard!$"&amp;"L$1&amp;""""))),M2069))"),"")</f>
        <v/>
      </c>
      <c r="T2069" s="264" t="str">
        <f t="shared" si="4"/>
        <v/>
      </c>
      <c r="U2069" s="264" t="str">
        <f t="shared" si="5"/>
        <v/>
      </c>
      <c r="V2069" s="264" t="str">
        <f t="shared" si="6"/>
        <v/>
      </c>
      <c r="W2069" s="267" t="str">
        <f t="shared" si="8"/>
        <v/>
      </c>
      <c r="X2069" s="264" t="str">
        <f t="shared" si="7"/>
        <v/>
      </c>
    </row>
    <row r="2070" ht="15.75" customHeight="1">
      <c r="A2070" s="258"/>
      <c r="B2070" s="258"/>
      <c r="C2070" s="269"/>
      <c r="D2070" s="258"/>
      <c r="E2070" s="258"/>
      <c r="F2070" s="258"/>
      <c r="G2070" s="258"/>
      <c r="H2070" s="271"/>
      <c r="I2070" s="258"/>
      <c r="J2070" s="272"/>
      <c r="K2070" s="260"/>
      <c r="L2070" s="261"/>
      <c r="M2070" s="262" t="str">
        <f t="shared" si="1"/>
        <v/>
      </c>
      <c r="N2070" s="263" t="str">
        <f t="shared" si="2"/>
        <v/>
      </c>
      <c r="O2070" s="264" t="str">
        <f t="shared" si="3"/>
        <v/>
      </c>
      <c r="P2070" s="265" t="str">
        <f>IFERROR(__xludf.DUMMYFUNCTION("IF(ISBLANK(A2070),"""",IFERROR(IF(H2070=""Sell"",VLOOKUP(9^99,FILTER({ROW(P$2:P2069),P$2:P2069},D$2:D2069=D2070),2),(VLOOKUP(9^99,FILTER({ROW(P$2:P2069),P$2:P2069},D$2:D2069=D2070),2)*VLOOKUP(9^99,FILTER({ROW(O$2:O2069),O$2:O2069},D$2:D2069=D2070),2)-N207"&amp;"0)/O2070),J2070))"),"")</f>
        <v/>
      </c>
      <c r="Q2070" s="264" t="str">
        <f>IFERROR(__xludf.DUMMYFUNCTION("IFERROR(IF(F2070=""Crypto"",B2070,(IF(ISBLANK(D2070),"""",IF(D2070=""Cash"",B2070,IF(GOOGLEFINANCE(D2070,""CURRENCY"")=""GBX"",""GBP"",GOOGLEFINANCE(D2070,""CURRENCY"")))))),B2070)"),"")</f>
        <v/>
      </c>
      <c r="R2070" s="263" t="str">
        <f>IFERROR(__xludf.DUMMYFUNCTION("IF(ISBLANK(A2070),"""",IFERROR(IF(OR(Q2070=""GPB"",Q2070=""ZAR""),IF(Q2070=Dashboard!$L$1,K2070,(K2070*GOOGLEFINANCE(""CURRENCY:""&amp;Q2070&amp;""""&amp;Dashboard!$L$1&amp;""""))/100),IF(Q2070=Dashboard!$L$1,K2070,K2070*GOOGLEFINANCE(""CURRENCY:""&amp;Q2070&amp;""""&amp;Dashboard!$"&amp;"L$1&amp;""""))),K2070))"),"")</f>
        <v/>
      </c>
      <c r="S2070" s="266" t="str">
        <f>IFERROR(__xludf.DUMMYFUNCTION("IF(ISBLANK(A2070),"""",IFERROR(IF(OR(Q2070=""GPB"",Q2070=""ZAR""),IF(Q2070=Dashboard!$L$1,M2070,(M2070*GOOGLEFINANCE(""CURRENCY:""&amp;Q2070&amp;""""&amp;Dashboard!$L$1&amp;""""))/100),IF(Q2070=Dashboard!$L$1,M2070,M2070*GOOGLEFINANCE(""CURRENCY:""&amp;Q2070&amp;""""&amp;Dashboard!$"&amp;"L$1&amp;""""))),M2070))"),"")</f>
        <v/>
      </c>
      <c r="T2070" s="264" t="str">
        <f t="shared" si="4"/>
        <v/>
      </c>
      <c r="U2070" s="264" t="str">
        <f t="shared" si="5"/>
        <v/>
      </c>
      <c r="V2070" s="264" t="str">
        <f t="shared" si="6"/>
        <v/>
      </c>
      <c r="W2070" s="267" t="str">
        <f t="shared" si="8"/>
        <v/>
      </c>
      <c r="X2070" s="264" t="str">
        <f t="shared" si="7"/>
        <v/>
      </c>
    </row>
    <row r="2071" ht="15.75" customHeight="1">
      <c r="A2071" s="258"/>
      <c r="B2071" s="258"/>
      <c r="C2071" s="269"/>
      <c r="D2071" s="258"/>
      <c r="E2071" s="258"/>
      <c r="F2071" s="258"/>
      <c r="G2071" s="258"/>
      <c r="H2071" s="271"/>
      <c r="I2071" s="258"/>
      <c r="J2071" s="272"/>
      <c r="K2071" s="260"/>
      <c r="L2071" s="261"/>
      <c r="M2071" s="262" t="str">
        <f t="shared" si="1"/>
        <v/>
      </c>
      <c r="N2071" s="263" t="str">
        <f t="shared" si="2"/>
        <v/>
      </c>
      <c r="O2071" s="264" t="str">
        <f t="shared" si="3"/>
        <v/>
      </c>
      <c r="P2071" s="265" t="str">
        <f>IFERROR(__xludf.DUMMYFUNCTION("IF(ISBLANK(A2071),"""",IFERROR(IF(H2071=""Sell"",VLOOKUP(9^99,FILTER({ROW(P$2:P2070),P$2:P2070},D$2:D2070=D2071),2),(VLOOKUP(9^99,FILTER({ROW(P$2:P2070),P$2:P2070},D$2:D2070=D2071),2)*VLOOKUP(9^99,FILTER({ROW(O$2:O2070),O$2:O2070},D$2:D2070=D2071),2)-N207"&amp;"1)/O2071),J2071))"),"")</f>
        <v/>
      </c>
      <c r="Q2071" s="264" t="str">
        <f>IFERROR(__xludf.DUMMYFUNCTION("IFERROR(IF(F2071=""Crypto"",B2071,(IF(ISBLANK(D2071),"""",IF(D2071=""Cash"",B2071,IF(GOOGLEFINANCE(D2071,""CURRENCY"")=""GBX"",""GBP"",GOOGLEFINANCE(D2071,""CURRENCY"")))))),B2071)"),"")</f>
        <v/>
      </c>
      <c r="R2071" s="263" t="str">
        <f>IFERROR(__xludf.DUMMYFUNCTION("IF(ISBLANK(A2071),"""",IFERROR(IF(OR(Q2071=""GPB"",Q2071=""ZAR""),IF(Q2071=Dashboard!$L$1,K2071,(K2071*GOOGLEFINANCE(""CURRENCY:""&amp;Q2071&amp;""""&amp;Dashboard!$L$1&amp;""""))/100),IF(Q2071=Dashboard!$L$1,K2071,K2071*GOOGLEFINANCE(""CURRENCY:""&amp;Q2071&amp;""""&amp;Dashboard!$"&amp;"L$1&amp;""""))),K2071))"),"")</f>
        <v/>
      </c>
      <c r="S2071" s="266" t="str">
        <f>IFERROR(__xludf.DUMMYFUNCTION("IF(ISBLANK(A2071),"""",IFERROR(IF(OR(Q2071=""GPB"",Q2071=""ZAR""),IF(Q2071=Dashboard!$L$1,M2071,(M2071*GOOGLEFINANCE(""CURRENCY:""&amp;Q2071&amp;""""&amp;Dashboard!$L$1&amp;""""))/100),IF(Q2071=Dashboard!$L$1,M2071,M2071*GOOGLEFINANCE(""CURRENCY:""&amp;Q2071&amp;""""&amp;Dashboard!$"&amp;"L$1&amp;""""))),M2071))"),"")</f>
        <v/>
      </c>
      <c r="T2071" s="264" t="str">
        <f t="shared" si="4"/>
        <v/>
      </c>
      <c r="U2071" s="264" t="str">
        <f t="shared" si="5"/>
        <v/>
      </c>
      <c r="V2071" s="264" t="str">
        <f t="shared" si="6"/>
        <v/>
      </c>
      <c r="W2071" s="267" t="str">
        <f t="shared" si="8"/>
        <v/>
      </c>
      <c r="X2071" s="264" t="str">
        <f t="shared" si="7"/>
        <v/>
      </c>
    </row>
    <row r="2072" ht="15.75" customHeight="1">
      <c r="A2072" s="258"/>
      <c r="B2072" s="258"/>
      <c r="C2072" s="269"/>
      <c r="D2072" s="258"/>
      <c r="E2072" s="258"/>
      <c r="F2072" s="258"/>
      <c r="G2072" s="258"/>
      <c r="H2072" s="271"/>
      <c r="I2072" s="258"/>
      <c r="J2072" s="272"/>
      <c r="K2072" s="260"/>
      <c r="L2072" s="261"/>
      <c r="M2072" s="262" t="str">
        <f t="shared" si="1"/>
        <v/>
      </c>
      <c r="N2072" s="263" t="str">
        <f t="shared" si="2"/>
        <v/>
      </c>
      <c r="O2072" s="264" t="str">
        <f t="shared" si="3"/>
        <v/>
      </c>
      <c r="P2072" s="265" t="str">
        <f>IFERROR(__xludf.DUMMYFUNCTION("IF(ISBLANK(A2072),"""",IFERROR(IF(H2072=""Sell"",VLOOKUP(9^99,FILTER({ROW(P$2:P2071),P$2:P2071},D$2:D2071=D2072),2),(VLOOKUP(9^99,FILTER({ROW(P$2:P2071),P$2:P2071},D$2:D2071=D2072),2)*VLOOKUP(9^99,FILTER({ROW(O$2:O2071),O$2:O2071},D$2:D2071=D2072),2)-N207"&amp;"2)/O2072),J2072))"),"")</f>
        <v/>
      </c>
      <c r="Q2072" s="264" t="str">
        <f>IFERROR(__xludf.DUMMYFUNCTION("IFERROR(IF(F2072=""Crypto"",B2072,(IF(ISBLANK(D2072),"""",IF(D2072=""Cash"",B2072,IF(GOOGLEFINANCE(D2072,""CURRENCY"")=""GBX"",""GBP"",GOOGLEFINANCE(D2072,""CURRENCY"")))))),B2072)"),"")</f>
        <v/>
      </c>
      <c r="R2072" s="263" t="str">
        <f>IFERROR(__xludf.DUMMYFUNCTION("IF(ISBLANK(A2072),"""",IFERROR(IF(OR(Q2072=""GPB"",Q2072=""ZAR""),IF(Q2072=Dashboard!$L$1,K2072,(K2072*GOOGLEFINANCE(""CURRENCY:""&amp;Q2072&amp;""""&amp;Dashboard!$L$1&amp;""""))/100),IF(Q2072=Dashboard!$L$1,K2072,K2072*GOOGLEFINANCE(""CURRENCY:""&amp;Q2072&amp;""""&amp;Dashboard!$"&amp;"L$1&amp;""""))),K2072))"),"")</f>
        <v/>
      </c>
      <c r="S2072" s="266" t="str">
        <f>IFERROR(__xludf.DUMMYFUNCTION("IF(ISBLANK(A2072),"""",IFERROR(IF(OR(Q2072=""GPB"",Q2072=""ZAR""),IF(Q2072=Dashboard!$L$1,M2072,(M2072*GOOGLEFINANCE(""CURRENCY:""&amp;Q2072&amp;""""&amp;Dashboard!$L$1&amp;""""))/100),IF(Q2072=Dashboard!$L$1,M2072,M2072*GOOGLEFINANCE(""CURRENCY:""&amp;Q2072&amp;""""&amp;Dashboard!$"&amp;"L$1&amp;""""))),M2072))"),"")</f>
        <v/>
      </c>
      <c r="T2072" s="264" t="str">
        <f t="shared" si="4"/>
        <v/>
      </c>
      <c r="U2072" s="264" t="str">
        <f t="shared" si="5"/>
        <v/>
      </c>
      <c r="V2072" s="264" t="str">
        <f t="shared" si="6"/>
        <v/>
      </c>
      <c r="W2072" s="267" t="str">
        <f t="shared" si="8"/>
        <v/>
      </c>
      <c r="X2072" s="264" t="str">
        <f t="shared" si="7"/>
        <v/>
      </c>
    </row>
    <row r="2073" ht="15.75" customHeight="1">
      <c r="A2073" s="258"/>
      <c r="B2073" s="258"/>
      <c r="C2073" s="269"/>
      <c r="D2073" s="258"/>
      <c r="E2073" s="258"/>
      <c r="F2073" s="258"/>
      <c r="G2073" s="258"/>
      <c r="H2073" s="271"/>
      <c r="I2073" s="258"/>
      <c r="J2073" s="272"/>
      <c r="K2073" s="260"/>
      <c r="L2073" s="261"/>
      <c r="M2073" s="262" t="str">
        <f t="shared" si="1"/>
        <v/>
      </c>
      <c r="N2073" s="263" t="str">
        <f t="shared" si="2"/>
        <v/>
      </c>
      <c r="O2073" s="264" t="str">
        <f t="shared" si="3"/>
        <v/>
      </c>
      <c r="P2073" s="265" t="str">
        <f>IFERROR(__xludf.DUMMYFUNCTION("IF(ISBLANK(A2073),"""",IFERROR(IF(H2073=""Sell"",VLOOKUP(9^99,FILTER({ROW(P$2:P2072),P$2:P2072},D$2:D2072=D2073),2),(VLOOKUP(9^99,FILTER({ROW(P$2:P2072),P$2:P2072},D$2:D2072=D2073),2)*VLOOKUP(9^99,FILTER({ROW(O$2:O2072),O$2:O2072},D$2:D2072=D2073),2)-N207"&amp;"3)/O2073),J2073))"),"")</f>
        <v/>
      </c>
      <c r="Q2073" s="264" t="str">
        <f>IFERROR(__xludf.DUMMYFUNCTION("IFERROR(IF(F2073=""Crypto"",B2073,(IF(ISBLANK(D2073),"""",IF(D2073=""Cash"",B2073,IF(GOOGLEFINANCE(D2073,""CURRENCY"")=""GBX"",""GBP"",GOOGLEFINANCE(D2073,""CURRENCY"")))))),B2073)"),"")</f>
        <v/>
      </c>
      <c r="R2073" s="263" t="str">
        <f>IFERROR(__xludf.DUMMYFUNCTION("IF(ISBLANK(A2073),"""",IFERROR(IF(OR(Q2073=""GPB"",Q2073=""ZAR""),IF(Q2073=Dashboard!$L$1,K2073,(K2073*GOOGLEFINANCE(""CURRENCY:""&amp;Q2073&amp;""""&amp;Dashboard!$L$1&amp;""""))/100),IF(Q2073=Dashboard!$L$1,K2073,K2073*GOOGLEFINANCE(""CURRENCY:""&amp;Q2073&amp;""""&amp;Dashboard!$"&amp;"L$1&amp;""""))),K2073))"),"")</f>
        <v/>
      </c>
      <c r="S2073" s="266" t="str">
        <f>IFERROR(__xludf.DUMMYFUNCTION("IF(ISBLANK(A2073),"""",IFERROR(IF(OR(Q2073=""GPB"",Q2073=""ZAR""),IF(Q2073=Dashboard!$L$1,M2073,(M2073*GOOGLEFINANCE(""CURRENCY:""&amp;Q2073&amp;""""&amp;Dashboard!$L$1&amp;""""))/100),IF(Q2073=Dashboard!$L$1,M2073,M2073*GOOGLEFINANCE(""CURRENCY:""&amp;Q2073&amp;""""&amp;Dashboard!$"&amp;"L$1&amp;""""))),M2073))"),"")</f>
        <v/>
      </c>
      <c r="T2073" s="264" t="str">
        <f t="shared" si="4"/>
        <v/>
      </c>
      <c r="U2073" s="264" t="str">
        <f t="shared" si="5"/>
        <v/>
      </c>
      <c r="V2073" s="264" t="str">
        <f t="shared" si="6"/>
        <v/>
      </c>
      <c r="W2073" s="267" t="str">
        <f t="shared" si="8"/>
        <v/>
      </c>
      <c r="X2073" s="264" t="str">
        <f t="shared" si="7"/>
        <v/>
      </c>
    </row>
    <row r="2074" ht="15.75" customHeight="1">
      <c r="A2074" s="258"/>
      <c r="B2074" s="258"/>
      <c r="C2074" s="269"/>
      <c r="D2074" s="258"/>
      <c r="E2074" s="258"/>
      <c r="F2074" s="258"/>
      <c r="G2074" s="258"/>
      <c r="H2074" s="271"/>
      <c r="I2074" s="258"/>
      <c r="J2074" s="272"/>
      <c r="K2074" s="260"/>
      <c r="L2074" s="261"/>
      <c r="M2074" s="262" t="str">
        <f t="shared" si="1"/>
        <v/>
      </c>
      <c r="N2074" s="263" t="str">
        <f t="shared" si="2"/>
        <v/>
      </c>
      <c r="O2074" s="264" t="str">
        <f t="shared" si="3"/>
        <v/>
      </c>
      <c r="P2074" s="265" t="str">
        <f>IFERROR(__xludf.DUMMYFUNCTION("IF(ISBLANK(A2074),"""",IFERROR(IF(H2074=""Sell"",VLOOKUP(9^99,FILTER({ROW(P$2:P2073),P$2:P2073},D$2:D2073=D2074),2),(VLOOKUP(9^99,FILTER({ROW(P$2:P2073),P$2:P2073},D$2:D2073=D2074),2)*VLOOKUP(9^99,FILTER({ROW(O$2:O2073),O$2:O2073},D$2:D2073=D2074),2)-N207"&amp;"4)/O2074),J2074))"),"")</f>
        <v/>
      </c>
      <c r="Q2074" s="264" t="str">
        <f>IFERROR(__xludf.DUMMYFUNCTION("IFERROR(IF(F2074=""Crypto"",B2074,(IF(ISBLANK(D2074),"""",IF(D2074=""Cash"",B2074,IF(GOOGLEFINANCE(D2074,""CURRENCY"")=""GBX"",""GBP"",GOOGLEFINANCE(D2074,""CURRENCY"")))))),B2074)"),"")</f>
        <v/>
      </c>
      <c r="R2074" s="263" t="str">
        <f>IFERROR(__xludf.DUMMYFUNCTION("IF(ISBLANK(A2074),"""",IFERROR(IF(OR(Q2074=""GPB"",Q2074=""ZAR""),IF(Q2074=Dashboard!$L$1,K2074,(K2074*GOOGLEFINANCE(""CURRENCY:""&amp;Q2074&amp;""""&amp;Dashboard!$L$1&amp;""""))/100),IF(Q2074=Dashboard!$L$1,K2074,K2074*GOOGLEFINANCE(""CURRENCY:""&amp;Q2074&amp;""""&amp;Dashboard!$"&amp;"L$1&amp;""""))),K2074))"),"")</f>
        <v/>
      </c>
      <c r="S2074" s="266" t="str">
        <f>IFERROR(__xludf.DUMMYFUNCTION("IF(ISBLANK(A2074),"""",IFERROR(IF(OR(Q2074=""GPB"",Q2074=""ZAR""),IF(Q2074=Dashboard!$L$1,M2074,(M2074*GOOGLEFINANCE(""CURRENCY:""&amp;Q2074&amp;""""&amp;Dashboard!$L$1&amp;""""))/100),IF(Q2074=Dashboard!$L$1,M2074,M2074*GOOGLEFINANCE(""CURRENCY:""&amp;Q2074&amp;""""&amp;Dashboard!$"&amp;"L$1&amp;""""))),M2074))"),"")</f>
        <v/>
      </c>
      <c r="T2074" s="264" t="str">
        <f t="shared" si="4"/>
        <v/>
      </c>
      <c r="U2074" s="264" t="str">
        <f t="shared" si="5"/>
        <v/>
      </c>
      <c r="V2074" s="264" t="str">
        <f t="shared" si="6"/>
        <v/>
      </c>
      <c r="W2074" s="267" t="str">
        <f t="shared" si="8"/>
        <v/>
      </c>
      <c r="X2074" s="264" t="str">
        <f t="shared" si="7"/>
        <v/>
      </c>
    </row>
    <row r="2075" ht="15.75" customHeight="1">
      <c r="A2075" s="258"/>
      <c r="B2075" s="258"/>
      <c r="C2075" s="269"/>
      <c r="D2075" s="258"/>
      <c r="E2075" s="258"/>
      <c r="F2075" s="258"/>
      <c r="G2075" s="258"/>
      <c r="H2075" s="271"/>
      <c r="I2075" s="258"/>
      <c r="J2075" s="272"/>
      <c r="K2075" s="260"/>
      <c r="L2075" s="261"/>
      <c r="M2075" s="262" t="str">
        <f t="shared" si="1"/>
        <v/>
      </c>
      <c r="N2075" s="263" t="str">
        <f t="shared" si="2"/>
        <v/>
      </c>
      <c r="O2075" s="264" t="str">
        <f t="shared" si="3"/>
        <v/>
      </c>
      <c r="P2075" s="265" t="str">
        <f>IFERROR(__xludf.DUMMYFUNCTION("IF(ISBLANK(A2075),"""",IFERROR(IF(H2075=""Sell"",VLOOKUP(9^99,FILTER({ROW(P$2:P2074),P$2:P2074},D$2:D2074=D2075),2),(VLOOKUP(9^99,FILTER({ROW(P$2:P2074),P$2:P2074},D$2:D2074=D2075),2)*VLOOKUP(9^99,FILTER({ROW(O$2:O2074),O$2:O2074},D$2:D2074=D2075),2)-N207"&amp;"5)/O2075),J2075))"),"")</f>
        <v/>
      </c>
      <c r="Q2075" s="264" t="str">
        <f>IFERROR(__xludf.DUMMYFUNCTION("IFERROR(IF(F2075=""Crypto"",B2075,(IF(ISBLANK(D2075),"""",IF(D2075=""Cash"",B2075,IF(GOOGLEFINANCE(D2075,""CURRENCY"")=""GBX"",""GBP"",GOOGLEFINANCE(D2075,""CURRENCY"")))))),B2075)"),"")</f>
        <v/>
      </c>
      <c r="R2075" s="263" t="str">
        <f>IFERROR(__xludf.DUMMYFUNCTION("IF(ISBLANK(A2075),"""",IFERROR(IF(OR(Q2075=""GPB"",Q2075=""ZAR""),IF(Q2075=Dashboard!$L$1,K2075,(K2075*GOOGLEFINANCE(""CURRENCY:""&amp;Q2075&amp;""""&amp;Dashboard!$L$1&amp;""""))/100),IF(Q2075=Dashboard!$L$1,K2075,K2075*GOOGLEFINANCE(""CURRENCY:""&amp;Q2075&amp;""""&amp;Dashboard!$"&amp;"L$1&amp;""""))),K2075))"),"")</f>
        <v/>
      </c>
      <c r="S2075" s="266" t="str">
        <f>IFERROR(__xludf.DUMMYFUNCTION("IF(ISBLANK(A2075),"""",IFERROR(IF(OR(Q2075=""GPB"",Q2075=""ZAR""),IF(Q2075=Dashboard!$L$1,M2075,(M2075*GOOGLEFINANCE(""CURRENCY:""&amp;Q2075&amp;""""&amp;Dashboard!$L$1&amp;""""))/100),IF(Q2075=Dashboard!$L$1,M2075,M2075*GOOGLEFINANCE(""CURRENCY:""&amp;Q2075&amp;""""&amp;Dashboard!$"&amp;"L$1&amp;""""))),M2075))"),"")</f>
        <v/>
      </c>
      <c r="T2075" s="264" t="str">
        <f t="shared" si="4"/>
        <v/>
      </c>
      <c r="U2075" s="264" t="str">
        <f t="shared" si="5"/>
        <v/>
      </c>
      <c r="V2075" s="264" t="str">
        <f t="shared" si="6"/>
        <v/>
      </c>
      <c r="W2075" s="267" t="str">
        <f t="shared" si="8"/>
        <v/>
      </c>
      <c r="X2075" s="264" t="str">
        <f t="shared" si="7"/>
        <v/>
      </c>
    </row>
    <row r="2076" ht="15.75" customHeight="1">
      <c r="A2076" s="258"/>
      <c r="B2076" s="258"/>
      <c r="C2076" s="269"/>
      <c r="D2076" s="258"/>
      <c r="E2076" s="258"/>
      <c r="F2076" s="258"/>
      <c r="G2076" s="258"/>
      <c r="H2076" s="271"/>
      <c r="I2076" s="258"/>
      <c r="J2076" s="272"/>
      <c r="K2076" s="260"/>
      <c r="L2076" s="261"/>
      <c r="M2076" s="262" t="str">
        <f t="shared" si="1"/>
        <v/>
      </c>
      <c r="N2076" s="263" t="str">
        <f t="shared" si="2"/>
        <v/>
      </c>
      <c r="O2076" s="264" t="str">
        <f t="shared" si="3"/>
        <v/>
      </c>
      <c r="P2076" s="265" t="str">
        <f>IFERROR(__xludf.DUMMYFUNCTION("IF(ISBLANK(A2076),"""",IFERROR(IF(H2076=""Sell"",VLOOKUP(9^99,FILTER({ROW(P$2:P2075),P$2:P2075},D$2:D2075=D2076),2),(VLOOKUP(9^99,FILTER({ROW(P$2:P2075),P$2:P2075},D$2:D2075=D2076),2)*VLOOKUP(9^99,FILTER({ROW(O$2:O2075),O$2:O2075},D$2:D2075=D2076),2)-N207"&amp;"6)/O2076),J2076))"),"")</f>
        <v/>
      </c>
      <c r="Q2076" s="264" t="str">
        <f>IFERROR(__xludf.DUMMYFUNCTION("IFERROR(IF(F2076=""Crypto"",B2076,(IF(ISBLANK(D2076),"""",IF(D2076=""Cash"",B2076,IF(GOOGLEFINANCE(D2076,""CURRENCY"")=""GBX"",""GBP"",GOOGLEFINANCE(D2076,""CURRENCY"")))))),B2076)"),"")</f>
        <v/>
      </c>
      <c r="R2076" s="263" t="str">
        <f>IFERROR(__xludf.DUMMYFUNCTION("IF(ISBLANK(A2076),"""",IFERROR(IF(OR(Q2076=""GPB"",Q2076=""ZAR""),IF(Q2076=Dashboard!$L$1,K2076,(K2076*GOOGLEFINANCE(""CURRENCY:""&amp;Q2076&amp;""""&amp;Dashboard!$L$1&amp;""""))/100),IF(Q2076=Dashboard!$L$1,K2076,K2076*GOOGLEFINANCE(""CURRENCY:""&amp;Q2076&amp;""""&amp;Dashboard!$"&amp;"L$1&amp;""""))),K2076))"),"")</f>
        <v/>
      </c>
      <c r="S2076" s="266" t="str">
        <f>IFERROR(__xludf.DUMMYFUNCTION("IF(ISBLANK(A2076),"""",IFERROR(IF(OR(Q2076=""GPB"",Q2076=""ZAR""),IF(Q2076=Dashboard!$L$1,M2076,(M2076*GOOGLEFINANCE(""CURRENCY:""&amp;Q2076&amp;""""&amp;Dashboard!$L$1&amp;""""))/100),IF(Q2076=Dashboard!$L$1,M2076,M2076*GOOGLEFINANCE(""CURRENCY:""&amp;Q2076&amp;""""&amp;Dashboard!$"&amp;"L$1&amp;""""))),M2076))"),"")</f>
        <v/>
      </c>
      <c r="T2076" s="264" t="str">
        <f t="shared" si="4"/>
        <v/>
      </c>
      <c r="U2076" s="264" t="str">
        <f t="shared" si="5"/>
        <v/>
      </c>
      <c r="V2076" s="264" t="str">
        <f t="shared" si="6"/>
        <v/>
      </c>
      <c r="W2076" s="267" t="str">
        <f t="shared" si="8"/>
        <v/>
      </c>
      <c r="X2076" s="264" t="str">
        <f t="shared" si="7"/>
        <v/>
      </c>
    </row>
    <row r="2077" ht="15.75" customHeight="1">
      <c r="A2077" s="258"/>
      <c r="B2077" s="258"/>
      <c r="C2077" s="269"/>
      <c r="D2077" s="258"/>
      <c r="E2077" s="258"/>
      <c r="F2077" s="258"/>
      <c r="G2077" s="258"/>
      <c r="H2077" s="271"/>
      <c r="I2077" s="258"/>
      <c r="J2077" s="272"/>
      <c r="K2077" s="260"/>
      <c r="L2077" s="261"/>
      <c r="M2077" s="262" t="str">
        <f t="shared" si="1"/>
        <v/>
      </c>
      <c r="N2077" s="263" t="str">
        <f t="shared" si="2"/>
        <v/>
      </c>
      <c r="O2077" s="264" t="str">
        <f t="shared" si="3"/>
        <v/>
      </c>
      <c r="P2077" s="265" t="str">
        <f>IFERROR(__xludf.DUMMYFUNCTION("IF(ISBLANK(A2077),"""",IFERROR(IF(H2077=""Sell"",VLOOKUP(9^99,FILTER({ROW(P$2:P2076),P$2:P2076},D$2:D2076=D2077),2),(VLOOKUP(9^99,FILTER({ROW(P$2:P2076),P$2:P2076},D$2:D2076=D2077),2)*VLOOKUP(9^99,FILTER({ROW(O$2:O2076),O$2:O2076},D$2:D2076=D2077),2)-N207"&amp;"7)/O2077),J2077))"),"")</f>
        <v/>
      </c>
      <c r="Q2077" s="264" t="str">
        <f>IFERROR(__xludf.DUMMYFUNCTION("IFERROR(IF(F2077=""Crypto"",B2077,(IF(ISBLANK(D2077),"""",IF(D2077=""Cash"",B2077,IF(GOOGLEFINANCE(D2077,""CURRENCY"")=""GBX"",""GBP"",GOOGLEFINANCE(D2077,""CURRENCY"")))))),B2077)"),"")</f>
        <v/>
      </c>
      <c r="R2077" s="263" t="str">
        <f>IFERROR(__xludf.DUMMYFUNCTION("IF(ISBLANK(A2077),"""",IFERROR(IF(OR(Q2077=""GPB"",Q2077=""ZAR""),IF(Q2077=Dashboard!$L$1,K2077,(K2077*GOOGLEFINANCE(""CURRENCY:""&amp;Q2077&amp;""""&amp;Dashboard!$L$1&amp;""""))/100),IF(Q2077=Dashboard!$L$1,K2077,K2077*GOOGLEFINANCE(""CURRENCY:""&amp;Q2077&amp;""""&amp;Dashboard!$"&amp;"L$1&amp;""""))),K2077))"),"")</f>
        <v/>
      </c>
      <c r="S2077" s="266" t="str">
        <f>IFERROR(__xludf.DUMMYFUNCTION("IF(ISBLANK(A2077),"""",IFERROR(IF(OR(Q2077=""GPB"",Q2077=""ZAR""),IF(Q2077=Dashboard!$L$1,M2077,(M2077*GOOGLEFINANCE(""CURRENCY:""&amp;Q2077&amp;""""&amp;Dashboard!$L$1&amp;""""))/100),IF(Q2077=Dashboard!$L$1,M2077,M2077*GOOGLEFINANCE(""CURRENCY:""&amp;Q2077&amp;""""&amp;Dashboard!$"&amp;"L$1&amp;""""))),M2077))"),"")</f>
        <v/>
      </c>
      <c r="T2077" s="264" t="str">
        <f t="shared" si="4"/>
        <v/>
      </c>
      <c r="U2077" s="264" t="str">
        <f t="shared" si="5"/>
        <v/>
      </c>
      <c r="V2077" s="264" t="str">
        <f t="shared" si="6"/>
        <v/>
      </c>
      <c r="W2077" s="267" t="str">
        <f t="shared" si="8"/>
        <v/>
      </c>
      <c r="X2077" s="264" t="str">
        <f t="shared" si="7"/>
        <v/>
      </c>
    </row>
    <row r="2078" ht="15.75" customHeight="1">
      <c r="A2078" s="258"/>
      <c r="B2078" s="258"/>
      <c r="C2078" s="269"/>
      <c r="D2078" s="258"/>
      <c r="E2078" s="258"/>
      <c r="F2078" s="258"/>
      <c r="G2078" s="258"/>
      <c r="H2078" s="271"/>
      <c r="I2078" s="258"/>
      <c r="J2078" s="272"/>
      <c r="K2078" s="260"/>
      <c r="L2078" s="261"/>
      <c r="M2078" s="262" t="str">
        <f t="shared" si="1"/>
        <v/>
      </c>
      <c r="N2078" s="263" t="str">
        <f t="shared" si="2"/>
        <v/>
      </c>
      <c r="O2078" s="264" t="str">
        <f t="shared" si="3"/>
        <v/>
      </c>
      <c r="P2078" s="265" t="str">
        <f>IFERROR(__xludf.DUMMYFUNCTION("IF(ISBLANK(A2078),"""",IFERROR(IF(H2078=""Sell"",VLOOKUP(9^99,FILTER({ROW(P$2:P2077),P$2:P2077},D$2:D2077=D2078),2),(VLOOKUP(9^99,FILTER({ROW(P$2:P2077),P$2:P2077},D$2:D2077=D2078),2)*VLOOKUP(9^99,FILTER({ROW(O$2:O2077),O$2:O2077},D$2:D2077=D2078),2)-N207"&amp;"8)/O2078),J2078))"),"")</f>
        <v/>
      </c>
      <c r="Q2078" s="264" t="str">
        <f>IFERROR(__xludf.DUMMYFUNCTION("IFERROR(IF(F2078=""Crypto"",B2078,(IF(ISBLANK(D2078),"""",IF(D2078=""Cash"",B2078,IF(GOOGLEFINANCE(D2078,""CURRENCY"")=""GBX"",""GBP"",GOOGLEFINANCE(D2078,""CURRENCY"")))))),B2078)"),"")</f>
        <v/>
      </c>
      <c r="R2078" s="263" t="str">
        <f>IFERROR(__xludf.DUMMYFUNCTION("IF(ISBLANK(A2078),"""",IFERROR(IF(OR(Q2078=""GPB"",Q2078=""ZAR""),IF(Q2078=Dashboard!$L$1,K2078,(K2078*GOOGLEFINANCE(""CURRENCY:""&amp;Q2078&amp;""""&amp;Dashboard!$L$1&amp;""""))/100),IF(Q2078=Dashboard!$L$1,K2078,K2078*GOOGLEFINANCE(""CURRENCY:""&amp;Q2078&amp;""""&amp;Dashboard!$"&amp;"L$1&amp;""""))),K2078))"),"")</f>
        <v/>
      </c>
      <c r="S2078" s="266" t="str">
        <f>IFERROR(__xludf.DUMMYFUNCTION("IF(ISBLANK(A2078),"""",IFERROR(IF(OR(Q2078=""GPB"",Q2078=""ZAR""),IF(Q2078=Dashboard!$L$1,M2078,(M2078*GOOGLEFINANCE(""CURRENCY:""&amp;Q2078&amp;""""&amp;Dashboard!$L$1&amp;""""))/100),IF(Q2078=Dashboard!$L$1,M2078,M2078*GOOGLEFINANCE(""CURRENCY:""&amp;Q2078&amp;""""&amp;Dashboard!$"&amp;"L$1&amp;""""))),M2078))"),"")</f>
        <v/>
      </c>
      <c r="T2078" s="264" t="str">
        <f t="shared" si="4"/>
        <v/>
      </c>
      <c r="U2078" s="264" t="str">
        <f t="shared" si="5"/>
        <v/>
      </c>
      <c r="V2078" s="264" t="str">
        <f t="shared" si="6"/>
        <v/>
      </c>
      <c r="W2078" s="267" t="str">
        <f t="shared" si="8"/>
        <v/>
      </c>
      <c r="X2078" s="264" t="str">
        <f t="shared" si="7"/>
        <v/>
      </c>
    </row>
    <row r="2079" ht="15.75" customHeight="1">
      <c r="A2079" s="258"/>
      <c r="B2079" s="258"/>
      <c r="C2079" s="269"/>
      <c r="D2079" s="258"/>
      <c r="E2079" s="258"/>
      <c r="F2079" s="258"/>
      <c r="G2079" s="258"/>
      <c r="H2079" s="271"/>
      <c r="I2079" s="258"/>
      <c r="J2079" s="272"/>
      <c r="K2079" s="260"/>
      <c r="L2079" s="261"/>
      <c r="M2079" s="262" t="str">
        <f t="shared" si="1"/>
        <v/>
      </c>
      <c r="N2079" s="263" t="str">
        <f t="shared" si="2"/>
        <v/>
      </c>
      <c r="O2079" s="264" t="str">
        <f t="shared" si="3"/>
        <v/>
      </c>
      <c r="P2079" s="265" t="str">
        <f>IFERROR(__xludf.DUMMYFUNCTION("IF(ISBLANK(A2079),"""",IFERROR(IF(H2079=""Sell"",VLOOKUP(9^99,FILTER({ROW(P$2:P2078),P$2:P2078},D$2:D2078=D2079),2),(VLOOKUP(9^99,FILTER({ROW(P$2:P2078),P$2:P2078},D$2:D2078=D2079),2)*VLOOKUP(9^99,FILTER({ROW(O$2:O2078),O$2:O2078},D$2:D2078=D2079),2)-N207"&amp;"9)/O2079),J2079))"),"")</f>
        <v/>
      </c>
      <c r="Q2079" s="264" t="str">
        <f>IFERROR(__xludf.DUMMYFUNCTION("IFERROR(IF(F2079=""Crypto"",B2079,(IF(ISBLANK(D2079),"""",IF(D2079=""Cash"",B2079,IF(GOOGLEFINANCE(D2079,""CURRENCY"")=""GBX"",""GBP"",GOOGLEFINANCE(D2079,""CURRENCY"")))))),B2079)"),"")</f>
        <v/>
      </c>
      <c r="R2079" s="263" t="str">
        <f>IFERROR(__xludf.DUMMYFUNCTION("IF(ISBLANK(A2079),"""",IFERROR(IF(OR(Q2079=""GPB"",Q2079=""ZAR""),IF(Q2079=Dashboard!$L$1,K2079,(K2079*GOOGLEFINANCE(""CURRENCY:""&amp;Q2079&amp;""""&amp;Dashboard!$L$1&amp;""""))/100),IF(Q2079=Dashboard!$L$1,K2079,K2079*GOOGLEFINANCE(""CURRENCY:""&amp;Q2079&amp;""""&amp;Dashboard!$"&amp;"L$1&amp;""""))),K2079))"),"")</f>
        <v/>
      </c>
      <c r="S2079" s="266" t="str">
        <f>IFERROR(__xludf.DUMMYFUNCTION("IF(ISBLANK(A2079),"""",IFERROR(IF(OR(Q2079=""GPB"",Q2079=""ZAR""),IF(Q2079=Dashboard!$L$1,M2079,(M2079*GOOGLEFINANCE(""CURRENCY:""&amp;Q2079&amp;""""&amp;Dashboard!$L$1&amp;""""))/100),IF(Q2079=Dashboard!$L$1,M2079,M2079*GOOGLEFINANCE(""CURRENCY:""&amp;Q2079&amp;""""&amp;Dashboard!$"&amp;"L$1&amp;""""))),M2079))"),"")</f>
        <v/>
      </c>
      <c r="T2079" s="264" t="str">
        <f t="shared" si="4"/>
        <v/>
      </c>
      <c r="U2079" s="264" t="str">
        <f t="shared" si="5"/>
        <v/>
      </c>
      <c r="V2079" s="264" t="str">
        <f t="shared" si="6"/>
        <v/>
      </c>
      <c r="W2079" s="267" t="str">
        <f t="shared" si="8"/>
        <v/>
      </c>
      <c r="X2079" s="264" t="str">
        <f t="shared" si="7"/>
        <v/>
      </c>
    </row>
    <row r="2080" ht="15.75" customHeight="1">
      <c r="A2080" s="258"/>
      <c r="B2080" s="258"/>
      <c r="C2080" s="269"/>
      <c r="D2080" s="258"/>
      <c r="E2080" s="258"/>
      <c r="F2080" s="258"/>
      <c r="G2080" s="258"/>
      <c r="H2080" s="271"/>
      <c r="I2080" s="258"/>
      <c r="J2080" s="272"/>
      <c r="K2080" s="260"/>
      <c r="L2080" s="261"/>
      <c r="M2080" s="262" t="str">
        <f t="shared" si="1"/>
        <v/>
      </c>
      <c r="N2080" s="263" t="str">
        <f t="shared" si="2"/>
        <v/>
      </c>
      <c r="O2080" s="264" t="str">
        <f t="shared" si="3"/>
        <v/>
      </c>
      <c r="P2080" s="265" t="str">
        <f>IFERROR(__xludf.DUMMYFUNCTION("IF(ISBLANK(A2080),"""",IFERROR(IF(H2080=""Sell"",VLOOKUP(9^99,FILTER({ROW(P$2:P2079),P$2:P2079},D$2:D2079=D2080),2),(VLOOKUP(9^99,FILTER({ROW(P$2:P2079),P$2:P2079},D$2:D2079=D2080),2)*VLOOKUP(9^99,FILTER({ROW(O$2:O2079),O$2:O2079},D$2:D2079=D2080),2)-N208"&amp;"0)/O2080),J2080))"),"")</f>
        <v/>
      </c>
      <c r="Q2080" s="264" t="str">
        <f>IFERROR(__xludf.DUMMYFUNCTION("IFERROR(IF(F2080=""Crypto"",B2080,(IF(ISBLANK(D2080),"""",IF(D2080=""Cash"",B2080,IF(GOOGLEFINANCE(D2080,""CURRENCY"")=""GBX"",""GBP"",GOOGLEFINANCE(D2080,""CURRENCY"")))))),B2080)"),"")</f>
        <v/>
      </c>
      <c r="R2080" s="263" t="str">
        <f>IFERROR(__xludf.DUMMYFUNCTION("IF(ISBLANK(A2080),"""",IFERROR(IF(OR(Q2080=""GPB"",Q2080=""ZAR""),IF(Q2080=Dashboard!$L$1,K2080,(K2080*GOOGLEFINANCE(""CURRENCY:""&amp;Q2080&amp;""""&amp;Dashboard!$L$1&amp;""""))/100),IF(Q2080=Dashboard!$L$1,K2080,K2080*GOOGLEFINANCE(""CURRENCY:""&amp;Q2080&amp;""""&amp;Dashboard!$"&amp;"L$1&amp;""""))),K2080))"),"")</f>
        <v/>
      </c>
      <c r="S2080" s="266" t="str">
        <f>IFERROR(__xludf.DUMMYFUNCTION("IF(ISBLANK(A2080),"""",IFERROR(IF(OR(Q2080=""GPB"",Q2080=""ZAR""),IF(Q2080=Dashboard!$L$1,M2080,(M2080*GOOGLEFINANCE(""CURRENCY:""&amp;Q2080&amp;""""&amp;Dashboard!$L$1&amp;""""))/100),IF(Q2080=Dashboard!$L$1,M2080,M2080*GOOGLEFINANCE(""CURRENCY:""&amp;Q2080&amp;""""&amp;Dashboard!$"&amp;"L$1&amp;""""))),M2080))"),"")</f>
        <v/>
      </c>
      <c r="T2080" s="264" t="str">
        <f t="shared" si="4"/>
        <v/>
      </c>
      <c r="U2080" s="264" t="str">
        <f t="shared" si="5"/>
        <v/>
      </c>
      <c r="V2080" s="264" t="str">
        <f t="shared" si="6"/>
        <v/>
      </c>
      <c r="W2080" s="267" t="str">
        <f t="shared" si="8"/>
        <v/>
      </c>
      <c r="X2080" s="264" t="str">
        <f t="shared" si="7"/>
        <v/>
      </c>
    </row>
    <row r="2081" ht="15.75" customHeight="1">
      <c r="A2081" s="258"/>
      <c r="B2081" s="258"/>
      <c r="C2081" s="269"/>
      <c r="D2081" s="258"/>
      <c r="E2081" s="258"/>
      <c r="F2081" s="258"/>
      <c r="G2081" s="258"/>
      <c r="H2081" s="271"/>
      <c r="I2081" s="258"/>
      <c r="J2081" s="272"/>
      <c r="K2081" s="260"/>
      <c r="L2081" s="261"/>
      <c r="M2081" s="262" t="str">
        <f t="shared" si="1"/>
        <v/>
      </c>
      <c r="N2081" s="263" t="str">
        <f t="shared" si="2"/>
        <v/>
      </c>
      <c r="O2081" s="264" t="str">
        <f t="shared" si="3"/>
        <v/>
      </c>
      <c r="P2081" s="265" t="str">
        <f>IFERROR(__xludf.DUMMYFUNCTION("IF(ISBLANK(A2081),"""",IFERROR(IF(H2081=""Sell"",VLOOKUP(9^99,FILTER({ROW(P$2:P2080),P$2:P2080},D$2:D2080=D2081),2),(VLOOKUP(9^99,FILTER({ROW(P$2:P2080),P$2:P2080},D$2:D2080=D2081),2)*VLOOKUP(9^99,FILTER({ROW(O$2:O2080),O$2:O2080},D$2:D2080=D2081),2)-N208"&amp;"1)/O2081),J2081))"),"")</f>
        <v/>
      </c>
      <c r="Q2081" s="264" t="str">
        <f>IFERROR(__xludf.DUMMYFUNCTION("IFERROR(IF(F2081=""Crypto"",B2081,(IF(ISBLANK(D2081),"""",IF(D2081=""Cash"",B2081,IF(GOOGLEFINANCE(D2081,""CURRENCY"")=""GBX"",""GBP"",GOOGLEFINANCE(D2081,""CURRENCY"")))))),B2081)"),"")</f>
        <v/>
      </c>
      <c r="R2081" s="263" t="str">
        <f>IFERROR(__xludf.DUMMYFUNCTION("IF(ISBLANK(A2081),"""",IFERROR(IF(OR(Q2081=""GPB"",Q2081=""ZAR""),IF(Q2081=Dashboard!$L$1,K2081,(K2081*GOOGLEFINANCE(""CURRENCY:""&amp;Q2081&amp;""""&amp;Dashboard!$L$1&amp;""""))/100),IF(Q2081=Dashboard!$L$1,K2081,K2081*GOOGLEFINANCE(""CURRENCY:""&amp;Q2081&amp;""""&amp;Dashboard!$"&amp;"L$1&amp;""""))),K2081))"),"")</f>
        <v/>
      </c>
      <c r="S2081" s="266" t="str">
        <f>IFERROR(__xludf.DUMMYFUNCTION("IF(ISBLANK(A2081),"""",IFERROR(IF(OR(Q2081=""GPB"",Q2081=""ZAR""),IF(Q2081=Dashboard!$L$1,M2081,(M2081*GOOGLEFINANCE(""CURRENCY:""&amp;Q2081&amp;""""&amp;Dashboard!$L$1&amp;""""))/100),IF(Q2081=Dashboard!$L$1,M2081,M2081*GOOGLEFINANCE(""CURRENCY:""&amp;Q2081&amp;""""&amp;Dashboard!$"&amp;"L$1&amp;""""))),M2081))"),"")</f>
        <v/>
      </c>
      <c r="T2081" s="264" t="str">
        <f t="shared" si="4"/>
        <v/>
      </c>
      <c r="U2081" s="264" t="str">
        <f t="shared" si="5"/>
        <v/>
      </c>
      <c r="V2081" s="264" t="str">
        <f t="shared" si="6"/>
        <v/>
      </c>
      <c r="W2081" s="267" t="str">
        <f t="shared" si="8"/>
        <v/>
      </c>
      <c r="X2081" s="264" t="str">
        <f t="shared" si="7"/>
        <v/>
      </c>
    </row>
    <row r="2082" ht="15.75" customHeight="1">
      <c r="A2082" s="258"/>
      <c r="B2082" s="258"/>
      <c r="C2082" s="269"/>
      <c r="D2082" s="258"/>
      <c r="E2082" s="258"/>
      <c r="F2082" s="258"/>
      <c r="G2082" s="258"/>
      <c r="H2082" s="271"/>
      <c r="I2082" s="258"/>
      <c r="J2082" s="272"/>
      <c r="K2082" s="260"/>
      <c r="L2082" s="261"/>
      <c r="M2082" s="262" t="str">
        <f t="shared" si="1"/>
        <v/>
      </c>
      <c r="N2082" s="263" t="str">
        <f t="shared" si="2"/>
        <v/>
      </c>
      <c r="O2082" s="264" t="str">
        <f t="shared" si="3"/>
        <v/>
      </c>
      <c r="P2082" s="265" t="str">
        <f>IFERROR(__xludf.DUMMYFUNCTION("IF(ISBLANK(A2082),"""",IFERROR(IF(H2082=""Sell"",VLOOKUP(9^99,FILTER({ROW(P$2:P2081),P$2:P2081},D$2:D2081=D2082),2),(VLOOKUP(9^99,FILTER({ROW(P$2:P2081),P$2:P2081},D$2:D2081=D2082),2)*VLOOKUP(9^99,FILTER({ROW(O$2:O2081),O$2:O2081},D$2:D2081=D2082),2)-N208"&amp;"2)/O2082),J2082))"),"")</f>
        <v/>
      </c>
      <c r="Q2082" s="264" t="str">
        <f>IFERROR(__xludf.DUMMYFUNCTION("IFERROR(IF(F2082=""Crypto"",B2082,(IF(ISBLANK(D2082),"""",IF(D2082=""Cash"",B2082,IF(GOOGLEFINANCE(D2082,""CURRENCY"")=""GBX"",""GBP"",GOOGLEFINANCE(D2082,""CURRENCY"")))))),B2082)"),"")</f>
        <v/>
      </c>
      <c r="R2082" s="263" t="str">
        <f>IFERROR(__xludf.DUMMYFUNCTION("IF(ISBLANK(A2082),"""",IFERROR(IF(OR(Q2082=""GPB"",Q2082=""ZAR""),IF(Q2082=Dashboard!$L$1,K2082,(K2082*GOOGLEFINANCE(""CURRENCY:""&amp;Q2082&amp;""""&amp;Dashboard!$L$1&amp;""""))/100),IF(Q2082=Dashboard!$L$1,K2082,K2082*GOOGLEFINANCE(""CURRENCY:""&amp;Q2082&amp;""""&amp;Dashboard!$"&amp;"L$1&amp;""""))),K2082))"),"")</f>
        <v/>
      </c>
      <c r="S2082" s="266" t="str">
        <f>IFERROR(__xludf.DUMMYFUNCTION("IF(ISBLANK(A2082),"""",IFERROR(IF(OR(Q2082=""GPB"",Q2082=""ZAR""),IF(Q2082=Dashboard!$L$1,M2082,(M2082*GOOGLEFINANCE(""CURRENCY:""&amp;Q2082&amp;""""&amp;Dashboard!$L$1&amp;""""))/100),IF(Q2082=Dashboard!$L$1,M2082,M2082*GOOGLEFINANCE(""CURRENCY:""&amp;Q2082&amp;""""&amp;Dashboard!$"&amp;"L$1&amp;""""))),M2082))"),"")</f>
        <v/>
      </c>
      <c r="T2082" s="264" t="str">
        <f t="shared" si="4"/>
        <v/>
      </c>
      <c r="U2082" s="264" t="str">
        <f t="shared" si="5"/>
        <v/>
      </c>
      <c r="V2082" s="264" t="str">
        <f t="shared" si="6"/>
        <v/>
      </c>
      <c r="W2082" s="267" t="str">
        <f t="shared" si="8"/>
        <v/>
      </c>
      <c r="X2082" s="264" t="str">
        <f t="shared" si="7"/>
        <v/>
      </c>
    </row>
    <row r="2083" ht="15.75" customHeight="1">
      <c r="A2083" s="258"/>
      <c r="B2083" s="258"/>
      <c r="C2083" s="269"/>
      <c r="D2083" s="258"/>
      <c r="E2083" s="258"/>
      <c r="F2083" s="258"/>
      <c r="G2083" s="258"/>
      <c r="H2083" s="271"/>
      <c r="I2083" s="258"/>
      <c r="J2083" s="272"/>
      <c r="K2083" s="260"/>
      <c r="L2083" s="261"/>
      <c r="M2083" s="262" t="str">
        <f t="shared" si="1"/>
        <v/>
      </c>
      <c r="N2083" s="263" t="str">
        <f t="shared" si="2"/>
        <v/>
      </c>
      <c r="O2083" s="264" t="str">
        <f t="shared" si="3"/>
        <v/>
      </c>
      <c r="P2083" s="265" t="str">
        <f>IFERROR(__xludf.DUMMYFUNCTION("IF(ISBLANK(A2083),"""",IFERROR(IF(H2083=""Sell"",VLOOKUP(9^99,FILTER({ROW(P$2:P2082),P$2:P2082},D$2:D2082=D2083),2),(VLOOKUP(9^99,FILTER({ROW(P$2:P2082),P$2:P2082},D$2:D2082=D2083),2)*VLOOKUP(9^99,FILTER({ROW(O$2:O2082),O$2:O2082},D$2:D2082=D2083),2)-N208"&amp;"3)/O2083),J2083))"),"")</f>
        <v/>
      </c>
      <c r="Q2083" s="264" t="str">
        <f>IFERROR(__xludf.DUMMYFUNCTION("IFERROR(IF(F2083=""Crypto"",B2083,(IF(ISBLANK(D2083),"""",IF(D2083=""Cash"",B2083,IF(GOOGLEFINANCE(D2083,""CURRENCY"")=""GBX"",""GBP"",GOOGLEFINANCE(D2083,""CURRENCY"")))))),B2083)"),"")</f>
        <v/>
      </c>
      <c r="R2083" s="263" t="str">
        <f>IFERROR(__xludf.DUMMYFUNCTION("IF(ISBLANK(A2083),"""",IFERROR(IF(OR(Q2083=""GPB"",Q2083=""ZAR""),IF(Q2083=Dashboard!$L$1,K2083,(K2083*GOOGLEFINANCE(""CURRENCY:""&amp;Q2083&amp;""""&amp;Dashboard!$L$1&amp;""""))/100),IF(Q2083=Dashboard!$L$1,K2083,K2083*GOOGLEFINANCE(""CURRENCY:""&amp;Q2083&amp;""""&amp;Dashboard!$"&amp;"L$1&amp;""""))),K2083))"),"")</f>
        <v/>
      </c>
      <c r="S2083" s="266" t="str">
        <f>IFERROR(__xludf.DUMMYFUNCTION("IF(ISBLANK(A2083),"""",IFERROR(IF(OR(Q2083=""GPB"",Q2083=""ZAR""),IF(Q2083=Dashboard!$L$1,M2083,(M2083*GOOGLEFINANCE(""CURRENCY:""&amp;Q2083&amp;""""&amp;Dashboard!$L$1&amp;""""))/100),IF(Q2083=Dashboard!$L$1,M2083,M2083*GOOGLEFINANCE(""CURRENCY:""&amp;Q2083&amp;""""&amp;Dashboard!$"&amp;"L$1&amp;""""))),M2083))"),"")</f>
        <v/>
      </c>
      <c r="T2083" s="264" t="str">
        <f t="shared" si="4"/>
        <v/>
      </c>
      <c r="U2083" s="264" t="str">
        <f t="shared" si="5"/>
        <v/>
      </c>
      <c r="V2083" s="264" t="str">
        <f t="shared" si="6"/>
        <v/>
      </c>
      <c r="W2083" s="267" t="str">
        <f t="shared" si="8"/>
        <v/>
      </c>
      <c r="X2083" s="264" t="str">
        <f t="shared" si="7"/>
        <v/>
      </c>
    </row>
    <row r="2084" ht="15.75" customHeight="1">
      <c r="A2084" s="258"/>
      <c r="B2084" s="258"/>
      <c r="C2084" s="269"/>
      <c r="D2084" s="258"/>
      <c r="E2084" s="258"/>
      <c r="F2084" s="258"/>
      <c r="G2084" s="258"/>
      <c r="H2084" s="271"/>
      <c r="I2084" s="258"/>
      <c r="J2084" s="272"/>
      <c r="K2084" s="260"/>
      <c r="L2084" s="261"/>
      <c r="M2084" s="262" t="str">
        <f t="shared" si="1"/>
        <v/>
      </c>
      <c r="N2084" s="263" t="str">
        <f t="shared" si="2"/>
        <v/>
      </c>
      <c r="O2084" s="264" t="str">
        <f t="shared" si="3"/>
        <v/>
      </c>
      <c r="P2084" s="265" t="str">
        <f>IFERROR(__xludf.DUMMYFUNCTION("IF(ISBLANK(A2084),"""",IFERROR(IF(H2084=""Sell"",VLOOKUP(9^99,FILTER({ROW(P$2:P2083),P$2:P2083},D$2:D2083=D2084),2),(VLOOKUP(9^99,FILTER({ROW(P$2:P2083),P$2:P2083},D$2:D2083=D2084),2)*VLOOKUP(9^99,FILTER({ROW(O$2:O2083),O$2:O2083},D$2:D2083=D2084),2)-N208"&amp;"4)/O2084),J2084))"),"")</f>
        <v/>
      </c>
      <c r="Q2084" s="264" t="str">
        <f>IFERROR(__xludf.DUMMYFUNCTION("IFERROR(IF(F2084=""Crypto"",B2084,(IF(ISBLANK(D2084),"""",IF(D2084=""Cash"",B2084,IF(GOOGLEFINANCE(D2084,""CURRENCY"")=""GBX"",""GBP"",GOOGLEFINANCE(D2084,""CURRENCY"")))))),B2084)"),"")</f>
        <v/>
      </c>
      <c r="R2084" s="263" t="str">
        <f>IFERROR(__xludf.DUMMYFUNCTION("IF(ISBLANK(A2084),"""",IFERROR(IF(OR(Q2084=""GPB"",Q2084=""ZAR""),IF(Q2084=Dashboard!$L$1,K2084,(K2084*GOOGLEFINANCE(""CURRENCY:""&amp;Q2084&amp;""""&amp;Dashboard!$L$1&amp;""""))/100),IF(Q2084=Dashboard!$L$1,K2084,K2084*GOOGLEFINANCE(""CURRENCY:""&amp;Q2084&amp;""""&amp;Dashboard!$"&amp;"L$1&amp;""""))),K2084))"),"")</f>
        <v/>
      </c>
      <c r="S2084" s="266" t="str">
        <f>IFERROR(__xludf.DUMMYFUNCTION("IF(ISBLANK(A2084),"""",IFERROR(IF(OR(Q2084=""GPB"",Q2084=""ZAR""),IF(Q2084=Dashboard!$L$1,M2084,(M2084*GOOGLEFINANCE(""CURRENCY:""&amp;Q2084&amp;""""&amp;Dashboard!$L$1&amp;""""))/100),IF(Q2084=Dashboard!$L$1,M2084,M2084*GOOGLEFINANCE(""CURRENCY:""&amp;Q2084&amp;""""&amp;Dashboard!$"&amp;"L$1&amp;""""))),M2084))"),"")</f>
        <v/>
      </c>
      <c r="T2084" s="264" t="str">
        <f t="shared" si="4"/>
        <v/>
      </c>
      <c r="U2084" s="264" t="str">
        <f t="shared" si="5"/>
        <v/>
      </c>
      <c r="V2084" s="264" t="str">
        <f t="shared" si="6"/>
        <v/>
      </c>
      <c r="W2084" s="267" t="str">
        <f t="shared" si="8"/>
        <v/>
      </c>
      <c r="X2084" s="264" t="str">
        <f t="shared" si="7"/>
        <v/>
      </c>
    </row>
    <row r="2085" ht="15.75" customHeight="1">
      <c r="A2085" s="258"/>
      <c r="B2085" s="258"/>
      <c r="C2085" s="269"/>
      <c r="D2085" s="258"/>
      <c r="E2085" s="258"/>
      <c r="F2085" s="258"/>
      <c r="G2085" s="258"/>
      <c r="H2085" s="271"/>
      <c r="I2085" s="258"/>
      <c r="J2085" s="272"/>
      <c r="K2085" s="260"/>
      <c r="L2085" s="261"/>
      <c r="M2085" s="262" t="str">
        <f t="shared" si="1"/>
        <v/>
      </c>
      <c r="N2085" s="263" t="str">
        <f t="shared" si="2"/>
        <v/>
      </c>
      <c r="O2085" s="264" t="str">
        <f t="shared" si="3"/>
        <v/>
      </c>
      <c r="P2085" s="265" t="str">
        <f>IFERROR(__xludf.DUMMYFUNCTION("IF(ISBLANK(A2085),"""",IFERROR(IF(H2085=""Sell"",VLOOKUP(9^99,FILTER({ROW(P$2:P2084),P$2:P2084},D$2:D2084=D2085),2),(VLOOKUP(9^99,FILTER({ROW(P$2:P2084),P$2:P2084},D$2:D2084=D2085),2)*VLOOKUP(9^99,FILTER({ROW(O$2:O2084),O$2:O2084},D$2:D2084=D2085),2)-N208"&amp;"5)/O2085),J2085))"),"")</f>
        <v/>
      </c>
      <c r="Q2085" s="264" t="str">
        <f>IFERROR(__xludf.DUMMYFUNCTION("IFERROR(IF(F2085=""Crypto"",B2085,(IF(ISBLANK(D2085),"""",IF(D2085=""Cash"",B2085,IF(GOOGLEFINANCE(D2085,""CURRENCY"")=""GBX"",""GBP"",GOOGLEFINANCE(D2085,""CURRENCY"")))))),B2085)"),"")</f>
        <v/>
      </c>
      <c r="R2085" s="263" t="str">
        <f>IFERROR(__xludf.DUMMYFUNCTION("IF(ISBLANK(A2085),"""",IFERROR(IF(OR(Q2085=""GPB"",Q2085=""ZAR""),IF(Q2085=Dashboard!$L$1,K2085,(K2085*GOOGLEFINANCE(""CURRENCY:""&amp;Q2085&amp;""""&amp;Dashboard!$L$1&amp;""""))/100),IF(Q2085=Dashboard!$L$1,K2085,K2085*GOOGLEFINANCE(""CURRENCY:""&amp;Q2085&amp;""""&amp;Dashboard!$"&amp;"L$1&amp;""""))),K2085))"),"")</f>
        <v/>
      </c>
      <c r="S2085" s="266" t="str">
        <f>IFERROR(__xludf.DUMMYFUNCTION("IF(ISBLANK(A2085),"""",IFERROR(IF(OR(Q2085=""GPB"",Q2085=""ZAR""),IF(Q2085=Dashboard!$L$1,M2085,(M2085*GOOGLEFINANCE(""CURRENCY:""&amp;Q2085&amp;""""&amp;Dashboard!$L$1&amp;""""))/100),IF(Q2085=Dashboard!$L$1,M2085,M2085*GOOGLEFINANCE(""CURRENCY:""&amp;Q2085&amp;""""&amp;Dashboard!$"&amp;"L$1&amp;""""))),M2085))"),"")</f>
        <v/>
      </c>
      <c r="T2085" s="264" t="str">
        <f t="shared" si="4"/>
        <v/>
      </c>
      <c r="U2085" s="264" t="str">
        <f t="shared" si="5"/>
        <v/>
      </c>
      <c r="V2085" s="264" t="str">
        <f t="shared" si="6"/>
        <v/>
      </c>
      <c r="W2085" s="267" t="str">
        <f t="shared" si="8"/>
        <v/>
      </c>
      <c r="X2085" s="264" t="str">
        <f t="shared" si="7"/>
        <v/>
      </c>
    </row>
    <row r="2086" ht="15.75" customHeight="1">
      <c r="A2086" s="258"/>
      <c r="B2086" s="258"/>
      <c r="C2086" s="269"/>
      <c r="D2086" s="258"/>
      <c r="E2086" s="258"/>
      <c r="F2086" s="258"/>
      <c r="G2086" s="258"/>
      <c r="H2086" s="271"/>
      <c r="I2086" s="258"/>
      <c r="J2086" s="272"/>
      <c r="K2086" s="260"/>
      <c r="L2086" s="261"/>
      <c r="M2086" s="262" t="str">
        <f t="shared" si="1"/>
        <v/>
      </c>
      <c r="N2086" s="263" t="str">
        <f t="shared" si="2"/>
        <v/>
      </c>
      <c r="O2086" s="264" t="str">
        <f t="shared" si="3"/>
        <v/>
      </c>
      <c r="P2086" s="265" t="str">
        <f>IFERROR(__xludf.DUMMYFUNCTION("IF(ISBLANK(A2086),"""",IFERROR(IF(H2086=""Sell"",VLOOKUP(9^99,FILTER({ROW(P$2:P2085),P$2:P2085},D$2:D2085=D2086),2),(VLOOKUP(9^99,FILTER({ROW(P$2:P2085),P$2:P2085},D$2:D2085=D2086),2)*VLOOKUP(9^99,FILTER({ROW(O$2:O2085),O$2:O2085},D$2:D2085=D2086),2)-N208"&amp;"6)/O2086),J2086))"),"")</f>
        <v/>
      </c>
      <c r="Q2086" s="264" t="str">
        <f>IFERROR(__xludf.DUMMYFUNCTION("IFERROR(IF(F2086=""Crypto"",B2086,(IF(ISBLANK(D2086),"""",IF(D2086=""Cash"",B2086,IF(GOOGLEFINANCE(D2086,""CURRENCY"")=""GBX"",""GBP"",GOOGLEFINANCE(D2086,""CURRENCY"")))))),B2086)"),"")</f>
        <v/>
      </c>
      <c r="R2086" s="263" t="str">
        <f>IFERROR(__xludf.DUMMYFUNCTION("IF(ISBLANK(A2086),"""",IFERROR(IF(OR(Q2086=""GPB"",Q2086=""ZAR""),IF(Q2086=Dashboard!$L$1,K2086,(K2086*GOOGLEFINANCE(""CURRENCY:""&amp;Q2086&amp;""""&amp;Dashboard!$L$1&amp;""""))/100),IF(Q2086=Dashboard!$L$1,K2086,K2086*GOOGLEFINANCE(""CURRENCY:""&amp;Q2086&amp;""""&amp;Dashboard!$"&amp;"L$1&amp;""""))),K2086))"),"")</f>
        <v/>
      </c>
      <c r="S2086" s="266" t="str">
        <f>IFERROR(__xludf.DUMMYFUNCTION("IF(ISBLANK(A2086),"""",IFERROR(IF(OR(Q2086=""GPB"",Q2086=""ZAR""),IF(Q2086=Dashboard!$L$1,M2086,(M2086*GOOGLEFINANCE(""CURRENCY:""&amp;Q2086&amp;""""&amp;Dashboard!$L$1&amp;""""))/100),IF(Q2086=Dashboard!$L$1,M2086,M2086*GOOGLEFINANCE(""CURRENCY:""&amp;Q2086&amp;""""&amp;Dashboard!$"&amp;"L$1&amp;""""))),M2086))"),"")</f>
        <v/>
      </c>
      <c r="T2086" s="264" t="str">
        <f t="shared" si="4"/>
        <v/>
      </c>
      <c r="U2086" s="264" t="str">
        <f t="shared" si="5"/>
        <v/>
      </c>
      <c r="V2086" s="264" t="str">
        <f t="shared" si="6"/>
        <v/>
      </c>
      <c r="W2086" s="267" t="str">
        <f t="shared" si="8"/>
        <v/>
      </c>
      <c r="X2086" s="264" t="str">
        <f t="shared" si="7"/>
        <v/>
      </c>
    </row>
    <row r="2087" ht="15.75" customHeight="1">
      <c r="A2087" s="258"/>
      <c r="B2087" s="258"/>
      <c r="C2087" s="269"/>
      <c r="D2087" s="258"/>
      <c r="E2087" s="258"/>
      <c r="F2087" s="258"/>
      <c r="G2087" s="258"/>
      <c r="H2087" s="271"/>
      <c r="I2087" s="258"/>
      <c r="J2087" s="272"/>
      <c r="K2087" s="260"/>
      <c r="L2087" s="261"/>
      <c r="M2087" s="262" t="str">
        <f t="shared" si="1"/>
        <v/>
      </c>
      <c r="N2087" s="263" t="str">
        <f t="shared" si="2"/>
        <v/>
      </c>
      <c r="O2087" s="264" t="str">
        <f t="shared" si="3"/>
        <v/>
      </c>
      <c r="P2087" s="265" t="str">
        <f>IFERROR(__xludf.DUMMYFUNCTION("IF(ISBLANK(A2087),"""",IFERROR(IF(H2087=""Sell"",VLOOKUP(9^99,FILTER({ROW(P$2:P2086),P$2:P2086},D$2:D2086=D2087),2),(VLOOKUP(9^99,FILTER({ROW(P$2:P2086),P$2:P2086},D$2:D2086=D2087),2)*VLOOKUP(9^99,FILTER({ROW(O$2:O2086),O$2:O2086},D$2:D2086=D2087),2)-N208"&amp;"7)/O2087),J2087))"),"")</f>
        <v/>
      </c>
      <c r="Q2087" s="264" t="str">
        <f>IFERROR(__xludf.DUMMYFUNCTION("IFERROR(IF(F2087=""Crypto"",B2087,(IF(ISBLANK(D2087),"""",IF(D2087=""Cash"",B2087,IF(GOOGLEFINANCE(D2087,""CURRENCY"")=""GBX"",""GBP"",GOOGLEFINANCE(D2087,""CURRENCY"")))))),B2087)"),"")</f>
        <v/>
      </c>
      <c r="R2087" s="263" t="str">
        <f>IFERROR(__xludf.DUMMYFUNCTION("IF(ISBLANK(A2087),"""",IFERROR(IF(OR(Q2087=""GPB"",Q2087=""ZAR""),IF(Q2087=Dashboard!$L$1,K2087,(K2087*GOOGLEFINANCE(""CURRENCY:""&amp;Q2087&amp;""""&amp;Dashboard!$L$1&amp;""""))/100),IF(Q2087=Dashboard!$L$1,K2087,K2087*GOOGLEFINANCE(""CURRENCY:""&amp;Q2087&amp;""""&amp;Dashboard!$"&amp;"L$1&amp;""""))),K2087))"),"")</f>
        <v/>
      </c>
      <c r="S2087" s="266" t="str">
        <f>IFERROR(__xludf.DUMMYFUNCTION("IF(ISBLANK(A2087),"""",IFERROR(IF(OR(Q2087=""GPB"",Q2087=""ZAR""),IF(Q2087=Dashboard!$L$1,M2087,(M2087*GOOGLEFINANCE(""CURRENCY:""&amp;Q2087&amp;""""&amp;Dashboard!$L$1&amp;""""))/100),IF(Q2087=Dashboard!$L$1,M2087,M2087*GOOGLEFINANCE(""CURRENCY:""&amp;Q2087&amp;""""&amp;Dashboard!$"&amp;"L$1&amp;""""))),M2087))"),"")</f>
        <v/>
      </c>
      <c r="T2087" s="264" t="str">
        <f t="shared" si="4"/>
        <v/>
      </c>
      <c r="U2087" s="264" t="str">
        <f t="shared" si="5"/>
        <v/>
      </c>
      <c r="V2087" s="264" t="str">
        <f t="shared" si="6"/>
        <v/>
      </c>
      <c r="W2087" s="267" t="str">
        <f t="shared" si="8"/>
        <v/>
      </c>
      <c r="X2087" s="264" t="str">
        <f t="shared" si="7"/>
        <v/>
      </c>
    </row>
    <row r="2088" ht="15.75" customHeight="1">
      <c r="A2088" s="258"/>
      <c r="B2088" s="258"/>
      <c r="C2088" s="269"/>
      <c r="D2088" s="258"/>
      <c r="E2088" s="258"/>
      <c r="F2088" s="258"/>
      <c r="G2088" s="258"/>
      <c r="H2088" s="271"/>
      <c r="I2088" s="258"/>
      <c r="J2088" s="272"/>
      <c r="K2088" s="260"/>
      <c r="L2088" s="261"/>
      <c r="M2088" s="262" t="str">
        <f t="shared" si="1"/>
        <v/>
      </c>
      <c r="N2088" s="263" t="str">
        <f t="shared" si="2"/>
        <v/>
      </c>
      <c r="O2088" s="264" t="str">
        <f t="shared" si="3"/>
        <v/>
      </c>
      <c r="P2088" s="265" t="str">
        <f>IFERROR(__xludf.DUMMYFUNCTION("IF(ISBLANK(A2088),"""",IFERROR(IF(H2088=""Sell"",VLOOKUP(9^99,FILTER({ROW(P$2:P2087),P$2:P2087},D$2:D2087=D2088),2),(VLOOKUP(9^99,FILTER({ROW(P$2:P2087),P$2:P2087},D$2:D2087=D2088),2)*VLOOKUP(9^99,FILTER({ROW(O$2:O2087),O$2:O2087},D$2:D2087=D2088),2)-N208"&amp;"8)/O2088),J2088))"),"")</f>
        <v/>
      </c>
      <c r="Q2088" s="264" t="str">
        <f>IFERROR(__xludf.DUMMYFUNCTION("IFERROR(IF(F2088=""Crypto"",B2088,(IF(ISBLANK(D2088),"""",IF(D2088=""Cash"",B2088,IF(GOOGLEFINANCE(D2088,""CURRENCY"")=""GBX"",""GBP"",GOOGLEFINANCE(D2088,""CURRENCY"")))))),B2088)"),"")</f>
        <v/>
      </c>
      <c r="R2088" s="263" t="str">
        <f>IFERROR(__xludf.DUMMYFUNCTION("IF(ISBLANK(A2088),"""",IFERROR(IF(OR(Q2088=""GPB"",Q2088=""ZAR""),IF(Q2088=Dashboard!$L$1,K2088,(K2088*GOOGLEFINANCE(""CURRENCY:""&amp;Q2088&amp;""""&amp;Dashboard!$L$1&amp;""""))/100),IF(Q2088=Dashboard!$L$1,K2088,K2088*GOOGLEFINANCE(""CURRENCY:""&amp;Q2088&amp;""""&amp;Dashboard!$"&amp;"L$1&amp;""""))),K2088))"),"")</f>
        <v/>
      </c>
      <c r="S2088" s="266" t="str">
        <f>IFERROR(__xludf.DUMMYFUNCTION("IF(ISBLANK(A2088),"""",IFERROR(IF(OR(Q2088=""GPB"",Q2088=""ZAR""),IF(Q2088=Dashboard!$L$1,M2088,(M2088*GOOGLEFINANCE(""CURRENCY:""&amp;Q2088&amp;""""&amp;Dashboard!$L$1&amp;""""))/100),IF(Q2088=Dashboard!$L$1,M2088,M2088*GOOGLEFINANCE(""CURRENCY:""&amp;Q2088&amp;""""&amp;Dashboard!$"&amp;"L$1&amp;""""))),M2088))"),"")</f>
        <v/>
      </c>
      <c r="T2088" s="264" t="str">
        <f t="shared" si="4"/>
        <v/>
      </c>
      <c r="U2088" s="264" t="str">
        <f t="shared" si="5"/>
        <v/>
      </c>
      <c r="V2088" s="264" t="str">
        <f t="shared" si="6"/>
        <v/>
      </c>
      <c r="W2088" s="267" t="str">
        <f t="shared" si="8"/>
        <v/>
      </c>
      <c r="X2088" s="264" t="str">
        <f t="shared" si="7"/>
        <v/>
      </c>
    </row>
    <row r="2089" ht="15.75" customHeight="1">
      <c r="A2089" s="258"/>
      <c r="B2089" s="258"/>
      <c r="C2089" s="269"/>
      <c r="D2089" s="258"/>
      <c r="E2089" s="258"/>
      <c r="F2089" s="258"/>
      <c r="G2089" s="258"/>
      <c r="H2089" s="271"/>
      <c r="I2089" s="258"/>
      <c r="J2089" s="272"/>
      <c r="K2089" s="260"/>
      <c r="L2089" s="261"/>
      <c r="M2089" s="262" t="str">
        <f t="shared" si="1"/>
        <v/>
      </c>
      <c r="N2089" s="263" t="str">
        <f t="shared" si="2"/>
        <v/>
      </c>
      <c r="O2089" s="264" t="str">
        <f t="shared" si="3"/>
        <v/>
      </c>
      <c r="P2089" s="265" t="str">
        <f>IFERROR(__xludf.DUMMYFUNCTION("IF(ISBLANK(A2089),"""",IFERROR(IF(H2089=""Sell"",VLOOKUP(9^99,FILTER({ROW(P$2:P2088),P$2:P2088},D$2:D2088=D2089),2),(VLOOKUP(9^99,FILTER({ROW(P$2:P2088),P$2:P2088},D$2:D2088=D2089),2)*VLOOKUP(9^99,FILTER({ROW(O$2:O2088),O$2:O2088},D$2:D2088=D2089),2)-N208"&amp;"9)/O2089),J2089))"),"")</f>
        <v/>
      </c>
      <c r="Q2089" s="264" t="str">
        <f>IFERROR(__xludf.DUMMYFUNCTION("IFERROR(IF(F2089=""Crypto"",B2089,(IF(ISBLANK(D2089),"""",IF(D2089=""Cash"",B2089,IF(GOOGLEFINANCE(D2089,""CURRENCY"")=""GBX"",""GBP"",GOOGLEFINANCE(D2089,""CURRENCY"")))))),B2089)"),"")</f>
        <v/>
      </c>
      <c r="R2089" s="263" t="str">
        <f>IFERROR(__xludf.DUMMYFUNCTION("IF(ISBLANK(A2089),"""",IFERROR(IF(OR(Q2089=""GPB"",Q2089=""ZAR""),IF(Q2089=Dashboard!$L$1,K2089,(K2089*GOOGLEFINANCE(""CURRENCY:""&amp;Q2089&amp;""""&amp;Dashboard!$L$1&amp;""""))/100),IF(Q2089=Dashboard!$L$1,K2089,K2089*GOOGLEFINANCE(""CURRENCY:""&amp;Q2089&amp;""""&amp;Dashboard!$"&amp;"L$1&amp;""""))),K2089))"),"")</f>
        <v/>
      </c>
      <c r="S2089" s="266" t="str">
        <f>IFERROR(__xludf.DUMMYFUNCTION("IF(ISBLANK(A2089),"""",IFERROR(IF(OR(Q2089=""GPB"",Q2089=""ZAR""),IF(Q2089=Dashboard!$L$1,M2089,(M2089*GOOGLEFINANCE(""CURRENCY:""&amp;Q2089&amp;""""&amp;Dashboard!$L$1&amp;""""))/100),IF(Q2089=Dashboard!$L$1,M2089,M2089*GOOGLEFINANCE(""CURRENCY:""&amp;Q2089&amp;""""&amp;Dashboard!$"&amp;"L$1&amp;""""))),M2089))"),"")</f>
        <v/>
      </c>
      <c r="T2089" s="264" t="str">
        <f t="shared" si="4"/>
        <v/>
      </c>
      <c r="U2089" s="264" t="str">
        <f t="shared" si="5"/>
        <v/>
      </c>
      <c r="V2089" s="264" t="str">
        <f t="shared" si="6"/>
        <v/>
      </c>
      <c r="W2089" s="267" t="str">
        <f t="shared" si="8"/>
        <v/>
      </c>
      <c r="X2089" s="264" t="str">
        <f t="shared" si="7"/>
        <v/>
      </c>
    </row>
    <row r="2090" ht="15.75" customHeight="1">
      <c r="A2090" s="258"/>
      <c r="B2090" s="258"/>
      <c r="C2090" s="269"/>
      <c r="D2090" s="258"/>
      <c r="E2090" s="258"/>
      <c r="F2090" s="258"/>
      <c r="G2090" s="258"/>
      <c r="H2090" s="271"/>
      <c r="I2090" s="258"/>
      <c r="J2090" s="272"/>
      <c r="K2090" s="260"/>
      <c r="L2090" s="261"/>
      <c r="M2090" s="262" t="str">
        <f t="shared" si="1"/>
        <v/>
      </c>
      <c r="N2090" s="263" t="str">
        <f t="shared" si="2"/>
        <v/>
      </c>
      <c r="O2090" s="264" t="str">
        <f t="shared" si="3"/>
        <v/>
      </c>
      <c r="P2090" s="265" t="str">
        <f>IFERROR(__xludf.DUMMYFUNCTION("IF(ISBLANK(A2090),"""",IFERROR(IF(H2090=""Sell"",VLOOKUP(9^99,FILTER({ROW(P$2:P2089),P$2:P2089},D$2:D2089=D2090),2),(VLOOKUP(9^99,FILTER({ROW(P$2:P2089),P$2:P2089},D$2:D2089=D2090),2)*VLOOKUP(9^99,FILTER({ROW(O$2:O2089),O$2:O2089},D$2:D2089=D2090),2)-N209"&amp;"0)/O2090),J2090))"),"")</f>
        <v/>
      </c>
      <c r="Q2090" s="264" t="str">
        <f>IFERROR(__xludf.DUMMYFUNCTION("IFERROR(IF(F2090=""Crypto"",B2090,(IF(ISBLANK(D2090),"""",IF(D2090=""Cash"",B2090,IF(GOOGLEFINANCE(D2090,""CURRENCY"")=""GBX"",""GBP"",GOOGLEFINANCE(D2090,""CURRENCY"")))))),B2090)"),"")</f>
        <v/>
      </c>
      <c r="R2090" s="263" t="str">
        <f>IFERROR(__xludf.DUMMYFUNCTION("IF(ISBLANK(A2090),"""",IFERROR(IF(OR(Q2090=""GPB"",Q2090=""ZAR""),IF(Q2090=Dashboard!$L$1,K2090,(K2090*GOOGLEFINANCE(""CURRENCY:""&amp;Q2090&amp;""""&amp;Dashboard!$L$1&amp;""""))/100),IF(Q2090=Dashboard!$L$1,K2090,K2090*GOOGLEFINANCE(""CURRENCY:""&amp;Q2090&amp;""""&amp;Dashboard!$"&amp;"L$1&amp;""""))),K2090))"),"")</f>
        <v/>
      </c>
      <c r="S2090" s="266" t="str">
        <f>IFERROR(__xludf.DUMMYFUNCTION("IF(ISBLANK(A2090),"""",IFERROR(IF(OR(Q2090=""GPB"",Q2090=""ZAR""),IF(Q2090=Dashboard!$L$1,M2090,(M2090*GOOGLEFINANCE(""CURRENCY:""&amp;Q2090&amp;""""&amp;Dashboard!$L$1&amp;""""))/100),IF(Q2090=Dashboard!$L$1,M2090,M2090*GOOGLEFINANCE(""CURRENCY:""&amp;Q2090&amp;""""&amp;Dashboard!$"&amp;"L$1&amp;""""))),M2090))"),"")</f>
        <v/>
      </c>
      <c r="T2090" s="264" t="str">
        <f t="shared" si="4"/>
        <v/>
      </c>
      <c r="U2090" s="264" t="str">
        <f t="shared" si="5"/>
        <v/>
      </c>
      <c r="V2090" s="264" t="str">
        <f t="shared" si="6"/>
        <v/>
      </c>
      <c r="W2090" s="267" t="str">
        <f t="shared" si="8"/>
        <v/>
      </c>
      <c r="X2090" s="264" t="str">
        <f t="shared" si="7"/>
        <v/>
      </c>
    </row>
    <row r="2091" ht="15.75" customHeight="1">
      <c r="A2091" s="258"/>
      <c r="B2091" s="258"/>
      <c r="C2091" s="269"/>
      <c r="D2091" s="258"/>
      <c r="E2091" s="258"/>
      <c r="F2091" s="258"/>
      <c r="G2091" s="258"/>
      <c r="H2091" s="271"/>
      <c r="I2091" s="258"/>
      <c r="J2091" s="272"/>
      <c r="K2091" s="260"/>
      <c r="L2091" s="261"/>
      <c r="M2091" s="262" t="str">
        <f t="shared" si="1"/>
        <v/>
      </c>
      <c r="N2091" s="263" t="str">
        <f t="shared" si="2"/>
        <v/>
      </c>
      <c r="O2091" s="264" t="str">
        <f t="shared" si="3"/>
        <v/>
      </c>
      <c r="P2091" s="265" t="str">
        <f>IFERROR(__xludf.DUMMYFUNCTION("IF(ISBLANK(A2091),"""",IFERROR(IF(H2091=""Sell"",VLOOKUP(9^99,FILTER({ROW(P$2:P2090),P$2:P2090},D$2:D2090=D2091),2),(VLOOKUP(9^99,FILTER({ROW(P$2:P2090),P$2:P2090},D$2:D2090=D2091),2)*VLOOKUP(9^99,FILTER({ROW(O$2:O2090),O$2:O2090},D$2:D2090=D2091),2)-N209"&amp;"1)/O2091),J2091))"),"")</f>
        <v/>
      </c>
      <c r="Q2091" s="264" t="str">
        <f>IFERROR(__xludf.DUMMYFUNCTION("IFERROR(IF(F2091=""Crypto"",B2091,(IF(ISBLANK(D2091),"""",IF(D2091=""Cash"",B2091,IF(GOOGLEFINANCE(D2091,""CURRENCY"")=""GBX"",""GBP"",GOOGLEFINANCE(D2091,""CURRENCY"")))))),B2091)"),"")</f>
        <v/>
      </c>
      <c r="R2091" s="263" t="str">
        <f>IFERROR(__xludf.DUMMYFUNCTION("IF(ISBLANK(A2091),"""",IFERROR(IF(OR(Q2091=""GPB"",Q2091=""ZAR""),IF(Q2091=Dashboard!$L$1,K2091,(K2091*GOOGLEFINANCE(""CURRENCY:""&amp;Q2091&amp;""""&amp;Dashboard!$L$1&amp;""""))/100),IF(Q2091=Dashboard!$L$1,K2091,K2091*GOOGLEFINANCE(""CURRENCY:""&amp;Q2091&amp;""""&amp;Dashboard!$"&amp;"L$1&amp;""""))),K2091))"),"")</f>
        <v/>
      </c>
      <c r="S2091" s="266" t="str">
        <f>IFERROR(__xludf.DUMMYFUNCTION("IF(ISBLANK(A2091),"""",IFERROR(IF(OR(Q2091=""GPB"",Q2091=""ZAR""),IF(Q2091=Dashboard!$L$1,M2091,(M2091*GOOGLEFINANCE(""CURRENCY:""&amp;Q2091&amp;""""&amp;Dashboard!$L$1&amp;""""))/100),IF(Q2091=Dashboard!$L$1,M2091,M2091*GOOGLEFINANCE(""CURRENCY:""&amp;Q2091&amp;""""&amp;Dashboard!$"&amp;"L$1&amp;""""))),M2091))"),"")</f>
        <v/>
      </c>
      <c r="T2091" s="264" t="str">
        <f t="shared" si="4"/>
        <v/>
      </c>
      <c r="U2091" s="264" t="str">
        <f t="shared" si="5"/>
        <v/>
      </c>
      <c r="V2091" s="264" t="str">
        <f t="shared" si="6"/>
        <v/>
      </c>
      <c r="W2091" s="267" t="str">
        <f t="shared" si="8"/>
        <v/>
      </c>
      <c r="X2091" s="264" t="str">
        <f t="shared" si="7"/>
        <v/>
      </c>
    </row>
    <row r="2092" ht="15.75" customHeight="1">
      <c r="A2092" s="258"/>
      <c r="B2092" s="258"/>
      <c r="C2092" s="269"/>
      <c r="D2092" s="258"/>
      <c r="E2092" s="258"/>
      <c r="F2092" s="258"/>
      <c r="G2092" s="258"/>
      <c r="H2092" s="271"/>
      <c r="I2092" s="258"/>
      <c r="J2092" s="272"/>
      <c r="K2092" s="260"/>
      <c r="L2092" s="261"/>
      <c r="M2092" s="262" t="str">
        <f t="shared" si="1"/>
        <v/>
      </c>
      <c r="N2092" s="263" t="str">
        <f t="shared" si="2"/>
        <v/>
      </c>
      <c r="O2092" s="264" t="str">
        <f t="shared" si="3"/>
        <v/>
      </c>
      <c r="P2092" s="265" t="str">
        <f>IFERROR(__xludf.DUMMYFUNCTION("IF(ISBLANK(A2092),"""",IFERROR(IF(H2092=""Sell"",VLOOKUP(9^99,FILTER({ROW(P$2:P2091),P$2:P2091},D$2:D2091=D2092),2),(VLOOKUP(9^99,FILTER({ROW(P$2:P2091),P$2:P2091},D$2:D2091=D2092),2)*VLOOKUP(9^99,FILTER({ROW(O$2:O2091),O$2:O2091},D$2:D2091=D2092),2)-N209"&amp;"2)/O2092),J2092))"),"")</f>
        <v/>
      </c>
      <c r="Q2092" s="264" t="str">
        <f>IFERROR(__xludf.DUMMYFUNCTION("IFERROR(IF(F2092=""Crypto"",B2092,(IF(ISBLANK(D2092),"""",IF(D2092=""Cash"",B2092,IF(GOOGLEFINANCE(D2092,""CURRENCY"")=""GBX"",""GBP"",GOOGLEFINANCE(D2092,""CURRENCY"")))))),B2092)"),"")</f>
        <v/>
      </c>
      <c r="R2092" s="263" t="str">
        <f>IFERROR(__xludf.DUMMYFUNCTION("IF(ISBLANK(A2092),"""",IFERROR(IF(OR(Q2092=""GPB"",Q2092=""ZAR""),IF(Q2092=Dashboard!$L$1,K2092,(K2092*GOOGLEFINANCE(""CURRENCY:""&amp;Q2092&amp;""""&amp;Dashboard!$L$1&amp;""""))/100),IF(Q2092=Dashboard!$L$1,K2092,K2092*GOOGLEFINANCE(""CURRENCY:""&amp;Q2092&amp;""""&amp;Dashboard!$"&amp;"L$1&amp;""""))),K2092))"),"")</f>
        <v/>
      </c>
      <c r="S2092" s="266" t="str">
        <f>IFERROR(__xludf.DUMMYFUNCTION("IF(ISBLANK(A2092),"""",IFERROR(IF(OR(Q2092=""GPB"",Q2092=""ZAR""),IF(Q2092=Dashboard!$L$1,M2092,(M2092*GOOGLEFINANCE(""CURRENCY:""&amp;Q2092&amp;""""&amp;Dashboard!$L$1&amp;""""))/100),IF(Q2092=Dashboard!$L$1,M2092,M2092*GOOGLEFINANCE(""CURRENCY:""&amp;Q2092&amp;""""&amp;Dashboard!$"&amp;"L$1&amp;""""))),M2092))"),"")</f>
        <v/>
      </c>
      <c r="T2092" s="264" t="str">
        <f t="shared" si="4"/>
        <v/>
      </c>
      <c r="U2092" s="264" t="str">
        <f t="shared" si="5"/>
        <v/>
      </c>
      <c r="V2092" s="264" t="str">
        <f t="shared" si="6"/>
        <v/>
      </c>
      <c r="W2092" s="267" t="str">
        <f t="shared" si="8"/>
        <v/>
      </c>
      <c r="X2092" s="264" t="str">
        <f t="shared" si="7"/>
        <v/>
      </c>
    </row>
    <row r="2093" ht="15.75" customHeight="1">
      <c r="A2093" s="258"/>
      <c r="B2093" s="258"/>
      <c r="C2093" s="269"/>
      <c r="D2093" s="258"/>
      <c r="E2093" s="258"/>
      <c r="F2093" s="258"/>
      <c r="G2093" s="258"/>
      <c r="H2093" s="271"/>
      <c r="I2093" s="258"/>
      <c r="J2093" s="272"/>
      <c r="K2093" s="260"/>
      <c r="L2093" s="261"/>
      <c r="M2093" s="262" t="str">
        <f t="shared" si="1"/>
        <v/>
      </c>
      <c r="N2093" s="263" t="str">
        <f t="shared" si="2"/>
        <v/>
      </c>
      <c r="O2093" s="264" t="str">
        <f t="shared" si="3"/>
        <v/>
      </c>
      <c r="P2093" s="265" t="str">
        <f>IFERROR(__xludf.DUMMYFUNCTION("IF(ISBLANK(A2093),"""",IFERROR(IF(H2093=""Sell"",VLOOKUP(9^99,FILTER({ROW(P$2:P2092),P$2:P2092},D$2:D2092=D2093),2),(VLOOKUP(9^99,FILTER({ROW(P$2:P2092),P$2:P2092},D$2:D2092=D2093),2)*VLOOKUP(9^99,FILTER({ROW(O$2:O2092),O$2:O2092},D$2:D2092=D2093),2)-N209"&amp;"3)/O2093),J2093))"),"")</f>
        <v/>
      </c>
      <c r="Q2093" s="264" t="str">
        <f>IFERROR(__xludf.DUMMYFUNCTION("IFERROR(IF(F2093=""Crypto"",B2093,(IF(ISBLANK(D2093),"""",IF(D2093=""Cash"",B2093,IF(GOOGLEFINANCE(D2093,""CURRENCY"")=""GBX"",""GBP"",GOOGLEFINANCE(D2093,""CURRENCY"")))))),B2093)"),"")</f>
        <v/>
      </c>
      <c r="R2093" s="263" t="str">
        <f>IFERROR(__xludf.DUMMYFUNCTION("IF(ISBLANK(A2093),"""",IFERROR(IF(OR(Q2093=""GPB"",Q2093=""ZAR""),IF(Q2093=Dashboard!$L$1,K2093,(K2093*GOOGLEFINANCE(""CURRENCY:""&amp;Q2093&amp;""""&amp;Dashboard!$L$1&amp;""""))/100),IF(Q2093=Dashboard!$L$1,K2093,K2093*GOOGLEFINANCE(""CURRENCY:""&amp;Q2093&amp;""""&amp;Dashboard!$"&amp;"L$1&amp;""""))),K2093))"),"")</f>
        <v/>
      </c>
      <c r="S2093" s="266" t="str">
        <f>IFERROR(__xludf.DUMMYFUNCTION("IF(ISBLANK(A2093),"""",IFERROR(IF(OR(Q2093=""GPB"",Q2093=""ZAR""),IF(Q2093=Dashboard!$L$1,M2093,(M2093*GOOGLEFINANCE(""CURRENCY:""&amp;Q2093&amp;""""&amp;Dashboard!$L$1&amp;""""))/100),IF(Q2093=Dashboard!$L$1,M2093,M2093*GOOGLEFINANCE(""CURRENCY:""&amp;Q2093&amp;""""&amp;Dashboard!$"&amp;"L$1&amp;""""))),M2093))"),"")</f>
        <v/>
      </c>
      <c r="T2093" s="264" t="str">
        <f t="shared" si="4"/>
        <v/>
      </c>
      <c r="U2093" s="264" t="str">
        <f t="shared" si="5"/>
        <v/>
      </c>
      <c r="V2093" s="264" t="str">
        <f t="shared" si="6"/>
        <v/>
      </c>
      <c r="W2093" s="267" t="str">
        <f t="shared" si="8"/>
        <v/>
      </c>
      <c r="X2093" s="264" t="str">
        <f t="shared" si="7"/>
        <v/>
      </c>
    </row>
    <row r="2094" ht="15.75" customHeight="1">
      <c r="A2094" s="258"/>
      <c r="B2094" s="258"/>
      <c r="C2094" s="269"/>
      <c r="D2094" s="258"/>
      <c r="E2094" s="258"/>
      <c r="F2094" s="258"/>
      <c r="G2094" s="258"/>
      <c r="H2094" s="271"/>
      <c r="I2094" s="258"/>
      <c r="J2094" s="272"/>
      <c r="K2094" s="260"/>
      <c r="L2094" s="261"/>
      <c r="M2094" s="262" t="str">
        <f t="shared" si="1"/>
        <v/>
      </c>
      <c r="N2094" s="263" t="str">
        <f t="shared" si="2"/>
        <v/>
      </c>
      <c r="O2094" s="264" t="str">
        <f t="shared" si="3"/>
        <v/>
      </c>
      <c r="P2094" s="265" t="str">
        <f>IFERROR(__xludf.DUMMYFUNCTION("IF(ISBLANK(A2094),"""",IFERROR(IF(H2094=""Sell"",VLOOKUP(9^99,FILTER({ROW(P$2:P2093),P$2:P2093},D$2:D2093=D2094),2),(VLOOKUP(9^99,FILTER({ROW(P$2:P2093),P$2:P2093},D$2:D2093=D2094),2)*VLOOKUP(9^99,FILTER({ROW(O$2:O2093),O$2:O2093},D$2:D2093=D2094),2)-N209"&amp;"4)/O2094),J2094))"),"")</f>
        <v/>
      </c>
      <c r="Q2094" s="264" t="str">
        <f>IFERROR(__xludf.DUMMYFUNCTION("IFERROR(IF(F2094=""Crypto"",B2094,(IF(ISBLANK(D2094),"""",IF(D2094=""Cash"",B2094,IF(GOOGLEFINANCE(D2094,""CURRENCY"")=""GBX"",""GBP"",GOOGLEFINANCE(D2094,""CURRENCY"")))))),B2094)"),"")</f>
        <v/>
      </c>
      <c r="R2094" s="263" t="str">
        <f>IFERROR(__xludf.DUMMYFUNCTION("IF(ISBLANK(A2094),"""",IFERROR(IF(OR(Q2094=""GPB"",Q2094=""ZAR""),IF(Q2094=Dashboard!$L$1,K2094,(K2094*GOOGLEFINANCE(""CURRENCY:""&amp;Q2094&amp;""""&amp;Dashboard!$L$1&amp;""""))/100),IF(Q2094=Dashboard!$L$1,K2094,K2094*GOOGLEFINANCE(""CURRENCY:""&amp;Q2094&amp;""""&amp;Dashboard!$"&amp;"L$1&amp;""""))),K2094))"),"")</f>
        <v/>
      </c>
      <c r="S2094" s="266" t="str">
        <f>IFERROR(__xludf.DUMMYFUNCTION("IF(ISBLANK(A2094),"""",IFERROR(IF(OR(Q2094=""GPB"",Q2094=""ZAR""),IF(Q2094=Dashboard!$L$1,M2094,(M2094*GOOGLEFINANCE(""CURRENCY:""&amp;Q2094&amp;""""&amp;Dashboard!$L$1&amp;""""))/100),IF(Q2094=Dashboard!$L$1,M2094,M2094*GOOGLEFINANCE(""CURRENCY:""&amp;Q2094&amp;""""&amp;Dashboard!$"&amp;"L$1&amp;""""))),M2094))"),"")</f>
        <v/>
      </c>
      <c r="T2094" s="264" t="str">
        <f t="shared" si="4"/>
        <v/>
      </c>
      <c r="U2094" s="264" t="str">
        <f t="shared" si="5"/>
        <v/>
      </c>
      <c r="V2094" s="264" t="str">
        <f t="shared" si="6"/>
        <v/>
      </c>
      <c r="W2094" s="267" t="str">
        <f t="shared" si="8"/>
        <v/>
      </c>
      <c r="X2094" s="264" t="str">
        <f t="shared" si="7"/>
        <v/>
      </c>
    </row>
    <row r="2095" ht="15.75" customHeight="1">
      <c r="A2095" s="258"/>
      <c r="B2095" s="258"/>
      <c r="C2095" s="269"/>
      <c r="D2095" s="258"/>
      <c r="E2095" s="258"/>
      <c r="F2095" s="258"/>
      <c r="G2095" s="258"/>
      <c r="H2095" s="271"/>
      <c r="I2095" s="258"/>
      <c r="J2095" s="272"/>
      <c r="K2095" s="260"/>
      <c r="L2095" s="261"/>
      <c r="M2095" s="262" t="str">
        <f t="shared" si="1"/>
        <v/>
      </c>
      <c r="N2095" s="263" t="str">
        <f t="shared" si="2"/>
        <v/>
      </c>
      <c r="O2095" s="264" t="str">
        <f t="shared" si="3"/>
        <v/>
      </c>
      <c r="P2095" s="265" t="str">
        <f>IFERROR(__xludf.DUMMYFUNCTION("IF(ISBLANK(A2095),"""",IFERROR(IF(H2095=""Sell"",VLOOKUP(9^99,FILTER({ROW(P$2:P2094),P$2:P2094},D$2:D2094=D2095),2),(VLOOKUP(9^99,FILTER({ROW(P$2:P2094),P$2:P2094},D$2:D2094=D2095),2)*VLOOKUP(9^99,FILTER({ROW(O$2:O2094),O$2:O2094},D$2:D2094=D2095),2)-N209"&amp;"5)/O2095),J2095))"),"")</f>
        <v/>
      </c>
      <c r="Q2095" s="264" t="str">
        <f>IFERROR(__xludf.DUMMYFUNCTION("IFERROR(IF(F2095=""Crypto"",B2095,(IF(ISBLANK(D2095),"""",IF(D2095=""Cash"",B2095,IF(GOOGLEFINANCE(D2095,""CURRENCY"")=""GBX"",""GBP"",GOOGLEFINANCE(D2095,""CURRENCY"")))))),B2095)"),"")</f>
        <v/>
      </c>
      <c r="R2095" s="263" t="str">
        <f>IFERROR(__xludf.DUMMYFUNCTION("IF(ISBLANK(A2095),"""",IFERROR(IF(OR(Q2095=""GPB"",Q2095=""ZAR""),IF(Q2095=Dashboard!$L$1,K2095,(K2095*GOOGLEFINANCE(""CURRENCY:""&amp;Q2095&amp;""""&amp;Dashboard!$L$1&amp;""""))/100),IF(Q2095=Dashboard!$L$1,K2095,K2095*GOOGLEFINANCE(""CURRENCY:""&amp;Q2095&amp;""""&amp;Dashboard!$"&amp;"L$1&amp;""""))),K2095))"),"")</f>
        <v/>
      </c>
      <c r="S2095" s="266" t="str">
        <f>IFERROR(__xludf.DUMMYFUNCTION("IF(ISBLANK(A2095),"""",IFERROR(IF(OR(Q2095=""GPB"",Q2095=""ZAR""),IF(Q2095=Dashboard!$L$1,M2095,(M2095*GOOGLEFINANCE(""CURRENCY:""&amp;Q2095&amp;""""&amp;Dashboard!$L$1&amp;""""))/100),IF(Q2095=Dashboard!$L$1,M2095,M2095*GOOGLEFINANCE(""CURRENCY:""&amp;Q2095&amp;""""&amp;Dashboard!$"&amp;"L$1&amp;""""))),M2095))"),"")</f>
        <v/>
      </c>
      <c r="T2095" s="264" t="str">
        <f t="shared" si="4"/>
        <v/>
      </c>
      <c r="U2095" s="264" t="str">
        <f t="shared" si="5"/>
        <v/>
      </c>
      <c r="V2095" s="264" t="str">
        <f t="shared" si="6"/>
        <v/>
      </c>
      <c r="W2095" s="267" t="str">
        <f t="shared" si="8"/>
        <v/>
      </c>
      <c r="X2095" s="264" t="str">
        <f t="shared" si="7"/>
        <v/>
      </c>
    </row>
    <row r="2096" ht="15.75" customHeight="1">
      <c r="A2096" s="258"/>
      <c r="B2096" s="258"/>
      <c r="C2096" s="269"/>
      <c r="D2096" s="258"/>
      <c r="E2096" s="258"/>
      <c r="F2096" s="258"/>
      <c r="G2096" s="258"/>
      <c r="H2096" s="271"/>
      <c r="I2096" s="258"/>
      <c r="J2096" s="272"/>
      <c r="K2096" s="260"/>
      <c r="L2096" s="261"/>
      <c r="M2096" s="262" t="str">
        <f t="shared" si="1"/>
        <v/>
      </c>
      <c r="N2096" s="263" t="str">
        <f t="shared" si="2"/>
        <v/>
      </c>
      <c r="O2096" s="264" t="str">
        <f t="shared" si="3"/>
        <v/>
      </c>
      <c r="P2096" s="265" t="str">
        <f>IFERROR(__xludf.DUMMYFUNCTION("IF(ISBLANK(A2096),"""",IFERROR(IF(H2096=""Sell"",VLOOKUP(9^99,FILTER({ROW(P$2:P2095),P$2:P2095},D$2:D2095=D2096),2),(VLOOKUP(9^99,FILTER({ROW(P$2:P2095),P$2:P2095},D$2:D2095=D2096),2)*VLOOKUP(9^99,FILTER({ROW(O$2:O2095),O$2:O2095},D$2:D2095=D2096),2)-N209"&amp;"6)/O2096),J2096))"),"")</f>
        <v/>
      </c>
      <c r="Q2096" s="264" t="str">
        <f>IFERROR(__xludf.DUMMYFUNCTION("IFERROR(IF(F2096=""Crypto"",B2096,(IF(ISBLANK(D2096),"""",IF(D2096=""Cash"",B2096,IF(GOOGLEFINANCE(D2096,""CURRENCY"")=""GBX"",""GBP"",GOOGLEFINANCE(D2096,""CURRENCY"")))))),B2096)"),"")</f>
        <v/>
      </c>
      <c r="R2096" s="263" t="str">
        <f>IFERROR(__xludf.DUMMYFUNCTION("IF(ISBLANK(A2096),"""",IFERROR(IF(OR(Q2096=""GPB"",Q2096=""ZAR""),IF(Q2096=Dashboard!$L$1,K2096,(K2096*GOOGLEFINANCE(""CURRENCY:""&amp;Q2096&amp;""""&amp;Dashboard!$L$1&amp;""""))/100),IF(Q2096=Dashboard!$L$1,K2096,K2096*GOOGLEFINANCE(""CURRENCY:""&amp;Q2096&amp;""""&amp;Dashboard!$"&amp;"L$1&amp;""""))),K2096))"),"")</f>
        <v/>
      </c>
      <c r="S2096" s="266" t="str">
        <f>IFERROR(__xludf.DUMMYFUNCTION("IF(ISBLANK(A2096),"""",IFERROR(IF(OR(Q2096=""GPB"",Q2096=""ZAR""),IF(Q2096=Dashboard!$L$1,M2096,(M2096*GOOGLEFINANCE(""CURRENCY:""&amp;Q2096&amp;""""&amp;Dashboard!$L$1&amp;""""))/100),IF(Q2096=Dashboard!$L$1,M2096,M2096*GOOGLEFINANCE(""CURRENCY:""&amp;Q2096&amp;""""&amp;Dashboard!$"&amp;"L$1&amp;""""))),M2096))"),"")</f>
        <v/>
      </c>
      <c r="T2096" s="264" t="str">
        <f t="shared" si="4"/>
        <v/>
      </c>
      <c r="U2096" s="264" t="str">
        <f t="shared" si="5"/>
        <v/>
      </c>
      <c r="V2096" s="264" t="str">
        <f t="shared" si="6"/>
        <v/>
      </c>
      <c r="W2096" s="267" t="str">
        <f t="shared" si="8"/>
        <v/>
      </c>
      <c r="X2096" s="264" t="str">
        <f t="shared" si="7"/>
        <v/>
      </c>
    </row>
    <row r="2097" ht="15.75" customHeight="1">
      <c r="A2097" s="258"/>
      <c r="B2097" s="258"/>
      <c r="C2097" s="269"/>
      <c r="D2097" s="258"/>
      <c r="E2097" s="258"/>
      <c r="F2097" s="258"/>
      <c r="G2097" s="258"/>
      <c r="H2097" s="271"/>
      <c r="I2097" s="258"/>
      <c r="J2097" s="272"/>
      <c r="K2097" s="260"/>
      <c r="L2097" s="261"/>
      <c r="M2097" s="262" t="str">
        <f t="shared" si="1"/>
        <v/>
      </c>
      <c r="N2097" s="263" t="str">
        <f t="shared" si="2"/>
        <v/>
      </c>
      <c r="O2097" s="264" t="str">
        <f t="shared" si="3"/>
        <v/>
      </c>
      <c r="P2097" s="265" t="str">
        <f>IFERROR(__xludf.DUMMYFUNCTION("IF(ISBLANK(A2097),"""",IFERROR(IF(H2097=""Sell"",VLOOKUP(9^99,FILTER({ROW(P$2:P2096),P$2:P2096},D$2:D2096=D2097),2),(VLOOKUP(9^99,FILTER({ROW(P$2:P2096),P$2:P2096},D$2:D2096=D2097),2)*VLOOKUP(9^99,FILTER({ROW(O$2:O2096),O$2:O2096},D$2:D2096=D2097),2)-N209"&amp;"7)/O2097),J2097))"),"")</f>
        <v/>
      </c>
      <c r="Q2097" s="264" t="str">
        <f>IFERROR(__xludf.DUMMYFUNCTION("IFERROR(IF(F2097=""Crypto"",B2097,(IF(ISBLANK(D2097),"""",IF(D2097=""Cash"",B2097,IF(GOOGLEFINANCE(D2097,""CURRENCY"")=""GBX"",""GBP"",GOOGLEFINANCE(D2097,""CURRENCY"")))))),B2097)"),"")</f>
        <v/>
      </c>
      <c r="R2097" s="263" t="str">
        <f>IFERROR(__xludf.DUMMYFUNCTION("IF(ISBLANK(A2097),"""",IFERROR(IF(OR(Q2097=""GPB"",Q2097=""ZAR""),IF(Q2097=Dashboard!$L$1,K2097,(K2097*GOOGLEFINANCE(""CURRENCY:""&amp;Q2097&amp;""""&amp;Dashboard!$L$1&amp;""""))/100),IF(Q2097=Dashboard!$L$1,K2097,K2097*GOOGLEFINANCE(""CURRENCY:""&amp;Q2097&amp;""""&amp;Dashboard!$"&amp;"L$1&amp;""""))),K2097))"),"")</f>
        <v/>
      </c>
      <c r="S2097" s="266" t="str">
        <f>IFERROR(__xludf.DUMMYFUNCTION("IF(ISBLANK(A2097),"""",IFERROR(IF(OR(Q2097=""GPB"",Q2097=""ZAR""),IF(Q2097=Dashboard!$L$1,M2097,(M2097*GOOGLEFINANCE(""CURRENCY:""&amp;Q2097&amp;""""&amp;Dashboard!$L$1&amp;""""))/100),IF(Q2097=Dashboard!$L$1,M2097,M2097*GOOGLEFINANCE(""CURRENCY:""&amp;Q2097&amp;""""&amp;Dashboard!$"&amp;"L$1&amp;""""))),M2097))"),"")</f>
        <v/>
      </c>
      <c r="T2097" s="264" t="str">
        <f t="shared" si="4"/>
        <v/>
      </c>
      <c r="U2097" s="264" t="str">
        <f t="shared" si="5"/>
        <v/>
      </c>
      <c r="V2097" s="264" t="str">
        <f t="shared" si="6"/>
        <v/>
      </c>
      <c r="W2097" s="267" t="str">
        <f t="shared" si="8"/>
        <v/>
      </c>
      <c r="X2097" s="264" t="str">
        <f t="shared" si="7"/>
        <v/>
      </c>
    </row>
    <row r="2098" ht="15.75" customHeight="1">
      <c r="A2098" s="258"/>
      <c r="B2098" s="258"/>
      <c r="C2098" s="269"/>
      <c r="D2098" s="258"/>
      <c r="E2098" s="258"/>
      <c r="F2098" s="258"/>
      <c r="G2098" s="258"/>
      <c r="H2098" s="271"/>
      <c r="I2098" s="258"/>
      <c r="J2098" s="272"/>
      <c r="K2098" s="260"/>
      <c r="L2098" s="261"/>
      <c r="M2098" s="262" t="str">
        <f t="shared" si="1"/>
        <v/>
      </c>
      <c r="N2098" s="263" t="str">
        <f t="shared" si="2"/>
        <v/>
      </c>
      <c r="O2098" s="264" t="str">
        <f t="shared" si="3"/>
        <v/>
      </c>
      <c r="P2098" s="265" t="str">
        <f>IFERROR(__xludf.DUMMYFUNCTION("IF(ISBLANK(A2098),"""",IFERROR(IF(H2098=""Sell"",VLOOKUP(9^99,FILTER({ROW(P$2:P2097),P$2:P2097},D$2:D2097=D2098),2),(VLOOKUP(9^99,FILTER({ROW(P$2:P2097),P$2:P2097},D$2:D2097=D2098),2)*VLOOKUP(9^99,FILTER({ROW(O$2:O2097),O$2:O2097},D$2:D2097=D2098),2)-N209"&amp;"8)/O2098),J2098))"),"")</f>
        <v/>
      </c>
      <c r="Q2098" s="264" t="str">
        <f>IFERROR(__xludf.DUMMYFUNCTION("IFERROR(IF(F2098=""Crypto"",B2098,(IF(ISBLANK(D2098),"""",IF(D2098=""Cash"",B2098,IF(GOOGLEFINANCE(D2098,""CURRENCY"")=""GBX"",""GBP"",GOOGLEFINANCE(D2098,""CURRENCY"")))))),B2098)"),"")</f>
        <v/>
      </c>
      <c r="R2098" s="263" t="str">
        <f>IFERROR(__xludf.DUMMYFUNCTION("IF(ISBLANK(A2098),"""",IFERROR(IF(OR(Q2098=""GPB"",Q2098=""ZAR""),IF(Q2098=Dashboard!$L$1,K2098,(K2098*GOOGLEFINANCE(""CURRENCY:""&amp;Q2098&amp;""""&amp;Dashboard!$L$1&amp;""""))/100),IF(Q2098=Dashboard!$L$1,K2098,K2098*GOOGLEFINANCE(""CURRENCY:""&amp;Q2098&amp;""""&amp;Dashboard!$"&amp;"L$1&amp;""""))),K2098))"),"")</f>
        <v/>
      </c>
      <c r="S2098" s="266" t="str">
        <f>IFERROR(__xludf.DUMMYFUNCTION("IF(ISBLANK(A2098),"""",IFERROR(IF(OR(Q2098=""GPB"",Q2098=""ZAR""),IF(Q2098=Dashboard!$L$1,M2098,(M2098*GOOGLEFINANCE(""CURRENCY:""&amp;Q2098&amp;""""&amp;Dashboard!$L$1&amp;""""))/100),IF(Q2098=Dashboard!$L$1,M2098,M2098*GOOGLEFINANCE(""CURRENCY:""&amp;Q2098&amp;""""&amp;Dashboard!$"&amp;"L$1&amp;""""))),M2098))"),"")</f>
        <v/>
      </c>
      <c r="T2098" s="264" t="str">
        <f t="shared" si="4"/>
        <v/>
      </c>
      <c r="U2098" s="264" t="str">
        <f t="shared" si="5"/>
        <v/>
      </c>
      <c r="V2098" s="264" t="str">
        <f t="shared" si="6"/>
        <v/>
      </c>
      <c r="W2098" s="267" t="str">
        <f t="shared" si="8"/>
        <v/>
      </c>
      <c r="X2098" s="264" t="str">
        <f t="shared" si="7"/>
        <v/>
      </c>
    </row>
    <row r="2099" ht="15.75" customHeight="1">
      <c r="A2099" s="258"/>
      <c r="B2099" s="258"/>
      <c r="C2099" s="269"/>
      <c r="D2099" s="258"/>
      <c r="E2099" s="258"/>
      <c r="F2099" s="258"/>
      <c r="G2099" s="258"/>
      <c r="H2099" s="271"/>
      <c r="I2099" s="258"/>
      <c r="J2099" s="272"/>
      <c r="K2099" s="260"/>
      <c r="L2099" s="261"/>
      <c r="M2099" s="262" t="str">
        <f t="shared" si="1"/>
        <v/>
      </c>
      <c r="N2099" s="263" t="str">
        <f t="shared" si="2"/>
        <v/>
      </c>
      <c r="O2099" s="264" t="str">
        <f t="shared" si="3"/>
        <v/>
      </c>
      <c r="P2099" s="265" t="str">
        <f>IFERROR(__xludf.DUMMYFUNCTION("IF(ISBLANK(A2099),"""",IFERROR(IF(H2099=""Sell"",VLOOKUP(9^99,FILTER({ROW(P$2:P2098),P$2:P2098},D$2:D2098=D2099),2),(VLOOKUP(9^99,FILTER({ROW(P$2:P2098),P$2:P2098},D$2:D2098=D2099),2)*VLOOKUP(9^99,FILTER({ROW(O$2:O2098),O$2:O2098},D$2:D2098=D2099),2)-N209"&amp;"9)/O2099),J2099))"),"")</f>
        <v/>
      </c>
      <c r="Q2099" s="264" t="str">
        <f>IFERROR(__xludf.DUMMYFUNCTION("IFERROR(IF(F2099=""Crypto"",B2099,(IF(ISBLANK(D2099),"""",IF(D2099=""Cash"",B2099,IF(GOOGLEFINANCE(D2099,""CURRENCY"")=""GBX"",""GBP"",GOOGLEFINANCE(D2099,""CURRENCY"")))))),B2099)"),"")</f>
        <v/>
      </c>
      <c r="R2099" s="263" t="str">
        <f>IFERROR(__xludf.DUMMYFUNCTION("IF(ISBLANK(A2099),"""",IFERROR(IF(OR(Q2099=""GPB"",Q2099=""ZAR""),IF(Q2099=Dashboard!$L$1,K2099,(K2099*GOOGLEFINANCE(""CURRENCY:""&amp;Q2099&amp;""""&amp;Dashboard!$L$1&amp;""""))/100),IF(Q2099=Dashboard!$L$1,K2099,K2099*GOOGLEFINANCE(""CURRENCY:""&amp;Q2099&amp;""""&amp;Dashboard!$"&amp;"L$1&amp;""""))),K2099))"),"")</f>
        <v/>
      </c>
      <c r="S2099" s="266" t="str">
        <f>IFERROR(__xludf.DUMMYFUNCTION("IF(ISBLANK(A2099),"""",IFERROR(IF(OR(Q2099=""GPB"",Q2099=""ZAR""),IF(Q2099=Dashboard!$L$1,M2099,(M2099*GOOGLEFINANCE(""CURRENCY:""&amp;Q2099&amp;""""&amp;Dashboard!$L$1&amp;""""))/100),IF(Q2099=Dashboard!$L$1,M2099,M2099*GOOGLEFINANCE(""CURRENCY:""&amp;Q2099&amp;""""&amp;Dashboard!$"&amp;"L$1&amp;""""))),M2099))"),"")</f>
        <v/>
      </c>
      <c r="T2099" s="264" t="str">
        <f t="shared" si="4"/>
        <v/>
      </c>
      <c r="U2099" s="264" t="str">
        <f t="shared" si="5"/>
        <v/>
      </c>
      <c r="V2099" s="264" t="str">
        <f t="shared" si="6"/>
        <v/>
      </c>
      <c r="W2099" s="267" t="str">
        <f t="shared" si="8"/>
        <v/>
      </c>
      <c r="X2099" s="264" t="str">
        <f t="shared" si="7"/>
        <v/>
      </c>
    </row>
    <row r="2100" ht="15.75" customHeight="1">
      <c r="A2100" s="258"/>
      <c r="B2100" s="258"/>
      <c r="C2100" s="269"/>
      <c r="D2100" s="258"/>
      <c r="E2100" s="258"/>
      <c r="F2100" s="258"/>
      <c r="G2100" s="258"/>
      <c r="H2100" s="271"/>
      <c r="I2100" s="258"/>
      <c r="J2100" s="272"/>
      <c r="K2100" s="260"/>
      <c r="L2100" s="261"/>
      <c r="M2100" s="262" t="str">
        <f t="shared" si="1"/>
        <v/>
      </c>
      <c r="N2100" s="263" t="str">
        <f t="shared" si="2"/>
        <v/>
      </c>
      <c r="O2100" s="264" t="str">
        <f t="shared" si="3"/>
        <v/>
      </c>
      <c r="P2100" s="265" t="str">
        <f>IFERROR(__xludf.DUMMYFUNCTION("IF(ISBLANK(A2100),"""",IFERROR(IF(H2100=""Sell"",VLOOKUP(9^99,FILTER({ROW(P$2:P2099),P$2:P2099},D$2:D2099=D2100),2),(VLOOKUP(9^99,FILTER({ROW(P$2:P2099),P$2:P2099},D$2:D2099=D2100),2)*VLOOKUP(9^99,FILTER({ROW(O$2:O2099),O$2:O2099},D$2:D2099=D2100),2)-N210"&amp;"0)/O2100),J2100))"),"")</f>
        <v/>
      </c>
      <c r="Q2100" s="264" t="str">
        <f>IFERROR(__xludf.DUMMYFUNCTION("IFERROR(IF(F2100=""Crypto"",B2100,(IF(ISBLANK(D2100),"""",IF(D2100=""Cash"",B2100,IF(GOOGLEFINANCE(D2100,""CURRENCY"")=""GBX"",""GBP"",GOOGLEFINANCE(D2100,""CURRENCY"")))))),B2100)"),"")</f>
        <v/>
      </c>
      <c r="R2100" s="263" t="str">
        <f>IFERROR(__xludf.DUMMYFUNCTION("IF(ISBLANK(A2100),"""",IFERROR(IF(OR(Q2100=""GPB"",Q2100=""ZAR""),IF(Q2100=Dashboard!$L$1,K2100,(K2100*GOOGLEFINANCE(""CURRENCY:""&amp;Q2100&amp;""""&amp;Dashboard!$L$1&amp;""""))/100),IF(Q2100=Dashboard!$L$1,K2100,K2100*GOOGLEFINANCE(""CURRENCY:""&amp;Q2100&amp;""""&amp;Dashboard!$"&amp;"L$1&amp;""""))),K2100))"),"")</f>
        <v/>
      </c>
      <c r="S2100" s="266" t="str">
        <f>IFERROR(__xludf.DUMMYFUNCTION("IF(ISBLANK(A2100),"""",IFERROR(IF(OR(Q2100=""GPB"",Q2100=""ZAR""),IF(Q2100=Dashboard!$L$1,M2100,(M2100*GOOGLEFINANCE(""CURRENCY:""&amp;Q2100&amp;""""&amp;Dashboard!$L$1&amp;""""))/100),IF(Q2100=Dashboard!$L$1,M2100,M2100*GOOGLEFINANCE(""CURRENCY:""&amp;Q2100&amp;""""&amp;Dashboard!$"&amp;"L$1&amp;""""))),M2100))"),"")</f>
        <v/>
      </c>
      <c r="T2100" s="264" t="str">
        <f t="shared" si="4"/>
        <v/>
      </c>
      <c r="U2100" s="264" t="str">
        <f t="shared" si="5"/>
        <v/>
      </c>
      <c r="V2100" s="264" t="str">
        <f t="shared" si="6"/>
        <v/>
      </c>
      <c r="W2100" s="267" t="str">
        <f t="shared" si="8"/>
        <v/>
      </c>
      <c r="X2100" s="264" t="str">
        <f t="shared" si="7"/>
        <v/>
      </c>
    </row>
    <row r="2101" ht="15.75" customHeight="1">
      <c r="A2101" s="258"/>
      <c r="B2101" s="258"/>
      <c r="C2101" s="269"/>
      <c r="D2101" s="258"/>
      <c r="E2101" s="258"/>
      <c r="F2101" s="258"/>
      <c r="G2101" s="258"/>
      <c r="H2101" s="271"/>
      <c r="I2101" s="258"/>
      <c r="J2101" s="272"/>
      <c r="K2101" s="260"/>
      <c r="L2101" s="261"/>
      <c r="M2101" s="262" t="str">
        <f t="shared" si="1"/>
        <v/>
      </c>
      <c r="N2101" s="263" t="str">
        <f t="shared" si="2"/>
        <v/>
      </c>
      <c r="O2101" s="264" t="str">
        <f t="shared" si="3"/>
        <v/>
      </c>
      <c r="P2101" s="265" t="str">
        <f>IFERROR(__xludf.DUMMYFUNCTION("IF(ISBLANK(A2101),"""",IFERROR(IF(H2101=""Sell"",VLOOKUP(9^99,FILTER({ROW(P$2:P2100),P$2:P2100},D$2:D2100=D2101),2),(VLOOKUP(9^99,FILTER({ROW(P$2:P2100),P$2:P2100},D$2:D2100=D2101),2)*VLOOKUP(9^99,FILTER({ROW(O$2:O2100),O$2:O2100},D$2:D2100=D2101),2)-N210"&amp;"1)/O2101),J2101))"),"")</f>
        <v/>
      </c>
      <c r="Q2101" s="264" t="str">
        <f>IFERROR(__xludf.DUMMYFUNCTION("IFERROR(IF(F2101=""Crypto"",B2101,(IF(ISBLANK(D2101),"""",IF(D2101=""Cash"",B2101,IF(GOOGLEFINANCE(D2101,""CURRENCY"")=""GBX"",""GBP"",GOOGLEFINANCE(D2101,""CURRENCY"")))))),B2101)"),"")</f>
        <v/>
      </c>
      <c r="R2101" s="263" t="str">
        <f>IFERROR(__xludf.DUMMYFUNCTION("IF(ISBLANK(A2101),"""",IFERROR(IF(OR(Q2101=""GPB"",Q2101=""ZAR""),IF(Q2101=Dashboard!$L$1,K2101,(K2101*GOOGLEFINANCE(""CURRENCY:""&amp;Q2101&amp;""""&amp;Dashboard!$L$1&amp;""""))/100),IF(Q2101=Dashboard!$L$1,K2101,K2101*GOOGLEFINANCE(""CURRENCY:""&amp;Q2101&amp;""""&amp;Dashboard!$"&amp;"L$1&amp;""""))),K2101))"),"")</f>
        <v/>
      </c>
      <c r="S2101" s="266" t="str">
        <f>IFERROR(__xludf.DUMMYFUNCTION("IF(ISBLANK(A2101),"""",IFERROR(IF(OR(Q2101=""GPB"",Q2101=""ZAR""),IF(Q2101=Dashboard!$L$1,M2101,(M2101*GOOGLEFINANCE(""CURRENCY:""&amp;Q2101&amp;""""&amp;Dashboard!$L$1&amp;""""))/100),IF(Q2101=Dashboard!$L$1,M2101,M2101*GOOGLEFINANCE(""CURRENCY:""&amp;Q2101&amp;""""&amp;Dashboard!$"&amp;"L$1&amp;""""))),M2101))"),"")</f>
        <v/>
      </c>
      <c r="T2101" s="264" t="str">
        <f t="shared" si="4"/>
        <v/>
      </c>
      <c r="U2101" s="264" t="str">
        <f t="shared" si="5"/>
        <v/>
      </c>
      <c r="V2101" s="264" t="str">
        <f t="shared" si="6"/>
        <v/>
      </c>
      <c r="W2101" s="267" t="str">
        <f t="shared" si="8"/>
        <v/>
      </c>
      <c r="X2101" s="264" t="str">
        <f t="shared" si="7"/>
        <v/>
      </c>
    </row>
    <row r="2102" ht="15.75" customHeight="1">
      <c r="A2102" s="258"/>
      <c r="B2102" s="258"/>
      <c r="C2102" s="269"/>
      <c r="D2102" s="258"/>
      <c r="E2102" s="258"/>
      <c r="F2102" s="258"/>
      <c r="G2102" s="258"/>
      <c r="H2102" s="271"/>
      <c r="I2102" s="258"/>
      <c r="J2102" s="272"/>
      <c r="K2102" s="260"/>
      <c r="L2102" s="261"/>
      <c r="M2102" s="262" t="str">
        <f t="shared" si="1"/>
        <v/>
      </c>
      <c r="N2102" s="263" t="str">
        <f t="shared" si="2"/>
        <v/>
      </c>
      <c r="O2102" s="264" t="str">
        <f t="shared" si="3"/>
        <v/>
      </c>
      <c r="P2102" s="265" t="str">
        <f>IFERROR(__xludf.DUMMYFUNCTION("IF(ISBLANK(A2102),"""",IFERROR(IF(H2102=""Sell"",VLOOKUP(9^99,FILTER({ROW(P$2:P2101),P$2:P2101},D$2:D2101=D2102),2),(VLOOKUP(9^99,FILTER({ROW(P$2:P2101),P$2:P2101},D$2:D2101=D2102),2)*VLOOKUP(9^99,FILTER({ROW(O$2:O2101),O$2:O2101},D$2:D2101=D2102),2)-N210"&amp;"2)/O2102),J2102))"),"")</f>
        <v/>
      </c>
      <c r="Q2102" s="264" t="str">
        <f>IFERROR(__xludf.DUMMYFUNCTION("IFERROR(IF(F2102=""Crypto"",B2102,(IF(ISBLANK(D2102),"""",IF(D2102=""Cash"",B2102,IF(GOOGLEFINANCE(D2102,""CURRENCY"")=""GBX"",""GBP"",GOOGLEFINANCE(D2102,""CURRENCY"")))))),B2102)"),"")</f>
        <v/>
      </c>
      <c r="R2102" s="263" t="str">
        <f>IFERROR(__xludf.DUMMYFUNCTION("IF(ISBLANK(A2102),"""",IFERROR(IF(OR(Q2102=""GPB"",Q2102=""ZAR""),IF(Q2102=Dashboard!$L$1,K2102,(K2102*GOOGLEFINANCE(""CURRENCY:""&amp;Q2102&amp;""""&amp;Dashboard!$L$1&amp;""""))/100),IF(Q2102=Dashboard!$L$1,K2102,K2102*GOOGLEFINANCE(""CURRENCY:""&amp;Q2102&amp;""""&amp;Dashboard!$"&amp;"L$1&amp;""""))),K2102))"),"")</f>
        <v/>
      </c>
      <c r="S2102" s="266" t="str">
        <f>IFERROR(__xludf.DUMMYFUNCTION("IF(ISBLANK(A2102),"""",IFERROR(IF(OR(Q2102=""GPB"",Q2102=""ZAR""),IF(Q2102=Dashboard!$L$1,M2102,(M2102*GOOGLEFINANCE(""CURRENCY:""&amp;Q2102&amp;""""&amp;Dashboard!$L$1&amp;""""))/100),IF(Q2102=Dashboard!$L$1,M2102,M2102*GOOGLEFINANCE(""CURRENCY:""&amp;Q2102&amp;""""&amp;Dashboard!$"&amp;"L$1&amp;""""))),M2102))"),"")</f>
        <v/>
      </c>
      <c r="T2102" s="264" t="str">
        <f t="shared" si="4"/>
        <v/>
      </c>
      <c r="U2102" s="264" t="str">
        <f t="shared" si="5"/>
        <v/>
      </c>
      <c r="V2102" s="264" t="str">
        <f t="shared" si="6"/>
        <v/>
      </c>
      <c r="W2102" s="267" t="str">
        <f t="shared" si="8"/>
        <v/>
      </c>
      <c r="X2102" s="264" t="str">
        <f t="shared" si="7"/>
        <v/>
      </c>
    </row>
    <row r="2103" ht="15.75" customHeight="1">
      <c r="A2103" s="258"/>
      <c r="B2103" s="258"/>
      <c r="C2103" s="269"/>
      <c r="D2103" s="258"/>
      <c r="E2103" s="258"/>
      <c r="F2103" s="258"/>
      <c r="G2103" s="258"/>
      <c r="H2103" s="271"/>
      <c r="I2103" s="258"/>
      <c r="J2103" s="272"/>
      <c r="K2103" s="260"/>
      <c r="L2103" s="261"/>
      <c r="M2103" s="262" t="str">
        <f t="shared" si="1"/>
        <v/>
      </c>
      <c r="N2103" s="263" t="str">
        <f t="shared" si="2"/>
        <v/>
      </c>
      <c r="O2103" s="264" t="str">
        <f t="shared" si="3"/>
        <v/>
      </c>
      <c r="P2103" s="265" t="str">
        <f>IFERROR(__xludf.DUMMYFUNCTION("IF(ISBLANK(A2103),"""",IFERROR(IF(H2103=""Sell"",VLOOKUP(9^99,FILTER({ROW(P$2:P2102),P$2:P2102},D$2:D2102=D2103),2),(VLOOKUP(9^99,FILTER({ROW(P$2:P2102),P$2:P2102},D$2:D2102=D2103),2)*VLOOKUP(9^99,FILTER({ROW(O$2:O2102),O$2:O2102},D$2:D2102=D2103),2)-N210"&amp;"3)/O2103),J2103))"),"")</f>
        <v/>
      </c>
      <c r="Q2103" s="264" t="str">
        <f>IFERROR(__xludf.DUMMYFUNCTION("IFERROR(IF(F2103=""Crypto"",B2103,(IF(ISBLANK(D2103),"""",IF(D2103=""Cash"",B2103,IF(GOOGLEFINANCE(D2103,""CURRENCY"")=""GBX"",""GBP"",GOOGLEFINANCE(D2103,""CURRENCY"")))))),B2103)"),"")</f>
        <v/>
      </c>
      <c r="R2103" s="263" t="str">
        <f>IFERROR(__xludf.DUMMYFUNCTION("IF(ISBLANK(A2103),"""",IFERROR(IF(OR(Q2103=""GPB"",Q2103=""ZAR""),IF(Q2103=Dashboard!$L$1,K2103,(K2103*GOOGLEFINANCE(""CURRENCY:""&amp;Q2103&amp;""""&amp;Dashboard!$L$1&amp;""""))/100),IF(Q2103=Dashboard!$L$1,K2103,K2103*GOOGLEFINANCE(""CURRENCY:""&amp;Q2103&amp;""""&amp;Dashboard!$"&amp;"L$1&amp;""""))),K2103))"),"")</f>
        <v/>
      </c>
      <c r="S2103" s="266" t="str">
        <f>IFERROR(__xludf.DUMMYFUNCTION("IF(ISBLANK(A2103),"""",IFERROR(IF(OR(Q2103=""GPB"",Q2103=""ZAR""),IF(Q2103=Dashboard!$L$1,M2103,(M2103*GOOGLEFINANCE(""CURRENCY:""&amp;Q2103&amp;""""&amp;Dashboard!$L$1&amp;""""))/100),IF(Q2103=Dashboard!$L$1,M2103,M2103*GOOGLEFINANCE(""CURRENCY:""&amp;Q2103&amp;""""&amp;Dashboard!$"&amp;"L$1&amp;""""))),M2103))"),"")</f>
        <v/>
      </c>
      <c r="T2103" s="264" t="str">
        <f t="shared" si="4"/>
        <v/>
      </c>
      <c r="U2103" s="264" t="str">
        <f t="shared" si="5"/>
        <v/>
      </c>
      <c r="V2103" s="264" t="str">
        <f t="shared" si="6"/>
        <v/>
      </c>
      <c r="W2103" s="267" t="str">
        <f t="shared" si="8"/>
        <v/>
      </c>
      <c r="X2103" s="264" t="str">
        <f t="shared" si="7"/>
        <v/>
      </c>
    </row>
    <row r="2104" ht="15.75" customHeight="1">
      <c r="A2104" s="258"/>
      <c r="B2104" s="258"/>
      <c r="C2104" s="269"/>
      <c r="D2104" s="258"/>
      <c r="E2104" s="258"/>
      <c r="F2104" s="258"/>
      <c r="G2104" s="258"/>
      <c r="H2104" s="271"/>
      <c r="I2104" s="258"/>
      <c r="J2104" s="272"/>
      <c r="K2104" s="260"/>
      <c r="L2104" s="261"/>
      <c r="M2104" s="262" t="str">
        <f t="shared" si="1"/>
        <v/>
      </c>
      <c r="N2104" s="263" t="str">
        <f t="shared" si="2"/>
        <v/>
      </c>
      <c r="O2104" s="264" t="str">
        <f t="shared" si="3"/>
        <v/>
      </c>
      <c r="P2104" s="265" t="str">
        <f>IFERROR(__xludf.DUMMYFUNCTION("IF(ISBLANK(A2104),"""",IFERROR(IF(H2104=""Sell"",VLOOKUP(9^99,FILTER({ROW(P$2:P2103),P$2:P2103},D$2:D2103=D2104),2),(VLOOKUP(9^99,FILTER({ROW(P$2:P2103),P$2:P2103},D$2:D2103=D2104),2)*VLOOKUP(9^99,FILTER({ROW(O$2:O2103),O$2:O2103},D$2:D2103=D2104),2)-N210"&amp;"4)/O2104),J2104))"),"")</f>
        <v/>
      </c>
      <c r="Q2104" s="264" t="str">
        <f>IFERROR(__xludf.DUMMYFUNCTION("IFERROR(IF(F2104=""Crypto"",B2104,(IF(ISBLANK(D2104),"""",IF(D2104=""Cash"",B2104,IF(GOOGLEFINANCE(D2104,""CURRENCY"")=""GBX"",""GBP"",GOOGLEFINANCE(D2104,""CURRENCY"")))))),B2104)"),"")</f>
        <v/>
      </c>
      <c r="R2104" s="263" t="str">
        <f>IFERROR(__xludf.DUMMYFUNCTION("IF(ISBLANK(A2104),"""",IFERROR(IF(OR(Q2104=""GPB"",Q2104=""ZAR""),IF(Q2104=Dashboard!$L$1,K2104,(K2104*GOOGLEFINANCE(""CURRENCY:""&amp;Q2104&amp;""""&amp;Dashboard!$L$1&amp;""""))/100),IF(Q2104=Dashboard!$L$1,K2104,K2104*GOOGLEFINANCE(""CURRENCY:""&amp;Q2104&amp;""""&amp;Dashboard!$"&amp;"L$1&amp;""""))),K2104))"),"")</f>
        <v/>
      </c>
      <c r="S2104" s="266" t="str">
        <f>IFERROR(__xludf.DUMMYFUNCTION("IF(ISBLANK(A2104),"""",IFERROR(IF(OR(Q2104=""GPB"",Q2104=""ZAR""),IF(Q2104=Dashboard!$L$1,M2104,(M2104*GOOGLEFINANCE(""CURRENCY:""&amp;Q2104&amp;""""&amp;Dashboard!$L$1&amp;""""))/100),IF(Q2104=Dashboard!$L$1,M2104,M2104*GOOGLEFINANCE(""CURRENCY:""&amp;Q2104&amp;""""&amp;Dashboard!$"&amp;"L$1&amp;""""))),M2104))"),"")</f>
        <v/>
      </c>
      <c r="T2104" s="264" t="str">
        <f t="shared" si="4"/>
        <v/>
      </c>
      <c r="U2104" s="264" t="str">
        <f t="shared" si="5"/>
        <v/>
      </c>
      <c r="V2104" s="264" t="str">
        <f t="shared" si="6"/>
        <v/>
      </c>
      <c r="W2104" s="267" t="str">
        <f t="shared" si="8"/>
        <v/>
      </c>
      <c r="X2104" s="264" t="str">
        <f t="shared" si="7"/>
        <v/>
      </c>
    </row>
    <row r="2105" ht="15.75" customHeight="1">
      <c r="A2105" s="258"/>
      <c r="B2105" s="258"/>
      <c r="C2105" s="269"/>
      <c r="D2105" s="258"/>
      <c r="E2105" s="258"/>
      <c r="F2105" s="258"/>
      <c r="G2105" s="258"/>
      <c r="H2105" s="271"/>
      <c r="I2105" s="258"/>
      <c r="J2105" s="272"/>
      <c r="K2105" s="260"/>
      <c r="L2105" s="261"/>
      <c r="M2105" s="262" t="str">
        <f t="shared" si="1"/>
        <v/>
      </c>
      <c r="N2105" s="263" t="str">
        <f t="shared" si="2"/>
        <v/>
      </c>
      <c r="O2105" s="264" t="str">
        <f t="shared" si="3"/>
        <v/>
      </c>
      <c r="P2105" s="265" t="str">
        <f>IFERROR(__xludf.DUMMYFUNCTION("IF(ISBLANK(A2105),"""",IFERROR(IF(H2105=""Sell"",VLOOKUP(9^99,FILTER({ROW(P$2:P2104),P$2:P2104},D$2:D2104=D2105),2),(VLOOKUP(9^99,FILTER({ROW(P$2:P2104),P$2:P2104},D$2:D2104=D2105),2)*VLOOKUP(9^99,FILTER({ROW(O$2:O2104),O$2:O2104},D$2:D2104=D2105),2)-N210"&amp;"5)/O2105),J2105))"),"")</f>
        <v/>
      </c>
      <c r="Q2105" s="264" t="str">
        <f>IFERROR(__xludf.DUMMYFUNCTION("IFERROR(IF(F2105=""Crypto"",B2105,(IF(ISBLANK(D2105),"""",IF(D2105=""Cash"",B2105,IF(GOOGLEFINANCE(D2105,""CURRENCY"")=""GBX"",""GBP"",GOOGLEFINANCE(D2105,""CURRENCY"")))))),B2105)"),"")</f>
        <v/>
      </c>
      <c r="R2105" s="263" t="str">
        <f>IFERROR(__xludf.DUMMYFUNCTION("IF(ISBLANK(A2105),"""",IFERROR(IF(OR(Q2105=""GPB"",Q2105=""ZAR""),IF(Q2105=Dashboard!$L$1,K2105,(K2105*GOOGLEFINANCE(""CURRENCY:""&amp;Q2105&amp;""""&amp;Dashboard!$L$1&amp;""""))/100),IF(Q2105=Dashboard!$L$1,K2105,K2105*GOOGLEFINANCE(""CURRENCY:""&amp;Q2105&amp;""""&amp;Dashboard!$"&amp;"L$1&amp;""""))),K2105))"),"")</f>
        <v/>
      </c>
      <c r="S2105" s="266" t="str">
        <f>IFERROR(__xludf.DUMMYFUNCTION("IF(ISBLANK(A2105),"""",IFERROR(IF(OR(Q2105=""GPB"",Q2105=""ZAR""),IF(Q2105=Dashboard!$L$1,M2105,(M2105*GOOGLEFINANCE(""CURRENCY:""&amp;Q2105&amp;""""&amp;Dashboard!$L$1&amp;""""))/100),IF(Q2105=Dashboard!$L$1,M2105,M2105*GOOGLEFINANCE(""CURRENCY:""&amp;Q2105&amp;""""&amp;Dashboard!$"&amp;"L$1&amp;""""))),M2105))"),"")</f>
        <v/>
      </c>
      <c r="T2105" s="264" t="str">
        <f t="shared" si="4"/>
        <v/>
      </c>
      <c r="U2105" s="264" t="str">
        <f t="shared" si="5"/>
        <v/>
      </c>
      <c r="V2105" s="264" t="str">
        <f t="shared" si="6"/>
        <v/>
      </c>
      <c r="W2105" s="267" t="str">
        <f t="shared" si="8"/>
        <v/>
      </c>
      <c r="X2105" s="264" t="str">
        <f t="shared" si="7"/>
        <v/>
      </c>
    </row>
    <row r="2106" ht="15.75" customHeight="1">
      <c r="A2106" s="258"/>
      <c r="B2106" s="258"/>
      <c r="C2106" s="269"/>
      <c r="D2106" s="258"/>
      <c r="E2106" s="258"/>
      <c r="F2106" s="258"/>
      <c r="G2106" s="258"/>
      <c r="H2106" s="271"/>
      <c r="I2106" s="258"/>
      <c r="J2106" s="272"/>
      <c r="K2106" s="260"/>
      <c r="L2106" s="261"/>
      <c r="M2106" s="262" t="str">
        <f t="shared" si="1"/>
        <v/>
      </c>
      <c r="N2106" s="263" t="str">
        <f t="shared" si="2"/>
        <v/>
      </c>
      <c r="O2106" s="264" t="str">
        <f t="shared" si="3"/>
        <v/>
      </c>
      <c r="P2106" s="265" t="str">
        <f>IFERROR(__xludf.DUMMYFUNCTION("IF(ISBLANK(A2106),"""",IFERROR(IF(H2106=""Sell"",VLOOKUP(9^99,FILTER({ROW(P$2:P2105),P$2:P2105},D$2:D2105=D2106),2),(VLOOKUP(9^99,FILTER({ROW(P$2:P2105),P$2:P2105},D$2:D2105=D2106),2)*VLOOKUP(9^99,FILTER({ROW(O$2:O2105),O$2:O2105},D$2:D2105=D2106),2)-N210"&amp;"6)/O2106),J2106))"),"")</f>
        <v/>
      </c>
      <c r="Q2106" s="264" t="str">
        <f>IFERROR(__xludf.DUMMYFUNCTION("IFERROR(IF(F2106=""Crypto"",B2106,(IF(ISBLANK(D2106),"""",IF(D2106=""Cash"",B2106,IF(GOOGLEFINANCE(D2106,""CURRENCY"")=""GBX"",""GBP"",GOOGLEFINANCE(D2106,""CURRENCY"")))))),B2106)"),"")</f>
        <v/>
      </c>
      <c r="R2106" s="263" t="str">
        <f>IFERROR(__xludf.DUMMYFUNCTION("IF(ISBLANK(A2106),"""",IFERROR(IF(OR(Q2106=""GPB"",Q2106=""ZAR""),IF(Q2106=Dashboard!$L$1,K2106,(K2106*GOOGLEFINANCE(""CURRENCY:""&amp;Q2106&amp;""""&amp;Dashboard!$L$1&amp;""""))/100),IF(Q2106=Dashboard!$L$1,K2106,K2106*GOOGLEFINANCE(""CURRENCY:""&amp;Q2106&amp;""""&amp;Dashboard!$"&amp;"L$1&amp;""""))),K2106))"),"")</f>
        <v/>
      </c>
      <c r="S2106" s="266" t="str">
        <f>IFERROR(__xludf.DUMMYFUNCTION("IF(ISBLANK(A2106),"""",IFERROR(IF(OR(Q2106=""GPB"",Q2106=""ZAR""),IF(Q2106=Dashboard!$L$1,M2106,(M2106*GOOGLEFINANCE(""CURRENCY:""&amp;Q2106&amp;""""&amp;Dashboard!$L$1&amp;""""))/100),IF(Q2106=Dashboard!$L$1,M2106,M2106*GOOGLEFINANCE(""CURRENCY:""&amp;Q2106&amp;""""&amp;Dashboard!$"&amp;"L$1&amp;""""))),M2106))"),"")</f>
        <v/>
      </c>
      <c r="T2106" s="264" t="str">
        <f t="shared" si="4"/>
        <v/>
      </c>
      <c r="U2106" s="264" t="str">
        <f t="shared" si="5"/>
        <v/>
      </c>
      <c r="V2106" s="264" t="str">
        <f t="shared" si="6"/>
        <v/>
      </c>
      <c r="W2106" s="267" t="str">
        <f t="shared" si="8"/>
        <v/>
      </c>
      <c r="X2106" s="264" t="str">
        <f t="shared" si="7"/>
        <v/>
      </c>
    </row>
    <row r="2107" ht="15.75" customHeight="1">
      <c r="A2107" s="258"/>
      <c r="B2107" s="258"/>
      <c r="C2107" s="269"/>
      <c r="D2107" s="258"/>
      <c r="E2107" s="258"/>
      <c r="F2107" s="258"/>
      <c r="G2107" s="258"/>
      <c r="H2107" s="271"/>
      <c r="I2107" s="258"/>
      <c r="J2107" s="272"/>
      <c r="K2107" s="260"/>
      <c r="L2107" s="261"/>
      <c r="M2107" s="262" t="str">
        <f t="shared" si="1"/>
        <v/>
      </c>
      <c r="N2107" s="263" t="str">
        <f t="shared" si="2"/>
        <v/>
      </c>
      <c r="O2107" s="264" t="str">
        <f t="shared" si="3"/>
        <v/>
      </c>
      <c r="P2107" s="265" t="str">
        <f>IFERROR(__xludf.DUMMYFUNCTION("IF(ISBLANK(A2107),"""",IFERROR(IF(H2107=""Sell"",VLOOKUP(9^99,FILTER({ROW(P$2:P2106),P$2:P2106},D$2:D2106=D2107),2),(VLOOKUP(9^99,FILTER({ROW(P$2:P2106),P$2:P2106},D$2:D2106=D2107),2)*VLOOKUP(9^99,FILTER({ROW(O$2:O2106),O$2:O2106},D$2:D2106=D2107),2)-N210"&amp;"7)/O2107),J2107))"),"")</f>
        <v/>
      </c>
      <c r="Q2107" s="264" t="str">
        <f>IFERROR(__xludf.DUMMYFUNCTION("IFERROR(IF(F2107=""Crypto"",B2107,(IF(ISBLANK(D2107),"""",IF(D2107=""Cash"",B2107,IF(GOOGLEFINANCE(D2107,""CURRENCY"")=""GBX"",""GBP"",GOOGLEFINANCE(D2107,""CURRENCY"")))))),B2107)"),"")</f>
        <v/>
      </c>
      <c r="R2107" s="263" t="str">
        <f>IFERROR(__xludf.DUMMYFUNCTION("IF(ISBLANK(A2107),"""",IFERROR(IF(OR(Q2107=""GPB"",Q2107=""ZAR""),IF(Q2107=Dashboard!$L$1,K2107,(K2107*GOOGLEFINANCE(""CURRENCY:""&amp;Q2107&amp;""""&amp;Dashboard!$L$1&amp;""""))/100),IF(Q2107=Dashboard!$L$1,K2107,K2107*GOOGLEFINANCE(""CURRENCY:""&amp;Q2107&amp;""""&amp;Dashboard!$"&amp;"L$1&amp;""""))),K2107))"),"")</f>
        <v/>
      </c>
      <c r="S2107" s="266" t="str">
        <f>IFERROR(__xludf.DUMMYFUNCTION("IF(ISBLANK(A2107),"""",IFERROR(IF(OR(Q2107=""GPB"",Q2107=""ZAR""),IF(Q2107=Dashboard!$L$1,M2107,(M2107*GOOGLEFINANCE(""CURRENCY:""&amp;Q2107&amp;""""&amp;Dashboard!$L$1&amp;""""))/100),IF(Q2107=Dashboard!$L$1,M2107,M2107*GOOGLEFINANCE(""CURRENCY:""&amp;Q2107&amp;""""&amp;Dashboard!$"&amp;"L$1&amp;""""))),M2107))"),"")</f>
        <v/>
      </c>
      <c r="T2107" s="264" t="str">
        <f t="shared" si="4"/>
        <v/>
      </c>
      <c r="U2107" s="264" t="str">
        <f t="shared" si="5"/>
        <v/>
      </c>
      <c r="V2107" s="264" t="str">
        <f t="shared" si="6"/>
        <v/>
      </c>
      <c r="W2107" s="267" t="str">
        <f t="shared" si="8"/>
        <v/>
      </c>
      <c r="X2107" s="264" t="str">
        <f t="shared" si="7"/>
        <v/>
      </c>
    </row>
    <row r="2108" ht="15.75" customHeight="1">
      <c r="A2108" s="258"/>
      <c r="B2108" s="258"/>
      <c r="C2108" s="269"/>
      <c r="D2108" s="258"/>
      <c r="E2108" s="258"/>
      <c r="F2108" s="258"/>
      <c r="G2108" s="258"/>
      <c r="H2108" s="271"/>
      <c r="I2108" s="258"/>
      <c r="J2108" s="272"/>
      <c r="K2108" s="260"/>
      <c r="L2108" s="261"/>
      <c r="M2108" s="262" t="str">
        <f t="shared" si="1"/>
        <v/>
      </c>
      <c r="N2108" s="263" t="str">
        <f t="shared" si="2"/>
        <v/>
      </c>
      <c r="O2108" s="264" t="str">
        <f t="shared" si="3"/>
        <v/>
      </c>
      <c r="P2108" s="265" t="str">
        <f>IFERROR(__xludf.DUMMYFUNCTION("IF(ISBLANK(A2108),"""",IFERROR(IF(H2108=""Sell"",VLOOKUP(9^99,FILTER({ROW(P$2:P2107),P$2:P2107},D$2:D2107=D2108),2),(VLOOKUP(9^99,FILTER({ROW(P$2:P2107),P$2:P2107},D$2:D2107=D2108),2)*VLOOKUP(9^99,FILTER({ROW(O$2:O2107),O$2:O2107},D$2:D2107=D2108),2)-N210"&amp;"8)/O2108),J2108))"),"")</f>
        <v/>
      </c>
      <c r="Q2108" s="264" t="str">
        <f>IFERROR(__xludf.DUMMYFUNCTION("IFERROR(IF(F2108=""Crypto"",B2108,(IF(ISBLANK(D2108),"""",IF(D2108=""Cash"",B2108,IF(GOOGLEFINANCE(D2108,""CURRENCY"")=""GBX"",""GBP"",GOOGLEFINANCE(D2108,""CURRENCY"")))))),B2108)"),"")</f>
        <v/>
      </c>
      <c r="R2108" s="263" t="str">
        <f>IFERROR(__xludf.DUMMYFUNCTION("IF(ISBLANK(A2108),"""",IFERROR(IF(OR(Q2108=""GPB"",Q2108=""ZAR""),IF(Q2108=Dashboard!$L$1,K2108,(K2108*GOOGLEFINANCE(""CURRENCY:""&amp;Q2108&amp;""""&amp;Dashboard!$L$1&amp;""""))/100),IF(Q2108=Dashboard!$L$1,K2108,K2108*GOOGLEFINANCE(""CURRENCY:""&amp;Q2108&amp;""""&amp;Dashboard!$"&amp;"L$1&amp;""""))),K2108))"),"")</f>
        <v/>
      </c>
      <c r="S2108" s="266" t="str">
        <f>IFERROR(__xludf.DUMMYFUNCTION("IF(ISBLANK(A2108),"""",IFERROR(IF(OR(Q2108=""GPB"",Q2108=""ZAR""),IF(Q2108=Dashboard!$L$1,M2108,(M2108*GOOGLEFINANCE(""CURRENCY:""&amp;Q2108&amp;""""&amp;Dashboard!$L$1&amp;""""))/100),IF(Q2108=Dashboard!$L$1,M2108,M2108*GOOGLEFINANCE(""CURRENCY:""&amp;Q2108&amp;""""&amp;Dashboard!$"&amp;"L$1&amp;""""))),M2108))"),"")</f>
        <v/>
      </c>
      <c r="T2108" s="264" t="str">
        <f t="shared" si="4"/>
        <v/>
      </c>
      <c r="U2108" s="264" t="str">
        <f t="shared" si="5"/>
        <v/>
      </c>
      <c r="V2108" s="264" t="str">
        <f t="shared" si="6"/>
        <v/>
      </c>
      <c r="W2108" s="267" t="str">
        <f t="shared" si="8"/>
        <v/>
      </c>
      <c r="X2108" s="264" t="str">
        <f t="shared" si="7"/>
        <v/>
      </c>
    </row>
    <row r="2109" ht="15.75" customHeight="1">
      <c r="A2109" s="258"/>
      <c r="B2109" s="258"/>
      <c r="C2109" s="269"/>
      <c r="D2109" s="258"/>
      <c r="E2109" s="258"/>
      <c r="F2109" s="258"/>
      <c r="G2109" s="258"/>
      <c r="H2109" s="271"/>
      <c r="I2109" s="258"/>
      <c r="J2109" s="272"/>
      <c r="K2109" s="260"/>
      <c r="L2109" s="261"/>
      <c r="M2109" s="262" t="str">
        <f t="shared" si="1"/>
        <v/>
      </c>
      <c r="N2109" s="263" t="str">
        <f t="shared" si="2"/>
        <v/>
      </c>
      <c r="O2109" s="264" t="str">
        <f t="shared" si="3"/>
        <v/>
      </c>
      <c r="P2109" s="265" t="str">
        <f>IFERROR(__xludf.DUMMYFUNCTION("IF(ISBLANK(A2109),"""",IFERROR(IF(H2109=""Sell"",VLOOKUP(9^99,FILTER({ROW(P$2:P2108),P$2:P2108},D$2:D2108=D2109),2),(VLOOKUP(9^99,FILTER({ROW(P$2:P2108),P$2:P2108},D$2:D2108=D2109),2)*VLOOKUP(9^99,FILTER({ROW(O$2:O2108),O$2:O2108},D$2:D2108=D2109),2)-N210"&amp;"9)/O2109),J2109))"),"")</f>
        <v/>
      </c>
      <c r="Q2109" s="264" t="str">
        <f>IFERROR(__xludf.DUMMYFUNCTION("IFERROR(IF(F2109=""Crypto"",B2109,(IF(ISBLANK(D2109),"""",IF(D2109=""Cash"",B2109,IF(GOOGLEFINANCE(D2109,""CURRENCY"")=""GBX"",""GBP"",GOOGLEFINANCE(D2109,""CURRENCY"")))))),B2109)"),"")</f>
        <v/>
      </c>
      <c r="R2109" s="263" t="str">
        <f>IFERROR(__xludf.DUMMYFUNCTION("IF(ISBLANK(A2109),"""",IFERROR(IF(OR(Q2109=""GPB"",Q2109=""ZAR""),IF(Q2109=Dashboard!$L$1,K2109,(K2109*GOOGLEFINANCE(""CURRENCY:""&amp;Q2109&amp;""""&amp;Dashboard!$L$1&amp;""""))/100),IF(Q2109=Dashboard!$L$1,K2109,K2109*GOOGLEFINANCE(""CURRENCY:""&amp;Q2109&amp;""""&amp;Dashboard!$"&amp;"L$1&amp;""""))),K2109))"),"")</f>
        <v/>
      </c>
      <c r="S2109" s="266" t="str">
        <f>IFERROR(__xludf.DUMMYFUNCTION("IF(ISBLANK(A2109),"""",IFERROR(IF(OR(Q2109=""GPB"",Q2109=""ZAR""),IF(Q2109=Dashboard!$L$1,M2109,(M2109*GOOGLEFINANCE(""CURRENCY:""&amp;Q2109&amp;""""&amp;Dashboard!$L$1&amp;""""))/100),IF(Q2109=Dashboard!$L$1,M2109,M2109*GOOGLEFINANCE(""CURRENCY:""&amp;Q2109&amp;""""&amp;Dashboard!$"&amp;"L$1&amp;""""))),M2109))"),"")</f>
        <v/>
      </c>
      <c r="T2109" s="264" t="str">
        <f t="shared" si="4"/>
        <v/>
      </c>
      <c r="U2109" s="264" t="str">
        <f t="shared" si="5"/>
        <v/>
      </c>
      <c r="V2109" s="264" t="str">
        <f t="shared" si="6"/>
        <v/>
      </c>
      <c r="W2109" s="267" t="str">
        <f t="shared" si="8"/>
        <v/>
      </c>
      <c r="X2109" s="264" t="str">
        <f t="shared" si="7"/>
        <v/>
      </c>
    </row>
    <row r="2110" ht="15.75" customHeight="1">
      <c r="A2110" s="258"/>
      <c r="B2110" s="258"/>
      <c r="C2110" s="269"/>
      <c r="D2110" s="258"/>
      <c r="E2110" s="258"/>
      <c r="F2110" s="258"/>
      <c r="G2110" s="258"/>
      <c r="H2110" s="271"/>
      <c r="I2110" s="258"/>
      <c r="J2110" s="272"/>
      <c r="K2110" s="260"/>
      <c r="L2110" s="261"/>
      <c r="M2110" s="262" t="str">
        <f t="shared" si="1"/>
        <v/>
      </c>
      <c r="N2110" s="263" t="str">
        <f t="shared" si="2"/>
        <v/>
      </c>
      <c r="O2110" s="264" t="str">
        <f t="shared" si="3"/>
        <v/>
      </c>
      <c r="P2110" s="265" t="str">
        <f>IFERROR(__xludf.DUMMYFUNCTION("IF(ISBLANK(A2110),"""",IFERROR(IF(H2110=""Sell"",VLOOKUP(9^99,FILTER({ROW(P$2:P2109),P$2:P2109},D$2:D2109=D2110),2),(VLOOKUP(9^99,FILTER({ROW(P$2:P2109),P$2:P2109},D$2:D2109=D2110),2)*VLOOKUP(9^99,FILTER({ROW(O$2:O2109),O$2:O2109},D$2:D2109=D2110),2)-N211"&amp;"0)/O2110),J2110))"),"")</f>
        <v/>
      </c>
      <c r="Q2110" s="264" t="str">
        <f>IFERROR(__xludf.DUMMYFUNCTION("IFERROR(IF(F2110=""Crypto"",B2110,(IF(ISBLANK(D2110),"""",IF(D2110=""Cash"",B2110,IF(GOOGLEFINANCE(D2110,""CURRENCY"")=""GBX"",""GBP"",GOOGLEFINANCE(D2110,""CURRENCY"")))))),B2110)"),"")</f>
        <v/>
      </c>
      <c r="R2110" s="263" t="str">
        <f>IFERROR(__xludf.DUMMYFUNCTION("IF(ISBLANK(A2110),"""",IFERROR(IF(OR(Q2110=""GPB"",Q2110=""ZAR""),IF(Q2110=Dashboard!$L$1,K2110,(K2110*GOOGLEFINANCE(""CURRENCY:""&amp;Q2110&amp;""""&amp;Dashboard!$L$1&amp;""""))/100),IF(Q2110=Dashboard!$L$1,K2110,K2110*GOOGLEFINANCE(""CURRENCY:""&amp;Q2110&amp;""""&amp;Dashboard!$"&amp;"L$1&amp;""""))),K2110))"),"")</f>
        <v/>
      </c>
      <c r="S2110" s="266" t="str">
        <f>IFERROR(__xludf.DUMMYFUNCTION("IF(ISBLANK(A2110),"""",IFERROR(IF(OR(Q2110=""GPB"",Q2110=""ZAR""),IF(Q2110=Dashboard!$L$1,M2110,(M2110*GOOGLEFINANCE(""CURRENCY:""&amp;Q2110&amp;""""&amp;Dashboard!$L$1&amp;""""))/100),IF(Q2110=Dashboard!$L$1,M2110,M2110*GOOGLEFINANCE(""CURRENCY:""&amp;Q2110&amp;""""&amp;Dashboard!$"&amp;"L$1&amp;""""))),M2110))"),"")</f>
        <v/>
      </c>
      <c r="T2110" s="264" t="str">
        <f t="shared" si="4"/>
        <v/>
      </c>
      <c r="U2110" s="264" t="str">
        <f t="shared" si="5"/>
        <v/>
      </c>
      <c r="V2110" s="264" t="str">
        <f t="shared" si="6"/>
        <v/>
      </c>
      <c r="W2110" s="267" t="str">
        <f t="shared" si="8"/>
        <v/>
      </c>
      <c r="X2110" s="264" t="str">
        <f t="shared" si="7"/>
        <v/>
      </c>
    </row>
    <row r="2111" ht="15.75" customHeight="1">
      <c r="A2111" s="258"/>
      <c r="B2111" s="258"/>
      <c r="C2111" s="269"/>
      <c r="D2111" s="258"/>
      <c r="E2111" s="258"/>
      <c r="F2111" s="258"/>
      <c r="G2111" s="258"/>
      <c r="H2111" s="271"/>
      <c r="I2111" s="258"/>
      <c r="J2111" s="272"/>
      <c r="K2111" s="260"/>
      <c r="L2111" s="261"/>
      <c r="M2111" s="262" t="str">
        <f t="shared" si="1"/>
        <v/>
      </c>
      <c r="N2111" s="263" t="str">
        <f t="shared" si="2"/>
        <v/>
      </c>
      <c r="O2111" s="264" t="str">
        <f t="shared" si="3"/>
        <v/>
      </c>
      <c r="P2111" s="265" t="str">
        <f>IFERROR(__xludf.DUMMYFUNCTION("IF(ISBLANK(A2111),"""",IFERROR(IF(H2111=""Sell"",VLOOKUP(9^99,FILTER({ROW(P$2:P2110),P$2:P2110},D$2:D2110=D2111),2),(VLOOKUP(9^99,FILTER({ROW(P$2:P2110),P$2:P2110},D$2:D2110=D2111),2)*VLOOKUP(9^99,FILTER({ROW(O$2:O2110),O$2:O2110},D$2:D2110=D2111),2)-N211"&amp;"1)/O2111),J2111))"),"")</f>
        <v/>
      </c>
      <c r="Q2111" s="264" t="str">
        <f>IFERROR(__xludf.DUMMYFUNCTION("IFERROR(IF(F2111=""Crypto"",B2111,(IF(ISBLANK(D2111),"""",IF(D2111=""Cash"",B2111,IF(GOOGLEFINANCE(D2111,""CURRENCY"")=""GBX"",""GBP"",GOOGLEFINANCE(D2111,""CURRENCY"")))))),B2111)"),"")</f>
        <v/>
      </c>
      <c r="R2111" s="263" t="str">
        <f>IFERROR(__xludf.DUMMYFUNCTION("IF(ISBLANK(A2111),"""",IFERROR(IF(OR(Q2111=""GPB"",Q2111=""ZAR""),IF(Q2111=Dashboard!$L$1,K2111,(K2111*GOOGLEFINANCE(""CURRENCY:""&amp;Q2111&amp;""""&amp;Dashboard!$L$1&amp;""""))/100),IF(Q2111=Dashboard!$L$1,K2111,K2111*GOOGLEFINANCE(""CURRENCY:""&amp;Q2111&amp;""""&amp;Dashboard!$"&amp;"L$1&amp;""""))),K2111))"),"")</f>
        <v/>
      </c>
      <c r="S2111" s="266" t="str">
        <f>IFERROR(__xludf.DUMMYFUNCTION("IF(ISBLANK(A2111),"""",IFERROR(IF(OR(Q2111=""GPB"",Q2111=""ZAR""),IF(Q2111=Dashboard!$L$1,M2111,(M2111*GOOGLEFINANCE(""CURRENCY:""&amp;Q2111&amp;""""&amp;Dashboard!$L$1&amp;""""))/100),IF(Q2111=Dashboard!$L$1,M2111,M2111*GOOGLEFINANCE(""CURRENCY:""&amp;Q2111&amp;""""&amp;Dashboard!$"&amp;"L$1&amp;""""))),M2111))"),"")</f>
        <v/>
      </c>
      <c r="T2111" s="264" t="str">
        <f t="shared" si="4"/>
        <v/>
      </c>
      <c r="U2111" s="264" t="str">
        <f t="shared" si="5"/>
        <v/>
      </c>
      <c r="V2111" s="264" t="str">
        <f t="shared" si="6"/>
        <v/>
      </c>
      <c r="W2111" s="267" t="str">
        <f t="shared" si="8"/>
        <v/>
      </c>
      <c r="X2111" s="264" t="str">
        <f t="shared" si="7"/>
        <v/>
      </c>
    </row>
    <row r="2112" ht="15.75" customHeight="1">
      <c r="A2112" s="258"/>
      <c r="B2112" s="258"/>
      <c r="C2112" s="269"/>
      <c r="D2112" s="258"/>
      <c r="E2112" s="258"/>
      <c r="F2112" s="258"/>
      <c r="G2112" s="258"/>
      <c r="H2112" s="271"/>
      <c r="I2112" s="258"/>
      <c r="J2112" s="272"/>
      <c r="K2112" s="260"/>
      <c r="L2112" s="261"/>
      <c r="M2112" s="262" t="str">
        <f t="shared" si="1"/>
        <v/>
      </c>
      <c r="N2112" s="263" t="str">
        <f t="shared" si="2"/>
        <v/>
      </c>
      <c r="O2112" s="264" t="str">
        <f t="shared" si="3"/>
        <v/>
      </c>
      <c r="P2112" s="265" t="str">
        <f>IFERROR(__xludf.DUMMYFUNCTION("IF(ISBLANK(A2112),"""",IFERROR(IF(H2112=""Sell"",VLOOKUP(9^99,FILTER({ROW(P$2:P2111),P$2:P2111},D$2:D2111=D2112),2),(VLOOKUP(9^99,FILTER({ROW(P$2:P2111),P$2:P2111},D$2:D2111=D2112),2)*VLOOKUP(9^99,FILTER({ROW(O$2:O2111),O$2:O2111},D$2:D2111=D2112),2)-N211"&amp;"2)/O2112),J2112))"),"")</f>
        <v/>
      </c>
      <c r="Q2112" s="264" t="str">
        <f>IFERROR(__xludf.DUMMYFUNCTION("IFERROR(IF(F2112=""Crypto"",B2112,(IF(ISBLANK(D2112),"""",IF(D2112=""Cash"",B2112,IF(GOOGLEFINANCE(D2112,""CURRENCY"")=""GBX"",""GBP"",GOOGLEFINANCE(D2112,""CURRENCY"")))))),B2112)"),"")</f>
        <v/>
      </c>
      <c r="R2112" s="263" t="str">
        <f>IFERROR(__xludf.DUMMYFUNCTION("IF(ISBLANK(A2112),"""",IFERROR(IF(OR(Q2112=""GPB"",Q2112=""ZAR""),IF(Q2112=Dashboard!$L$1,K2112,(K2112*GOOGLEFINANCE(""CURRENCY:""&amp;Q2112&amp;""""&amp;Dashboard!$L$1&amp;""""))/100),IF(Q2112=Dashboard!$L$1,K2112,K2112*GOOGLEFINANCE(""CURRENCY:""&amp;Q2112&amp;""""&amp;Dashboard!$"&amp;"L$1&amp;""""))),K2112))"),"")</f>
        <v/>
      </c>
      <c r="S2112" s="266" t="str">
        <f>IFERROR(__xludf.DUMMYFUNCTION("IF(ISBLANK(A2112),"""",IFERROR(IF(OR(Q2112=""GPB"",Q2112=""ZAR""),IF(Q2112=Dashboard!$L$1,M2112,(M2112*GOOGLEFINANCE(""CURRENCY:""&amp;Q2112&amp;""""&amp;Dashboard!$L$1&amp;""""))/100),IF(Q2112=Dashboard!$L$1,M2112,M2112*GOOGLEFINANCE(""CURRENCY:""&amp;Q2112&amp;""""&amp;Dashboard!$"&amp;"L$1&amp;""""))),M2112))"),"")</f>
        <v/>
      </c>
      <c r="T2112" s="264" t="str">
        <f t="shared" si="4"/>
        <v/>
      </c>
      <c r="U2112" s="264" t="str">
        <f t="shared" si="5"/>
        <v/>
      </c>
      <c r="V2112" s="264" t="str">
        <f t="shared" si="6"/>
        <v/>
      </c>
      <c r="W2112" s="267" t="str">
        <f t="shared" si="8"/>
        <v/>
      </c>
      <c r="X2112" s="264" t="str">
        <f t="shared" si="7"/>
        <v/>
      </c>
    </row>
    <row r="2113" ht="15.75" customHeight="1">
      <c r="A2113" s="258"/>
      <c r="B2113" s="258"/>
      <c r="C2113" s="269"/>
      <c r="D2113" s="258"/>
      <c r="E2113" s="258"/>
      <c r="F2113" s="258"/>
      <c r="G2113" s="258"/>
      <c r="H2113" s="271"/>
      <c r="I2113" s="258"/>
      <c r="J2113" s="272"/>
      <c r="K2113" s="260"/>
      <c r="L2113" s="261"/>
      <c r="M2113" s="262" t="str">
        <f t="shared" si="1"/>
        <v/>
      </c>
      <c r="N2113" s="263" t="str">
        <f t="shared" si="2"/>
        <v/>
      </c>
      <c r="O2113" s="264" t="str">
        <f t="shared" si="3"/>
        <v/>
      </c>
      <c r="P2113" s="265" t="str">
        <f>IFERROR(__xludf.DUMMYFUNCTION("IF(ISBLANK(A2113),"""",IFERROR(IF(H2113=""Sell"",VLOOKUP(9^99,FILTER({ROW(P$2:P2112),P$2:P2112},D$2:D2112=D2113),2),(VLOOKUP(9^99,FILTER({ROW(P$2:P2112),P$2:P2112},D$2:D2112=D2113),2)*VLOOKUP(9^99,FILTER({ROW(O$2:O2112),O$2:O2112},D$2:D2112=D2113),2)-N211"&amp;"3)/O2113),J2113))"),"")</f>
        <v/>
      </c>
      <c r="Q2113" s="264" t="str">
        <f>IFERROR(__xludf.DUMMYFUNCTION("IFERROR(IF(F2113=""Crypto"",B2113,(IF(ISBLANK(D2113),"""",IF(D2113=""Cash"",B2113,IF(GOOGLEFINANCE(D2113,""CURRENCY"")=""GBX"",""GBP"",GOOGLEFINANCE(D2113,""CURRENCY"")))))),B2113)"),"")</f>
        <v/>
      </c>
      <c r="R2113" s="263" t="str">
        <f>IFERROR(__xludf.DUMMYFUNCTION("IF(ISBLANK(A2113),"""",IFERROR(IF(OR(Q2113=""GPB"",Q2113=""ZAR""),IF(Q2113=Dashboard!$L$1,K2113,(K2113*GOOGLEFINANCE(""CURRENCY:""&amp;Q2113&amp;""""&amp;Dashboard!$L$1&amp;""""))/100),IF(Q2113=Dashboard!$L$1,K2113,K2113*GOOGLEFINANCE(""CURRENCY:""&amp;Q2113&amp;""""&amp;Dashboard!$"&amp;"L$1&amp;""""))),K2113))"),"")</f>
        <v/>
      </c>
      <c r="S2113" s="266" t="str">
        <f>IFERROR(__xludf.DUMMYFUNCTION("IF(ISBLANK(A2113),"""",IFERROR(IF(OR(Q2113=""GPB"",Q2113=""ZAR""),IF(Q2113=Dashboard!$L$1,M2113,(M2113*GOOGLEFINANCE(""CURRENCY:""&amp;Q2113&amp;""""&amp;Dashboard!$L$1&amp;""""))/100),IF(Q2113=Dashboard!$L$1,M2113,M2113*GOOGLEFINANCE(""CURRENCY:""&amp;Q2113&amp;""""&amp;Dashboard!$"&amp;"L$1&amp;""""))),M2113))"),"")</f>
        <v/>
      </c>
      <c r="T2113" s="264" t="str">
        <f t="shared" si="4"/>
        <v/>
      </c>
      <c r="U2113" s="264" t="str">
        <f t="shared" si="5"/>
        <v/>
      </c>
      <c r="V2113" s="264" t="str">
        <f t="shared" si="6"/>
        <v/>
      </c>
      <c r="W2113" s="267" t="str">
        <f t="shared" si="8"/>
        <v/>
      </c>
      <c r="X2113" s="264" t="str">
        <f t="shared" si="7"/>
        <v/>
      </c>
    </row>
    <row r="2114" ht="15.75" customHeight="1">
      <c r="A2114" s="258"/>
      <c r="B2114" s="258"/>
      <c r="C2114" s="269"/>
      <c r="D2114" s="258"/>
      <c r="E2114" s="258"/>
      <c r="F2114" s="258"/>
      <c r="G2114" s="258"/>
      <c r="H2114" s="271"/>
      <c r="I2114" s="258"/>
      <c r="J2114" s="272"/>
      <c r="K2114" s="260"/>
      <c r="L2114" s="261"/>
      <c r="M2114" s="262" t="str">
        <f t="shared" si="1"/>
        <v/>
      </c>
      <c r="N2114" s="263" t="str">
        <f t="shared" si="2"/>
        <v/>
      </c>
      <c r="O2114" s="264" t="str">
        <f t="shared" si="3"/>
        <v/>
      </c>
      <c r="P2114" s="265" t="str">
        <f>IFERROR(__xludf.DUMMYFUNCTION("IF(ISBLANK(A2114),"""",IFERROR(IF(H2114=""Sell"",VLOOKUP(9^99,FILTER({ROW(P$2:P2113),P$2:P2113},D$2:D2113=D2114),2),(VLOOKUP(9^99,FILTER({ROW(P$2:P2113),P$2:P2113},D$2:D2113=D2114),2)*VLOOKUP(9^99,FILTER({ROW(O$2:O2113),O$2:O2113},D$2:D2113=D2114),2)-N211"&amp;"4)/O2114),J2114))"),"")</f>
        <v/>
      </c>
      <c r="Q2114" s="264" t="str">
        <f>IFERROR(__xludf.DUMMYFUNCTION("IFERROR(IF(F2114=""Crypto"",B2114,(IF(ISBLANK(D2114),"""",IF(D2114=""Cash"",B2114,IF(GOOGLEFINANCE(D2114,""CURRENCY"")=""GBX"",""GBP"",GOOGLEFINANCE(D2114,""CURRENCY"")))))),B2114)"),"")</f>
        <v/>
      </c>
      <c r="R2114" s="263" t="str">
        <f>IFERROR(__xludf.DUMMYFUNCTION("IF(ISBLANK(A2114),"""",IFERROR(IF(OR(Q2114=""GPB"",Q2114=""ZAR""),IF(Q2114=Dashboard!$L$1,K2114,(K2114*GOOGLEFINANCE(""CURRENCY:""&amp;Q2114&amp;""""&amp;Dashboard!$L$1&amp;""""))/100),IF(Q2114=Dashboard!$L$1,K2114,K2114*GOOGLEFINANCE(""CURRENCY:""&amp;Q2114&amp;""""&amp;Dashboard!$"&amp;"L$1&amp;""""))),K2114))"),"")</f>
        <v/>
      </c>
      <c r="S2114" s="266" t="str">
        <f>IFERROR(__xludf.DUMMYFUNCTION("IF(ISBLANK(A2114),"""",IFERROR(IF(OR(Q2114=""GPB"",Q2114=""ZAR""),IF(Q2114=Dashboard!$L$1,M2114,(M2114*GOOGLEFINANCE(""CURRENCY:""&amp;Q2114&amp;""""&amp;Dashboard!$L$1&amp;""""))/100),IF(Q2114=Dashboard!$L$1,M2114,M2114*GOOGLEFINANCE(""CURRENCY:""&amp;Q2114&amp;""""&amp;Dashboard!$"&amp;"L$1&amp;""""))),M2114))"),"")</f>
        <v/>
      </c>
      <c r="T2114" s="264" t="str">
        <f t="shared" si="4"/>
        <v/>
      </c>
      <c r="U2114" s="264" t="str">
        <f t="shared" si="5"/>
        <v/>
      </c>
      <c r="V2114" s="264" t="str">
        <f t="shared" si="6"/>
        <v/>
      </c>
      <c r="W2114" s="267" t="str">
        <f t="shared" si="8"/>
        <v/>
      </c>
      <c r="X2114" s="264" t="str">
        <f t="shared" si="7"/>
        <v/>
      </c>
    </row>
    <row r="2115" ht="15.75" customHeight="1">
      <c r="A2115" s="258"/>
      <c r="B2115" s="258"/>
      <c r="C2115" s="269"/>
      <c r="D2115" s="258"/>
      <c r="E2115" s="258"/>
      <c r="F2115" s="258"/>
      <c r="G2115" s="258"/>
      <c r="H2115" s="271"/>
      <c r="I2115" s="258"/>
      <c r="J2115" s="272"/>
      <c r="K2115" s="260"/>
      <c r="L2115" s="261"/>
      <c r="M2115" s="262" t="str">
        <f t="shared" si="1"/>
        <v/>
      </c>
      <c r="N2115" s="263" t="str">
        <f t="shared" si="2"/>
        <v/>
      </c>
      <c r="O2115" s="264" t="str">
        <f t="shared" si="3"/>
        <v/>
      </c>
      <c r="P2115" s="265" t="str">
        <f>IFERROR(__xludf.DUMMYFUNCTION("IF(ISBLANK(A2115),"""",IFERROR(IF(H2115=""Sell"",VLOOKUP(9^99,FILTER({ROW(P$2:P2114),P$2:P2114},D$2:D2114=D2115),2),(VLOOKUP(9^99,FILTER({ROW(P$2:P2114),P$2:P2114},D$2:D2114=D2115),2)*VLOOKUP(9^99,FILTER({ROW(O$2:O2114),O$2:O2114},D$2:D2114=D2115),2)-N211"&amp;"5)/O2115),J2115))"),"")</f>
        <v/>
      </c>
      <c r="Q2115" s="264" t="str">
        <f>IFERROR(__xludf.DUMMYFUNCTION("IFERROR(IF(F2115=""Crypto"",B2115,(IF(ISBLANK(D2115),"""",IF(D2115=""Cash"",B2115,IF(GOOGLEFINANCE(D2115,""CURRENCY"")=""GBX"",""GBP"",GOOGLEFINANCE(D2115,""CURRENCY"")))))),B2115)"),"")</f>
        <v/>
      </c>
      <c r="R2115" s="263" t="str">
        <f>IFERROR(__xludf.DUMMYFUNCTION("IF(ISBLANK(A2115),"""",IFERROR(IF(OR(Q2115=""GPB"",Q2115=""ZAR""),IF(Q2115=Dashboard!$L$1,K2115,(K2115*GOOGLEFINANCE(""CURRENCY:""&amp;Q2115&amp;""""&amp;Dashboard!$L$1&amp;""""))/100),IF(Q2115=Dashboard!$L$1,K2115,K2115*GOOGLEFINANCE(""CURRENCY:""&amp;Q2115&amp;""""&amp;Dashboard!$"&amp;"L$1&amp;""""))),K2115))"),"")</f>
        <v/>
      </c>
      <c r="S2115" s="266" t="str">
        <f>IFERROR(__xludf.DUMMYFUNCTION("IF(ISBLANK(A2115),"""",IFERROR(IF(OR(Q2115=""GPB"",Q2115=""ZAR""),IF(Q2115=Dashboard!$L$1,M2115,(M2115*GOOGLEFINANCE(""CURRENCY:""&amp;Q2115&amp;""""&amp;Dashboard!$L$1&amp;""""))/100),IF(Q2115=Dashboard!$L$1,M2115,M2115*GOOGLEFINANCE(""CURRENCY:""&amp;Q2115&amp;""""&amp;Dashboard!$"&amp;"L$1&amp;""""))),M2115))"),"")</f>
        <v/>
      </c>
      <c r="T2115" s="264" t="str">
        <f t="shared" si="4"/>
        <v/>
      </c>
      <c r="U2115" s="264" t="str">
        <f t="shared" si="5"/>
        <v/>
      </c>
      <c r="V2115" s="264" t="str">
        <f t="shared" si="6"/>
        <v/>
      </c>
      <c r="W2115" s="267" t="str">
        <f t="shared" si="8"/>
        <v/>
      </c>
      <c r="X2115" s="264" t="str">
        <f t="shared" si="7"/>
        <v/>
      </c>
    </row>
    <row r="2116" ht="15.75" customHeight="1">
      <c r="A2116" s="258"/>
      <c r="B2116" s="258"/>
      <c r="C2116" s="269"/>
      <c r="D2116" s="258"/>
      <c r="E2116" s="258"/>
      <c r="F2116" s="258"/>
      <c r="G2116" s="258"/>
      <c r="H2116" s="271"/>
      <c r="I2116" s="258"/>
      <c r="J2116" s="272"/>
      <c r="K2116" s="260"/>
      <c r="L2116" s="261"/>
      <c r="M2116" s="262" t="str">
        <f t="shared" si="1"/>
        <v/>
      </c>
      <c r="N2116" s="263" t="str">
        <f t="shared" si="2"/>
        <v/>
      </c>
      <c r="O2116" s="264" t="str">
        <f t="shared" si="3"/>
        <v/>
      </c>
      <c r="P2116" s="265" t="str">
        <f>IFERROR(__xludf.DUMMYFUNCTION("IF(ISBLANK(A2116),"""",IFERROR(IF(H2116=""Sell"",VLOOKUP(9^99,FILTER({ROW(P$2:P2115),P$2:P2115},D$2:D2115=D2116),2),(VLOOKUP(9^99,FILTER({ROW(P$2:P2115),P$2:P2115},D$2:D2115=D2116),2)*VLOOKUP(9^99,FILTER({ROW(O$2:O2115),O$2:O2115},D$2:D2115=D2116),2)-N211"&amp;"6)/O2116),J2116))"),"")</f>
        <v/>
      </c>
      <c r="Q2116" s="264" t="str">
        <f>IFERROR(__xludf.DUMMYFUNCTION("IFERROR(IF(F2116=""Crypto"",B2116,(IF(ISBLANK(D2116),"""",IF(D2116=""Cash"",B2116,IF(GOOGLEFINANCE(D2116,""CURRENCY"")=""GBX"",""GBP"",GOOGLEFINANCE(D2116,""CURRENCY"")))))),B2116)"),"")</f>
        <v/>
      </c>
      <c r="R2116" s="263" t="str">
        <f>IFERROR(__xludf.DUMMYFUNCTION("IF(ISBLANK(A2116),"""",IFERROR(IF(OR(Q2116=""GPB"",Q2116=""ZAR""),IF(Q2116=Dashboard!$L$1,K2116,(K2116*GOOGLEFINANCE(""CURRENCY:""&amp;Q2116&amp;""""&amp;Dashboard!$L$1&amp;""""))/100),IF(Q2116=Dashboard!$L$1,K2116,K2116*GOOGLEFINANCE(""CURRENCY:""&amp;Q2116&amp;""""&amp;Dashboard!$"&amp;"L$1&amp;""""))),K2116))"),"")</f>
        <v/>
      </c>
      <c r="S2116" s="266" t="str">
        <f>IFERROR(__xludf.DUMMYFUNCTION("IF(ISBLANK(A2116),"""",IFERROR(IF(OR(Q2116=""GPB"",Q2116=""ZAR""),IF(Q2116=Dashboard!$L$1,M2116,(M2116*GOOGLEFINANCE(""CURRENCY:""&amp;Q2116&amp;""""&amp;Dashboard!$L$1&amp;""""))/100),IF(Q2116=Dashboard!$L$1,M2116,M2116*GOOGLEFINANCE(""CURRENCY:""&amp;Q2116&amp;""""&amp;Dashboard!$"&amp;"L$1&amp;""""))),M2116))"),"")</f>
        <v/>
      </c>
      <c r="T2116" s="264" t="str">
        <f t="shared" si="4"/>
        <v/>
      </c>
      <c r="U2116" s="264" t="str">
        <f t="shared" si="5"/>
        <v/>
      </c>
      <c r="V2116" s="264" t="str">
        <f t="shared" si="6"/>
        <v/>
      </c>
      <c r="W2116" s="267" t="str">
        <f t="shared" si="8"/>
        <v/>
      </c>
      <c r="X2116" s="264" t="str">
        <f t="shared" si="7"/>
        <v/>
      </c>
    </row>
    <row r="2117" ht="15.75" customHeight="1">
      <c r="A2117" s="258"/>
      <c r="B2117" s="258"/>
      <c r="C2117" s="269"/>
      <c r="D2117" s="258"/>
      <c r="E2117" s="258"/>
      <c r="F2117" s="258"/>
      <c r="G2117" s="258"/>
      <c r="H2117" s="271"/>
      <c r="I2117" s="258"/>
      <c r="J2117" s="272"/>
      <c r="K2117" s="260"/>
      <c r="L2117" s="261"/>
      <c r="M2117" s="262" t="str">
        <f t="shared" si="1"/>
        <v/>
      </c>
      <c r="N2117" s="263" t="str">
        <f t="shared" si="2"/>
        <v/>
      </c>
      <c r="O2117" s="264" t="str">
        <f t="shared" si="3"/>
        <v/>
      </c>
      <c r="P2117" s="265" t="str">
        <f>IFERROR(__xludf.DUMMYFUNCTION("IF(ISBLANK(A2117),"""",IFERROR(IF(H2117=""Sell"",VLOOKUP(9^99,FILTER({ROW(P$2:P2116),P$2:P2116},D$2:D2116=D2117),2),(VLOOKUP(9^99,FILTER({ROW(P$2:P2116),P$2:P2116},D$2:D2116=D2117),2)*VLOOKUP(9^99,FILTER({ROW(O$2:O2116),O$2:O2116},D$2:D2116=D2117),2)-N211"&amp;"7)/O2117),J2117))"),"")</f>
        <v/>
      </c>
      <c r="Q2117" s="264" t="str">
        <f>IFERROR(__xludf.DUMMYFUNCTION("IFERROR(IF(F2117=""Crypto"",B2117,(IF(ISBLANK(D2117),"""",IF(D2117=""Cash"",B2117,IF(GOOGLEFINANCE(D2117,""CURRENCY"")=""GBX"",""GBP"",GOOGLEFINANCE(D2117,""CURRENCY"")))))),B2117)"),"")</f>
        <v/>
      </c>
      <c r="R2117" s="263" t="str">
        <f>IFERROR(__xludf.DUMMYFUNCTION("IF(ISBLANK(A2117),"""",IFERROR(IF(OR(Q2117=""GPB"",Q2117=""ZAR""),IF(Q2117=Dashboard!$L$1,K2117,(K2117*GOOGLEFINANCE(""CURRENCY:""&amp;Q2117&amp;""""&amp;Dashboard!$L$1&amp;""""))/100),IF(Q2117=Dashboard!$L$1,K2117,K2117*GOOGLEFINANCE(""CURRENCY:""&amp;Q2117&amp;""""&amp;Dashboard!$"&amp;"L$1&amp;""""))),K2117))"),"")</f>
        <v/>
      </c>
      <c r="S2117" s="266" t="str">
        <f>IFERROR(__xludf.DUMMYFUNCTION("IF(ISBLANK(A2117),"""",IFERROR(IF(OR(Q2117=""GPB"",Q2117=""ZAR""),IF(Q2117=Dashboard!$L$1,M2117,(M2117*GOOGLEFINANCE(""CURRENCY:""&amp;Q2117&amp;""""&amp;Dashboard!$L$1&amp;""""))/100),IF(Q2117=Dashboard!$L$1,M2117,M2117*GOOGLEFINANCE(""CURRENCY:""&amp;Q2117&amp;""""&amp;Dashboard!$"&amp;"L$1&amp;""""))),M2117))"),"")</f>
        <v/>
      </c>
      <c r="T2117" s="264" t="str">
        <f t="shared" si="4"/>
        <v/>
      </c>
      <c r="U2117" s="264" t="str">
        <f t="shared" si="5"/>
        <v/>
      </c>
      <c r="V2117" s="264" t="str">
        <f t="shared" si="6"/>
        <v/>
      </c>
      <c r="W2117" s="267" t="str">
        <f t="shared" si="8"/>
        <v/>
      </c>
      <c r="X2117" s="264" t="str">
        <f t="shared" si="7"/>
        <v/>
      </c>
    </row>
    <row r="2118" ht="15.75" customHeight="1">
      <c r="A2118" s="258"/>
      <c r="B2118" s="258"/>
      <c r="C2118" s="269"/>
      <c r="D2118" s="258"/>
      <c r="E2118" s="258"/>
      <c r="F2118" s="258"/>
      <c r="G2118" s="258"/>
      <c r="H2118" s="271"/>
      <c r="I2118" s="258"/>
      <c r="J2118" s="272"/>
      <c r="K2118" s="260"/>
      <c r="L2118" s="261"/>
      <c r="M2118" s="262" t="str">
        <f t="shared" si="1"/>
        <v/>
      </c>
      <c r="N2118" s="263" t="str">
        <f t="shared" si="2"/>
        <v/>
      </c>
      <c r="O2118" s="264" t="str">
        <f t="shared" si="3"/>
        <v/>
      </c>
      <c r="P2118" s="265" t="str">
        <f>IFERROR(__xludf.DUMMYFUNCTION("IF(ISBLANK(A2118),"""",IFERROR(IF(H2118=""Sell"",VLOOKUP(9^99,FILTER({ROW(P$2:P2117),P$2:P2117},D$2:D2117=D2118),2),(VLOOKUP(9^99,FILTER({ROW(P$2:P2117),P$2:P2117},D$2:D2117=D2118),2)*VLOOKUP(9^99,FILTER({ROW(O$2:O2117),O$2:O2117},D$2:D2117=D2118),2)-N211"&amp;"8)/O2118),J2118))"),"")</f>
        <v/>
      </c>
      <c r="Q2118" s="264" t="str">
        <f>IFERROR(__xludf.DUMMYFUNCTION("IFERROR(IF(F2118=""Crypto"",B2118,(IF(ISBLANK(D2118),"""",IF(D2118=""Cash"",B2118,IF(GOOGLEFINANCE(D2118,""CURRENCY"")=""GBX"",""GBP"",GOOGLEFINANCE(D2118,""CURRENCY"")))))),B2118)"),"")</f>
        <v/>
      </c>
      <c r="R2118" s="263" t="str">
        <f>IFERROR(__xludf.DUMMYFUNCTION("IF(ISBLANK(A2118),"""",IFERROR(IF(OR(Q2118=""GPB"",Q2118=""ZAR""),IF(Q2118=Dashboard!$L$1,K2118,(K2118*GOOGLEFINANCE(""CURRENCY:""&amp;Q2118&amp;""""&amp;Dashboard!$L$1&amp;""""))/100),IF(Q2118=Dashboard!$L$1,K2118,K2118*GOOGLEFINANCE(""CURRENCY:""&amp;Q2118&amp;""""&amp;Dashboard!$"&amp;"L$1&amp;""""))),K2118))"),"")</f>
        <v/>
      </c>
      <c r="S2118" s="266" t="str">
        <f>IFERROR(__xludf.DUMMYFUNCTION("IF(ISBLANK(A2118),"""",IFERROR(IF(OR(Q2118=""GPB"",Q2118=""ZAR""),IF(Q2118=Dashboard!$L$1,M2118,(M2118*GOOGLEFINANCE(""CURRENCY:""&amp;Q2118&amp;""""&amp;Dashboard!$L$1&amp;""""))/100),IF(Q2118=Dashboard!$L$1,M2118,M2118*GOOGLEFINANCE(""CURRENCY:""&amp;Q2118&amp;""""&amp;Dashboard!$"&amp;"L$1&amp;""""))),M2118))"),"")</f>
        <v/>
      </c>
      <c r="T2118" s="264" t="str">
        <f t="shared" si="4"/>
        <v/>
      </c>
      <c r="U2118" s="264" t="str">
        <f t="shared" si="5"/>
        <v/>
      </c>
      <c r="V2118" s="264" t="str">
        <f t="shared" si="6"/>
        <v/>
      </c>
      <c r="W2118" s="267" t="str">
        <f t="shared" si="8"/>
        <v/>
      </c>
      <c r="X2118" s="264" t="str">
        <f t="shared" si="7"/>
        <v/>
      </c>
    </row>
    <row r="2119" ht="15.75" customHeight="1">
      <c r="A2119" s="258"/>
      <c r="B2119" s="258"/>
      <c r="C2119" s="269"/>
      <c r="D2119" s="258"/>
      <c r="E2119" s="258"/>
      <c r="F2119" s="258"/>
      <c r="G2119" s="258"/>
      <c r="H2119" s="271"/>
      <c r="I2119" s="258"/>
      <c r="J2119" s="272"/>
      <c r="K2119" s="260"/>
      <c r="L2119" s="261"/>
      <c r="M2119" s="262" t="str">
        <f t="shared" si="1"/>
        <v/>
      </c>
      <c r="N2119" s="263" t="str">
        <f t="shared" si="2"/>
        <v/>
      </c>
      <c r="O2119" s="264" t="str">
        <f t="shared" si="3"/>
        <v/>
      </c>
      <c r="P2119" s="265" t="str">
        <f>IFERROR(__xludf.DUMMYFUNCTION("IF(ISBLANK(A2119),"""",IFERROR(IF(H2119=""Sell"",VLOOKUP(9^99,FILTER({ROW(P$2:P2118),P$2:P2118},D$2:D2118=D2119),2),(VLOOKUP(9^99,FILTER({ROW(P$2:P2118),P$2:P2118},D$2:D2118=D2119),2)*VLOOKUP(9^99,FILTER({ROW(O$2:O2118),O$2:O2118},D$2:D2118=D2119),2)-N211"&amp;"9)/O2119),J2119))"),"")</f>
        <v/>
      </c>
      <c r="Q2119" s="264" t="str">
        <f>IFERROR(__xludf.DUMMYFUNCTION("IFERROR(IF(F2119=""Crypto"",B2119,(IF(ISBLANK(D2119),"""",IF(D2119=""Cash"",B2119,IF(GOOGLEFINANCE(D2119,""CURRENCY"")=""GBX"",""GBP"",GOOGLEFINANCE(D2119,""CURRENCY"")))))),B2119)"),"")</f>
        <v/>
      </c>
      <c r="R2119" s="263" t="str">
        <f>IFERROR(__xludf.DUMMYFUNCTION("IF(ISBLANK(A2119),"""",IFERROR(IF(OR(Q2119=""GPB"",Q2119=""ZAR""),IF(Q2119=Dashboard!$L$1,K2119,(K2119*GOOGLEFINANCE(""CURRENCY:""&amp;Q2119&amp;""""&amp;Dashboard!$L$1&amp;""""))/100),IF(Q2119=Dashboard!$L$1,K2119,K2119*GOOGLEFINANCE(""CURRENCY:""&amp;Q2119&amp;""""&amp;Dashboard!$"&amp;"L$1&amp;""""))),K2119))"),"")</f>
        <v/>
      </c>
      <c r="S2119" s="266" t="str">
        <f>IFERROR(__xludf.DUMMYFUNCTION("IF(ISBLANK(A2119),"""",IFERROR(IF(OR(Q2119=""GPB"",Q2119=""ZAR""),IF(Q2119=Dashboard!$L$1,M2119,(M2119*GOOGLEFINANCE(""CURRENCY:""&amp;Q2119&amp;""""&amp;Dashboard!$L$1&amp;""""))/100),IF(Q2119=Dashboard!$L$1,M2119,M2119*GOOGLEFINANCE(""CURRENCY:""&amp;Q2119&amp;""""&amp;Dashboard!$"&amp;"L$1&amp;""""))),M2119))"),"")</f>
        <v/>
      </c>
      <c r="T2119" s="264" t="str">
        <f t="shared" si="4"/>
        <v/>
      </c>
      <c r="U2119" s="264" t="str">
        <f t="shared" si="5"/>
        <v/>
      </c>
      <c r="V2119" s="264" t="str">
        <f t="shared" si="6"/>
        <v/>
      </c>
      <c r="W2119" s="267" t="str">
        <f t="shared" si="8"/>
        <v/>
      </c>
      <c r="X2119" s="264" t="str">
        <f t="shared" si="7"/>
        <v/>
      </c>
    </row>
    <row r="2120" ht="15.75" customHeight="1">
      <c r="A2120" s="258"/>
      <c r="B2120" s="258"/>
      <c r="C2120" s="269"/>
      <c r="D2120" s="258"/>
      <c r="E2120" s="258"/>
      <c r="F2120" s="258"/>
      <c r="G2120" s="258"/>
      <c r="H2120" s="271"/>
      <c r="I2120" s="258"/>
      <c r="J2120" s="272"/>
      <c r="K2120" s="260"/>
      <c r="L2120" s="261"/>
      <c r="M2120" s="262" t="str">
        <f t="shared" si="1"/>
        <v/>
      </c>
      <c r="N2120" s="263" t="str">
        <f t="shared" si="2"/>
        <v/>
      </c>
      <c r="O2120" s="264" t="str">
        <f t="shared" si="3"/>
        <v/>
      </c>
      <c r="P2120" s="265" t="str">
        <f>IFERROR(__xludf.DUMMYFUNCTION("IF(ISBLANK(A2120),"""",IFERROR(IF(H2120=""Sell"",VLOOKUP(9^99,FILTER({ROW(P$2:P2119),P$2:P2119},D$2:D2119=D2120),2),(VLOOKUP(9^99,FILTER({ROW(P$2:P2119),P$2:P2119},D$2:D2119=D2120),2)*VLOOKUP(9^99,FILTER({ROW(O$2:O2119),O$2:O2119},D$2:D2119=D2120),2)-N212"&amp;"0)/O2120),J2120))"),"")</f>
        <v/>
      </c>
      <c r="Q2120" s="264" t="str">
        <f>IFERROR(__xludf.DUMMYFUNCTION("IFERROR(IF(F2120=""Crypto"",B2120,(IF(ISBLANK(D2120),"""",IF(D2120=""Cash"",B2120,IF(GOOGLEFINANCE(D2120,""CURRENCY"")=""GBX"",""GBP"",GOOGLEFINANCE(D2120,""CURRENCY"")))))),B2120)"),"")</f>
        <v/>
      </c>
      <c r="R2120" s="263" t="str">
        <f>IFERROR(__xludf.DUMMYFUNCTION("IF(ISBLANK(A2120),"""",IFERROR(IF(OR(Q2120=""GPB"",Q2120=""ZAR""),IF(Q2120=Dashboard!$L$1,K2120,(K2120*GOOGLEFINANCE(""CURRENCY:""&amp;Q2120&amp;""""&amp;Dashboard!$L$1&amp;""""))/100),IF(Q2120=Dashboard!$L$1,K2120,K2120*GOOGLEFINANCE(""CURRENCY:""&amp;Q2120&amp;""""&amp;Dashboard!$"&amp;"L$1&amp;""""))),K2120))"),"")</f>
        <v/>
      </c>
      <c r="S2120" s="266" t="str">
        <f>IFERROR(__xludf.DUMMYFUNCTION("IF(ISBLANK(A2120),"""",IFERROR(IF(OR(Q2120=""GPB"",Q2120=""ZAR""),IF(Q2120=Dashboard!$L$1,M2120,(M2120*GOOGLEFINANCE(""CURRENCY:""&amp;Q2120&amp;""""&amp;Dashboard!$L$1&amp;""""))/100),IF(Q2120=Dashboard!$L$1,M2120,M2120*GOOGLEFINANCE(""CURRENCY:""&amp;Q2120&amp;""""&amp;Dashboard!$"&amp;"L$1&amp;""""))),M2120))"),"")</f>
        <v/>
      </c>
      <c r="T2120" s="264" t="str">
        <f t="shared" si="4"/>
        <v/>
      </c>
      <c r="U2120" s="264" t="str">
        <f t="shared" si="5"/>
        <v/>
      </c>
      <c r="V2120" s="264" t="str">
        <f t="shared" si="6"/>
        <v/>
      </c>
      <c r="W2120" s="267" t="str">
        <f t="shared" si="8"/>
        <v/>
      </c>
      <c r="X2120" s="264" t="str">
        <f t="shared" si="7"/>
        <v/>
      </c>
    </row>
    <row r="2121" ht="15.75" customHeight="1">
      <c r="A2121" s="258"/>
      <c r="B2121" s="258"/>
      <c r="C2121" s="269"/>
      <c r="D2121" s="258"/>
      <c r="E2121" s="258"/>
      <c r="F2121" s="258"/>
      <c r="G2121" s="258"/>
      <c r="H2121" s="271"/>
      <c r="I2121" s="258"/>
      <c r="J2121" s="272"/>
      <c r="K2121" s="260"/>
      <c r="L2121" s="261"/>
      <c r="M2121" s="262" t="str">
        <f t="shared" si="1"/>
        <v/>
      </c>
      <c r="N2121" s="263" t="str">
        <f t="shared" si="2"/>
        <v/>
      </c>
      <c r="O2121" s="264" t="str">
        <f t="shared" si="3"/>
        <v/>
      </c>
      <c r="P2121" s="265" t="str">
        <f>IFERROR(__xludf.DUMMYFUNCTION("IF(ISBLANK(A2121),"""",IFERROR(IF(H2121=""Sell"",VLOOKUP(9^99,FILTER({ROW(P$2:P2120),P$2:P2120},D$2:D2120=D2121),2),(VLOOKUP(9^99,FILTER({ROW(P$2:P2120),P$2:P2120},D$2:D2120=D2121),2)*VLOOKUP(9^99,FILTER({ROW(O$2:O2120),O$2:O2120},D$2:D2120=D2121),2)-N212"&amp;"1)/O2121),J2121))"),"")</f>
        <v/>
      </c>
      <c r="Q2121" s="264" t="str">
        <f>IFERROR(__xludf.DUMMYFUNCTION("IFERROR(IF(F2121=""Crypto"",B2121,(IF(ISBLANK(D2121),"""",IF(D2121=""Cash"",B2121,IF(GOOGLEFINANCE(D2121,""CURRENCY"")=""GBX"",""GBP"",GOOGLEFINANCE(D2121,""CURRENCY"")))))),B2121)"),"")</f>
        <v/>
      </c>
      <c r="R2121" s="263" t="str">
        <f>IFERROR(__xludf.DUMMYFUNCTION("IF(ISBLANK(A2121),"""",IFERROR(IF(OR(Q2121=""GPB"",Q2121=""ZAR""),IF(Q2121=Dashboard!$L$1,K2121,(K2121*GOOGLEFINANCE(""CURRENCY:""&amp;Q2121&amp;""""&amp;Dashboard!$L$1&amp;""""))/100),IF(Q2121=Dashboard!$L$1,K2121,K2121*GOOGLEFINANCE(""CURRENCY:""&amp;Q2121&amp;""""&amp;Dashboard!$"&amp;"L$1&amp;""""))),K2121))"),"")</f>
        <v/>
      </c>
      <c r="S2121" s="266" t="str">
        <f>IFERROR(__xludf.DUMMYFUNCTION("IF(ISBLANK(A2121),"""",IFERROR(IF(OR(Q2121=""GPB"",Q2121=""ZAR""),IF(Q2121=Dashboard!$L$1,M2121,(M2121*GOOGLEFINANCE(""CURRENCY:""&amp;Q2121&amp;""""&amp;Dashboard!$L$1&amp;""""))/100),IF(Q2121=Dashboard!$L$1,M2121,M2121*GOOGLEFINANCE(""CURRENCY:""&amp;Q2121&amp;""""&amp;Dashboard!$"&amp;"L$1&amp;""""))),M2121))"),"")</f>
        <v/>
      </c>
      <c r="T2121" s="264" t="str">
        <f t="shared" si="4"/>
        <v/>
      </c>
      <c r="U2121" s="264" t="str">
        <f t="shared" si="5"/>
        <v/>
      </c>
      <c r="V2121" s="264" t="str">
        <f t="shared" si="6"/>
        <v/>
      </c>
      <c r="W2121" s="267" t="str">
        <f t="shared" si="8"/>
        <v/>
      </c>
      <c r="X2121" s="264" t="str">
        <f t="shared" si="7"/>
        <v/>
      </c>
    </row>
    <row r="2122" ht="15.75" customHeight="1">
      <c r="A2122" s="258"/>
      <c r="B2122" s="258"/>
      <c r="C2122" s="269"/>
      <c r="D2122" s="258"/>
      <c r="E2122" s="258"/>
      <c r="F2122" s="258"/>
      <c r="G2122" s="258"/>
      <c r="H2122" s="271"/>
      <c r="I2122" s="258"/>
      <c r="J2122" s="272"/>
      <c r="K2122" s="260"/>
      <c r="L2122" s="261"/>
      <c r="M2122" s="262" t="str">
        <f t="shared" si="1"/>
        <v/>
      </c>
      <c r="N2122" s="263" t="str">
        <f t="shared" si="2"/>
        <v/>
      </c>
      <c r="O2122" s="264" t="str">
        <f t="shared" si="3"/>
        <v/>
      </c>
      <c r="P2122" s="265" t="str">
        <f>IFERROR(__xludf.DUMMYFUNCTION("IF(ISBLANK(A2122),"""",IFERROR(IF(H2122=""Sell"",VLOOKUP(9^99,FILTER({ROW(P$2:P2121),P$2:P2121},D$2:D2121=D2122),2),(VLOOKUP(9^99,FILTER({ROW(P$2:P2121),P$2:P2121},D$2:D2121=D2122),2)*VLOOKUP(9^99,FILTER({ROW(O$2:O2121),O$2:O2121},D$2:D2121=D2122),2)-N212"&amp;"2)/O2122),J2122))"),"")</f>
        <v/>
      </c>
      <c r="Q2122" s="264" t="str">
        <f>IFERROR(__xludf.DUMMYFUNCTION("IFERROR(IF(F2122=""Crypto"",B2122,(IF(ISBLANK(D2122),"""",IF(D2122=""Cash"",B2122,IF(GOOGLEFINANCE(D2122,""CURRENCY"")=""GBX"",""GBP"",GOOGLEFINANCE(D2122,""CURRENCY"")))))),B2122)"),"")</f>
        <v/>
      </c>
      <c r="R2122" s="263" t="str">
        <f>IFERROR(__xludf.DUMMYFUNCTION("IF(ISBLANK(A2122),"""",IFERROR(IF(OR(Q2122=""GPB"",Q2122=""ZAR""),IF(Q2122=Dashboard!$L$1,K2122,(K2122*GOOGLEFINANCE(""CURRENCY:""&amp;Q2122&amp;""""&amp;Dashboard!$L$1&amp;""""))/100),IF(Q2122=Dashboard!$L$1,K2122,K2122*GOOGLEFINANCE(""CURRENCY:""&amp;Q2122&amp;""""&amp;Dashboard!$"&amp;"L$1&amp;""""))),K2122))"),"")</f>
        <v/>
      </c>
      <c r="S2122" s="266" t="str">
        <f>IFERROR(__xludf.DUMMYFUNCTION("IF(ISBLANK(A2122),"""",IFERROR(IF(OR(Q2122=""GPB"",Q2122=""ZAR""),IF(Q2122=Dashboard!$L$1,M2122,(M2122*GOOGLEFINANCE(""CURRENCY:""&amp;Q2122&amp;""""&amp;Dashboard!$L$1&amp;""""))/100),IF(Q2122=Dashboard!$L$1,M2122,M2122*GOOGLEFINANCE(""CURRENCY:""&amp;Q2122&amp;""""&amp;Dashboard!$"&amp;"L$1&amp;""""))),M2122))"),"")</f>
        <v/>
      </c>
      <c r="T2122" s="264" t="str">
        <f t="shared" si="4"/>
        <v/>
      </c>
      <c r="U2122" s="264" t="str">
        <f t="shared" si="5"/>
        <v/>
      </c>
      <c r="V2122" s="264" t="str">
        <f t="shared" si="6"/>
        <v/>
      </c>
      <c r="W2122" s="267" t="str">
        <f t="shared" si="8"/>
        <v/>
      </c>
      <c r="X2122" s="264" t="str">
        <f t="shared" si="7"/>
        <v/>
      </c>
    </row>
    <row r="2123" ht="15.75" customHeight="1">
      <c r="A2123" s="258"/>
      <c r="B2123" s="258"/>
      <c r="C2123" s="269"/>
      <c r="D2123" s="258"/>
      <c r="E2123" s="258"/>
      <c r="F2123" s="258"/>
      <c r="G2123" s="258"/>
      <c r="H2123" s="271"/>
      <c r="I2123" s="258"/>
      <c r="J2123" s="272"/>
      <c r="K2123" s="260"/>
      <c r="L2123" s="261"/>
      <c r="M2123" s="262" t="str">
        <f t="shared" si="1"/>
        <v/>
      </c>
      <c r="N2123" s="263" t="str">
        <f t="shared" si="2"/>
        <v/>
      </c>
      <c r="O2123" s="264" t="str">
        <f t="shared" si="3"/>
        <v/>
      </c>
      <c r="P2123" s="265" t="str">
        <f>IFERROR(__xludf.DUMMYFUNCTION("IF(ISBLANK(A2123),"""",IFERROR(IF(H2123=""Sell"",VLOOKUP(9^99,FILTER({ROW(P$2:P2122),P$2:P2122},D$2:D2122=D2123),2),(VLOOKUP(9^99,FILTER({ROW(P$2:P2122),P$2:P2122},D$2:D2122=D2123),2)*VLOOKUP(9^99,FILTER({ROW(O$2:O2122),O$2:O2122},D$2:D2122=D2123),2)-N212"&amp;"3)/O2123),J2123))"),"")</f>
        <v/>
      </c>
      <c r="Q2123" s="264" t="str">
        <f>IFERROR(__xludf.DUMMYFUNCTION("IFERROR(IF(F2123=""Crypto"",B2123,(IF(ISBLANK(D2123),"""",IF(D2123=""Cash"",B2123,IF(GOOGLEFINANCE(D2123,""CURRENCY"")=""GBX"",""GBP"",GOOGLEFINANCE(D2123,""CURRENCY"")))))),B2123)"),"")</f>
        <v/>
      </c>
      <c r="R2123" s="263" t="str">
        <f>IFERROR(__xludf.DUMMYFUNCTION("IF(ISBLANK(A2123),"""",IFERROR(IF(OR(Q2123=""GPB"",Q2123=""ZAR""),IF(Q2123=Dashboard!$L$1,K2123,(K2123*GOOGLEFINANCE(""CURRENCY:""&amp;Q2123&amp;""""&amp;Dashboard!$L$1&amp;""""))/100),IF(Q2123=Dashboard!$L$1,K2123,K2123*GOOGLEFINANCE(""CURRENCY:""&amp;Q2123&amp;""""&amp;Dashboard!$"&amp;"L$1&amp;""""))),K2123))"),"")</f>
        <v/>
      </c>
      <c r="S2123" s="266" t="str">
        <f>IFERROR(__xludf.DUMMYFUNCTION("IF(ISBLANK(A2123),"""",IFERROR(IF(OR(Q2123=""GPB"",Q2123=""ZAR""),IF(Q2123=Dashboard!$L$1,M2123,(M2123*GOOGLEFINANCE(""CURRENCY:""&amp;Q2123&amp;""""&amp;Dashboard!$L$1&amp;""""))/100),IF(Q2123=Dashboard!$L$1,M2123,M2123*GOOGLEFINANCE(""CURRENCY:""&amp;Q2123&amp;""""&amp;Dashboard!$"&amp;"L$1&amp;""""))),M2123))"),"")</f>
        <v/>
      </c>
      <c r="T2123" s="264" t="str">
        <f t="shared" si="4"/>
        <v/>
      </c>
      <c r="U2123" s="264" t="str">
        <f t="shared" si="5"/>
        <v/>
      </c>
      <c r="V2123" s="264" t="str">
        <f t="shared" si="6"/>
        <v/>
      </c>
      <c r="W2123" s="267" t="str">
        <f t="shared" si="8"/>
        <v/>
      </c>
      <c r="X2123" s="264" t="str">
        <f t="shared" si="7"/>
        <v/>
      </c>
    </row>
    <row r="2124" ht="15.75" customHeight="1">
      <c r="A2124" s="258"/>
      <c r="B2124" s="258"/>
      <c r="C2124" s="269"/>
      <c r="D2124" s="258"/>
      <c r="E2124" s="258"/>
      <c r="F2124" s="258"/>
      <c r="G2124" s="258"/>
      <c r="H2124" s="271"/>
      <c r="I2124" s="258"/>
      <c r="J2124" s="272"/>
      <c r="K2124" s="260"/>
      <c r="L2124" s="261"/>
      <c r="M2124" s="262" t="str">
        <f t="shared" si="1"/>
        <v/>
      </c>
      <c r="N2124" s="263" t="str">
        <f t="shared" si="2"/>
        <v/>
      </c>
      <c r="O2124" s="264" t="str">
        <f t="shared" si="3"/>
        <v/>
      </c>
      <c r="P2124" s="265" t="str">
        <f>IFERROR(__xludf.DUMMYFUNCTION("IF(ISBLANK(A2124),"""",IFERROR(IF(H2124=""Sell"",VLOOKUP(9^99,FILTER({ROW(P$2:P2123),P$2:P2123},D$2:D2123=D2124),2),(VLOOKUP(9^99,FILTER({ROW(P$2:P2123),P$2:P2123},D$2:D2123=D2124),2)*VLOOKUP(9^99,FILTER({ROW(O$2:O2123),O$2:O2123},D$2:D2123=D2124),2)-N212"&amp;"4)/O2124),J2124))"),"")</f>
        <v/>
      </c>
      <c r="Q2124" s="264" t="str">
        <f>IFERROR(__xludf.DUMMYFUNCTION("IFERROR(IF(F2124=""Crypto"",B2124,(IF(ISBLANK(D2124),"""",IF(D2124=""Cash"",B2124,IF(GOOGLEFINANCE(D2124,""CURRENCY"")=""GBX"",""GBP"",GOOGLEFINANCE(D2124,""CURRENCY"")))))),B2124)"),"")</f>
        <v/>
      </c>
      <c r="R2124" s="263" t="str">
        <f>IFERROR(__xludf.DUMMYFUNCTION("IF(ISBLANK(A2124),"""",IFERROR(IF(OR(Q2124=""GPB"",Q2124=""ZAR""),IF(Q2124=Dashboard!$L$1,K2124,(K2124*GOOGLEFINANCE(""CURRENCY:""&amp;Q2124&amp;""""&amp;Dashboard!$L$1&amp;""""))/100),IF(Q2124=Dashboard!$L$1,K2124,K2124*GOOGLEFINANCE(""CURRENCY:""&amp;Q2124&amp;""""&amp;Dashboard!$"&amp;"L$1&amp;""""))),K2124))"),"")</f>
        <v/>
      </c>
      <c r="S2124" s="266" t="str">
        <f>IFERROR(__xludf.DUMMYFUNCTION("IF(ISBLANK(A2124),"""",IFERROR(IF(OR(Q2124=""GPB"",Q2124=""ZAR""),IF(Q2124=Dashboard!$L$1,M2124,(M2124*GOOGLEFINANCE(""CURRENCY:""&amp;Q2124&amp;""""&amp;Dashboard!$L$1&amp;""""))/100),IF(Q2124=Dashboard!$L$1,M2124,M2124*GOOGLEFINANCE(""CURRENCY:""&amp;Q2124&amp;""""&amp;Dashboard!$"&amp;"L$1&amp;""""))),M2124))"),"")</f>
        <v/>
      </c>
      <c r="T2124" s="264" t="str">
        <f t="shared" si="4"/>
        <v/>
      </c>
      <c r="U2124" s="264" t="str">
        <f t="shared" si="5"/>
        <v/>
      </c>
      <c r="V2124" s="264" t="str">
        <f t="shared" si="6"/>
        <v/>
      </c>
      <c r="W2124" s="267" t="str">
        <f t="shared" si="8"/>
        <v/>
      </c>
      <c r="X2124" s="264" t="str">
        <f t="shared" si="7"/>
        <v/>
      </c>
    </row>
    <row r="2125" ht="15.75" customHeight="1">
      <c r="A2125" s="258"/>
      <c r="B2125" s="258"/>
      <c r="C2125" s="269"/>
      <c r="D2125" s="258"/>
      <c r="E2125" s="258"/>
      <c r="F2125" s="258"/>
      <c r="G2125" s="258"/>
      <c r="H2125" s="271"/>
      <c r="I2125" s="258"/>
      <c r="J2125" s="272"/>
      <c r="K2125" s="260"/>
      <c r="L2125" s="261"/>
      <c r="M2125" s="262" t="str">
        <f t="shared" si="1"/>
        <v/>
      </c>
      <c r="N2125" s="263" t="str">
        <f t="shared" si="2"/>
        <v/>
      </c>
      <c r="O2125" s="264" t="str">
        <f t="shared" si="3"/>
        <v/>
      </c>
      <c r="P2125" s="265" t="str">
        <f>IFERROR(__xludf.DUMMYFUNCTION("IF(ISBLANK(A2125),"""",IFERROR(IF(H2125=""Sell"",VLOOKUP(9^99,FILTER({ROW(P$2:P2124),P$2:P2124},D$2:D2124=D2125),2),(VLOOKUP(9^99,FILTER({ROW(P$2:P2124),P$2:P2124},D$2:D2124=D2125),2)*VLOOKUP(9^99,FILTER({ROW(O$2:O2124),O$2:O2124},D$2:D2124=D2125),2)-N212"&amp;"5)/O2125),J2125))"),"")</f>
        <v/>
      </c>
      <c r="Q2125" s="264" t="str">
        <f>IFERROR(__xludf.DUMMYFUNCTION("IFERROR(IF(F2125=""Crypto"",B2125,(IF(ISBLANK(D2125),"""",IF(D2125=""Cash"",B2125,IF(GOOGLEFINANCE(D2125,""CURRENCY"")=""GBX"",""GBP"",GOOGLEFINANCE(D2125,""CURRENCY"")))))),B2125)"),"")</f>
        <v/>
      </c>
      <c r="R2125" s="263" t="str">
        <f>IFERROR(__xludf.DUMMYFUNCTION("IF(ISBLANK(A2125),"""",IFERROR(IF(OR(Q2125=""GPB"",Q2125=""ZAR""),IF(Q2125=Dashboard!$L$1,K2125,(K2125*GOOGLEFINANCE(""CURRENCY:""&amp;Q2125&amp;""""&amp;Dashboard!$L$1&amp;""""))/100),IF(Q2125=Dashboard!$L$1,K2125,K2125*GOOGLEFINANCE(""CURRENCY:""&amp;Q2125&amp;""""&amp;Dashboard!$"&amp;"L$1&amp;""""))),K2125))"),"")</f>
        <v/>
      </c>
      <c r="S2125" s="266" t="str">
        <f>IFERROR(__xludf.DUMMYFUNCTION("IF(ISBLANK(A2125),"""",IFERROR(IF(OR(Q2125=""GPB"",Q2125=""ZAR""),IF(Q2125=Dashboard!$L$1,M2125,(M2125*GOOGLEFINANCE(""CURRENCY:""&amp;Q2125&amp;""""&amp;Dashboard!$L$1&amp;""""))/100),IF(Q2125=Dashboard!$L$1,M2125,M2125*GOOGLEFINANCE(""CURRENCY:""&amp;Q2125&amp;""""&amp;Dashboard!$"&amp;"L$1&amp;""""))),M2125))"),"")</f>
        <v/>
      </c>
      <c r="T2125" s="264" t="str">
        <f t="shared" si="4"/>
        <v/>
      </c>
      <c r="U2125" s="264" t="str">
        <f t="shared" si="5"/>
        <v/>
      </c>
      <c r="V2125" s="264" t="str">
        <f t="shared" si="6"/>
        <v/>
      </c>
      <c r="W2125" s="267" t="str">
        <f t="shared" si="8"/>
        <v/>
      </c>
      <c r="X2125" s="264" t="str">
        <f t="shared" si="7"/>
        <v/>
      </c>
    </row>
    <row r="2126" ht="15.75" customHeight="1">
      <c r="A2126" s="258"/>
      <c r="B2126" s="258"/>
      <c r="C2126" s="269"/>
      <c r="D2126" s="258"/>
      <c r="E2126" s="258"/>
      <c r="F2126" s="258"/>
      <c r="G2126" s="258"/>
      <c r="H2126" s="271"/>
      <c r="I2126" s="258"/>
      <c r="J2126" s="272"/>
      <c r="K2126" s="260"/>
      <c r="L2126" s="261"/>
      <c r="M2126" s="262" t="str">
        <f t="shared" si="1"/>
        <v/>
      </c>
      <c r="N2126" s="263" t="str">
        <f t="shared" si="2"/>
        <v/>
      </c>
      <c r="O2126" s="264" t="str">
        <f t="shared" si="3"/>
        <v/>
      </c>
      <c r="P2126" s="265" t="str">
        <f>IFERROR(__xludf.DUMMYFUNCTION("IF(ISBLANK(A2126),"""",IFERROR(IF(H2126=""Sell"",VLOOKUP(9^99,FILTER({ROW(P$2:P2125),P$2:P2125},D$2:D2125=D2126),2),(VLOOKUP(9^99,FILTER({ROW(P$2:P2125),P$2:P2125},D$2:D2125=D2126),2)*VLOOKUP(9^99,FILTER({ROW(O$2:O2125),O$2:O2125},D$2:D2125=D2126),2)-N212"&amp;"6)/O2126),J2126))"),"")</f>
        <v/>
      </c>
      <c r="Q2126" s="264" t="str">
        <f>IFERROR(__xludf.DUMMYFUNCTION("IFERROR(IF(F2126=""Crypto"",B2126,(IF(ISBLANK(D2126),"""",IF(D2126=""Cash"",B2126,IF(GOOGLEFINANCE(D2126,""CURRENCY"")=""GBX"",""GBP"",GOOGLEFINANCE(D2126,""CURRENCY"")))))),B2126)"),"")</f>
        <v/>
      </c>
      <c r="R2126" s="263" t="str">
        <f>IFERROR(__xludf.DUMMYFUNCTION("IF(ISBLANK(A2126),"""",IFERROR(IF(OR(Q2126=""GPB"",Q2126=""ZAR""),IF(Q2126=Dashboard!$L$1,K2126,(K2126*GOOGLEFINANCE(""CURRENCY:""&amp;Q2126&amp;""""&amp;Dashboard!$L$1&amp;""""))/100),IF(Q2126=Dashboard!$L$1,K2126,K2126*GOOGLEFINANCE(""CURRENCY:""&amp;Q2126&amp;""""&amp;Dashboard!$"&amp;"L$1&amp;""""))),K2126))"),"")</f>
        <v/>
      </c>
      <c r="S2126" s="266" t="str">
        <f>IFERROR(__xludf.DUMMYFUNCTION("IF(ISBLANK(A2126),"""",IFERROR(IF(OR(Q2126=""GPB"",Q2126=""ZAR""),IF(Q2126=Dashboard!$L$1,M2126,(M2126*GOOGLEFINANCE(""CURRENCY:""&amp;Q2126&amp;""""&amp;Dashboard!$L$1&amp;""""))/100),IF(Q2126=Dashboard!$L$1,M2126,M2126*GOOGLEFINANCE(""CURRENCY:""&amp;Q2126&amp;""""&amp;Dashboard!$"&amp;"L$1&amp;""""))),M2126))"),"")</f>
        <v/>
      </c>
      <c r="T2126" s="264" t="str">
        <f t="shared" si="4"/>
        <v/>
      </c>
      <c r="U2126" s="264" t="str">
        <f t="shared" si="5"/>
        <v/>
      </c>
      <c r="V2126" s="264" t="str">
        <f t="shared" si="6"/>
        <v/>
      </c>
      <c r="W2126" s="267" t="str">
        <f t="shared" si="8"/>
        <v/>
      </c>
      <c r="X2126" s="264" t="str">
        <f t="shared" si="7"/>
        <v/>
      </c>
    </row>
    <row r="2127" ht="15.75" customHeight="1">
      <c r="A2127" s="258"/>
      <c r="B2127" s="258"/>
      <c r="C2127" s="269"/>
      <c r="D2127" s="258"/>
      <c r="E2127" s="258"/>
      <c r="F2127" s="258"/>
      <c r="G2127" s="258"/>
      <c r="H2127" s="271"/>
      <c r="I2127" s="258"/>
      <c r="J2127" s="272"/>
      <c r="K2127" s="260"/>
      <c r="L2127" s="261"/>
      <c r="M2127" s="262" t="str">
        <f t="shared" si="1"/>
        <v/>
      </c>
      <c r="N2127" s="263" t="str">
        <f t="shared" si="2"/>
        <v/>
      </c>
      <c r="O2127" s="264" t="str">
        <f t="shared" si="3"/>
        <v/>
      </c>
      <c r="P2127" s="265" t="str">
        <f>IFERROR(__xludf.DUMMYFUNCTION("IF(ISBLANK(A2127),"""",IFERROR(IF(H2127=""Sell"",VLOOKUP(9^99,FILTER({ROW(P$2:P2126),P$2:P2126},D$2:D2126=D2127),2),(VLOOKUP(9^99,FILTER({ROW(P$2:P2126),P$2:P2126},D$2:D2126=D2127),2)*VLOOKUP(9^99,FILTER({ROW(O$2:O2126),O$2:O2126},D$2:D2126=D2127),2)-N212"&amp;"7)/O2127),J2127))"),"")</f>
        <v/>
      </c>
      <c r="Q2127" s="264" t="str">
        <f>IFERROR(__xludf.DUMMYFUNCTION("IFERROR(IF(F2127=""Crypto"",B2127,(IF(ISBLANK(D2127),"""",IF(D2127=""Cash"",B2127,IF(GOOGLEFINANCE(D2127,""CURRENCY"")=""GBX"",""GBP"",GOOGLEFINANCE(D2127,""CURRENCY"")))))),B2127)"),"")</f>
        <v/>
      </c>
      <c r="R2127" s="263" t="str">
        <f>IFERROR(__xludf.DUMMYFUNCTION("IF(ISBLANK(A2127),"""",IFERROR(IF(OR(Q2127=""GPB"",Q2127=""ZAR""),IF(Q2127=Dashboard!$L$1,K2127,(K2127*GOOGLEFINANCE(""CURRENCY:""&amp;Q2127&amp;""""&amp;Dashboard!$L$1&amp;""""))/100),IF(Q2127=Dashboard!$L$1,K2127,K2127*GOOGLEFINANCE(""CURRENCY:""&amp;Q2127&amp;""""&amp;Dashboard!$"&amp;"L$1&amp;""""))),K2127))"),"")</f>
        <v/>
      </c>
      <c r="S2127" s="266" t="str">
        <f>IFERROR(__xludf.DUMMYFUNCTION("IF(ISBLANK(A2127),"""",IFERROR(IF(OR(Q2127=""GPB"",Q2127=""ZAR""),IF(Q2127=Dashboard!$L$1,M2127,(M2127*GOOGLEFINANCE(""CURRENCY:""&amp;Q2127&amp;""""&amp;Dashboard!$L$1&amp;""""))/100),IF(Q2127=Dashboard!$L$1,M2127,M2127*GOOGLEFINANCE(""CURRENCY:""&amp;Q2127&amp;""""&amp;Dashboard!$"&amp;"L$1&amp;""""))),M2127))"),"")</f>
        <v/>
      </c>
      <c r="T2127" s="264" t="str">
        <f t="shared" si="4"/>
        <v/>
      </c>
      <c r="U2127" s="264" t="str">
        <f t="shared" si="5"/>
        <v/>
      </c>
      <c r="V2127" s="264" t="str">
        <f t="shared" si="6"/>
        <v/>
      </c>
      <c r="W2127" s="267" t="str">
        <f t="shared" si="8"/>
        <v/>
      </c>
      <c r="X2127" s="264" t="str">
        <f t="shared" si="7"/>
        <v/>
      </c>
    </row>
    <row r="2128" ht="15.75" customHeight="1">
      <c r="A2128" s="258"/>
      <c r="B2128" s="258"/>
      <c r="C2128" s="269"/>
      <c r="D2128" s="258"/>
      <c r="E2128" s="258"/>
      <c r="F2128" s="258"/>
      <c r="G2128" s="258"/>
      <c r="H2128" s="271"/>
      <c r="I2128" s="258"/>
      <c r="J2128" s="272"/>
      <c r="K2128" s="260"/>
      <c r="L2128" s="261"/>
      <c r="M2128" s="262" t="str">
        <f t="shared" si="1"/>
        <v/>
      </c>
      <c r="N2128" s="263" t="str">
        <f t="shared" si="2"/>
        <v/>
      </c>
      <c r="O2128" s="264" t="str">
        <f t="shared" si="3"/>
        <v/>
      </c>
      <c r="P2128" s="265" t="str">
        <f>IFERROR(__xludf.DUMMYFUNCTION("IF(ISBLANK(A2128),"""",IFERROR(IF(H2128=""Sell"",VLOOKUP(9^99,FILTER({ROW(P$2:P2127),P$2:P2127},D$2:D2127=D2128),2),(VLOOKUP(9^99,FILTER({ROW(P$2:P2127),P$2:P2127},D$2:D2127=D2128),2)*VLOOKUP(9^99,FILTER({ROW(O$2:O2127),O$2:O2127},D$2:D2127=D2128),2)-N212"&amp;"8)/O2128),J2128))"),"")</f>
        <v/>
      </c>
      <c r="Q2128" s="264" t="str">
        <f>IFERROR(__xludf.DUMMYFUNCTION("IFERROR(IF(F2128=""Crypto"",B2128,(IF(ISBLANK(D2128),"""",IF(D2128=""Cash"",B2128,IF(GOOGLEFINANCE(D2128,""CURRENCY"")=""GBX"",""GBP"",GOOGLEFINANCE(D2128,""CURRENCY"")))))),B2128)"),"")</f>
        <v/>
      </c>
      <c r="R2128" s="263" t="str">
        <f>IFERROR(__xludf.DUMMYFUNCTION("IF(ISBLANK(A2128),"""",IFERROR(IF(OR(Q2128=""GPB"",Q2128=""ZAR""),IF(Q2128=Dashboard!$L$1,K2128,(K2128*GOOGLEFINANCE(""CURRENCY:""&amp;Q2128&amp;""""&amp;Dashboard!$L$1&amp;""""))/100),IF(Q2128=Dashboard!$L$1,K2128,K2128*GOOGLEFINANCE(""CURRENCY:""&amp;Q2128&amp;""""&amp;Dashboard!$"&amp;"L$1&amp;""""))),K2128))"),"")</f>
        <v/>
      </c>
      <c r="S2128" s="266" t="str">
        <f>IFERROR(__xludf.DUMMYFUNCTION("IF(ISBLANK(A2128),"""",IFERROR(IF(OR(Q2128=""GPB"",Q2128=""ZAR""),IF(Q2128=Dashboard!$L$1,M2128,(M2128*GOOGLEFINANCE(""CURRENCY:""&amp;Q2128&amp;""""&amp;Dashboard!$L$1&amp;""""))/100),IF(Q2128=Dashboard!$L$1,M2128,M2128*GOOGLEFINANCE(""CURRENCY:""&amp;Q2128&amp;""""&amp;Dashboard!$"&amp;"L$1&amp;""""))),M2128))"),"")</f>
        <v/>
      </c>
      <c r="T2128" s="264" t="str">
        <f t="shared" si="4"/>
        <v/>
      </c>
      <c r="U2128" s="264" t="str">
        <f t="shared" si="5"/>
        <v/>
      </c>
      <c r="V2128" s="264" t="str">
        <f t="shared" si="6"/>
        <v/>
      </c>
      <c r="W2128" s="267" t="str">
        <f t="shared" si="8"/>
        <v/>
      </c>
      <c r="X2128" s="264" t="str">
        <f t="shared" si="7"/>
        <v/>
      </c>
    </row>
    <row r="2129" ht="15.75" customHeight="1">
      <c r="A2129" s="258"/>
      <c r="B2129" s="258"/>
      <c r="C2129" s="269"/>
      <c r="D2129" s="258"/>
      <c r="E2129" s="258"/>
      <c r="F2129" s="258"/>
      <c r="G2129" s="258"/>
      <c r="H2129" s="271"/>
      <c r="I2129" s="258"/>
      <c r="J2129" s="272"/>
      <c r="K2129" s="260"/>
      <c r="L2129" s="261"/>
      <c r="M2129" s="262" t="str">
        <f t="shared" si="1"/>
        <v/>
      </c>
      <c r="N2129" s="263" t="str">
        <f t="shared" si="2"/>
        <v/>
      </c>
      <c r="O2129" s="264" t="str">
        <f t="shared" si="3"/>
        <v/>
      </c>
      <c r="P2129" s="265" t="str">
        <f>IFERROR(__xludf.DUMMYFUNCTION("IF(ISBLANK(A2129),"""",IFERROR(IF(H2129=""Sell"",VLOOKUP(9^99,FILTER({ROW(P$2:P2128),P$2:P2128},D$2:D2128=D2129),2),(VLOOKUP(9^99,FILTER({ROW(P$2:P2128),P$2:P2128},D$2:D2128=D2129),2)*VLOOKUP(9^99,FILTER({ROW(O$2:O2128),O$2:O2128},D$2:D2128=D2129),2)-N212"&amp;"9)/O2129),J2129))"),"")</f>
        <v/>
      </c>
      <c r="Q2129" s="264" t="str">
        <f>IFERROR(__xludf.DUMMYFUNCTION("IFERROR(IF(F2129=""Crypto"",B2129,(IF(ISBLANK(D2129),"""",IF(D2129=""Cash"",B2129,IF(GOOGLEFINANCE(D2129,""CURRENCY"")=""GBX"",""GBP"",GOOGLEFINANCE(D2129,""CURRENCY"")))))),B2129)"),"")</f>
        <v/>
      </c>
      <c r="R2129" s="263" t="str">
        <f>IFERROR(__xludf.DUMMYFUNCTION("IF(ISBLANK(A2129),"""",IFERROR(IF(OR(Q2129=""GPB"",Q2129=""ZAR""),IF(Q2129=Dashboard!$L$1,K2129,(K2129*GOOGLEFINANCE(""CURRENCY:""&amp;Q2129&amp;""""&amp;Dashboard!$L$1&amp;""""))/100),IF(Q2129=Dashboard!$L$1,K2129,K2129*GOOGLEFINANCE(""CURRENCY:""&amp;Q2129&amp;""""&amp;Dashboard!$"&amp;"L$1&amp;""""))),K2129))"),"")</f>
        <v/>
      </c>
      <c r="S2129" s="266" t="str">
        <f>IFERROR(__xludf.DUMMYFUNCTION("IF(ISBLANK(A2129),"""",IFERROR(IF(OR(Q2129=""GPB"",Q2129=""ZAR""),IF(Q2129=Dashboard!$L$1,M2129,(M2129*GOOGLEFINANCE(""CURRENCY:""&amp;Q2129&amp;""""&amp;Dashboard!$L$1&amp;""""))/100),IF(Q2129=Dashboard!$L$1,M2129,M2129*GOOGLEFINANCE(""CURRENCY:""&amp;Q2129&amp;""""&amp;Dashboard!$"&amp;"L$1&amp;""""))),M2129))"),"")</f>
        <v/>
      </c>
      <c r="T2129" s="264" t="str">
        <f t="shared" si="4"/>
        <v/>
      </c>
      <c r="U2129" s="264" t="str">
        <f t="shared" si="5"/>
        <v/>
      </c>
      <c r="V2129" s="264" t="str">
        <f t="shared" si="6"/>
        <v/>
      </c>
      <c r="W2129" s="267" t="str">
        <f t="shared" si="8"/>
        <v/>
      </c>
      <c r="X2129" s="264" t="str">
        <f t="shared" si="7"/>
        <v/>
      </c>
    </row>
    <row r="2130" ht="15.75" customHeight="1">
      <c r="A2130" s="258"/>
      <c r="B2130" s="258"/>
      <c r="C2130" s="269"/>
      <c r="D2130" s="258"/>
      <c r="E2130" s="258"/>
      <c r="F2130" s="258"/>
      <c r="G2130" s="258"/>
      <c r="H2130" s="271"/>
      <c r="I2130" s="258"/>
      <c r="J2130" s="272"/>
      <c r="K2130" s="260"/>
      <c r="L2130" s="261"/>
      <c r="M2130" s="262" t="str">
        <f t="shared" si="1"/>
        <v/>
      </c>
      <c r="N2130" s="263" t="str">
        <f t="shared" si="2"/>
        <v/>
      </c>
      <c r="O2130" s="264" t="str">
        <f t="shared" si="3"/>
        <v/>
      </c>
      <c r="P2130" s="265" t="str">
        <f>IFERROR(__xludf.DUMMYFUNCTION("IF(ISBLANK(A2130),"""",IFERROR(IF(H2130=""Sell"",VLOOKUP(9^99,FILTER({ROW(P$2:P2129),P$2:P2129},D$2:D2129=D2130),2),(VLOOKUP(9^99,FILTER({ROW(P$2:P2129),P$2:P2129},D$2:D2129=D2130),2)*VLOOKUP(9^99,FILTER({ROW(O$2:O2129),O$2:O2129},D$2:D2129=D2130),2)-N213"&amp;"0)/O2130),J2130))"),"")</f>
        <v/>
      </c>
      <c r="Q2130" s="264" t="str">
        <f>IFERROR(__xludf.DUMMYFUNCTION("IFERROR(IF(F2130=""Crypto"",B2130,(IF(ISBLANK(D2130),"""",IF(D2130=""Cash"",B2130,IF(GOOGLEFINANCE(D2130,""CURRENCY"")=""GBX"",""GBP"",GOOGLEFINANCE(D2130,""CURRENCY"")))))),B2130)"),"")</f>
        <v/>
      </c>
      <c r="R2130" s="263" t="str">
        <f>IFERROR(__xludf.DUMMYFUNCTION("IF(ISBLANK(A2130),"""",IFERROR(IF(OR(Q2130=""GPB"",Q2130=""ZAR""),IF(Q2130=Dashboard!$L$1,K2130,(K2130*GOOGLEFINANCE(""CURRENCY:""&amp;Q2130&amp;""""&amp;Dashboard!$L$1&amp;""""))/100),IF(Q2130=Dashboard!$L$1,K2130,K2130*GOOGLEFINANCE(""CURRENCY:""&amp;Q2130&amp;""""&amp;Dashboard!$"&amp;"L$1&amp;""""))),K2130))"),"")</f>
        <v/>
      </c>
      <c r="S2130" s="266" t="str">
        <f>IFERROR(__xludf.DUMMYFUNCTION("IF(ISBLANK(A2130),"""",IFERROR(IF(OR(Q2130=""GPB"",Q2130=""ZAR""),IF(Q2130=Dashboard!$L$1,M2130,(M2130*GOOGLEFINANCE(""CURRENCY:""&amp;Q2130&amp;""""&amp;Dashboard!$L$1&amp;""""))/100),IF(Q2130=Dashboard!$L$1,M2130,M2130*GOOGLEFINANCE(""CURRENCY:""&amp;Q2130&amp;""""&amp;Dashboard!$"&amp;"L$1&amp;""""))),M2130))"),"")</f>
        <v/>
      </c>
      <c r="T2130" s="264" t="str">
        <f t="shared" si="4"/>
        <v/>
      </c>
      <c r="U2130" s="264" t="str">
        <f t="shared" si="5"/>
        <v/>
      </c>
      <c r="V2130" s="264" t="str">
        <f t="shared" si="6"/>
        <v/>
      </c>
      <c r="W2130" s="267" t="str">
        <f t="shared" si="8"/>
        <v/>
      </c>
      <c r="X2130" s="264" t="str">
        <f t="shared" si="7"/>
        <v/>
      </c>
    </row>
    <row r="2131" ht="15.75" customHeight="1">
      <c r="A2131" s="258"/>
      <c r="B2131" s="258"/>
      <c r="C2131" s="269"/>
      <c r="D2131" s="258"/>
      <c r="E2131" s="258"/>
      <c r="F2131" s="258"/>
      <c r="G2131" s="258"/>
      <c r="H2131" s="271"/>
      <c r="I2131" s="258"/>
      <c r="J2131" s="272"/>
      <c r="K2131" s="260"/>
      <c r="L2131" s="261"/>
      <c r="M2131" s="262" t="str">
        <f t="shared" si="1"/>
        <v/>
      </c>
      <c r="N2131" s="263" t="str">
        <f t="shared" si="2"/>
        <v/>
      </c>
      <c r="O2131" s="264" t="str">
        <f t="shared" si="3"/>
        <v/>
      </c>
      <c r="P2131" s="265" t="str">
        <f>IFERROR(__xludf.DUMMYFUNCTION("IF(ISBLANK(A2131),"""",IFERROR(IF(H2131=""Sell"",VLOOKUP(9^99,FILTER({ROW(P$2:P2130),P$2:P2130},D$2:D2130=D2131),2),(VLOOKUP(9^99,FILTER({ROW(P$2:P2130),P$2:P2130},D$2:D2130=D2131),2)*VLOOKUP(9^99,FILTER({ROW(O$2:O2130),O$2:O2130},D$2:D2130=D2131),2)-N213"&amp;"1)/O2131),J2131))"),"")</f>
        <v/>
      </c>
      <c r="Q2131" s="264" t="str">
        <f>IFERROR(__xludf.DUMMYFUNCTION("IFERROR(IF(F2131=""Crypto"",B2131,(IF(ISBLANK(D2131),"""",IF(D2131=""Cash"",B2131,IF(GOOGLEFINANCE(D2131,""CURRENCY"")=""GBX"",""GBP"",GOOGLEFINANCE(D2131,""CURRENCY"")))))),B2131)"),"")</f>
        <v/>
      </c>
      <c r="R2131" s="263" t="str">
        <f>IFERROR(__xludf.DUMMYFUNCTION("IF(ISBLANK(A2131),"""",IFERROR(IF(OR(Q2131=""GPB"",Q2131=""ZAR""),IF(Q2131=Dashboard!$L$1,K2131,(K2131*GOOGLEFINANCE(""CURRENCY:""&amp;Q2131&amp;""""&amp;Dashboard!$L$1&amp;""""))/100),IF(Q2131=Dashboard!$L$1,K2131,K2131*GOOGLEFINANCE(""CURRENCY:""&amp;Q2131&amp;""""&amp;Dashboard!$"&amp;"L$1&amp;""""))),K2131))"),"")</f>
        <v/>
      </c>
      <c r="S2131" s="266" t="str">
        <f>IFERROR(__xludf.DUMMYFUNCTION("IF(ISBLANK(A2131),"""",IFERROR(IF(OR(Q2131=""GPB"",Q2131=""ZAR""),IF(Q2131=Dashboard!$L$1,M2131,(M2131*GOOGLEFINANCE(""CURRENCY:""&amp;Q2131&amp;""""&amp;Dashboard!$L$1&amp;""""))/100),IF(Q2131=Dashboard!$L$1,M2131,M2131*GOOGLEFINANCE(""CURRENCY:""&amp;Q2131&amp;""""&amp;Dashboard!$"&amp;"L$1&amp;""""))),M2131))"),"")</f>
        <v/>
      </c>
      <c r="T2131" s="264" t="str">
        <f t="shared" si="4"/>
        <v/>
      </c>
      <c r="U2131" s="264" t="str">
        <f t="shared" si="5"/>
        <v/>
      </c>
      <c r="V2131" s="264" t="str">
        <f t="shared" si="6"/>
        <v/>
      </c>
      <c r="W2131" s="267" t="str">
        <f t="shared" si="8"/>
        <v/>
      </c>
      <c r="X2131" s="264" t="str">
        <f t="shared" si="7"/>
        <v/>
      </c>
    </row>
    <row r="2132" ht="15.75" customHeight="1">
      <c r="A2132" s="258"/>
      <c r="B2132" s="258"/>
      <c r="C2132" s="269"/>
      <c r="D2132" s="258"/>
      <c r="E2132" s="258"/>
      <c r="F2132" s="258"/>
      <c r="G2132" s="258"/>
      <c r="H2132" s="271"/>
      <c r="I2132" s="258"/>
      <c r="J2132" s="272"/>
      <c r="K2132" s="260"/>
      <c r="L2132" s="261"/>
      <c r="M2132" s="262" t="str">
        <f t="shared" si="1"/>
        <v/>
      </c>
      <c r="N2132" s="263" t="str">
        <f t="shared" si="2"/>
        <v/>
      </c>
      <c r="O2132" s="264" t="str">
        <f t="shared" si="3"/>
        <v/>
      </c>
      <c r="P2132" s="265" t="str">
        <f>IFERROR(__xludf.DUMMYFUNCTION("IF(ISBLANK(A2132),"""",IFERROR(IF(H2132=""Sell"",VLOOKUP(9^99,FILTER({ROW(P$2:P2131),P$2:P2131},D$2:D2131=D2132),2),(VLOOKUP(9^99,FILTER({ROW(P$2:P2131),P$2:P2131},D$2:D2131=D2132),2)*VLOOKUP(9^99,FILTER({ROW(O$2:O2131),O$2:O2131},D$2:D2131=D2132),2)-N213"&amp;"2)/O2132),J2132))"),"")</f>
        <v/>
      </c>
      <c r="Q2132" s="264" t="str">
        <f>IFERROR(__xludf.DUMMYFUNCTION("IFERROR(IF(F2132=""Crypto"",B2132,(IF(ISBLANK(D2132),"""",IF(D2132=""Cash"",B2132,IF(GOOGLEFINANCE(D2132,""CURRENCY"")=""GBX"",""GBP"",GOOGLEFINANCE(D2132,""CURRENCY"")))))),B2132)"),"")</f>
        <v/>
      </c>
      <c r="R2132" s="263" t="str">
        <f>IFERROR(__xludf.DUMMYFUNCTION("IF(ISBLANK(A2132),"""",IFERROR(IF(OR(Q2132=""GPB"",Q2132=""ZAR""),IF(Q2132=Dashboard!$L$1,K2132,(K2132*GOOGLEFINANCE(""CURRENCY:""&amp;Q2132&amp;""""&amp;Dashboard!$L$1&amp;""""))/100),IF(Q2132=Dashboard!$L$1,K2132,K2132*GOOGLEFINANCE(""CURRENCY:""&amp;Q2132&amp;""""&amp;Dashboard!$"&amp;"L$1&amp;""""))),K2132))"),"")</f>
        <v/>
      </c>
      <c r="S2132" s="266" t="str">
        <f>IFERROR(__xludf.DUMMYFUNCTION("IF(ISBLANK(A2132),"""",IFERROR(IF(OR(Q2132=""GPB"",Q2132=""ZAR""),IF(Q2132=Dashboard!$L$1,M2132,(M2132*GOOGLEFINANCE(""CURRENCY:""&amp;Q2132&amp;""""&amp;Dashboard!$L$1&amp;""""))/100),IF(Q2132=Dashboard!$L$1,M2132,M2132*GOOGLEFINANCE(""CURRENCY:""&amp;Q2132&amp;""""&amp;Dashboard!$"&amp;"L$1&amp;""""))),M2132))"),"")</f>
        <v/>
      </c>
      <c r="T2132" s="264" t="str">
        <f t="shared" si="4"/>
        <v/>
      </c>
      <c r="U2132" s="264" t="str">
        <f t="shared" si="5"/>
        <v/>
      </c>
      <c r="V2132" s="264" t="str">
        <f t="shared" si="6"/>
        <v/>
      </c>
      <c r="W2132" s="267" t="str">
        <f t="shared" si="8"/>
        <v/>
      </c>
      <c r="X2132" s="264" t="str">
        <f t="shared" si="7"/>
        <v/>
      </c>
    </row>
    <row r="2133" ht="15.75" customHeight="1">
      <c r="A2133" s="258"/>
      <c r="B2133" s="258"/>
      <c r="C2133" s="269"/>
      <c r="D2133" s="258"/>
      <c r="E2133" s="258"/>
      <c r="F2133" s="258"/>
      <c r="G2133" s="258"/>
      <c r="H2133" s="271"/>
      <c r="I2133" s="258"/>
      <c r="J2133" s="272"/>
      <c r="K2133" s="260"/>
      <c r="L2133" s="261"/>
      <c r="M2133" s="262" t="str">
        <f t="shared" si="1"/>
        <v/>
      </c>
      <c r="N2133" s="263" t="str">
        <f t="shared" si="2"/>
        <v/>
      </c>
      <c r="O2133" s="264" t="str">
        <f t="shared" si="3"/>
        <v/>
      </c>
      <c r="P2133" s="265" t="str">
        <f>IFERROR(__xludf.DUMMYFUNCTION("IF(ISBLANK(A2133),"""",IFERROR(IF(H2133=""Sell"",VLOOKUP(9^99,FILTER({ROW(P$2:P2132),P$2:P2132},D$2:D2132=D2133),2),(VLOOKUP(9^99,FILTER({ROW(P$2:P2132),P$2:P2132},D$2:D2132=D2133),2)*VLOOKUP(9^99,FILTER({ROW(O$2:O2132),O$2:O2132},D$2:D2132=D2133),2)-N213"&amp;"3)/O2133),J2133))"),"")</f>
        <v/>
      </c>
      <c r="Q2133" s="264" t="str">
        <f>IFERROR(__xludf.DUMMYFUNCTION("IFERROR(IF(F2133=""Crypto"",B2133,(IF(ISBLANK(D2133),"""",IF(D2133=""Cash"",B2133,IF(GOOGLEFINANCE(D2133,""CURRENCY"")=""GBX"",""GBP"",GOOGLEFINANCE(D2133,""CURRENCY"")))))),B2133)"),"")</f>
        <v/>
      </c>
      <c r="R2133" s="263" t="str">
        <f>IFERROR(__xludf.DUMMYFUNCTION("IF(ISBLANK(A2133),"""",IFERROR(IF(OR(Q2133=""GPB"",Q2133=""ZAR""),IF(Q2133=Dashboard!$L$1,K2133,(K2133*GOOGLEFINANCE(""CURRENCY:""&amp;Q2133&amp;""""&amp;Dashboard!$L$1&amp;""""))/100),IF(Q2133=Dashboard!$L$1,K2133,K2133*GOOGLEFINANCE(""CURRENCY:""&amp;Q2133&amp;""""&amp;Dashboard!$"&amp;"L$1&amp;""""))),K2133))"),"")</f>
        <v/>
      </c>
      <c r="S2133" s="266" t="str">
        <f>IFERROR(__xludf.DUMMYFUNCTION("IF(ISBLANK(A2133),"""",IFERROR(IF(OR(Q2133=""GPB"",Q2133=""ZAR""),IF(Q2133=Dashboard!$L$1,M2133,(M2133*GOOGLEFINANCE(""CURRENCY:""&amp;Q2133&amp;""""&amp;Dashboard!$L$1&amp;""""))/100),IF(Q2133=Dashboard!$L$1,M2133,M2133*GOOGLEFINANCE(""CURRENCY:""&amp;Q2133&amp;""""&amp;Dashboard!$"&amp;"L$1&amp;""""))),M2133))"),"")</f>
        <v/>
      </c>
      <c r="T2133" s="264" t="str">
        <f t="shared" si="4"/>
        <v/>
      </c>
      <c r="U2133" s="264" t="str">
        <f t="shared" si="5"/>
        <v/>
      </c>
      <c r="V2133" s="264" t="str">
        <f t="shared" si="6"/>
        <v/>
      </c>
      <c r="W2133" s="267" t="str">
        <f t="shared" si="8"/>
        <v/>
      </c>
      <c r="X2133" s="264" t="str">
        <f t="shared" si="7"/>
        <v/>
      </c>
    </row>
    <row r="2134" ht="15.75" customHeight="1">
      <c r="A2134" s="258"/>
      <c r="B2134" s="258"/>
      <c r="C2134" s="269"/>
      <c r="D2134" s="258"/>
      <c r="E2134" s="258"/>
      <c r="F2134" s="258"/>
      <c r="G2134" s="258"/>
      <c r="H2134" s="271"/>
      <c r="I2134" s="258"/>
      <c r="J2134" s="272"/>
      <c r="K2134" s="260"/>
      <c r="L2134" s="261"/>
      <c r="M2134" s="262" t="str">
        <f t="shared" si="1"/>
        <v/>
      </c>
      <c r="N2134" s="263" t="str">
        <f t="shared" si="2"/>
        <v/>
      </c>
      <c r="O2134" s="264" t="str">
        <f t="shared" si="3"/>
        <v/>
      </c>
      <c r="P2134" s="265" t="str">
        <f>IFERROR(__xludf.DUMMYFUNCTION("IF(ISBLANK(A2134),"""",IFERROR(IF(H2134=""Sell"",VLOOKUP(9^99,FILTER({ROW(P$2:P2133),P$2:P2133},D$2:D2133=D2134),2),(VLOOKUP(9^99,FILTER({ROW(P$2:P2133),P$2:P2133},D$2:D2133=D2134),2)*VLOOKUP(9^99,FILTER({ROW(O$2:O2133),O$2:O2133},D$2:D2133=D2134),2)-N213"&amp;"4)/O2134),J2134))"),"")</f>
        <v/>
      </c>
      <c r="Q2134" s="264" t="str">
        <f>IFERROR(__xludf.DUMMYFUNCTION("IFERROR(IF(F2134=""Crypto"",B2134,(IF(ISBLANK(D2134),"""",IF(D2134=""Cash"",B2134,IF(GOOGLEFINANCE(D2134,""CURRENCY"")=""GBX"",""GBP"",GOOGLEFINANCE(D2134,""CURRENCY"")))))),B2134)"),"")</f>
        <v/>
      </c>
      <c r="R2134" s="263" t="str">
        <f>IFERROR(__xludf.DUMMYFUNCTION("IF(ISBLANK(A2134),"""",IFERROR(IF(OR(Q2134=""GPB"",Q2134=""ZAR""),IF(Q2134=Dashboard!$L$1,K2134,(K2134*GOOGLEFINANCE(""CURRENCY:""&amp;Q2134&amp;""""&amp;Dashboard!$L$1&amp;""""))/100),IF(Q2134=Dashboard!$L$1,K2134,K2134*GOOGLEFINANCE(""CURRENCY:""&amp;Q2134&amp;""""&amp;Dashboard!$"&amp;"L$1&amp;""""))),K2134))"),"")</f>
        <v/>
      </c>
      <c r="S2134" s="266" t="str">
        <f>IFERROR(__xludf.DUMMYFUNCTION("IF(ISBLANK(A2134),"""",IFERROR(IF(OR(Q2134=""GPB"",Q2134=""ZAR""),IF(Q2134=Dashboard!$L$1,M2134,(M2134*GOOGLEFINANCE(""CURRENCY:""&amp;Q2134&amp;""""&amp;Dashboard!$L$1&amp;""""))/100),IF(Q2134=Dashboard!$L$1,M2134,M2134*GOOGLEFINANCE(""CURRENCY:""&amp;Q2134&amp;""""&amp;Dashboard!$"&amp;"L$1&amp;""""))),M2134))"),"")</f>
        <v/>
      </c>
      <c r="T2134" s="264" t="str">
        <f t="shared" si="4"/>
        <v/>
      </c>
      <c r="U2134" s="264" t="str">
        <f t="shared" si="5"/>
        <v/>
      </c>
      <c r="V2134" s="264" t="str">
        <f t="shared" si="6"/>
        <v/>
      </c>
      <c r="W2134" s="267" t="str">
        <f t="shared" si="8"/>
        <v/>
      </c>
      <c r="X2134" s="264" t="str">
        <f t="shared" si="7"/>
        <v/>
      </c>
    </row>
    <row r="2135" ht="15.75" customHeight="1">
      <c r="A2135" s="258"/>
      <c r="B2135" s="258"/>
      <c r="C2135" s="269"/>
      <c r="D2135" s="258"/>
      <c r="E2135" s="258"/>
      <c r="F2135" s="258"/>
      <c r="G2135" s="258"/>
      <c r="H2135" s="271"/>
      <c r="I2135" s="258"/>
      <c r="J2135" s="272"/>
      <c r="K2135" s="260"/>
      <c r="L2135" s="261"/>
      <c r="M2135" s="262" t="str">
        <f t="shared" si="1"/>
        <v/>
      </c>
      <c r="N2135" s="263" t="str">
        <f t="shared" si="2"/>
        <v/>
      </c>
      <c r="O2135" s="264" t="str">
        <f t="shared" si="3"/>
        <v/>
      </c>
      <c r="P2135" s="265" t="str">
        <f>IFERROR(__xludf.DUMMYFUNCTION("IF(ISBLANK(A2135),"""",IFERROR(IF(H2135=""Sell"",VLOOKUP(9^99,FILTER({ROW(P$2:P2134),P$2:P2134},D$2:D2134=D2135),2),(VLOOKUP(9^99,FILTER({ROW(P$2:P2134),P$2:P2134},D$2:D2134=D2135),2)*VLOOKUP(9^99,FILTER({ROW(O$2:O2134),O$2:O2134},D$2:D2134=D2135),2)-N213"&amp;"5)/O2135),J2135))"),"")</f>
        <v/>
      </c>
      <c r="Q2135" s="264" t="str">
        <f>IFERROR(__xludf.DUMMYFUNCTION("IFERROR(IF(F2135=""Crypto"",B2135,(IF(ISBLANK(D2135),"""",IF(D2135=""Cash"",B2135,IF(GOOGLEFINANCE(D2135,""CURRENCY"")=""GBX"",""GBP"",GOOGLEFINANCE(D2135,""CURRENCY"")))))),B2135)"),"")</f>
        <v/>
      </c>
      <c r="R2135" s="263" t="str">
        <f>IFERROR(__xludf.DUMMYFUNCTION("IF(ISBLANK(A2135),"""",IFERROR(IF(OR(Q2135=""GPB"",Q2135=""ZAR""),IF(Q2135=Dashboard!$L$1,K2135,(K2135*GOOGLEFINANCE(""CURRENCY:""&amp;Q2135&amp;""""&amp;Dashboard!$L$1&amp;""""))/100),IF(Q2135=Dashboard!$L$1,K2135,K2135*GOOGLEFINANCE(""CURRENCY:""&amp;Q2135&amp;""""&amp;Dashboard!$"&amp;"L$1&amp;""""))),K2135))"),"")</f>
        <v/>
      </c>
      <c r="S2135" s="266" t="str">
        <f>IFERROR(__xludf.DUMMYFUNCTION("IF(ISBLANK(A2135),"""",IFERROR(IF(OR(Q2135=""GPB"",Q2135=""ZAR""),IF(Q2135=Dashboard!$L$1,M2135,(M2135*GOOGLEFINANCE(""CURRENCY:""&amp;Q2135&amp;""""&amp;Dashboard!$L$1&amp;""""))/100),IF(Q2135=Dashboard!$L$1,M2135,M2135*GOOGLEFINANCE(""CURRENCY:""&amp;Q2135&amp;""""&amp;Dashboard!$"&amp;"L$1&amp;""""))),M2135))"),"")</f>
        <v/>
      </c>
      <c r="T2135" s="264" t="str">
        <f t="shared" si="4"/>
        <v/>
      </c>
      <c r="U2135" s="264" t="str">
        <f t="shared" si="5"/>
        <v/>
      </c>
      <c r="V2135" s="264" t="str">
        <f t="shared" si="6"/>
        <v/>
      </c>
      <c r="W2135" s="267" t="str">
        <f t="shared" si="8"/>
        <v/>
      </c>
      <c r="X2135" s="264" t="str">
        <f t="shared" si="7"/>
        <v/>
      </c>
    </row>
    <row r="2136" ht="15.75" customHeight="1">
      <c r="A2136" s="258"/>
      <c r="B2136" s="258"/>
      <c r="C2136" s="269"/>
      <c r="D2136" s="258"/>
      <c r="E2136" s="258"/>
      <c r="F2136" s="258"/>
      <c r="G2136" s="258"/>
      <c r="H2136" s="271"/>
      <c r="I2136" s="258"/>
      <c r="J2136" s="272"/>
      <c r="K2136" s="260"/>
      <c r="L2136" s="261"/>
      <c r="M2136" s="262" t="str">
        <f t="shared" si="1"/>
        <v/>
      </c>
      <c r="N2136" s="263" t="str">
        <f t="shared" si="2"/>
        <v/>
      </c>
      <c r="O2136" s="264" t="str">
        <f t="shared" si="3"/>
        <v/>
      </c>
      <c r="P2136" s="265" t="str">
        <f>IFERROR(__xludf.DUMMYFUNCTION("IF(ISBLANK(A2136),"""",IFERROR(IF(H2136=""Sell"",VLOOKUP(9^99,FILTER({ROW(P$2:P2135),P$2:P2135},D$2:D2135=D2136),2),(VLOOKUP(9^99,FILTER({ROW(P$2:P2135),P$2:P2135},D$2:D2135=D2136),2)*VLOOKUP(9^99,FILTER({ROW(O$2:O2135),O$2:O2135},D$2:D2135=D2136),2)-N213"&amp;"6)/O2136),J2136))"),"")</f>
        <v/>
      </c>
      <c r="Q2136" s="264" t="str">
        <f>IFERROR(__xludf.DUMMYFUNCTION("IFERROR(IF(F2136=""Crypto"",B2136,(IF(ISBLANK(D2136),"""",IF(D2136=""Cash"",B2136,IF(GOOGLEFINANCE(D2136,""CURRENCY"")=""GBX"",""GBP"",GOOGLEFINANCE(D2136,""CURRENCY"")))))),B2136)"),"")</f>
        <v/>
      </c>
      <c r="R2136" s="263" t="str">
        <f>IFERROR(__xludf.DUMMYFUNCTION("IF(ISBLANK(A2136),"""",IFERROR(IF(OR(Q2136=""GPB"",Q2136=""ZAR""),IF(Q2136=Dashboard!$L$1,K2136,(K2136*GOOGLEFINANCE(""CURRENCY:""&amp;Q2136&amp;""""&amp;Dashboard!$L$1&amp;""""))/100),IF(Q2136=Dashboard!$L$1,K2136,K2136*GOOGLEFINANCE(""CURRENCY:""&amp;Q2136&amp;""""&amp;Dashboard!$"&amp;"L$1&amp;""""))),K2136))"),"")</f>
        <v/>
      </c>
      <c r="S2136" s="266" t="str">
        <f>IFERROR(__xludf.DUMMYFUNCTION("IF(ISBLANK(A2136),"""",IFERROR(IF(OR(Q2136=""GPB"",Q2136=""ZAR""),IF(Q2136=Dashboard!$L$1,M2136,(M2136*GOOGLEFINANCE(""CURRENCY:""&amp;Q2136&amp;""""&amp;Dashboard!$L$1&amp;""""))/100),IF(Q2136=Dashboard!$L$1,M2136,M2136*GOOGLEFINANCE(""CURRENCY:""&amp;Q2136&amp;""""&amp;Dashboard!$"&amp;"L$1&amp;""""))),M2136))"),"")</f>
        <v/>
      </c>
      <c r="T2136" s="264" t="str">
        <f t="shared" si="4"/>
        <v/>
      </c>
      <c r="U2136" s="264" t="str">
        <f t="shared" si="5"/>
        <v/>
      </c>
      <c r="V2136" s="264" t="str">
        <f t="shared" si="6"/>
        <v/>
      </c>
      <c r="W2136" s="267" t="str">
        <f t="shared" si="8"/>
        <v/>
      </c>
      <c r="X2136" s="264" t="str">
        <f t="shared" si="7"/>
        <v/>
      </c>
    </row>
    <row r="2137" ht="15.75" customHeight="1">
      <c r="A2137" s="258"/>
      <c r="B2137" s="258"/>
      <c r="C2137" s="269"/>
      <c r="D2137" s="258"/>
      <c r="E2137" s="258"/>
      <c r="F2137" s="258"/>
      <c r="G2137" s="258"/>
      <c r="H2137" s="271"/>
      <c r="I2137" s="258"/>
      <c r="J2137" s="272"/>
      <c r="K2137" s="260"/>
      <c r="L2137" s="261"/>
      <c r="M2137" s="262" t="str">
        <f t="shared" si="1"/>
        <v/>
      </c>
      <c r="N2137" s="263" t="str">
        <f t="shared" si="2"/>
        <v/>
      </c>
      <c r="O2137" s="264" t="str">
        <f t="shared" si="3"/>
        <v/>
      </c>
      <c r="P2137" s="265" t="str">
        <f>IFERROR(__xludf.DUMMYFUNCTION("IF(ISBLANK(A2137),"""",IFERROR(IF(H2137=""Sell"",VLOOKUP(9^99,FILTER({ROW(P$2:P2136),P$2:P2136},D$2:D2136=D2137),2),(VLOOKUP(9^99,FILTER({ROW(P$2:P2136),P$2:P2136},D$2:D2136=D2137),2)*VLOOKUP(9^99,FILTER({ROW(O$2:O2136),O$2:O2136},D$2:D2136=D2137),2)-N213"&amp;"7)/O2137),J2137))"),"")</f>
        <v/>
      </c>
      <c r="Q2137" s="264" t="str">
        <f>IFERROR(__xludf.DUMMYFUNCTION("IFERROR(IF(F2137=""Crypto"",B2137,(IF(ISBLANK(D2137),"""",IF(D2137=""Cash"",B2137,IF(GOOGLEFINANCE(D2137,""CURRENCY"")=""GBX"",""GBP"",GOOGLEFINANCE(D2137,""CURRENCY"")))))),B2137)"),"")</f>
        <v/>
      </c>
      <c r="R2137" s="263" t="str">
        <f>IFERROR(__xludf.DUMMYFUNCTION("IF(ISBLANK(A2137),"""",IFERROR(IF(OR(Q2137=""GPB"",Q2137=""ZAR""),IF(Q2137=Dashboard!$L$1,K2137,(K2137*GOOGLEFINANCE(""CURRENCY:""&amp;Q2137&amp;""""&amp;Dashboard!$L$1&amp;""""))/100),IF(Q2137=Dashboard!$L$1,K2137,K2137*GOOGLEFINANCE(""CURRENCY:""&amp;Q2137&amp;""""&amp;Dashboard!$"&amp;"L$1&amp;""""))),K2137))"),"")</f>
        <v/>
      </c>
      <c r="S2137" s="266" t="str">
        <f>IFERROR(__xludf.DUMMYFUNCTION("IF(ISBLANK(A2137),"""",IFERROR(IF(OR(Q2137=""GPB"",Q2137=""ZAR""),IF(Q2137=Dashboard!$L$1,M2137,(M2137*GOOGLEFINANCE(""CURRENCY:""&amp;Q2137&amp;""""&amp;Dashboard!$L$1&amp;""""))/100),IF(Q2137=Dashboard!$L$1,M2137,M2137*GOOGLEFINANCE(""CURRENCY:""&amp;Q2137&amp;""""&amp;Dashboard!$"&amp;"L$1&amp;""""))),M2137))"),"")</f>
        <v/>
      </c>
      <c r="T2137" s="264" t="str">
        <f t="shared" si="4"/>
        <v/>
      </c>
      <c r="U2137" s="264" t="str">
        <f t="shared" si="5"/>
        <v/>
      </c>
      <c r="V2137" s="264" t="str">
        <f t="shared" si="6"/>
        <v/>
      </c>
      <c r="W2137" s="267" t="str">
        <f t="shared" si="8"/>
        <v/>
      </c>
      <c r="X2137" s="264" t="str">
        <f t="shared" si="7"/>
        <v/>
      </c>
    </row>
    <row r="2138" ht="15.75" customHeight="1">
      <c r="A2138" s="258"/>
      <c r="B2138" s="258"/>
      <c r="C2138" s="269"/>
      <c r="D2138" s="258"/>
      <c r="E2138" s="258"/>
      <c r="F2138" s="258"/>
      <c r="G2138" s="258"/>
      <c r="H2138" s="271"/>
      <c r="I2138" s="258"/>
      <c r="J2138" s="272"/>
      <c r="K2138" s="260"/>
      <c r="L2138" s="261"/>
      <c r="M2138" s="262" t="str">
        <f t="shared" si="1"/>
        <v/>
      </c>
      <c r="N2138" s="263" t="str">
        <f t="shared" si="2"/>
        <v/>
      </c>
      <c r="O2138" s="264" t="str">
        <f t="shared" si="3"/>
        <v/>
      </c>
      <c r="P2138" s="265" t="str">
        <f>IFERROR(__xludf.DUMMYFUNCTION("IF(ISBLANK(A2138),"""",IFERROR(IF(H2138=""Sell"",VLOOKUP(9^99,FILTER({ROW(P$2:P2137),P$2:P2137},D$2:D2137=D2138),2),(VLOOKUP(9^99,FILTER({ROW(P$2:P2137),P$2:P2137},D$2:D2137=D2138),2)*VLOOKUP(9^99,FILTER({ROW(O$2:O2137),O$2:O2137},D$2:D2137=D2138),2)-N213"&amp;"8)/O2138),J2138))"),"")</f>
        <v/>
      </c>
      <c r="Q2138" s="264" t="str">
        <f>IFERROR(__xludf.DUMMYFUNCTION("IFERROR(IF(F2138=""Crypto"",B2138,(IF(ISBLANK(D2138),"""",IF(D2138=""Cash"",B2138,IF(GOOGLEFINANCE(D2138,""CURRENCY"")=""GBX"",""GBP"",GOOGLEFINANCE(D2138,""CURRENCY"")))))),B2138)"),"")</f>
        <v/>
      </c>
      <c r="R2138" s="263" t="str">
        <f>IFERROR(__xludf.DUMMYFUNCTION("IF(ISBLANK(A2138),"""",IFERROR(IF(OR(Q2138=""GPB"",Q2138=""ZAR""),IF(Q2138=Dashboard!$L$1,K2138,(K2138*GOOGLEFINANCE(""CURRENCY:""&amp;Q2138&amp;""""&amp;Dashboard!$L$1&amp;""""))/100),IF(Q2138=Dashboard!$L$1,K2138,K2138*GOOGLEFINANCE(""CURRENCY:""&amp;Q2138&amp;""""&amp;Dashboard!$"&amp;"L$1&amp;""""))),K2138))"),"")</f>
        <v/>
      </c>
      <c r="S2138" s="266" t="str">
        <f>IFERROR(__xludf.DUMMYFUNCTION("IF(ISBLANK(A2138),"""",IFERROR(IF(OR(Q2138=""GPB"",Q2138=""ZAR""),IF(Q2138=Dashboard!$L$1,M2138,(M2138*GOOGLEFINANCE(""CURRENCY:""&amp;Q2138&amp;""""&amp;Dashboard!$L$1&amp;""""))/100),IF(Q2138=Dashboard!$L$1,M2138,M2138*GOOGLEFINANCE(""CURRENCY:""&amp;Q2138&amp;""""&amp;Dashboard!$"&amp;"L$1&amp;""""))),M2138))"),"")</f>
        <v/>
      </c>
      <c r="T2138" s="264" t="str">
        <f t="shared" si="4"/>
        <v/>
      </c>
      <c r="U2138" s="264" t="str">
        <f t="shared" si="5"/>
        <v/>
      </c>
      <c r="V2138" s="264" t="str">
        <f t="shared" si="6"/>
        <v/>
      </c>
      <c r="W2138" s="267" t="str">
        <f t="shared" si="8"/>
        <v/>
      </c>
      <c r="X2138" s="264" t="str">
        <f t="shared" si="7"/>
        <v/>
      </c>
    </row>
    <row r="2139" ht="15.75" customHeight="1">
      <c r="A2139" s="258"/>
      <c r="B2139" s="258"/>
      <c r="C2139" s="269"/>
      <c r="D2139" s="258"/>
      <c r="E2139" s="258"/>
      <c r="F2139" s="258"/>
      <c r="G2139" s="258"/>
      <c r="H2139" s="271"/>
      <c r="I2139" s="258"/>
      <c r="J2139" s="272"/>
      <c r="K2139" s="260"/>
      <c r="L2139" s="261"/>
      <c r="M2139" s="262" t="str">
        <f t="shared" si="1"/>
        <v/>
      </c>
      <c r="N2139" s="263" t="str">
        <f t="shared" si="2"/>
        <v/>
      </c>
      <c r="O2139" s="264" t="str">
        <f t="shared" si="3"/>
        <v/>
      </c>
      <c r="P2139" s="265" t="str">
        <f>IFERROR(__xludf.DUMMYFUNCTION("IF(ISBLANK(A2139),"""",IFERROR(IF(H2139=""Sell"",VLOOKUP(9^99,FILTER({ROW(P$2:P2138),P$2:P2138},D$2:D2138=D2139),2),(VLOOKUP(9^99,FILTER({ROW(P$2:P2138),P$2:P2138},D$2:D2138=D2139),2)*VLOOKUP(9^99,FILTER({ROW(O$2:O2138),O$2:O2138},D$2:D2138=D2139),2)-N213"&amp;"9)/O2139),J2139))"),"")</f>
        <v/>
      </c>
      <c r="Q2139" s="264" t="str">
        <f>IFERROR(__xludf.DUMMYFUNCTION("IFERROR(IF(F2139=""Crypto"",B2139,(IF(ISBLANK(D2139),"""",IF(D2139=""Cash"",B2139,IF(GOOGLEFINANCE(D2139,""CURRENCY"")=""GBX"",""GBP"",GOOGLEFINANCE(D2139,""CURRENCY"")))))),B2139)"),"")</f>
        <v/>
      </c>
      <c r="R2139" s="263" t="str">
        <f>IFERROR(__xludf.DUMMYFUNCTION("IF(ISBLANK(A2139),"""",IFERROR(IF(OR(Q2139=""GPB"",Q2139=""ZAR""),IF(Q2139=Dashboard!$L$1,K2139,(K2139*GOOGLEFINANCE(""CURRENCY:""&amp;Q2139&amp;""""&amp;Dashboard!$L$1&amp;""""))/100),IF(Q2139=Dashboard!$L$1,K2139,K2139*GOOGLEFINANCE(""CURRENCY:""&amp;Q2139&amp;""""&amp;Dashboard!$"&amp;"L$1&amp;""""))),K2139))"),"")</f>
        <v/>
      </c>
      <c r="S2139" s="266" t="str">
        <f>IFERROR(__xludf.DUMMYFUNCTION("IF(ISBLANK(A2139),"""",IFERROR(IF(OR(Q2139=""GPB"",Q2139=""ZAR""),IF(Q2139=Dashboard!$L$1,M2139,(M2139*GOOGLEFINANCE(""CURRENCY:""&amp;Q2139&amp;""""&amp;Dashboard!$L$1&amp;""""))/100),IF(Q2139=Dashboard!$L$1,M2139,M2139*GOOGLEFINANCE(""CURRENCY:""&amp;Q2139&amp;""""&amp;Dashboard!$"&amp;"L$1&amp;""""))),M2139))"),"")</f>
        <v/>
      </c>
      <c r="T2139" s="264" t="str">
        <f t="shared" si="4"/>
        <v/>
      </c>
      <c r="U2139" s="264" t="str">
        <f t="shared" si="5"/>
        <v/>
      </c>
      <c r="V2139" s="264" t="str">
        <f t="shared" si="6"/>
        <v/>
      </c>
      <c r="W2139" s="267" t="str">
        <f t="shared" si="8"/>
        <v/>
      </c>
      <c r="X2139" s="264" t="str">
        <f t="shared" si="7"/>
        <v/>
      </c>
    </row>
    <row r="2140" ht="15.75" customHeight="1">
      <c r="A2140" s="258"/>
      <c r="B2140" s="258"/>
      <c r="C2140" s="269"/>
      <c r="D2140" s="258"/>
      <c r="E2140" s="258"/>
      <c r="F2140" s="258"/>
      <c r="G2140" s="258"/>
      <c r="H2140" s="271"/>
      <c r="I2140" s="258"/>
      <c r="J2140" s="272"/>
      <c r="K2140" s="260"/>
      <c r="L2140" s="261"/>
      <c r="M2140" s="262" t="str">
        <f t="shared" si="1"/>
        <v/>
      </c>
      <c r="N2140" s="263" t="str">
        <f t="shared" si="2"/>
        <v/>
      </c>
      <c r="O2140" s="264" t="str">
        <f t="shared" si="3"/>
        <v/>
      </c>
      <c r="P2140" s="265" t="str">
        <f>IFERROR(__xludf.DUMMYFUNCTION("IF(ISBLANK(A2140),"""",IFERROR(IF(H2140=""Sell"",VLOOKUP(9^99,FILTER({ROW(P$2:P2139),P$2:P2139},D$2:D2139=D2140),2),(VLOOKUP(9^99,FILTER({ROW(P$2:P2139),P$2:P2139},D$2:D2139=D2140),2)*VLOOKUP(9^99,FILTER({ROW(O$2:O2139),O$2:O2139},D$2:D2139=D2140),2)-N214"&amp;"0)/O2140),J2140))"),"")</f>
        <v/>
      </c>
      <c r="Q2140" s="264" t="str">
        <f>IFERROR(__xludf.DUMMYFUNCTION("IFERROR(IF(F2140=""Crypto"",B2140,(IF(ISBLANK(D2140),"""",IF(D2140=""Cash"",B2140,IF(GOOGLEFINANCE(D2140,""CURRENCY"")=""GBX"",""GBP"",GOOGLEFINANCE(D2140,""CURRENCY"")))))),B2140)"),"")</f>
        <v/>
      </c>
      <c r="R2140" s="263" t="str">
        <f>IFERROR(__xludf.DUMMYFUNCTION("IF(ISBLANK(A2140),"""",IFERROR(IF(OR(Q2140=""GPB"",Q2140=""ZAR""),IF(Q2140=Dashboard!$L$1,K2140,(K2140*GOOGLEFINANCE(""CURRENCY:""&amp;Q2140&amp;""""&amp;Dashboard!$L$1&amp;""""))/100),IF(Q2140=Dashboard!$L$1,K2140,K2140*GOOGLEFINANCE(""CURRENCY:""&amp;Q2140&amp;""""&amp;Dashboard!$"&amp;"L$1&amp;""""))),K2140))"),"")</f>
        <v/>
      </c>
      <c r="S2140" s="266" t="str">
        <f>IFERROR(__xludf.DUMMYFUNCTION("IF(ISBLANK(A2140),"""",IFERROR(IF(OR(Q2140=""GPB"",Q2140=""ZAR""),IF(Q2140=Dashboard!$L$1,M2140,(M2140*GOOGLEFINANCE(""CURRENCY:""&amp;Q2140&amp;""""&amp;Dashboard!$L$1&amp;""""))/100),IF(Q2140=Dashboard!$L$1,M2140,M2140*GOOGLEFINANCE(""CURRENCY:""&amp;Q2140&amp;""""&amp;Dashboard!$"&amp;"L$1&amp;""""))),M2140))"),"")</f>
        <v/>
      </c>
      <c r="T2140" s="264" t="str">
        <f t="shared" si="4"/>
        <v/>
      </c>
      <c r="U2140" s="264" t="str">
        <f t="shared" si="5"/>
        <v/>
      </c>
      <c r="V2140" s="264" t="str">
        <f t="shared" si="6"/>
        <v/>
      </c>
      <c r="W2140" s="267" t="str">
        <f t="shared" si="8"/>
        <v/>
      </c>
      <c r="X2140" s="264" t="str">
        <f t="shared" si="7"/>
        <v/>
      </c>
    </row>
    <row r="2141" ht="15.75" customHeight="1">
      <c r="A2141" s="258"/>
      <c r="B2141" s="258"/>
      <c r="C2141" s="269"/>
      <c r="D2141" s="258"/>
      <c r="E2141" s="258"/>
      <c r="F2141" s="258"/>
      <c r="G2141" s="258"/>
      <c r="H2141" s="271"/>
      <c r="I2141" s="258"/>
      <c r="J2141" s="272"/>
      <c r="K2141" s="260"/>
      <c r="L2141" s="261"/>
      <c r="M2141" s="262" t="str">
        <f t="shared" si="1"/>
        <v/>
      </c>
      <c r="N2141" s="263" t="str">
        <f t="shared" si="2"/>
        <v/>
      </c>
      <c r="O2141" s="264" t="str">
        <f t="shared" si="3"/>
        <v/>
      </c>
      <c r="P2141" s="265" t="str">
        <f>IFERROR(__xludf.DUMMYFUNCTION("IF(ISBLANK(A2141),"""",IFERROR(IF(H2141=""Sell"",VLOOKUP(9^99,FILTER({ROW(P$2:P2140),P$2:P2140},D$2:D2140=D2141),2),(VLOOKUP(9^99,FILTER({ROW(P$2:P2140),P$2:P2140},D$2:D2140=D2141),2)*VLOOKUP(9^99,FILTER({ROW(O$2:O2140),O$2:O2140},D$2:D2140=D2141),2)-N214"&amp;"1)/O2141),J2141))"),"")</f>
        <v/>
      </c>
      <c r="Q2141" s="264" t="str">
        <f>IFERROR(__xludf.DUMMYFUNCTION("IFERROR(IF(F2141=""Crypto"",B2141,(IF(ISBLANK(D2141),"""",IF(D2141=""Cash"",B2141,IF(GOOGLEFINANCE(D2141,""CURRENCY"")=""GBX"",""GBP"",GOOGLEFINANCE(D2141,""CURRENCY"")))))),B2141)"),"")</f>
        <v/>
      </c>
      <c r="R2141" s="263" t="str">
        <f>IFERROR(__xludf.DUMMYFUNCTION("IF(ISBLANK(A2141),"""",IFERROR(IF(OR(Q2141=""GPB"",Q2141=""ZAR""),IF(Q2141=Dashboard!$L$1,K2141,(K2141*GOOGLEFINANCE(""CURRENCY:""&amp;Q2141&amp;""""&amp;Dashboard!$L$1&amp;""""))/100),IF(Q2141=Dashboard!$L$1,K2141,K2141*GOOGLEFINANCE(""CURRENCY:""&amp;Q2141&amp;""""&amp;Dashboard!$"&amp;"L$1&amp;""""))),K2141))"),"")</f>
        <v/>
      </c>
      <c r="S2141" s="266" t="str">
        <f>IFERROR(__xludf.DUMMYFUNCTION("IF(ISBLANK(A2141),"""",IFERROR(IF(OR(Q2141=""GPB"",Q2141=""ZAR""),IF(Q2141=Dashboard!$L$1,M2141,(M2141*GOOGLEFINANCE(""CURRENCY:""&amp;Q2141&amp;""""&amp;Dashboard!$L$1&amp;""""))/100),IF(Q2141=Dashboard!$L$1,M2141,M2141*GOOGLEFINANCE(""CURRENCY:""&amp;Q2141&amp;""""&amp;Dashboard!$"&amp;"L$1&amp;""""))),M2141))"),"")</f>
        <v/>
      </c>
      <c r="T2141" s="264" t="str">
        <f t="shared" si="4"/>
        <v/>
      </c>
      <c r="U2141" s="264" t="str">
        <f t="shared" si="5"/>
        <v/>
      </c>
      <c r="V2141" s="264" t="str">
        <f t="shared" si="6"/>
        <v/>
      </c>
      <c r="W2141" s="267" t="str">
        <f t="shared" si="8"/>
        <v/>
      </c>
      <c r="X2141" s="264" t="str">
        <f t="shared" si="7"/>
        <v/>
      </c>
    </row>
    <row r="2142" ht="15.75" customHeight="1">
      <c r="A2142" s="258"/>
      <c r="B2142" s="258"/>
      <c r="C2142" s="269"/>
      <c r="D2142" s="258"/>
      <c r="E2142" s="258"/>
      <c r="F2142" s="258"/>
      <c r="G2142" s="258"/>
      <c r="H2142" s="271"/>
      <c r="I2142" s="258"/>
      <c r="J2142" s="272"/>
      <c r="K2142" s="260"/>
      <c r="L2142" s="261"/>
      <c r="M2142" s="262" t="str">
        <f t="shared" si="1"/>
        <v/>
      </c>
      <c r="N2142" s="263" t="str">
        <f t="shared" si="2"/>
        <v/>
      </c>
      <c r="O2142" s="264" t="str">
        <f t="shared" si="3"/>
        <v/>
      </c>
      <c r="P2142" s="265" t="str">
        <f>IFERROR(__xludf.DUMMYFUNCTION("IF(ISBLANK(A2142),"""",IFERROR(IF(H2142=""Sell"",VLOOKUP(9^99,FILTER({ROW(P$2:P2141),P$2:P2141},D$2:D2141=D2142),2),(VLOOKUP(9^99,FILTER({ROW(P$2:P2141),P$2:P2141},D$2:D2141=D2142),2)*VLOOKUP(9^99,FILTER({ROW(O$2:O2141),O$2:O2141},D$2:D2141=D2142),2)-N214"&amp;"2)/O2142),J2142))"),"")</f>
        <v/>
      </c>
      <c r="Q2142" s="264" t="str">
        <f>IFERROR(__xludf.DUMMYFUNCTION("IFERROR(IF(F2142=""Crypto"",B2142,(IF(ISBLANK(D2142),"""",IF(D2142=""Cash"",B2142,IF(GOOGLEFINANCE(D2142,""CURRENCY"")=""GBX"",""GBP"",GOOGLEFINANCE(D2142,""CURRENCY"")))))),B2142)"),"")</f>
        <v/>
      </c>
      <c r="R2142" s="263" t="str">
        <f>IFERROR(__xludf.DUMMYFUNCTION("IF(ISBLANK(A2142),"""",IFERROR(IF(OR(Q2142=""GPB"",Q2142=""ZAR""),IF(Q2142=Dashboard!$L$1,K2142,(K2142*GOOGLEFINANCE(""CURRENCY:""&amp;Q2142&amp;""""&amp;Dashboard!$L$1&amp;""""))/100),IF(Q2142=Dashboard!$L$1,K2142,K2142*GOOGLEFINANCE(""CURRENCY:""&amp;Q2142&amp;""""&amp;Dashboard!$"&amp;"L$1&amp;""""))),K2142))"),"")</f>
        <v/>
      </c>
      <c r="S2142" s="266" t="str">
        <f>IFERROR(__xludf.DUMMYFUNCTION("IF(ISBLANK(A2142),"""",IFERROR(IF(OR(Q2142=""GPB"",Q2142=""ZAR""),IF(Q2142=Dashboard!$L$1,M2142,(M2142*GOOGLEFINANCE(""CURRENCY:""&amp;Q2142&amp;""""&amp;Dashboard!$L$1&amp;""""))/100),IF(Q2142=Dashboard!$L$1,M2142,M2142*GOOGLEFINANCE(""CURRENCY:""&amp;Q2142&amp;""""&amp;Dashboard!$"&amp;"L$1&amp;""""))),M2142))"),"")</f>
        <v/>
      </c>
      <c r="T2142" s="264" t="str">
        <f t="shared" si="4"/>
        <v/>
      </c>
      <c r="U2142" s="264" t="str">
        <f t="shared" si="5"/>
        <v/>
      </c>
      <c r="V2142" s="264" t="str">
        <f t="shared" si="6"/>
        <v/>
      </c>
      <c r="W2142" s="267" t="str">
        <f t="shared" si="8"/>
        <v/>
      </c>
      <c r="X2142" s="264" t="str">
        <f t="shared" si="7"/>
        <v/>
      </c>
    </row>
    <row r="2143" ht="15.75" customHeight="1">
      <c r="A2143" s="258"/>
      <c r="B2143" s="258"/>
      <c r="C2143" s="269"/>
      <c r="D2143" s="258"/>
      <c r="E2143" s="258"/>
      <c r="F2143" s="258"/>
      <c r="G2143" s="258"/>
      <c r="H2143" s="271"/>
      <c r="I2143" s="258"/>
      <c r="J2143" s="272"/>
      <c r="K2143" s="260"/>
      <c r="L2143" s="261"/>
      <c r="M2143" s="262" t="str">
        <f t="shared" si="1"/>
        <v/>
      </c>
      <c r="N2143" s="263" t="str">
        <f t="shared" si="2"/>
        <v/>
      </c>
      <c r="O2143" s="264" t="str">
        <f t="shared" si="3"/>
        <v/>
      </c>
      <c r="P2143" s="265" t="str">
        <f>IFERROR(__xludf.DUMMYFUNCTION("IF(ISBLANK(A2143),"""",IFERROR(IF(H2143=""Sell"",VLOOKUP(9^99,FILTER({ROW(P$2:P2142),P$2:P2142},D$2:D2142=D2143),2),(VLOOKUP(9^99,FILTER({ROW(P$2:P2142),P$2:P2142},D$2:D2142=D2143),2)*VLOOKUP(9^99,FILTER({ROW(O$2:O2142),O$2:O2142},D$2:D2142=D2143),2)-N214"&amp;"3)/O2143),J2143))"),"")</f>
        <v/>
      </c>
      <c r="Q2143" s="264" t="str">
        <f>IFERROR(__xludf.DUMMYFUNCTION("IFERROR(IF(F2143=""Crypto"",B2143,(IF(ISBLANK(D2143),"""",IF(D2143=""Cash"",B2143,IF(GOOGLEFINANCE(D2143,""CURRENCY"")=""GBX"",""GBP"",GOOGLEFINANCE(D2143,""CURRENCY"")))))),B2143)"),"")</f>
        <v/>
      </c>
      <c r="R2143" s="263" t="str">
        <f>IFERROR(__xludf.DUMMYFUNCTION("IF(ISBLANK(A2143),"""",IFERROR(IF(OR(Q2143=""GPB"",Q2143=""ZAR""),IF(Q2143=Dashboard!$L$1,K2143,(K2143*GOOGLEFINANCE(""CURRENCY:""&amp;Q2143&amp;""""&amp;Dashboard!$L$1&amp;""""))/100),IF(Q2143=Dashboard!$L$1,K2143,K2143*GOOGLEFINANCE(""CURRENCY:""&amp;Q2143&amp;""""&amp;Dashboard!$"&amp;"L$1&amp;""""))),K2143))"),"")</f>
        <v/>
      </c>
      <c r="S2143" s="266" t="str">
        <f>IFERROR(__xludf.DUMMYFUNCTION("IF(ISBLANK(A2143),"""",IFERROR(IF(OR(Q2143=""GPB"",Q2143=""ZAR""),IF(Q2143=Dashboard!$L$1,M2143,(M2143*GOOGLEFINANCE(""CURRENCY:""&amp;Q2143&amp;""""&amp;Dashboard!$L$1&amp;""""))/100),IF(Q2143=Dashboard!$L$1,M2143,M2143*GOOGLEFINANCE(""CURRENCY:""&amp;Q2143&amp;""""&amp;Dashboard!$"&amp;"L$1&amp;""""))),M2143))"),"")</f>
        <v/>
      </c>
      <c r="T2143" s="264" t="str">
        <f t="shared" si="4"/>
        <v/>
      </c>
      <c r="U2143" s="264" t="str">
        <f t="shared" si="5"/>
        <v/>
      </c>
      <c r="V2143" s="264" t="str">
        <f t="shared" si="6"/>
        <v/>
      </c>
      <c r="W2143" s="267" t="str">
        <f t="shared" si="8"/>
        <v/>
      </c>
      <c r="X2143" s="264" t="str">
        <f t="shared" si="7"/>
        <v/>
      </c>
    </row>
    <row r="2144" ht="15.75" customHeight="1">
      <c r="A2144" s="258"/>
      <c r="B2144" s="258"/>
      <c r="C2144" s="269"/>
      <c r="D2144" s="258"/>
      <c r="E2144" s="258"/>
      <c r="F2144" s="258"/>
      <c r="G2144" s="258"/>
      <c r="H2144" s="271"/>
      <c r="I2144" s="258"/>
      <c r="J2144" s="272"/>
      <c r="K2144" s="260"/>
      <c r="L2144" s="261"/>
      <c r="M2144" s="262" t="str">
        <f t="shared" si="1"/>
        <v/>
      </c>
      <c r="N2144" s="263" t="str">
        <f t="shared" si="2"/>
        <v/>
      </c>
      <c r="O2144" s="264" t="str">
        <f t="shared" si="3"/>
        <v/>
      </c>
      <c r="P2144" s="265" t="str">
        <f>IFERROR(__xludf.DUMMYFUNCTION("IF(ISBLANK(A2144),"""",IFERROR(IF(H2144=""Sell"",VLOOKUP(9^99,FILTER({ROW(P$2:P2143),P$2:P2143},D$2:D2143=D2144),2),(VLOOKUP(9^99,FILTER({ROW(P$2:P2143),P$2:P2143},D$2:D2143=D2144),2)*VLOOKUP(9^99,FILTER({ROW(O$2:O2143),O$2:O2143},D$2:D2143=D2144),2)-N214"&amp;"4)/O2144),J2144))"),"")</f>
        <v/>
      </c>
      <c r="Q2144" s="264" t="str">
        <f>IFERROR(__xludf.DUMMYFUNCTION("IFERROR(IF(F2144=""Crypto"",B2144,(IF(ISBLANK(D2144),"""",IF(D2144=""Cash"",B2144,IF(GOOGLEFINANCE(D2144,""CURRENCY"")=""GBX"",""GBP"",GOOGLEFINANCE(D2144,""CURRENCY"")))))),B2144)"),"")</f>
        <v/>
      </c>
      <c r="R2144" s="263" t="str">
        <f>IFERROR(__xludf.DUMMYFUNCTION("IF(ISBLANK(A2144),"""",IFERROR(IF(OR(Q2144=""GPB"",Q2144=""ZAR""),IF(Q2144=Dashboard!$L$1,K2144,(K2144*GOOGLEFINANCE(""CURRENCY:""&amp;Q2144&amp;""""&amp;Dashboard!$L$1&amp;""""))/100),IF(Q2144=Dashboard!$L$1,K2144,K2144*GOOGLEFINANCE(""CURRENCY:""&amp;Q2144&amp;""""&amp;Dashboard!$"&amp;"L$1&amp;""""))),K2144))"),"")</f>
        <v/>
      </c>
      <c r="S2144" s="266" t="str">
        <f>IFERROR(__xludf.DUMMYFUNCTION("IF(ISBLANK(A2144),"""",IFERROR(IF(OR(Q2144=""GPB"",Q2144=""ZAR""),IF(Q2144=Dashboard!$L$1,M2144,(M2144*GOOGLEFINANCE(""CURRENCY:""&amp;Q2144&amp;""""&amp;Dashboard!$L$1&amp;""""))/100),IF(Q2144=Dashboard!$L$1,M2144,M2144*GOOGLEFINANCE(""CURRENCY:""&amp;Q2144&amp;""""&amp;Dashboard!$"&amp;"L$1&amp;""""))),M2144))"),"")</f>
        <v/>
      </c>
      <c r="T2144" s="264" t="str">
        <f t="shared" si="4"/>
        <v/>
      </c>
      <c r="U2144" s="264" t="str">
        <f t="shared" si="5"/>
        <v/>
      </c>
      <c r="V2144" s="264" t="str">
        <f t="shared" si="6"/>
        <v/>
      </c>
      <c r="W2144" s="267" t="str">
        <f t="shared" si="8"/>
        <v/>
      </c>
      <c r="X2144" s="264" t="str">
        <f t="shared" si="7"/>
        <v/>
      </c>
    </row>
    <row r="2145" ht="15.75" customHeight="1">
      <c r="A2145" s="258"/>
      <c r="B2145" s="258"/>
      <c r="C2145" s="269"/>
      <c r="D2145" s="258"/>
      <c r="E2145" s="258"/>
      <c r="F2145" s="258"/>
      <c r="G2145" s="258"/>
      <c r="H2145" s="271"/>
      <c r="I2145" s="258"/>
      <c r="J2145" s="272"/>
      <c r="K2145" s="260"/>
      <c r="L2145" s="261"/>
      <c r="M2145" s="262" t="str">
        <f t="shared" si="1"/>
        <v/>
      </c>
      <c r="N2145" s="263" t="str">
        <f t="shared" si="2"/>
        <v/>
      </c>
      <c r="O2145" s="264" t="str">
        <f t="shared" si="3"/>
        <v/>
      </c>
      <c r="P2145" s="265" t="str">
        <f>IFERROR(__xludf.DUMMYFUNCTION("IF(ISBLANK(A2145),"""",IFERROR(IF(H2145=""Sell"",VLOOKUP(9^99,FILTER({ROW(P$2:P2144),P$2:P2144},D$2:D2144=D2145),2),(VLOOKUP(9^99,FILTER({ROW(P$2:P2144),P$2:P2144},D$2:D2144=D2145),2)*VLOOKUP(9^99,FILTER({ROW(O$2:O2144),O$2:O2144},D$2:D2144=D2145),2)-N214"&amp;"5)/O2145),J2145))"),"")</f>
        <v/>
      </c>
      <c r="Q2145" s="264" t="str">
        <f>IFERROR(__xludf.DUMMYFUNCTION("IFERROR(IF(F2145=""Crypto"",B2145,(IF(ISBLANK(D2145),"""",IF(D2145=""Cash"",B2145,IF(GOOGLEFINANCE(D2145,""CURRENCY"")=""GBX"",""GBP"",GOOGLEFINANCE(D2145,""CURRENCY"")))))),B2145)"),"")</f>
        <v/>
      </c>
      <c r="R2145" s="263" t="str">
        <f>IFERROR(__xludf.DUMMYFUNCTION("IF(ISBLANK(A2145),"""",IFERROR(IF(OR(Q2145=""GPB"",Q2145=""ZAR""),IF(Q2145=Dashboard!$L$1,K2145,(K2145*GOOGLEFINANCE(""CURRENCY:""&amp;Q2145&amp;""""&amp;Dashboard!$L$1&amp;""""))/100),IF(Q2145=Dashboard!$L$1,K2145,K2145*GOOGLEFINANCE(""CURRENCY:""&amp;Q2145&amp;""""&amp;Dashboard!$"&amp;"L$1&amp;""""))),K2145))"),"")</f>
        <v/>
      </c>
      <c r="S2145" s="266" t="str">
        <f>IFERROR(__xludf.DUMMYFUNCTION("IF(ISBLANK(A2145),"""",IFERROR(IF(OR(Q2145=""GPB"",Q2145=""ZAR""),IF(Q2145=Dashboard!$L$1,M2145,(M2145*GOOGLEFINANCE(""CURRENCY:""&amp;Q2145&amp;""""&amp;Dashboard!$L$1&amp;""""))/100),IF(Q2145=Dashboard!$L$1,M2145,M2145*GOOGLEFINANCE(""CURRENCY:""&amp;Q2145&amp;""""&amp;Dashboard!$"&amp;"L$1&amp;""""))),M2145))"),"")</f>
        <v/>
      </c>
      <c r="T2145" s="264" t="str">
        <f t="shared" si="4"/>
        <v/>
      </c>
      <c r="U2145" s="264" t="str">
        <f t="shared" si="5"/>
        <v/>
      </c>
      <c r="V2145" s="264" t="str">
        <f t="shared" si="6"/>
        <v/>
      </c>
      <c r="W2145" s="267" t="str">
        <f t="shared" si="8"/>
        <v/>
      </c>
      <c r="X2145" s="264" t="str">
        <f t="shared" si="7"/>
        <v/>
      </c>
    </row>
    <row r="2146" ht="15.75" customHeight="1">
      <c r="A2146" s="258"/>
      <c r="B2146" s="258"/>
      <c r="C2146" s="269"/>
      <c r="D2146" s="258"/>
      <c r="E2146" s="258"/>
      <c r="F2146" s="258"/>
      <c r="G2146" s="258"/>
      <c r="H2146" s="271"/>
      <c r="I2146" s="258"/>
      <c r="J2146" s="272"/>
      <c r="K2146" s="260"/>
      <c r="L2146" s="261"/>
      <c r="M2146" s="262" t="str">
        <f t="shared" si="1"/>
        <v/>
      </c>
      <c r="N2146" s="263" t="str">
        <f t="shared" si="2"/>
        <v/>
      </c>
      <c r="O2146" s="264" t="str">
        <f t="shared" si="3"/>
        <v/>
      </c>
      <c r="P2146" s="265" t="str">
        <f>IFERROR(__xludf.DUMMYFUNCTION("IF(ISBLANK(A2146),"""",IFERROR(IF(H2146=""Sell"",VLOOKUP(9^99,FILTER({ROW(P$2:P2145),P$2:P2145},D$2:D2145=D2146),2),(VLOOKUP(9^99,FILTER({ROW(P$2:P2145),P$2:P2145},D$2:D2145=D2146),2)*VLOOKUP(9^99,FILTER({ROW(O$2:O2145),O$2:O2145},D$2:D2145=D2146),2)-N214"&amp;"6)/O2146),J2146))"),"")</f>
        <v/>
      </c>
      <c r="Q2146" s="264" t="str">
        <f>IFERROR(__xludf.DUMMYFUNCTION("IFERROR(IF(F2146=""Crypto"",B2146,(IF(ISBLANK(D2146),"""",IF(D2146=""Cash"",B2146,IF(GOOGLEFINANCE(D2146,""CURRENCY"")=""GBX"",""GBP"",GOOGLEFINANCE(D2146,""CURRENCY"")))))),B2146)"),"")</f>
        <v/>
      </c>
      <c r="R2146" s="263" t="str">
        <f>IFERROR(__xludf.DUMMYFUNCTION("IF(ISBLANK(A2146),"""",IFERROR(IF(OR(Q2146=""GPB"",Q2146=""ZAR""),IF(Q2146=Dashboard!$L$1,K2146,(K2146*GOOGLEFINANCE(""CURRENCY:""&amp;Q2146&amp;""""&amp;Dashboard!$L$1&amp;""""))/100),IF(Q2146=Dashboard!$L$1,K2146,K2146*GOOGLEFINANCE(""CURRENCY:""&amp;Q2146&amp;""""&amp;Dashboard!$"&amp;"L$1&amp;""""))),K2146))"),"")</f>
        <v/>
      </c>
      <c r="S2146" s="266" t="str">
        <f>IFERROR(__xludf.DUMMYFUNCTION("IF(ISBLANK(A2146),"""",IFERROR(IF(OR(Q2146=""GPB"",Q2146=""ZAR""),IF(Q2146=Dashboard!$L$1,M2146,(M2146*GOOGLEFINANCE(""CURRENCY:""&amp;Q2146&amp;""""&amp;Dashboard!$L$1&amp;""""))/100),IF(Q2146=Dashboard!$L$1,M2146,M2146*GOOGLEFINANCE(""CURRENCY:""&amp;Q2146&amp;""""&amp;Dashboard!$"&amp;"L$1&amp;""""))),M2146))"),"")</f>
        <v/>
      </c>
      <c r="T2146" s="264" t="str">
        <f t="shared" si="4"/>
        <v/>
      </c>
      <c r="U2146" s="264" t="str">
        <f t="shared" si="5"/>
        <v/>
      </c>
      <c r="V2146" s="264" t="str">
        <f t="shared" si="6"/>
        <v/>
      </c>
      <c r="W2146" s="267" t="str">
        <f t="shared" si="8"/>
        <v/>
      </c>
      <c r="X2146" s="264" t="str">
        <f t="shared" si="7"/>
        <v/>
      </c>
    </row>
    <row r="2147" ht="15.75" customHeight="1">
      <c r="A2147" s="258"/>
      <c r="B2147" s="258"/>
      <c r="C2147" s="269"/>
      <c r="D2147" s="258"/>
      <c r="E2147" s="258"/>
      <c r="F2147" s="258"/>
      <c r="G2147" s="258"/>
      <c r="H2147" s="271"/>
      <c r="I2147" s="258"/>
      <c r="J2147" s="272"/>
      <c r="K2147" s="260"/>
      <c r="L2147" s="261"/>
      <c r="M2147" s="262" t="str">
        <f t="shared" si="1"/>
        <v/>
      </c>
      <c r="N2147" s="263" t="str">
        <f t="shared" si="2"/>
        <v/>
      </c>
      <c r="O2147" s="264" t="str">
        <f t="shared" si="3"/>
        <v/>
      </c>
      <c r="P2147" s="265" t="str">
        <f>IFERROR(__xludf.DUMMYFUNCTION("IF(ISBLANK(A2147),"""",IFERROR(IF(H2147=""Sell"",VLOOKUP(9^99,FILTER({ROW(P$2:P2146),P$2:P2146},D$2:D2146=D2147),2),(VLOOKUP(9^99,FILTER({ROW(P$2:P2146),P$2:P2146},D$2:D2146=D2147),2)*VLOOKUP(9^99,FILTER({ROW(O$2:O2146),O$2:O2146},D$2:D2146=D2147),2)-N214"&amp;"7)/O2147),J2147))"),"")</f>
        <v/>
      </c>
      <c r="Q2147" s="264" t="str">
        <f>IFERROR(__xludf.DUMMYFUNCTION("IFERROR(IF(F2147=""Crypto"",B2147,(IF(ISBLANK(D2147),"""",IF(D2147=""Cash"",B2147,IF(GOOGLEFINANCE(D2147,""CURRENCY"")=""GBX"",""GBP"",GOOGLEFINANCE(D2147,""CURRENCY"")))))),B2147)"),"")</f>
        <v/>
      </c>
      <c r="R2147" s="263" t="str">
        <f>IFERROR(__xludf.DUMMYFUNCTION("IF(ISBLANK(A2147),"""",IFERROR(IF(OR(Q2147=""GPB"",Q2147=""ZAR""),IF(Q2147=Dashboard!$L$1,K2147,(K2147*GOOGLEFINANCE(""CURRENCY:""&amp;Q2147&amp;""""&amp;Dashboard!$L$1&amp;""""))/100),IF(Q2147=Dashboard!$L$1,K2147,K2147*GOOGLEFINANCE(""CURRENCY:""&amp;Q2147&amp;""""&amp;Dashboard!$"&amp;"L$1&amp;""""))),K2147))"),"")</f>
        <v/>
      </c>
      <c r="S2147" s="266" t="str">
        <f>IFERROR(__xludf.DUMMYFUNCTION("IF(ISBLANK(A2147),"""",IFERROR(IF(OR(Q2147=""GPB"",Q2147=""ZAR""),IF(Q2147=Dashboard!$L$1,M2147,(M2147*GOOGLEFINANCE(""CURRENCY:""&amp;Q2147&amp;""""&amp;Dashboard!$L$1&amp;""""))/100),IF(Q2147=Dashboard!$L$1,M2147,M2147*GOOGLEFINANCE(""CURRENCY:""&amp;Q2147&amp;""""&amp;Dashboard!$"&amp;"L$1&amp;""""))),M2147))"),"")</f>
        <v/>
      </c>
      <c r="T2147" s="264" t="str">
        <f t="shared" si="4"/>
        <v/>
      </c>
      <c r="U2147" s="264" t="str">
        <f t="shared" si="5"/>
        <v/>
      </c>
      <c r="V2147" s="264" t="str">
        <f t="shared" si="6"/>
        <v/>
      </c>
      <c r="W2147" s="267" t="str">
        <f t="shared" si="8"/>
        <v/>
      </c>
      <c r="X2147" s="264" t="str">
        <f t="shared" si="7"/>
        <v/>
      </c>
    </row>
    <row r="2148" ht="15.75" customHeight="1">
      <c r="A2148" s="258"/>
      <c r="B2148" s="258"/>
      <c r="C2148" s="269"/>
      <c r="D2148" s="258"/>
      <c r="E2148" s="258"/>
      <c r="F2148" s="258"/>
      <c r="G2148" s="258"/>
      <c r="H2148" s="271"/>
      <c r="I2148" s="258"/>
      <c r="J2148" s="272"/>
      <c r="K2148" s="260"/>
      <c r="L2148" s="261"/>
      <c r="M2148" s="262" t="str">
        <f t="shared" si="1"/>
        <v/>
      </c>
      <c r="N2148" s="263" t="str">
        <f t="shared" si="2"/>
        <v/>
      </c>
      <c r="O2148" s="264" t="str">
        <f t="shared" si="3"/>
        <v/>
      </c>
      <c r="P2148" s="265" t="str">
        <f>IFERROR(__xludf.DUMMYFUNCTION("IF(ISBLANK(A2148),"""",IFERROR(IF(H2148=""Sell"",VLOOKUP(9^99,FILTER({ROW(P$2:P2147),P$2:P2147},D$2:D2147=D2148),2),(VLOOKUP(9^99,FILTER({ROW(P$2:P2147),P$2:P2147},D$2:D2147=D2148),2)*VLOOKUP(9^99,FILTER({ROW(O$2:O2147),O$2:O2147},D$2:D2147=D2148),2)-N214"&amp;"8)/O2148),J2148))"),"")</f>
        <v/>
      </c>
      <c r="Q2148" s="264" t="str">
        <f>IFERROR(__xludf.DUMMYFUNCTION("IFERROR(IF(F2148=""Crypto"",B2148,(IF(ISBLANK(D2148),"""",IF(D2148=""Cash"",B2148,IF(GOOGLEFINANCE(D2148,""CURRENCY"")=""GBX"",""GBP"",GOOGLEFINANCE(D2148,""CURRENCY"")))))),B2148)"),"")</f>
        <v/>
      </c>
      <c r="R2148" s="263" t="str">
        <f>IFERROR(__xludf.DUMMYFUNCTION("IF(ISBLANK(A2148),"""",IFERROR(IF(OR(Q2148=""GPB"",Q2148=""ZAR""),IF(Q2148=Dashboard!$L$1,K2148,(K2148*GOOGLEFINANCE(""CURRENCY:""&amp;Q2148&amp;""""&amp;Dashboard!$L$1&amp;""""))/100),IF(Q2148=Dashboard!$L$1,K2148,K2148*GOOGLEFINANCE(""CURRENCY:""&amp;Q2148&amp;""""&amp;Dashboard!$"&amp;"L$1&amp;""""))),K2148))"),"")</f>
        <v/>
      </c>
      <c r="S2148" s="266" t="str">
        <f>IFERROR(__xludf.DUMMYFUNCTION("IF(ISBLANK(A2148),"""",IFERROR(IF(OR(Q2148=""GPB"",Q2148=""ZAR""),IF(Q2148=Dashboard!$L$1,M2148,(M2148*GOOGLEFINANCE(""CURRENCY:""&amp;Q2148&amp;""""&amp;Dashboard!$L$1&amp;""""))/100),IF(Q2148=Dashboard!$L$1,M2148,M2148*GOOGLEFINANCE(""CURRENCY:""&amp;Q2148&amp;""""&amp;Dashboard!$"&amp;"L$1&amp;""""))),M2148))"),"")</f>
        <v/>
      </c>
      <c r="T2148" s="264" t="str">
        <f t="shared" si="4"/>
        <v/>
      </c>
      <c r="U2148" s="264" t="str">
        <f t="shared" si="5"/>
        <v/>
      </c>
      <c r="V2148" s="264" t="str">
        <f t="shared" si="6"/>
        <v/>
      </c>
      <c r="W2148" s="267" t="str">
        <f t="shared" si="8"/>
        <v/>
      </c>
      <c r="X2148" s="264" t="str">
        <f t="shared" si="7"/>
        <v/>
      </c>
    </row>
    <row r="2149" ht="15.75" customHeight="1">
      <c r="A2149" s="258"/>
      <c r="B2149" s="258"/>
      <c r="C2149" s="269"/>
      <c r="D2149" s="258"/>
      <c r="E2149" s="258"/>
      <c r="F2149" s="258"/>
      <c r="G2149" s="258"/>
      <c r="H2149" s="271"/>
      <c r="I2149" s="258"/>
      <c r="J2149" s="272"/>
      <c r="K2149" s="260"/>
      <c r="L2149" s="261"/>
      <c r="M2149" s="262" t="str">
        <f t="shared" si="1"/>
        <v/>
      </c>
      <c r="N2149" s="263" t="str">
        <f t="shared" si="2"/>
        <v/>
      </c>
      <c r="O2149" s="264" t="str">
        <f t="shared" si="3"/>
        <v/>
      </c>
      <c r="P2149" s="265" t="str">
        <f>IFERROR(__xludf.DUMMYFUNCTION("IF(ISBLANK(A2149),"""",IFERROR(IF(H2149=""Sell"",VLOOKUP(9^99,FILTER({ROW(P$2:P2148),P$2:P2148},D$2:D2148=D2149),2),(VLOOKUP(9^99,FILTER({ROW(P$2:P2148),P$2:P2148},D$2:D2148=D2149),2)*VLOOKUP(9^99,FILTER({ROW(O$2:O2148),O$2:O2148},D$2:D2148=D2149),2)-N214"&amp;"9)/O2149),J2149))"),"")</f>
        <v/>
      </c>
      <c r="Q2149" s="264" t="str">
        <f>IFERROR(__xludf.DUMMYFUNCTION("IFERROR(IF(F2149=""Crypto"",B2149,(IF(ISBLANK(D2149),"""",IF(D2149=""Cash"",B2149,IF(GOOGLEFINANCE(D2149,""CURRENCY"")=""GBX"",""GBP"",GOOGLEFINANCE(D2149,""CURRENCY"")))))),B2149)"),"")</f>
        <v/>
      </c>
      <c r="R2149" s="263" t="str">
        <f>IFERROR(__xludf.DUMMYFUNCTION("IF(ISBLANK(A2149),"""",IFERROR(IF(OR(Q2149=""GPB"",Q2149=""ZAR""),IF(Q2149=Dashboard!$L$1,K2149,(K2149*GOOGLEFINANCE(""CURRENCY:""&amp;Q2149&amp;""""&amp;Dashboard!$L$1&amp;""""))/100),IF(Q2149=Dashboard!$L$1,K2149,K2149*GOOGLEFINANCE(""CURRENCY:""&amp;Q2149&amp;""""&amp;Dashboard!$"&amp;"L$1&amp;""""))),K2149))"),"")</f>
        <v/>
      </c>
      <c r="S2149" s="266" t="str">
        <f>IFERROR(__xludf.DUMMYFUNCTION("IF(ISBLANK(A2149),"""",IFERROR(IF(OR(Q2149=""GPB"",Q2149=""ZAR""),IF(Q2149=Dashboard!$L$1,M2149,(M2149*GOOGLEFINANCE(""CURRENCY:""&amp;Q2149&amp;""""&amp;Dashboard!$L$1&amp;""""))/100),IF(Q2149=Dashboard!$L$1,M2149,M2149*GOOGLEFINANCE(""CURRENCY:""&amp;Q2149&amp;""""&amp;Dashboard!$"&amp;"L$1&amp;""""))),M2149))"),"")</f>
        <v/>
      </c>
      <c r="T2149" s="264" t="str">
        <f t="shared" si="4"/>
        <v/>
      </c>
      <c r="U2149" s="264" t="str">
        <f t="shared" si="5"/>
        <v/>
      </c>
      <c r="V2149" s="264" t="str">
        <f t="shared" si="6"/>
        <v/>
      </c>
      <c r="W2149" s="267" t="str">
        <f t="shared" si="8"/>
        <v/>
      </c>
      <c r="X2149" s="264" t="str">
        <f t="shared" si="7"/>
        <v/>
      </c>
    </row>
    <row r="2150" ht="15.75" customHeight="1">
      <c r="A2150" s="258"/>
      <c r="B2150" s="258"/>
      <c r="C2150" s="269"/>
      <c r="D2150" s="258"/>
      <c r="E2150" s="258"/>
      <c r="F2150" s="258"/>
      <c r="G2150" s="258"/>
      <c r="H2150" s="271"/>
      <c r="I2150" s="258"/>
      <c r="J2150" s="272"/>
      <c r="K2150" s="260"/>
      <c r="L2150" s="261"/>
      <c r="M2150" s="262" t="str">
        <f t="shared" si="1"/>
        <v/>
      </c>
      <c r="N2150" s="263" t="str">
        <f t="shared" si="2"/>
        <v/>
      </c>
      <c r="O2150" s="264" t="str">
        <f t="shared" si="3"/>
        <v/>
      </c>
      <c r="P2150" s="265" t="str">
        <f>IFERROR(__xludf.DUMMYFUNCTION("IF(ISBLANK(A2150),"""",IFERROR(IF(H2150=""Sell"",VLOOKUP(9^99,FILTER({ROW(P$2:P2149),P$2:P2149},D$2:D2149=D2150),2),(VLOOKUP(9^99,FILTER({ROW(P$2:P2149),P$2:P2149},D$2:D2149=D2150),2)*VLOOKUP(9^99,FILTER({ROW(O$2:O2149),O$2:O2149},D$2:D2149=D2150),2)-N215"&amp;"0)/O2150),J2150))"),"")</f>
        <v/>
      </c>
      <c r="Q2150" s="264" t="str">
        <f>IFERROR(__xludf.DUMMYFUNCTION("IFERROR(IF(F2150=""Crypto"",B2150,(IF(ISBLANK(D2150),"""",IF(D2150=""Cash"",B2150,IF(GOOGLEFINANCE(D2150,""CURRENCY"")=""GBX"",""GBP"",GOOGLEFINANCE(D2150,""CURRENCY"")))))),B2150)"),"")</f>
        <v/>
      </c>
      <c r="R2150" s="263" t="str">
        <f>IFERROR(__xludf.DUMMYFUNCTION("IF(ISBLANK(A2150),"""",IFERROR(IF(OR(Q2150=""GPB"",Q2150=""ZAR""),IF(Q2150=Dashboard!$L$1,K2150,(K2150*GOOGLEFINANCE(""CURRENCY:""&amp;Q2150&amp;""""&amp;Dashboard!$L$1&amp;""""))/100),IF(Q2150=Dashboard!$L$1,K2150,K2150*GOOGLEFINANCE(""CURRENCY:""&amp;Q2150&amp;""""&amp;Dashboard!$"&amp;"L$1&amp;""""))),K2150))"),"")</f>
        <v/>
      </c>
      <c r="S2150" s="266" t="str">
        <f>IFERROR(__xludf.DUMMYFUNCTION("IF(ISBLANK(A2150),"""",IFERROR(IF(OR(Q2150=""GPB"",Q2150=""ZAR""),IF(Q2150=Dashboard!$L$1,M2150,(M2150*GOOGLEFINANCE(""CURRENCY:""&amp;Q2150&amp;""""&amp;Dashboard!$L$1&amp;""""))/100),IF(Q2150=Dashboard!$L$1,M2150,M2150*GOOGLEFINANCE(""CURRENCY:""&amp;Q2150&amp;""""&amp;Dashboard!$"&amp;"L$1&amp;""""))),M2150))"),"")</f>
        <v/>
      </c>
      <c r="T2150" s="264" t="str">
        <f t="shared" si="4"/>
        <v/>
      </c>
      <c r="U2150" s="264" t="str">
        <f t="shared" si="5"/>
        <v/>
      </c>
      <c r="V2150" s="264" t="str">
        <f t="shared" si="6"/>
        <v/>
      </c>
      <c r="W2150" s="267" t="str">
        <f t="shared" si="8"/>
        <v/>
      </c>
      <c r="X2150" s="264" t="str">
        <f t="shared" si="7"/>
        <v/>
      </c>
    </row>
    <row r="2151" ht="15.75" customHeight="1">
      <c r="A2151" s="258"/>
      <c r="B2151" s="258"/>
      <c r="C2151" s="269"/>
      <c r="D2151" s="258"/>
      <c r="E2151" s="258"/>
      <c r="F2151" s="258"/>
      <c r="G2151" s="258"/>
      <c r="H2151" s="271"/>
      <c r="I2151" s="258"/>
      <c r="J2151" s="272"/>
      <c r="K2151" s="260"/>
      <c r="L2151" s="261"/>
      <c r="M2151" s="262" t="str">
        <f t="shared" si="1"/>
        <v/>
      </c>
      <c r="N2151" s="263" t="str">
        <f t="shared" si="2"/>
        <v/>
      </c>
      <c r="O2151" s="264" t="str">
        <f t="shared" si="3"/>
        <v/>
      </c>
      <c r="P2151" s="265" t="str">
        <f>IFERROR(__xludf.DUMMYFUNCTION("IF(ISBLANK(A2151),"""",IFERROR(IF(H2151=""Sell"",VLOOKUP(9^99,FILTER({ROW(P$2:P2150),P$2:P2150},D$2:D2150=D2151),2),(VLOOKUP(9^99,FILTER({ROW(P$2:P2150),P$2:P2150},D$2:D2150=D2151),2)*VLOOKUP(9^99,FILTER({ROW(O$2:O2150),O$2:O2150},D$2:D2150=D2151),2)-N215"&amp;"1)/O2151),J2151))"),"")</f>
        <v/>
      </c>
      <c r="Q2151" s="264" t="str">
        <f>IFERROR(__xludf.DUMMYFUNCTION("IFERROR(IF(F2151=""Crypto"",B2151,(IF(ISBLANK(D2151),"""",IF(D2151=""Cash"",B2151,IF(GOOGLEFINANCE(D2151,""CURRENCY"")=""GBX"",""GBP"",GOOGLEFINANCE(D2151,""CURRENCY"")))))),B2151)"),"")</f>
        <v/>
      </c>
      <c r="R2151" s="263" t="str">
        <f>IFERROR(__xludf.DUMMYFUNCTION("IF(ISBLANK(A2151),"""",IFERROR(IF(OR(Q2151=""GPB"",Q2151=""ZAR""),IF(Q2151=Dashboard!$L$1,K2151,(K2151*GOOGLEFINANCE(""CURRENCY:""&amp;Q2151&amp;""""&amp;Dashboard!$L$1&amp;""""))/100),IF(Q2151=Dashboard!$L$1,K2151,K2151*GOOGLEFINANCE(""CURRENCY:""&amp;Q2151&amp;""""&amp;Dashboard!$"&amp;"L$1&amp;""""))),K2151))"),"")</f>
        <v/>
      </c>
      <c r="S2151" s="266" t="str">
        <f>IFERROR(__xludf.DUMMYFUNCTION("IF(ISBLANK(A2151),"""",IFERROR(IF(OR(Q2151=""GPB"",Q2151=""ZAR""),IF(Q2151=Dashboard!$L$1,M2151,(M2151*GOOGLEFINANCE(""CURRENCY:""&amp;Q2151&amp;""""&amp;Dashboard!$L$1&amp;""""))/100),IF(Q2151=Dashboard!$L$1,M2151,M2151*GOOGLEFINANCE(""CURRENCY:""&amp;Q2151&amp;""""&amp;Dashboard!$"&amp;"L$1&amp;""""))),M2151))"),"")</f>
        <v/>
      </c>
      <c r="T2151" s="264" t="str">
        <f t="shared" si="4"/>
        <v/>
      </c>
      <c r="U2151" s="264" t="str">
        <f t="shared" si="5"/>
        <v/>
      </c>
      <c r="V2151" s="264" t="str">
        <f t="shared" si="6"/>
        <v/>
      </c>
      <c r="W2151" s="267" t="str">
        <f t="shared" si="8"/>
        <v/>
      </c>
      <c r="X2151" s="264" t="str">
        <f t="shared" si="7"/>
        <v/>
      </c>
    </row>
    <row r="2152" ht="15.75" customHeight="1">
      <c r="A2152" s="258"/>
      <c r="B2152" s="258"/>
      <c r="C2152" s="269"/>
      <c r="D2152" s="258"/>
      <c r="E2152" s="258"/>
      <c r="F2152" s="258"/>
      <c r="G2152" s="258"/>
      <c r="H2152" s="271"/>
      <c r="I2152" s="258"/>
      <c r="J2152" s="272"/>
      <c r="K2152" s="260"/>
      <c r="L2152" s="261"/>
      <c r="M2152" s="262" t="str">
        <f t="shared" si="1"/>
        <v/>
      </c>
      <c r="N2152" s="263" t="str">
        <f t="shared" si="2"/>
        <v/>
      </c>
      <c r="O2152" s="264" t="str">
        <f t="shared" si="3"/>
        <v/>
      </c>
      <c r="P2152" s="265" t="str">
        <f>IFERROR(__xludf.DUMMYFUNCTION("IF(ISBLANK(A2152),"""",IFERROR(IF(H2152=""Sell"",VLOOKUP(9^99,FILTER({ROW(P$2:P2151),P$2:P2151},D$2:D2151=D2152),2),(VLOOKUP(9^99,FILTER({ROW(P$2:P2151),P$2:P2151},D$2:D2151=D2152),2)*VLOOKUP(9^99,FILTER({ROW(O$2:O2151),O$2:O2151},D$2:D2151=D2152),2)-N215"&amp;"2)/O2152),J2152))"),"")</f>
        <v/>
      </c>
      <c r="Q2152" s="264" t="str">
        <f>IFERROR(__xludf.DUMMYFUNCTION("IFERROR(IF(F2152=""Crypto"",B2152,(IF(ISBLANK(D2152),"""",IF(D2152=""Cash"",B2152,IF(GOOGLEFINANCE(D2152,""CURRENCY"")=""GBX"",""GBP"",GOOGLEFINANCE(D2152,""CURRENCY"")))))),B2152)"),"")</f>
        <v/>
      </c>
      <c r="R2152" s="263" t="str">
        <f>IFERROR(__xludf.DUMMYFUNCTION("IF(ISBLANK(A2152),"""",IFERROR(IF(OR(Q2152=""GPB"",Q2152=""ZAR""),IF(Q2152=Dashboard!$L$1,K2152,(K2152*GOOGLEFINANCE(""CURRENCY:""&amp;Q2152&amp;""""&amp;Dashboard!$L$1&amp;""""))/100),IF(Q2152=Dashboard!$L$1,K2152,K2152*GOOGLEFINANCE(""CURRENCY:""&amp;Q2152&amp;""""&amp;Dashboard!$"&amp;"L$1&amp;""""))),K2152))"),"")</f>
        <v/>
      </c>
      <c r="S2152" s="266" t="str">
        <f>IFERROR(__xludf.DUMMYFUNCTION("IF(ISBLANK(A2152),"""",IFERROR(IF(OR(Q2152=""GPB"",Q2152=""ZAR""),IF(Q2152=Dashboard!$L$1,M2152,(M2152*GOOGLEFINANCE(""CURRENCY:""&amp;Q2152&amp;""""&amp;Dashboard!$L$1&amp;""""))/100),IF(Q2152=Dashboard!$L$1,M2152,M2152*GOOGLEFINANCE(""CURRENCY:""&amp;Q2152&amp;""""&amp;Dashboard!$"&amp;"L$1&amp;""""))),M2152))"),"")</f>
        <v/>
      </c>
      <c r="T2152" s="264" t="str">
        <f t="shared" si="4"/>
        <v/>
      </c>
      <c r="U2152" s="264" t="str">
        <f t="shared" si="5"/>
        <v/>
      </c>
      <c r="V2152" s="264" t="str">
        <f t="shared" si="6"/>
        <v/>
      </c>
      <c r="W2152" s="267" t="str">
        <f t="shared" si="8"/>
        <v/>
      </c>
      <c r="X2152" s="264" t="str">
        <f t="shared" si="7"/>
        <v/>
      </c>
    </row>
    <row r="2153" ht="15.75" customHeight="1">
      <c r="A2153" s="258"/>
      <c r="B2153" s="258"/>
      <c r="C2153" s="269"/>
      <c r="D2153" s="258"/>
      <c r="E2153" s="258"/>
      <c r="F2153" s="258"/>
      <c r="G2153" s="258"/>
      <c r="H2153" s="271"/>
      <c r="I2153" s="258"/>
      <c r="J2153" s="272"/>
      <c r="K2153" s="260"/>
      <c r="L2153" s="261"/>
      <c r="M2153" s="262" t="str">
        <f t="shared" si="1"/>
        <v/>
      </c>
      <c r="N2153" s="263" t="str">
        <f t="shared" si="2"/>
        <v/>
      </c>
      <c r="O2153" s="264" t="str">
        <f t="shared" si="3"/>
        <v/>
      </c>
      <c r="P2153" s="265" t="str">
        <f>IFERROR(__xludf.DUMMYFUNCTION("IF(ISBLANK(A2153),"""",IFERROR(IF(H2153=""Sell"",VLOOKUP(9^99,FILTER({ROW(P$2:P2152),P$2:P2152},D$2:D2152=D2153),2),(VLOOKUP(9^99,FILTER({ROW(P$2:P2152),P$2:P2152},D$2:D2152=D2153),2)*VLOOKUP(9^99,FILTER({ROW(O$2:O2152),O$2:O2152},D$2:D2152=D2153),2)-N215"&amp;"3)/O2153),J2153))"),"")</f>
        <v/>
      </c>
      <c r="Q2153" s="264" t="str">
        <f>IFERROR(__xludf.DUMMYFUNCTION("IFERROR(IF(F2153=""Crypto"",B2153,(IF(ISBLANK(D2153),"""",IF(D2153=""Cash"",B2153,IF(GOOGLEFINANCE(D2153,""CURRENCY"")=""GBX"",""GBP"",GOOGLEFINANCE(D2153,""CURRENCY"")))))),B2153)"),"")</f>
        <v/>
      </c>
      <c r="R2153" s="263" t="str">
        <f>IFERROR(__xludf.DUMMYFUNCTION("IF(ISBLANK(A2153),"""",IFERROR(IF(OR(Q2153=""GPB"",Q2153=""ZAR""),IF(Q2153=Dashboard!$L$1,K2153,(K2153*GOOGLEFINANCE(""CURRENCY:""&amp;Q2153&amp;""""&amp;Dashboard!$L$1&amp;""""))/100),IF(Q2153=Dashboard!$L$1,K2153,K2153*GOOGLEFINANCE(""CURRENCY:""&amp;Q2153&amp;""""&amp;Dashboard!$"&amp;"L$1&amp;""""))),K2153))"),"")</f>
        <v/>
      </c>
      <c r="S2153" s="266" t="str">
        <f>IFERROR(__xludf.DUMMYFUNCTION("IF(ISBLANK(A2153),"""",IFERROR(IF(OR(Q2153=""GPB"",Q2153=""ZAR""),IF(Q2153=Dashboard!$L$1,M2153,(M2153*GOOGLEFINANCE(""CURRENCY:""&amp;Q2153&amp;""""&amp;Dashboard!$L$1&amp;""""))/100),IF(Q2153=Dashboard!$L$1,M2153,M2153*GOOGLEFINANCE(""CURRENCY:""&amp;Q2153&amp;""""&amp;Dashboard!$"&amp;"L$1&amp;""""))),M2153))"),"")</f>
        <v/>
      </c>
      <c r="T2153" s="264" t="str">
        <f t="shared" si="4"/>
        <v/>
      </c>
      <c r="U2153" s="264" t="str">
        <f t="shared" si="5"/>
        <v/>
      </c>
      <c r="V2153" s="264" t="str">
        <f t="shared" si="6"/>
        <v/>
      </c>
      <c r="W2153" s="267" t="str">
        <f t="shared" si="8"/>
        <v/>
      </c>
      <c r="X2153" s="264" t="str">
        <f t="shared" si="7"/>
        <v/>
      </c>
    </row>
    <row r="2154" ht="15.75" customHeight="1">
      <c r="A2154" s="258"/>
      <c r="B2154" s="258"/>
      <c r="C2154" s="269"/>
      <c r="D2154" s="258"/>
      <c r="E2154" s="258"/>
      <c r="F2154" s="258"/>
      <c r="G2154" s="258"/>
      <c r="H2154" s="271"/>
      <c r="I2154" s="258"/>
      <c r="J2154" s="272"/>
      <c r="K2154" s="260"/>
      <c r="L2154" s="261"/>
      <c r="M2154" s="262" t="str">
        <f t="shared" si="1"/>
        <v/>
      </c>
      <c r="N2154" s="263" t="str">
        <f t="shared" si="2"/>
        <v/>
      </c>
      <c r="O2154" s="264" t="str">
        <f t="shared" si="3"/>
        <v/>
      </c>
      <c r="P2154" s="265" t="str">
        <f>IFERROR(__xludf.DUMMYFUNCTION("IF(ISBLANK(A2154),"""",IFERROR(IF(H2154=""Sell"",VLOOKUP(9^99,FILTER({ROW(P$2:P2153),P$2:P2153},D$2:D2153=D2154),2),(VLOOKUP(9^99,FILTER({ROW(P$2:P2153),P$2:P2153},D$2:D2153=D2154),2)*VLOOKUP(9^99,FILTER({ROW(O$2:O2153),O$2:O2153},D$2:D2153=D2154),2)-N215"&amp;"4)/O2154),J2154))"),"")</f>
        <v/>
      </c>
      <c r="Q2154" s="264" t="str">
        <f>IFERROR(__xludf.DUMMYFUNCTION("IFERROR(IF(F2154=""Crypto"",B2154,(IF(ISBLANK(D2154),"""",IF(D2154=""Cash"",B2154,IF(GOOGLEFINANCE(D2154,""CURRENCY"")=""GBX"",""GBP"",GOOGLEFINANCE(D2154,""CURRENCY"")))))),B2154)"),"")</f>
        <v/>
      </c>
      <c r="R2154" s="263" t="str">
        <f>IFERROR(__xludf.DUMMYFUNCTION("IF(ISBLANK(A2154),"""",IFERROR(IF(OR(Q2154=""GPB"",Q2154=""ZAR""),IF(Q2154=Dashboard!$L$1,K2154,(K2154*GOOGLEFINANCE(""CURRENCY:""&amp;Q2154&amp;""""&amp;Dashboard!$L$1&amp;""""))/100),IF(Q2154=Dashboard!$L$1,K2154,K2154*GOOGLEFINANCE(""CURRENCY:""&amp;Q2154&amp;""""&amp;Dashboard!$"&amp;"L$1&amp;""""))),K2154))"),"")</f>
        <v/>
      </c>
      <c r="S2154" s="266" t="str">
        <f>IFERROR(__xludf.DUMMYFUNCTION("IF(ISBLANK(A2154),"""",IFERROR(IF(OR(Q2154=""GPB"",Q2154=""ZAR""),IF(Q2154=Dashboard!$L$1,M2154,(M2154*GOOGLEFINANCE(""CURRENCY:""&amp;Q2154&amp;""""&amp;Dashboard!$L$1&amp;""""))/100),IF(Q2154=Dashboard!$L$1,M2154,M2154*GOOGLEFINANCE(""CURRENCY:""&amp;Q2154&amp;""""&amp;Dashboard!$"&amp;"L$1&amp;""""))),M2154))"),"")</f>
        <v/>
      </c>
      <c r="T2154" s="264" t="str">
        <f t="shared" si="4"/>
        <v/>
      </c>
      <c r="U2154" s="264" t="str">
        <f t="shared" si="5"/>
        <v/>
      </c>
      <c r="V2154" s="264" t="str">
        <f t="shared" si="6"/>
        <v/>
      </c>
      <c r="W2154" s="267" t="str">
        <f t="shared" si="8"/>
        <v/>
      </c>
      <c r="X2154" s="264" t="str">
        <f t="shared" si="7"/>
        <v/>
      </c>
    </row>
    <row r="2155" ht="15.75" customHeight="1">
      <c r="A2155" s="258"/>
      <c r="B2155" s="258"/>
      <c r="C2155" s="269"/>
      <c r="D2155" s="258"/>
      <c r="E2155" s="258"/>
      <c r="F2155" s="258"/>
      <c r="G2155" s="258"/>
      <c r="H2155" s="271"/>
      <c r="I2155" s="258"/>
      <c r="J2155" s="272"/>
      <c r="K2155" s="260"/>
      <c r="L2155" s="261"/>
      <c r="M2155" s="262" t="str">
        <f t="shared" si="1"/>
        <v/>
      </c>
      <c r="N2155" s="263" t="str">
        <f t="shared" si="2"/>
        <v/>
      </c>
      <c r="O2155" s="264" t="str">
        <f t="shared" si="3"/>
        <v/>
      </c>
      <c r="P2155" s="265" t="str">
        <f>IFERROR(__xludf.DUMMYFUNCTION("IF(ISBLANK(A2155),"""",IFERROR(IF(H2155=""Sell"",VLOOKUP(9^99,FILTER({ROW(P$2:P2154),P$2:P2154},D$2:D2154=D2155),2),(VLOOKUP(9^99,FILTER({ROW(P$2:P2154),P$2:P2154},D$2:D2154=D2155),2)*VLOOKUP(9^99,FILTER({ROW(O$2:O2154),O$2:O2154},D$2:D2154=D2155),2)-N215"&amp;"5)/O2155),J2155))"),"")</f>
        <v/>
      </c>
      <c r="Q2155" s="264" t="str">
        <f>IFERROR(__xludf.DUMMYFUNCTION("IFERROR(IF(F2155=""Crypto"",B2155,(IF(ISBLANK(D2155),"""",IF(D2155=""Cash"",B2155,IF(GOOGLEFINANCE(D2155,""CURRENCY"")=""GBX"",""GBP"",GOOGLEFINANCE(D2155,""CURRENCY"")))))),B2155)"),"")</f>
        <v/>
      </c>
      <c r="R2155" s="263" t="str">
        <f>IFERROR(__xludf.DUMMYFUNCTION("IF(ISBLANK(A2155),"""",IFERROR(IF(OR(Q2155=""GPB"",Q2155=""ZAR""),IF(Q2155=Dashboard!$L$1,K2155,(K2155*GOOGLEFINANCE(""CURRENCY:""&amp;Q2155&amp;""""&amp;Dashboard!$L$1&amp;""""))/100),IF(Q2155=Dashboard!$L$1,K2155,K2155*GOOGLEFINANCE(""CURRENCY:""&amp;Q2155&amp;""""&amp;Dashboard!$"&amp;"L$1&amp;""""))),K2155))"),"")</f>
        <v/>
      </c>
      <c r="S2155" s="266" t="str">
        <f>IFERROR(__xludf.DUMMYFUNCTION("IF(ISBLANK(A2155),"""",IFERROR(IF(OR(Q2155=""GPB"",Q2155=""ZAR""),IF(Q2155=Dashboard!$L$1,M2155,(M2155*GOOGLEFINANCE(""CURRENCY:""&amp;Q2155&amp;""""&amp;Dashboard!$L$1&amp;""""))/100),IF(Q2155=Dashboard!$L$1,M2155,M2155*GOOGLEFINANCE(""CURRENCY:""&amp;Q2155&amp;""""&amp;Dashboard!$"&amp;"L$1&amp;""""))),M2155))"),"")</f>
        <v/>
      </c>
      <c r="T2155" s="264" t="str">
        <f t="shared" si="4"/>
        <v/>
      </c>
      <c r="U2155" s="264" t="str">
        <f t="shared" si="5"/>
        <v/>
      </c>
      <c r="V2155" s="264" t="str">
        <f t="shared" si="6"/>
        <v/>
      </c>
      <c r="W2155" s="267" t="str">
        <f t="shared" si="8"/>
        <v/>
      </c>
      <c r="X2155" s="264" t="str">
        <f t="shared" si="7"/>
        <v/>
      </c>
    </row>
    <row r="2156" ht="15.75" customHeight="1">
      <c r="A2156" s="258"/>
      <c r="B2156" s="258"/>
      <c r="C2156" s="269"/>
      <c r="D2156" s="258"/>
      <c r="E2156" s="258"/>
      <c r="F2156" s="258"/>
      <c r="G2156" s="258"/>
      <c r="H2156" s="271"/>
      <c r="I2156" s="258"/>
      <c r="J2156" s="272"/>
      <c r="K2156" s="260"/>
      <c r="L2156" s="261"/>
      <c r="M2156" s="262" t="str">
        <f t="shared" si="1"/>
        <v/>
      </c>
      <c r="N2156" s="263" t="str">
        <f t="shared" si="2"/>
        <v/>
      </c>
      <c r="O2156" s="264" t="str">
        <f t="shared" si="3"/>
        <v/>
      </c>
      <c r="P2156" s="265" t="str">
        <f>IFERROR(__xludf.DUMMYFUNCTION("IF(ISBLANK(A2156),"""",IFERROR(IF(H2156=""Sell"",VLOOKUP(9^99,FILTER({ROW(P$2:P2155),P$2:P2155},D$2:D2155=D2156),2),(VLOOKUP(9^99,FILTER({ROW(P$2:P2155),P$2:P2155},D$2:D2155=D2156),2)*VLOOKUP(9^99,FILTER({ROW(O$2:O2155),O$2:O2155},D$2:D2155=D2156),2)-N215"&amp;"6)/O2156),J2156))"),"")</f>
        <v/>
      </c>
      <c r="Q2156" s="264" t="str">
        <f>IFERROR(__xludf.DUMMYFUNCTION("IFERROR(IF(F2156=""Crypto"",B2156,(IF(ISBLANK(D2156),"""",IF(D2156=""Cash"",B2156,IF(GOOGLEFINANCE(D2156,""CURRENCY"")=""GBX"",""GBP"",GOOGLEFINANCE(D2156,""CURRENCY"")))))),B2156)"),"")</f>
        <v/>
      </c>
      <c r="R2156" s="263" t="str">
        <f>IFERROR(__xludf.DUMMYFUNCTION("IF(ISBLANK(A2156),"""",IFERROR(IF(OR(Q2156=""GPB"",Q2156=""ZAR""),IF(Q2156=Dashboard!$L$1,K2156,(K2156*GOOGLEFINANCE(""CURRENCY:""&amp;Q2156&amp;""""&amp;Dashboard!$L$1&amp;""""))/100),IF(Q2156=Dashboard!$L$1,K2156,K2156*GOOGLEFINANCE(""CURRENCY:""&amp;Q2156&amp;""""&amp;Dashboard!$"&amp;"L$1&amp;""""))),K2156))"),"")</f>
        <v/>
      </c>
      <c r="S2156" s="266" t="str">
        <f>IFERROR(__xludf.DUMMYFUNCTION("IF(ISBLANK(A2156),"""",IFERROR(IF(OR(Q2156=""GPB"",Q2156=""ZAR""),IF(Q2156=Dashboard!$L$1,M2156,(M2156*GOOGLEFINANCE(""CURRENCY:""&amp;Q2156&amp;""""&amp;Dashboard!$L$1&amp;""""))/100),IF(Q2156=Dashboard!$L$1,M2156,M2156*GOOGLEFINANCE(""CURRENCY:""&amp;Q2156&amp;""""&amp;Dashboard!$"&amp;"L$1&amp;""""))),M2156))"),"")</f>
        <v/>
      </c>
      <c r="T2156" s="264" t="str">
        <f t="shared" si="4"/>
        <v/>
      </c>
      <c r="U2156" s="264" t="str">
        <f t="shared" si="5"/>
        <v/>
      </c>
      <c r="V2156" s="264" t="str">
        <f t="shared" si="6"/>
        <v/>
      </c>
      <c r="W2156" s="267" t="str">
        <f t="shared" si="8"/>
        <v/>
      </c>
      <c r="X2156" s="264" t="str">
        <f t="shared" si="7"/>
        <v/>
      </c>
    </row>
    <row r="2157" ht="15.75" customHeight="1">
      <c r="A2157" s="258"/>
      <c r="B2157" s="258"/>
      <c r="C2157" s="269"/>
      <c r="D2157" s="258"/>
      <c r="E2157" s="258"/>
      <c r="F2157" s="258"/>
      <c r="G2157" s="258"/>
      <c r="H2157" s="271"/>
      <c r="I2157" s="258"/>
      <c r="J2157" s="272"/>
      <c r="K2157" s="260"/>
      <c r="L2157" s="261"/>
      <c r="M2157" s="262" t="str">
        <f t="shared" si="1"/>
        <v/>
      </c>
      <c r="N2157" s="263" t="str">
        <f t="shared" si="2"/>
        <v/>
      </c>
      <c r="O2157" s="264" t="str">
        <f t="shared" si="3"/>
        <v/>
      </c>
      <c r="P2157" s="265" t="str">
        <f>IFERROR(__xludf.DUMMYFUNCTION("IF(ISBLANK(A2157),"""",IFERROR(IF(H2157=""Sell"",VLOOKUP(9^99,FILTER({ROW(P$2:P2156),P$2:P2156},D$2:D2156=D2157),2),(VLOOKUP(9^99,FILTER({ROW(P$2:P2156),P$2:P2156},D$2:D2156=D2157),2)*VLOOKUP(9^99,FILTER({ROW(O$2:O2156),O$2:O2156},D$2:D2156=D2157),2)-N215"&amp;"7)/O2157),J2157))"),"")</f>
        <v/>
      </c>
      <c r="Q2157" s="264" t="str">
        <f>IFERROR(__xludf.DUMMYFUNCTION("IFERROR(IF(F2157=""Crypto"",B2157,(IF(ISBLANK(D2157),"""",IF(D2157=""Cash"",B2157,IF(GOOGLEFINANCE(D2157,""CURRENCY"")=""GBX"",""GBP"",GOOGLEFINANCE(D2157,""CURRENCY"")))))),B2157)"),"")</f>
        <v/>
      </c>
      <c r="R2157" s="263" t="str">
        <f>IFERROR(__xludf.DUMMYFUNCTION("IF(ISBLANK(A2157),"""",IFERROR(IF(OR(Q2157=""GPB"",Q2157=""ZAR""),IF(Q2157=Dashboard!$L$1,K2157,(K2157*GOOGLEFINANCE(""CURRENCY:""&amp;Q2157&amp;""""&amp;Dashboard!$L$1&amp;""""))/100),IF(Q2157=Dashboard!$L$1,K2157,K2157*GOOGLEFINANCE(""CURRENCY:""&amp;Q2157&amp;""""&amp;Dashboard!$"&amp;"L$1&amp;""""))),K2157))"),"")</f>
        <v/>
      </c>
      <c r="S2157" s="266" t="str">
        <f>IFERROR(__xludf.DUMMYFUNCTION("IF(ISBLANK(A2157),"""",IFERROR(IF(OR(Q2157=""GPB"",Q2157=""ZAR""),IF(Q2157=Dashboard!$L$1,M2157,(M2157*GOOGLEFINANCE(""CURRENCY:""&amp;Q2157&amp;""""&amp;Dashboard!$L$1&amp;""""))/100),IF(Q2157=Dashboard!$L$1,M2157,M2157*GOOGLEFINANCE(""CURRENCY:""&amp;Q2157&amp;""""&amp;Dashboard!$"&amp;"L$1&amp;""""))),M2157))"),"")</f>
        <v/>
      </c>
      <c r="T2157" s="264" t="str">
        <f t="shared" si="4"/>
        <v/>
      </c>
      <c r="U2157" s="264" t="str">
        <f t="shared" si="5"/>
        <v/>
      </c>
      <c r="V2157" s="264" t="str">
        <f t="shared" si="6"/>
        <v/>
      </c>
      <c r="W2157" s="267" t="str">
        <f t="shared" si="8"/>
        <v/>
      </c>
      <c r="X2157" s="264" t="str">
        <f t="shared" si="7"/>
        <v/>
      </c>
    </row>
    <row r="2158" ht="15.75" customHeight="1">
      <c r="A2158" s="258"/>
      <c r="B2158" s="258"/>
      <c r="C2158" s="269"/>
      <c r="D2158" s="258"/>
      <c r="E2158" s="258"/>
      <c r="F2158" s="258"/>
      <c r="G2158" s="258"/>
      <c r="H2158" s="271"/>
      <c r="I2158" s="258"/>
      <c r="J2158" s="272"/>
      <c r="K2158" s="260"/>
      <c r="L2158" s="261"/>
      <c r="M2158" s="262" t="str">
        <f t="shared" si="1"/>
        <v/>
      </c>
      <c r="N2158" s="263" t="str">
        <f t="shared" si="2"/>
        <v/>
      </c>
      <c r="O2158" s="264" t="str">
        <f t="shared" si="3"/>
        <v/>
      </c>
      <c r="P2158" s="265" t="str">
        <f>IFERROR(__xludf.DUMMYFUNCTION("IF(ISBLANK(A2158),"""",IFERROR(IF(H2158=""Sell"",VLOOKUP(9^99,FILTER({ROW(P$2:P2157),P$2:P2157},D$2:D2157=D2158),2),(VLOOKUP(9^99,FILTER({ROW(P$2:P2157),P$2:P2157},D$2:D2157=D2158),2)*VLOOKUP(9^99,FILTER({ROW(O$2:O2157),O$2:O2157},D$2:D2157=D2158),2)-N215"&amp;"8)/O2158),J2158))"),"")</f>
        <v/>
      </c>
      <c r="Q2158" s="264" t="str">
        <f>IFERROR(__xludf.DUMMYFUNCTION("IFERROR(IF(F2158=""Crypto"",B2158,(IF(ISBLANK(D2158),"""",IF(D2158=""Cash"",B2158,IF(GOOGLEFINANCE(D2158,""CURRENCY"")=""GBX"",""GBP"",GOOGLEFINANCE(D2158,""CURRENCY"")))))),B2158)"),"")</f>
        <v/>
      </c>
      <c r="R2158" s="263" t="str">
        <f>IFERROR(__xludf.DUMMYFUNCTION("IF(ISBLANK(A2158),"""",IFERROR(IF(OR(Q2158=""GPB"",Q2158=""ZAR""),IF(Q2158=Dashboard!$L$1,K2158,(K2158*GOOGLEFINANCE(""CURRENCY:""&amp;Q2158&amp;""""&amp;Dashboard!$L$1&amp;""""))/100),IF(Q2158=Dashboard!$L$1,K2158,K2158*GOOGLEFINANCE(""CURRENCY:""&amp;Q2158&amp;""""&amp;Dashboard!$"&amp;"L$1&amp;""""))),K2158))"),"")</f>
        <v/>
      </c>
      <c r="S2158" s="266" t="str">
        <f>IFERROR(__xludf.DUMMYFUNCTION("IF(ISBLANK(A2158),"""",IFERROR(IF(OR(Q2158=""GPB"",Q2158=""ZAR""),IF(Q2158=Dashboard!$L$1,M2158,(M2158*GOOGLEFINANCE(""CURRENCY:""&amp;Q2158&amp;""""&amp;Dashboard!$L$1&amp;""""))/100),IF(Q2158=Dashboard!$L$1,M2158,M2158*GOOGLEFINANCE(""CURRENCY:""&amp;Q2158&amp;""""&amp;Dashboard!$"&amp;"L$1&amp;""""))),M2158))"),"")</f>
        <v/>
      </c>
      <c r="T2158" s="264" t="str">
        <f t="shared" si="4"/>
        <v/>
      </c>
      <c r="U2158" s="264" t="str">
        <f t="shared" si="5"/>
        <v/>
      </c>
      <c r="V2158" s="264" t="str">
        <f t="shared" si="6"/>
        <v/>
      </c>
      <c r="W2158" s="267" t="str">
        <f t="shared" si="8"/>
        <v/>
      </c>
      <c r="X2158" s="264" t="str">
        <f t="shared" si="7"/>
        <v/>
      </c>
    </row>
    <row r="2159" ht="15.75" customHeight="1">
      <c r="A2159" s="258"/>
      <c r="B2159" s="258"/>
      <c r="C2159" s="269"/>
      <c r="D2159" s="258"/>
      <c r="E2159" s="258"/>
      <c r="F2159" s="258"/>
      <c r="G2159" s="258"/>
      <c r="H2159" s="271"/>
      <c r="I2159" s="258"/>
      <c r="J2159" s="272"/>
      <c r="K2159" s="260"/>
      <c r="L2159" s="261"/>
      <c r="M2159" s="262" t="str">
        <f t="shared" si="1"/>
        <v/>
      </c>
      <c r="N2159" s="263" t="str">
        <f t="shared" si="2"/>
        <v/>
      </c>
      <c r="O2159" s="264" t="str">
        <f t="shared" si="3"/>
        <v/>
      </c>
      <c r="P2159" s="265" t="str">
        <f>IFERROR(__xludf.DUMMYFUNCTION("IF(ISBLANK(A2159),"""",IFERROR(IF(H2159=""Sell"",VLOOKUP(9^99,FILTER({ROW(P$2:P2158),P$2:P2158},D$2:D2158=D2159),2),(VLOOKUP(9^99,FILTER({ROW(P$2:P2158),P$2:P2158},D$2:D2158=D2159),2)*VLOOKUP(9^99,FILTER({ROW(O$2:O2158),O$2:O2158},D$2:D2158=D2159),2)-N215"&amp;"9)/O2159),J2159))"),"")</f>
        <v/>
      </c>
      <c r="Q2159" s="264" t="str">
        <f>IFERROR(__xludf.DUMMYFUNCTION("IFERROR(IF(F2159=""Crypto"",B2159,(IF(ISBLANK(D2159),"""",IF(D2159=""Cash"",B2159,IF(GOOGLEFINANCE(D2159,""CURRENCY"")=""GBX"",""GBP"",GOOGLEFINANCE(D2159,""CURRENCY"")))))),B2159)"),"")</f>
        <v/>
      </c>
      <c r="R2159" s="263" t="str">
        <f>IFERROR(__xludf.DUMMYFUNCTION("IF(ISBLANK(A2159),"""",IFERROR(IF(OR(Q2159=""GPB"",Q2159=""ZAR""),IF(Q2159=Dashboard!$L$1,K2159,(K2159*GOOGLEFINANCE(""CURRENCY:""&amp;Q2159&amp;""""&amp;Dashboard!$L$1&amp;""""))/100),IF(Q2159=Dashboard!$L$1,K2159,K2159*GOOGLEFINANCE(""CURRENCY:""&amp;Q2159&amp;""""&amp;Dashboard!$"&amp;"L$1&amp;""""))),K2159))"),"")</f>
        <v/>
      </c>
      <c r="S2159" s="266" t="str">
        <f>IFERROR(__xludf.DUMMYFUNCTION("IF(ISBLANK(A2159),"""",IFERROR(IF(OR(Q2159=""GPB"",Q2159=""ZAR""),IF(Q2159=Dashboard!$L$1,M2159,(M2159*GOOGLEFINANCE(""CURRENCY:""&amp;Q2159&amp;""""&amp;Dashboard!$L$1&amp;""""))/100),IF(Q2159=Dashboard!$L$1,M2159,M2159*GOOGLEFINANCE(""CURRENCY:""&amp;Q2159&amp;""""&amp;Dashboard!$"&amp;"L$1&amp;""""))),M2159))"),"")</f>
        <v/>
      </c>
      <c r="T2159" s="264" t="str">
        <f t="shared" si="4"/>
        <v/>
      </c>
      <c r="U2159" s="264" t="str">
        <f t="shared" si="5"/>
        <v/>
      </c>
      <c r="V2159" s="264" t="str">
        <f t="shared" si="6"/>
        <v/>
      </c>
      <c r="W2159" s="267" t="str">
        <f t="shared" si="8"/>
        <v/>
      </c>
      <c r="X2159" s="264" t="str">
        <f t="shared" si="7"/>
        <v/>
      </c>
    </row>
    <row r="2160" ht="15.75" customHeight="1">
      <c r="A2160" s="258"/>
      <c r="B2160" s="258"/>
      <c r="C2160" s="269"/>
      <c r="D2160" s="258"/>
      <c r="E2160" s="258"/>
      <c r="F2160" s="258"/>
      <c r="G2160" s="258"/>
      <c r="H2160" s="271"/>
      <c r="I2160" s="258"/>
      <c r="J2160" s="272"/>
      <c r="K2160" s="260"/>
      <c r="L2160" s="261"/>
      <c r="M2160" s="262" t="str">
        <f t="shared" si="1"/>
        <v/>
      </c>
      <c r="N2160" s="263" t="str">
        <f t="shared" si="2"/>
        <v/>
      </c>
      <c r="O2160" s="264" t="str">
        <f t="shared" si="3"/>
        <v/>
      </c>
      <c r="P2160" s="265" t="str">
        <f>IFERROR(__xludf.DUMMYFUNCTION("IF(ISBLANK(A2160),"""",IFERROR(IF(H2160=""Sell"",VLOOKUP(9^99,FILTER({ROW(P$2:P2159),P$2:P2159},D$2:D2159=D2160),2),(VLOOKUP(9^99,FILTER({ROW(P$2:P2159),P$2:P2159},D$2:D2159=D2160),2)*VLOOKUP(9^99,FILTER({ROW(O$2:O2159),O$2:O2159},D$2:D2159=D2160),2)-N216"&amp;"0)/O2160),J2160))"),"")</f>
        <v/>
      </c>
      <c r="Q2160" s="264" t="str">
        <f>IFERROR(__xludf.DUMMYFUNCTION("IFERROR(IF(F2160=""Crypto"",B2160,(IF(ISBLANK(D2160),"""",IF(D2160=""Cash"",B2160,IF(GOOGLEFINANCE(D2160,""CURRENCY"")=""GBX"",""GBP"",GOOGLEFINANCE(D2160,""CURRENCY"")))))),B2160)"),"")</f>
        <v/>
      </c>
      <c r="R2160" s="263" t="str">
        <f>IFERROR(__xludf.DUMMYFUNCTION("IF(ISBLANK(A2160),"""",IFERROR(IF(OR(Q2160=""GPB"",Q2160=""ZAR""),IF(Q2160=Dashboard!$L$1,K2160,(K2160*GOOGLEFINANCE(""CURRENCY:""&amp;Q2160&amp;""""&amp;Dashboard!$L$1&amp;""""))/100),IF(Q2160=Dashboard!$L$1,K2160,K2160*GOOGLEFINANCE(""CURRENCY:""&amp;Q2160&amp;""""&amp;Dashboard!$"&amp;"L$1&amp;""""))),K2160))"),"")</f>
        <v/>
      </c>
      <c r="S2160" s="266" t="str">
        <f>IFERROR(__xludf.DUMMYFUNCTION("IF(ISBLANK(A2160),"""",IFERROR(IF(OR(Q2160=""GPB"",Q2160=""ZAR""),IF(Q2160=Dashboard!$L$1,M2160,(M2160*GOOGLEFINANCE(""CURRENCY:""&amp;Q2160&amp;""""&amp;Dashboard!$L$1&amp;""""))/100),IF(Q2160=Dashboard!$L$1,M2160,M2160*GOOGLEFINANCE(""CURRENCY:""&amp;Q2160&amp;""""&amp;Dashboard!$"&amp;"L$1&amp;""""))),M2160))"),"")</f>
        <v/>
      </c>
      <c r="T2160" s="264" t="str">
        <f t="shared" si="4"/>
        <v/>
      </c>
      <c r="U2160" s="264" t="str">
        <f t="shared" si="5"/>
        <v/>
      </c>
      <c r="V2160" s="264" t="str">
        <f t="shared" si="6"/>
        <v/>
      </c>
      <c r="W2160" s="267" t="str">
        <f t="shared" si="8"/>
        <v/>
      </c>
      <c r="X2160" s="264" t="str">
        <f t="shared" si="7"/>
        <v/>
      </c>
    </row>
    <row r="2161" ht="15.75" customHeight="1">
      <c r="A2161" s="258"/>
      <c r="B2161" s="258"/>
      <c r="C2161" s="269"/>
      <c r="D2161" s="258"/>
      <c r="E2161" s="258"/>
      <c r="F2161" s="258"/>
      <c r="G2161" s="258"/>
      <c r="H2161" s="271"/>
      <c r="I2161" s="258"/>
      <c r="J2161" s="272"/>
      <c r="K2161" s="260"/>
      <c r="L2161" s="261"/>
      <c r="M2161" s="262" t="str">
        <f t="shared" si="1"/>
        <v/>
      </c>
      <c r="N2161" s="263" t="str">
        <f t="shared" si="2"/>
        <v/>
      </c>
      <c r="O2161" s="264" t="str">
        <f t="shared" si="3"/>
        <v/>
      </c>
      <c r="P2161" s="265" t="str">
        <f>IFERROR(__xludf.DUMMYFUNCTION("IF(ISBLANK(A2161),"""",IFERROR(IF(H2161=""Sell"",VLOOKUP(9^99,FILTER({ROW(P$2:P2160),P$2:P2160},D$2:D2160=D2161),2),(VLOOKUP(9^99,FILTER({ROW(P$2:P2160),P$2:P2160},D$2:D2160=D2161),2)*VLOOKUP(9^99,FILTER({ROW(O$2:O2160),O$2:O2160},D$2:D2160=D2161),2)-N216"&amp;"1)/O2161),J2161))"),"")</f>
        <v/>
      </c>
      <c r="Q2161" s="264" t="str">
        <f>IFERROR(__xludf.DUMMYFUNCTION("IFERROR(IF(F2161=""Crypto"",B2161,(IF(ISBLANK(D2161),"""",IF(D2161=""Cash"",B2161,IF(GOOGLEFINANCE(D2161,""CURRENCY"")=""GBX"",""GBP"",GOOGLEFINANCE(D2161,""CURRENCY"")))))),B2161)"),"")</f>
        <v/>
      </c>
      <c r="R2161" s="263" t="str">
        <f>IFERROR(__xludf.DUMMYFUNCTION("IF(ISBLANK(A2161),"""",IFERROR(IF(OR(Q2161=""GPB"",Q2161=""ZAR""),IF(Q2161=Dashboard!$L$1,K2161,(K2161*GOOGLEFINANCE(""CURRENCY:""&amp;Q2161&amp;""""&amp;Dashboard!$L$1&amp;""""))/100),IF(Q2161=Dashboard!$L$1,K2161,K2161*GOOGLEFINANCE(""CURRENCY:""&amp;Q2161&amp;""""&amp;Dashboard!$"&amp;"L$1&amp;""""))),K2161))"),"")</f>
        <v/>
      </c>
      <c r="S2161" s="266" t="str">
        <f>IFERROR(__xludf.DUMMYFUNCTION("IF(ISBLANK(A2161),"""",IFERROR(IF(OR(Q2161=""GPB"",Q2161=""ZAR""),IF(Q2161=Dashboard!$L$1,M2161,(M2161*GOOGLEFINANCE(""CURRENCY:""&amp;Q2161&amp;""""&amp;Dashboard!$L$1&amp;""""))/100),IF(Q2161=Dashboard!$L$1,M2161,M2161*GOOGLEFINANCE(""CURRENCY:""&amp;Q2161&amp;""""&amp;Dashboard!$"&amp;"L$1&amp;""""))),M2161))"),"")</f>
        <v/>
      </c>
      <c r="T2161" s="264" t="str">
        <f t="shared" si="4"/>
        <v/>
      </c>
      <c r="U2161" s="264" t="str">
        <f t="shared" si="5"/>
        <v/>
      </c>
      <c r="V2161" s="264" t="str">
        <f t="shared" si="6"/>
        <v/>
      </c>
      <c r="W2161" s="267" t="str">
        <f t="shared" si="8"/>
        <v/>
      </c>
      <c r="X2161" s="264" t="str">
        <f t="shared" si="7"/>
        <v/>
      </c>
    </row>
    <row r="2162" ht="15.75" customHeight="1">
      <c r="A2162" s="258"/>
      <c r="B2162" s="258"/>
      <c r="C2162" s="269"/>
      <c r="D2162" s="258"/>
      <c r="E2162" s="258"/>
      <c r="F2162" s="258"/>
      <c r="G2162" s="258"/>
      <c r="H2162" s="271"/>
      <c r="I2162" s="258"/>
      <c r="J2162" s="272"/>
      <c r="K2162" s="260"/>
      <c r="L2162" s="261"/>
      <c r="M2162" s="262" t="str">
        <f t="shared" si="1"/>
        <v/>
      </c>
      <c r="N2162" s="263" t="str">
        <f t="shared" si="2"/>
        <v/>
      </c>
      <c r="O2162" s="264" t="str">
        <f t="shared" si="3"/>
        <v/>
      </c>
      <c r="P2162" s="265" t="str">
        <f>IFERROR(__xludf.DUMMYFUNCTION("IF(ISBLANK(A2162),"""",IFERROR(IF(H2162=""Sell"",VLOOKUP(9^99,FILTER({ROW(P$2:P2161),P$2:P2161},D$2:D2161=D2162),2),(VLOOKUP(9^99,FILTER({ROW(P$2:P2161),P$2:P2161},D$2:D2161=D2162),2)*VLOOKUP(9^99,FILTER({ROW(O$2:O2161),O$2:O2161},D$2:D2161=D2162),2)-N216"&amp;"2)/O2162),J2162))"),"")</f>
        <v/>
      </c>
      <c r="Q2162" s="264" t="str">
        <f>IFERROR(__xludf.DUMMYFUNCTION("IFERROR(IF(F2162=""Crypto"",B2162,(IF(ISBLANK(D2162),"""",IF(D2162=""Cash"",B2162,IF(GOOGLEFINANCE(D2162,""CURRENCY"")=""GBX"",""GBP"",GOOGLEFINANCE(D2162,""CURRENCY"")))))),B2162)"),"")</f>
        <v/>
      </c>
      <c r="R2162" s="263" t="str">
        <f>IFERROR(__xludf.DUMMYFUNCTION("IF(ISBLANK(A2162),"""",IFERROR(IF(OR(Q2162=""GPB"",Q2162=""ZAR""),IF(Q2162=Dashboard!$L$1,K2162,(K2162*GOOGLEFINANCE(""CURRENCY:""&amp;Q2162&amp;""""&amp;Dashboard!$L$1&amp;""""))/100),IF(Q2162=Dashboard!$L$1,K2162,K2162*GOOGLEFINANCE(""CURRENCY:""&amp;Q2162&amp;""""&amp;Dashboard!$"&amp;"L$1&amp;""""))),K2162))"),"")</f>
        <v/>
      </c>
      <c r="S2162" s="266" t="str">
        <f>IFERROR(__xludf.DUMMYFUNCTION("IF(ISBLANK(A2162),"""",IFERROR(IF(OR(Q2162=""GPB"",Q2162=""ZAR""),IF(Q2162=Dashboard!$L$1,M2162,(M2162*GOOGLEFINANCE(""CURRENCY:""&amp;Q2162&amp;""""&amp;Dashboard!$L$1&amp;""""))/100),IF(Q2162=Dashboard!$L$1,M2162,M2162*GOOGLEFINANCE(""CURRENCY:""&amp;Q2162&amp;""""&amp;Dashboard!$"&amp;"L$1&amp;""""))),M2162))"),"")</f>
        <v/>
      </c>
      <c r="T2162" s="264" t="str">
        <f t="shared" si="4"/>
        <v/>
      </c>
      <c r="U2162" s="264" t="str">
        <f t="shared" si="5"/>
        <v/>
      </c>
      <c r="V2162" s="264" t="str">
        <f t="shared" si="6"/>
        <v/>
      </c>
      <c r="W2162" s="267" t="str">
        <f t="shared" si="8"/>
        <v/>
      </c>
      <c r="X2162" s="264" t="str">
        <f t="shared" si="7"/>
        <v/>
      </c>
    </row>
    <row r="2163" ht="15.75" customHeight="1">
      <c r="A2163" s="258"/>
      <c r="B2163" s="258"/>
      <c r="C2163" s="269"/>
      <c r="D2163" s="258"/>
      <c r="E2163" s="258"/>
      <c r="F2163" s="258"/>
      <c r="G2163" s="258"/>
      <c r="H2163" s="271"/>
      <c r="I2163" s="258"/>
      <c r="J2163" s="272"/>
      <c r="K2163" s="260"/>
      <c r="L2163" s="261"/>
      <c r="M2163" s="262" t="str">
        <f t="shared" si="1"/>
        <v/>
      </c>
      <c r="N2163" s="263" t="str">
        <f t="shared" si="2"/>
        <v/>
      </c>
      <c r="O2163" s="264" t="str">
        <f t="shared" si="3"/>
        <v/>
      </c>
      <c r="P2163" s="265" t="str">
        <f>IFERROR(__xludf.DUMMYFUNCTION("IF(ISBLANK(A2163),"""",IFERROR(IF(H2163=""Sell"",VLOOKUP(9^99,FILTER({ROW(P$2:P2162),P$2:P2162},D$2:D2162=D2163),2),(VLOOKUP(9^99,FILTER({ROW(P$2:P2162),P$2:P2162},D$2:D2162=D2163),2)*VLOOKUP(9^99,FILTER({ROW(O$2:O2162),O$2:O2162},D$2:D2162=D2163),2)-N216"&amp;"3)/O2163),J2163))"),"")</f>
        <v/>
      </c>
      <c r="Q2163" s="264" t="str">
        <f>IFERROR(__xludf.DUMMYFUNCTION("IFERROR(IF(F2163=""Crypto"",B2163,(IF(ISBLANK(D2163),"""",IF(D2163=""Cash"",B2163,IF(GOOGLEFINANCE(D2163,""CURRENCY"")=""GBX"",""GBP"",GOOGLEFINANCE(D2163,""CURRENCY"")))))),B2163)"),"")</f>
        <v/>
      </c>
      <c r="R2163" s="263" t="str">
        <f>IFERROR(__xludf.DUMMYFUNCTION("IF(ISBLANK(A2163),"""",IFERROR(IF(OR(Q2163=""GPB"",Q2163=""ZAR""),IF(Q2163=Dashboard!$L$1,K2163,(K2163*GOOGLEFINANCE(""CURRENCY:""&amp;Q2163&amp;""""&amp;Dashboard!$L$1&amp;""""))/100),IF(Q2163=Dashboard!$L$1,K2163,K2163*GOOGLEFINANCE(""CURRENCY:""&amp;Q2163&amp;""""&amp;Dashboard!$"&amp;"L$1&amp;""""))),K2163))"),"")</f>
        <v/>
      </c>
      <c r="S2163" s="266" t="str">
        <f>IFERROR(__xludf.DUMMYFUNCTION("IF(ISBLANK(A2163),"""",IFERROR(IF(OR(Q2163=""GPB"",Q2163=""ZAR""),IF(Q2163=Dashboard!$L$1,M2163,(M2163*GOOGLEFINANCE(""CURRENCY:""&amp;Q2163&amp;""""&amp;Dashboard!$L$1&amp;""""))/100),IF(Q2163=Dashboard!$L$1,M2163,M2163*GOOGLEFINANCE(""CURRENCY:""&amp;Q2163&amp;""""&amp;Dashboard!$"&amp;"L$1&amp;""""))),M2163))"),"")</f>
        <v/>
      </c>
      <c r="T2163" s="264" t="str">
        <f t="shared" si="4"/>
        <v/>
      </c>
      <c r="U2163" s="264" t="str">
        <f t="shared" si="5"/>
        <v/>
      </c>
      <c r="V2163" s="264" t="str">
        <f t="shared" si="6"/>
        <v/>
      </c>
      <c r="W2163" s="267" t="str">
        <f t="shared" si="8"/>
        <v/>
      </c>
      <c r="X2163" s="264" t="str">
        <f t="shared" si="7"/>
        <v/>
      </c>
    </row>
    <row r="2164" ht="15.75" customHeight="1">
      <c r="A2164" s="258"/>
      <c r="B2164" s="258"/>
      <c r="C2164" s="269"/>
      <c r="D2164" s="258"/>
      <c r="E2164" s="258"/>
      <c r="F2164" s="258"/>
      <c r="G2164" s="258"/>
      <c r="H2164" s="271"/>
      <c r="I2164" s="258"/>
      <c r="J2164" s="272"/>
      <c r="K2164" s="260"/>
      <c r="L2164" s="261"/>
      <c r="M2164" s="262" t="str">
        <f t="shared" si="1"/>
        <v/>
      </c>
      <c r="N2164" s="263" t="str">
        <f t="shared" si="2"/>
        <v/>
      </c>
      <c r="O2164" s="264" t="str">
        <f t="shared" si="3"/>
        <v/>
      </c>
      <c r="P2164" s="265" t="str">
        <f>IFERROR(__xludf.DUMMYFUNCTION("IF(ISBLANK(A2164),"""",IFERROR(IF(H2164=""Sell"",VLOOKUP(9^99,FILTER({ROW(P$2:P2163),P$2:P2163},D$2:D2163=D2164),2),(VLOOKUP(9^99,FILTER({ROW(P$2:P2163),P$2:P2163},D$2:D2163=D2164),2)*VLOOKUP(9^99,FILTER({ROW(O$2:O2163),O$2:O2163},D$2:D2163=D2164),2)-N216"&amp;"4)/O2164),J2164))"),"")</f>
        <v/>
      </c>
      <c r="Q2164" s="264" t="str">
        <f>IFERROR(__xludf.DUMMYFUNCTION("IFERROR(IF(F2164=""Crypto"",B2164,(IF(ISBLANK(D2164),"""",IF(D2164=""Cash"",B2164,IF(GOOGLEFINANCE(D2164,""CURRENCY"")=""GBX"",""GBP"",GOOGLEFINANCE(D2164,""CURRENCY"")))))),B2164)"),"")</f>
        <v/>
      </c>
      <c r="R2164" s="263" t="str">
        <f>IFERROR(__xludf.DUMMYFUNCTION("IF(ISBLANK(A2164),"""",IFERROR(IF(OR(Q2164=""GPB"",Q2164=""ZAR""),IF(Q2164=Dashboard!$L$1,K2164,(K2164*GOOGLEFINANCE(""CURRENCY:""&amp;Q2164&amp;""""&amp;Dashboard!$L$1&amp;""""))/100),IF(Q2164=Dashboard!$L$1,K2164,K2164*GOOGLEFINANCE(""CURRENCY:""&amp;Q2164&amp;""""&amp;Dashboard!$"&amp;"L$1&amp;""""))),K2164))"),"")</f>
        <v/>
      </c>
      <c r="S2164" s="266" t="str">
        <f>IFERROR(__xludf.DUMMYFUNCTION("IF(ISBLANK(A2164),"""",IFERROR(IF(OR(Q2164=""GPB"",Q2164=""ZAR""),IF(Q2164=Dashboard!$L$1,M2164,(M2164*GOOGLEFINANCE(""CURRENCY:""&amp;Q2164&amp;""""&amp;Dashboard!$L$1&amp;""""))/100),IF(Q2164=Dashboard!$L$1,M2164,M2164*GOOGLEFINANCE(""CURRENCY:""&amp;Q2164&amp;""""&amp;Dashboard!$"&amp;"L$1&amp;""""))),M2164))"),"")</f>
        <v/>
      </c>
      <c r="T2164" s="264" t="str">
        <f t="shared" si="4"/>
        <v/>
      </c>
      <c r="U2164" s="264" t="str">
        <f t="shared" si="5"/>
        <v/>
      </c>
      <c r="V2164" s="264" t="str">
        <f t="shared" si="6"/>
        <v/>
      </c>
      <c r="W2164" s="267" t="str">
        <f t="shared" si="8"/>
        <v/>
      </c>
      <c r="X2164" s="264" t="str">
        <f t="shared" si="7"/>
        <v/>
      </c>
    </row>
    <row r="2165" ht="15.75" customHeight="1">
      <c r="A2165" s="258"/>
      <c r="B2165" s="258"/>
      <c r="C2165" s="269"/>
      <c r="D2165" s="258"/>
      <c r="E2165" s="258"/>
      <c r="F2165" s="258"/>
      <c r="G2165" s="258"/>
      <c r="H2165" s="271"/>
      <c r="I2165" s="258"/>
      <c r="J2165" s="272"/>
      <c r="K2165" s="260"/>
      <c r="L2165" s="261"/>
      <c r="M2165" s="262" t="str">
        <f t="shared" si="1"/>
        <v/>
      </c>
      <c r="N2165" s="263" t="str">
        <f t="shared" si="2"/>
        <v/>
      </c>
      <c r="O2165" s="264" t="str">
        <f t="shared" si="3"/>
        <v/>
      </c>
      <c r="P2165" s="265" t="str">
        <f>IFERROR(__xludf.DUMMYFUNCTION("IF(ISBLANK(A2165),"""",IFERROR(IF(H2165=""Sell"",VLOOKUP(9^99,FILTER({ROW(P$2:P2164),P$2:P2164},D$2:D2164=D2165),2),(VLOOKUP(9^99,FILTER({ROW(P$2:P2164),P$2:P2164},D$2:D2164=D2165),2)*VLOOKUP(9^99,FILTER({ROW(O$2:O2164),O$2:O2164},D$2:D2164=D2165),2)-N216"&amp;"5)/O2165),J2165))"),"")</f>
        <v/>
      </c>
      <c r="Q2165" s="264" t="str">
        <f>IFERROR(__xludf.DUMMYFUNCTION("IFERROR(IF(F2165=""Crypto"",B2165,(IF(ISBLANK(D2165),"""",IF(D2165=""Cash"",B2165,IF(GOOGLEFINANCE(D2165,""CURRENCY"")=""GBX"",""GBP"",GOOGLEFINANCE(D2165,""CURRENCY"")))))),B2165)"),"")</f>
        <v/>
      </c>
      <c r="R2165" s="263" t="str">
        <f>IFERROR(__xludf.DUMMYFUNCTION("IF(ISBLANK(A2165),"""",IFERROR(IF(OR(Q2165=""GPB"",Q2165=""ZAR""),IF(Q2165=Dashboard!$L$1,K2165,(K2165*GOOGLEFINANCE(""CURRENCY:""&amp;Q2165&amp;""""&amp;Dashboard!$L$1&amp;""""))/100),IF(Q2165=Dashboard!$L$1,K2165,K2165*GOOGLEFINANCE(""CURRENCY:""&amp;Q2165&amp;""""&amp;Dashboard!$"&amp;"L$1&amp;""""))),K2165))"),"")</f>
        <v/>
      </c>
      <c r="S2165" s="266" t="str">
        <f>IFERROR(__xludf.DUMMYFUNCTION("IF(ISBLANK(A2165),"""",IFERROR(IF(OR(Q2165=""GPB"",Q2165=""ZAR""),IF(Q2165=Dashboard!$L$1,M2165,(M2165*GOOGLEFINANCE(""CURRENCY:""&amp;Q2165&amp;""""&amp;Dashboard!$L$1&amp;""""))/100),IF(Q2165=Dashboard!$L$1,M2165,M2165*GOOGLEFINANCE(""CURRENCY:""&amp;Q2165&amp;""""&amp;Dashboard!$"&amp;"L$1&amp;""""))),M2165))"),"")</f>
        <v/>
      </c>
      <c r="T2165" s="264" t="str">
        <f t="shared" si="4"/>
        <v/>
      </c>
      <c r="U2165" s="264" t="str">
        <f t="shared" si="5"/>
        <v/>
      </c>
      <c r="V2165" s="264" t="str">
        <f t="shared" si="6"/>
        <v/>
      </c>
      <c r="W2165" s="267" t="str">
        <f t="shared" si="8"/>
        <v/>
      </c>
      <c r="X2165" s="264" t="str">
        <f t="shared" si="7"/>
        <v/>
      </c>
    </row>
    <row r="2166" ht="15.75" customHeight="1">
      <c r="A2166" s="258"/>
      <c r="B2166" s="258"/>
      <c r="C2166" s="269"/>
      <c r="D2166" s="258"/>
      <c r="E2166" s="258"/>
      <c r="F2166" s="258"/>
      <c r="G2166" s="258"/>
      <c r="H2166" s="271"/>
      <c r="I2166" s="258"/>
      <c r="J2166" s="272"/>
      <c r="K2166" s="260"/>
      <c r="L2166" s="261"/>
      <c r="M2166" s="262" t="str">
        <f t="shared" si="1"/>
        <v/>
      </c>
      <c r="N2166" s="263" t="str">
        <f t="shared" si="2"/>
        <v/>
      </c>
      <c r="O2166" s="264" t="str">
        <f t="shared" si="3"/>
        <v/>
      </c>
      <c r="P2166" s="265" t="str">
        <f>IFERROR(__xludf.DUMMYFUNCTION("IF(ISBLANK(A2166),"""",IFERROR(IF(H2166=""Sell"",VLOOKUP(9^99,FILTER({ROW(P$2:P2165),P$2:P2165},D$2:D2165=D2166),2),(VLOOKUP(9^99,FILTER({ROW(P$2:P2165),P$2:P2165},D$2:D2165=D2166),2)*VLOOKUP(9^99,FILTER({ROW(O$2:O2165),O$2:O2165},D$2:D2165=D2166),2)-N216"&amp;"6)/O2166),J2166))"),"")</f>
        <v/>
      </c>
      <c r="Q2166" s="264" t="str">
        <f>IFERROR(__xludf.DUMMYFUNCTION("IFERROR(IF(F2166=""Crypto"",B2166,(IF(ISBLANK(D2166),"""",IF(D2166=""Cash"",B2166,IF(GOOGLEFINANCE(D2166,""CURRENCY"")=""GBX"",""GBP"",GOOGLEFINANCE(D2166,""CURRENCY"")))))),B2166)"),"")</f>
        <v/>
      </c>
      <c r="R2166" s="263" t="str">
        <f>IFERROR(__xludf.DUMMYFUNCTION("IF(ISBLANK(A2166),"""",IFERROR(IF(OR(Q2166=""GPB"",Q2166=""ZAR""),IF(Q2166=Dashboard!$L$1,K2166,(K2166*GOOGLEFINANCE(""CURRENCY:""&amp;Q2166&amp;""""&amp;Dashboard!$L$1&amp;""""))/100),IF(Q2166=Dashboard!$L$1,K2166,K2166*GOOGLEFINANCE(""CURRENCY:""&amp;Q2166&amp;""""&amp;Dashboard!$"&amp;"L$1&amp;""""))),K2166))"),"")</f>
        <v/>
      </c>
      <c r="S2166" s="266" t="str">
        <f>IFERROR(__xludf.DUMMYFUNCTION("IF(ISBLANK(A2166),"""",IFERROR(IF(OR(Q2166=""GPB"",Q2166=""ZAR""),IF(Q2166=Dashboard!$L$1,M2166,(M2166*GOOGLEFINANCE(""CURRENCY:""&amp;Q2166&amp;""""&amp;Dashboard!$L$1&amp;""""))/100),IF(Q2166=Dashboard!$L$1,M2166,M2166*GOOGLEFINANCE(""CURRENCY:""&amp;Q2166&amp;""""&amp;Dashboard!$"&amp;"L$1&amp;""""))),M2166))"),"")</f>
        <v/>
      </c>
      <c r="T2166" s="264" t="str">
        <f t="shared" si="4"/>
        <v/>
      </c>
      <c r="U2166" s="264" t="str">
        <f t="shared" si="5"/>
        <v/>
      </c>
      <c r="V2166" s="264" t="str">
        <f t="shared" si="6"/>
        <v/>
      </c>
      <c r="W2166" s="267" t="str">
        <f t="shared" si="8"/>
        <v/>
      </c>
      <c r="X2166" s="264" t="str">
        <f t="shared" si="7"/>
        <v/>
      </c>
    </row>
    <row r="2167" ht="15.75" customHeight="1">
      <c r="A2167" s="258"/>
      <c r="B2167" s="258"/>
      <c r="C2167" s="269"/>
      <c r="D2167" s="258"/>
      <c r="E2167" s="258"/>
      <c r="F2167" s="258"/>
      <c r="G2167" s="258"/>
      <c r="H2167" s="271"/>
      <c r="I2167" s="258"/>
      <c r="J2167" s="272"/>
      <c r="K2167" s="260"/>
      <c r="L2167" s="261"/>
      <c r="M2167" s="262" t="str">
        <f t="shared" si="1"/>
        <v/>
      </c>
      <c r="N2167" s="263" t="str">
        <f t="shared" si="2"/>
        <v/>
      </c>
      <c r="O2167" s="264" t="str">
        <f t="shared" si="3"/>
        <v/>
      </c>
      <c r="P2167" s="265" t="str">
        <f>IFERROR(__xludf.DUMMYFUNCTION("IF(ISBLANK(A2167),"""",IFERROR(IF(H2167=""Sell"",VLOOKUP(9^99,FILTER({ROW(P$2:P2166),P$2:P2166},D$2:D2166=D2167),2),(VLOOKUP(9^99,FILTER({ROW(P$2:P2166),P$2:P2166},D$2:D2166=D2167),2)*VLOOKUP(9^99,FILTER({ROW(O$2:O2166),O$2:O2166},D$2:D2166=D2167),2)-N216"&amp;"7)/O2167),J2167))"),"")</f>
        <v/>
      </c>
      <c r="Q2167" s="264" t="str">
        <f>IFERROR(__xludf.DUMMYFUNCTION("IFERROR(IF(F2167=""Crypto"",B2167,(IF(ISBLANK(D2167),"""",IF(D2167=""Cash"",B2167,IF(GOOGLEFINANCE(D2167,""CURRENCY"")=""GBX"",""GBP"",GOOGLEFINANCE(D2167,""CURRENCY"")))))),B2167)"),"")</f>
        <v/>
      </c>
      <c r="R2167" s="263" t="str">
        <f>IFERROR(__xludf.DUMMYFUNCTION("IF(ISBLANK(A2167),"""",IFERROR(IF(OR(Q2167=""GPB"",Q2167=""ZAR""),IF(Q2167=Dashboard!$L$1,K2167,(K2167*GOOGLEFINANCE(""CURRENCY:""&amp;Q2167&amp;""""&amp;Dashboard!$L$1&amp;""""))/100),IF(Q2167=Dashboard!$L$1,K2167,K2167*GOOGLEFINANCE(""CURRENCY:""&amp;Q2167&amp;""""&amp;Dashboard!$"&amp;"L$1&amp;""""))),K2167))"),"")</f>
        <v/>
      </c>
      <c r="S2167" s="266" t="str">
        <f>IFERROR(__xludf.DUMMYFUNCTION("IF(ISBLANK(A2167),"""",IFERROR(IF(OR(Q2167=""GPB"",Q2167=""ZAR""),IF(Q2167=Dashboard!$L$1,M2167,(M2167*GOOGLEFINANCE(""CURRENCY:""&amp;Q2167&amp;""""&amp;Dashboard!$L$1&amp;""""))/100),IF(Q2167=Dashboard!$L$1,M2167,M2167*GOOGLEFINANCE(""CURRENCY:""&amp;Q2167&amp;""""&amp;Dashboard!$"&amp;"L$1&amp;""""))),M2167))"),"")</f>
        <v/>
      </c>
      <c r="T2167" s="264" t="str">
        <f t="shared" si="4"/>
        <v/>
      </c>
      <c r="U2167" s="264" t="str">
        <f t="shared" si="5"/>
        <v/>
      </c>
      <c r="V2167" s="264" t="str">
        <f t="shared" si="6"/>
        <v/>
      </c>
      <c r="W2167" s="267" t="str">
        <f t="shared" si="8"/>
        <v/>
      </c>
      <c r="X2167" s="264" t="str">
        <f t="shared" si="7"/>
        <v/>
      </c>
    </row>
    <row r="2168" ht="15.75" customHeight="1">
      <c r="A2168" s="258"/>
      <c r="B2168" s="258"/>
      <c r="C2168" s="269"/>
      <c r="D2168" s="258"/>
      <c r="E2168" s="258"/>
      <c r="F2168" s="258"/>
      <c r="G2168" s="258"/>
      <c r="H2168" s="271"/>
      <c r="I2168" s="258"/>
      <c r="J2168" s="272"/>
      <c r="K2168" s="260"/>
      <c r="L2168" s="261"/>
      <c r="M2168" s="262" t="str">
        <f t="shared" si="1"/>
        <v/>
      </c>
      <c r="N2168" s="263" t="str">
        <f t="shared" si="2"/>
        <v/>
      </c>
      <c r="O2168" s="264" t="str">
        <f t="shared" si="3"/>
        <v/>
      </c>
      <c r="P2168" s="265" t="str">
        <f>IFERROR(__xludf.DUMMYFUNCTION("IF(ISBLANK(A2168),"""",IFERROR(IF(H2168=""Sell"",VLOOKUP(9^99,FILTER({ROW(P$2:P2167),P$2:P2167},D$2:D2167=D2168),2),(VLOOKUP(9^99,FILTER({ROW(P$2:P2167),P$2:P2167},D$2:D2167=D2168),2)*VLOOKUP(9^99,FILTER({ROW(O$2:O2167),O$2:O2167},D$2:D2167=D2168),2)-N216"&amp;"8)/O2168),J2168))"),"")</f>
        <v/>
      </c>
      <c r="Q2168" s="264" t="str">
        <f>IFERROR(__xludf.DUMMYFUNCTION("IFERROR(IF(F2168=""Crypto"",B2168,(IF(ISBLANK(D2168),"""",IF(D2168=""Cash"",B2168,IF(GOOGLEFINANCE(D2168,""CURRENCY"")=""GBX"",""GBP"",GOOGLEFINANCE(D2168,""CURRENCY"")))))),B2168)"),"")</f>
        <v/>
      </c>
      <c r="R2168" s="263" t="str">
        <f>IFERROR(__xludf.DUMMYFUNCTION("IF(ISBLANK(A2168),"""",IFERROR(IF(OR(Q2168=""GPB"",Q2168=""ZAR""),IF(Q2168=Dashboard!$L$1,K2168,(K2168*GOOGLEFINANCE(""CURRENCY:""&amp;Q2168&amp;""""&amp;Dashboard!$L$1&amp;""""))/100),IF(Q2168=Dashboard!$L$1,K2168,K2168*GOOGLEFINANCE(""CURRENCY:""&amp;Q2168&amp;""""&amp;Dashboard!$"&amp;"L$1&amp;""""))),K2168))"),"")</f>
        <v/>
      </c>
      <c r="S2168" s="266" t="str">
        <f>IFERROR(__xludf.DUMMYFUNCTION("IF(ISBLANK(A2168),"""",IFERROR(IF(OR(Q2168=""GPB"",Q2168=""ZAR""),IF(Q2168=Dashboard!$L$1,M2168,(M2168*GOOGLEFINANCE(""CURRENCY:""&amp;Q2168&amp;""""&amp;Dashboard!$L$1&amp;""""))/100),IF(Q2168=Dashboard!$L$1,M2168,M2168*GOOGLEFINANCE(""CURRENCY:""&amp;Q2168&amp;""""&amp;Dashboard!$"&amp;"L$1&amp;""""))),M2168))"),"")</f>
        <v/>
      </c>
      <c r="T2168" s="264" t="str">
        <f t="shared" si="4"/>
        <v/>
      </c>
      <c r="U2168" s="264" t="str">
        <f t="shared" si="5"/>
        <v/>
      </c>
      <c r="V2168" s="264" t="str">
        <f t="shared" si="6"/>
        <v/>
      </c>
      <c r="W2168" s="267" t="str">
        <f t="shared" si="8"/>
        <v/>
      </c>
      <c r="X2168" s="264" t="str">
        <f t="shared" si="7"/>
        <v/>
      </c>
    </row>
    <row r="2169" ht="15.75" customHeight="1">
      <c r="A2169" s="258"/>
      <c r="B2169" s="258"/>
      <c r="C2169" s="269"/>
      <c r="D2169" s="258"/>
      <c r="E2169" s="258"/>
      <c r="F2169" s="258"/>
      <c r="G2169" s="258"/>
      <c r="H2169" s="271"/>
      <c r="I2169" s="258"/>
      <c r="J2169" s="272"/>
      <c r="K2169" s="260"/>
      <c r="L2169" s="261"/>
      <c r="M2169" s="262" t="str">
        <f t="shared" si="1"/>
        <v/>
      </c>
      <c r="N2169" s="263" t="str">
        <f t="shared" si="2"/>
        <v/>
      </c>
      <c r="O2169" s="264" t="str">
        <f t="shared" si="3"/>
        <v/>
      </c>
      <c r="P2169" s="265" t="str">
        <f>IFERROR(__xludf.DUMMYFUNCTION("IF(ISBLANK(A2169),"""",IFERROR(IF(H2169=""Sell"",VLOOKUP(9^99,FILTER({ROW(P$2:P2168),P$2:P2168},D$2:D2168=D2169),2),(VLOOKUP(9^99,FILTER({ROW(P$2:P2168),P$2:P2168},D$2:D2168=D2169),2)*VLOOKUP(9^99,FILTER({ROW(O$2:O2168),O$2:O2168},D$2:D2168=D2169),2)-N216"&amp;"9)/O2169),J2169))"),"")</f>
        <v/>
      </c>
      <c r="Q2169" s="264" t="str">
        <f>IFERROR(__xludf.DUMMYFUNCTION("IFERROR(IF(F2169=""Crypto"",B2169,(IF(ISBLANK(D2169),"""",IF(D2169=""Cash"",B2169,IF(GOOGLEFINANCE(D2169,""CURRENCY"")=""GBX"",""GBP"",GOOGLEFINANCE(D2169,""CURRENCY"")))))),B2169)"),"")</f>
        <v/>
      </c>
      <c r="R2169" s="263" t="str">
        <f>IFERROR(__xludf.DUMMYFUNCTION("IF(ISBLANK(A2169),"""",IFERROR(IF(OR(Q2169=""GPB"",Q2169=""ZAR""),IF(Q2169=Dashboard!$L$1,K2169,(K2169*GOOGLEFINANCE(""CURRENCY:""&amp;Q2169&amp;""""&amp;Dashboard!$L$1&amp;""""))/100),IF(Q2169=Dashboard!$L$1,K2169,K2169*GOOGLEFINANCE(""CURRENCY:""&amp;Q2169&amp;""""&amp;Dashboard!$"&amp;"L$1&amp;""""))),K2169))"),"")</f>
        <v/>
      </c>
      <c r="S2169" s="266" t="str">
        <f>IFERROR(__xludf.DUMMYFUNCTION("IF(ISBLANK(A2169),"""",IFERROR(IF(OR(Q2169=""GPB"",Q2169=""ZAR""),IF(Q2169=Dashboard!$L$1,M2169,(M2169*GOOGLEFINANCE(""CURRENCY:""&amp;Q2169&amp;""""&amp;Dashboard!$L$1&amp;""""))/100),IF(Q2169=Dashboard!$L$1,M2169,M2169*GOOGLEFINANCE(""CURRENCY:""&amp;Q2169&amp;""""&amp;Dashboard!$"&amp;"L$1&amp;""""))),M2169))"),"")</f>
        <v/>
      </c>
      <c r="T2169" s="264" t="str">
        <f t="shared" si="4"/>
        <v/>
      </c>
      <c r="U2169" s="264" t="str">
        <f t="shared" si="5"/>
        <v/>
      </c>
      <c r="V2169" s="264" t="str">
        <f t="shared" si="6"/>
        <v/>
      </c>
      <c r="W2169" s="267" t="str">
        <f t="shared" si="8"/>
        <v/>
      </c>
      <c r="X2169" s="264" t="str">
        <f t="shared" si="7"/>
        <v/>
      </c>
    </row>
    <row r="2170" ht="15.75" customHeight="1">
      <c r="A2170" s="258"/>
      <c r="B2170" s="258"/>
      <c r="C2170" s="269"/>
      <c r="D2170" s="258"/>
      <c r="E2170" s="258"/>
      <c r="F2170" s="258"/>
      <c r="G2170" s="258"/>
      <c r="H2170" s="271"/>
      <c r="I2170" s="258"/>
      <c r="J2170" s="272"/>
      <c r="K2170" s="260"/>
      <c r="L2170" s="261"/>
      <c r="M2170" s="262" t="str">
        <f t="shared" si="1"/>
        <v/>
      </c>
      <c r="N2170" s="263" t="str">
        <f t="shared" si="2"/>
        <v/>
      </c>
      <c r="O2170" s="264" t="str">
        <f t="shared" si="3"/>
        <v/>
      </c>
      <c r="P2170" s="265" t="str">
        <f>IFERROR(__xludf.DUMMYFUNCTION("IF(ISBLANK(A2170),"""",IFERROR(IF(H2170=""Sell"",VLOOKUP(9^99,FILTER({ROW(P$2:P2169),P$2:P2169},D$2:D2169=D2170),2),(VLOOKUP(9^99,FILTER({ROW(P$2:P2169),P$2:P2169},D$2:D2169=D2170),2)*VLOOKUP(9^99,FILTER({ROW(O$2:O2169),O$2:O2169},D$2:D2169=D2170),2)-N217"&amp;"0)/O2170),J2170))"),"")</f>
        <v/>
      </c>
      <c r="Q2170" s="264" t="str">
        <f>IFERROR(__xludf.DUMMYFUNCTION("IFERROR(IF(F2170=""Crypto"",B2170,(IF(ISBLANK(D2170),"""",IF(D2170=""Cash"",B2170,IF(GOOGLEFINANCE(D2170,""CURRENCY"")=""GBX"",""GBP"",GOOGLEFINANCE(D2170,""CURRENCY"")))))),B2170)"),"")</f>
        <v/>
      </c>
      <c r="R2170" s="263" t="str">
        <f>IFERROR(__xludf.DUMMYFUNCTION("IF(ISBLANK(A2170),"""",IFERROR(IF(OR(Q2170=""GPB"",Q2170=""ZAR""),IF(Q2170=Dashboard!$L$1,K2170,(K2170*GOOGLEFINANCE(""CURRENCY:""&amp;Q2170&amp;""""&amp;Dashboard!$L$1&amp;""""))/100),IF(Q2170=Dashboard!$L$1,K2170,K2170*GOOGLEFINANCE(""CURRENCY:""&amp;Q2170&amp;""""&amp;Dashboard!$"&amp;"L$1&amp;""""))),K2170))"),"")</f>
        <v/>
      </c>
      <c r="S2170" s="266" t="str">
        <f>IFERROR(__xludf.DUMMYFUNCTION("IF(ISBLANK(A2170),"""",IFERROR(IF(OR(Q2170=""GPB"",Q2170=""ZAR""),IF(Q2170=Dashboard!$L$1,M2170,(M2170*GOOGLEFINANCE(""CURRENCY:""&amp;Q2170&amp;""""&amp;Dashboard!$L$1&amp;""""))/100),IF(Q2170=Dashboard!$L$1,M2170,M2170*GOOGLEFINANCE(""CURRENCY:""&amp;Q2170&amp;""""&amp;Dashboard!$"&amp;"L$1&amp;""""))),M2170))"),"")</f>
        <v/>
      </c>
      <c r="T2170" s="264" t="str">
        <f t="shared" si="4"/>
        <v/>
      </c>
      <c r="U2170" s="264" t="str">
        <f t="shared" si="5"/>
        <v/>
      </c>
      <c r="V2170" s="264" t="str">
        <f t="shared" si="6"/>
        <v/>
      </c>
      <c r="W2170" s="267" t="str">
        <f t="shared" si="8"/>
        <v/>
      </c>
      <c r="X2170" s="264" t="str">
        <f t="shared" si="7"/>
        <v/>
      </c>
    </row>
    <row r="2171" ht="15.75" customHeight="1">
      <c r="A2171" s="258"/>
      <c r="B2171" s="258"/>
      <c r="C2171" s="269"/>
      <c r="D2171" s="258"/>
      <c r="E2171" s="258"/>
      <c r="F2171" s="258"/>
      <c r="G2171" s="258"/>
      <c r="H2171" s="271"/>
      <c r="I2171" s="258"/>
      <c r="J2171" s="272"/>
      <c r="K2171" s="260"/>
      <c r="L2171" s="261"/>
      <c r="M2171" s="262" t="str">
        <f t="shared" si="1"/>
        <v/>
      </c>
      <c r="N2171" s="263" t="str">
        <f t="shared" si="2"/>
        <v/>
      </c>
      <c r="O2171" s="264" t="str">
        <f t="shared" si="3"/>
        <v/>
      </c>
      <c r="P2171" s="265" t="str">
        <f>IFERROR(__xludf.DUMMYFUNCTION("IF(ISBLANK(A2171),"""",IFERROR(IF(H2171=""Sell"",VLOOKUP(9^99,FILTER({ROW(P$2:P2170),P$2:P2170},D$2:D2170=D2171),2),(VLOOKUP(9^99,FILTER({ROW(P$2:P2170),P$2:P2170},D$2:D2170=D2171),2)*VLOOKUP(9^99,FILTER({ROW(O$2:O2170),O$2:O2170},D$2:D2170=D2171),2)-N217"&amp;"1)/O2171),J2171))"),"")</f>
        <v/>
      </c>
      <c r="Q2171" s="264" t="str">
        <f>IFERROR(__xludf.DUMMYFUNCTION("IFERROR(IF(F2171=""Crypto"",B2171,(IF(ISBLANK(D2171),"""",IF(D2171=""Cash"",B2171,IF(GOOGLEFINANCE(D2171,""CURRENCY"")=""GBX"",""GBP"",GOOGLEFINANCE(D2171,""CURRENCY"")))))),B2171)"),"")</f>
        <v/>
      </c>
      <c r="R2171" s="263" t="str">
        <f>IFERROR(__xludf.DUMMYFUNCTION("IF(ISBLANK(A2171),"""",IFERROR(IF(OR(Q2171=""GPB"",Q2171=""ZAR""),IF(Q2171=Dashboard!$L$1,K2171,(K2171*GOOGLEFINANCE(""CURRENCY:""&amp;Q2171&amp;""""&amp;Dashboard!$L$1&amp;""""))/100),IF(Q2171=Dashboard!$L$1,K2171,K2171*GOOGLEFINANCE(""CURRENCY:""&amp;Q2171&amp;""""&amp;Dashboard!$"&amp;"L$1&amp;""""))),K2171))"),"")</f>
        <v/>
      </c>
      <c r="S2171" s="266" t="str">
        <f>IFERROR(__xludf.DUMMYFUNCTION("IF(ISBLANK(A2171),"""",IFERROR(IF(OR(Q2171=""GPB"",Q2171=""ZAR""),IF(Q2171=Dashboard!$L$1,M2171,(M2171*GOOGLEFINANCE(""CURRENCY:""&amp;Q2171&amp;""""&amp;Dashboard!$L$1&amp;""""))/100),IF(Q2171=Dashboard!$L$1,M2171,M2171*GOOGLEFINANCE(""CURRENCY:""&amp;Q2171&amp;""""&amp;Dashboard!$"&amp;"L$1&amp;""""))),M2171))"),"")</f>
        <v/>
      </c>
      <c r="T2171" s="264" t="str">
        <f t="shared" si="4"/>
        <v/>
      </c>
      <c r="U2171" s="264" t="str">
        <f t="shared" si="5"/>
        <v/>
      </c>
      <c r="V2171" s="264" t="str">
        <f t="shared" si="6"/>
        <v/>
      </c>
      <c r="W2171" s="267" t="str">
        <f t="shared" si="8"/>
        <v/>
      </c>
      <c r="X2171" s="264" t="str">
        <f t="shared" si="7"/>
        <v/>
      </c>
    </row>
    <row r="2172" ht="15.75" customHeight="1">
      <c r="A2172" s="258"/>
      <c r="B2172" s="258"/>
      <c r="C2172" s="269"/>
      <c r="D2172" s="258"/>
      <c r="E2172" s="258"/>
      <c r="F2172" s="258"/>
      <c r="G2172" s="258"/>
      <c r="H2172" s="271"/>
      <c r="I2172" s="258"/>
      <c r="J2172" s="272"/>
      <c r="K2172" s="260"/>
      <c r="L2172" s="261"/>
      <c r="M2172" s="262" t="str">
        <f t="shared" si="1"/>
        <v/>
      </c>
      <c r="N2172" s="263" t="str">
        <f t="shared" si="2"/>
        <v/>
      </c>
      <c r="O2172" s="264" t="str">
        <f t="shared" si="3"/>
        <v/>
      </c>
      <c r="P2172" s="265" t="str">
        <f>IFERROR(__xludf.DUMMYFUNCTION("IF(ISBLANK(A2172),"""",IFERROR(IF(H2172=""Sell"",VLOOKUP(9^99,FILTER({ROW(P$2:P2171),P$2:P2171},D$2:D2171=D2172),2),(VLOOKUP(9^99,FILTER({ROW(P$2:P2171),P$2:P2171},D$2:D2171=D2172),2)*VLOOKUP(9^99,FILTER({ROW(O$2:O2171),O$2:O2171},D$2:D2171=D2172),2)-N217"&amp;"2)/O2172),J2172))"),"")</f>
        <v/>
      </c>
      <c r="Q2172" s="264" t="str">
        <f>IFERROR(__xludf.DUMMYFUNCTION("IFERROR(IF(F2172=""Crypto"",B2172,(IF(ISBLANK(D2172),"""",IF(D2172=""Cash"",B2172,IF(GOOGLEFINANCE(D2172,""CURRENCY"")=""GBX"",""GBP"",GOOGLEFINANCE(D2172,""CURRENCY"")))))),B2172)"),"")</f>
        <v/>
      </c>
      <c r="R2172" s="263" t="str">
        <f>IFERROR(__xludf.DUMMYFUNCTION("IF(ISBLANK(A2172),"""",IFERROR(IF(OR(Q2172=""GPB"",Q2172=""ZAR""),IF(Q2172=Dashboard!$L$1,K2172,(K2172*GOOGLEFINANCE(""CURRENCY:""&amp;Q2172&amp;""""&amp;Dashboard!$L$1&amp;""""))/100),IF(Q2172=Dashboard!$L$1,K2172,K2172*GOOGLEFINANCE(""CURRENCY:""&amp;Q2172&amp;""""&amp;Dashboard!$"&amp;"L$1&amp;""""))),K2172))"),"")</f>
        <v/>
      </c>
      <c r="S2172" s="266" t="str">
        <f>IFERROR(__xludf.DUMMYFUNCTION("IF(ISBLANK(A2172),"""",IFERROR(IF(OR(Q2172=""GPB"",Q2172=""ZAR""),IF(Q2172=Dashboard!$L$1,M2172,(M2172*GOOGLEFINANCE(""CURRENCY:""&amp;Q2172&amp;""""&amp;Dashboard!$L$1&amp;""""))/100),IF(Q2172=Dashboard!$L$1,M2172,M2172*GOOGLEFINANCE(""CURRENCY:""&amp;Q2172&amp;""""&amp;Dashboard!$"&amp;"L$1&amp;""""))),M2172))"),"")</f>
        <v/>
      </c>
      <c r="T2172" s="264" t="str">
        <f t="shared" si="4"/>
        <v/>
      </c>
      <c r="U2172" s="264" t="str">
        <f t="shared" si="5"/>
        <v/>
      </c>
      <c r="V2172" s="264" t="str">
        <f t="shared" si="6"/>
        <v/>
      </c>
      <c r="W2172" s="267" t="str">
        <f t="shared" si="8"/>
        <v/>
      </c>
      <c r="X2172" s="264" t="str">
        <f t="shared" si="7"/>
        <v/>
      </c>
    </row>
    <row r="2173" ht="15.75" customHeight="1">
      <c r="A2173" s="258"/>
      <c r="B2173" s="258"/>
      <c r="C2173" s="269"/>
      <c r="D2173" s="258"/>
      <c r="E2173" s="258"/>
      <c r="F2173" s="258"/>
      <c r="G2173" s="258"/>
      <c r="H2173" s="271"/>
      <c r="I2173" s="258"/>
      <c r="J2173" s="272"/>
      <c r="K2173" s="260"/>
      <c r="L2173" s="261"/>
      <c r="M2173" s="262" t="str">
        <f t="shared" si="1"/>
        <v/>
      </c>
      <c r="N2173" s="263" t="str">
        <f t="shared" si="2"/>
        <v/>
      </c>
      <c r="O2173" s="264" t="str">
        <f t="shared" si="3"/>
        <v/>
      </c>
      <c r="P2173" s="265" t="str">
        <f>IFERROR(__xludf.DUMMYFUNCTION("IF(ISBLANK(A2173),"""",IFERROR(IF(H2173=""Sell"",VLOOKUP(9^99,FILTER({ROW(P$2:P2172),P$2:P2172},D$2:D2172=D2173),2),(VLOOKUP(9^99,FILTER({ROW(P$2:P2172),P$2:P2172},D$2:D2172=D2173),2)*VLOOKUP(9^99,FILTER({ROW(O$2:O2172),O$2:O2172},D$2:D2172=D2173),2)-N217"&amp;"3)/O2173),J2173))"),"")</f>
        <v/>
      </c>
      <c r="Q2173" s="264" t="str">
        <f>IFERROR(__xludf.DUMMYFUNCTION("IFERROR(IF(F2173=""Crypto"",B2173,(IF(ISBLANK(D2173),"""",IF(D2173=""Cash"",B2173,IF(GOOGLEFINANCE(D2173,""CURRENCY"")=""GBX"",""GBP"",GOOGLEFINANCE(D2173,""CURRENCY"")))))),B2173)"),"")</f>
        <v/>
      </c>
      <c r="R2173" s="263" t="str">
        <f>IFERROR(__xludf.DUMMYFUNCTION("IF(ISBLANK(A2173),"""",IFERROR(IF(OR(Q2173=""GPB"",Q2173=""ZAR""),IF(Q2173=Dashboard!$L$1,K2173,(K2173*GOOGLEFINANCE(""CURRENCY:""&amp;Q2173&amp;""""&amp;Dashboard!$L$1&amp;""""))/100),IF(Q2173=Dashboard!$L$1,K2173,K2173*GOOGLEFINANCE(""CURRENCY:""&amp;Q2173&amp;""""&amp;Dashboard!$"&amp;"L$1&amp;""""))),K2173))"),"")</f>
        <v/>
      </c>
      <c r="S2173" s="266" t="str">
        <f>IFERROR(__xludf.DUMMYFUNCTION("IF(ISBLANK(A2173),"""",IFERROR(IF(OR(Q2173=""GPB"",Q2173=""ZAR""),IF(Q2173=Dashboard!$L$1,M2173,(M2173*GOOGLEFINANCE(""CURRENCY:""&amp;Q2173&amp;""""&amp;Dashboard!$L$1&amp;""""))/100),IF(Q2173=Dashboard!$L$1,M2173,M2173*GOOGLEFINANCE(""CURRENCY:""&amp;Q2173&amp;""""&amp;Dashboard!$"&amp;"L$1&amp;""""))),M2173))"),"")</f>
        <v/>
      </c>
      <c r="T2173" s="264" t="str">
        <f t="shared" si="4"/>
        <v/>
      </c>
      <c r="U2173" s="264" t="str">
        <f t="shared" si="5"/>
        <v/>
      </c>
      <c r="V2173" s="264" t="str">
        <f t="shared" si="6"/>
        <v/>
      </c>
      <c r="W2173" s="267" t="str">
        <f t="shared" si="8"/>
        <v/>
      </c>
      <c r="X2173" s="264" t="str">
        <f t="shared" si="7"/>
        <v/>
      </c>
    </row>
    <row r="2174" ht="15.75" customHeight="1">
      <c r="A2174" s="258"/>
      <c r="B2174" s="258"/>
      <c r="C2174" s="269"/>
      <c r="D2174" s="258"/>
      <c r="E2174" s="258"/>
      <c r="F2174" s="258"/>
      <c r="G2174" s="258"/>
      <c r="H2174" s="271"/>
      <c r="I2174" s="258"/>
      <c r="J2174" s="272"/>
      <c r="K2174" s="260"/>
      <c r="L2174" s="261"/>
      <c r="M2174" s="262" t="str">
        <f t="shared" si="1"/>
        <v/>
      </c>
      <c r="N2174" s="263" t="str">
        <f t="shared" si="2"/>
        <v/>
      </c>
      <c r="O2174" s="264" t="str">
        <f t="shared" si="3"/>
        <v/>
      </c>
      <c r="P2174" s="265" t="str">
        <f>IFERROR(__xludf.DUMMYFUNCTION("IF(ISBLANK(A2174),"""",IFERROR(IF(H2174=""Sell"",VLOOKUP(9^99,FILTER({ROW(P$2:P2173),P$2:P2173},D$2:D2173=D2174),2),(VLOOKUP(9^99,FILTER({ROW(P$2:P2173),P$2:P2173},D$2:D2173=D2174),2)*VLOOKUP(9^99,FILTER({ROW(O$2:O2173),O$2:O2173},D$2:D2173=D2174),2)-N217"&amp;"4)/O2174),J2174))"),"")</f>
        <v/>
      </c>
      <c r="Q2174" s="264" t="str">
        <f>IFERROR(__xludf.DUMMYFUNCTION("IFERROR(IF(F2174=""Crypto"",B2174,(IF(ISBLANK(D2174),"""",IF(D2174=""Cash"",B2174,IF(GOOGLEFINANCE(D2174,""CURRENCY"")=""GBX"",""GBP"",GOOGLEFINANCE(D2174,""CURRENCY"")))))),B2174)"),"")</f>
        <v/>
      </c>
      <c r="R2174" s="263" t="str">
        <f>IFERROR(__xludf.DUMMYFUNCTION("IF(ISBLANK(A2174),"""",IFERROR(IF(OR(Q2174=""GPB"",Q2174=""ZAR""),IF(Q2174=Dashboard!$L$1,K2174,(K2174*GOOGLEFINANCE(""CURRENCY:""&amp;Q2174&amp;""""&amp;Dashboard!$L$1&amp;""""))/100),IF(Q2174=Dashboard!$L$1,K2174,K2174*GOOGLEFINANCE(""CURRENCY:""&amp;Q2174&amp;""""&amp;Dashboard!$"&amp;"L$1&amp;""""))),K2174))"),"")</f>
        <v/>
      </c>
      <c r="S2174" s="266" t="str">
        <f>IFERROR(__xludf.DUMMYFUNCTION("IF(ISBLANK(A2174),"""",IFERROR(IF(OR(Q2174=""GPB"",Q2174=""ZAR""),IF(Q2174=Dashboard!$L$1,M2174,(M2174*GOOGLEFINANCE(""CURRENCY:""&amp;Q2174&amp;""""&amp;Dashboard!$L$1&amp;""""))/100),IF(Q2174=Dashboard!$L$1,M2174,M2174*GOOGLEFINANCE(""CURRENCY:""&amp;Q2174&amp;""""&amp;Dashboard!$"&amp;"L$1&amp;""""))),M2174))"),"")</f>
        <v/>
      </c>
      <c r="T2174" s="264" t="str">
        <f t="shared" si="4"/>
        <v/>
      </c>
      <c r="U2174" s="264" t="str">
        <f t="shared" si="5"/>
        <v/>
      </c>
      <c r="V2174" s="264" t="str">
        <f t="shared" si="6"/>
        <v/>
      </c>
      <c r="W2174" s="267" t="str">
        <f t="shared" si="8"/>
        <v/>
      </c>
      <c r="X2174" s="264" t="str">
        <f t="shared" si="7"/>
        <v/>
      </c>
    </row>
    <row r="2175" ht="15.75" customHeight="1">
      <c r="A2175" s="258"/>
      <c r="B2175" s="258"/>
      <c r="C2175" s="269"/>
      <c r="D2175" s="258"/>
      <c r="E2175" s="258"/>
      <c r="F2175" s="258"/>
      <c r="G2175" s="258"/>
      <c r="H2175" s="271"/>
      <c r="I2175" s="258"/>
      <c r="J2175" s="272"/>
      <c r="K2175" s="260"/>
      <c r="L2175" s="261"/>
      <c r="M2175" s="262" t="str">
        <f t="shared" si="1"/>
        <v/>
      </c>
      <c r="N2175" s="263" t="str">
        <f t="shared" si="2"/>
        <v/>
      </c>
      <c r="O2175" s="264" t="str">
        <f t="shared" si="3"/>
        <v/>
      </c>
      <c r="P2175" s="265" t="str">
        <f>IFERROR(__xludf.DUMMYFUNCTION("IF(ISBLANK(A2175),"""",IFERROR(IF(H2175=""Sell"",VLOOKUP(9^99,FILTER({ROW(P$2:P2174),P$2:P2174},D$2:D2174=D2175),2),(VLOOKUP(9^99,FILTER({ROW(P$2:P2174),P$2:P2174},D$2:D2174=D2175),2)*VLOOKUP(9^99,FILTER({ROW(O$2:O2174),O$2:O2174},D$2:D2174=D2175),2)-N217"&amp;"5)/O2175),J2175))"),"")</f>
        <v/>
      </c>
      <c r="Q2175" s="264" t="str">
        <f>IFERROR(__xludf.DUMMYFUNCTION("IFERROR(IF(F2175=""Crypto"",B2175,(IF(ISBLANK(D2175),"""",IF(D2175=""Cash"",B2175,IF(GOOGLEFINANCE(D2175,""CURRENCY"")=""GBX"",""GBP"",GOOGLEFINANCE(D2175,""CURRENCY"")))))),B2175)"),"")</f>
        <v/>
      </c>
      <c r="R2175" s="263" t="str">
        <f>IFERROR(__xludf.DUMMYFUNCTION("IF(ISBLANK(A2175),"""",IFERROR(IF(OR(Q2175=""GPB"",Q2175=""ZAR""),IF(Q2175=Dashboard!$L$1,K2175,(K2175*GOOGLEFINANCE(""CURRENCY:""&amp;Q2175&amp;""""&amp;Dashboard!$L$1&amp;""""))/100),IF(Q2175=Dashboard!$L$1,K2175,K2175*GOOGLEFINANCE(""CURRENCY:""&amp;Q2175&amp;""""&amp;Dashboard!$"&amp;"L$1&amp;""""))),K2175))"),"")</f>
        <v/>
      </c>
      <c r="S2175" s="266" t="str">
        <f>IFERROR(__xludf.DUMMYFUNCTION("IF(ISBLANK(A2175),"""",IFERROR(IF(OR(Q2175=""GPB"",Q2175=""ZAR""),IF(Q2175=Dashboard!$L$1,M2175,(M2175*GOOGLEFINANCE(""CURRENCY:""&amp;Q2175&amp;""""&amp;Dashboard!$L$1&amp;""""))/100),IF(Q2175=Dashboard!$L$1,M2175,M2175*GOOGLEFINANCE(""CURRENCY:""&amp;Q2175&amp;""""&amp;Dashboard!$"&amp;"L$1&amp;""""))),M2175))"),"")</f>
        <v/>
      </c>
      <c r="T2175" s="264" t="str">
        <f t="shared" si="4"/>
        <v/>
      </c>
      <c r="U2175" s="264" t="str">
        <f t="shared" si="5"/>
        <v/>
      </c>
      <c r="V2175" s="264" t="str">
        <f t="shared" si="6"/>
        <v/>
      </c>
      <c r="W2175" s="267" t="str">
        <f t="shared" si="8"/>
        <v/>
      </c>
      <c r="X2175" s="264" t="str">
        <f t="shared" si="7"/>
        <v/>
      </c>
    </row>
    <row r="2176" ht="15.75" customHeight="1">
      <c r="A2176" s="258"/>
      <c r="B2176" s="258"/>
      <c r="C2176" s="269"/>
      <c r="D2176" s="258"/>
      <c r="E2176" s="258"/>
      <c r="F2176" s="258"/>
      <c r="G2176" s="258"/>
      <c r="H2176" s="271"/>
      <c r="I2176" s="258"/>
      <c r="J2176" s="272"/>
      <c r="K2176" s="260"/>
      <c r="L2176" s="261"/>
      <c r="M2176" s="262" t="str">
        <f t="shared" si="1"/>
        <v/>
      </c>
      <c r="N2176" s="263" t="str">
        <f t="shared" si="2"/>
        <v/>
      </c>
      <c r="O2176" s="264" t="str">
        <f t="shared" si="3"/>
        <v/>
      </c>
      <c r="P2176" s="265" t="str">
        <f>IFERROR(__xludf.DUMMYFUNCTION("IF(ISBLANK(A2176),"""",IFERROR(IF(H2176=""Sell"",VLOOKUP(9^99,FILTER({ROW(P$2:P2175),P$2:P2175},D$2:D2175=D2176),2),(VLOOKUP(9^99,FILTER({ROW(P$2:P2175),P$2:P2175},D$2:D2175=D2176),2)*VLOOKUP(9^99,FILTER({ROW(O$2:O2175),O$2:O2175},D$2:D2175=D2176),2)-N217"&amp;"6)/O2176),J2176))"),"")</f>
        <v/>
      </c>
      <c r="Q2176" s="264" t="str">
        <f>IFERROR(__xludf.DUMMYFUNCTION("IFERROR(IF(F2176=""Crypto"",B2176,(IF(ISBLANK(D2176),"""",IF(D2176=""Cash"",B2176,IF(GOOGLEFINANCE(D2176,""CURRENCY"")=""GBX"",""GBP"",GOOGLEFINANCE(D2176,""CURRENCY"")))))),B2176)"),"")</f>
        <v/>
      </c>
      <c r="R2176" s="263" t="str">
        <f>IFERROR(__xludf.DUMMYFUNCTION("IF(ISBLANK(A2176),"""",IFERROR(IF(OR(Q2176=""GPB"",Q2176=""ZAR""),IF(Q2176=Dashboard!$L$1,K2176,(K2176*GOOGLEFINANCE(""CURRENCY:""&amp;Q2176&amp;""""&amp;Dashboard!$L$1&amp;""""))/100),IF(Q2176=Dashboard!$L$1,K2176,K2176*GOOGLEFINANCE(""CURRENCY:""&amp;Q2176&amp;""""&amp;Dashboard!$"&amp;"L$1&amp;""""))),K2176))"),"")</f>
        <v/>
      </c>
      <c r="S2176" s="266" t="str">
        <f>IFERROR(__xludf.DUMMYFUNCTION("IF(ISBLANK(A2176),"""",IFERROR(IF(OR(Q2176=""GPB"",Q2176=""ZAR""),IF(Q2176=Dashboard!$L$1,M2176,(M2176*GOOGLEFINANCE(""CURRENCY:""&amp;Q2176&amp;""""&amp;Dashboard!$L$1&amp;""""))/100),IF(Q2176=Dashboard!$L$1,M2176,M2176*GOOGLEFINANCE(""CURRENCY:""&amp;Q2176&amp;""""&amp;Dashboard!$"&amp;"L$1&amp;""""))),M2176))"),"")</f>
        <v/>
      </c>
      <c r="T2176" s="264" t="str">
        <f t="shared" si="4"/>
        <v/>
      </c>
      <c r="U2176" s="264" t="str">
        <f t="shared" si="5"/>
        <v/>
      </c>
      <c r="V2176" s="264" t="str">
        <f t="shared" si="6"/>
        <v/>
      </c>
      <c r="W2176" s="267" t="str">
        <f t="shared" si="8"/>
        <v/>
      </c>
      <c r="X2176" s="264" t="str">
        <f t="shared" si="7"/>
        <v/>
      </c>
    </row>
    <row r="2177" ht="15.75" customHeight="1">
      <c r="A2177" s="258"/>
      <c r="B2177" s="258"/>
      <c r="C2177" s="269"/>
      <c r="D2177" s="258"/>
      <c r="E2177" s="258"/>
      <c r="F2177" s="258"/>
      <c r="G2177" s="258"/>
      <c r="H2177" s="271"/>
      <c r="I2177" s="258"/>
      <c r="J2177" s="272"/>
      <c r="K2177" s="260"/>
      <c r="L2177" s="261"/>
      <c r="M2177" s="262" t="str">
        <f t="shared" si="1"/>
        <v/>
      </c>
      <c r="N2177" s="263" t="str">
        <f t="shared" si="2"/>
        <v/>
      </c>
      <c r="O2177" s="264" t="str">
        <f t="shared" si="3"/>
        <v/>
      </c>
      <c r="P2177" s="265" t="str">
        <f>IFERROR(__xludf.DUMMYFUNCTION("IF(ISBLANK(A2177),"""",IFERROR(IF(H2177=""Sell"",VLOOKUP(9^99,FILTER({ROW(P$2:P2176),P$2:P2176},D$2:D2176=D2177),2),(VLOOKUP(9^99,FILTER({ROW(P$2:P2176),P$2:P2176},D$2:D2176=D2177),2)*VLOOKUP(9^99,FILTER({ROW(O$2:O2176),O$2:O2176},D$2:D2176=D2177),2)-N217"&amp;"7)/O2177),J2177))"),"")</f>
        <v/>
      </c>
      <c r="Q2177" s="264" t="str">
        <f>IFERROR(__xludf.DUMMYFUNCTION("IFERROR(IF(F2177=""Crypto"",B2177,(IF(ISBLANK(D2177),"""",IF(D2177=""Cash"",B2177,IF(GOOGLEFINANCE(D2177,""CURRENCY"")=""GBX"",""GBP"",GOOGLEFINANCE(D2177,""CURRENCY"")))))),B2177)"),"")</f>
        <v/>
      </c>
      <c r="R2177" s="263" t="str">
        <f>IFERROR(__xludf.DUMMYFUNCTION("IF(ISBLANK(A2177),"""",IFERROR(IF(OR(Q2177=""GPB"",Q2177=""ZAR""),IF(Q2177=Dashboard!$L$1,K2177,(K2177*GOOGLEFINANCE(""CURRENCY:""&amp;Q2177&amp;""""&amp;Dashboard!$L$1&amp;""""))/100),IF(Q2177=Dashboard!$L$1,K2177,K2177*GOOGLEFINANCE(""CURRENCY:""&amp;Q2177&amp;""""&amp;Dashboard!$"&amp;"L$1&amp;""""))),K2177))"),"")</f>
        <v/>
      </c>
      <c r="S2177" s="266" t="str">
        <f>IFERROR(__xludf.DUMMYFUNCTION("IF(ISBLANK(A2177),"""",IFERROR(IF(OR(Q2177=""GPB"",Q2177=""ZAR""),IF(Q2177=Dashboard!$L$1,M2177,(M2177*GOOGLEFINANCE(""CURRENCY:""&amp;Q2177&amp;""""&amp;Dashboard!$L$1&amp;""""))/100),IF(Q2177=Dashboard!$L$1,M2177,M2177*GOOGLEFINANCE(""CURRENCY:""&amp;Q2177&amp;""""&amp;Dashboard!$"&amp;"L$1&amp;""""))),M2177))"),"")</f>
        <v/>
      </c>
      <c r="T2177" s="264" t="str">
        <f t="shared" si="4"/>
        <v/>
      </c>
      <c r="U2177" s="264" t="str">
        <f t="shared" si="5"/>
        <v/>
      </c>
      <c r="V2177" s="264" t="str">
        <f t="shared" si="6"/>
        <v/>
      </c>
      <c r="W2177" s="267" t="str">
        <f t="shared" si="8"/>
        <v/>
      </c>
      <c r="X2177" s="264" t="str">
        <f t="shared" si="7"/>
        <v/>
      </c>
    </row>
    <row r="2178" ht="15.75" customHeight="1">
      <c r="A2178" s="258"/>
      <c r="B2178" s="258"/>
      <c r="C2178" s="269"/>
      <c r="D2178" s="258"/>
      <c r="E2178" s="258"/>
      <c r="F2178" s="258"/>
      <c r="G2178" s="258"/>
      <c r="H2178" s="271"/>
      <c r="I2178" s="258"/>
      <c r="J2178" s="272"/>
      <c r="K2178" s="260"/>
      <c r="L2178" s="261"/>
      <c r="M2178" s="262" t="str">
        <f t="shared" si="1"/>
        <v/>
      </c>
      <c r="N2178" s="263" t="str">
        <f t="shared" si="2"/>
        <v/>
      </c>
      <c r="O2178" s="264" t="str">
        <f t="shared" si="3"/>
        <v/>
      </c>
      <c r="P2178" s="265" t="str">
        <f>IFERROR(__xludf.DUMMYFUNCTION("IF(ISBLANK(A2178),"""",IFERROR(IF(H2178=""Sell"",VLOOKUP(9^99,FILTER({ROW(P$2:P2177),P$2:P2177},D$2:D2177=D2178),2),(VLOOKUP(9^99,FILTER({ROW(P$2:P2177),P$2:P2177},D$2:D2177=D2178),2)*VLOOKUP(9^99,FILTER({ROW(O$2:O2177),O$2:O2177},D$2:D2177=D2178),2)-N217"&amp;"8)/O2178),J2178))"),"")</f>
        <v/>
      </c>
      <c r="Q2178" s="264" t="str">
        <f>IFERROR(__xludf.DUMMYFUNCTION("IFERROR(IF(F2178=""Crypto"",B2178,(IF(ISBLANK(D2178),"""",IF(D2178=""Cash"",B2178,IF(GOOGLEFINANCE(D2178,""CURRENCY"")=""GBX"",""GBP"",GOOGLEFINANCE(D2178,""CURRENCY"")))))),B2178)"),"")</f>
        <v/>
      </c>
      <c r="R2178" s="263" t="str">
        <f>IFERROR(__xludf.DUMMYFUNCTION("IF(ISBLANK(A2178),"""",IFERROR(IF(OR(Q2178=""GPB"",Q2178=""ZAR""),IF(Q2178=Dashboard!$L$1,K2178,(K2178*GOOGLEFINANCE(""CURRENCY:""&amp;Q2178&amp;""""&amp;Dashboard!$L$1&amp;""""))/100),IF(Q2178=Dashboard!$L$1,K2178,K2178*GOOGLEFINANCE(""CURRENCY:""&amp;Q2178&amp;""""&amp;Dashboard!$"&amp;"L$1&amp;""""))),K2178))"),"")</f>
        <v/>
      </c>
      <c r="S2178" s="266" t="str">
        <f>IFERROR(__xludf.DUMMYFUNCTION("IF(ISBLANK(A2178),"""",IFERROR(IF(OR(Q2178=""GPB"",Q2178=""ZAR""),IF(Q2178=Dashboard!$L$1,M2178,(M2178*GOOGLEFINANCE(""CURRENCY:""&amp;Q2178&amp;""""&amp;Dashboard!$L$1&amp;""""))/100),IF(Q2178=Dashboard!$L$1,M2178,M2178*GOOGLEFINANCE(""CURRENCY:""&amp;Q2178&amp;""""&amp;Dashboard!$"&amp;"L$1&amp;""""))),M2178))"),"")</f>
        <v/>
      </c>
      <c r="T2178" s="264" t="str">
        <f t="shared" si="4"/>
        <v/>
      </c>
      <c r="U2178" s="264" t="str">
        <f t="shared" si="5"/>
        <v/>
      </c>
      <c r="V2178" s="264" t="str">
        <f t="shared" si="6"/>
        <v/>
      </c>
      <c r="W2178" s="267" t="str">
        <f t="shared" si="8"/>
        <v/>
      </c>
      <c r="X2178" s="264" t="str">
        <f t="shared" si="7"/>
        <v/>
      </c>
    </row>
    <row r="2179" ht="15.75" customHeight="1">
      <c r="A2179" s="258"/>
      <c r="B2179" s="258"/>
      <c r="C2179" s="269"/>
      <c r="D2179" s="258"/>
      <c r="E2179" s="258"/>
      <c r="F2179" s="258"/>
      <c r="G2179" s="258"/>
      <c r="H2179" s="271"/>
      <c r="I2179" s="258"/>
      <c r="J2179" s="272"/>
      <c r="K2179" s="260"/>
      <c r="L2179" s="261"/>
      <c r="M2179" s="262" t="str">
        <f t="shared" si="1"/>
        <v/>
      </c>
      <c r="N2179" s="263" t="str">
        <f t="shared" si="2"/>
        <v/>
      </c>
      <c r="O2179" s="264" t="str">
        <f t="shared" si="3"/>
        <v/>
      </c>
      <c r="P2179" s="265" t="str">
        <f>IFERROR(__xludf.DUMMYFUNCTION("IF(ISBLANK(A2179),"""",IFERROR(IF(H2179=""Sell"",VLOOKUP(9^99,FILTER({ROW(P$2:P2178),P$2:P2178},D$2:D2178=D2179),2),(VLOOKUP(9^99,FILTER({ROW(P$2:P2178),P$2:P2178},D$2:D2178=D2179),2)*VLOOKUP(9^99,FILTER({ROW(O$2:O2178),O$2:O2178},D$2:D2178=D2179),2)-N217"&amp;"9)/O2179),J2179))"),"")</f>
        <v/>
      </c>
      <c r="Q2179" s="264" t="str">
        <f>IFERROR(__xludf.DUMMYFUNCTION("IFERROR(IF(F2179=""Crypto"",B2179,(IF(ISBLANK(D2179),"""",IF(D2179=""Cash"",B2179,IF(GOOGLEFINANCE(D2179,""CURRENCY"")=""GBX"",""GBP"",GOOGLEFINANCE(D2179,""CURRENCY"")))))),B2179)"),"")</f>
        <v/>
      </c>
      <c r="R2179" s="263" t="str">
        <f>IFERROR(__xludf.DUMMYFUNCTION("IF(ISBLANK(A2179),"""",IFERROR(IF(OR(Q2179=""GPB"",Q2179=""ZAR""),IF(Q2179=Dashboard!$L$1,K2179,(K2179*GOOGLEFINANCE(""CURRENCY:""&amp;Q2179&amp;""""&amp;Dashboard!$L$1&amp;""""))/100),IF(Q2179=Dashboard!$L$1,K2179,K2179*GOOGLEFINANCE(""CURRENCY:""&amp;Q2179&amp;""""&amp;Dashboard!$"&amp;"L$1&amp;""""))),K2179))"),"")</f>
        <v/>
      </c>
      <c r="S2179" s="266" t="str">
        <f>IFERROR(__xludf.DUMMYFUNCTION("IF(ISBLANK(A2179),"""",IFERROR(IF(OR(Q2179=""GPB"",Q2179=""ZAR""),IF(Q2179=Dashboard!$L$1,M2179,(M2179*GOOGLEFINANCE(""CURRENCY:""&amp;Q2179&amp;""""&amp;Dashboard!$L$1&amp;""""))/100),IF(Q2179=Dashboard!$L$1,M2179,M2179*GOOGLEFINANCE(""CURRENCY:""&amp;Q2179&amp;""""&amp;Dashboard!$"&amp;"L$1&amp;""""))),M2179))"),"")</f>
        <v/>
      </c>
      <c r="T2179" s="264" t="str">
        <f t="shared" si="4"/>
        <v/>
      </c>
      <c r="U2179" s="264" t="str">
        <f t="shared" si="5"/>
        <v/>
      </c>
      <c r="V2179" s="264" t="str">
        <f t="shared" si="6"/>
        <v/>
      </c>
      <c r="W2179" s="267" t="str">
        <f t="shared" si="8"/>
        <v/>
      </c>
      <c r="X2179" s="264" t="str">
        <f t="shared" si="7"/>
        <v/>
      </c>
    </row>
    <row r="2180" ht="15.75" customHeight="1">
      <c r="A2180" s="258"/>
      <c r="B2180" s="258"/>
      <c r="C2180" s="269"/>
      <c r="D2180" s="258"/>
      <c r="E2180" s="258"/>
      <c r="F2180" s="258"/>
      <c r="G2180" s="258"/>
      <c r="H2180" s="271"/>
      <c r="I2180" s="258"/>
      <c r="J2180" s="272"/>
      <c r="K2180" s="260"/>
      <c r="L2180" s="261"/>
      <c r="M2180" s="262" t="str">
        <f t="shared" si="1"/>
        <v/>
      </c>
      <c r="N2180" s="263" t="str">
        <f t="shared" si="2"/>
        <v/>
      </c>
      <c r="O2180" s="264" t="str">
        <f t="shared" si="3"/>
        <v/>
      </c>
      <c r="P2180" s="265" t="str">
        <f>IFERROR(__xludf.DUMMYFUNCTION("IF(ISBLANK(A2180),"""",IFERROR(IF(H2180=""Sell"",VLOOKUP(9^99,FILTER({ROW(P$2:P2179),P$2:P2179},D$2:D2179=D2180),2),(VLOOKUP(9^99,FILTER({ROW(P$2:P2179),P$2:P2179},D$2:D2179=D2180),2)*VLOOKUP(9^99,FILTER({ROW(O$2:O2179),O$2:O2179},D$2:D2179=D2180),2)-N218"&amp;"0)/O2180),J2180))"),"")</f>
        <v/>
      </c>
      <c r="Q2180" s="264" t="str">
        <f>IFERROR(__xludf.DUMMYFUNCTION("IFERROR(IF(F2180=""Crypto"",B2180,(IF(ISBLANK(D2180),"""",IF(D2180=""Cash"",B2180,IF(GOOGLEFINANCE(D2180,""CURRENCY"")=""GBX"",""GBP"",GOOGLEFINANCE(D2180,""CURRENCY"")))))),B2180)"),"")</f>
        <v/>
      </c>
      <c r="R2180" s="263" t="str">
        <f>IFERROR(__xludf.DUMMYFUNCTION("IF(ISBLANK(A2180),"""",IFERROR(IF(OR(Q2180=""GPB"",Q2180=""ZAR""),IF(Q2180=Dashboard!$L$1,K2180,(K2180*GOOGLEFINANCE(""CURRENCY:""&amp;Q2180&amp;""""&amp;Dashboard!$L$1&amp;""""))/100),IF(Q2180=Dashboard!$L$1,K2180,K2180*GOOGLEFINANCE(""CURRENCY:""&amp;Q2180&amp;""""&amp;Dashboard!$"&amp;"L$1&amp;""""))),K2180))"),"")</f>
        <v/>
      </c>
      <c r="S2180" s="266" t="str">
        <f>IFERROR(__xludf.DUMMYFUNCTION("IF(ISBLANK(A2180),"""",IFERROR(IF(OR(Q2180=""GPB"",Q2180=""ZAR""),IF(Q2180=Dashboard!$L$1,M2180,(M2180*GOOGLEFINANCE(""CURRENCY:""&amp;Q2180&amp;""""&amp;Dashboard!$L$1&amp;""""))/100),IF(Q2180=Dashboard!$L$1,M2180,M2180*GOOGLEFINANCE(""CURRENCY:""&amp;Q2180&amp;""""&amp;Dashboard!$"&amp;"L$1&amp;""""))),M2180))"),"")</f>
        <v/>
      </c>
      <c r="T2180" s="264" t="str">
        <f t="shared" si="4"/>
        <v/>
      </c>
      <c r="U2180" s="264" t="str">
        <f t="shared" si="5"/>
        <v/>
      </c>
      <c r="V2180" s="264" t="str">
        <f t="shared" si="6"/>
        <v/>
      </c>
      <c r="W2180" s="267" t="str">
        <f t="shared" si="8"/>
        <v/>
      </c>
      <c r="X2180" s="264" t="str">
        <f t="shared" si="7"/>
        <v/>
      </c>
    </row>
    <row r="2181" ht="15.75" customHeight="1">
      <c r="A2181" s="258"/>
      <c r="B2181" s="258"/>
      <c r="C2181" s="269"/>
      <c r="D2181" s="258"/>
      <c r="E2181" s="258"/>
      <c r="F2181" s="258"/>
      <c r="G2181" s="258"/>
      <c r="H2181" s="271"/>
      <c r="I2181" s="258"/>
      <c r="J2181" s="272"/>
      <c r="K2181" s="260"/>
      <c r="L2181" s="261"/>
      <c r="M2181" s="262" t="str">
        <f t="shared" si="1"/>
        <v/>
      </c>
      <c r="N2181" s="263" t="str">
        <f t="shared" si="2"/>
        <v/>
      </c>
      <c r="O2181" s="264" t="str">
        <f t="shared" si="3"/>
        <v/>
      </c>
      <c r="P2181" s="265" t="str">
        <f>IFERROR(__xludf.DUMMYFUNCTION("IF(ISBLANK(A2181),"""",IFERROR(IF(H2181=""Sell"",VLOOKUP(9^99,FILTER({ROW(P$2:P2180),P$2:P2180},D$2:D2180=D2181),2),(VLOOKUP(9^99,FILTER({ROW(P$2:P2180),P$2:P2180},D$2:D2180=D2181),2)*VLOOKUP(9^99,FILTER({ROW(O$2:O2180),O$2:O2180},D$2:D2180=D2181),2)-N218"&amp;"1)/O2181),J2181))"),"")</f>
        <v/>
      </c>
      <c r="Q2181" s="264" t="str">
        <f>IFERROR(__xludf.DUMMYFUNCTION("IFERROR(IF(F2181=""Crypto"",B2181,(IF(ISBLANK(D2181),"""",IF(D2181=""Cash"",B2181,IF(GOOGLEFINANCE(D2181,""CURRENCY"")=""GBX"",""GBP"",GOOGLEFINANCE(D2181,""CURRENCY"")))))),B2181)"),"")</f>
        <v/>
      </c>
      <c r="R2181" s="263" t="str">
        <f>IFERROR(__xludf.DUMMYFUNCTION("IF(ISBLANK(A2181),"""",IFERROR(IF(OR(Q2181=""GPB"",Q2181=""ZAR""),IF(Q2181=Dashboard!$L$1,K2181,(K2181*GOOGLEFINANCE(""CURRENCY:""&amp;Q2181&amp;""""&amp;Dashboard!$L$1&amp;""""))/100),IF(Q2181=Dashboard!$L$1,K2181,K2181*GOOGLEFINANCE(""CURRENCY:""&amp;Q2181&amp;""""&amp;Dashboard!$"&amp;"L$1&amp;""""))),K2181))"),"")</f>
        <v/>
      </c>
      <c r="S2181" s="266" t="str">
        <f>IFERROR(__xludf.DUMMYFUNCTION("IF(ISBLANK(A2181),"""",IFERROR(IF(OR(Q2181=""GPB"",Q2181=""ZAR""),IF(Q2181=Dashboard!$L$1,M2181,(M2181*GOOGLEFINANCE(""CURRENCY:""&amp;Q2181&amp;""""&amp;Dashboard!$L$1&amp;""""))/100),IF(Q2181=Dashboard!$L$1,M2181,M2181*GOOGLEFINANCE(""CURRENCY:""&amp;Q2181&amp;""""&amp;Dashboard!$"&amp;"L$1&amp;""""))),M2181))"),"")</f>
        <v/>
      </c>
      <c r="T2181" s="264" t="str">
        <f t="shared" si="4"/>
        <v/>
      </c>
      <c r="U2181" s="264" t="str">
        <f t="shared" si="5"/>
        <v/>
      </c>
      <c r="V2181" s="264" t="str">
        <f t="shared" si="6"/>
        <v/>
      </c>
      <c r="W2181" s="267" t="str">
        <f t="shared" si="8"/>
        <v/>
      </c>
      <c r="X2181" s="264" t="str">
        <f t="shared" si="7"/>
        <v/>
      </c>
    </row>
    <row r="2182" ht="15.75" customHeight="1">
      <c r="A2182" s="258"/>
      <c r="B2182" s="258"/>
      <c r="C2182" s="269"/>
      <c r="D2182" s="258"/>
      <c r="E2182" s="258"/>
      <c r="F2182" s="258"/>
      <c r="G2182" s="258"/>
      <c r="H2182" s="271"/>
      <c r="I2182" s="258"/>
      <c r="J2182" s="272"/>
      <c r="K2182" s="260"/>
      <c r="L2182" s="261"/>
      <c r="M2182" s="262" t="str">
        <f t="shared" si="1"/>
        <v/>
      </c>
      <c r="N2182" s="263" t="str">
        <f t="shared" si="2"/>
        <v/>
      </c>
      <c r="O2182" s="264" t="str">
        <f t="shared" si="3"/>
        <v/>
      </c>
      <c r="P2182" s="265" t="str">
        <f>IFERROR(__xludf.DUMMYFUNCTION("IF(ISBLANK(A2182),"""",IFERROR(IF(H2182=""Sell"",VLOOKUP(9^99,FILTER({ROW(P$2:P2181),P$2:P2181},D$2:D2181=D2182),2),(VLOOKUP(9^99,FILTER({ROW(P$2:P2181),P$2:P2181},D$2:D2181=D2182),2)*VLOOKUP(9^99,FILTER({ROW(O$2:O2181),O$2:O2181},D$2:D2181=D2182),2)-N218"&amp;"2)/O2182),J2182))"),"")</f>
        <v/>
      </c>
      <c r="Q2182" s="264" t="str">
        <f>IFERROR(__xludf.DUMMYFUNCTION("IFERROR(IF(F2182=""Crypto"",B2182,(IF(ISBLANK(D2182),"""",IF(D2182=""Cash"",B2182,IF(GOOGLEFINANCE(D2182,""CURRENCY"")=""GBX"",""GBP"",GOOGLEFINANCE(D2182,""CURRENCY"")))))),B2182)"),"")</f>
        <v/>
      </c>
      <c r="R2182" s="263" t="str">
        <f>IFERROR(__xludf.DUMMYFUNCTION("IF(ISBLANK(A2182),"""",IFERROR(IF(OR(Q2182=""GPB"",Q2182=""ZAR""),IF(Q2182=Dashboard!$L$1,K2182,(K2182*GOOGLEFINANCE(""CURRENCY:""&amp;Q2182&amp;""""&amp;Dashboard!$L$1&amp;""""))/100),IF(Q2182=Dashboard!$L$1,K2182,K2182*GOOGLEFINANCE(""CURRENCY:""&amp;Q2182&amp;""""&amp;Dashboard!$"&amp;"L$1&amp;""""))),K2182))"),"")</f>
        <v/>
      </c>
      <c r="S2182" s="266" t="str">
        <f>IFERROR(__xludf.DUMMYFUNCTION("IF(ISBLANK(A2182),"""",IFERROR(IF(OR(Q2182=""GPB"",Q2182=""ZAR""),IF(Q2182=Dashboard!$L$1,M2182,(M2182*GOOGLEFINANCE(""CURRENCY:""&amp;Q2182&amp;""""&amp;Dashboard!$L$1&amp;""""))/100),IF(Q2182=Dashboard!$L$1,M2182,M2182*GOOGLEFINANCE(""CURRENCY:""&amp;Q2182&amp;""""&amp;Dashboard!$"&amp;"L$1&amp;""""))),M2182))"),"")</f>
        <v/>
      </c>
      <c r="T2182" s="264" t="str">
        <f t="shared" si="4"/>
        <v/>
      </c>
      <c r="U2182" s="264" t="str">
        <f t="shared" si="5"/>
        <v/>
      </c>
      <c r="V2182" s="264" t="str">
        <f t="shared" si="6"/>
        <v/>
      </c>
      <c r="W2182" s="267" t="str">
        <f t="shared" si="8"/>
        <v/>
      </c>
      <c r="X2182" s="264" t="str">
        <f t="shared" si="7"/>
        <v/>
      </c>
    </row>
    <row r="2183" ht="15.75" customHeight="1">
      <c r="A2183" s="258"/>
      <c r="B2183" s="258"/>
      <c r="C2183" s="269"/>
      <c r="D2183" s="258"/>
      <c r="E2183" s="258"/>
      <c r="F2183" s="258"/>
      <c r="G2183" s="258"/>
      <c r="H2183" s="271"/>
      <c r="I2183" s="258"/>
      <c r="J2183" s="272"/>
      <c r="K2183" s="260"/>
      <c r="L2183" s="261"/>
      <c r="M2183" s="262" t="str">
        <f t="shared" si="1"/>
        <v/>
      </c>
      <c r="N2183" s="263" t="str">
        <f t="shared" si="2"/>
        <v/>
      </c>
      <c r="O2183" s="264" t="str">
        <f t="shared" si="3"/>
        <v/>
      </c>
      <c r="P2183" s="265" t="str">
        <f>IFERROR(__xludf.DUMMYFUNCTION("IF(ISBLANK(A2183),"""",IFERROR(IF(H2183=""Sell"",VLOOKUP(9^99,FILTER({ROW(P$2:P2182),P$2:P2182},D$2:D2182=D2183),2),(VLOOKUP(9^99,FILTER({ROW(P$2:P2182),P$2:P2182},D$2:D2182=D2183),2)*VLOOKUP(9^99,FILTER({ROW(O$2:O2182),O$2:O2182},D$2:D2182=D2183),2)-N218"&amp;"3)/O2183),J2183))"),"")</f>
        <v/>
      </c>
      <c r="Q2183" s="264" t="str">
        <f>IFERROR(__xludf.DUMMYFUNCTION("IFERROR(IF(F2183=""Crypto"",B2183,(IF(ISBLANK(D2183),"""",IF(D2183=""Cash"",B2183,IF(GOOGLEFINANCE(D2183,""CURRENCY"")=""GBX"",""GBP"",GOOGLEFINANCE(D2183,""CURRENCY"")))))),B2183)"),"")</f>
        <v/>
      </c>
      <c r="R2183" s="263" t="str">
        <f>IFERROR(__xludf.DUMMYFUNCTION("IF(ISBLANK(A2183),"""",IFERROR(IF(OR(Q2183=""GPB"",Q2183=""ZAR""),IF(Q2183=Dashboard!$L$1,K2183,(K2183*GOOGLEFINANCE(""CURRENCY:""&amp;Q2183&amp;""""&amp;Dashboard!$L$1&amp;""""))/100),IF(Q2183=Dashboard!$L$1,K2183,K2183*GOOGLEFINANCE(""CURRENCY:""&amp;Q2183&amp;""""&amp;Dashboard!$"&amp;"L$1&amp;""""))),K2183))"),"")</f>
        <v/>
      </c>
      <c r="S2183" s="266" t="str">
        <f>IFERROR(__xludf.DUMMYFUNCTION("IF(ISBLANK(A2183),"""",IFERROR(IF(OR(Q2183=""GPB"",Q2183=""ZAR""),IF(Q2183=Dashboard!$L$1,M2183,(M2183*GOOGLEFINANCE(""CURRENCY:""&amp;Q2183&amp;""""&amp;Dashboard!$L$1&amp;""""))/100),IF(Q2183=Dashboard!$L$1,M2183,M2183*GOOGLEFINANCE(""CURRENCY:""&amp;Q2183&amp;""""&amp;Dashboard!$"&amp;"L$1&amp;""""))),M2183))"),"")</f>
        <v/>
      </c>
      <c r="T2183" s="264" t="str">
        <f t="shared" si="4"/>
        <v/>
      </c>
      <c r="U2183" s="264" t="str">
        <f t="shared" si="5"/>
        <v/>
      </c>
      <c r="V2183" s="264" t="str">
        <f t="shared" si="6"/>
        <v/>
      </c>
      <c r="W2183" s="267" t="str">
        <f t="shared" si="8"/>
        <v/>
      </c>
      <c r="X2183" s="264" t="str">
        <f t="shared" si="7"/>
        <v/>
      </c>
    </row>
    <row r="2184" ht="15.75" customHeight="1">
      <c r="A2184" s="258"/>
      <c r="B2184" s="258"/>
      <c r="C2184" s="269"/>
      <c r="D2184" s="258"/>
      <c r="E2184" s="258"/>
      <c r="F2184" s="258"/>
      <c r="G2184" s="258"/>
      <c r="H2184" s="271"/>
      <c r="I2184" s="258"/>
      <c r="J2184" s="272"/>
      <c r="K2184" s="260"/>
      <c r="L2184" s="261"/>
      <c r="M2184" s="262" t="str">
        <f t="shared" si="1"/>
        <v/>
      </c>
      <c r="N2184" s="263" t="str">
        <f t="shared" si="2"/>
        <v/>
      </c>
      <c r="O2184" s="264" t="str">
        <f t="shared" si="3"/>
        <v/>
      </c>
      <c r="P2184" s="265" t="str">
        <f>IFERROR(__xludf.DUMMYFUNCTION("IF(ISBLANK(A2184),"""",IFERROR(IF(H2184=""Sell"",VLOOKUP(9^99,FILTER({ROW(P$2:P2183),P$2:P2183},D$2:D2183=D2184),2),(VLOOKUP(9^99,FILTER({ROW(P$2:P2183),P$2:P2183},D$2:D2183=D2184),2)*VLOOKUP(9^99,FILTER({ROW(O$2:O2183),O$2:O2183},D$2:D2183=D2184),2)-N218"&amp;"4)/O2184),J2184))"),"")</f>
        <v/>
      </c>
      <c r="Q2184" s="264" t="str">
        <f>IFERROR(__xludf.DUMMYFUNCTION("IFERROR(IF(F2184=""Crypto"",B2184,(IF(ISBLANK(D2184),"""",IF(D2184=""Cash"",B2184,IF(GOOGLEFINANCE(D2184,""CURRENCY"")=""GBX"",""GBP"",GOOGLEFINANCE(D2184,""CURRENCY"")))))),B2184)"),"")</f>
        <v/>
      </c>
      <c r="R2184" s="263" t="str">
        <f>IFERROR(__xludf.DUMMYFUNCTION("IF(ISBLANK(A2184),"""",IFERROR(IF(OR(Q2184=""GPB"",Q2184=""ZAR""),IF(Q2184=Dashboard!$L$1,K2184,(K2184*GOOGLEFINANCE(""CURRENCY:""&amp;Q2184&amp;""""&amp;Dashboard!$L$1&amp;""""))/100),IF(Q2184=Dashboard!$L$1,K2184,K2184*GOOGLEFINANCE(""CURRENCY:""&amp;Q2184&amp;""""&amp;Dashboard!$"&amp;"L$1&amp;""""))),K2184))"),"")</f>
        <v/>
      </c>
      <c r="S2184" s="266" t="str">
        <f>IFERROR(__xludf.DUMMYFUNCTION("IF(ISBLANK(A2184),"""",IFERROR(IF(OR(Q2184=""GPB"",Q2184=""ZAR""),IF(Q2184=Dashboard!$L$1,M2184,(M2184*GOOGLEFINANCE(""CURRENCY:""&amp;Q2184&amp;""""&amp;Dashboard!$L$1&amp;""""))/100),IF(Q2184=Dashboard!$L$1,M2184,M2184*GOOGLEFINANCE(""CURRENCY:""&amp;Q2184&amp;""""&amp;Dashboard!$"&amp;"L$1&amp;""""))),M2184))"),"")</f>
        <v/>
      </c>
      <c r="T2184" s="264" t="str">
        <f t="shared" si="4"/>
        <v/>
      </c>
      <c r="U2184" s="264" t="str">
        <f t="shared" si="5"/>
        <v/>
      </c>
      <c r="V2184" s="264" t="str">
        <f t="shared" si="6"/>
        <v/>
      </c>
      <c r="W2184" s="267" t="str">
        <f t="shared" si="8"/>
        <v/>
      </c>
      <c r="X2184" s="264" t="str">
        <f t="shared" si="7"/>
        <v/>
      </c>
    </row>
    <row r="2185" ht="15.75" customHeight="1">
      <c r="A2185" s="258"/>
      <c r="B2185" s="258"/>
      <c r="C2185" s="269"/>
      <c r="D2185" s="258"/>
      <c r="E2185" s="258"/>
      <c r="F2185" s="258"/>
      <c r="G2185" s="258"/>
      <c r="H2185" s="271"/>
      <c r="I2185" s="258"/>
      <c r="J2185" s="272"/>
      <c r="K2185" s="260"/>
      <c r="L2185" s="261"/>
      <c r="M2185" s="262" t="str">
        <f t="shared" si="1"/>
        <v/>
      </c>
      <c r="N2185" s="263" t="str">
        <f t="shared" si="2"/>
        <v/>
      </c>
      <c r="O2185" s="264" t="str">
        <f t="shared" si="3"/>
        <v/>
      </c>
      <c r="P2185" s="265" t="str">
        <f>IFERROR(__xludf.DUMMYFUNCTION("IF(ISBLANK(A2185),"""",IFERROR(IF(H2185=""Sell"",VLOOKUP(9^99,FILTER({ROW(P$2:P2184),P$2:P2184},D$2:D2184=D2185),2),(VLOOKUP(9^99,FILTER({ROW(P$2:P2184),P$2:P2184},D$2:D2184=D2185),2)*VLOOKUP(9^99,FILTER({ROW(O$2:O2184),O$2:O2184},D$2:D2184=D2185),2)-N218"&amp;"5)/O2185),J2185))"),"")</f>
        <v/>
      </c>
      <c r="Q2185" s="264" t="str">
        <f>IFERROR(__xludf.DUMMYFUNCTION("IFERROR(IF(F2185=""Crypto"",B2185,(IF(ISBLANK(D2185),"""",IF(D2185=""Cash"",B2185,IF(GOOGLEFINANCE(D2185,""CURRENCY"")=""GBX"",""GBP"",GOOGLEFINANCE(D2185,""CURRENCY"")))))),B2185)"),"")</f>
        <v/>
      </c>
      <c r="R2185" s="263" t="str">
        <f>IFERROR(__xludf.DUMMYFUNCTION("IF(ISBLANK(A2185),"""",IFERROR(IF(OR(Q2185=""GPB"",Q2185=""ZAR""),IF(Q2185=Dashboard!$L$1,K2185,(K2185*GOOGLEFINANCE(""CURRENCY:""&amp;Q2185&amp;""""&amp;Dashboard!$L$1&amp;""""))/100),IF(Q2185=Dashboard!$L$1,K2185,K2185*GOOGLEFINANCE(""CURRENCY:""&amp;Q2185&amp;""""&amp;Dashboard!$"&amp;"L$1&amp;""""))),K2185))"),"")</f>
        <v/>
      </c>
      <c r="S2185" s="266" t="str">
        <f>IFERROR(__xludf.DUMMYFUNCTION("IF(ISBLANK(A2185),"""",IFERROR(IF(OR(Q2185=""GPB"",Q2185=""ZAR""),IF(Q2185=Dashboard!$L$1,M2185,(M2185*GOOGLEFINANCE(""CURRENCY:""&amp;Q2185&amp;""""&amp;Dashboard!$L$1&amp;""""))/100),IF(Q2185=Dashboard!$L$1,M2185,M2185*GOOGLEFINANCE(""CURRENCY:""&amp;Q2185&amp;""""&amp;Dashboard!$"&amp;"L$1&amp;""""))),M2185))"),"")</f>
        <v/>
      </c>
      <c r="T2185" s="264" t="str">
        <f t="shared" si="4"/>
        <v/>
      </c>
      <c r="U2185" s="264" t="str">
        <f t="shared" si="5"/>
        <v/>
      </c>
      <c r="V2185" s="264" t="str">
        <f t="shared" si="6"/>
        <v/>
      </c>
      <c r="W2185" s="267" t="str">
        <f t="shared" si="8"/>
        <v/>
      </c>
      <c r="X2185" s="264" t="str">
        <f t="shared" si="7"/>
        <v/>
      </c>
    </row>
    <row r="2186" ht="15.75" customHeight="1">
      <c r="A2186" s="258"/>
      <c r="B2186" s="258"/>
      <c r="C2186" s="269"/>
      <c r="D2186" s="258"/>
      <c r="E2186" s="258"/>
      <c r="F2186" s="258"/>
      <c r="G2186" s="258"/>
      <c r="H2186" s="271"/>
      <c r="I2186" s="258"/>
      <c r="J2186" s="272"/>
      <c r="K2186" s="260"/>
      <c r="L2186" s="261"/>
      <c r="M2186" s="262" t="str">
        <f t="shared" si="1"/>
        <v/>
      </c>
      <c r="N2186" s="263" t="str">
        <f t="shared" si="2"/>
        <v/>
      </c>
      <c r="O2186" s="264" t="str">
        <f t="shared" si="3"/>
        <v/>
      </c>
      <c r="P2186" s="265" t="str">
        <f>IFERROR(__xludf.DUMMYFUNCTION("IF(ISBLANK(A2186),"""",IFERROR(IF(H2186=""Sell"",VLOOKUP(9^99,FILTER({ROW(P$2:P2185),P$2:P2185},D$2:D2185=D2186),2),(VLOOKUP(9^99,FILTER({ROW(P$2:P2185),P$2:P2185},D$2:D2185=D2186),2)*VLOOKUP(9^99,FILTER({ROW(O$2:O2185),O$2:O2185},D$2:D2185=D2186),2)-N218"&amp;"6)/O2186),J2186))"),"")</f>
        <v/>
      </c>
      <c r="Q2186" s="264" t="str">
        <f>IFERROR(__xludf.DUMMYFUNCTION("IFERROR(IF(F2186=""Crypto"",B2186,(IF(ISBLANK(D2186),"""",IF(D2186=""Cash"",B2186,IF(GOOGLEFINANCE(D2186,""CURRENCY"")=""GBX"",""GBP"",GOOGLEFINANCE(D2186,""CURRENCY"")))))),B2186)"),"")</f>
        <v/>
      </c>
      <c r="R2186" s="263" t="str">
        <f>IFERROR(__xludf.DUMMYFUNCTION("IF(ISBLANK(A2186),"""",IFERROR(IF(OR(Q2186=""GPB"",Q2186=""ZAR""),IF(Q2186=Dashboard!$L$1,K2186,(K2186*GOOGLEFINANCE(""CURRENCY:""&amp;Q2186&amp;""""&amp;Dashboard!$L$1&amp;""""))/100),IF(Q2186=Dashboard!$L$1,K2186,K2186*GOOGLEFINANCE(""CURRENCY:""&amp;Q2186&amp;""""&amp;Dashboard!$"&amp;"L$1&amp;""""))),K2186))"),"")</f>
        <v/>
      </c>
      <c r="S2186" s="266" t="str">
        <f>IFERROR(__xludf.DUMMYFUNCTION("IF(ISBLANK(A2186),"""",IFERROR(IF(OR(Q2186=""GPB"",Q2186=""ZAR""),IF(Q2186=Dashboard!$L$1,M2186,(M2186*GOOGLEFINANCE(""CURRENCY:""&amp;Q2186&amp;""""&amp;Dashboard!$L$1&amp;""""))/100),IF(Q2186=Dashboard!$L$1,M2186,M2186*GOOGLEFINANCE(""CURRENCY:""&amp;Q2186&amp;""""&amp;Dashboard!$"&amp;"L$1&amp;""""))),M2186))"),"")</f>
        <v/>
      </c>
      <c r="T2186" s="264" t="str">
        <f t="shared" si="4"/>
        <v/>
      </c>
      <c r="U2186" s="264" t="str">
        <f t="shared" si="5"/>
        <v/>
      </c>
      <c r="V2186" s="264" t="str">
        <f t="shared" si="6"/>
        <v/>
      </c>
      <c r="W2186" s="267" t="str">
        <f t="shared" si="8"/>
        <v/>
      </c>
      <c r="X2186" s="264" t="str">
        <f t="shared" si="7"/>
        <v/>
      </c>
    </row>
    <row r="2187" ht="15.75" customHeight="1">
      <c r="A2187" s="258"/>
      <c r="B2187" s="258"/>
      <c r="C2187" s="269"/>
      <c r="D2187" s="258"/>
      <c r="E2187" s="258"/>
      <c r="F2187" s="258"/>
      <c r="G2187" s="258"/>
      <c r="H2187" s="271"/>
      <c r="I2187" s="258"/>
      <c r="J2187" s="272"/>
      <c r="K2187" s="260"/>
      <c r="L2187" s="261"/>
      <c r="M2187" s="262" t="str">
        <f t="shared" si="1"/>
        <v/>
      </c>
      <c r="N2187" s="263" t="str">
        <f t="shared" si="2"/>
        <v/>
      </c>
      <c r="O2187" s="264" t="str">
        <f t="shared" si="3"/>
        <v/>
      </c>
      <c r="P2187" s="265" t="str">
        <f>IFERROR(__xludf.DUMMYFUNCTION("IF(ISBLANK(A2187),"""",IFERROR(IF(H2187=""Sell"",VLOOKUP(9^99,FILTER({ROW(P$2:P2186),P$2:P2186},D$2:D2186=D2187),2),(VLOOKUP(9^99,FILTER({ROW(P$2:P2186),P$2:P2186},D$2:D2186=D2187),2)*VLOOKUP(9^99,FILTER({ROW(O$2:O2186),O$2:O2186},D$2:D2186=D2187),2)-N218"&amp;"7)/O2187),J2187))"),"")</f>
        <v/>
      </c>
      <c r="Q2187" s="264" t="str">
        <f>IFERROR(__xludf.DUMMYFUNCTION("IFERROR(IF(F2187=""Crypto"",B2187,(IF(ISBLANK(D2187),"""",IF(D2187=""Cash"",B2187,IF(GOOGLEFINANCE(D2187,""CURRENCY"")=""GBX"",""GBP"",GOOGLEFINANCE(D2187,""CURRENCY"")))))),B2187)"),"")</f>
        <v/>
      </c>
      <c r="R2187" s="263" t="str">
        <f>IFERROR(__xludf.DUMMYFUNCTION("IF(ISBLANK(A2187),"""",IFERROR(IF(OR(Q2187=""GPB"",Q2187=""ZAR""),IF(Q2187=Dashboard!$L$1,K2187,(K2187*GOOGLEFINANCE(""CURRENCY:""&amp;Q2187&amp;""""&amp;Dashboard!$L$1&amp;""""))/100),IF(Q2187=Dashboard!$L$1,K2187,K2187*GOOGLEFINANCE(""CURRENCY:""&amp;Q2187&amp;""""&amp;Dashboard!$"&amp;"L$1&amp;""""))),K2187))"),"")</f>
        <v/>
      </c>
      <c r="S2187" s="266" t="str">
        <f>IFERROR(__xludf.DUMMYFUNCTION("IF(ISBLANK(A2187),"""",IFERROR(IF(OR(Q2187=""GPB"",Q2187=""ZAR""),IF(Q2187=Dashboard!$L$1,M2187,(M2187*GOOGLEFINANCE(""CURRENCY:""&amp;Q2187&amp;""""&amp;Dashboard!$L$1&amp;""""))/100),IF(Q2187=Dashboard!$L$1,M2187,M2187*GOOGLEFINANCE(""CURRENCY:""&amp;Q2187&amp;""""&amp;Dashboard!$"&amp;"L$1&amp;""""))),M2187))"),"")</f>
        <v/>
      </c>
      <c r="T2187" s="264" t="str">
        <f t="shared" si="4"/>
        <v/>
      </c>
      <c r="U2187" s="264" t="str">
        <f t="shared" si="5"/>
        <v/>
      </c>
      <c r="V2187" s="264" t="str">
        <f t="shared" si="6"/>
        <v/>
      </c>
      <c r="W2187" s="267" t="str">
        <f t="shared" si="8"/>
        <v/>
      </c>
      <c r="X2187" s="264" t="str">
        <f t="shared" si="7"/>
        <v/>
      </c>
    </row>
    <row r="2188" ht="15.75" customHeight="1">
      <c r="A2188" s="258"/>
      <c r="B2188" s="258"/>
      <c r="C2188" s="269"/>
      <c r="D2188" s="258"/>
      <c r="E2188" s="258"/>
      <c r="F2188" s="258"/>
      <c r="G2188" s="258"/>
      <c r="H2188" s="271"/>
      <c r="I2188" s="258"/>
      <c r="J2188" s="272"/>
      <c r="K2188" s="260"/>
      <c r="L2188" s="261"/>
      <c r="M2188" s="262" t="str">
        <f t="shared" si="1"/>
        <v/>
      </c>
      <c r="N2188" s="263" t="str">
        <f t="shared" si="2"/>
        <v/>
      </c>
      <c r="O2188" s="264" t="str">
        <f t="shared" si="3"/>
        <v/>
      </c>
      <c r="P2188" s="265" t="str">
        <f>IFERROR(__xludf.DUMMYFUNCTION("IF(ISBLANK(A2188),"""",IFERROR(IF(H2188=""Sell"",VLOOKUP(9^99,FILTER({ROW(P$2:P2187),P$2:P2187},D$2:D2187=D2188),2),(VLOOKUP(9^99,FILTER({ROW(P$2:P2187),P$2:P2187},D$2:D2187=D2188),2)*VLOOKUP(9^99,FILTER({ROW(O$2:O2187),O$2:O2187},D$2:D2187=D2188),2)-N218"&amp;"8)/O2188),J2188))"),"")</f>
        <v/>
      </c>
      <c r="Q2188" s="264" t="str">
        <f>IFERROR(__xludf.DUMMYFUNCTION("IFERROR(IF(F2188=""Crypto"",B2188,(IF(ISBLANK(D2188),"""",IF(D2188=""Cash"",B2188,IF(GOOGLEFINANCE(D2188,""CURRENCY"")=""GBX"",""GBP"",GOOGLEFINANCE(D2188,""CURRENCY"")))))),B2188)"),"")</f>
        <v/>
      </c>
      <c r="R2188" s="263" t="str">
        <f>IFERROR(__xludf.DUMMYFUNCTION("IF(ISBLANK(A2188),"""",IFERROR(IF(OR(Q2188=""GPB"",Q2188=""ZAR""),IF(Q2188=Dashboard!$L$1,K2188,(K2188*GOOGLEFINANCE(""CURRENCY:""&amp;Q2188&amp;""""&amp;Dashboard!$L$1&amp;""""))/100),IF(Q2188=Dashboard!$L$1,K2188,K2188*GOOGLEFINANCE(""CURRENCY:""&amp;Q2188&amp;""""&amp;Dashboard!$"&amp;"L$1&amp;""""))),K2188))"),"")</f>
        <v/>
      </c>
      <c r="S2188" s="266" t="str">
        <f>IFERROR(__xludf.DUMMYFUNCTION("IF(ISBLANK(A2188),"""",IFERROR(IF(OR(Q2188=""GPB"",Q2188=""ZAR""),IF(Q2188=Dashboard!$L$1,M2188,(M2188*GOOGLEFINANCE(""CURRENCY:""&amp;Q2188&amp;""""&amp;Dashboard!$L$1&amp;""""))/100),IF(Q2188=Dashboard!$L$1,M2188,M2188*GOOGLEFINANCE(""CURRENCY:""&amp;Q2188&amp;""""&amp;Dashboard!$"&amp;"L$1&amp;""""))),M2188))"),"")</f>
        <v/>
      </c>
      <c r="T2188" s="264" t="str">
        <f t="shared" si="4"/>
        <v/>
      </c>
      <c r="U2188" s="264" t="str">
        <f t="shared" si="5"/>
        <v/>
      </c>
      <c r="V2188" s="264" t="str">
        <f t="shared" si="6"/>
        <v/>
      </c>
      <c r="W2188" s="267" t="str">
        <f t="shared" si="8"/>
        <v/>
      </c>
      <c r="X2188" s="264" t="str">
        <f t="shared" si="7"/>
        <v/>
      </c>
    </row>
    <row r="2189" ht="15.75" customHeight="1">
      <c r="A2189" s="258"/>
      <c r="B2189" s="258"/>
      <c r="C2189" s="269"/>
      <c r="D2189" s="258"/>
      <c r="E2189" s="258"/>
      <c r="F2189" s="258"/>
      <c r="G2189" s="258"/>
      <c r="H2189" s="271"/>
      <c r="I2189" s="258"/>
      <c r="J2189" s="272"/>
      <c r="K2189" s="260"/>
      <c r="L2189" s="261"/>
      <c r="M2189" s="262" t="str">
        <f t="shared" si="1"/>
        <v/>
      </c>
      <c r="N2189" s="263" t="str">
        <f t="shared" si="2"/>
        <v/>
      </c>
      <c r="O2189" s="264" t="str">
        <f t="shared" si="3"/>
        <v/>
      </c>
      <c r="P2189" s="265" t="str">
        <f>IFERROR(__xludf.DUMMYFUNCTION("IF(ISBLANK(A2189),"""",IFERROR(IF(H2189=""Sell"",VLOOKUP(9^99,FILTER({ROW(P$2:P2188),P$2:P2188},D$2:D2188=D2189),2),(VLOOKUP(9^99,FILTER({ROW(P$2:P2188),P$2:P2188},D$2:D2188=D2189),2)*VLOOKUP(9^99,FILTER({ROW(O$2:O2188),O$2:O2188},D$2:D2188=D2189),2)-N218"&amp;"9)/O2189),J2189))"),"")</f>
        <v/>
      </c>
      <c r="Q2189" s="264" t="str">
        <f>IFERROR(__xludf.DUMMYFUNCTION("IFERROR(IF(F2189=""Crypto"",B2189,(IF(ISBLANK(D2189),"""",IF(D2189=""Cash"",B2189,IF(GOOGLEFINANCE(D2189,""CURRENCY"")=""GBX"",""GBP"",GOOGLEFINANCE(D2189,""CURRENCY"")))))),B2189)"),"")</f>
        <v/>
      </c>
      <c r="R2189" s="263" t="str">
        <f>IFERROR(__xludf.DUMMYFUNCTION("IF(ISBLANK(A2189),"""",IFERROR(IF(OR(Q2189=""GPB"",Q2189=""ZAR""),IF(Q2189=Dashboard!$L$1,K2189,(K2189*GOOGLEFINANCE(""CURRENCY:""&amp;Q2189&amp;""""&amp;Dashboard!$L$1&amp;""""))/100),IF(Q2189=Dashboard!$L$1,K2189,K2189*GOOGLEFINANCE(""CURRENCY:""&amp;Q2189&amp;""""&amp;Dashboard!$"&amp;"L$1&amp;""""))),K2189))"),"")</f>
        <v/>
      </c>
      <c r="S2189" s="266" t="str">
        <f>IFERROR(__xludf.DUMMYFUNCTION("IF(ISBLANK(A2189),"""",IFERROR(IF(OR(Q2189=""GPB"",Q2189=""ZAR""),IF(Q2189=Dashboard!$L$1,M2189,(M2189*GOOGLEFINANCE(""CURRENCY:""&amp;Q2189&amp;""""&amp;Dashboard!$L$1&amp;""""))/100),IF(Q2189=Dashboard!$L$1,M2189,M2189*GOOGLEFINANCE(""CURRENCY:""&amp;Q2189&amp;""""&amp;Dashboard!$"&amp;"L$1&amp;""""))),M2189))"),"")</f>
        <v/>
      </c>
      <c r="T2189" s="264" t="str">
        <f t="shared" si="4"/>
        <v/>
      </c>
      <c r="U2189" s="264" t="str">
        <f t="shared" si="5"/>
        <v/>
      </c>
      <c r="V2189" s="264" t="str">
        <f t="shared" si="6"/>
        <v/>
      </c>
      <c r="W2189" s="267" t="str">
        <f t="shared" si="8"/>
        <v/>
      </c>
      <c r="X2189" s="264" t="str">
        <f t="shared" si="7"/>
        <v/>
      </c>
    </row>
    <row r="2190" ht="15.75" customHeight="1">
      <c r="A2190" s="258"/>
      <c r="B2190" s="258"/>
      <c r="C2190" s="269"/>
      <c r="D2190" s="258"/>
      <c r="E2190" s="258"/>
      <c r="F2190" s="258"/>
      <c r="G2190" s="258"/>
      <c r="H2190" s="271"/>
      <c r="I2190" s="258"/>
      <c r="J2190" s="272"/>
      <c r="K2190" s="260"/>
      <c r="L2190" s="261"/>
      <c r="M2190" s="262" t="str">
        <f t="shared" si="1"/>
        <v/>
      </c>
      <c r="N2190" s="263" t="str">
        <f t="shared" si="2"/>
        <v/>
      </c>
      <c r="O2190" s="264" t="str">
        <f t="shared" si="3"/>
        <v/>
      </c>
      <c r="P2190" s="265" t="str">
        <f>IFERROR(__xludf.DUMMYFUNCTION("IF(ISBLANK(A2190),"""",IFERROR(IF(H2190=""Sell"",VLOOKUP(9^99,FILTER({ROW(P$2:P2189),P$2:P2189},D$2:D2189=D2190),2),(VLOOKUP(9^99,FILTER({ROW(P$2:P2189),P$2:P2189},D$2:D2189=D2190),2)*VLOOKUP(9^99,FILTER({ROW(O$2:O2189),O$2:O2189},D$2:D2189=D2190),2)-N219"&amp;"0)/O2190),J2190))"),"")</f>
        <v/>
      </c>
      <c r="Q2190" s="264" t="str">
        <f>IFERROR(__xludf.DUMMYFUNCTION("IFERROR(IF(F2190=""Crypto"",B2190,(IF(ISBLANK(D2190),"""",IF(D2190=""Cash"",B2190,IF(GOOGLEFINANCE(D2190,""CURRENCY"")=""GBX"",""GBP"",GOOGLEFINANCE(D2190,""CURRENCY"")))))),B2190)"),"")</f>
        <v/>
      </c>
      <c r="R2190" s="263" t="str">
        <f>IFERROR(__xludf.DUMMYFUNCTION("IF(ISBLANK(A2190),"""",IFERROR(IF(OR(Q2190=""GPB"",Q2190=""ZAR""),IF(Q2190=Dashboard!$L$1,K2190,(K2190*GOOGLEFINANCE(""CURRENCY:""&amp;Q2190&amp;""""&amp;Dashboard!$L$1&amp;""""))/100),IF(Q2190=Dashboard!$L$1,K2190,K2190*GOOGLEFINANCE(""CURRENCY:""&amp;Q2190&amp;""""&amp;Dashboard!$"&amp;"L$1&amp;""""))),K2190))"),"")</f>
        <v/>
      </c>
      <c r="S2190" s="266" t="str">
        <f>IFERROR(__xludf.DUMMYFUNCTION("IF(ISBLANK(A2190),"""",IFERROR(IF(OR(Q2190=""GPB"",Q2190=""ZAR""),IF(Q2190=Dashboard!$L$1,M2190,(M2190*GOOGLEFINANCE(""CURRENCY:""&amp;Q2190&amp;""""&amp;Dashboard!$L$1&amp;""""))/100),IF(Q2190=Dashboard!$L$1,M2190,M2190*GOOGLEFINANCE(""CURRENCY:""&amp;Q2190&amp;""""&amp;Dashboard!$"&amp;"L$1&amp;""""))),M2190))"),"")</f>
        <v/>
      </c>
      <c r="T2190" s="264" t="str">
        <f t="shared" si="4"/>
        <v/>
      </c>
      <c r="U2190" s="264" t="str">
        <f t="shared" si="5"/>
        <v/>
      </c>
      <c r="V2190" s="264" t="str">
        <f t="shared" si="6"/>
        <v/>
      </c>
      <c r="W2190" s="267" t="str">
        <f t="shared" si="8"/>
        <v/>
      </c>
      <c r="X2190" s="264" t="str">
        <f t="shared" si="7"/>
        <v/>
      </c>
    </row>
    <row r="2191" ht="15.75" customHeight="1">
      <c r="A2191" s="258"/>
      <c r="B2191" s="258"/>
      <c r="C2191" s="269"/>
      <c r="D2191" s="258"/>
      <c r="E2191" s="258"/>
      <c r="F2191" s="258"/>
      <c r="G2191" s="258"/>
      <c r="H2191" s="271"/>
      <c r="I2191" s="258"/>
      <c r="J2191" s="272"/>
      <c r="K2191" s="260"/>
      <c r="L2191" s="261"/>
      <c r="M2191" s="262" t="str">
        <f t="shared" si="1"/>
        <v/>
      </c>
      <c r="N2191" s="263" t="str">
        <f t="shared" si="2"/>
        <v/>
      </c>
      <c r="O2191" s="264" t="str">
        <f t="shared" si="3"/>
        <v/>
      </c>
      <c r="P2191" s="265" t="str">
        <f>IFERROR(__xludf.DUMMYFUNCTION("IF(ISBLANK(A2191),"""",IFERROR(IF(H2191=""Sell"",VLOOKUP(9^99,FILTER({ROW(P$2:P2190),P$2:P2190},D$2:D2190=D2191),2),(VLOOKUP(9^99,FILTER({ROW(P$2:P2190),P$2:P2190},D$2:D2190=D2191),2)*VLOOKUP(9^99,FILTER({ROW(O$2:O2190),O$2:O2190},D$2:D2190=D2191),2)-N219"&amp;"1)/O2191),J2191))"),"")</f>
        <v/>
      </c>
      <c r="Q2191" s="264" t="str">
        <f>IFERROR(__xludf.DUMMYFUNCTION("IFERROR(IF(F2191=""Crypto"",B2191,(IF(ISBLANK(D2191),"""",IF(D2191=""Cash"",B2191,IF(GOOGLEFINANCE(D2191,""CURRENCY"")=""GBX"",""GBP"",GOOGLEFINANCE(D2191,""CURRENCY"")))))),B2191)"),"")</f>
        <v/>
      </c>
      <c r="R2191" s="263" t="str">
        <f>IFERROR(__xludf.DUMMYFUNCTION("IF(ISBLANK(A2191),"""",IFERROR(IF(OR(Q2191=""GPB"",Q2191=""ZAR""),IF(Q2191=Dashboard!$L$1,K2191,(K2191*GOOGLEFINANCE(""CURRENCY:""&amp;Q2191&amp;""""&amp;Dashboard!$L$1&amp;""""))/100),IF(Q2191=Dashboard!$L$1,K2191,K2191*GOOGLEFINANCE(""CURRENCY:""&amp;Q2191&amp;""""&amp;Dashboard!$"&amp;"L$1&amp;""""))),K2191))"),"")</f>
        <v/>
      </c>
      <c r="S2191" s="266" t="str">
        <f>IFERROR(__xludf.DUMMYFUNCTION("IF(ISBLANK(A2191),"""",IFERROR(IF(OR(Q2191=""GPB"",Q2191=""ZAR""),IF(Q2191=Dashboard!$L$1,M2191,(M2191*GOOGLEFINANCE(""CURRENCY:""&amp;Q2191&amp;""""&amp;Dashboard!$L$1&amp;""""))/100),IF(Q2191=Dashboard!$L$1,M2191,M2191*GOOGLEFINANCE(""CURRENCY:""&amp;Q2191&amp;""""&amp;Dashboard!$"&amp;"L$1&amp;""""))),M2191))"),"")</f>
        <v/>
      </c>
      <c r="T2191" s="264" t="str">
        <f t="shared" si="4"/>
        <v/>
      </c>
      <c r="U2191" s="264" t="str">
        <f t="shared" si="5"/>
        <v/>
      </c>
      <c r="V2191" s="264" t="str">
        <f t="shared" si="6"/>
        <v/>
      </c>
      <c r="W2191" s="267" t="str">
        <f t="shared" si="8"/>
        <v/>
      </c>
      <c r="X2191" s="264" t="str">
        <f t="shared" si="7"/>
        <v/>
      </c>
    </row>
    <row r="2192" ht="15.75" customHeight="1">
      <c r="A2192" s="258"/>
      <c r="B2192" s="258"/>
      <c r="C2192" s="269"/>
      <c r="D2192" s="258"/>
      <c r="E2192" s="258"/>
      <c r="F2192" s="258"/>
      <c r="G2192" s="258"/>
      <c r="H2192" s="271"/>
      <c r="I2192" s="258"/>
      <c r="J2192" s="272"/>
      <c r="K2192" s="260"/>
      <c r="L2192" s="261"/>
      <c r="M2192" s="262" t="str">
        <f t="shared" si="1"/>
        <v/>
      </c>
      <c r="N2192" s="263" t="str">
        <f t="shared" si="2"/>
        <v/>
      </c>
      <c r="O2192" s="264" t="str">
        <f t="shared" si="3"/>
        <v/>
      </c>
      <c r="P2192" s="265" t="str">
        <f>IFERROR(__xludf.DUMMYFUNCTION("IF(ISBLANK(A2192),"""",IFERROR(IF(H2192=""Sell"",VLOOKUP(9^99,FILTER({ROW(P$2:P2191),P$2:P2191},D$2:D2191=D2192),2),(VLOOKUP(9^99,FILTER({ROW(P$2:P2191),P$2:P2191},D$2:D2191=D2192),2)*VLOOKUP(9^99,FILTER({ROW(O$2:O2191),O$2:O2191},D$2:D2191=D2192),2)-N219"&amp;"2)/O2192),J2192))"),"")</f>
        <v/>
      </c>
      <c r="Q2192" s="264" t="str">
        <f>IFERROR(__xludf.DUMMYFUNCTION("IFERROR(IF(F2192=""Crypto"",B2192,(IF(ISBLANK(D2192),"""",IF(D2192=""Cash"",B2192,IF(GOOGLEFINANCE(D2192,""CURRENCY"")=""GBX"",""GBP"",GOOGLEFINANCE(D2192,""CURRENCY"")))))),B2192)"),"")</f>
        <v/>
      </c>
      <c r="R2192" s="263" t="str">
        <f>IFERROR(__xludf.DUMMYFUNCTION("IF(ISBLANK(A2192),"""",IFERROR(IF(OR(Q2192=""GPB"",Q2192=""ZAR""),IF(Q2192=Dashboard!$L$1,K2192,(K2192*GOOGLEFINANCE(""CURRENCY:""&amp;Q2192&amp;""""&amp;Dashboard!$L$1&amp;""""))/100),IF(Q2192=Dashboard!$L$1,K2192,K2192*GOOGLEFINANCE(""CURRENCY:""&amp;Q2192&amp;""""&amp;Dashboard!$"&amp;"L$1&amp;""""))),K2192))"),"")</f>
        <v/>
      </c>
      <c r="S2192" s="266" t="str">
        <f>IFERROR(__xludf.DUMMYFUNCTION("IF(ISBLANK(A2192),"""",IFERROR(IF(OR(Q2192=""GPB"",Q2192=""ZAR""),IF(Q2192=Dashboard!$L$1,M2192,(M2192*GOOGLEFINANCE(""CURRENCY:""&amp;Q2192&amp;""""&amp;Dashboard!$L$1&amp;""""))/100),IF(Q2192=Dashboard!$L$1,M2192,M2192*GOOGLEFINANCE(""CURRENCY:""&amp;Q2192&amp;""""&amp;Dashboard!$"&amp;"L$1&amp;""""))),M2192))"),"")</f>
        <v/>
      </c>
      <c r="T2192" s="264" t="str">
        <f t="shared" si="4"/>
        <v/>
      </c>
      <c r="U2192" s="264" t="str">
        <f t="shared" si="5"/>
        <v/>
      </c>
      <c r="V2192" s="264" t="str">
        <f t="shared" si="6"/>
        <v/>
      </c>
      <c r="W2192" s="267" t="str">
        <f t="shared" si="8"/>
        <v/>
      </c>
      <c r="X2192" s="264" t="str">
        <f t="shared" si="7"/>
        <v/>
      </c>
    </row>
    <row r="2193" ht="15.75" customHeight="1">
      <c r="A2193" s="258"/>
      <c r="B2193" s="258"/>
      <c r="C2193" s="269"/>
      <c r="D2193" s="258"/>
      <c r="E2193" s="258"/>
      <c r="F2193" s="258"/>
      <c r="G2193" s="258"/>
      <c r="H2193" s="271"/>
      <c r="I2193" s="258"/>
      <c r="J2193" s="272"/>
      <c r="K2193" s="260"/>
      <c r="L2193" s="261"/>
      <c r="M2193" s="262" t="str">
        <f t="shared" si="1"/>
        <v/>
      </c>
      <c r="N2193" s="263" t="str">
        <f t="shared" si="2"/>
        <v/>
      </c>
      <c r="O2193" s="264" t="str">
        <f t="shared" si="3"/>
        <v/>
      </c>
      <c r="P2193" s="265" t="str">
        <f>IFERROR(__xludf.DUMMYFUNCTION("IF(ISBLANK(A2193),"""",IFERROR(IF(H2193=""Sell"",VLOOKUP(9^99,FILTER({ROW(P$2:P2192),P$2:P2192},D$2:D2192=D2193),2),(VLOOKUP(9^99,FILTER({ROW(P$2:P2192),P$2:P2192},D$2:D2192=D2193),2)*VLOOKUP(9^99,FILTER({ROW(O$2:O2192),O$2:O2192},D$2:D2192=D2193),2)-N219"&amp;"3)/O2193),J2193))"),"")</f>
        <v/>
      </c>
      <c r="Q2193" s="264" t="str">
        <f>IFERROR(__xludf.DUMMYFUNCTION("IFERROR(IF(F2193=""Crypto"",B2193,(IF(ISBLANK(D2193),"""",IF(D2193=""Cash"",B2193,IF(GOOGLEFINANCE(D2193,""CURRENCY"")=""GBX"",""GBP"",GOOGLEFINANCE(D2193,""CURRENCY"")))))),B2193)"),"")</f>
        <v/>
      </c>
      <c r="R2193" s="263" t="str">
        <f>IFERROR(__xludf.DUMMYFUNCTION("IF(ISBLANK(A2193),"""",IFERROR(IF(OR(Q2193=""GPB"",Q2193=""ZAR""),IF(Q2193=Dashboard!$L$1,K2193,(K2193*GOOGLEFINANCE(""CURRENCY:""&amp;Q2193&amp;""""&amp;Dashboard!$L$1&amp;""""))/100),IF(Q2193=Dashboard!$L$1,K2193,K2193*GOOGLEFINANCE(""CURRENCY:""&amp;Q2193&amp;""""&amp;Dashboard!$"&amp;"L$1&amp;""""))),K2193))"),"")</f>
        <v/>
      </c>
      <c r="S2193" s="266" t="str">
        <f>IFERROR(__xludf.DUMMYFUNCTION("IF(ISBLANK(A2193),"""",IFERROR(IF(OR(Q2193=""GPB"",Q2193=""ZAR""),IF(Q2193=Dashboard!$L$1,M2193,(M2193*GOOGLEFINANCE(""CURRENCY:""&amp;Q2193&amp;""""&amp;Dashboard!$L$1&amp;""""))/100),IF(Q2193=Dashboard!$L$1,M2193,M2193*GOOGLEFINANCE(""CURRENCY:""&amp;Q2193&amp;""""&amp;Dashboard!$"&amp;"L$1&amp;""""))),M2193))"),"")</f>
        <v/>
      </c>
      <c r="T2193" s="264" t="str">
        <f t="shared" si="4"/>
        <v/>
      </c>
      <c r="U2193" s="264" t="str">
        <f t="shared" si="5"/>
        <v/>
      </c>
      <c r="V2193" s="264" t="str">
        <f t="shared" si="6"/>
        <v/>
      </c>
      <c r="W2193" s="267" t="str">
        <f t="shared" si="8"/>
        <v/>
      </c>
      <c r="X2193" s="264" t="str">
        <f t="shared" si="7"/>
        <v/>
      </c>
    </row>
    <row r="2194" ht="15.75" customHeight="1">
      <c r="A2194" s="258"/>
      <c r="B2194" s="258"/>
      <c r="C2194" s="269"/>
      <c r="D2194" s="258"/>
      <c r="E2194" s="258"/>
      <c r="F2194" s="258"/>
      <c r="G2194" s="258"/>
      <c r="H2194" s="271"/>
      <c r="I2194" s="258"/>
      <c r="J2194" s="272"/>
      <c r="K2194" s="260"/>
      <c r="L2194" s="261"/>
      <c r="M2194" s="262" t="str">
        <f t="shared" si="1"/>
        <v/>
      </c>
      <c r="N2194" s="263" t="str">
        <f t="shared" si="2"/>
        <v/>
      </c>
      <c r="O2194" s="264" t="str">
        <f t="shared" si="3"/>
        <v/>
      </c>
      <c r="P2194" s="265" t="str">
        <f>IFERROR(__xludf.DUMMYFUNCTION("IF(ISBLANK(A2194),"""",IFERROR(IF(H2194=""Sell"",VLOOKUP(9^99,FILTER({ROW(P$2:P2193),P$2:P2193},D$2:D2193=D2194),2),(VLOOKUP(9^99,FILTER({ROW(P$2:P2193),P$2:P2193},D$2:D2193=D2194),2)*VLOOKUP(9^99,FILTER({ROW(O$2:O2193),O$2:O2193},D$2:D2193=D2194),2)-N219"&amp;"4)/O2194),J2194))"),"")</f>
        <v/>
      </c>
      <c r="Q2194" s="264" t="str">
        <f>IFERROR(__xludf.DUMMYFUNCTION("IFERROR(IF(F2194=""Crypto"",B2194,(IF(ISBLANK(D2194),"""",IF(D2194=""Cash"",B2194,IF(GOOGLEFINANCE(D2194,""CURRENCY"")=""GBX"",""GBP"",GOOGLEFINANCE(D2194,""CURRENCY"")))))),B2194)"),"")</f>
        <v/>
      </c>
      <c r="R2194" s="263" t="str">
        <f>IFERROR(__xludf.DUMMYFUNCTION("IF(ISBLANK(A2194),"""",IFERROR(IF(OR(Q2194=""GPB"",Q2194=""ZAR""),IF(Q2194=Dashboard!$L$1,K2194,(K2194*GOOGLEFINANCE(""CURRENCY:""&amp;Q2194&amp;""""&amp;Dashboard!$L$1&amp;""""))/100),IF(Q2194=Dashboard!$L$1,K2194,K2194*GOOGLEFINANCE(""CURRENCY:""&amp;Q2194&amp;""""&amp;Dashboard!$"&amp;"L$1&amp;""""))),K2194))"),"")</f>
        <v/>
      </c>
      <c r="S2194" s="266" t="str">
        <f>IFERROR(__xludf.DUMMYFUNCTION("IF(ISBLANK(A2194),"""",IFERROR(IF(OR(Q2194=""GPB"",Q2194=""ZAR""),IF(Q2194=Dashboard!$L$1,M2194,(M2194*GOOGLEFINANCE(""CURRENCY:""&amp;Q2194&amp;""""&amp;Dashboard!$L$1&amp;""""))/100),IF(Q2194=Dashboard!$L$1,M2194,M2194*GOOGLEFINANCE(""CURRENCY:""&amp;Q2194&amp;""""&amp;Dashboard!$"&amp;"L$1&amp;""""))),M2194))"),"")</f>
        <v/>
      </c>
      <c r="T2194" s="264" t="str">
        <f t="shared" si="4"/>
        <v/>
      </c>
      <c r="U2194" s="264" t="str">
        <f t="shared" si="5"/>
        <v/>
      </c>
      <c r="V2194" s="264" t="str">
        <f t="shared" si="6"/>
        <v/>
      </c>
      <c r="W2194" s="267" t="str">
        <f t="shared" si="8"/>
        <v/>
      </c>
      <c r="X2194" s="264" t="str">
        <f t="shared" si="7"/>
        <v/>
      </c>
    </row>
    <row r="2195" ht="15.75" customHeight="1">
      <c r="A2195" s="258"/>
      <c r="B2195" s="258"/>
      <c r="C2195" s="269"/>
      <c r="D2195" s="258"/>
      <c r="E2195" s="258"/>
      <c r="F2195" s="258"/>
      <c r="G2195" s="258"/>
      <c r="H2195" s="271"/>
      <c r="I2195" s="258"/>
      <c r="J2195" s="272"/>
      <c r="K2195" s="260"/>
      <c r="L2195" s="261"/>
      <c r="M2195" s="262" t="str">
        <f t="shared" si="1"/>
        <v/>
      </c>
      <c r="N2195" s="263" t="str">
        <f t="shared" si="2"/>
        <v/>
      </c>
      <c r="O2195" s="264" t="str">
        <f t="shared" si="3"/>
        <v/>
      </c>
      <c r="P2195" s="265" t="str">
        <f>IFERROR(__xludf.DUMMYFUNCTION("IF(ISBLANK(A2195),"""",IFERROR(IF(H2195=""Sell"",VLOOKUP(9^99,FILTER({ROW(P$2:P2194),P$2:P2194},D$2:D2194=D2195),2),(VLOOKUP(9^99,FILTER({ROW(P$2:P2194),P$2:P2194},D$2:D2194=D2195),2)*VLOOKUP(9^99,FILTER({ROW(O$2:O2194),O$2:O2194},D$2:D2194=D2195),2)-N219"&amp;"5)/O2195),J2195))"),"")</f>
        <v/>
      </c>
      <c r="Q2195" s="264" t="str">
        <f>IFERROR(__xludf.DUMMYFUNCTION("IFERROR(IF(F2195=""Crypto"",B2195,(IF(ISBLANK(D2195),"""",IF(D2195=""Cash"",B2195,IF(GOOGLEFINANCE(D2195,""CURRENCY"")=""GBX"",""GBP"",GOOGLEFINANCE(D2195,""CURRENCY"")))))),B2195)"),"")</f>
        <v/>
      </c>
      <c r="R2195" s="263" t="str">
        <f>IFERROR(__xludf.DUMMYFUNCTION("IF(ISBLANK(A2195),"""",IFERROR(IF(OR(Q2195=""GPB"",Q2195=""ZAR""),IF(Q2195=Dashboard!$L$1,K2195,(K2195*GOOGLEFINANCE(""CURRENCY:""&amp;Q2195&amp;""""&amp;Dashboard!$L$1&amp;""""))/100),IF(Q2195=Dashboard!$L$1,K2195,K2195*GOOGLEFINANCE(""CURRENCY:""&amp;Q2195&amp;""""&amp;Dashboard!$"&amp;"L$1&amp;""""))),K2195))"),"")</f>
        <v/>
      </c>
      <c r="S2195" s="266" t="str">
        <f>IFERROR(__xludf.DUMMYFUNCTION("IF(ISBLANK(A2195),"""",IFERROR(IF(OR(Q2195=""GPB"",Q2195=""ZAR""),IF(Q2195=Dashboard!$L$1,M2195,(M2195*GOOGLEFINANCE(""CURRENCY:""&amp;Q2195&amp;""""&amp;Dashboard!$L$1&amp;""""))/100),IF(Q2195=Dashboard!$L$1,M2195,M2195*GOOGLEFINANCE(""CURRENCY:""&amp;Q2195&amp;""""&amp;Dashboard!$"&amp;"L$1&amp;""""))),M2195))"),"")</f>
        <v/>
      </c>
      <c r="T2195" s="264" t="str">
        <f t="shared" si="4"/>
        <v/>
      </c>
      <c r="U2195" s="264" t="str">
        <f t="shared" si="5"/>
        <v/>
      </c>
      <c r="V2195" s="264" t="str">
        <f t="shared" si="6"/>
        <v/>
      </c>
      <c r="W2195" s="267" t="str">
        <f t="shared" si="8"/>
        <v/>
      </c>
      <c r="X2195" s="264" t="str">
        <f t="shared" si="7"/>
        <v/>
      </c>
    </row>
    <row r="2196" ht="15.75" customHeight="1">
      <c r="A2196" s="258"/>
      <c r="B2196" s="258"/>
      <c r="C2196" s="269"/>
      <c r="D2196" s="258"/>
      <c r="E2196" s="258"/>
      <c r="F2196" s="258"/>
      <c r="G2196" s="258"/>
      <c r="H2196" s="271"/>
      <c r="I2196" s="258"/>
      <c r="J2196" s="272"/>
      <c r="K2196" s="260"/>
      <c r="L2196" s="261"/>
      <c r="M2196" s="262" t="str">
        <f t="shared" si="1"/>
        <v/>
      </c>
      <c r="N2196" s="263" t="str">
        <f t="shared" si="2"/>
        <v/>
      </c>
      <c r="O2196" s="264" t="str">
        <f t="shared" si="3"/>
        <v/>
      </c>
      <c r="P2196" s="265" t="str">
        <f>IFERROR(__xludf.DUMMYFUNCTION("IF(ISBLANK(A2196),"""",IFERROR(IF(H2196=""Sell"",VLOOKUP(9^99,FILTER({ROW(P$2:P2195),P$2:P2195},D$2:D2195=D2196),2),(VLOOKUP(9^99,FILTER({ROW(P$2:P2195),P$2:P2195},D$2:D2195=D2196),2)*VLOOKUP(9^99,FILTER({ROW(O$2:O2195),O$2:O2195},D$2:D2195=D2196),2)-N219"&amp;"6)/O2196),J2196))"),"")</f>
        <v/>
      </c>
      <c r="Q2196" s="264" t="str">
        <f>IFERROR(__xludf.DUMMYFUNCTION("IFERROR(IF(F2196=""Crypto"",B2196,(IF(ISBLANK(D2196),"""",IF(D2196=""Cash"",B2196,IF(GOOGLEFINANCE(D2196,""CURRENCY"")=""GBX"",""GBP"",GOOGLEFINANCE(D2196,""CURRENCY"")))))),B2196)"),"")</f>
        <v/>
      </c>
      <c r="R2196" s="263" t="str">
        <f>IFERROR(__xludf.DUMMYFUNCTION("IF(ISBLANK(A2196),"""",IFERROR(IF(OR(Q2196=""GPB"",Q2196=""ZAR""),IF(Q2196=Dashboard!$L$1,K2196,(K2196*GOOGLEFINANCE(""CURRENCY:""&amp;Q2196&amp;""""&amp;Dashboard!$L$1&amp;""""))/100),IF(Q2196=Dashboard!$L$1,K2196,K2196*GOOGLEFINANCE(""CURRENCY:""&amp;Q2196&amp;""""&amp;Dashboard!$"&amp;"L$1&amp;""""))),K2196))"),"")</f>
        <v/>
      </c>
      <c r="S2196" s="266" t="str">
        <f>IFERROR(__xludf.DUMMYFUNCTION("IF(ISBLANK(A2196),"""",IFERROR(IF(OR(Q2196=""GPB"",Q2196=""ZAR""),IF(Q2196=Dashboard!$L$1,M2196,(M2196*GOOGLEFINANCE(""CURRENCY:""&amp;Q2196&amp;""""&amp;Dashboard!$L$1&amp;""""))/100),IF(Q2196=Dashboard!$L$1,M2196,M2196*GOOGLEFINANCE(""CURRENCY:""&amp;Q2196&amp;""""&amp;Dashboard!$"&amp;"L$1&amp;""""))),M2196))"),"")</f>
        <v/>
      </c>
      <c r="T2196" s="264" t="str">
        <f t="shared" si="4"/>
        <v/>
      </c>
      <c r="U2196" s="264" t="str">
        <f t="shared" si="5"/>
        <v/>
      </c>
      <c r="V2196" s="264" t="str">
        <f t="shared" si="6"/>
        <v/>
      </c>
      <c r="W2196" s="267" t="str">
        <f t="shared" si="8"/>
        <v/>
      </c>
      <c r="X2196" s="264" t="str">
        <f t="shared" si="7"/>
        <v/>
      </c>
    </row>
    <row r="2197" ht="15.75" customHeight="1">
      <c r="A2197" s="258"/>
      <c r="B2197" s="258"/>
      <c r="C2197" s="269"/>
      <c r="D2197" s="258"/>
      <c r="E2197" s="258"/>
      <c r="F2197" s="258"/>
      <c r="G2197" s="258"/>
      <c r="H2197" s="271"/>
      <c r="I2197" s="258"/>
      <c r="J2197" s="272"/>
      <c r="K2197" s="260"/>
      <c r="L2197" s="261"/>
      <c r="M2197" s="262" t="str">
        <f t="shared" si="1"/>
        <v/>
      </c>
      <c r="N2197" s="263" t="str">
        <f t="shared" si="2"/>
        <v/>
      </c>
      <c r="O2197" s="264" t="str">
        <f t="shared" si="3"/>
        <v/>
      </c>
      <c r="P2197" s="265" t="str">
        <f>IFERROR(__xludf.DUMMYFUNCTION("IF(ISBLANK(A2197),"""",IFERROR(IF(H2197=""Sell"",VLOOKUP(9^99,FILTER({ROW(P$2:P2196),P$2:P2196},D$2:D2196=D2197),2),(VLOOKUP(9^99,FILTER({ROW(P$2:P2196),P$2:P2196},D$2:D2196=D2197),2)*VLOOKUP(9^99,FILTER({ROW(O$2:O2196),O$2:O2196},D$2:D2196=D2197),2)-N219"&amp;"7)/O2197),J2197))"),"")</f>
        <v/>
      </c>
      <c r="Q2197" s="264" t="str">
        <f>IFERROR(__xludf.DUMMYFUNCTION("IFERROR(IF(F2197=""Crypto"",B2197,(IF(ISBLANK(D2197),"""",IF(D2197=""Cash"",B2197,IF(GOOGLEFINANCE(D2197,""CURRENCY"")=""GBX"",""GBP"",GOOGLEFINANCE(D2197,""CURRENCY"")))))),B2197)"),"")</f>
        <v/>
      </c>
      <c r="R2197" s="263" t="str">
        <f>IFERROR(__xludf.DUMMYFUNCTION("IF(ISBLANK(A2197),"""",IFERROR(IF(OR(Q2197=""GPB"",Q2197=""ZAR""),IF(Q2197=Dashboard!$L$1,K2197,(K2197*GOOGLEFINANCE(""CURRENCY:""&amp;Q2197&amp;""""&amp;Dashboard!$L$1&amp;""""))/100),IF(Q2197=Dashboard!$L$1,K2197,K2197*GOOGLEFINANCE(""CURRENCY:""&amp;Q2197&amp;""""&amp;Dashboard!$"&amp;"L$1&amp;""""))),K2197))"),"")</f>
        <v/>
      </c>
      <c r="S2197" s="266" t="str">
        <f>IFERROR(__xludf.DUMMYFUNCTION("IF(ISBLANK(A2197),"""",IFERROR(IF(OR(Q2197=""GPB"",Q2197=""ZAR""),IF(Q2197=Dashboard!$L$1,M2197,(M2197*GOOGLEFINANCE(""CURRENCY:""&amp;Q2197&amp;""""&amp;Dashboard!$L$1&amp;""""))/100),IF(Q2197=Dashboard!$L$1,M2197,M2197*GOOGLEFINANCE(""CURRENCY:""&amp;Q2197&amp;""""&amp;Dashboard!$"&amp;"L$1&amp;""""))),M2197))"),"")</f>
        <v/>
      </c>
      <c r="T2197" s="264" t="str">
        <f t="shared" si="4"/>
        <v/>
      </c>
      <c r="U2197" s="264" t="str">
        <f t="shared" si="5"/>
        <v/>
      </c>
      <c r="V2197" s="264" t="str">
        <f t="shared" si="6"/>
        <v/>
      </c>
      <c r="W2197" s="267" t="str">
        <f t="shared" si="8"/>
        <v/>
      </c>
      <c r="X2197" s="264" t="str">
        <f t="shared" si="7"/>
        <v/>
      </c>
    </row>
    <row r="2198" ht="15.75" customHeight="1">
      <c r="A2198" s="258"/>
      <c r="B2198" s="258"/>
      <c r="C2198" s="269"/>
      <c r="D2198" s="258"/>
      <c r="E2198" s="258"/>
      <c r="F2198" s="258"/>
      <c r="G2198" s="258"/>
      <c r="H2198" s="271"/>
      <c r="I2198" s="258"/>
      <c r="J2198" s="272"/>
      <c r="K2198" s="260"/>
      <c r="L2198" s="261"/>
      <c r="M2198" s="262" t="str">
        <f t="shared" si="1"/>
        <v/>
      </c>
      <c r="N2198" s="263" t="str">
        <f t="shared" si="2"/>
        <v/>
      </c>
      <c r="O2198" s="264" t="str">
        <f t="shared" si="3"/>
        <v/>
      </c>
      <c r="P2198" s="265" t="str">
        <f>IFERROR(__xludf.DUMMYFUNCTION("IF(ISBLANK(A2198),"""",IFERROR(IF(H2198=""Sell"",VLOOKUP(9^99,FILTER({ROW(P$2:P2197),P$2:P2197},D$2:D2197=D2198),2),(VLOOKUP(9^99,FILTER({ROW(P$2:P2197),P$2:P2197},D$2:D2197=D2198),2)*VLOOKUP(9^99,FILTER({ROW(O$2:O2197),O$2:O2197},D$2:D2197=D2198),2)-N219"&amp;"8)/O2198),J2198))"),"")</f>
        <v/>
      </c>
      <c r="Q2198" s="264" t="str">
        <f>IFERROR(__xludf.DUMMYFUNCTION("IFERROR(IF(F2198=""Crypto"",B2198,(IF(ISBLANK(D2198),"""",IF(D2198=""Cash"",B2198,IF(GOOGLEFINANCE(D2198,""CURRENCY"")=""GBX"",""GBP"",GOOGLEFINANCE(D2198,""CURRENCY"")))))),B2198)"),"")</f>
        <v/>
      </c>
      <c r="R2198" s="263" t="str">
        <f>IFERROR(__xludf.DUMMYFUNCTION("IF(ISBLANK(A2198),"""",IFERROR(IF(OR(Q2198=""GPB"",Q2198=""ZAR""),IF(Q2198=Dashboard!$L$1,K2198,(K2198*GOOGLEFINANCE(""CURRENCY:""&amp;Q2198&amp;""""&amp;Dashboard!$L$1&amp;""""))/100),IF(Q2198=Dashboard!$L$1,K2198,K2198*GOOGLEFINANCE(""CURRENCY:""&amp;Q2198&amp;""""&amp;Dashboard!$"&amp;"L$1&amp;""""))),K2198))"),"")</f>
        <v/>
      </c>
      <c r="S2198" s="266" t="str">
        <f>IFERROR(__xludf.DUMMYFUNCTION("IF(ISBLANK(A2198),"""",IFERROR(IF(OR(Q2198=""GPB"",Q2198=""ZAR""),IF(Q2198=Dashboard!$L$1,M2198,(M2198*GOOGLEFINANCE(""CURRENCY:""&amp;Q2198&amp;""""&amp;Dashboard!$L$1&amp;""""))/100),IF(Q2198=Dashboard!$L$1,M2198,M2198*GOOGLEFINANCE(""CURRENCY:""&amp;Q2198&amp;""""&amp;Dashboard!$"&amp;"L$1&amp;""""))),M2198))"),"")</f>
        <v/>
      </c>
      <c r="T2198" s="264" t="str">
        <f t="shared" si="4"/>
        <v/>
      </c>
      <c r="U2198" s="264" t="str">
        <f t="shared" si="5"/>
        <v/>
      </c>
      <c r="V2198" s="264" t="str">
        <f t="shared" si="6"/>
        <v/>
      </c>
      <c r="W2198" s="267" t="str">
        <f t="shared" si="8"/>
        <v/>
      </c>
      <c r="X2198" s="264" t="str">
        <f t="shared" si="7"/>
        <v/>
      </c>
    </row>
    <row r="2199" ht="15.75" customHeight="1">
      <c r="A2199" s="258"/>
      <c r="B2199" s="258"/>
      <c r="C2199" s="269"/>
      <c r="D2199" s="258"/>
      <c r="E2199" s="258"/>
      <c r="F2199" s="258"/>
      <c r="G2199" s="258"/>
      <c r="H2199" s="271"/>
      <c r="I2199" s="258"/>
      <c r="J2199" s="272"/>
      <c r="K2199" s="260"/>
      <c r="L2199" s="261"/>
      <c r="M2199" s="262" t="str">
        <f t="shared" si="1"/>
        <v/>
      </c>
      <c r="N2199" s="263" t="str">
        <f t="shared" si="2"/>
        <v/>
      </c>
      <c r="O2199" s="264" t="str">
        <f t="shared" si="3"/>
        <v/>
      </c>
      <c r="P2199" s="265" t="str">
        <f>IFERROR(__xludf.DUMMYFUNCTION("IF(ISBLANK(A2199),"""",IFERROR(IF(H2199=""Sell"",VLOOKUP(9^99,FILTER({ROW(P$2:P2198),P$2:P2198},D$2:D2198=D2199),2),(VLOOKUP(9^99,FILTER({ROW(P$2:P2198),P$2:P2198},D$2:D2198=D2199),2)*VLOOKUP(9^99,FILTER({ROW(O$2:O2198),O$2:O2198},D$2:D2198=D2199),2)-N219"&amp;"9)/O2199),J2199))"),"")</f>
        <v/>
      </c>
      <c r="Q2199" s="264" t="str">
        <f>IFERROR(__xludf.DUMMYFUNCTION("IFERROR(IF(F2199=""Crypto"",B2199,(IF(ISBLANK(D2199),"""",IF(D2199=""Cash"",B2199,IF(GOOGLEFINANCE(D2199,""CURRENCY"")=""GBX"",""GBP"",GOOGLEFINANCE(D2199,""CURRENCY"")))))),B2199)"),"")</f>
        <v/>
      </c>
      <c r="R2199" s="263" t="str">
        <f>IFERROR(__xludf.DUMMYFUNCTION("IF(ISBLANK(A2199),"""",IFERROR(IF(OR(Q2199=""GPB"",Q2199=""ZAR""),IF(Q2199=Dashboard!$L$1,K2199,(K2199*GOOGLEFINANCE(""CURRENCY:""&amp;Q2199&amp;""""&amp;Dashboard!$L$1&amp;""""))/100),IF(Q2199=Dashboard!$L$1,K2199,K2199*GOOGLEFINANCE(""CURRENCY:""&amp;Q2199&amp;""""&amp;Dashboard!$"&amp;"L$1&amp;""""))),K2199))"),"")</f>
        <v/>
      </c>
      <c r="S2199" s="266" t="str">
        <f>IFERROR(__xludf.DUMMYFUNCTION("IF(ISBLANK(A2199),"""",IFERROR(IF(OR(Q2199=""GPB"",Q2199=""ZAR""),IF(Q2199=Dashboard!$L$1,M2199,(M2199*GOOGLEFINANCE(""CURRENCY:""&amp;Q2199&amp;""""&amp;Dashboard!$L$1&amp;""""))/100),IF(Q2199=Dashboard!$L$1,M2199,M2199*GOOGLEFINANCE(""CURRENCY:""&amp;Q2199&amp;""""&amp;Dashboard!$"&amp;"L$1&amp;""""))),M2199))"),"")</f>
        <v/>
      </c>
      <c r="T2199" s="264" t="str">
        <f t="shared" si="4"/>
        <v/>
      </c>
      <c r="U2199" s="264" t="str">
        <f t="shared" si="5"/>
        <v/>
      </c>
      <c r="V2199" s="264" t="str">
        <f t="shared" si="6"/>
        <v/>
      </c>
      <c r="W2199" s="267" t="str">
        <f t="shared" si="8"/>
        <v/>
      </c>
      <c r="X2199" s="264" t="str">
        <f t="shared" si="7"/>
        <v/>
      </c>
    </row>
    <row r="2200" ht="15.75" customHeight="1">
      <c r="A2200" s="258"/>
      <c r="B2200" s="258"/>
      <c r="C2200" s="269"/>
      <c r="D2200" s="258"/>
      <c r="E2200" s="258"/>
      <c r="F2200" s="258"/>
      <c r="G2200" s="258"/>
      <c r="H2200" s="271"/>
      <c r="I2200" s="258"/>
      <c r="J2200" s="272"/>
      <c r="K2200" s="260"/>
      <c r="L2200" s="261"/>
      <c r="M2200" s="262" t="str">
        <f t="shared" si="1"/>
        <v/>
      </c>
      <c r="N2200" s="263" t="str">
        <f t="shared" si="2"/>
        <v/>
      </c>
      <c r="O2200" s="264" t="str">
        <f t="shared" si="3"/>
        <v/>
      </c>
      <c r="P2200" s="265" t="str">
        <f>IFERROR(__xludf.DUMMYFUNCTION("IF(ISBLANK(A2200),"""",IFERROR(IF(H2200=""Sell"",VLOOKUP(9^99,FILTER({ROW(P$2:P2199),P$2:P2199},D$2:D2199=D2200),2),(VLOOKUP(9^99,FILTER({ROW(P$2:P2199),P$2:P2199},D$2:D2199=D2200),2)*VLOOKUP(9^99,FILTER({ROW(O$2:O2199),O$2:O2199},D$2:D2199=D2200),2)-N220"&amp;"0)/O2200),J2200))"),"")</f>
        <v/>
      </c>
      <c r="Q2200" s="264" t="str">
        <f>IFERROR(__xludf.DUMMYFUNCTION("IFERROR(IF(F2200=""Crypto"",B2200,(IF(ISBLANK(D2200),"""",IF(D2200=""Cash"",B2200,IF(GOOGLEFINANCE(D2200,""CURRENCY"")=""GBX"",""GBP"",GOOGLEFINANCE(D2200,""CURRENCY"")))))),B2200)"),"")</f>
        <v/>
      </c>
      <c r="R2200" s="263" t="str">
        <f>IFERROR(__xludf.DUMMYFUNCTION("IF(ISBLANK(A2200),"""",IFERROR(IF(OR(Q2200=""GPB"",Q2200=""ZAR""),IF(Q2200=Dashboard!$L$1,K2200,(K2200*GOOGLEFINANCE(""CURRENCY:""&amp;Q2200&amp;""""&amp;Dashboard!$L$1&amp;""""))/100),IF(Q2200=Dashboard!$L$1,K2200,K2200*GOOGLEFINANCE(""CURRENCY:""&amp;Q2200&amp;""""&amp;Dashboard!$"&amp;"L$1&amp;""""))),K2200))"),"")</f>
        <v/>
      </c>
      <c r="S2200" s="266" t="str">
        <f>IFERROR(__xludf.DUMMYFUNCTION("IF(ISBLANK(A2200),"""",IFERROR(IF(OR(Q2200=""GPB"",Q2200=""ZAR""),IF(Q2200=Dashboard!$L$1,M2200,(M2200*GOOGLEFINANCE(""CURRENCY:""&amp;Q2200&amp;""""&amp;Dashboard!$L$1&amp;""""))/100),IF(Q2200=Dashboard!$L$1,M2200,M2200*GOOGLEFINANCE(""CURRENCY:""&amp;Q2200&amp;""""&amp;Dashboard!$"&amp;"L$1&amp;""""))),M2200))"),"")</f>
        <v/>
      </c>
      <c r="T2200" s="264" t="str">
        <f t="shared" si="4"/>
        <v/>
      </c>
      <c r="U2200" s="264" t="str">
        <f t="shared" si="5"/>
        <v/>
      </c>
      <c r="V2200" s="264" t="str">
        <f t="shared" si="6"/>
        <v/>
      </c>
      <c r="W2200" s="267" t="str">
        <f t="shared" si="8"/>
        <v/>
      </c>
      <c r="X2200" s="264" t="str">
        <f t="shared" si="7"/>
        <v/>
      </c>
    </row>
    <row r="2201" ht="15.75" customHeight="1">
      <c r="A2201" s="258"/>
      <c r="B2201" s="258"/>
      <c r="C2201" s="269"/>
      <c r="D2201" s="258"/>
      <c r="E2201" s="258"/>
      <c r="F2201" s="258"/>
      <c r="G2201" s="258"/>
      <c r="H2201" s="271"/>
      <c r="I2201" s="258"/>
      <c r="J2201" s="272"/>
      <c r="K2201" s="260"/>
      <c r="L2201" s="261"/>
      <c r="M2201" s="262" t="str">
        <f t="shared" si="1"/>
        <v/>
      </c>
      <c r="N2201" s="263" t="str">
        <f t="shared" si="2"/>
        <v/>
      </c>
      <c r="O2201" s="264" t="str">
        <f t="shared" si="3"/>
        <v/>
      </c>
      <c r="P2201" s="265" t="str">
        <f>IFERROR(__xludf.DUMMYFUNCTION("IF(ISBLANK(A2201),"""",IFERROR(IF(H2201=""Sell"",VLOOKUP(9^99,FILTER({ROW(P$2:P2200),P$2:P2200},D$2:D2200=D2201),2),(VLOOKUP(9^99,FILTER({ROW(P$2:P2200),P$2:P2200},D$2:D2200=D2201),2)*VLOOKUP(9^99,FILTER({ROW(O$2:O2200),O$2:O2200},D$2:D2200=D2201),2)-N220"&amp;"1)/O2201),J2201))"),"")</f>
        <v/>
      </c>
      <c r="Q2201" s="264" t="str">
        <f>IFERROR(__xludf.DUMMYFUNCTION("IFERROR(IF(F2201=""Crypto"",B2201,(IF(ISBLANK(D2201),"""",IF(D2201=""Cash"",B2201,IF(GOOGLEFINANCE(D2201,""CURRENCY"")=""GBX"",""GBP"",GOOGLEFINANCE(D2201,""CURRENCY"")))))),B2201)"),"")</f>
        <v/>
      </c>
      <c r="R2201" s="263" t="str">
        <f>IFERROR(__xludf.DUMMYFUNCTION("IF(ISBLANK(A2201),"""",IFERROR(IF(OR(Q2201=""GPB"",Q2201=""ZAR""),IF(Q2201=Dashboard!$L$1,K2201,(K2201*GOOGLEFINANCE(""CURRENCY:""&amp;Q2201&amp;""""&amp;Dashboard!$L$1&amp;""""))/100),IF(Q2201=Dashboard!$L$1,K2201,K2201*GOOGLEFINANCE(""CURRENCY:""&amp;Q2201&amp;""""&amp;Dashboard!$"&amp;"L$1&amp;""""))),K2201))"),"")</f>
        <v/>
      </c>
      <c r="S2201" s="266" t="str">
        <f>IFERROR(__xludf.DUMMYFUNCTION("IF(ISBLANK(A2201),"""",IFERROR(IF(OR(Q2201=""GPB"",Q2201=""ZAR""),IF(Q2201=Dashboard!$L$1,M2201,(M2201*GOOGLEFINANCE(""CURRENCY:""&amp;Q2201&amp;""""&amp;Dashboard!$L$1&amp;""""))/100),IF(Q2201=Dashboard!$L$1,M2201,M2201*GOOGLEFINANCE(""CURRENCY:""&amp;Q2201&amp;""""&amp;Dashboard!$"&amp;"L$1&amp;""""))),M2201))"),"")</f>
        <v/>
      </c>
      <c r="T2201" s="264" t="str">
        <f t="shared" si="4"/>
        <v/>
      </c>
      <c r="U2201" s="264" t="str">
        <f t="shared" si="5"/>
        <v/>
      </c>
      <c r="V2201" s="264" t="str">
        <f t="shared" si="6"/>
        <v/>
      </c>
      <c r="W2201" s="267" t="str">
        <f t="shared" si="8"/>
        <v/>
      </c>
      <c r="X2201" s="264" t="str">
        <f t="shared" si="7"/>
        <v/>
      </c>
    </row>
    <row r="2202" ht="15.75" customHeight="1">
      <c r="A2202" s="258"/>
      <c r="B2202" s="258"/>
      <c r="C2202" s="269"/>
      <c r="D2202" s="258"/>
      <c r="E2202" s="258"/>
      <c r="F2202" s="258"/>
      <c r="G2202" s="258"/>
      <c r="H2202" s="271"/>
      <c r="I2202" s="258"/>
      <c r="J2202" s="272"/>
      <c r="K2202" s="260"/>
      <c r="L2202" s="261"/>
      <c r="M2202" s="262" t="str">
        <f t="shared" si="1"/>
        <v/>
      </c>
      <c r="N2202" s="263" t="str">
        <f t="shared" si="2"/>
        <v/>
      </c>
      <c r="O2202" s="264" t="str">
        <f t="shared" si="3"/>
        <v/>
      </c>
      <c r="P2202" s="265" t="str">
        <f>IFERROR(__xludf.DUMMYFUNCTION("IF(ISBLANK(A2202),"""",IFERROR(IF(H2202=""Sell"",VLOOKUP(9^99,FILTER({ROW(P$2:P2201),P$2:P2201},D$2:D2201=D2202),2),(VLOOKUP(9^99,FILTER({ROW(P$2:P2201),P$2:P2201},D$2:D2201=D2202),2)*VLOOKUP(9^99,FILTER({ROW(O$2:O2201),O$2:O2201},D$2:D2201=D2202),2)-N220"&amp;"2)/O2202),J2202))"),"")</f>
        <v/>
      </c>
      <c r="Q2202" s="264" t="str">
        <f>IFERROR(__xludf.DUMMYFUNCTION("IFERROR(IF(F2202=""Crypto"",B2202,(IF(ISBLANK(D2202),"""",IF(D2202=""Cash"",B2202,IF(GOOGLEFINANCE(D2202,""CURRENCY"")=""GBX"",""GBP"",GOOGLEFINANCE(D2202,""CURRENCY"")))))),B2202)"),"")</f>
        <v/>
      </c>
      <c r="R2202" s="263" t="str">
        <f>IFERROR(__xludf.DUMMYFUNCTION("IF(ISBLANK(A2202),"""",IFERROR(IF(OR(Q2202=""GPB"",Q2202=""ZAR""),IF(Q2202=Dashboard!$L$1,K2202,(K2202*GOOGLEFINANCE(""CURRENCY:""&amp;Q2202&amp;""""&amp;Dashboard!$L$1&amp;""""))/100),IF(Q2202=Dashboard!$L$1,K2202,K2202*GOOGLEFINANCE(""CURRENCY:""&amp;Q2202&amp;""""&amp;Dashboard!$"&amp;"L$1&amp;""""))),K2202))"),"")</f>
        <v/>
      </c>
      <c r="S2202" s="266" t="str">
        <f>IFERROR(__xludf.DUMMYFUNCTION("IF(ISBLANK(A2202),"""",IFERROR(IF(OR(Q2202=""GPB"",Q2202=""ZAR""),IF(Q2202=Dashboard!$L$1,M2202,(M2202*GOOGLEFINANCE(""CURRENCY:""&amp;Q2202&amp;""""&amp;Dashboard!$L$1&amp;""""))/100),IF(Q2202=Dashboard!$L$1,M2202,M2202*GOOGLEFINANCE(""CURRENCY:""&amp;Q2202&amp;""""&amp;Dashboard!$"&amp;"L$1&amp;""""))),M2202))"),"")</f>
        <v/>
      </c>
      <c r="T2202" s="264" t="str">
        <f t="shared" si="4"/>
        <v/>
      </c>
      <c r="U2202" s="264" t="str">
        <f t="shared" si="5"/>
        <v/>
      </c>
      <c r="V2202" s="264" t="str">
        <f t="shared" si="6"/>
        <v/>
      </c>
      <c r="W2202" s="267" t="str">
        <f t="shared" si="8"/>
        <v/>
      </c>
      <c r="X2202" s="264" t="str">
        <f t="shared" si="7"/>
        <v/>
      </c>
    </row>
    <row r="2203" ht="15.75" customHeight="1">
      <c r="A2203" s="258"/>
      <c r="B2203" s="258"/>
      <c r="C2203" s="269"/>
      <c r="D2203" s="258"/>
      <c r="E2203" s="258"/>
      <c r="F2203" s="258"/>
      <c r="G2203" s="258"/>
      <c r="H2203" s="271"/>
      <c r="I2203" s="258"/>
      <c r="J2203" s="272"/>
      <c r="K2203" s="260"/>
      <c r="L2203" s="261"/>
      <c r="M2203" s="262" t="str">
        <f t="shared" si="1"/>
        <v/>
      </c>
      <c r="N2203" s="263" t="str">
        <f t="shared" si="2"/>
        <v/>
      </c>
      <c r="O2203" s="264" t="str">
        <f t="shared" si="3"/>
        <v/>
      </c>
      <c r="P2203" s="265" t="str">
        <f>IFERROR(__xludf.DUMMYFUNCTION("IF(ISBLANK(A2203),"""",IFERROR(IF(H2203=""Sell"",VLOOKUP(9^99,FILTER({ROW(P$2:P2202),P$2:P2202},D$2:D2202=D2203),2),(VLOOKUP(9^99,FILTER({ROW(P$2:P2202),P$2:P2202},D$2:D2202=D2203),2)*VLOOKUP(9^99,FILTER({ROW(O$2:O2202),O$2:O2202},D$2:D2202=D2203),2)-N220"&amp;"3)/O2203),J2203))"),"")</f>
        <v/>
      </c>
      <c r="Q2203" s="264" t="str">
        <f>IFERROR(__xludf.DUMMYFUNCTION("IFERROR(IF(F2203=""Crypto"",B2203,(IF(ISBLANK(D2203),"""",IF(D2203=""Cash"",B2203,IF(GOOGLEFINANCE(D2203,""CURRENCY"")=""GBX"",""GBP"",GOOGLEFINANCE(D2203,""CURRENCY"")))))),B2203)"),"")</f>
        <v/>
      </c>
      <c r="R2203" s="263" t="str">
        <f>IFERROR(__xludf.DUMMYFUNCTION("IF(ISBLANK(A2203),"""",IFERROR(IF(OR(Q2203=""GPB"",Q2203=""ZAR""),IF(Q2203=Dashboard!$L$1,K2203,(K2203*GOOGLEFINANCE(""CURRENCY:""&amp;Q2203&amp;""""&amp;Dashboard!$L$1&amp;""""))/100),IF(Q2203=Dashboard!$L$1,K2203,K2203*GOOGLEFINANCE(""CURRENCY:""&amp;Q2203&amp;""""&amp;Dashboard!$"&amp;"L$1&amp;""""))),K2203))"),"")</f>
        <v/>
      </c>
      <c r="S2203" s="266" t="str">
        <f>IFERROR(__xludf.DUMMYFUNCTION("IF(ISBLANK(A2203),"""",IFERROR(IF(OR(Q2203=""GPB"",Q2203=""ZAR""),IF(Q2203=Dashboard!$L$1,M2203,(M2203*GOOGLEFINANCE(""CURRENCY:""&amp;Q2203&amp;""""&amp;Dashboard!$L$1&amp;""""))/100),IF(Q2203=Dashboard!$L$1,M2203,M2203*GOOGLEFINANCE(""CURRENCY:""&amp;Q2203&amp;""""&amp;Dashboard!$"&amp;"L$1&amp;""""))),M2203))"),"")</f>
        <v/>
      </c>
      <c r="T2203" s="264" t="str">
        <f t="shared" si="4"/>
        <v/>
      </c>
      <c r="U2203" s="264" t="str">
        <f t="shared" si="5"/>
        <v/>
      </c>
      <c r="V2203" s="264" t="str">
        <f t="shared" si="6"/>
        <v/>
      </c>
      <c r="W2203" s="267" t="str">
        <f t="shared" si="8"/>
        <v/>
      </c>
      <c r="X2203" s="264" t="str">
        <f t="shared" si="7"/>
        <v/>
      </c>
    </row>
    <row r="2204" ht="15.75" customHeight="1">
      <c r="A2204" s="258"/>
      <c r="B2204" s="258"/>
      <c r="C2204" s="269"/>
      <c r="D2204" s="258"/>
      <c r="E2204" s="258"/>
      <c r="F2204" s="258"/>
      <c r="G2204" s="258"/>
      <c r="H2204" s="271"/>
      <c r="I2204" s="258"/>
      <c r="J2204" s="272"/>
      <c r="K2204" s="260"/>
      <c r="L2204" s="261"/>
      <c r="M2204" s="262" t="str">
        <f t="shared" si="1"/>
        <v/>
      </c>
      <c r="N2204" s="263" t="str">
        <f t="shared" si="2"/>
        <v/>
      </c>
      <c r="O2204" s="264" t="str">
        <f t="shared" si="3"/>
        <v/>
      </c>
      <c r="P2204" s="265" t="str">
        <f>IFERROR(__xludf.DUMMYFUNCTION("IF(ISBLANK(A2204),"""",IFERROR(IF(H2204=""Sell"",VLOOKUP(9^99,FILTER({ROW(P$2:P2203),P$2:P2203},D$2:D2203=D2204),2),(VLOOKUP(9^99,FILTER({ROW(P$2:P2203),P$2:P2203},D$2:D2203=D2204),2)*VLOOKUP(9^99,FILTER({ROW(O$2:O2203),O$2:O2203},D$2:D2203=D2204),2)-N220"&amp;"4)/O2204),J2204))"),"")</f>
        <v/>
      </c>
      <c r="Q2204" s="264" t="str">
        <f>IFERROR(__xludf.DUMMYFUNCTION("IFERROR(IF(F2204=""Crypto"",B2204,(IF(ISBLANK(D2204),"""",IF(D2204=""Cash"",B2204,IF(GOOGLEFINANCE(D2204,""CURRENCY"")=""GBX"",""GBP"",GOOGLEFINANCE(D2204,""CURRENCY"")))))),B2204)"),"")</f>
        <v/>
      </c>
      <c r="R2204" s="263" t="str">
        <f>IFERROR(__xludf.DUMMYFUNCTION("IF(ISBLANK(A2204),"""",IFERROR(IF(OR(Q2204=""GPB"",Q2204=""ZAR""),IF(Q2204=Dashboard!$L$1,K2204,(K2204*GOOGLEFINANCE(""CURRENCY:""&amp;Q2204&amp;""""&amp;Dashboard!$L$1&amp;""""))/100),IF(Q2204=Dashboard!$L$1,K2204,K2204*GOOGLEFINANCE(""CURRENCY:""&amp;Q2204&amp;""""&amp;Dashboard!$"&amp;"L$1&amp;""""))),K2204))"),"")</f>
        <v/>
      </c>
      <c r="S2204" s="266" t="str">
        <f>IFERROR(__xludf.DUMMYFUNCTION("IF(ISBLANK(A2204),"""",IFERROR(IF(OR(Q2204=""GPB"",Q2204=""ZAR""),IF(Q2204=Dashboard!$L$1,M2204,(M2204*GOOGLEFINANCE(""CURRENCY:""&amp;Q2204&amp;""""&amp;Dashboard!$L$1&amp;""""))/100),IF(Q2204=Dashboard!$L$1,M2204,M2204*GOOGLEFINANCE(""CURRENCY:""&amp;Q2204&amp;""""&amp;Dashboard!$"&amp;"L$1&amp;""""))),M2204))"),"")</f>
        <v/>
      </c>
      <c r="T2204" s="264" t="str">
        <f t="shared" si="4"/>
        <v/>
      </c>
      <c r="U2204" s="264" t="str">
        <f t="shared" si="5"/>
        <v/>
      </c>
      <c r="V2204" s="264" t="str">
        <f t="shared" si="6"/>
        <v/>
      </c>
      <c r="W2204" s="267" t="str">
        <f t="shared" si="8"/>
        <v/>
      </c>
      <c r="X2204" s="264" t="str">
        <f t="shared" si="7"/>
        <v/>
      </c>
    </row>
    <row r="2205" ht="15.75" customHeight="1">
      <c r="A2205" s="258"/>
      <c r="B2205" s="258"/>
      <c r="C2205" s="269"/>
      <c r="D2205" s="258"/>
      <c r="E2205" s="258"/>
      <c r="F2205" s="258"/>
      <c r="G2205" s="258"/>
      <c r="H2205" s="271"/>
      <c r="I2205" s="258"/>
      <c r="J2205" s="272"/>
      <c r="K2205" s="260"/>
      <c r="L2205" s="261"/>
      <c r="M2205" s="262" t="str">
        <f t="shared" si="1"/>
        <v/>
      </c>
      <c r="N2205" s="263" t="str">
        <f t="shared" si="2"/>
        <v/>
      </c>
      <c r="O2205" s="264" t="str">
        <f t="shared" si="3"/>
        <v/>
      </c>
      <c r="P2205" s="265" t="str">
        <f>IFERROR(__xludf.DUMMYFUNCTION("IF(ISBLANK(A2205),"""",IFERROR(IF(H2205=""Sell"",VLOOKUP(9^99,FILTER({ROW(P$2:P2204),P$2:P2204},D$2:D2204=D2205),2),(VLOOKUP(9^99,FILTER({ROW(P$2:P2204),P$2:P2204},D$2:D2204=D2205),2)*VLOOKUP(9^99,FILTER({ROW(O$2:O2204),O$2:O2204},D$2:D2204=D2205),2)-N220"&amp;"5)/O2205),J2205))"),"")</f>
        <v/>
      </c>
      <c r="Q2205" s="264" t="str">
        <f>IFERROR(__xludf.DUMMYFUNCTION("IFERROR(IF(F2205=""Crypto"",B2205,(IF(ISBLANK(D2205),"""",IF(D2205=""Cash"",B2205,IF(GOOGLEFINANCE(D2205,""CURRENCY"")=""GBX"",""GBP"",GOOGLEFINANCE(D2205,""CURRENCY"")))))),B2205)"),"")</f>
        <v/>
      </c>
      <c r="R2205" s="263" t="str">
        <f>IFERROR(__xludf.DUMMYFUNCTION("IF(ISBLANK(A2205),"""",IFERROR(IF(OR(Q2205=""GPB"",Q2205=""ZAR""),IF(Q2205=Dashboard!$L$1,K2205,(K2205*GOOGLEFINANCE(""CURRENCY:""&amp;Q2205&amp;""""&amp;Dashboard!$L$1&amp;""""))/100),IF(Q2205=Dashboard!$L$1,K2205,K2205*GOOGLEFINANCE(""CURRENCY:""&amp;Q2205&amp;""""&amp;Dashboard!$"&amp;"L$1&amp;""""))),K2205))"),"")</f>
        <v/>
      </c>
      <c r="S2205" s="266" t="str">
        <f>IFERROR(__xludf.DUMMYFUNCTION("IF(ISBLANK(A2205),"""",IFERROR(IF(OR(Q2205=""GPB"",Q2205=""ZAR""),IF(Q2205=Dashboard!$L$1,M2205,(M2205*GOOGLEFINANCE(""CURRENCY:""&amp;Q2205&amp;""""&amp;Dashboard!$L$1&amp;""""))/100),IF(Q2205=Dashboard!$L$1,M2205,M2205*GOOGLEFINANCE(""CURRENCY:""&amp;Q2205&amp;""""&amp;Dashboard!$"&amp;"L$1&amp;""""))),M2205))"),"")</f>
        <v/>
      </c>
      <c r="T2205" s="264" t="str">
        <f t="shared" si="4"/>
        <v/>
      </c>
      <c r="U2205" s="264" t="str">
        <f t="shared" si="5"/>
        <v/>
      </c>
      <c r="V2205" s="264" t="str">
        <f t="shared" si="6"/>
        <v/>
      </c>
      <c r="W2205" s="267" t="str">
        <f t="shared" si="8"/>
        <v/>
      </c>
      <c r="X2205" s="264" t="str">
        <f t="shared" si="7"/>
        <v/>
      </c>
    </row>
    <row r="2206" ht="15.75" customHeight="1">
      <c r="A2206" s="258"/>
      <c r="B2206" s="258"/>
      <c r="C2206" s="269"/>
      <c r="D2206" s="258"/>
      <c r="E2206" s="258"/>
      <c r="F2206" s="258"/>
      <c r="G2206" s="258"/>
      <c r="H2206" s="271"/>
      <c r="I2206" s="258"/>
      <c r="J2206" s="272"/>
      <c r="K2206" s="260"/>
      <c r="L2206" s="261"/>
      <c r="M2206" s="262" t="str">
        <f t="shared" si="1"/>
        <v/>
      </c>
      <c r="N2206" s="263" t="str">
        <f t="shared" si="2"/>
        <v/>
      </c>
      <c r="O2206" s="264" t="str">
        <f t="shared" si="3"/>
        <v/>
      </c>
      <c r="P2206" s="265" t="str">
        <f>IFERROR(__xludf.DUMMYFUNCTION("IF(ISBLANK(A2206),"""",IFERROR(IF(H2206=""Sell"",VLOOKUP(9^99,FILTER({ROW(P$2:P2205),P$2:P2205},D$2:D2205=D2206),2),(VLOOKUP(9^99,FILTER({ROW(P$2:P2205),P$2:P2205},D$2:D2205=D2206),2)*VLOOKUP(9^99,FILTER({ROW(O$2:O2205),O$2:O2205},D$2:D2205=D2206),2)-N220"&amp;"6)/O2206),J2206))"),"")</f>
        <v/>
      </c>
      <c r="Q2206" s="264" t="str">
        <f>IFERROR(__xludf.DUMMYFUNCTION("IFERROR(IF(F2206=""Crypto"",B2206,(IF(ISBLANK(D2206),"""",IF(D2206=""Cash"",B2206,IF(GOOGLEFINANCE(D2206,""CURRENCY"")=""GBX"",""GBP"",GOOGLEFINANCE(D2206,""CURRENCY"")))))),B2206)"),"")</f>
        <v/>
      </c>
      <c r="R2206" s="263" t="str">
        <f>IFERROR(__xludf.DUMMYFUNCTION("IF(ISBLANK(A2206),"""",IFERROR(IF(OR(Q2206=""GPB"",Q2206=""ZAR""),IF(Q2206=Dashboard!$L$1,K2206,(K2206*GOOGLEFINANCE(""CURRENCY:""&amp;Q2206&amp;""""&amp;Dashboard!$L$1&amp;""""))/100),IF(Q2206=Dashboard!$L$1,K2206,K2206*GOOGLEFINANCE(""CURRENCY:""&amp;Q2206&amp;""""&amp;Dashboard!$"&amp;"L$1&amp;""""))),K2206))"),"")</f>
        <v/>
      </c>
      <c r="S2206" s="266" t="str">
        <f>IFERROR(__xludf.DUMMYFUNCTION("IF(ISBLANK(A2206),"""",IFERROR(IF(OR(Q2206=""GPB"",Q2206=""ZAR""),IF(Q2206=Dashboard!$L$1,M2206,(M2206*GOOGLEFINANCE(""CURRENCY:""&amp;Q2206&amp;""""&amp;Dashboard!$L$1&amp;""""))/100),IF(Q2206=Dashboard!$L$1,M2206,M2206*GOOGLEFINANCE(""CURRENCY:""&amp;Q2206&amp;""""&amp;Dashboard!$"&amp;"L$1&amp;""""))),M2206))"),"")</f>
        <v/>
      </c>
      <c r="T2206" s="264" t="str">
        <f t="shared" si="4"/>
        <v/>
      </c>
      <c r="U2206" s="264" t="str">
        <f t="shared" si="5"/>
        <v/>
      </c>
      <c r="V2206" s="264" t="str">
        <f t="shared" si="6"/>
        <v/>
      </c>
      <c r="W2206" s="267" t="str">
        <f t="shared" si="8"/>
        <v/>
      </c>
      <c r="X2206" s="264" t="str">
        <f t="shared" si="7"/>
        <v/>
      </c>
    </row>
    <row r="2207" ht="15.75" customHeight="1">
      <c r="A2207" s="258"/>
      <c r="B2207" s="258"/>
      <c r="C2207" s="269"/>
      <c r="D2207" s="258"/>
      <c r="E2207" s="258"/>
      <c r="F2207" s="258"/>
      <c r="G2207" s="258"/>
      <c r="H2207" s="271"/>
      <c r="I2207" s="258"/>
      <c r="J2207" s="272"/>
      <c r="K2207" s="260"/>
      <c r="L2207" s="261"/>
      <c r="M2207" s="262" t="str">
        <f t="shared" si="1"/>
        <v/>
      </c>
      <c r="N2207" s="263" t="str">
        <f t="shared" si="2"/>
        <v/>
      </c>
      <c r="O2207" s="264" t="str">
        <f t="shared" si="3"/>
        <v/>
      </c>
      <c r="P2207" s="265" t="str">
        <f>IFERROR(__xludf.DUMMYFUNCTION("IF(ISBLANK(A2207),"""",IFERROR(IF(H2207=""Sell"",VLOOKUP(9^99,FILTER({ROW(P$2:P2206),P$2:P2206},D$2:D2206=D2207),2),(VLOOKUP(9^99,FILTER({ROW(P$2:P2206),P$2:P2206},D$2:D2206=D2207),2)*VLOOKUP(9^99,FILTER({ROW(O$2:O2206),O$2:O2206},D$2:D2206=D2207),2)-N220"&amp;"7)/O2207),J2207))"),"")</f>
        <v/>
      </c>
      <c r="Q2207" s="264" t="str">
        <f>IFERROR(__xludf.DUMMYFUNCTION("IFERROR(IF(F2207=""Crypto"",B2207,(IF(ISBLANK(D2207),"""",IF(D2207=""Cash"",B2207,IF(GOOGLEFINANCE(D2207,""CURRENCY"")=""GBX"",""GBP"",GOOGLEFINANCE(D2207,""CURRENCY"")))))),B2207)"),"")</f>
        <v/>
      </c>
      <c r="R2207" s="263" t="str">
        <f>IFERROR(__xludf.DUMMYFUNCTION("IF(ISBLANK(A2207),"""",IFERROR(IF(OR(Q2207=""GPB"",Q2207=""ZAR""),IF(Q2207=Dashboard!$L$1,K2207,(K2207*GOOGLEFINANCE(""CURRENCY:""&amp;Q2207&amp;""""&amp;Dashboard!$L$1&amp;""""))/100),IF(Q2207=Dashboard!$L$1,K2207,K2207*GOOGLEFINANCE(""CURRENCY:""&amp;Q2207&amp;""""&amp;Dashboard!$"&amp;"L$1&amp;""""))),K2207))"),"")</f>
        <v/>
      </c>
      <c r="S2207" s="266" t="str">
        <f>IFERROR(__xludf.DUMMYFUNCTION("IF(ISBLANK(A2207),"""",IFERROR(IF(OR(Q2207=""GPB"",Q2207=""ZAR""),IF(Q2207=Dashboard!$L$1,M2207,(M2207*GOOGLEFINANCE(""CURRENCY:""&amp;Q2207&amp;""""&amp;Dashboard!$L$1&amp;""""))/100),IF(Q2207=Dashboard!$L$1,M2207,M2207*GOOGLEFINANCE(""CURRENCY:""&amp;Q2207&amp;""""&amp;Dashboard!$"&amp;"L$1&amp;""""))),M2207))"),"")</f>
        <v/>
      </c>
      <c r="T2207" s="264" t="str">
        <f t="shared" si="4"/>
        <v/>
      </c>
      <c r="U2207" s="264" t="str">
        <f t="shared" si="5"/>
        <v/>
      </c>
      <c r="V2207" s="264" t="str">
        <f t="shared" si="6"/>
        <v/>
      </c>
      <c r="W2207" s="267" t="str">
        <f t="shared" si="8"/>
        <v/>
      </c>
      <c r="X2207" s="264" t="str">
        <f t="shared" si="7"/>
        <v/>
      </c>
    </row>
    <row r="2208" ht="15.75" customHeight="1">
      <c r="A2208" s="258"/>
      <c r="B2208" s="258"/>
      <c r="C2208" s="269"/>
      <c r="D2208" s="258"/>
      <c r="E2208" s="258"/>
      <c r="F2208" s="258"/>
      <c r="G2208" s="258"/>
      <c r="H2208" s="271"/>
      <c r="I2208" s="258"/>
      <c r="J2208" s="272"/>
      <c r="K2208" s="260"/>
      <c r="L2208" s="261"/>
      <c r="M2208" s="262" t="str">
        <f t="shared" si="1"/>
        <v/>
      </c>
      <c r="N2208" s="263" t="str">
        <f t="shared" si="2"/>
        <v/>
      </c>
      <c r="O2208" s="264" t="str">
        <f t="shared" si="3"/>
        <v/>
      </c>
      <c r="P2208" s="265" t="str">
        <f>IFERROR(__xludf.DUMMYFUNCTION("IF(ISBLANK(A2208),"""",IFERROR(IF(H2208=""Sell"",VLOOKUP(9^99,FILTER({ROW(P$2:P2207),P$2:P2207},D$2:D2207=D2208),2),(VLOOKUP(9^99,FILTER({ROW(P$2:P2207),P$2:P2207},D$2:D2207=D2208),2)*VLOOKUP(9^99,FILTER({ROW(O$2:O2207),O$2:O2207},D$2:D2207=D2208),2)-N220"&amp;"8)/O2208),J2208))"),"")</f>
        <v/>
      </c>
      <c r="Q2208" s="264" t="str">
        <f>IFERROR(__xludf.DUMMYFUNCTION("IFERROR(IF(F2208=""Crypto"",B2208,(IF(ISBLANK(D2208),"""",IF(D2208=""Cash"",B2208,IF(GOOGLEFINANCE(D2208,""CURRENCY"")=""GBX"",""GBP"",GOOGLEFINANCE(D2208,""CURRENCY"")))))),B2208)"),"")</f>
        <v/>
      </c>
      <c r="R2208" s="263" t="str">
        <f>IFERROR(__xludf.DUMMYFUNCTION("IF(ISBLANK(A2208),"""",IFERROR(IF(OR(Q2208=""GPB"",Q2208=""ZAR""),IF(Q2208=Dashboard!$L$1,K2208,(K2208*GOOGLEFINANCE(""CURRENCY:""&amp;Q2208&amp;""""&amp;Dashboard!$L$1&amp;""""))/100),IF(Q2208=Dashboard!$L$1,K2208,K2208*GOOGLEFINANCE(""CURRENCY:""&amp;Q2208&amp;""""&amp;Dashboard!$"&amp;"L$1&amp;""""))),K2208))"),"")</f>
        <v/>
      </c>
      <c r="S2208" s="266" t="str">
        <f>IFERROR(__xludf.DUMMYFUNCTION("IF(ISBLANK(A2208),"""",IFERROR(IF(OR(Q2208=""GPB"",Q2208=""ZAR""),IF(Q2208=Dashboard!$L$1,M2208,(M2208*GOOGLEFINANCE(""CURRENCY:""&amp;Q2208&amp;""""&amp;Dashboard!$L$1&amp;""""))/100),IF(Q2208=Dashboard!$L$1,M2208,M2208*GOOGLEFINANCE(""CURRENCY:""&amp;Q2208&amp;""""&amp;Dashboard!$"&amp;"L$1&amp;""""))),M2208))"),"")</f>
        <v/>
      </c>
      <c r="T2208" s="264" t="str">
        <f t="shared" si="4"/>
        <v/>
      </c>
      <c r="U2208" s="264" t="str">
        <f t="shared" si="5"/>
        <v/>
      </c>
      <c r="V2208" s="264" t="str">
        <f t="shared" si="6"/>
        <v/>
      </c>
      <c r="W2208" s="267" t="str">
        <f t="shared" si="8"/>
        <v/>
      </c>
      <c r="X2208" s="264" t="str">
        <f t="shared" si="7"/>
        <v/>
      </c>
    </row>
    <row r="2209" ht="15.75" customHeight="1">
      <c r="A2209" s="258"/>
      <c r="B2209" s="258"/>
      <c r="C2209" s="269"/>
      <c r="D2209" s="258"/>
      <c r="E2209" s="258"/>
      <c r="F2209" s="258"/>
      <c r="G2209" s="258"/>
      <c r="H2209" s="271"/>
      <c r="I2209" s="258"/>
      <c r="J2209" s="272"/>
      <c r="K2209" s="260"/>
      <c r="L2209" s="261"/>
      <c r="M2209" s="262" t="str">
        <f t="shared" si="1"/>
        <v/>
      </c>
      <c r="N2209" s="263" t="str">
        <f t="shared" si="2"/>
        <v/>
      </c>
      <c r="O2209" s="264" t="str">
        <f t="shared" si="3"/>
        <v/>
      </c>
      <c r="P2209" s="265" t="str">
        <f>IFERROR(__xludf.DUMMYFUNCTION("IF(ISBLANK(A2209),"""",IFERROR(IF(H2209=""Sell"",VLOOKUP(9^99,FILTER({ROW(P$2:P2208),P$2:P2208},D$2:D2208=D2209),2),(VLOOKUP(9^99,FILTER({ROW(P$2:P2208),P$2:P2208},D$2:D2208=D2209),2)*VLOOKUP(9^99,FILTER({ROW(O$2:O2208),O$2:O2208},D$2:D2208=D2209),2)-N220"&amp;"9)/O2209),J2209))"),"")</f>
        <v/>
      </c>
      <c r="Q2209" s="264" t="str">
        <f>IFERROR(__xludf.DUMMYFUNCTION("IFERROR(IF(F2209=""Crypto"",B2209,(IF(ISBLANK(D2209),"""",IF(D2209=""Cash"",B2209,IF(GOOGLEFINANCE(D2209,""CURRENCY"")=""GBX"",""GBP"",GOOGLEFINANCE(D2209,""CURRENCY"")))))),B2209)"),"")</f>
        <v/>
      </c>
      <c r="R2209" s="263" t="str">
        <f>IFERROR(__xludf.DUMMYFUNCTION("IF(ISBLANK(A2209),"""",IFERROR(IF(OR(Q2209=""GPB"",Q2209=""ZAR""),IF(Q2209=Dashboard!$L$1,K2209,(K2209*GOOGLEFINANCE(""CURRENCY:""&amp;Q2209&amp;""""&amp;Dashboard!$L$1&amp;""""))/100),IF(Q2209=Dashboard!$L$1,K2209,K2209*GOOGLEFINANCE(""CURRENCY:""&amp;Q2209&amp;""""&amp;Dashboard!$"&amp;"L$1&amp;""""))),K2209))"),"")</f>
        <v/>
      </c>
      <c r="S2209" s="266" t="str">
        <f>IFERROR(__xludf.DUMMYFUNCTION("IF(ISBLANK(A2209),"""",IFERROR(IF(OR(Q2209=""GPB"",Q2209=""ZAR""),IF(Q2209=Dashboard!$L$1,M2209,(M2209*GOOGLEFINANCE(""CURRENCY:""&amp;Q2209&amp;""""&amp;Dashboard!$L$1&amp;""""))/100),IF(Q2209=Dashboard!$L$1,M2209,M2209*GOOGLEFINANCE(""CURRENCY:""&amp;Q2209&amp;""""&amp;Dashboard!$"&amp;"L$1&amp;""""))),M2209))"),"")</f>
        <v/>
      </c>
      <c r="T2209" s="264" t="str">
        <f t="shared" si="4"/>
        <v/>
      </c>
      <c r="U2209" s="264" t="str">
        <f t="shared" si="5"/>
        <v/>
      </c>
      <c r="V2209" s="264" t="str">
        <f t="shared" si="6"/>
        <v/>
      </c>
      <c r="W2209" s="267" t="str">
        <f t="shared" si="8"/>
        <v/>
      </c>
      <c r="X2209" s="264" t="str">
        <f t="shared" si="7"/>
        <v/>
      </c>
    </row>
    <row r="2210" ht="15.75" customHeight="1">
      <c r="A2210" s="258"/>
      <c r="B2210" s="258"/>
      <c r="C2210" s="269"/>
      <c r="D2210" s="258"/>
      <c r="E2210" s="258"/>
      <c r="F2210" s="258"/>
      <c r="G2210" s="258"/>
      <c r="H2210" s="271"/>
      <c r="I2210" s="258"/>
      <c r="J2210" s="272"/>
      <c r="K2210" s="260"/>
      <c r="L2210" s="261"/>
      <c r="M2210" s="262" t="str">
        <f t="shared" si="1"/>
        <v/>
      </c>
      <c r="N2210" s="263" t="str">
        <f t="shared" si="2"/>
        <v/>
      </c>
      <c r="O2210" s="264" t="str">
        <f t="shared" si="3"/>
        <v/>
      </c>
      <c r="P2210" s="265" t="str">
        <f>IFERROR(__xludf.DUMMYFUNCTION("IF(ISBLANK(A2210),"""",IFERROR(IF(H2210=""Sell"",VLOOKUP(9^99,FILTER({ROW(P$2:P2209),P$2:P2209},D$2:D2209=D2210),2),(VLOOKUP(9^99,FILTER({ROW(P$2:P2209),P$2:P2209},D$2:D2209=D2210),2)*VLOOKUP(9^99,FILTER({ROW(O$2:O2209),O$2:O2209},D$2:D2209=D2210),2)-N221"&amp;"0)/O2210),J2210))"),"")</f>
        <v/>
      </c>
      <c r="Q2210" s="264" t="str">
        <f>IFERROR(__xludf.DUMMYFUNCTION("IFERROR(IF(F2210=""Crypto"",B2210,(IF(ISBLANK(D2210),"""",IF(D2210=""Cash"",B2210,IF(GOOGLEFINANCE(D2210,""CURRENCY"")=""GBX"",""GBP"",GOOGLEFINANCE(D2210,""CURRENCY"")))))),B2210)"),"")</f>
        <v/>
      </c>
      <c r="R2210" s="263" t="str">
        <f>IFERROR(__xludf.DUMMYFUNCTION("IF(ISBLANK(A2210),"""",IFERROR(IF(OR(Q2210=""GPB"",Q2210=""ZAR""),IF(Q2210=Dashboard!$L$1,K2210,(K2210*GOOGLEFINANCE(""CURRENCY:""&amp;Q2210&amp;""""&amp;Dashboard!$L$1&amp;""""))/100),IF(Q2210=Dashboard!$L$1,K2210,K2210*GOOGLEFINANCE(""CURRENCY:""&amp;Q2210&amp;""""&amp;Dashboard!$"&amp;"L$1&amp;""""))),K2210))"),"")</f>
        <v/>
      </c>
      <c r="S2210" s="266" t="str">
        <f>IFERROR(__xludf.DUMMYFUNCTION("IF(ISBLANK(A2210),"""",IFERROR(IF(OR(Q2210=""GPB"",Q2210=""ZAR""),IF(Q2210=Dashboard!$L$1,M2210,(M2210*GOOGLEFINANCE(""CURRENCY:""&amp;Q2210&amp;""""&amp;Dashboard!$L$1&amp;""""))/100),IF(Q2210=Dashboard!$L$1,M2210,M2210*GOOGLEFINANCE(""CURRENCY:""&amp;Q2210&amp;""""&amp;Dashboard!$"&amp;"L$1&amp;""""))),M2210))"),"")</f>
        <v/>
      </c>
      <c r="T2210" s="264" t="str">
        <f t="shared" si="4"/>
        <v/>
      </c>
      <c r="U2210" s="264" t="str">
        <f t="shared" si="5"/>
        <v/>
      </c>
      <c r="V2210" s="264" t="str">
        <f t="shared" si="6"/>
        <v/>
      </c>
      <c r="W2210" s="267" t="str">
        <f t="shared" si="8"/>
        <v/>
      </c>
      <c r="X2210" s="264" t="str">
        <f t="shared" si="7"/>
        <v/>
      </c>
    </row>
    <row r="2211" ht="15.75" customHeight="1">
      <c r="A2211" s="258"/>
      <c r="B2211" s="258"/>
      <c r="C2211" s="269"/>
      <c r="D2211" s="258"/>
      <c r="E2211" s="258"/>
      <c r="F2211" s="258"/>
      <c r="G2211" s="258"/>
      <c r="H2211" s="271"/>
      <c r="I2211" s="258"/>
      <c r="J2211" s="272"/>
      <c r="K2211" s="260"/>
      <c r="L2211" s="261"/>
      <c r="M2211" s="262" t="str">
        <f t="shared" si="1"/>
        <v/>
      </c>
      <c r="N2211" s="263" t="str">
        <f t="shared" si="2"/>
        <v/>
      </c>
      <c r="O2211" s="264" t="str">
        <f t="shared" si="3"/>
        <v/>
      </c>
      <c r="P2211" s="265" t="str">
        <f>IFERROR(__xludf.DUMMYFUNCTION("IF(ISBLANK(A2211),"""",IFERROR(IF(H2211=""Sell"",VLOOKUP(9^99,FILTER({ROW(P$2:P2210),P$2:P2210},D$2:D2210=D2211),2),(VLOOKUP(9^99,FILTER({ROW(P$2:P2210),P$2:P2210},D$2:D2210=D2211),2)*VLOOKUP(9^99,FILTER({ROW(O$2:O2210),O$2:O2210},D$2:D2210=D2211),2)-N221"&amp;"1)/O2211),J2211))"),"")</f>
        <v/>
      </c>
      <c r="Q2211" s="264" t="str">
        <f>IFERROR(__xludf.DUMMYFUNCTION("IFERROR(IF(F2211=""Crypto"",B2211,(IF(ISBLANK(D2211),"""",IF(D2211=""Cash"",B2211,IF(GOOGLEFINANCE(D2211,""CURRENCY"")=""GBX"",""GBP"",GOOGLEFINANCE(D2211,""CURRENCY"")))))),B2211)"),"")</f>
        <v/>
      </c>
      <c r="R2211" s="263" t="str">
        <f>IFERROR(__xludf.DUMMYFUNCTION("IF(ISBLANK(A2211),"""",IFERROR(IF(OR(Q2211=""GPB"",Q2211=""ZAR""),IF(Q2211=Dashboard!$L$1,K2211,(K2211*GOOGLEFINANCE(""CURRENCY:""&amp;Q2211&amp;""""&amp;Dashboard!$L$1&amp;""""))/100),IF(Q2211=Dashboard!$L$1,K2211,K2211*GOOGLEFINANCE(""CURRENCY:""&amp;Q2211&amp;""""&amp;Dashboard!$"&amp;"L$1&amp;""""))),K2211))"),"")</f>
        <v/>
      </c>
      <c r="S2211" s="266" t="str">
        <f>IFERROR(__xludf.DUMMYFUNCTION("IF(ISBLANK(A2211),"""",IFERROR(IF(OR(Q2211=""GPB"",Q2211=""ZAR""),IF(Q2211=Dashboard!$L$1,M2211,(M2211*GOOGLEFINANCE(""CURRENCY:""&amp;Q2211&amp;""""&amp;Dashboard!$L$1&amp;""""))/100),IF(Q2211=Dashboard!$L$1,M2211,M2211*GOOGLEFINANCE(""CURRENCY:""&amp;Q2211&amp;""""&amp;Dashboard!$"&amp;"L$1&amp;""""))),M2211))"),"")</f>
        <v/>
      </c>
      <c r="T2211" s="264" t="str">
        <f t="shared" si="4"/>
        <v/>
      </c>
      <c r="U2211" s="264" t="str">
        <f t="shared" si="5"/>
        <v/>
      </c>
      <c r="V2211" s="264" t="str">
        <f t="shared" si="6"/>
        <v/>
      </c>
      <c r="W2211" s="267" t="str">
        <f t="shared" si="8"/>
        <v/>
      </c>
      <c r="X2211" s="264" t="str">
        <f t="shared" si="7"/>
        <v/>
      </c>
    </row>
    <row r="2212" ht="15.75" customHeight="1">
      <c r="A2212" s="258"/>
      <c r="B2212" s="258"/>
      <c r="C2212" s="269"/>
      <c r="D2212" s="258"/>
      <c r="E2212" s="258"/>
      <c r="F2212" s="258"/>
      <c r="G2212" s="258"/>
      <c r="H2212" s="271"/>
      <c r="I2212" s="258"/>
      <c r="J2212" s="272"/>
      <c r="K2212" s="260"/>
      <c r="L2212" s="261"/>
      <c r="M2212" s="262" t="str">
        <f t="shared" si="1"/>
        <v/>
      </c>
      <c r="N2212" s="263" t="str">
        <f t="shared" si="2"/>
        <v/>
      </c>
      <c r="O2212" s="264" t="str">
        <f t="shared" si="3"/>
        <v/>
      </c>
      <c r="P2212" s="265" t="str">
        <f>IFERROR(__xludf.DUMMYFUNCTION("IF(ISBLANK(A2212),"""",IFERROR(IF(H2212=""Sell"",VLOOKUP(9^99,FILTER({ROW(P$2:P2211),P$2:P2211},D$2:D2211=D2212),2),(VLOOKUP(9^99,FILTER({ROW(P$2:P2211),P$2:P2211},D$2:D2211=D2212),2)*VLOOKUP(9^99,FILTER({ROW(O$2:O2211),O$2:O2211},D$2:D2211=D2212),2)-N221"&amp;"2)/O2212),J2212))"),"")</f>
        <v/>
      </c>
      <c r="Q2212" s="264" t="str">
        <f>IFERROR(__xludf.DUMMYFUNCTION("IFERROR(IF(F2212=""Crypto"",B2212,(IF(ISBLANK(D2212),"""",IF(D2212=""Cash"",B2212,IF(GOOGLEFINANCE(D2212,""CURRENCY"")=""GBX"",""GBP"",GOOGLEFINANCE(D2212,""CURRENCY"")))))),B2212)"),"")</f>
        <v/>
      </c>
      <c r="R2212" s="263" t="str">
        <f>IFERROR(__xludf.DUMMYFUNCTION("IF(ISBLANK(A2212),"""",IFERROR(IF(OR(Q2212=""GPB"",Q2212=""ZAR""),IF(Q2212=Dashboard!$L$1,K2212,(K2212*GOOGLEFINANCE(""CURRENCY:""&amp;Q2212&amp;""""&amp;Dashboard!$L$1&amp;""""))/100),IF(Q2212=Dashboard!$L$1,K2212,K2212*GOOGLEFINANCE(""CURRENCY:""&amp;Q2212&amp;""""&amp;Dashboard!$"&amp;"L$1&amp;""""))),K2212))"),"")</f>
        <v/>
      </c>
      <c r="S2212" s="266" t="str">
        <f>IFERROR(__xludf.DUMMYFUNCTION("IF(ISBLANK(A2212),"""",IFERROR(IF(OR(Q2212=""GPB"",Q2212=""ZAR""),IF(Q2212=Dashboard!$L$1,M2212,(M2212*GOOGLEFINANCE(""CURRENCY:""&amp;Q2212&amp;""""&amp;Dashboard!$L$1&amp;""""))/100),IF(Q2212=Dashboard!$L$1,M2212,M2212*GOOGLEFINANCE(""CURRENCY:""&amp;Q2212&amp;""""&amp;Dashboard!$"&amp;"L$1&amp;""""))),M2212))"),"")</f>
        <v/>
      </c>
      <c r="T2212" s="264" t="str">
        <f t="shared" si="4"/>
        <v/>
      </c>
      <c r="U2212" s="264" t="str">
        <f t="shared" si="5"/>
        <v/>
      </c>
      <c r="V2212" s="264" t="str">
        <f t="shared" si="6"/>
        <v/>
      </c>
      <c r="W2212" s="267" t="str">
        <f t="shared" si="8"/>
        <v/>
      </c>
      <c r="X2212" s="264" t="str">
        <f t="shared" si="7"/>
        <v/>
      </c>
    </row>
    <row r="2213" ht="15.75" customHeight="1">
      <c r="A2213" s="258"/>
      <c r="B2213" s="258"/>
      <c r="C2213" s="269"/>
      <c r="D2213" s="258"/>
      <c r="E2213" s="258"/>
      <c r="F2213" s="258"/>
      <c r="G2213" s="258"/>
      <c r="H2213" s="271"/>
      <c r="I2213" s="258"/>
      <c r="J2213" s="272"/>
      <c r="K2213" s="260"/>
      <c r="L2213" s="261"/>
      <c r="M2213" s="262" t="str">
        <f t="shared" si="1"/>
        <v/>
      </c>
      <c r="N2213" s="263" t="str">
        <f t="shared" si="2"/>
        <v/>
      </c>
      <c r="O2213" s="264" t="str">
        <f t="shared" si="3"/>
        <v/>
      </c>
      <c r="P2213" s="265" t="str">
        <f>IFERROR(__xludf.DUMMYFUNCTION("IF(ISBLANK(A2213),"""",IFERROR(IF(H2213=""Sell"",VLOOKUP(9^99,FILTER({ROW(P$2:P2212),P$2:P2212},D$2:D2212=D2213),2),(VLOOKUP(9^99,FILTER({ROW(P$2:P2212),P$2:P2212},D$2:D2212=D2213),2)*VLOOKUP(9^99,FILTER({ROW(O$2:O2212),O$2:O2212},D$2:D2212=D2213),2)-N221"&amp;"3)/O2213),J2213))"),"")</f>
        <v/>
      </c>
      <c r="Q2213" s="264" t="str">
        <f>IFERROR(__xludf.DUMMYFUNCTION("IFERROR(IF(F2213=""Crypto"",B2213,(IF(ISBLANK(D2213),"""",IF(D2213=""Cash"",B2213,IF(GOOGLEFINANCE(D2213,""CURRENCY"")=""GBX"",""GBP"",GOOGLEFINANCE(D2213,""CURRENCY"")))))),B2213)"),"")</f>
        <v/>
      </c>
      <c r="R2213" s="263" t="str">
        <f>IFERROR(__xludf.DUMMYFUNCTION("IF(ISBLANK(A2213),"""",IFERROR(IF(OR(Q2213=""GPB"",Q2213=""ZAR""),IF(Q2213=Dashboard!$L$1,K2213,(K2213*GOOGLEFINANCE(""CURRENCY:""&amp;Q2213&amp;""""&amp;Dashboard!$L$1&amp;""""))/100),IF(Q2213=Dashboard!$L$1,K2213,K2213*GOOGLEFINANCE(""CURRENCY:""&amp;Q2213&amp;""""&amp;Dashboard!$"&amp;"L$1&amp;""""))),K2213))"),"")</f>
        <v/>
      </c>
      <c r="S2213" s="266" t="str">
        <f>IFERROR(__xludf.DUMMYFUNCTION("IF(ISBLANK(A2213),"""",IFERROR(IF(OR(Q2213=""GPB"",Q2213=""ZAR""),IF(Q2213=Dashboard!$L$1,M2213,(M2213*GOOGLEFINANCE(""CURRENCY:""&amp;Q2213&amp;""""&amp;Dashboard!$L$1&amp;""""))/100),IF(Q2213=Dashboard!$L$1,M2213,M2213*GOOGLEFINANCE(""CURRENCY:""&amp;Q2213&amp;""""&amp;Dashboard!$"&amp;"L$1&amp;""""))),M2213))"),"")</f>
        <v/>
      </c>
      <c r="T2213" s="264" t="str">
        <f t="shared" si="4"/>
        <v/>
      </c>
      <c r="U2213" s="264" t="str">
        <f t="shared" si="5"/>
        <v/>
      </c>
      <c r="V2213" s="264" t="str">
        <f t="shared" si="6"/>
        <v/>
      </c>
      <c r="W2213" s="267" t="str">
        <f t="shared" si="8"/>
        <v/>
      </c>
      <c r="X2213" s="264" t="str">
        <f t="shared" si="7"/>
        <v/>
      </c>
    </row>
    <row r="2214" ht="15.75" customHeight="1">
      <c r="A2214" s="258"/>
      <c r="B2214" s="258"/>
      <c r="C2214" s="269"/>
      <c r="D2214" s="258"/>
      <c r="E2214" s="258"/>
      <c r="F2214" s="258"/>
      <c r="G2214" s="258"/>
      <c r="H2214" s="271"/>
      <c r="I2214" s="258"/>
      <c r="J2214" s="272"/>
      <c r="K2214" s="260"/>
      <c r="L2214" s="261"/>
      <c r="M2214" s="262" t="str">
        <f t="shared" si="1"/>
        <v/>
      </c>
      <c r="N2214" s="263" t="str">
        <f t="shared" si="2"/>
        <v/>
      </c>
      <c r="O2214" s="264" t="str">
        <f t="shared" si="3"/>
        <v/>
      </c>
      <c r="P2214" s="265" t="str">
        <f>IFERROR(__xludf.DUMMYFUNCTION("IF(ISBLANK(A2214),"""",IFERROR(IF(H2214=""Sell"",VLOOKUP(9^99,FILTER({ROW(P$2:P2213),P$2:P2213},D$2:D2213=D2214),2),(VLOOKUP(9^99,FILTER({ROW(P$2:P2213),P$2:P2213},D$2:D2213=D2214),2)*VLOOKUP(9^99,FILTER({ROW(O$2:O2213),O$2:O2213},D$2:D2213=D2214),2)-N221"&amp;"4)/O2214),J2214))"),"")</f>
        <v/>
      </c>
      <c r="Q2214" s="264" t="str">
        <f>IFERROR(__xludf.DUMMYFUNCTION("IFERROR(IF(F2214=""Crypto"",B2214,(IF(ISBLANK(D2214),"""",IF(D2214=""Cash"",B2214,IF(GOOGLEFINANCE(D2214,""CURRENCY"")=""GBX"",""GBP"",GOOGLEFINANCE(D2214,""CURRENCY"")))))),B2214)"),"")</f>
        <v/>
      </c>
      <c r="R2214" s="263" t="str">
        <f>IFERROR(__xludf.DUMMYFUNCTION("IF(ISBLANK(A2214),"""",IFERROR(IF(OR(Q2214=""GPB"",Q2214=""ZAR""),IF(Q2214=Dashboard!$L$1,K2214,(K2214*GOOGLEFINANCE(""CURRENCY:""&amp;Q2214&amp;""""&amp;Dashboard!$L$1&amp;""""))/100),IF(Q2214=Dashboard!$L$1,K2214,K2214*GOOGLEFINANCE(""CURRENCY:""&amp;Q2214&amp;""""&amp;Dashboard!$"&amp;"L$1&amp;""""))),K2214))"),"")</f>
        <v/>
      </c>
      <c r="S2214" s="266" t="str">
        <f>IFERROR(__xludf.DUMMYFUNCTION("IF(ISBLANK(A2214),"""",IFERROR(IF(OR(Q2214=""GPB"",Q2214=""ZAR""),IF(Q2214=Dashboard!$L$1,M2214,(M2214*GOOGLEFINANCE(""CURRENCY:""&amp;Q2214&amp;""""&amp;Dashboard!$L$1&amp;""""))/100),IF(Q2214=Dashboard!$L$1,M2214,M2214*GOOGLEFINANCE(""CURRENCY:""&amp;Q2214&amp;""""&amp;Dashboard!$"&amp;"L$1&amp;""""))),M2214))"),"")</f>
        <v/>
      </c>
      <c r="T2214" s="264" t="str">
        <f t="shared" si="4"/>
        <v/>
      </c>
      <c r="U2214" s="264" t="str">
        <f t="shared" si="5"/>
        <v/>
      </c>
      <c r="V2214" s="264" t="str">
        <f t="shared" si="6"/>
        <v/>
      </c>
      <c r="W2214" s="267" t="str">
        <f t="shared" si="8"/>
        <v/>
      </c>
      <c r="X2214" s="264" t="str">
        <f t="shared" si="7"/>
        <v/>
      </c>
    </row>
    <row r="2215" ht="15.75" customHeight="1">
      <c r="A2215" s="258"/>
      <c r="B2215" s="258"/>
      <c r="C2215" s="269"/>
      <c r="D2215" s="258"/>
      <c r="E2215" s="258"/>
      <c r="F2215" s="258"/>
      <c r="G2215" s="258"/>
      <c r="H2215" s="271"/>
      <c r="I2215" s="258"/>
      <c r="J2215" s="272"/>
      <c r="K2215" s="260"/>
      <c r="L2215" s="261"/>
      <c r="M2215" s="262" t="str">
        <f t="shared" si="1"/>
        <v/>
      </c>
      <c r="N2215" s="263" t="str">
        <f t="shared" si="2"/>
        <v/>
      </c>
      <c r="O2215" s="264" t="str">
        <f t="shared" si="3"/>
        <v/>
      </c>
      <c r="P2215" s="265" t="str">
        <f>IFERROR(__xludf.DUMMYFUNCTION("IF(ISBLANK(A2215),"""",IFERROR(IF(H2215=""Sell"",VLOOKUP(9^99,FILTER({ROW(P$2:P2214),P$2:P2214},D$2:D2214=D2215),2),(VLOOKUP(9^99,FILTER({ROW(P$2:P2214),P$2:P2214},D$2:D2214=D2215),2)*VLOOKUP(9^99,FILTER({ROW(O$2:O2214),O$2:O2214},D$2:D2214=D2215),2)-N221"&amp;"5)/O2215),J2215))"),"")</f>
        <v/>
      </c>
      <c r="Q2215" s="264" t="str">
        <f>IFERROR(__xludf.DUMMYFUNCTION("IFERROR(IF(F2215=""Crypto"",B2215,(IF(ISBLANK(D2215),"""",IF(D2215=""Cash"",B2215,IF(GOOGLEFINANCE(D2215,""CURRENCY"")=""GBX"",""GBP"",GOOGLEFINANCE(D2215,""CURRENCY"")))))),B2215)"),"")</f>
        <v/>
      </c>
      <c r="R2215" s="263" t="str">
        <f>IFERROR(__xludf.DUMMYFUNCTION("IF(ISBLANK(A2215),"""",IFERROR(IF(OR(Q2215=""GPB"",Q2215=""ZAR""),IF(Q2215=Dashboard!$L$1,K2215,(K2215*GOOGLEFINANCE(""CURRENCY:""&amp;Q2215&amp;""""&amp;Dashboard!$L$1&amp;""""))/100),IF(Q2215=Dashboard!$L$1,K2215,K2215*GOOGLEFINANCE(""CURRENCY:""&amp;Q2215&amp;""""&amp;Dashboard!$"&amp;"L$1&amp;""""))),K2215))"),"")</f>
        <v/>
      </c>
      <c r="S2215" s="266" t="str">
        <f>IFERROR(__xludf.DUMMYFUNCTION("IF(ISBLANK(A2215),"""",IFERROR(IF(OR(Q2215=""GPB"",Q2215=""ZAR""),IF(Q2215=Dashboard!$L$1,M2215,(M2215*GOOGLEFINANCE(""CURRENCY:""&amp;Q2215&amp;""""&amp;Dashboard!$L$1&amp;""""))/100),IF(Q2215=Dashboard!$L$1,M2215,M2215*GOOGLEFINANCE(""CURRENCY:""&amp;Q2215&amp;""""&amp;Dashboard!$"&amp;"L$1&amp;""""))),M2215))"),"")</f>
        <v/>
      </c>
      <c r="T2215" s="264" t="str">
        <f t="shared" si="4"/>
        <v/>
      </c>
      <c r="U2215" s="264" t="str">
        <f t="shared" si="5"/>
        <v/>
      </c>
      <c r="V2215" s="264" t="str">
        <f t="shared" si="6"/>
        <v/>
      </c>
      <c r="W2215" s="267" t="str">
        <f t="shared" si="8"/>
        <v/>
      </c>
      <c r="X2215" s="264" t="str">
        <f t="shared" si="7"/>
        <v/>
      </c>
    </row>
    <row r="2216" ht="15.75" customHeight="1">
      <c r="A2216" s="258"/>
      <c r="B2216" s="258"/>
      <c r="C2216" s="269"/>
      <c r="D2216" s="258"/>
      <c r="E2216" s="258"/>
      <c r="F2216" s="258"/>
      <c r="G2216" s="258"/>
      <c r="H2216" s="271"/>
      <c r="I2216" s="258"/>
      <c r="J2216" s="272"/>
      <c r="K2216" s="260"/>
      <c r="L2216" s="261"/>
      <c r="M2216" s="262" t="str">
        <f t="shared" si="1"/>
        <v/>
      </c>
      <c r="N2216" s="263" t="str">
        <f t="shared" si="2"/>
        <v/>
      </c>
      <c r="O2216" s="264" t="str">
        <f t="shared" si="3"/>
        <v/>
      </c>
      <c r="P2216" s="265" t="str">
        <f>IFERROR(__xludf.DUMMYFUNCTION("IF(ISBLANK(A2216),"""",IFERROR(IF(H2216=""Sell"",VLOOKUP(9^99,FILTER({ROW(P$2:P2215),P$2:P2215},D$2:D2215=D2216),2),(VLOOKUP(9^99,FILTER({ROW(P$2:P2215),P$2:P2215},D$2:D2215=D2216),2)*VLOOKUP(9^99,FILTER({ROW(O$2:O2215),O$2:O2215},D$2:D2215=D2216),2)-N221"&amp;"6)/O2216),J2216))"),"")</f>
        <v/>
      </c>
      <c r="Q2216" s="264" t="str">
        <f>IFERROR(__xludf.DUMMYFUNCTION("IFERROR(IF(F2216=""Crypto"",B2216,(IF(ISBLANK(D2216),"""",IF(D2216=""Cash"",B2216,IF(GOOGLEFINANCE(D2216,""CURRENCY"")=""GBX"",""GBP"",GOOGLEFINANCE(D2216,""CURRENCY"")))))),B2216)"),"")</f>
        <v/>
      </c>
      <c r="R2216" s="263" t="str">
        <f>IFERROR(__xludf.DUMMYFUNCTION("IF(ISBLANK(A2216),"""",IFERROR(IF(OR(Q2216=""GPB"",Q2216=""ZAR""),IF(Q2216=Dashboard!$L$1,K2216,(K2216*GOOGLEFINANCE(""CURRENCY:""&amp;Q2216&amp;""""&amp;Dashboard!$L$1&amp;""""))/100),IF(Q2216=Dashboard!$L$1,K2216,K2216*GOOGLEFINANCE(""CURRENCY:""&amp;Q2216&amp;""""&amp;Dashboard!$"&amp;"L$1&amp;""""))),K2216))"),"")</f>
        <v/>
      </c>
      <c r="S2216" s="266" t="str">
        <f>IFERROR(__xludf.DUMMYFUNCTION("IF(ISBLANK(A2216),"""",IFERROR(IF(OR(Q2216=""GPB"",Q2216=""ZAR""),IF(Q2216=Dashboard!$L$1,M2216,(M2216*GOOGLEFINANCE(""CURRENCY:""&amp;Q2216&amp;""""&amp;Dashboard!$L$1&amp;""""))/100),IF(Q2216=Dashboard!$L$1,M2216,M2216*GOOGLEFINANCE(""CURRENCY:""&amp;Q2216&amp;""""&amp;Dashboard!$"&amp;"L$1&amp;""""))),M2216))"),"")</f>
        <v/>
      </c>
      <c r="T2216" s="264" t="str">
        <f t="shared" si="4"/>
        <v/>
      </c>
      <c r="U2216" s="264" t="str">
        <f t="shared" si="5"/>
        <v/>
      </c>
      <c r="V2216" s="264" t="str">
        <f t="shared" si="6"/>
        <v/>
      </c>
      <c r="W2216" s="267" t="str">
        <f t="shared" si="8"/>
        <v/>
      </c>
      <c r="X2216" s="264" t="str">
        <f t="shared" si="7"/>
        <v/>
      </c>
    </row>
    <row r="2217" ht="15.75" customHeight="1">
      <c r="A2217" s="258"/>
      <c r="B2217" s="258"/>
      <c r="C2217" s="269"/>
      <c r="D2217" s="258"/>
      <c r="E2217" s="258"/>
      <c r="F2217" s="258"/>
      <c r="G2217" s="258"/>
      <c r="H2217" s="271"/>
      <c r="I2217" s="258"/>
      <c r="J2217" s="272"/>
      <c r="K2217" s="260"/>
      <c r="L2217" s="261"/>
      <c r="M2217" s="262" t="str">
        <f t="shared" si="1"/>
        <v/>
      </c>
      <c r="N2217" s="263" t="str">
        <f t="shared" si="2"/>
        <v/>
      </c>
      <c r="O2217" s="264" t="str">
        <f t="shared" si="3"/>
        <v/>
      </c>
      <c r="P2217" s="265" t="str">
        <f>IFERROR(__xludf.DUMMYFUNCTION("IF(ISBLANK(A2217),"""",IFERROR(IF(H2217=""Sell"",VLOOKUP(9^99,FILTER({ROW(P$2:P2216),P$2:P2216},D$2:D2216=D2217),2),(VLOOKUP(9^99,FILTER({ROW(P$2:P2216),P$2:P2216},D$2:D2216=D2217),2)*VLOOKUP(9^99,FILTER({ROW(O$2:O2216),O$2:O2216},D$2:D2216=D2217),2)-N221"&amp;"7)/O2217),J2217))"),"")</f>
        <v/>
      </c>
      <c r="Q2217" s="264" t="str">
        <f>IFERROR(__xludf.DUMMYFUNCTION("IFERROR(IF(F2217=""Crypto"",B2217,(IF(ISBLANK(D2217),"""",IF(D2217=""Cash"",B2217,IF(GOOGLEFINANCE(D2217,""CURRENCY"")=""GBX"",""GBP"",GOOGLEFINANCE(D2217,""CURRENCY"")))))),B2217)"),"")</f>
        <v/>
      </c>
      <c r="R2217" s="263" t="str">
        <f>IFERROR(__xludf.DUMMYFUNCTION("IF(ISBLANK(A2217),"""",IFERROR(IF(OR(Q2217=""GPB"",Q2217=""ZAR""),IF(Q2217=Dashboard!$L$1,K2217,(K2217*GOOGLEFINANCE(""CURRENCY:""&amp;Q2217&amp;""""&amp;Dashboard!$L$1&amp;""""))/100),IF(Q2217=Dashboard!$L$1,K2217,K2217*GOOGLEFINANCE(""CURRENCY:""&amp;Q2217&amp;""""&amp;Dashboard!$"&amp;"L$1&amp;""""))),K2217))"),"")</f>
        <v/>
      </c>
      <c r="S2217" s="266" t="str">
        <f>IFERROR(__xludf.DUMMYFUNCTION("IF(ISBLANK(A2217),"""",IFERROR(IF(OR(Q2217=""GPB"",Q2217=""ZAR""),IF(Q2217=Dashboard!$L$1,M2217,(M2217*GOOGLEFINANCE(""CURRENCY:""&amp;Q2217&amp;""""&amp;Dashboard!$L$1&amp;""""))/100),IF(Q2217=Dashboard!$L$1,M2217,M2217*GOOGLEFINANCE(""CURRENCY:""&amp;Q2217&amp;""""&amp;Dashboard!$"&amp;"L$1&amp;""""))),M2217))"),"")</f>
        <v/>
      </c>
      <c r="T2217" s="264" t="str">
        <f t="shared" si="4"/>
        <v/>
      </c>
      <c r="U2217" s="264" t="str">
        <f t="shared" si="5"/>
        <v/>
      </c>
      <c r="V2217" s="264" t="str">
        <f t="shared" si="6"/>
        <v/>
      </c>
      <c r="W2217" s="267" t="str">
        <f t="shared" si="8"/>
        <v/>
      </c>
      <c r="X2217" s="264" t="str">
        <f t="shared" si="7"/>
        <v/>
      </c>
    </row>
    <row r="2218" ht="15.75" customHeight="1">
      <c r="A2218" s="258"/>
      <c r="B2218" s="258"/>
      <c r="C2218" s="269"/>
      <c r="D2218" s="258"/>
      <c r="E2218" s="258"/>
      <c r="F2218" s="258"/>
      <c r="G2218" s="258"/>
      <c r="H2218" s="271"/>
      <c r="I2218" s="258"/>
      <c r="J2218" s="272"/>
      <c r="K2218" s="260"/>
      <c r="L2218" s="261"/>
      <c r="M2218" s="262" t="str">
        <f t="shared" si="1"/>
        <v/>
      </c>
      <c r="N2218" s="263" t="str">
        <f t="shared" si="2"/>
        <v/>
      </c>
      <c r="O2218" s="264" t="str">
        <f t="shared" si="3"/>
        <v/>
      </c>
      <c r="P2218" s="265" t="str">
        <f>IFERROR(__xludf.DUMMYFUNCTION("IF(ISBLANK(A2218),"""",IFERROR(IF(H2218=""Sell"",VLOOKUP(9^99,FILTER({ROW(P$2:P2217),P$2:P2217},D$2:D2217=D2218),2),(VLOOKUP(9^99,FILTER({ROW(P$2:P2217),P$2:P2217},D$2:D2217=D2218),2)*VLOOKUP(9^99,FILTER({ROW(O$2:O2217),O$2:O2217},D$2:D2217=D2218),2)-N221"&amp;"8)/O2218),J2218))"),"")</f>
        <v/>
      </c>
      <c r="Q2218" s="264" t="str">
        <f>IFERROR(__xludf.DUMMYFUNCTION("IFERROR(IF(F2218=""Crypto"",B2218,(IF(ISBLANK(D2218),"""",IF(D2218=""Cash"",B2218,IF(GOOGLEFINANCE(D2218,""CURRENCY"")=""GBX"",""GBP"",GOOGLEFINANCE(D2218,""CURRENCY"")))))),B2218)"),"")</f>
        <v/>
      </c>
      <c r="R2218" s="263" t="str">
        <f>IFERROR(__xludf.DUMMYFUNCTION("IF(ISBLANK(A2218),"""",IFERROR(IF(OR(Q2218=""GPB"",Q2218=""ZAR""),IF(Q2218=Dashboard!$L$1,K2218,(K2218*GOOGLEFINANCE(""CURRENCY:""&amp;Q2218&amp;""""&amp;Dashboard!$L$1&amp;""""))/100),IF(Q2218=Dashboard!$L$1,K2218,K2218*GOOGLEFINANCE(""CURRENCY:""&amp;Q2218&amp;""""&amp;Dashboard!$"&amp;"L$1&amp;""""))),K2218))"),"")</f>
        <v/>
      </c>
      <c r="S2218" s="266" t="str">
        <f>IFERROR(__xludf.DUMMYFUNCTION("IF(ISBLANK(A2218),"""",IFERROR(IF(OR(Q2218=""GPB"",Q2218=""ZAR""),IF(Q2218=Dashboard!$L$1,M2218,(M2218*GOOGLEFINANCE(""CURRENCY:""&amp;Q2218&amp;""""&amp;Dashboard!$L$1&amp;""""))/100),IF(Q2218=Dashboard!$L$1,M2218,M2218*GOOGLEFINANCE(""CURRENCY:""&amp;Q2218&amp;""""&amp;Dashboard!$"&amp;"L$1&amp;""""))),M2218))"),"")</f>
        <v/>
      </c>
      <c r="T2218" s="264" t="str">
        <f t="shared" si="4"/>
        <v/>
      </c>
      <c r="U2218" s="264" t="str">
        <f t="shared" si="5"/>
        <v/>
      </c>
      <c r="V2218" s="264" t="str">
        <f t="shared" si="6"/>
        <v/>
      </c>
      <c r="W2218" s="267" t="str">
        <f t="shared" si="8"/>
        <v/>
      </c>
      <c r="X2218" s="264" t="str">
        <f t="shared" si="7"/>
        <v/>
      </c>
    </row>
    <row r="2219" ht="15.75" customHeight="1">
      <c r="A2219" s="258"/>
      <c r="B2219" s="258"/>
      <c r="C2219" s="269"/>
      <c r="D2219" s="258"/>
      <c r="E2219" s="258"/>
      <c r="F2219" s="258"/>
      <c r="G2219" s="258"/>
      <c r="H2219" s="271"/>
      <c r="I2219" s="258"/>
      <c r="J2219" s="272"/>
      <c r="K2219" s="260"/>
      <c r="L2219" s="261"/>
      <c r="M2219" s="262" t="str">
        <f t="shared" si="1"/>
        <v/>
      </c>
      <c r="N2219" s="263" t="str">
        <f t="shared" si="2"/>
        <v/>
      </c>
      <c r="O2219" s="264" t="str">
        <f t="shared" si="3"/>
        <v/>
      </c>
      <c r="P2219" s="265" t="str">
        <f>IFERROR(__xludf.DUMMYFUNCTION("IF(ISBLANK(A2219),"""",IFERROR(IF(H2219=""Sell"",VLOOKUP(9^99,FILTER({ROW(P$2:P2218),P$2:P2218},D$2:D2218=D2219),2),(VLOOKUP(9^99,FILTER({ROW(P$2:P2218),P$2:P2218},D$2:D2218=D2219),2)*VLOOKUP(9^99,FILTER({ROW(O$2:O2218),O$2:O2218},D$2:D2218=D2219),2)-N221"&amp;"9)/O2219),J2219))"),"")</f>
        <v/>
      </c>
      <c r="Q2219" s="264" t="str">
        <f>IFERROR(__xludf.DUMMYFUNCTION("IFERROR(IF(F2219=""Crypto"",B2219,(IF(ISBLANK(D2219),"""",IF(D2219=""Cash"",B2219,IF(GOOGLEFINANCE(D2219,""CURRENCY"")=""GBX"",""GBP"",GOOGLEFINANCE(D2219,""CURRENCY"")))))),B2219)"),"")</f>
        <v/>
      </c>
      <c r="R2219" s="263" t="str">
        <f>IFERROR(__xludf.DUMMYFUNCTION("IF(ISBLANK(A2219),"""",IFERROR(IF(OR(Q2219=""GPB"",Q2219=""ZAR""),IF(Q2219=Dashboard!$L$1,K2219,(K2219*GOOGLEFINANCE(""CURRENCY:""&amp;Q2219&amp;""""&amp;Dashboard!$L$1&amp;""""))/100),IF(Q2219=Dashboard!$L$1,K2219,K2219*GOOGLEFINANCE(""CURRENCY:""&amp;Q2219&amp;""""&amp;Dashboard!$"&amp;"L$1&amp;""""))),K2219))"),"")</f>
        <v/>
      </c>
      <c r="S2219" s="266" t="str">
        <f>IFERROR(__xludf.DUMMYFUNCTION("IF(ISBLANK(A2219),"""",IFERROR(IF(OR(Q2219=""GPB"",Q2219=""ZAR""),IF(Q2219=Dashboard!$L$1,M2219,(M2219*GOOGLEFINANCE(""CURRENCY:""&amp;Q2219&amp;""""&amp;Dashboard!$L$1&amp;""""))/100),IF(Q2219=Dashboard!$L$1,M2219,M2219*GOOGLEFINANCE(""CURRENCY:""&amp;Q2219&amp;""""&amp;Dashboard!$"&amp;"L$1&amp;""""))),M2219))"),"")</f>
        <v/>
      </c>
      <c r="T2219" s="264" t="str">
        <f t="shared" si="4"/>
        <v/>
      </c>
      <c r="U2219" s="264" t="str">
        <f t="shared" si="5"/>
        <v/>
      </c>
      <c r="V2219" s="264" t="str">
        <f t="shared" si="6"/>
        <v/>
      </c>
      <c r="W2219" s="267" t="str">
        <f t="shared" si="8"/>
        <v/>
      </c>
      <c r="X2219" s="264" t="str">
        <f t="shared" si="7"/>
        <v/>
      </c>
    </row>
    <row r="2220" ht="15.75" customHeight="1">
      <c r="A2220" s="258"/>
      <c r="B2220" s="258"/>
      <c r="C2220" s="269"/>
      <c r="D2220" s="258"/>
      <c r="E2220" s="258"/>
      <c r="F2220" s="258"/>
      <c r="G2220" s="258"/>
      <c r="H2220" s="271"/>
      <c r="I2220" s="258"/>
      <c r="J2220" s="272"/>
      <c r="K2220" s="260"/>
      <c r="L2220" s="261"/>
      <c r="M2220" s="262" t="str">
        <f t="shared" si="1"/>
        <v/>
      </c>
      <c r="N2220" s="263" t="str">
        <f t="shared" si="2"/>
        <v/>
      </c>
      <c r="O2220" s="264" t="str">
        <f t="shared" si="3"/>
        <v/>
      </c>
      <c r="P2220" s="265" t="str">
        <f>IFERROR(__xludf.DUMMYFUNCTION("IF(ISBLANK(A2220),"""",IFERROR(IF(H2220=""Sell"",VLOOKUP(9^99,FILTER({ROW(P$2:P2219),P$2:P2219},D$2:D2219=D2220),2),(VLOOKUP(9^99,FILTER({ROW(P$2:P2219),P$2:P2219},D$2:D2219=D2220),2)*VLOOKUP(9^99,FILTER({ROW(O$2:O2219),O$2:O2219},D$2:D2219=D2220),2)-N222"&amp;"0)/O2220),J2220))"),"")</f>
        <v/>
      </c>
      <c r="Q2220" s="264" t="str">
        <f>IFERROR(__xludf.DUMMYFUNCTION("IFERROR(IF(F2220=""Crypto"",B2220,(IF(ISBLANK(D2220),"""",IF(D2220=""Cash"",B2220,IF(GOOGLEFINANCE(D2220,""CURRENCY"")=""GBX"",""GBP"",GOOGLEFINANCE(D2220,""CURRENCY"")))))),B2220)"),"")</f>
        <v/>
      </c>
      <c r="R2220" s="263" t="str">
        <f>IFERROR(__xludf.DUMMYFUNCTION("IF(ISBLANK(A2220),"""",IFERROR(IF(OR(Q2220=""GPB"",Q2220=""ZAR""),IF(Q2220=Dashboard!$L$1,K2220,(K2220*GOOGLEFINANCE(""CURRENCY:""&amp;Q2220&amp;""""&amp;Dashboard!$L$1&amp;""""))/100),IF(Q2220=Dashboard!$L$1,K2220,K2220*GOOGLEFINANCE(""CURRENCY:""&amp;Q2220&amp;""""&amp;Dashboard!$"&amp;"L$1&amp;""""))),K2220))"),"")</f>
        <v/>
      </c>
      <c r="S2220" s="266" t="str">
        <f>IFERROR(__xludf.DUMMYFUNCTION("IF(ISBLANK(A2220),"""",IFERROR(IF(OR(Q2220=""GPB"",Q2220=""ZAR""),IF(Q2220=Dashboard!$L$1,M2220,(M2220*GOOGLEFINANCE(""CURRENCY:""&amp;Q2220&amp;""""&amp;Dashboard!$L$1&amp;""""))/100),IF(Q2220=Dashboard!$L$1,M2220,M2220*GOOGLEFINANCE(""CURRENCY:""&amp;Q2220&amp;""""&amp;Dashboard!$"&amp;"L$1&amp;""""))),M2220))"),"")</f>
        <v/>
      </c>
      <c r="T2220" s="264" t="str">
        <f t="shared" si="4"/>
        <v/>
      </c>
      <c r="U2220" s="264" t="str">
        <f t="shared" si="5"/>
        <v/>
      </c>
      <c r="V2220" s="264" t="str">
        <f t="shared" si="6"/>
        <v/>
      </c>
      <c r="W2220" s="267" t="str">
        <f t="shared" si="8"/>
        <v/>
      </c>
      <c r="X2220" s="264" t="str">
        <f t="shared" si="7"/>
        <v/>
      </c>
    </row>
    <row r="2221" ht="15.75" customHeight="1">
      <c r="A2221" s="258"/>
      <c r="B2221" s="258"/>
      <c r="C2221" s="269"/>
      <c r="D2221" s="258"/>
      <c r="E2221" s="258"/>
      <c r="F2221" s="258"/>
      <c r="G2221" s="258"/>
      <c r="H2221" s="271"/>
      <c r="I2221" s="258"/>
      <c r="J2221" s="272"/>
      <c r="K2221" s="260"/>
      <c r="L2221" s="261"/>
      <c r="M2221" s="262" t="str">
        <f t="shared" si="1"/>
        <v/>
      </c>
      <c r="N2221" s="263" t="str">
        <f t="shared" si="2"/>
        <v/>
      </c>
      <c r="O2221" s="264" t="str">
        <f t="shared" si="3"/>
        <v/>
      </c>
      <c r="P2221" s="265" t="str">
        <f>IFERROR(__xludf.DUMMYFUNCTION("IF(ISBLANK(A2221),"""",IFERROR(IF(H2221=""Sell"",VLOOKUP(9^99,FILTER({ROW(P$2:P2220),P$2:P2220},D$2:D2220=D2221),2),(VLOOKUP(9^99,FILTER({ROW(P$2:P2220),P$2:P2220},D$2:D2220=D2221),2)*VLOOKUP(9^99,FILTER({ROW(O$2:O2220),O$2:O2220},D$2:D2220=D2221),2)-N222"&amp;"1)/O2221),J2221))"),"")</f>
        <v/>
      </c>
      <c r="Q2221" s="264" t="str">
        <f>IFERROR(__xludf.DUMMYFUNCTION("IFERROR(IF(F2221=""Crypto"",B2221,(IF(ISBLANK(D2221),"""",IF(D2221=""Cash"",B2221,IF(GOOGLEFINANCE(D2221,""CURRENCY"")=""GBX"",""GBP"",GOOGLEFINANCE(D2221,""CURRENCY"")))))),B2221)"),"")</f>
        <v/>
      </c>
      <c r="R2221" s="263" t="str">
        <f>IFERROR(__xludf.DUMMYFUNCTION("IF(ISBLANK(A2221),"""",IFERROR(IF(OR(Q2221=""GPB"",Q2221=""ZAR""),IF(Q2221=Dashboard!$L$1,K2221,(K2221*GOOGLEFINANCE(""CURRENCY:""&amp;Q2221&amp;""""&amp;Dashboard!$L$1&amp;""""))/100),IF(Q2221=Dashboard!$L$1,K2221,K2221*GOOGLEFINANCE(""CURRENCY:""&amp;Q2221&amp;""""&amp;Dashboard!$"&amp;"L$1&amp;""""))),K2221))"),"")</f>
        <v/>
      </c>
      <c r="S2221" s="266" t="str">
        <f>IFERROR(__xludf.DUMMYFUNCTION("IF(ISBLANK(A2221),"""",IFERROR(IF(OR(Q2221=""GPB"",Q2221=""ZAR""),IF(Q2221=Dashboard!$L$1,M2221,(M2221*GOOGLEFINANCE(""CURRENCY:""&amp;Q2221&amp;""""&amp;Dashboard!$L$1&amp;""""))/100),IF(Q2221=Dashboard!$L$1,M2221,M2221*GOOGLEFINANCE(""CURRENCY:""&amp;Q2221&amp;""""&amp;Dashboard!$"&amp;"L$1&amp;""""))),M2221))"),"")</f>
        <v/>
      </c>
      <c r="T2221" s="264" t="str">
        <f t="shared" si="4"/>
        <v/>
      </c>
      <c r="U2221" s="264" t="str">
        <f t="shared" si="5"/>
        <v/>
      </c>
      <c r="V2221" s="264" t="str">
        <f t="shared" si="6"/>
        <v/>
      </c>
      <c r="W2221" s="267" t="str">
        <f t="shared" si="8"/>
        <v/>
      </c>
      <c r="X2221" s="264" t="str">
        <f t="shared" si="7"/>
        <v/>
      </c>
    </row>
    <row r="2222" ht="15.75" customHeight="1">
      <c r="A2222" s="258"/>
      <c r="B2222" s="258"/>
      <c r="C2222" s="269"/>
      <c r="D2222" s="258"/>
      <c r="E2222" s="258"/>
      <c r="F2222" s="258"/>
      <c r="G2222" s="258"/>
      <c r="H2222" s="271"/>
      <c r="I2222" s="258"/>
      <c r="J2222" s="272"/>
      <c r="K2222" s="260"/>
      <c r="L2222" s="261"/>
      <c r="M2222" s="262" t="str">
        <f t="shared" si="1"/>
        <v/>
      </c>
      <c r="N2222" s="263" t="str">
        <f t="shared" si="2"/>
        <v/>
      </c>
      <c r="O2222" s="264" t="str">
        <f t="shared" si="3"/>
        <v/>
      </c>
      <c r="P2222" s="265" t="str">
        <f>IFERROR(__xludf.DUMMYFUNCTION("IF(ISBLANK(A2222),"""",IFERROR(IF(H2222=""Sell"",VLOOKUP(9^99,FILTER({ROW(P$2:P2221),P$2:P2221},D$2:D2221=D2222),2),(VLOOKUP(9^99,FILTER({ROW(P$2:P2221),P$2:P2221},D$2:D2221=D2222),2)*VLOOKUP(9^99,FILTER({ROW(O$2:O2221),O$2:O2221},D$2:D2221=D2222),2)-N222"&amp;"2)/O2222),J2222))"),"")</f>
        <v/>
      </c>
      <c r="Q2222" s="264" t="str">
        <f>IFERROR(__xludf.DUMMYFUNCTION("IFERROR(IF(F2222=""Crypto"",B2222,(IF(ISBLANK(D2222),"""",IF(D2222=""Cash"",B2222,IF(GOOGLEFINANCE(D2222,""CURRENCY"")=""GBX"",""GBP"",GOOGLEFINANCE(D2222,""CURRENCY"")))))),B2222)"),"")</f>
        <v/>
      </c>
      <c r="R2222" s="263" t="str">
        <f>IFERROR(__xludf.DUMMYFUNCTION("IF(ISBLANK(A2222),"""",IFERROR(IF(OR(Q2222=""GPB"",Q2222=""ZAR""),IF(Q2222=Dashboard!$L$1,K2222,(K2222*GOOGLEFINANCE(""CURRENCY:""&amp;Q2222&amp;""""&amp;Dashboard!$L$1&amp;""""))/100),IF(Q2222=Dashboard!$L$1,K2222,K2222*GOOGLEFINANCE(""CURRENCY:""&amp;Q2222&amp;""""&amp;Dashboard!$"&amp;"L$1&amp;""""))),K2222))"),"")</f>
        <v/>
      </c>
      <c r="S2222" s="266" t="str">
        <f>IFERROR(__xludf.DUMMYFUNCTION("IF(ISBLANK(A2222),"""",IFERROR(IF(OR(Q2222=""GPB"",Q2222=""ZAR""),IF(Q2222=Dashboard!$L$1,M2222,(M2222*GOOGLEFINANCE(""CURRENCY:""&amp;Q2222&amp;""""&amp;Dashboard!$L$1&amp;""""))/100),IF(Q2222=Dashboard!$L$1,M2222,M2222*GOOGLEFINANCE(""CURRENCY:""&amp;Q2222&amp;""""&amp;Dashboard!$"&amp;"L$1&amp;""""))),M2222))"),"")</f>
        <v/>
      </c>
      <c r="T2222" s="264" t="str">
        <f t="shared" si="4"/>
        <v/>
      </c>
      <c r="U2222" s="264" t="str">
        <f t="shared" si="5"/>
        <v/>
      </c>
      <c r="V2222" s="264" t="str">
        <f t="shared" si="6"/>
        <v/>
      </c>
      <c r="W2222" s="267" t="str">
        <f t="shared" si="8"/>
        <v/>
      </c>
      <c r="X2222" s="264" t="str">
        <f t="shared" si="7"/>
        <v/>
      </c>
    </row>
    <row r="2223" ht="15.75" customHeight="1">
      <c r="A2223" s="258"/>
      <c r="B2223" s="258"/>
      <c r="C2223" s="269"/>
      <c r="D2223" s="258"/>
      <c r="E2223" s="258"/>
      <c r="F2223" s="258"/>
      <c r="G2223" s="258"/>
      <c r="H2223" s="271"/>
      <c r="I2223" s="258"/>
      <c r="J2223" s="272"/>
      <c r="K2223" s="260"/>
      <c r="L2223" s="261"/>
      <c r="M2223" s="262" t="str">
        <f t="shared" si="1"/>
        <v/>
      </c>
      <c r="N2223" s="263" t="str">
        <f t="shared" si="2"/>
        <v/>
      </c>
      <c r="O2223" s="264" t="str">
        <f t="shared" si="3"/>
        <v/>
      </c>
      <c r="P2223" s="265" t="str">
        <f>IFERROR(__xludf.DUMMYFUNCTION("IF(ISBLANK(A2223),"""",IFERROR(IF(H2223=""Sell"",VLOOKUP(9^99,FILTER({ROW(P$2:P2222),P$2:P2222},D$2:D2222=D2223),2),(VLOOKUP(9^99,FILTER({ROW(P$2:P2222),P$2:P2222},D$2:D2222=D2223),2)*VLOOKUP(9^99,FILTER({ROW(O$2:O2222),O$2:O2222},D$2:D2222=D2223),2)-N222"&amp;"3)/O2223),J2223))"),"")</f>
        <v/>
      </c>
      <c r="Q2223" s="264" t="str">
        <f>IFERROR(__xludf.DUMMYFUNCTION("IFERROR(IF(F2223=""Crypto"",B2223,(IF(ISBLANK(D2223),"""",IF(D2223=""Cash"",B2223,IF(GOOGLEFINANCE(D2223,""CURRENCY"")=""GBX"",""GBP"",GOOGLEFINANCE(D2223,""CURRENCY"")))))),B2223)"),"")</f>
        <v/>
      </c>
      <c r="R2223" s="263" t="str">
        <f>IFERROR(__xludf.DUMMYFUNCTION("IF(ISBLANK(A2223),"""",IFERROR(IF(OR(Q2223=""GPB"",Q2223=""ZAR""),IF(Q2223=Dashboard!$L$1,K2223,(K2223*GOOGLEFINANCE(""CURRENCY:""&amp;Q2223&amp;""""&amp;Dashboard!$L$1&amp;""""))/100),IF(Q2223=Dashboard!$L$1,K2223,K2223*GOOGLEFINANCE(""CURRENCY:""&amp;Q2223&amp;""""&amp;Dashboard!$"&amp;"L$1&amp;""""))),K2223))"),"")</f>
        <v/>
      </c>
      <c r="S2223" s="266" t="str">
        <f>IFERROR(__xludf.DUMMYFUNCTION("IF(ISBLANK(A2223),"""",IFERROR(IF(OR(Q2223=""GPB"",Q2223=""ZAR""),IF(Q2223=Dashboard!$L$1,M2223,(M2223*GOOGLEFINANCE(""CURRENCY:""&amp;Q2223&amp;""""&amp;Dashboard!$L$1&amp;""""))/100),IF(Q2223=Dashboard!$L$1,M2223,M2223*GOOGLEFINANCE(""CURRENCY:""&amp;Q2223&amp;""""&amp;Dashboard!$"&amp;"L$1&amp;""""))),M2223))"),"")</f>
        <v/>
      </c>
      <c r="T2223" s="264" t="str">
        <f t="shared" si="4"/>
        <v/>
      </c>
      <c r="U2223" s="264" t="str">
        <f t="shared" si="5"/>
        <v/>
      </c>
      <c r="V2223" s="264" t="str">
        <f t="shared" si="6"/>
        <v/>
      </c>
      <c r="W2223" s="267" t="str">
        <f t="shared" si="8"/>
        <v/>
      </c>
      <c r="X2223" s="264" t="str">
        <f t="shared" si="7"/>
        <v/>
      </c>
    </row>
    <row r="2224" ht="15.75" customHeight="1">
      <c r="A2224" s="258"/>
      <c r="B2224" s="258"/>
      <c r="C2224" s="269"/>
      <c r="D2224" s="258"/>
      <c r="E2224" s="258"/>
      <c r="F2224" s="258"/>
      <c r="G2224" s="258"/>
      <c r="H2224" s="271"/>
      <c r="I2224" s="258"/>
      <c r="J2224" s="272"/>
      <c r="K2224" s="260"/>
      <c r="L2224" s="261"/>
      <c r="M2224" s="262" t="str">
        <f t="shared" si="1"/>
        <v/>
      </c>
      <c r="N2224" s="263" t="str">
        <f t="shared" si="2"/>
        <v/>
      </c>
      <c r="O2224" s="264" t="str">
        <f t="shared" si="3"/>
        <v/>
      </c>
      <c r="P2224" s="265" t="str">
        <f>IFERROR(__xludf.DUMMYFUNCTION("IF(ISBLANK(A2224),"""",IFERROR(IF(H2224=""Sell"",VLOOKUP(9^99,FILTER({ROW(P$2:P2223),P$2:P2223},D$2:D2223=D2224),2),(VLOOKUP(9^99,FILTER({ROW(P$2:P2223),P$2:P2223},D$2:D2223=D2224),2)*VLOOKUP(9^99,FILTER({ROW(O$2:O2223),O$2:O2223},D$2:D2223=D2224),2)-N222"&amp;"4)/O2224),J2224))"),"")</f>
        <v/>
      </c>
      <c r="Q2224" s="264" t="str">
        <f>IFERROR(__xludf.DUMMYFUNCTION("IFERROR(IF(F2224=""Crypto"",B2224,(IF(ISBLANK(D2224),"""",IF(D2224=""Cash"",B2224,IF(GOOGLEFINANCE(D2224,""CURRENCY"")=""GBX"",""GBP"",GOOGLEFINANCE(D2224,""CURRENCY"")))))),B2224)"),"")</f>
        <v/>
      </c>
      <c r="R2224" s="263" t="str">
        <f>IFERROR(__xludf.DUMMYFUNCTION("IF(ISBLANK(A2224),"""",IFERROR(IF(OR(Q2224=""GPB"",Q2224=""ZAR""),IF(Q2224=Dashboard!$L$1,K2224,(K2224*GOOGLEFINANCE(""CURRENCY:""&amp;Q2224&amp;""""&amp;Dashboard!$L$1&amp;""""))/100),IF(Q2224=Dashboard!$L$1,K2224,K2224*GOOGLEFINANCE(""CURRENCY:""&amp;Q2224&amp;""""&amp;Dashboard!$"&amp;"L$1&amp;""""))),K2224))"),"")</f>
        <v/>
      </c>
      <c r="S2224" s="266" t="str">
        <f>IFERROR(__xludf.DUMMYFUNCTION("IF(ISBLANK(A2224),"""",IFERROR(IF(OR(Q2224=""GPB"",Q2224=""ZAR""),IF(Q2224=Dashboard!$L$1,M2224,(M2224*GOOGLEFINANCE(""CURRENCY:""&amp;Q2224&amp;""""&amp;Dashboard!$L$1&amp;""""))/100),IF(Q2224=Dashboard!$L$1,M2224,M2224*GOOGLEFINANCE(""CURRENCY:""&amp;Q2224&amp;""""&amp;Dashboard!$"&amp;"L$1&amp;""""))),M2224))"),"")</f>
        <v/>
      </c>
      <c r="T2224" s="264" t="str">
        <f t="shared" si="4"/>
        <v/>
      </c>
      <c r="U2224" s="264" t="str">
        <f t="shared" si="5"/>
        <v/>
      </c>
      <c r="V2224" s="264" t="str">
        <f t="shared" si="6"/>
        <v/>
      </c>
      <c r="W2224" s="267" t="str">
        <f t="shared" si="8"/>
        <v/>
      </c>
      <c r="X2224" s="264" t="str">
        <f t="shared" si="7"/>
        <v/>
      </c>
    </row>
    <row r="2225" ht="15.75" customHeight="1">
      <c r="A2225" s="258"/>
      <c r="B2225" s="258"/>
      <c r="C2225" s="269"/>
      <c r="D2225" s="258"/>
      <c r="E2225" s="258"/>
      <c r="F2225" s="258"/>
      <c r="G2225" s="258"/>
      <c r="H2225" s="271"/>
      <c r="I2225" s="258"/>
      <c r="J2225" s="272"/>
      <c r="K2225" s="260"/>
      <c r="L2225" s="261"/>
      <c r="M2225" s="262" t="str">
        <f t="shared" si="1"/>
        <v/>
      </c>
      <c r="N2225" s="263" t="str">
        <f t="shared" si="2"/>
        <v/>
      </c>
      <c r="O2225" s="264" t="str">
        <f t="shared" si="3"/>
        <v/>
      </c>
      <c r="P2225" s="265" t="str">
        <f>IFERROR(__xludf.DUMMYFUNCTION("IF(ISBLANK(A2225),"""",IFERROR(IF(H2225=""Sell"",VLOOKUP(9^99,FILTER({ROW(P$2:P2224),P$2:P2224},D$2:D2224=D2225),2),(VLOOKUP(9^99,FILTER({ROW(P$2:P2224),P$2:P2224},D$2:D2224=D2225),2)*VLOOKUP(9^99,FILTER({ROW(O$2:O2224),O$2:O2224},D$2:D2224=D2225),2)-N222"&amp;"5)/O2225),J2225))"),"")</f>
        <v/>
      </c>
      <c r="Q2225" s="264" t="str">
        <f>IFERROR(__xludf.DUMMYFUNCTION("IFERROR(IF(F2225=""Crypto"",B2225,(IF(ISBLANK(D2225),"""",IF(D2225=""Cash"",B2225,IF(GOOGLEFINANCE(D2225,""CURRENCY"")=""GBX"",""GBP"",GOOGLEFINANCE(D2225,""CURRENCY"")))))),B2225)"),"")</f>
        <v/>
      </c>
      <c r="R2225" s="263" t="str">
        <f>IFERROR(__xludf.DUMMYFUNCTION("IF(ISBLANK(A2225),"""",IFERROR(IF(OR(Q2225=""GPB"",Q2225=""ZAR""),IF(Q2225=Dashboard!$L$1,K2225,(K2225*GOOGLEFINANCE(""CURRENCY:""&amp;Q2225&amp;""""&amp;Dashboard!$L$1&amp;""""))/100),IF(Q2225=Dashboard!$L$1,K2225,K2225*GOOGLEFINANCE(""CURRENCY:""&amp;Q2225&amp;""""&amp;Dashboard!$"&amp;"L$1&amp;""""))),K2225))"),"")</f>
        <v/>
      </c>
      <c r="S2225" s="266" t="str">
        <f>IFERROR(__xludf.DUMMYFUNCTION("IF(ISBLANK(A2225),"""",IFERROR(IF(OR(Q2225=""GPB"",Q2225=""ZAR""),IF(Q2225=Dashboard!$L$1,M2225,(M2225*GOOGLEFINANCE(""CURRENCY:""&amp;Q2225&amp;""""&amp;Dashboard!$L$1&amp;""""))/100),IF(Q2225=Dashboard!$L$1,M2225,M2225*GOOGLEFINANCE(""CURRENCY:""&amp;Q2225&amp;""""&amp;Dashboard!$"&amp;"L$1&amp;""""))),M2225))"),"")</f>
        <v/>
      </c>
      <c r="T2225" s="264" t="str">
        <f t="shared" si="4"/>
        <v/>
      </c>
      <c r="U2225" s="264" t="str">
        <f t="shared" si="5"/>
        <v/>
      </c>
      <c r="V2225" s="264" t="str">
        <f t="shared" si="6"/>
        <v/>
      </c>
      <c r="W2225" s="267" t="str">
        <f t="shared" si="8"/>
        <v/>
      </c>
      <c r="X2225" s="264" t="str">
        <f t="shared" si="7"/>
        <v/>
      </c>
    </row>
    <row r="2226" ht="15.75" customHeight="1">
      <c r="A2226" s="258"/>
      <c r="B2226" s="258"/>
      <c r="C2226" s="269"/>
      <c r="D2226" s="258"/>
      <c r="E2226" s="258"/>
      <c r="F2226" s="258"/>
      <c r="G2226" s="258"/>
      <c r="H2226" s="271"/>
      <c r="I2226" s="258"/>
      <c r="J2226" s="272"/>
      <c r="K2226" s="260"/>
      <c r="L2226" s="261"/>
      <c r="M2226" s="262" t="str">
        <f t="shared" si="1"/>
        <v/>
      </c>
      <c r="N2226" s="263" t="str">
        <f t="shared" si="2"/>
        <v/>
      </c>
      <c r="O2226" s="264" t="str">
        <f t="shared" si="3"/>
        <v/>
      </c>
      <c r="P2226" s="265" t="str">
        <f>IFERROR(__xludf.DUMMYFUNCTION("IF(ISBLANK(A2226),"""",IFERROR(IF(H2226=""Sell"",VLOOKUP(9^99,FILTER({ROW(P$2:P2225),P$2:P2225},D$2:D2225=D2226),2),(VLOOKUP(9^99,FILTER({ROW(P$2:P2225),P$2:P2225},D$2:D2225=D2226),2)*VLOOKUP(9^99,FILTER({ROW(O$2:O2225),O$2:O2225},D$2:D2225=D2226),2)-N222"&amp;"6)/O2226),J2226))"),"")</f>
        <v/>
      </c>
      <c r="Q2226" s="264" t="str">
        <f>IFERROR(__xludf.DUMMYFUNCTION("IFERROR(IF(F2226=""Crypto"",B2226,(IF(ISBLANK(D2226),"""",IF(D2226=""Cash"",B2226,IF(GOOGLEFINANCE(D2226,""CURRENCY"")=""GBX"",""GBP"",GOOGLEFINANCE(D2226,""CURRENCY"")))))),B2226)"),"")</f>
        <v/>
      </c>
      <c r="R2226" s="263" t="str">
        <f>IFERROR(__xludf.DUMMYFUNCTION("IF(ISBLANK(A2226),"""",IFERROR(IF(OR(Q2226=""GPB"",Q2226=""ZAR""),IF(Q2226=Dashboard!$L$1,K2226,(K2226*GOOGLEFINANCE(""CURRENCY:""&amp;Q2226&amp;""""&amp;Dashboard!$L$1&amp;""""))/100),IF(Q2226=Dashboard!$L$1,K2226,K2226*GOOGLEFINANCE(""CURRENCY:""&amp;Q2226&amp;""""&amp;Dashboard!$"&amp;"L$1&amp;""""))),K2226))"),"")</f>
        <v/>
      </c>
      <c r="S2226" s="266" t="str">
        <f>IFERROR(__xludf.DUMMYFUNCTION("IF(ISBLANK(A2226),"""",IFERROR(IF(OR(Q2226=""GPB"",Q2226=""ZAR""),IF(Q2226=Dashboard!$L$1,M2226,(M2226*GOOGLEFINANCE(""CURRENCY:""&amp;Q2226&amp;""""&amp;Dashboard!$L$1&amp;""""))/100),IF(Q2226=Dashboard!$L$1,M2226,M2226*GOOGLEFINANCE(""CURRENCY:""&amp;Q2226&amp;""""&amp;Dashboard!$"&amp;"L$1&amp;""""))),M2226))"),"")</f>
        <v/>
      </c>
      <c r="T2226" s="264" t="str">
        <f t="shared" si="4"/>
        <v/>
      </c>
      <c r="U2226" s="264" t="str">
        <f t="shared" si="5"/>
        <v/>
      </c>
      <c r="V2226" s="264" t="str">
        <f t="shared" si="6"/>
        <v/>
      </c>
      <c r="W2226" s="267" t="str">
        <f t="shared" si="8"/>
        <v/>
      </c>
      <c r="X2226" s="264" t="str">
        <f t="shared" si="7"/>
        <v/>
      </c>
    </row>
    <row r="2227" ht="15.75" customHeight="1">
      <c r="A2227" s="258"/>
      <c r="B2227" s="258"/>
      <c r="C2227" s="269"/>
      <c r="D2227" s="258"/>
      <c r="E2227" s="258"/>
      <c r="F2227" s="258"/>
      <c r="G2227" s="258"/>
      <c r="H2227" s="271"/>
      <c r="I2227" s="258"/>
      <c r="J2227" s="272"/>
      <c r="K2227" s="260"/>
      <c r="L2227" s="261"/>
      <c r="M2227" s="262" t="str">
        <f t="shared" si="1"/>
        <v/>
      </c>
      <c r="N2227" s="263" t="str">
        <f t="shared" si="2"/>
        <v/>
      </c>
      <c r="O2227" s="264" t="str">
        <f t="shared" si="3"/>
        <v/>
      </c>
      <c r="P2227" s="265" t="str">
        <f>IFERROR(__xludf.DUMMYFUNCTION("IF(ISBLANK(A2227),"""",IFERROR(IF(H2227=""Sell"",VLOOKUP(9^99,FILTER({ROW(P$2:P2226),P$2:P2226},D$2:D2226=D2227),2),(VLOOKUP(9^99,FILTER({ROW(P$2:P2226),P$2:P2226},D$2:D2226=D2227),2)*VLOOKUP(9^99,FILTER({ROW(O$2:O2226),O$2:O2226},D$2:D2226=D2227),2)-N222"&amp;"7)/O2227),J2227))"),"")</f>
        <v/>
      </c>
      <c r="Q2227" s="264" t="str">
        <f>IFERROR(__xludf.DUMMYFUNCTION("IFERROR(IF(F2227=""Crypto"",B2227,(IF(ISBLANK(D2227),"""",IF(D2227=""Cash"",B2227,IF(GOOGLEFINANCE(D2227,""CURRENCY"")=""GBX"",""GBP"",GOOGLEFINANCE(D2227,""CURRENCY"")))))),B2227)"),"")</f>
        <v/>
      </c>
      <c r="R2227" s="263" t="str">
        <f>IFERROR(__xludf.DUMMYFUNCTION("IF(ISBLANK(A2227),"""",IFERROR(IF(OR(Q2227=""GPB"",Q2227=""ZAR""),IF(Q2227=Dashboard!$L$1,K2227,(K2227*GOOGLEFINANCE(""CURRENCY:""&amp;Q2227&amp;""""&amp;Dashboard!$L$1&amp;""""))/100),IF(Q2227=Dashboard!$L$1,K2227,K2227*GOOGLEFINANCE(""CURRENCY:""&amp;Q2227&amp;""""&amp;Dashboard!$"&amp;"L$1&amp;""""))),K2227))"),"")</f>
        <v/>
      </c>
      <c r="S2227" s="266" t="str">
        <f>IFERROR(__xludf.DUMMYFUNCTION("IF(ISBLANK(A2227),"""",IFERROR(IF(OR(Q2227=""GPB"",Q2227=""ZAR""),IF(Q2227=Dashboard!$L$1,M2227,(M2227*GOOGLEFINANCE(""CURRENCY:""&amp;Q2227&amp;""""&amp;Dashboard!$L$1&amp;""""))/100),IF(Q2227=Dashboard!$L$1,M2227,M2227*GOOGLEFINANCE(""CURRENCY:""&amp;Q2227&amp;""""&amp;Dashboard!$"&amp;"L$1&amp;""""))),M2227))"),"")</f>
        <v/>
      </c>
      <c r="T2227" s="264" t="str">
        <f t="shared" si="4"/>
        <v/>
      </c>
      <c r="U2227" s="264" t="str">
        <f t="shared" si="5"/>
        <v/>
      </c>
      <c r="V2227" s="264" t="str">
        <f t="shared" si="6"/>
        <v/>
      </c>
      <c r="W2227" s="267" t="str">
        <f t="shared" si="8"/>
        <v/>
      </c>
      <c r="X2227" s="264" t="str">
        <f t="shared" si="7"/>
        <v/>
      </c>
    </row>
    <row r="2228" ht="15.75" customHeight="1">
      <c r="A2228" s="258"/>
      <c r="B2228" s="258"/>
      <c r="C2228" s="269"/>
      <c r="D2228" s="258"/>
      <c r="E2228" s="258"/>
      <c r="F2228" s="258"/>
      <c r="G2228" s="258"/>
      <c r="H2228" s="271"/>
      <c r="I2228" s="258"/>
      <c r="J2228" s="272"/>
      <c r="K2228" s="260"/>
      <c r="L2228" s="261"/>
      <c r="M2228" s="262" t="str">
        <f t="shared" si="1"/>
        <v/>
      </c>
      <c r="N2228" s="263" t="str">
        <f t="shared" si="2"/>
        <v/>
      </c>
      <c r="O2228" s="264" t="str">
        <f t="shared" si="3"/>
        <v/>
      </c>
      <c r="P2228" s="265" t="str">
        <f>IFERROR(__xludf.DUMMYFUNCTION("IF(ISBLANK(A2228),"""",IFERROR(IF(H2228=""Sell"",VLOOKUP(9^99,FILTER({ROW(P$2:P2227),P$2:P2227},D$2:D2227=D2228),2),(VLOOKUP(9^99,FILTER({ROW(P$2:P2227),P$2:P2227},D$2:D2227=D2228),2)*VLOOKUP(9^99,FILTER({ROW(O$2:O2227),O$2:O2227},D$2:D2227=D2228),2)-N222"&amp;"8)/O2228),J2228))"),"")</f>
        <v/>
      </c>
      <c r="Q2228" s="264" t="str">
        <f>IFERROR(__xludf.DUMMYFUNCTION("IFERROR(IF(F2228=""Crypto"",B2228,(IF(ISBLANK(D2228),"""",IF(D2228=""Cash"",B2228,IF(GOOGLEFINANCE(D2228,""CURRENCY"")=""GBX"",""GBP"",GOOGLEFINANCE(D2228,""CURRENCY"")))))),B2228)"),"")</f>
        <v/>
      </c>
      <c r="R2228" s="263" t="str">
        <f>IFERROR(__xludf.DUMMYFUNCTION("IF(ISBLANK(A2228),"""",IFERROR(IF(OR(Q2228=""GPB"",Q2228=""ZAR""),IF(Q2228=Dashboard!$L$1,K2228,(K2228*GOOGLEFINANCE(""CURRENCY:""&amp;Q2228&amp;""""&amp;Dashboard!$L$1&amp;""""))/100),IF(Q2228=Dashboard!$L$1,K2228,K2228*GOOGLEFINANCE(""CURRENCY:""&amp;Q2228&amp;""""&amp;Dashboard!$"&amp;"L$1&amp;""""))),K2228))"),"")</f>
        <v/>
      </c>
      <c r="S2228" s="266" t="str">
        <f>IFERROR(__xludf.DUMMYFUNCTION("IF(ISBLANK(A2228),"""",IFERROR(IF(OR(Q2228=""GPB"",Q2228=""ZAR""),IF(Q2228=Dashboard!$L$1,M2228,(M2228*GOOGLEFINANCE(""CURRENCY:""&amp;Q2228&amp;""""&amp;Dashboard!$L$1&amp;""""))/100),IF(Q2228=Dashboard!$L$1,M2228,M2228*GOOGLEFINANCE(""CURRENCY:""&amp;Q2228&amp;""""&amp;Dashboard!$"&amp;"L$1&amp;""""))),M2228))"),"")</f>
        <v/>
      </c>
      <c r="T2228" s="264" t="str">
        <f t="shared" si="4"/>
        <v/>
      </c>
      <c r="U2228" s="264" t="str">
        <f t="shared" si="5"/>
        <v/>
      </c>
      <c r="V2228" s="264" t="str">
        <f t="shared" si="6"/>
        <v/>
      </c>
      <c r="W2228" s="267" t="str">
        <f t="shared" si="8"/>
        <v/>
      </c>
      <c r="X2228" s="264" t="str">
        <f t="shared" si="7"/>
        <v/>
      </c>
    </row>
    <row r="2229" ht="15.75" customHeight="1">
      <c r="A2229" s="258"/>
      <c r="B2229" s="258"/>
      <c r="C2229" s="269"/>
      <c r="D2229" s="258"/>
      <c r="E2229" s="258"/>
      <c r="F2229" s="258"/>
      <c r="G2229" s="258"/>
      <c r="H2229" s="271"/>
      <c r="I2229" s="258"/>
      <c r="J2229" s="272"/>
      <c r="K2229" s="260"/>
      <c r="L2229" s="261"/>
      <c r="M2229" s="262" t="str">
        <f t="shared" si="1"/>
        <v/>
      </c>
      <c r="N2229" s="263" t="str">
        <f t="shared" si="2"/>
        <v/>
      </c>
      <c r="O2229" s="264" t="str">
        <f t="shared" si="3"/>
        <v/>
      </c>
      <c r="P2229" s="265" t="str">
        <f>IFERROR(__xludf.DUMMYFUNCTION("IF(ISBLANK(A2229),"""",IFERROR(IF(H2229=""Sell"",VLOOKUP(9^99,FILTER({ROW(P$2:P2228),P$2:P2228},D$2:D2228=D2229),2),(VLOOKUP(9^99,FILTER({ROW(P$2:P2228),P$2:P2228},D$2:D2228=D2229),2)*VLOOKUP(9^99,FILTER({ROW(O$2:O2228),O$2:O2228},D$2:D2228=D2229),2)-N222"&amp;"9)/O2229),J2229))"),"")</f>
        <v/>
      </c>
      <c r="Q2229" s="264" t="str">
        <f>IFERROR(__xludf.DUMMYFUNCTION("IFERROR(IF(F2229=""Crypto"",B2229,(IF(ISBLANK(D2229),"""",IF(D2229=""Cash"",B2229,IF(GOOGLEFINANCE(D2229,""CURRENCY"")=""GBX"",""GBP"",GOOGLEFINANCE(D2229,""CURRENCY"")))))),B2229)"),"")</f>
        <v/>
      </c>
      <c r="R2229" s="263" t="str">
        <f>IFERROR(__xludf.DUMMYFUNCTION("IF(ISBLANK(A2229),"""",IFERROR(IF(OR(Q2229=""GPB"",Q2229=""ZAR""),IF(Q2229=Dashboard!$L$1,K2229,(K2229*GOOGLEFINANCE(""CURRENCY:""&amp;Q2229&amp;""""&amp;Dashboard!$L$1&amp;""""))/100),IF(Q2229=Dashboard!$L$1,K2229,K2229*GOOGLEFINANCE(""CURRENCY:""&amp;Q2229&amp;""""&amp;Dashboard!$"&amp;"L$1&amp;""""))),K2229))"),"")</f>
        <v/>
      </c>
      <c r="S2229" s="266" t="str">
        <f>IFERROR(__xludf.DUMMYFUNCTION("IF(ISBLANK(A2229),"""",IFERROR(IF(OR(Q2229=""GPB"",Q2229=""ZAR""),IF(Q2229=Dashboard!$L$1,M2229,(M2229*GOOGLEFINANCE(""CURRENCY:""&amp;Q2229&amp;""""&amp;Dashboard!$L$1&amp;""""))/100),IF(Q2229=Dashboard!$L$1,M2229,M2229*GOOGLEFINANCE(""CURRENCY:""&amp;Q2229&amp;""""&amp;Dashboard!$"&amp;"L$1&amp;""""))),M2229))"),"")</f>
        <v/>
      </c>
      <c r="T2229" s="264" t="str">
        <f t="shared" si="4"/>
        <v/>
      </c>
      <c r="U2229" s="264" t="str">
        <f t="shared" si="5"/>
        <v/>
      </c>
      <c r="V2229" s="264" t="str">
        <f t="shared" si="6"/>
        <v/>
      </c>
      <c r="W2229" s="267" t="str">
        <f t="shared" si="8"/>
        <v/>
      </c>
      <c r="X2229" s="264" t="str">
        <f t="shared" si="7"/>
        <v/>
      </c>
    </row>
    <row r="2230" ht="15.75" customHeight="1">
      <c r="A2230" s="258"/>
      <c r="B2230" s="258"/>
      <c r="C2230" s="269"/>
      <c r="D2230" s="258"/>
      <c r="E2230" s="258"/>
      <c r="F2230" s="258"/>
      <c r="G2230" s="258"/>
      <c r="H2230" s="271"/>
      <c r="I2230" s="258"/>
      <c r="J2230" s="272"/>
      <c r="K2230" s="260"/>
      <c r="L2230" s="261"/>
      <c r="M2230" s="262" t="str">
        <f t="shared" si="1"/>
        <v/>
      </c>
      <c r="N2230" s="263" t="str">
        <f t="shared" si="2"/>
        <v/>
      </c>
      <c r="O2230" s="264" t="str">
        <f t="shared" si="3"/>
        <v/>
      </c>
      <c r="P2230" s="265" t="str">
        <f>IFERROR(__xludf.DUMMYFUNCTION("IF(ISBLANK(A2230),"""",IFERROR(IF(H2230=""Sell"",VLOOKUP(9^99,FILTER({ROW(P$2:P2229),P$2:P2229},D$2:D2229=D2230),2),(VLOOKUP(9^99,FILTER({ROW(P$2:P2229),P$2:P2229},D$2:D2229=D2230),2)*VLOOKUP(9^99,FILTER({ROW(O$2:O2229),O$2:O2229},D$2:D2229=D2230),2)-N223"&amp;"0)/O2230),J2230))"),"")</f>
        <v/>
      </c>
      <c r="Q2230" s="264" t="str">
        <f>IFERROR(__xludf.DUMMYFUNCTION("IFERROR(IF(F2230=""Crypto"",B2230,(IF(ISBLANK(D2230),"""",IF(D2230=""Cash"",B2230,IF(GOOGLEFINANCE(D2230,""CURRENCY"")=""GBX"",""GBP"",GOOGLEFINANCE(D2230,""CURRENCY"")))))),B2230)"),"")</f>
        <v/>
      </c>
      <c r="R2230" s="263" t="str">
        <f>IFERROR(__xludf.DUMMYFUNCTION("IF(ISBLANK(A2230),"""",IFERROR(IF(OR(Q2230=""GPB"",Q2230=""ZAR""),IF(Q2230=Dashboard!$L$1,K2230,(K2230*GOOGLEFINANCE(""CURRENCY:""&amp;Q2230&amp;""""&amp;Dashboard!$L$1&amp;""""))/100),IF(Q2230=Dashboard!$L$1,K2230,K2230*GOOGLEFINANCE(""CURRENCY:""&amp;Q2230&amp;""""&amp;Dashboard!$"&amp;"L$1&amp;""""))),K2230))"),"")</f>
        <v/>
      </c>
      <c r="S2230" s="266" t="str">
        <f>IFERROR(__xludf.DUMMYFUNCTION("IF(ISBLANK(A2230),"""",IFERROR(IF(OR(Q2230=""GPB"",Q2230=""ZAR""),IF(Q2230=Dashboard!$L$1,M2230,(M2230*GOOGLEFINANCE(""CURRENCY:""&amp;Q2230&amp;""""&amp;Dashboard!$L$1&amp;""""))/100),IF(Q2230=Dashboard!$L$1,M2230,M2230*GOOGLEFINANCE(""CURRENCY:""&amp;Q2230&amp;""""&amp;Dashboard!$"&amp;"L$1&amp;""""))),M2230))"),"")</f>
        <v/>
      </c>
      <c r="T2230" s="264" t="str">
        <f t="shared" si="4"/>
        <v/>
      </c>
      <c r="U2230" s="264" t="str">
        <f t="shared" si="5"/>
        <v/>
      </c>
      <c r="V2230" s="264" t="str">
        <f t="shared" si="6"/>
        <v/>
      </c>
      <c r="W2230" s="267" t="str">
        <f t="shared" si="8"/>
        <v/>
      </c>
      <c r="X2230" s="264" t="str">
        <f t="shared" si="7"/>
        <v/>
      </c>
    </row>
    <row r="2231" ht="15.75" customHeight="1">
      <c r="A2231" s="258"/>
      <c r="B2231" s="258"/>
      <c r="C2231" s="269"/>
      <c r="D2231" s="258"/>
      <c r="E2231" s="258"/>
      <c r="F2231" s="258"/>
      <c r="G2231" s="258"/>
      <c r="H2231" s="271"/>
      <c r="I2231" s="258"/>
      <c r="J2231" s="272"/>
      <c r="K2231" s="260"/>
      <c r="L2231" s="261"/>
      <c r="M2231" s="262" t="str">
        <f t="shared" si="1"/>
        <v/>
      </c>
      <c r="N2231" s="263" t="str">
        <f t="shared" si="2"/>
        <v/>
      </c>
      <c r="O2231" s="264" t="str">
        <f t="shared" si="3"/>
        <v/>
      </c>
      <c r="P2231" s="265" t="str">
        <f>IFERROR(__xludf.DUMMYFUNCTION("IF(ISBLANK(A2231),"""",IFERROR(IF(H2231=""Sell"",VLOOKUP(9^99,FILTER({ROW(P$2:P2230),P$2:P2230},D$2:D2230=D2231),2),(VLOOKUP(9^99,FILTER({ROW(P$2:P2230),P$2:P2230},D$2:D2230=D2231),2)*VLOOKUP(9^99,FILTER({ROW(O$2:O2230),O$2:O2230},D$2:D2230=D2231),2)-N223"&amp;"1)/O2231),J2231))"),"")</f>
        <v/>
      </c>
      <c r="Q2231" s="264" t="str">
        <f>IFERROR(__xludf.DUMMYFUNCTION("IFERROR(IF(F2231=""Crypto"",B2231,(IF(ISBLANK(D2231),"""",IF(D2231=""Cash"",B2231,IF(GOOGLEFINANCE(D2231,""CURRENCY"")=""GBX"",""GBP"",GOOGLEFINANCE(D2231,""CURRENCY"")))))),B2231)"),"")</f>
        <v/>
      </c>
      <c r="R2231" s="263" t="str">
        <f>IFERROR(__xludf.DUMMYFUNCTION("IF(ISBLANK(A2231),"""",IFERROR(IF(OR(Q2231=""GPB"",Q2231=""ZAR""),IF(Q2231=Dashboard!$L$1,K2231,(K2231*GOOGLEFINANCE(""CURRENCY:""&amp;Q2231&amp;""""&amp;Dashboard!$L$1&amp;""""))/100),IF(Q2231=Dashboard!$L$1,K2231,K2231*GOOGLEFINANCE(""CURRENCY:""&amp;Q2231&amp;""""&amp;Dashboard!$"&amp;"L$1&amp;""""))),K2231))"),"")</f>
        <v/>
      </c>
      <c r="S2231" s="266" t="str">
        <f>IFERROR(__xludf.DUMMYFUNCTION("IF(ISBLANK(A2231),"""",IFERROR(IF(OR(Q2231=""GPB"",Q2231=""ZAR""),IF(Q2231=Dashboard!$L$1,M2231,(M2231*GOOGLEFINANCE(""CURRENCY:""&amp;Q2231&amp;""""&amp;Dashboard!$L$1&amp;""""))/100),IF(Q2231=Dashboard!$L$1,M2231,M2231*GOOGLEFINANCE(""CURRENCY:""&amp;Q2231&amp;""""&amp;Dashboard!$"&amp;"L$1&amp;""""))),M2231))"),"")</f>
        <v/>
      </c>
      <c r="T2231" s="264" t="str">
        <f t="shared" si="4"/>
        <v/>
      </c>
      <c r="U2231" s="264" t="str">
        <f t="shared" si="5"/>
        <v/>
      </c>
      <c r="V2231" s="264" t="str">
        <f t="shared" si="6"/>
        <v/>
      </c>
      <c r="W2231" s="267" t="str">
        <f t="shared" si="8"/>
        <v/>
      </c>
      <c r="X2231" s="264" t="str">
        <f t="shared" si="7"/>
        <v/>
      </c>
    </row>
    <row r="2232" ht="15.75" customHeight="1">
      <c r="A2232" s="258"/>
      <c r="B2232" s="258"/>
      <c r="C2232" s="269"/>
      <c r="D2232" s="258"/>
      <c r="E2232" s="258"/>
      <c r="F2232" s="258"/>
      <c r="G2232" s="258"/>
      <c r="H2232" s="271"/>
      <c r="I2232" s="258"/>
      <c r="J2232" s="272"/>
      <c r="K2232" s="260"/>
      <c r="L2232" s="261"/>
      <c r="M2232" s="262" t="str">
        <f t="shared" si="1"/>
        <v/>
      </c>
      <c r="N2232" s="263" t="str">
        <f t="shared" si="2"/>
        <v/>
      </c>
      <c r="O2232" s="264" t="str">
        <f t="shared" si="3"/>
        <v/>
      </c>
      <c r="P2232" s="265" t="str">
        <f>IFERROR(__xludf.DUMMYFUNCTION("IF(ISBLANK(A2232),"""",IFERROR(IF(H2232=""Sell"",VLOOKUP(9^99,FILTER({ROW(P$2:P2231),P$2:P2231},D$2:D2231=D2232),2),(VLOOKUP(9^99,FILTER({ROW(P$2:P2231),P$2:P2231},D$2:D2231=D2232),2)*VLOOKUP(9^99,FILTER({ROW(O$2:O2231),O$2:O2231},D$2:D2231=D2232),2)-N223"&amp;"2)/O2232),J2232))"),"")</f>
        <v/>
      </c>
      <c r="Q2232" s="264" t="str">
        <f>IFERROR(__xludf.DUMMYFUNCTION("IFERROR(IF(F2232=""Crypto"",B2232,(IF(ISBLANK(D2232),"""",IF(D2232=""Cash"",B2232,IF(GOOGLEFINANCE(D2232,""CURRENCY"")=""GBX"",""GBP"",GOOGLEFINANCE(D2232,""CURRENCY"")))))),B2232)"),"")</f>
        <v/>
      </c>
      <c r="R2232" s="263" t="str">
        <f>IFERROR(__xludf.DUMMYFUNCTION("IF(ISBLANK(A2232),"""",IFERROR(IF(OR(Q2232=""GPB"",Q2232=""ZAR""),IF(Q2232=Dashboard!$L$1,K2232,(K2232*GOOGLEFINANCE(""CURRENCY:""&amp;Q2232&amp;""""&amp;Dashboard!$L$1&amp;""""))/100),IF(Q2232=Dashboard!$L$1,K2232,K2232*GOOGLEFINANCE(""CURRENCY:""&amp;Q2232&amp;""""&amp;Dashboard!$"&amp;"L$1&amp;""""))),K2232))"),"")</f>
        <v/>
      </c>
      <c r="S2232" s="266" t="str">
        <f>IFERROR(__xludf.DUMMYFUNCTION("IF(ISBLANK(A2232),"""",IFERROR(IF(OR(Q2232=""GPB"",Q2232=""ZAR""),IF(Q2232=Dashboard!$L$1,M2232,(M2232*GOOGLEFINANCE(""CURRENCY:""&amp;Q2232&amp;""""&amp;Dashboard!$L$1&amp;""""))/100),IF(Q2232=Dashboard!$L$1,M2232,M2232*GOOGLEFINANCE(""CURRENCY:""&amp;Q2232&amp;""""&amp;Dashboard!$"&amp;"L$1&amp;""""))),M2232))"),"")</f>
        <v/>
      </c>
      <c r="T2232" s="264" t="str">
        <f t="shared" si="4"/>
        <v/>
      </c>
      <c r="U2232" s="264" t="str">
        <f t="shared" si="5"/>
        <v/>
      </c>
      <c r="V2232" s="264" t="str">
        <f t="shared" si="6"/>
        <v/>
      </c>
      <c r="W2232" s="267" t="str">
        <f t="shared" si="8"/>
        <v/>
      </c>
      <c r="X2232" s="264" t="str">
        <f t="shared" si="7"/>
        <v/>
      </c>
    </row>
    <row r="2233" ht="15.75" customHeight="1">
      <c r="A2233" s="258"/>
      <c r="B2233" s="258"/>
      <c r="C2233" s="269"/>
      <c r="D2233" s="258"/>
      <c r="E2233" s="258"/>
      <c r="F2233" s="258"/>
      <c r="G2233" s="258"/>
      <c r="H2233" s="271"/>
      <c r="I2233" s="258"/>
      <c r="J2233" s="272"/>
      <c r="K2233" s="260"/>
      <c r="L2233" s="261"/>
      <c r="M2233" s="262" t="str">
        <f t="shared" si="1"/>
        <v/>
      </c>
      <c r="N2233" s="263" t="str">
        <f t="shared" si="2"/>
        <v/>
      </c>
      <c r="O2233" s="264" t="str">
        <f t="shared" si="3"/>
        <v/>
      </c>
      <c r="P2233" s="265" t="str">
        <f>IFERROR(__xludf.DUMMYFUNCTION("IF(ISBLANK(A2233),"""",IFERROR(IF(H2233=""Sell"",VLOOKUP(9^99,FILTER({ROW(P$2:P2232),P$2:P2232},D$2:D2232=D2233),2),(VLOOKUP(9^99,FILTER({ROW(P$2:P2232),P$2:P2232},D$2:D2232=D2233),2)*VLOOKUP(9^99,FILTER({ROW(O$2:O2232),O$2:O2232},D$2:D2232=D2233),2)-N223"&amp;"3)/O2233),J2233))"),"")</f>
        <v/>
      </c>
      <c r="Q2233" s="264" t="str">
        <f>IFERROR(__xludf.DUMMYFUNCTION("IFERROR(IF(F2233=""Crypto"",B2233,(IF(ISBLANK(D2233),"""",IF(D2233=""Cash"",B2233,IF(GOOGLEFINANCE(D2233,""CURRENCY"")=""GBX"",""GBP"",GOOGLEFINANCE(D2233,""CURRENCY"")))))),B2233)"),"")</f>
        <v/>
      </c>
      <c r="R2233" s="263" t="str">
        <f>IFERROR(__xludf.DUMMYFUNCTION("IF(ISBLANK(A2233),"""",IFERROR(IF(OR(Q2233=""GPB"",Q2233=""ZAR""),IF(Q2233=Dashboard!$L$1,K2233,(K2233*GOOGLEFINANCE(""CURRENCY:""&amp;Q2233&amp;""""&amp;Dashboard!$L$1&amp;""""))/100),IF(Q2233=Dashboard!$L$1,K2233,K2233*GOOGLEFINANCE(""CURRENCY:""&amp;Q2233&amp;""""&amp;Dashboard!$"&amp;"L$1&amp;""""))),K2233))"),"")</f>
        <v/>
      </c>
      <c r="S2233" s="266" t="str">
        <f>IFERROR(__xludf.DUMMYFUNCTION("IF(ISBLANK(A2233),"""",IFERROR(IF(OR(Q2233=""GPB"",Q2233=""ZAR""),IF(Q2233=Dashboard!$L$1,M2233,(M2233*GOOGLEFINANCE(""CURRENCY:""&amp;Q2233&amp;""""&amp;Dashboard!$L$1&amp;""""))/100),IF(Q2233=Dashboard!$L$1,M2233,M2233*GOOGLEFINANCE(""CURRENCY:""&amp;Q2233&amp;""""&amp;Dashboard!$"&amp;"L$1&amp;""""))),M2233))"),"")</f>
        <v/>
      </c>
      <c r="T2233" s="264" t="str">
        <f t="shared" si="4"/>
        <v/>
      </c>
      <c r="U2233" s="264" t="str">
        <f t="shared" si="5"/>
        <v/>
      </c>
      <c r="V2233" s="264" t="str">
        <f t="shared" si="6"/>
        <v/>
      </c>
      <c r="W2233" s="267" t="str">
        <f t="shared" si="8"/>
        <v/>
      </c>
      <c r="X2233" s="264" t="str">
        <f t="shared" si="7"/>
        <v/>
      </c>
    </row>
    <row r="2234" ht="15.75" customHeight="1">
      <c r="A2234" s="258"/>
      <c r="B2234" s="258"/>
      <c r="C2234" s="269"/>
      <c r="D2234" s="258"/>
      <c r="E2234" s="258"/>
      <c r="F2234" s="258"/>
      <c r="G2234" s="258"/>
      <c r="H2234" s="271"/>
      <c r="I2234" s="258"/>
      <c r="J2234" s="272"/>
      <c r="K2234" s="260"/>
      <c r="L2234" s="261"/>
      <c r="M2234" s="262" t="str">
        <f t="shared" si="1"/>
        <v/>
      </c>
      <c r="N2234" s="263" t="str">
        <f t="shared" si="2"/>
        <v/>
      </c>
      <c r="O2234" s="264" t="str">
        <f t="shared" si="3"/>
        <v/>
      </c>
      <c r="P2234" s="265" t="str">
        <f>IFERROR(__xludf.DUMMYFUNCTION("IF(ISBLANK(A2234),"""",IFERROR(IF(H2234=""Sell"",VLOOKUP(9^99,FILTER({ROW(P$2:P2233),P$2:P2233},D$2:D2233=D2234),2),(VLOOKUP(9^99,FILTER({ROW(P$2:P2233),P$2:P2233},D$2:D2233=D2234),2)*VLOOKUP(9^99,FILTER({ROW(O$2:O2233),O$2:O2233},D$2:D2233=D2234),2)-N223"&amp;"4)/O2234),J2234))"),"")</f>
        <v/>
      </c>
      <c r="Q2234" s="264" t="str">
        <f>IFERROR(__xludf.DUMMYFUNCTION("IFERROR(IF(F2234=""Crypto"",B2234,(IF(ISBLANK(D2234),"""",IF(D2234=""Cash"",B2234,IF(GOOGLEFINANCE(D2234,""CURRENCY"")=""GBX"",""GBP"",GOOGLEFINANCE(D2234,""CURRENCY"")))))),B2234)"),"")</f>
        <v/>
      </c>
      <c r="R2234" s="263" t="str">
        <f>IFERROR(__xludf.DUMMYFUNCTION("IF(ISBLANK(A2234),"""",IFERROR(IF(OR(Q2234=""GPB"",Q2234=""ZAR""),IF(Q2234=Dashboard!$L$1,K2234,(K2234*GOOGLEFINANCE(""CURRENCY:""&amp;Q2234&amp;""""&amp;Dashboard!$L$1&amp;""""))/100),IF(Q2234=Dashboard!$L$1,K2234,K2234*GOOGLEFINANCE(""CURRENCY:""&amp;Q2234&amp;""""&amp;Dashboard!$"&amp;"L$1&amp;""""))),K2234))"),"")</f>
        <v/>
      </c>
      <c r="S2234" s="266" t="str">
        <f>IFERROR(__xludf.DUMMYFUNCTION("IF(ISBLANK(A2234),"""",IFERROR(IF(OR(Q2234=""GPB"",Q2234=""ZAR""),IF(Q2234=Dashboard!$L$1,M2234,(M2234*GOOGLEFINANCE(""CURRENCY:""&amp;Q2234&amp;""""&amp;Dashboard!$L$1&amp;""""))/100),IF(Q2234=Dashboard!$L$1,M2234,M2234*GOOGLEFINANCE(""CURRENCY:""&amp;Q2234&amp;""""&amp;Dashboard!$"&amp;"L$1&amp;""""))),M2234))"),"")</f>
        <v/>
      </c>
      <c r="T2234" s="264" t="str">
        <f t="shared" si="4"/>
        <v/>
      </c>
      <c r="U2234" s="264" t="str">
        <f t="shared" si="5"/>
        <v/>
      </c>
      <c r="V2234" s="264" t="str">
        <f t="shared" si="6"/>
        <v/>
      </c>
      <c r="W2234" s="267" t="str">
        <f t="shared" si="8"/>
        <v/>
      </c>
      <c r="X2234" s="264" t="str">
        <f t="shared" si="7"/>
        <v/>
      </c>
    </row>
    <row r="2235" ht="15.75" customHeight="1">
      <c r="A2235" s="258"/>
      <c r="B2235" s="258"/>
      <c r="C2235" s="269"/>
      <c r="D2235" s="258"/>
      <c r="E2235" s="258"/>
      <c r="F2235" s="258"/>
      <c r="G2235" s="258"/>
      <c r="H2235" s="271"/>
      <c r="I2235" s="258"/>
      <c r="J2235" s="272"/>
      <c r="K2235" s="260"/>
      <c r="L2235" s="261"/>
      <c r="M2235" s="262" t="str">
        <f t="shared" si="1"/>
        <v/>
      </c>
      <c r="N2235" s="263" t="str">
        <f t="shared" si="2"/>
        <v/>
      </c>
      <c r="O2235" s="264" t="str">
        <f t="shared" si="3"/>
        <v/>
      </c>
      <c r="P2235" s="265" t="str">
        <f>IFERROR(__xludf.DUMMYFUNCTION("IF(ISBLANK(A2235),"""",IFERROR(IF(H2235=""Sell"",VLOOKUP(9^99,FILTER({ROW(P$2:P2234),P$2:P2234},D$2:D2234=D2235),2),(VLOOKUP(9^99,FILTER({ROW(P$2:P2234),P$2:P2234},D$2:D2234=D2235),2)*VLOOKUP(9^99,FILTER({ROW(O$2:O2234),O$2:O2234},D$2:D2234=D2235),2)-N223"&amp;"5)/O2235),J2235))"),"")</f>
        <v/>
      </c>
      <c r="Q2235" s="264" t="str">
        <f>IFERROR(__xludf.DUMMYFUNCTION("IFERROR(IF(F2235=""Crypto"",B2235,(IF(ISBLANK(D2235),"""",IF(D2235=""Cash"",B2235,IF(GOOGLEFINANCE(D2235,""CURRENCY"")=""GBX"",""GBP"",GOOGLEFINANCE(D2235,""CURRENCY"")))))),B2235)"),"")</f>
        <v/>
      </c>
      <c r="R2235" s="263" t="str">
        <f>IFERROR(__xludf.DUMMYFUNCTION("IF(ISBLANK(A2235),"""",IFERROR(IF(OR(Q2235=""GPB"",Q2235=""ZAR""),IF(Q2235=Dashboard!$L$1,K2235,(K2235*GOOGLEFINANCE(""CURRENCY:""&amp;Q2235&amp;""""&amp;Dashboard!$L$1&amp;""""))/100),IF(Q2235=Dashboard!$L$1,K2235,K2235*GOOGLEFINANCE(""CURRENCY:""&amp;Q2235&amp;""""&amp;Dashboard!$"&amp;"L$1&amp;""""))),K2235))"),"")</f>
        <v/>
      </c>
      <c r="S2235" s="266" t="str">
        <f>IFERROR(__xludf.DUMMYFUNCTION("IF(ISBLANK(A2235),"""",IFERROR(IF(OR(Q2235=""GPB"",Q2235=""ZAR""),IF(Q2235=Dashboard!$L$1,M2235,(M2235*GOOGLEFINANCE(""CURRENCY:""&amp;Q2235&amp;""""&amp;Dashboard!$L$1&amp;""""))/100),IF(Q2235=Dashboard!$L$1,M2235,M2235*GOOGLEFINANCE(""CURRENCY:""&amp;Q2235&amp;""""&amp;Dashboard!$"&amp;"L$1&amp;""""))),M2235))"),"")</f>
        <v/>
      </c>
      <c r="T2235" s="264" t="str">
        <f t="shared" si="4"/>
        <v/>
      </c>
      <c r="U2235" s="264" t="str">
        <f t="shared" si="5"/>
        <v/>
      </c>
      <c r="V2235" s="264" t="str">
        <f t="shared" si="6"/>
        <v/>
      </c>
      <c r="W2235" s="267" t="str">
        <f t="shared" si="8"/>
        <v/>
      </c>
      <c r="X2235" s="264" t="str">
        <f t="shared" si="7"/>
        <v/>
      </c>
    </row>
    <row r="2236" ht="15.75" customHeight="1">
      <c r="A2236" s="258"/>
      <c r="B2236" s="258"/>
      <c r="C2236" s="269"/>
      <c r="D2236" s="258"/>
      <c r="E2236" s="258"/>
      <c r="F2236" s="258"/>
      <c r="G2236" s="258"/>
      <c r="H2236" s="271"/>
      <c r="I2236" s="258"/>
      <c r="J2236" s="272"/>
      <c r="K2236" s="260"/>
      <c r="L2236" s="261"/>
      <c r="M2236" s="262" t="str">
        <f t="shared" si="1"/>
        <v/>
      </c>
      <c r="N2236" s="263" t="str">
        <f t="shared" si="2"/>
        <v/>
      </c>
      <c r="O2236" s="264" t="str">
        <f t="shared" si="3"/>
        <v/>
      </c>
      <c r="P2236" s="265" t="str">
        <f>IFERROR(__xludf.DUMMYFUNCTION("IF(ISBLANK(A2236),"""",IFERROR(IF(H2236=""Sell"",VLOOKUP(9^99,FILTER({ROW(P$2:P2235),P$2:P2235},D$2:D2235=D2236),2),(VLOOKUP(9^99,FILTER({ROW(P$2:P2235),P$2:P2235},D$2:D2235=D2236),2)*VLOOKUP(9^99,FILTER({ROW(O$2:O2235),O$2:O2235},D$2:D2235=D2236),2)-N223"&amp;"6)/O2236),J2236))"),"")</f>
        <v/>
      </c>
      <c r="Q2236" s="264" t="str">
        <f>IFERROR(__xludf.DUMMYFUNCTION("IFERROR(IF(F2236=""Crypto"",B2236,(IF(ISBLANK(D2236),"""",IF(D2236=""Cash"",B2236,IF(GOOGLEFINANCE(D2236,""CURRENCY"")=""GBX"",""GBP"",GOOGLEFINANCE(D2236,""CURRENCY"")))))),B2236)"),"")</f>
        <v/>
      </c>
      <c r="R2236" s="263" t="str">
        <f>IFERROR(__xludf.DUMMYFUNCTION("IF(ISBLANK(A2236),"""",IFERROR(IF(OR(Q2236=""GPB"",Q2236=""ZAR""),IF(Q2236=Dashboard!$L$1,K2236,(K2236*GOOGLEFINANCE(""CURRENCY:""&amp;Q2236&amp;""""&amp;Dashboard!$L$1&amp;""""))/100),IF(Q2236=Dashboard!$L$1,K2236,K2236*GOOGLEFINANCE(""CURRENCY:""&amp;Q2236&amp;""""&amp;Dashboard!$"&amp;"L$1&amp;""""))),K2236))"),"")</f>
        <v/>
      </c>
      <c r="S2236" s="266" t="str">
        <f>IFERROR(__xludf.DUMMYFUNCTION("IF(ISBLANK(A2236),"""",IFERROR(IF(OR(Q2236=""GPB"",Q2236=""ZAR""),IF(Q2236=Dashboard!$L$1,M2236,(M2236*GOOGLEFINANCE(""CURRENCY:""&amp;Q2236&amp;""""&amp;Dashboard!$L$1&amp;""""))/100),IF(Q2236=Dashboard!$L$1,M2236,M2236*GOOGLEFINANCE(""CURRENCY:""&amp;Q2236&amp;""""&amp;Dashboard!$"&amp;"L$1&amp;""""))),M2236))"),"")</f>
        <v/>
      </c>
      <c r="T2236" s="264" t="str">
        <f t="shared" si="4"/>
        <v/>
      </c>
      <c r="U2236" s="264" t="str">
        <f t="shared" si="5"/>
        <v/>
      </c>
      <c r="V2236" s="264" t="str">
        <f t="shared" si="6"/>
        <v/>
      </c>
      <c r="W2236" s="267" t="str">
        <f t="shared" si="8"/>
        <v/>
      </c>
      <c r="X2236" s="264" t="str">
        <f t="shared" si="7"/>
        <v/>
      </c>
    </row>
    <row r="2237" ht="15.75" customHeight="1">
      <c r="A2237" s="258"/>
      <c r="B2237" s="258"/>
      <c r="C2237" s="269"/>
      <c r="D2237" s="258"/>
      <c r="E2237" s="258"/>
      <c r="F2237" s="258"/>
      <c r="G2237" s="258"/>
      <c r="H2237" s="271"/>
      <c r="I2237" s="258"/>
      <c r="J2237" s="272"/>
      <c r="K2237" s="260"/>
      <c r="L2237" s="261"/>
      <c r="M2237" s="262" t="str">
        <f t="shared" si="1"/>
        <v/>
      </c>
      <c r="N2237" s="263" t="str">
        <f t="shared" si="2"/>
        <v/>
      </c>
      <c r="O2237" s="264" t="str">
        <f t="shared" si="3"/>
        <v/>
      </c>
      <c r="P2237" s="265" t="str">
        <f>IFERROR(__xludf.DUMMYFUNCTION("IF(ISBLANK(A2237),"""",IFERROR(IF(H2237=""Sell"",VLOOKUP(9^99,FILTER({ROW(P$2:P2236),P$2:P2236},D$2:D2236=D2237),2),(VLOOKUP(9^99,FILTER({ROW(P$2:P2236),P$2:P2236},D$2:D2236=D2237),2)*VLOOKUP(9^99,FILTER({ROW(O$2:O2236),O$2:O2236},D$2:D2236=D2237),2)-N223"&amp;"7)/O2237),J2237))"),"")</f>
        <v/>
      </c>
      <c r="Q2237" s="264" t="str">
        <f>IFERROR(__xludf.DUMMYFUNCTION("IFERROR(IF(F2237=""Crypto"",B2237,(IF(ISBLANK(D2237),"""",IF(D2237=""Cash"",B2237,IF(GOOGLEFINANCE(D2237,""CURRENCY"")=""GBX"",""GBP"",GOOGLEFINANCE(D2237,""CURRENCY"")))))),B2237)"),"")</f>
        <v/>
      </c>
      <c r="R2237" s="263" t="str">
        <f>IFERROR(__xludf.DUMMYFUNCTION("IF(ISBLANK(A2237),"""",IFERROR(IF(OR(Q2237=""GPB"",Q2237=""ZAR""),IF(Q2237=Dashboard!$L$1,K2237,(K2237*GOOGLEFINANCE(""CURRENCY:""&amp;Q2237&amp;""""&amp;Dashboard!$L$1&amp;""""))/100),IF(Q2237=Dashboard!$L$1,K2237,K2237*GOOGLEFINANCE(""CURRENCY:""&amp;Q2237&amp;""""&amp;Dashboard!$"&amp;"L$1&amp;""""))),K2237))"),"")</f>
        <v/>
      </c>
      <c r="S2237" s="266" t="str">
        <f>IFERROR(__xludf.DUMMYFUNCTION("IF(ISBLANK(A2237),"""",IFERROR(IF(OR(Q2237=""GPB"",Q2237=""ZAR""),IF(Q2237=Dashboard!$L$1,M2237,(M2237*GOOGLEFINANCE(""CURRENCY:""&amp;Q2237&amp;""""&amp;Dashboard!$L$1&amp;""""))/100),IF(Q2237=Dashboard!$L$1,M2237,M2237*GOOGLEFINANCE(""CURRENCY:""&amp;Q2237&amp;""""&amp;Dashboard!$"&amp;"L$1&amp;""""))),M2237))"),"")</f>
        <v/>
      </c>
      <c r="T2237" s="264" t="str">
        <f t="shared" si="4"/>
        <v/>
      </c>
      <c r="U2237" s="264" t="str">
        <f t="shared" si="5"/>
        <v/>
      </c>
      <c r="V2237" s="264" t="str">
        <f t="shared" si="6"/>
        <v/>
      </c>
      <c r="W2237" s="267" t="str">
        <f t="shared" si="8"/>
        <v/>
      </c>
      <c r="X2237" s="264" t="str">
        <f t="shared" si="7"/>
        <v/>
      </c>
    </row>
    <row r="2238" ht="15.75" customHeight="1">
      <c r="A2238" s="258"/>
      <c r="B2238" s="258"/>
      <c r="C2238" s="269"/>
      <c r="D2238" s="258"/>
      <c r="E2238" s="258"/>
      <c r="F2238" s="258"/>
      <c r="G2238" s="258"/>
      <c r="H2238" s="271"/>
      <c r="I2238" s="258"/>
      <c r="J2238" s="272"/>
      <c r="K2238" s="260"/>
      <c r="L2238" s="261"/>
      <c r="M2238" s="262" t="str">
        <f t="shared" si="1"/>
        <v/>
      </c>
      <c r="N2238" s="263" t="str">
        <f t="shared" si="2"/>
        <v/>
      </c>
      <c r="O2238" s="264" t="str">
        <f t="shared" si="3"/>
        <v/>
      </c>
      <c r="P2238" s="265" t="str">
        <f>IFERROR(__xludf.DUMMYFUNCTION("IF(ISBLANK(A2238),"""",IFERROR(IF(H2238=""Sell"",VLOOKUP(9^99,FILTER({ROW(P$2:P2237),P$2:P2237},D$2:D2237=D2238),2),(VLOOKUP(9^99,FILTER({ROW(P$2:P2237),P$2:P2237},D$2:D2237=D2238),2)*VLOOKUP(9^99,FILTER({ROW(O$2:O2237),O$2:O2237},D$2:D2237=D2238),2)-N223"&amp;"8)/O2238),J2238))"),"")</f>
        <v/>
      </c>
      <c r="Q2238" s="264" t="str">
        <f>IFERROR(__xludf.DUMMYFUNCTION("IFERROR(IF(F2238=""Crypto"",B2238,(IF(ISBLANK(D2238),"""",IF(D2238=""Cash"",B2238,IF(GOOGLEFINANCE(D2238,""CURRENCY"")=""GBX"",""GBP"",GOOGLEFINANCE(D2238,""CURRENCY"")))))),B2238)"),"")</f>
        <v/>
      </c>
      <c r="R2238" s="263" t="str">
        <f>IFERROR(__xludf.DUMMYFUNCTION("IF(ISBLANK(A2238),"""",IFERROR(IF(OR(Q2238=""GPB"",Q2238=""ZAR""),IF(Q2238=Dashboard!$L$1,K2238,(K2238*GOOGLEFINANCE(""CURRENCY:""&amp;Q2238&amp;""""&amp;Dashboard!$L$1&amp;""""))/100),IF(Q2238=Dashboard!$L$1,K2238,K2238*GOOGLEFINANCE(""CURRENCY:""&amp;Q2238&amp;""""&amp;Dashboard!$"&amp;"L$1&amp;""""))),K2238))"),"")</f>
        <v/>
      </c>
      <c r="S2238" s="266" t="str">
        <f>IFERROR(__xludf.DUMMYFUNCTION("IF(ISBLANK(A2238),"""",IFERROR(IF(OR(Q2238=""GPB"",Q2238=""ZAR""),IF(Q2238=Dashboard!$L$1,M2238,(M2238*GOOGLEFINANCE(""CURRENCY:""&amp;Q2238&amp;""""&amp;Dashboard!$L$1&amp;""""))/100),IF(Q2238=Dashboard!$L$1,M2238,M2238*GOOGLEFINANCE(""CURRENCY:""&amp;Q2238&amp;""""&amp;Dashboard!$"&amp;"L$1&amp;""""))),M2238))"),"")</f>
        <v/>
      </c>
      <c r="T2238" s="264" t="str">
        <f t="shared" si="4"/>
        <v/>
      </c>
      <c r="U2238" s="264" t="str">
        <f t="shared" si="5"/>
        <v/>
      </c>
      <c r="V2238" s="264" t="str">
        <f t="shared" si="6"/>
        <v/>
      </c>
      <c r="W2238" s="267" t="str">
        <f t="shared" si="8"/>
        <v/>
      </c>
      <c r="X2238" s="264" t="str">
        <f t="shared" si="7"/>
        <v/>
      </c>
    </row>
    <row r="2239" ht="15.75" customHeight="1">
      <c r="A2239" s="258"/>
      <c r="B2239" s="258"/>
      <c r="C2239" s="269"/>
      <c r="D2239" s="258"/>
      <c r="E2239" s="258"/>
      <c r="F2239" s="258"/>
      <c r="G2239" s="258"/>
      <c r="H2239" s="271"/>
      <c r="I2239" s="258"/>
      <c r="J2239" s="272"/>
      <c r="K2239" s="260"/>
      <c r="L2239" s="261"/>
      <c r="M2239" s="262" t="str">
        <f t="shared" si="1"/>
        <v/>
      </c>
      <c r="N2239" s="263" t="str">
        <f t="shared" si="2"/>
        <v/>
      </c>
      <c r="O2239" s="264" t="str">
        <f t="shared" si="3"/>
        <v/>
      </c>
      <c r="P2239" s="265" t="str">
        <f>IFERROR(__xludf.DUMMYFUNCTION("IF(ISBLANK(A2239),"""",IFERROR(IF(H2239=""Sell"",VLOOKUP(9^99,FILTER({ROW(P$2:P2238),P$2:P2238},D$2:D2238=D2239),2),(VLOOKUP(9^99,FILTER({ROW(P$2:P2238),P$2:P2238},D$2:D2238=D2239),2)*VLOOKUP(9^99,FILTER({ROW(O$2:O2238),O$2:O2238},D$2:D2238=D2239),2)-N223"&amp;"9)/O2239),J2239))"),"")</f>
        <v/>
      </c>
      <c r="Q2239" s="264" t="str">
        <f>IFERROR(__xludf.DUMMYFUNCTION("IFERROR(IF(F2239=""Crypto"",B2239,(IF(ISBLANK(D2239),"""",IF(D2239=""Cash"",B2239,IF(GOOGLEFINANCE(D2239,""CURRENCY"")=""GBX"",""GBP"",GOOGLEFINANCE(D2239,""CURRENCY"")))))),B2239)"),"")</f>
        <v/>
      </c>
      <c r="R2239" s="263" t="str">
        <f>IFERROR(__xludf.DUMMYFUNCTION("IF(ISBLANK(A2239),"""",IFERROR(IF(OR(Q2239=""GPB"",Q2239=""ZAR""),IF(Q2239=Dashboard!$L$1,K2239,(K2239*GOOGLEFINANCE(""CURRENCY:""&amp;Q2239&amp;""""&amp;Dashboard!$L$1&amp;""""))/100),IF(Q2239=Dashboard!$L$1,K2239,K2239*GOOGLEFINANCE(""CURRENCY:""&amp;Q2239&amp;""""&amp;Dashboard!$"&amp;"L$1&amp;""""))),K2239))"),"")</f>
        <v/>
      </c>
      <c r="S2239" s="266" t="str">
        <f>IFERROR(__xludf.DUMMYFUNCTION("IF(ISBLANK(A2239),"""",IFERROR(IF(OR(Q2239=""GPB"",Q2239=""ZAR""),IF(Q2239=Dashboard!$L$1,M2239,(M2239*GOOGLEFINANCE(""CURRENCY:""&amp;Q2239&amp;""""&amp;Dashboard!$L$1&amp;""""))/100),IF(Q2239=Dashboard!$L$1,M2239,M2239*GOOGLEFINANCE(""CURRENCY:""&amp;Q2239&amp;""""&amp;Dashboard!$"&amp;"L$1&amp;""""))),M2239))"),"")</f>
        <v/>
      </c>
      <c r="T2239" s="264" t="str">
        <f t="shared" si="4"/>
        <v/>
      </c>
      <c r="U2239" s="264" t="str">
        <f t="shared" si="5"/>
        <v/>
      </c>
      <c r="V2239" s="264" t="str">
        <f t="shared" si="6"/>
        <v/>
      </c>
      <c r="W2239" s="267" t="str">
        <f t="shared" si="8"/>
        <v/>
      </c>
      <c r="X2239" s="264" t="str">
        <f t="shared" si="7"/>
        <v/>
      </c>
    </row>
    <row r="2240" ht="15.75" customHeight="1">
      <c r="A2240" s="258"/>
      <c r="B2240" s="258"/>
      <c r="C2240" s="269"/>
      <c r="D2240" s="258"/>
      <c r="E2240" s="258"/>
      <c r="F2240" s="258"/>
      <c r="G2240" s="258"/>
      <c r="H2240" s="271"/>
      <c r="I2240" s="258"/>
      <c r="J2240" s="272"/>
      <c r="K2240" s="260"/>
      <c r="L2240" s="261"/>
      <c r="M2240" s="262" t="str">
        <f t="shared" si="1"/>
        <v/>
      </c>
      <c r="N2240" s="263" t="str">
        <f t="shared" si="2"/>
        <v/>
      </c>
      <c r="O2240" s="264" t="str">
        <f t="shared" si="3"/>
        <v/>
      </c>
      <c r="P2240" s="265" t="str">
        <f>IFERROR(__xludf.DUMMYFUNCTION("IF(ISBLANK(A2240),"""",IFERROR(IF(H2240=""Sell"",VLOOKUP(9^99,FILTER({ROW(P$2:P2239),P$2:P2239},D$2:D2239=D2240),2),(VLOOKUP(9^99,FILTER({ROW(P$2:P2239),P$2:P2239},D$2:D2239=D2240),2)*VLOOKUP(9^99,FILTER({ROW(O$2:O2239),O$2:O2239},D$2:D2239=D2240),2)-N224"&amp;"0)/O2240),J2240))"),"")</f>
        <v/>
      </c>
      <c r="Q2240" s="264" t="str">
        <f>IFERROR(__xludf.DUMMYFUNCTION("IFERROR(IF(F2240=""Crypto"",B2240,(IF(ISBLANK(D2240),"""",IF(D2240=""Cash"",B2240,IF(GOOGLEFINANCE(D2240,""CURRENCY"")=""GBX"",""GBP"",GOOGLEFINANCE(D2240,""CURRENCY"")))))),B2240)"),"")</f>
        <v/>
      </c>
      <c r="R2240" s="263" t="str">
        <f>IFERROR(__xludf.DUMMYFUNCTION("IF(ISBLANK(A2240),"""",IFERROR(IF(OR(Q2240=""GPB"",Q2240=""ZAR""),IF(Q2240=Dashboard!$L$1,K2240,(K2240*GOOGLEFINANCE(""CURRENCY:""&amp;Q2240&amp;""""&amp;Dashboard!$L$1&amp;""""))/100),IF(Q2240=Dashboard!$L$1,K2240,K2240*GOOGLEFINANCE(""CURRENCY:""&amp;Q2240&amp;""""&amp;Dashboard!$"&amp;"L$1&amp;""""))),K2240))"),"")</f>
        <v/>
      </c>
      <c r="S2240" s="266" t="str">
        <f>IFERROR(__xludf.DUMMYFUNCTION("IF(ISBLANK(A2240),"""",IFERROR(IF(OR(Q2240=""GPB"",Q2240=""ZAR""),IF(Q2240=Dashboard!$L$1,M2240,(M2240*GOOGLEFINANCE(""CURRENCY:""&amp;Q2240&amp;""""&amp;Dashboard!$L$1&amp;""""))/100),IF(Q2240=Dashboard!$L$1,M2240,M2240*GOOGLEFINANCE(""CURRENCY:""&amp;Q2240&amp;""""&amp;Dashboard!$"&amp;"L$1&amp;""""))),M2240))"),"")</f>
        <v/>
      </c>
      <c r="T2240" s="264" t="str">
        <f t="shared" si="4"/>
        <v/>
      </c>
      <c r="U2240" s="264" t="str">
        <f t="shared" si="5"/>
        <v/>
      </c>
      <c r="V2240" s="264" t="str">
        <f t="shared" si="6"/>
        <v/>
      </c>
      <c r="W2240" s="267" t="str">
        <f t="shared" si="8"/>
        <v/>
      </c>
      <c r="X2240" s="264" t="str">
        <f t="shared" si="7"/>
        <v/>
      </c>
    </row>
    <row r="2241" ht="15.75" customHeight="1">
      <c r="A2241" s="258"/>
      <c r="B2241" s="258"/>
      <c r="C2241" s="269"/>
      <c r="D2241" s="258"/>
      <c r="E2241" s="258"/>
      <c r="F2241" s="258"/>
      <c r="G2241" s="258"/>
      <c r="H2241" s="271"/>
      <c r="I2241" s="258"/>
      <c r="J2241" s="272"/>
      <c r="K2241" s="260"/>
      <c r="L2241" s="261"/>
      <c r="M2241" s="262" t="str">
        <f t="shared" si="1"/>
        <v/>
      </c>
      <c r="N2241" s="263" t="str">
        <f t="shared" si="2"/>
        <v/>
      </c>
      <c r="O2241" s="264" t="str">
        <f t="shared" si="3"/>
        <v/>
      </c>
      <c r="P2241" s="265" t="str">
        <f>IFERROR(__xludf.DUMMYFUNCTION("IF(ISBLANK(A2241),"""",IFERROR(IF(H2241=""Sell"",VLOOKUP(9^99,FILTER({ROW(P$2:P2240),P$2:P2240},D$2:D2240=D2241),2),(VLOOKUP(9^99,FILTER({ROW(P$2:P2240),P$2:P2240},D$2:D2240=D2241),2)*VLOOKUP(9^99,FILTER({ROW(O$2:O2240),O$2:O2240},D$2:D2240=D2241),2)-N224"&amp;"1)/O2241),J2241))"),"")</f>
        <v/>
      </c>
      <c r="Q2241" s="264" t="str">
        <f>IFERROR(__xludf.DUMMYFUNCTION("IFERROR(IF(F2241=""Crypto"",B2241,(IF(ISBLANK(D2241),"""",IF(D2241=""Cash"",B2241,IF(GOOGLEFINANCE(D2241,""CURRENCY"")=""GBX"",""GBP"",GOOGLEFINANCE(D2241,""CURRENCY"")))))),B2241)"),"")</f>
        <v/>
      </c>
      <c r="R2241" s="263" t="str">
        <f>IFERROR(__xludf.DUMMYFUNCTION("IF(ISBLANK(A2241),"""",IFERROR(IF(OR(Q2241=""GPB"",Q2241=""ZAR""),IF(Q2241=Dashboard!$L$1,K2241,(K2241*GOOGLEFINANCE(""CURRENCY:""&amp;Q2241&amp;""""&amp;Dashboard!$L$1&amp;""""))/100),IF(Q2241=Dashboard!$L$1,K2241,K2241*GOOGLEFINANCE(""CURRENCY:""&amp;Q2241&amp;""""&amp;Dashboard!$"&amp;"L$1&amp;""""))),K2241))"),"")</f>
        <v/>
      </c>
      <c r="S2241" s="266" t="str">
        <f>IFERROR(__xludf.DUMMYFUNCTION("IF(ISBLANK(A2241),"""",IFERROR(IF(OR(Q2241=""GPB"",Q2241=""ZAR""),IF(Q2241=Dashboard!$L$1,M2241,(M2241*GOOGLEFINANCE(""CURRENCY:""&amp;Q2241&amp;""""&amp;Dashboard!$L$1&amp;""""))/100),IF(Q2241=Dashboard!$L$1,M2241,M2241*GOOGLEFINANCE(""CURRENCY:""&amp;Q2241&amp;""""&amp;Dashboard!$"&amp;"L$1&amp;""""))),M2241))"),"")</f>
        <v/>
      </c>
      <c r="T2241" s="264" t="str">
        <f t="shared" si="4"/>
        <v/>
      </c>
      <c r="U2241" s="264" t="str">
        <f t="shared" si="5"/>
        <v/>
      </c>
      <c r="V2241" s="264" t="str">
        <f t="shared" si="6"/>
        <v/>
      </c>
      <c r="W2241" s="267" t="str">
        <f t="shared" si="8"/>
        <v/>
      </c>
      <c r="X2241" s="264" t="str">
        <f t="shared" si="7"/>
        <v/>
      </c>
    </row>
    <row r="2242" ht="15.75" customHeight="1">
      <c r="A2242" s="258"/>
      <c r="B2242" s="258"/>
      <c r="C2242" s="269"/>
      <c r="D2242" s="258"/>
      <c r="E2242" s="258"/>
      <c r="F2242" s="258"/>
      <c r="G2242" s="258"/>
      <c r="H2242" s="271"/>
      <c r="I2242" s="258"/>
      <c r="J2242" s="272"/>
      <c r="K2242" s="260"/>
      <c r="L2242" s="261"/>
      <c r="M2242" s="262" t="str">
        <f t="shared" si="1"/>
        <v/>
      </c>
      <c r="N2242" s="263" t="str">
        <f t="shared" si="2"/>
        <v/>
      </c>
      <c r="O2242" s="264" t="str">
        <f t="shared" si="3"/>
        <v/>
      </c>
      <c r="P2242" s="265" t="str">
        <f>IFERROR(__xludf.DUMMYFUNCTION("IF(ISBLANK(A2242),"""",IFERROR(IF(H2242=""Sell"",VLOOKUP(9^99,FILTER({ROW(P$2:P2241),P$2:P2241},D$2:D2241=D2242),2),(VLOOKUP(9^99,FILTER({ROW(P$2:P2241),P$2:P2241},D$2:D2241=D2242),2)*VLOOKUP(9^99,FILTER({ROW(O$2:O2241),O$2:O2241},D$2:D2241=D2242),2)-N224"&amp;"2)/O2242),J2242))"),"")</f>
        <v/>
      </c>
      <c r="Q2242" s="264" t="str">
        <f>IFERROR(__xludf.DUMMYFUNCTION("IFERROR(IF(F2242=""Crypto"",B2242,(IF(ISBLANK(D2242),"""",IF(D2242=""Cash"",B2242,IF(GOOGLEFINANCE(D2242,""CURRENCY"")=""GBX"",""GBP"",GOOGLEFINANCE(D2242,""CURRENCY"")))))),B2242)"),"")</f>
        <v/>
      </c>
      <c r="R2242" s="263" t="str">
        <f>IFERROR(__xludf.DUMMYFUNCTION("IF(ISBLANK(A2242),"""",IFERROR(IF(OR(Q2242=""GPB"",Q2242=""ZAR""),IF(Q2242=Dashboard!$L$1,K2242,(K2242*GOOGLEFINANCE(""CURRENCY:""&amp;Q2242&amp;""""&amp;Dashboard!$L$1&amp;""""))/100),IF(Q2242=Dashboard!$L$1,K2242,K2242*GOOGLEFINANCE(""CURRENCY:""&amp;Q2242&amp;""""&amp;Dashboard!$"&amp;"L$1&amp;""""))),K2242))"),"")</f>
        <v/>
      </c>
      <c r="S2242" s="266" t="str">
        <f>IFERROR(__xludf.DUMMYFUNCTION("IF(ISBLANK(A2242),"""",IFERROR(IF(OR(Q2242=""GPB"",Q2242=""ZAR""),IF(Q2242=Dashboard!$L$1,M2242,(M2242*GOOGLEFINANCE(""CURRENCY:""&amp;Q2242&amp;""""&amp;Dashboard!$L$1&amp;""""))/100),IF(Q2242=Dashboard!$L$1,M2242,M2242*GOOGLEFINANCE(""CURRENCY:""&amp;Q2242&amp;""""&amp;Dashboard!$"&amp;"L$1&amp;""""))),M2242))"),"")</f>
        <v/>
      </c>
      <c r="T2242" s="264" t="str">
        <f t="shared" si="4"/>
        <v/>
      </c>
      <c r="U2242" s="264" t="str">
        <f t="shared" si="5"/>
        <v/>
      </c>
      <c r="V2242" s="264" t="str">
        <f t="shared" si="6"/>
        <v/>
      </c>
      <c r="W2242" s="267" t="str">
        <f t="shared" si="8"/>
        <v/>
      </c>
      <c r="X2242" s="264" t="str">
        <f t="shared" si="7"/>
        <v/>
      </c>
    </row>
    <row r="2243" ht="15.75" customHeight="1">
      <c r="A2243" s="258"/>
      <c r="B2243" s="258"/>
      <c r="C2243" s="269"/>
      <c r="D2243" s="258"/>
      <c r="E2243" s="258"/>
      <c r="F2243" s="258"/>
      <c r="G2243" s="258"/>
      <c r="H2243" s="271"/>
      <c r="I2243" s="258"/>
      <c r="J2243" s="272"/>
      <c r="K2243" s="260"/>
      <c r="L2243" s="261"/>
      <c r="M2243" s="262" t="str">
        <f t="shared" si="1"/>
        <v/>
      </c>
      <c r="N2243" s="263" t="str">
        <f t="shared" si="2"/>
        <v/>
      </c>
      <c r="O2243" s="264" t="str">
        <f t="shared" si="3"/>
        <v/>
      </c>
      <c r="P2243" s="265" t="str">
        <f>IFERROR(__xludf.DUMMYFUNCTION("IF(ISBLANK(A2243),"""",IFERROR(IF(H2243=""Sell"",VLOOKUP(9^99,FILTER({ROW(P$2:P2242),P$2:P2242},D$2:D2242=D2243),2),(VLOOKUP(9^99,FILTER({ROW(P$2:P2242),P$2:P2242},D$2:D2242=D2243),2)*VLOOKUP(9^99,FILTER({ROW(O$2:O2242),O$2:O2242},D$2:D2242=D2243),2)-N224"&amp;"3)/O2243),J2243))"),"")</f>
        <v/>
      </c>
      <c r="Q2243" s="264" t="str">
        <f>IFERROR(__xludf.DUMMYFUNCTION("IFERROR(IF(F2243=""Crypto"",B2243,(IF(ISBLANK(D2243),"""",IF(D2243=""Cash"",B2243,IF(GOOGLEFINANCE(D2243,""CURRENCY"")=""GBX"",""GBP"",GOOGLEFINANCE(D2243,""CURRENCY"")))))),B2243)"),"")</f>
        <v/>
      </c>
      <c r="R2243" s="263" t="str">
        <f>IFERROR(__xludf.DUMMYFUNCTION("IF(ISBLANK(A2243),"""",IFERROR(IF(OR(Q2243=""GPB"",Q2243=""ZAR""),IF(Q2243=Dashboard!$L$1,K2243,(K2243*GOOGLEFINANCE(""CURRENCY:""&amp;Q2243&amp;""""&amp;Dashboard!$L$1&amp;""""))/100),IF(Q2243=Dashboard!$L$1,K2243,K2243*GOOGLEFINANCE(""CURRENCY:""&amp;Q2243&amp;""""&amp;Dashboard!$"&amp;"L$1&amp;""""))),K2243))"),"")</f>
        <v/>
      </c>
      <c r="S2243" s="266" t="str">
        <f>IFERROR(__xludf.DUMMYFUNCTION("IF(ISBLANK(A2243),"""",IFERROR(IF(OR(Q2243=""GPB"",Q2243=""ZAR""),IF(Q2243=Dashboard!$L$1,M2243,(M2243*GOOGLEFINANCE(""CURRENCY:""&amp;Q2243&amp;""""&amp;Dashboard!$L$1&amp;""""))/100),IF(Q2243=Dashboard!$L$1,M2243,M2243*GOOGLEFINANCE(""CURRENCY:""&amp;Q2243&amp;""""&amp;Dashboard!$"&amp;"L$1&amp;""""))),M2243))"),"")</f>
        <v/>
      </c>
      <c r="T2243" s="264" t="str">
        <f t="shared" si="4"/>
        <v/>
      </c>
      <c r="U2243" s="264" t="str">
        <f t="shared" si="5"/>
        <v/>
      </c>
      <c r="V2243" s="264" t="str">
        <f t="shared" si="6"/>
        <v/>
      </c>
      <c r="W2243" s="267" t="str">
        <f t="shared" si="8"/>
        <v/>
      </c>
      <c r="X2243" s="264" t="str">
        <f t="shared" si="7"/>
        <v/>
      </c>
    </row>
    <row r="2244" ht="15.75" customHeight="1">
      <c r="A2244" s="258"/>
      <c r="B2244" s="258"/>
      <c r="C2244" s="269"/>
      <c r="D2244" s="258"/>
      <c r="E2244" s="258"/>
      <c r="F2244" s="258"/>
      <c r="G2244" s="258"/>
      <c r="H2244" s="271"/>
      <c r="I2244" s="258"/>
      <c r="J2244" s="272"/>
      <c r="K2244" s="260"/>
      <c r="L2244" s="261"/>
      <c r="M2244" s="262" t="str">
        <f t="shared" si="1"/>
        <v/>
      </c>
      <c r="N2244" s="263" t="str">
        <f t="shared" si="2"/>
        <v/>
      </c>
      <c r="O2244" s="264" t="str">
        <f t="shared" si="3"/>
        <v/>
      </c>
      <c r="P2244" s="265" t="str">
        <f>IFERROR(__xludf.DUMMYFUNCTION("IF(ISBLANK(A2244),"""",IFERROR(IF(H2244=""Sell"",VLOOKUP(9^99,FILTER({ROW(P$2:P2243),P$2:P2243},D$2:D2243=D2244),2),(VLOOKUP(9^99,FILTER({ROW(P$2:P2243),P$2:P2243},D$2:D2243=D2244),2)*VLOOKUP(9^99,FILTER({ROW(O$2:O2243),O$2:O2243},D$2:D2243=D2244),2)-N224"&amp;"4)/O2244),J2244))"),"")</f>
        <v/>
      </c>
      <c r="Q2244" s="264" t="str">
        <f>IFERROR(__xludf.DUMMYFUNCTION("IFERROR(IF(F2244=""Crypto"",B2244,(IF(ISBLANK(D2244),"""",IF(D2244=""Cash"",B2244,IF(GOOGLEFINANCE(D2244,""CURRENCY"")=""GBX"",""GBP"",GOOGLEFINANCE(D2244,""CURRENCY"")))))),B2244)"),"")</f>
        <v/>
      </c>
      <c r="R2244" s="263" t="str">
        <f>IFERROR(__xludf.DUMMYFUNCTION("IF(ISBLANK(A2244),"""",IFERROR(IF(OR(Q2244=""GPB"",Q2244=""ZAR""),IF(Q2244=Dashboard!$L$1,K2244,(K2244*GOOGLEFINANCE(""CURRENCY:""&amp;Q2244&amp;""""&amp;Dashboard!$L$1&amp;""""))/100),IF(Q2244=Dashboard!$L$1,K2244,K2244*GOOGLEFINANCE(""CURRENCY:""&amp;Q2244&amp;""""&amp;Dashboard!$"&amp;"L$1&amp;""""))),K2244))"),"")</f>
        <v/>
      </c>
      <c r="S2244" s="266" t="str">
        <f>IFERROR(__xludf.DUMMYFUNCTION("IF(ISBLANK(A2244),"""",IFERROR(IF(OR(Q2244=""GPB"",Q2244=""ZAR""),IF(Q2244=Dashboard!$L$1,M2244,(M2244*GOOGLEFINANCE(""CURRENCY:""&amp;Q2244&amp;""""&amp;Dashboard!$L$1&amp;""""))/100),IF(Q2244=Dashboard!$L$1,M2244,M2244*GOOGLEFINANCE(""CURRENCY:""&amp;Q2244&amp;""""&amp;Dashboard!$"&amp;"L$1&amp;""""))),M2244))"),"")</f>
        <v/>
      </c>
      <c r="T2244" s="264" t="str">
        <f t="shared" si="4"/>
        <v/>
      </c>
      <c r="U2244" s="264" t="str">
        <f t="shared" si="5"/>
        <v/>
      </c>
      <c r="V2244" s="264" t="str">
        <f t="shared" si="6"/>
        <v/>
      </c>
      <c r="W2244" s="267" t="str">
        <f t="shared" si="8"/>
        <v/>
      </c>
      <c r="X2244" s="264" t="str">
        <f t="shared" si="7"/>
        <v/>
      </c>
    </row>
    <row r="2245" ht="15.75" customHeight="1">
      <c r="A2245" s="258"/>
      <c r="B2245" s="258"/>
      <c r="C2245" s="269"/>
      <c r="D2245" s="258"/>
      <c r="E2245" s="258"/>
      <c r="F2245" s="258"/>
      <c r="G2245" s="258"/>
      <c r="H2245" s="271"/>
      <c r="I2245" s="258"/>
      <c r="J2245" s="272"/>
      <c r="K2245" s="260"/>
      <c r="L2245" s="261"/>
      <c r="M2245" s="262" t="str">
        <f t="shared" si="1"/>
        <v/>
      </c>
      <c r="N2245" s="263" t="str">
        <f t="shared" si="2"/>
        <v/>
      </c>
      <c r="O2245" s="264" t="str">
        <f t="shared" si="3"/>
        <v/>
      </c>
      <c r="P2245" s="265" t="str">
        <f>IFERROR(__xludf.DUMMYFUNCTION("IF(ISBLANK(A2245),"""",IFERROR(IF(H2245=""Sell"",VLOOKUP(9^99,FILTER({ROW(P$2:P2244),P$2:P2244},D$2:D2244=D2245),2),(VLOOKUP(9^99,FILTER({ROW(P$2:P2244),P$2:P2244},D$2:D2244=D2245),2)*VLOOKUP(9^99,FILTER({ROW(O$2:O2244),O$2:O2244},D$2:D2244=D2245),2)-N224"&amp;"5)/O2245),J2245))"),"")</f>
        <v/>
      </c>
      <c r="Q2245" s="264" t="str">
        <f>IFERROR(__xludf.DUMMYFUNCTION("IFERROR(IF(F2245=""Crypto"",B2245,(IF(ISBLANK(D2245),"""",IF(D2245=""Cash"",B2245,IF(GOOGLEFINANCE(D2245,""CURRENCY"")=""GBX"",""GBP"",GOOGLEFINANCE(D2245,""CURRENCY"")))))),B2245)"),"")</f>
        <v/>
      </c>
      <c r="R2245" s="263" t="str">
        <f>IFERROR(__xludf.DUMMYFUNCTION("IF(ISBLANK(A2245),"""",IFERROR(IF(OR(Q2245=""GPB"",Q2245=""ZAR""),IF(Q2245=Dashboard!$L$1,K2245,(K2245*GOOGLEFINANCE(""CURRENCY:""&amp;Q2245&amp;""""&amp;Dashboard!$L$1&amp;""""))/100),IF(Q2245=Dashboard!$L$1,K2245,K2245*GOOGLEFINANCE(""CURRENCY:""&amp;Q2245&amp;""""&amp;Dashboard!$"&amp;"L$1&amp;""""))),K2245))"),"")</f>
        <v/>
      </c>
      <c r="S2245" s="266" t="str">
        <f>IFERROR(__xludf.DUMMYFUNCTION("IF(ISBLANK(A2245),"""",IFERROR(IF(OR(Q2245=""GPB"",Q2245=""ZAR""),IF(Q2245=Dashboard!$L$1,M2245,(M2245*GOOGLEFINANCE(""CURRENCY:""&amp;Q2245&amp;""""&amp;Dashboard!$L$1&amp;""""))/100),IF(Q2245=Dashboard!$L$1,M2245,M2245*GOOGLEFINANCE(""CURRENCY:""&amp;Q2245&amp;""""&amp;Dashboard!$"&amp;"L$1&amp;""""))),M2245))"),"")</f>
        <v/>
      </c>
      <c r="T2245" s="264" t="str">
        <f t="shared" si="4"/>
        <v/>
      </c>
      <c r="U2245" s="264" t="str">
        <f t="shared" si="5"/>
        <v/>
      </c>
      <c r="V2245" s="264" t="str">
        <f t="shared" si="6"/>
        <v/>
      </c>
      <c r="W2245" s="267" t="str">
        <f t="shared" si="8"/>
        <v/>
      </c>
      <c r="X2245" s="264" t="str">
        <f t="shared" si="7"/>
        <v/>
      </c>
    </row>
    <row r="2246" ht="15.75" customHeight="1">
      <c r="A2246" s="258"/>
      <c r="B2246" s="258"/>
      <c r="C2246" s="269"/>
      <c r="D2246" s="258"/>
      <c r="E2246" s="258"/>
      <c r="F2246" s="258"/>
      <c r="G2246" s="258"/>
      <c r="H2246" s="271"/>
      <c r="I2246" s="258"/>
      <c r="J2246" s="272"/>
      <c r="K2246" s="260"/>
      <c r="L2246" s="261"/>
      <c r="M2246" s="262" t="str">
        <f t="shared" si="1"/>
        <v/>
      </c>
      <c r="N2246" s="263" t="str">
        <f t="shared" si="2"/>
        <v/>
      </c>
      <c r="O2246" s="264" t="str">
        <f t="shared" si="3"/>
        <v/>
      </c>
      <c r="P2246" s="265" t="str">
        <f>IFERROR(__xludf.DUMMYFUNCTION("IF(ISBLANK(A2246),"""",IFERROR(IF(H2246=""Sell"",VLOOKUP(9^99,FILTER({ROW(P$2:P2245),P$2:P2245},D$2:D2245=D2246),2),(VLOOKUP(9^99,FILTER({ROW(P$2:P2245),P$2:P2245},D$2:D2245=D2246),2)*VLOOKUP(9^99,FILTER({ROW(O$2:O2245),O$2:O2245},D$2:D2245=D2246),2)-N224"&amp;"6)/O2246),J2246))"),"")</f>
        <v/>
      </c>
      <c r="Q2246" s="264" t="str">
        <f>IFERROR(__xludf.DUMMYFUNCTION("IFERROR(IF(F2246=""Crypto"",B2246,(IF(ISBLANK(D2246),"""",IF(D2246=""Cash"",B2246,IF(GOOGLEFINANCE(D2246,""CURRENCY"")=""GBX"",""GBP"",GOOGLEFINANCE(D2246,""CURRENCY"")))))),B2246)"),"")</f>
        <v/>
      </c>
      <c r="R2246" s="263" t="str">
        <f>IFERROR(__xludf.DUMMYFUNCTION("IF(ISBLANK(A2246),"""",IFERROR(IF(OR(Q2246=""GPB"",Q2246=""ZAR""),IF(Q2246=Dashboard!$L$1,K2246,(K2246*GOOGLEFINANCE(""CURRENCY:""&amp;Q2246&amp;""""&amp;Dashboard!$L$1&amp;""""))/100),IF(Q2246=Dashboard!$L$1,K2246,K2246*GOOGLEFINANCE(""CURRENCY:""&amp;Q2246&amp;""""&amp;Dashboard!$"&amp;"L$1&amp;""""))),K2246))"),"")</f>
        <v/>
      </c>
      <c r="S2246" s="266" t="str">
        <f>IFERROR(__xludf.DUMMYFUNCTION("IF(ISBLANK(A2246),"""",IFERROR(IF(OR(Q2246=""GPB"",Q2246=""ZAR""),IF(Q2246=Dashboard!$L$1,M2246,(M2246*GOOGLEFINANCE(""CURRENCY:""&amp;Q2246&amp;""""&amp;Dashboard!$L$1&amp;""""))/100),IF(Q2246=Dashboard!$L$1,M2246,M2246*GOOGLEFINANCE(""CURRENCY:""&amp;Q2246&amp;""""&amp;Dashboard!$"&amp;"L$1&amp;""""))),M2246))"),"")</f>
        <v/>
      </c>
      <c r="T2246" s="264" t="str">
        <f t="shared" si="4"/>
        <v/>
      </c>
      <c r="U2246" s="264" t="str">
        <f t="shared" si="5"/>
        <v/>
      </c>
      <c r="V2246" s="264" t="str">
        <f t="shared" si="6"/>
        <v/>
      </c>
      <c r="W2246" s="267" t="str">
        <f t="shared" si="8"/>
        <v/>
      </c>
      <c r="X2246" s="264" t="str">
        <f t="shared" si="7"/>
        <v/>
      </c>
    </row>
    <row r="2247" ht="15.75" customHeight="1">
      <c r="A2247" s="258"/>
      <c r="B2247" s="258"/>
      <c r="C2247" s="269"/>
      <c r="D2247" s="258"/>
      <c r="E2247" s="258"/>
      <c r="F2247" s="258"/>
      <c r="G2247" s="258"/>
      <c r="H2247" s="271"/>
      <c r="I2247" s="258"/>
      <c r="J2247" s="272"/>
      <c r="K2247" s="260"/>
      <c r="L2247" s="261"/>
      <c r="M2247" s="262" t="str">
        <f t="shared" si="1"/>
        <v/>
      </c>
      <c r="N2247" s="263" t="str">
        <f t="shared" si="2"/>
        <v/>
      </c>
      <c r="O2247" s="264" t="str">
        <f t="shared" si="3"/>
        <v/>
      </c>
      <c r="P2247" s="265" t="str">
        <f>IFERROR(__xludf.DUMMYFUNCTION("IF(ISBLANK(A2247),"""",IFERROR(IF(H2247=""Sell"",VLOOKUP(9^99,FILTER({ROW(P$2:P2246),P$2:P2246},D$2:D2246=D2247),2),(VLOOKUP(9^99,FILTER({ROW(P$2:P2246),P$2:P2246},D$2:D2246=D2247),2)*VLOOKUP(9^99,FILTER({ROW(O$2:O2246),O$2:O2246},D$2:D2246=D2247),2)-N224"&amp;"7)/O2247),J2247))"),"")</f>
        <v/>
      </c>
      <c r="Q2247" s="264" t="str">
        <f>IFERROR(__xludf.DUMMYFUNCTION("IFERROR(IF(F2247=""Crypto"",B2247,(IF(ISBLANK(D2247),"""",IF(D2247=""Cash"",B2247,IF(GOOGLEFINANCE(D2247,""CURRENCY"")=""GBX"",""GBP"",GOOGLEFINANCE(D2247,""CURRENCY"")))))),B2247)"),"")</f>
        <v/>
      </c>
      <c r="R2247" s="263" t="str">
        <f>IFERROR(__xludf.DUMMYFUNCTION("IF(ISBLANK(A2247),"""",IFERROR(IF(OR(Q2247=""GPB"",Q2247=""ZAR""),IF(Q2247=Dashboard!$L$1,K2247,(K2247*GOOGLEFINANCE(""CURRENCY:""&amp;Q2247&amp;""""&amp;Dashboard!$L$1&amp;""""))/100),IF(Q2247=Dashboard!$L$1,K2247,K2247*GOOGLEFINANCE(""CURRENCY:""&amp;Q2247&amp;""""&amp;Dashboard!$"&amp;"L$1&amp;""""))),K2247))"),"")</f>
        <v/>
      </c>
      <c r="S2247" s="266" t="str">
        <f>IFERROR(__xludf.DUMMYFUNCTION("IF(ISBLANK(A2247),"""",IFERROR(IF(OR(Q2247=""GPB"",Q2247=""ZAR""),IF(Q2247=Dashboard!$L$1,M2247,(M2247*GOOGLEFINANCE(""CURRENCY:""&amp;Q2247&amp;""""&amp;Dashboard!$L$1&amp;""""))/100),IF(Q2247=Dashboard!$L$1,M2247,M2247*GOOGLEFINANCE(""CURRENCY:""&amp;Q2247&amp;""""&amp;Dashboard!$"&amp;"L$1&amp;""""))),M2247))"),"")</f>
        <v/>
      </c>
      <c r="T2247" s="264" t="str">
        <f t="shared" si="4"/>
        <v/>
      </c>
      <c r="U2247" s="264" t="str">
        <f t="shared" si="5"/>
        <v/>
      </c>
      <c r="V2247" s="264" t="str">
        <f t="shared" si="6"/>
        <v/>
      </c>
      <c r="W2247" s="267" t="str">
        <f t="shared" si="8"/>
        <v/>
      </c>
      <c r="X2247" s="264" t="str">
        <f t="shared" si="7"/>
        <v/>
      </c>
    </row>
    <row r="2248" ht="15.75" customHeight="1">
      <c r="A2248" s="258"/>
      <c r="B2248" s="258"/>
      <c r="C2248" s="269"/>
      <c r="D2248" s="258"/>
      <c r="E2248" s="258"/>
      <c r="F2248" s="258"/>
      <c r="G2248" s="258"/>
      <c r="H2248" s="271"/>
      <c r="I2248" s="258"/>
      <c r="J2248" s="272"/>
      <c r="K2248" s="260"/>
      <c r="L2248" s="261"/>
      <c r="M2248" s="262" t="str">
        <f t="shared" si="1"/>
        <v/>
      </c>
      <c r="N2248" s="263" t="str">
        <f t="shared" si="2"/>
        <v/>
      </c>
      <c r="O2248" s="264" t="str">
        <f t="shared" si="3"/>
        <v/>
      </c>
      <c r="P2248" s="265" t="str">
        <f>IFERROR(__xludf.DUMMYFUNCTION("IF(ISBLANK(A2248),"""",IFERROR(IF(H2248=""Sell"",VLOOKUP(9^99,FILTER({ROW(P$2:P2247),P$2:P2247},D$2:D2247=D2248),2),(VLOOKUP(9^99,FILTER({ROW(P$2:P2247),P$2:P2247},D$2:D2247=D2248),2)*VLOOKUP(9^99,FILTER({ROW(O$2:O2247),O$2:O2247},D$2:D2247=D2248),2)-N224"&amp;"8)/O2248),J2248))"),"")</f>
        <v/>
      </c>
      <c r="Q2248" s="264" t="str">
        <f>IFERROR(__xludf.DUMMYFUNCTION("IFERROR(IF(F2248=""Crypto"",B2248,(IF(ISBLANK(D2248),"""",IF(D2248=""Cash"",B2248,IF(GOOGLEFINANCE(D2248,""CURRENCY"")=""GBX"",""GBP"",GOOGLEFINANCE(D2248,""CURRENCY"")))))),B2248)"),"")</f>
        <v/>
      </c>
      <c r="R2248" s="263" t="str">
        <f>IFERROR(__xludf.DUMMYFUNCTION("IF(ISBLANK(A2248),"""",IFERROR(IF(OR(Q2248=""GPB"",Q2248=""ZAR""),IF(Q2248=Dashboard!$L$1,K2248,(K2248*GOOGLEFINANCE(""CURRENCY:""&amp;Q2248&amp;""""&amp;Dashboard!$L$1&amp;""""))/100),IF(Q2248=Dashboard!$L$1,K2248,K2248*GOOGLEFINANCE(""CURRENCY:""&amp;Q2248&amp;""""&amp;Dashboard!$"&amp;"L$1&amp;""""))),K2248))"),"")</f>
        <v/>
      </c>
      <c r="S2248" s="266" t="str">
        <f>IFERROR(__xludf.DUMMYFUNCTION("IF(ISBLANK(A2248),"""",IFERROR(IF(OR(Q2248=""GPB"",Q2248=""ZAR""),IF(Q2248=Dashboard!$L$1,M2248,(M2248*GOOGLEFINANCE(""CURRENCY:""&amp;Q2248&amp;""""&amp;Dashboard!$L$1&amp;""""))/100),IF(Q2248=Dashboard!$L$1,M2248,M2248*GOOGLEFINANCE(""CURRENCY:""&amp;Q2248&amp;""""&amp;Dashboard!$"&amp;"L$1&amp;""""))),M2248))"),"")</f>
        <v/>
      </c>
      <c r="T2248" s="264" t="str">
        <f t="shared" si="4"/>
        <v/>
      </c>
      <c r="U2248" s="264" t="str">
        <f t="shared" si="5"/>
        <v/>
      </c>
      <c r="V2248" s="264" t="str">
        <f t="shared" si="6"/>
        <v/>
      </c>
      <c r="W2248" s="267" t="str">
        <f t="shared" si="8"/>
        <v/>
      </c>
      <c r="X2248" s="264" t="str">
        <f t="shared" si="7"/>
        <v/>
      </c>
    </row>
    <row r="2249" ht="15.75" customHeight="1">
      <c r="A2249" s="258"/>
      <c r="B2249" s="258"/>
      <c r="C2249" s="269"/>
      <c r="D2249" s="258"/>
      <c r="E2249" s="258"/>
      <c r="F2249" s="258"/>
      <c r="G2249" s="258"/>
      <c r="H2249" s="271"/>
      <c r="I2249" s="258"/>
      <c r="J2249" s="272"/>
      <c r="K2249" s="260"/>
      <c r="L2249" s="261"/>
      <c r="M2249" s="262" t="str">
        <f t="shared" si="1"/>
        <v/>
      </c>
      <c r="N2249" s="263" t="str">
        <f t="shared" si="2"/>
        <v/>
      </c>
      <c r="O2249" s="264" t="str">
        <f t="shared" si="3"/>
        <v/>
      </c>
      <c r="P2249" s="265" t="str">
        <f>IFERROR(__xludf.DUMMYFUNCTION("IF(ISBLANK(A2249),"""",IFERROR(IF(H2249=""Sell"",VLOOKUP(9^99,FILTER({ROW(P$2:P2248),P$2:P2248},D$2:D2248=D2249),2),(VLOOKUP(9^99,FILTER({ROW(P$2:P2248),P$2:P2248},D$2:D2248=D2249),2)*VLOOKUP(9^99,FILTER({ROW(O$2:O2248),O$2:O2248},D$2:D2248=D2249),2)-N224"&amp;"9)/O2249),J2249))"),"")</f>
        <v/>
      </c>
      <c r="Q2249" s="264" t="str">
        <f>IFERROR(__xludf.DUMMYFUNCTION("IFERROR(IF(F2249=""Crypto"",B2249,(IF(ISBLANK(D2249),"""",IF(D2249=""Cash"",B2249,IF(GOOGLEFINANCE(D2249,""CURRENCY"")=""GBX"",""GBP"",GOOGLEFINANCE(D2249,""CURRENCY"")))))),B2249)"),"")</f>
        <v/>
      </c>
      <c r="R2249" s="263" t="str">
        <f>IFERROR(__xludf.DUMMYFUNCTION("IF(ISBLANK(A2249),"""",IFERROR(IF(OR(Q2249=""GPB"",Q2249=""ZAR""),IF(Q2249=Dashboard!$L$1,K2249,(K2249*GOOGLEFINANCE(""CURRENCY:""&amp;Q2249&amp;""""&amp;Dashboard!$L$1&amp;""""))/100),IF(Q2249=Dashboard!$L$1,K2249,K2249*GOOGLEFINANCE(""CURRENCY:""&amp;Q2249&amp;""""&amp;Dashboard!$"&amp;"L$1&amp;""""))),K2249))"),"")</f>
        <v/>
      </c>
      <c r="S2249" s="266" t="str">
        <f>IFERROR(__xludf.DUMMYFUNCTION("IF(ISBLANK(A2249),"""",IFERROR(IF(OR(Q2249=""GPB"",Q2249=""ZAR""),IF(Q2249=Dashboard!$L$1,M2249,(M2249*GOOGLEFINANCE(""CURRENCY:""&amp;Q2249&amp;""""&amp;Dashboard!$L$1&amp;""""))/100),IF(Q2249=Dashboard!$L$1,M2249,M2249*GOOGLEFINANCE(""CURRENCY:""&amp;Q2249&amp;""""&amp;Dashboard!$"&amp;"L$1&amp;""""))),M2249))"),"")</f>
        <v/>
      </c>
      <c r="T2249" s="264" t="str">
        <f t="shared" si="4"/>
        <v/>
      </c>
      <c r="U2249" s="264" t="str">
        <f t="shared" si="5"/>
        <v/>
      </c>
      <c r="V2249" s="264" t="str">
        <f t="shared" si="6"/>
        <v/>
      </c>
      <c r="W2249" s="267" t="str">
        <f t="shared" si="8"/>
        <v/>
      </c>
      <c r="X2249" s="264" t="str">
        <f t="shared" si="7"/>
        <v/>
      </c>
    </row>
    <row r="2250" ht="15.75" customHeight="1">
      <c r="A2250" s="258"/>
      <c r="B2250" s="258"/>
      <c r="C2250" s="269"/>
      <c r="D2250" s="258"/>
      <c r="E2250" s="258"/>
      <c r="F2250" s="258"/>
      <c r="G2250" s="258"/>
      <c r="H2250" s="271"/>
      <c r="I2250" s="258"/>
      <c r="J2250" s="272"/>
      <c r="K2250" s="260"/>
      <c r="L2250" s="261"/>
      <c r="M2250" s="262" t="str">
        <f t="shared" si="1"/>
        <v/>
      </c>
      <c r="N2250" s="263" t="str">
        <f t="shared" si="2"/>
        <v/>
      </c>
      <c r="O2250" s="264" t="str">
        <f t="shared" si="3"/>
        <v/>
      </c>
      <c r="P2250" s="265" t="str">
        <f>IFERROR(__xludf.DUMMYFUNCTION("IF(ISBLANK(A2250),"""",IFERROR(IF(H2250=""Sell"",VLOOKUP(9^99,FILTER({ROW(P$2:P2249),P$2:P2249},D$2:D2249=D2250),2),(VLOOKUP(9^99,FILTER({ROW(P$2:P2249),P$2:P2249},D$2:D2249=D2250),2)*VLOOKUP(9^99,FILTER({ROW(O$2:O2249),O$2:O2249},D$2:D2249=D2250),2)-N225"&amp;"0)/O2250),J2250))"),"")</f>
        <v/>
      </c>
      <c r="Q2250" s="264" t="str">
        <f>IFERROR(__xludf.DUMMYFUNCTION("IFERROR(IF(F2250=""Crypto"",B2250,(IF(ISBLANK(D2250),"""",IF(D2250=""Cash"",B2250,IF(GOOGLEFINANCE(D2250,""CURRENCY"")=""GBX"",""GBP"",GOOGLEFINANCE(D2250,""CURRENCY"")))))),B2250)"),"")</f>
        <v/>
      </c>
      <c r="R2250" s="263" t="str">
        <f>IFERROR(__xludf.DUMMYFUNCTION("IF(ISBLANK(A2250),"""",IFERROR(IF(OR(Q2250=""GPB"",Q2250=""ZAR""),IF(Q2250=Dashboard!$L$1,K2250,(K2250*GOOGLEFINANCE(""CURRENCY:""&amp;Q2250&amp;""""&amp;Dashboard!$L$1&amp;""""))/100),IF(Q2250=Dashboard!$L$1,K2250,K2250*GOOGLEFINANCE(""CURRENCY:""&amp;Q2250&amp;""""&amp;Dashboard!$"&amp;"L$1&amp;""""))),K2250))"),"")</f>
        <v/>
      </c>
      <c r="S2250" s="266" t="str">
        <f>IFERROR(__xludf.DUMMYFUNCTION("IF(ISBLANK(A2250),"""",IFERROR(IF(OR(Q2250=""GPB"",Q2250=""ZAR""),IF(Q2250=Dashboard!$L$1,M2250,(M2250*GOOGLEFINANCE(""CURRENCY:""&amp;Q2250&amp;""""&amp;Dashboard!$L$1&amp;""""))/100),IF(Q2250=Dashboard!$L$1,M2250,M2250*GOOGLEFINANCE(""CURRENCY:""&amp;Q2250&amp;""""&amp;Dashboard!$"&amp;"L$1&amp;""""))),M2250))"),"")</f>
        <v/>
      </c>
      <c r="T2250" s="264" t="str">
        <f t="shared" si="4"/>
        <v/>
      </c>
      <c r="U2250" s="264" t="str">
        <f t="shared" si="5"/>
        <v/>
      </c>
      <c r="V2250" s="264" t="str">
        <f t="shared" si="6"/>
        <v/>
      </c>
      <c r="W2250" s="267" t="str">
        <f t="shared" si="8"/>
        <v/>
      </c>
      <c r="X2250" s="264" t="str">
        <f t="shared" si="7"/>
        <v/>
      </c>
    </row>
    <row r="2251" ht="15.75" customHeight="1">
      <c r="A2251" s="258"/>
      <c r="B2251" s="258"/>
      <c r="C2251" s="269"/>
      <c r="D2251" s="258"/>
      <c r="E2251" s="258"/>
      <c r="F2251" s="258"/>
      <c r="G2251" s="258"/>
      <c r="H2251" s="271"/>
      <c r="I2251" s="258"/>
      <c r="J2251" s="272"/>
      <c r="K2251" s="260"/>
      <c r="L2251" s="261"/>
      <c r="M2251" s="262" t="str">
        <f t="shared" si="1"/>
        <v/>
      </c>
      <c r="N2251" s="263" t="str">
        <f t="shared" si="2"/>
        <v/>
      </c>
      <c r="O2251" s="264" t="str">
        <f t="shared" si="3"/>
        <v/>
      </c>
      <c r="P2251" s="265" t="str">
        <f>IFERROR(__xludf.DUMMYFUNCTION("IF(ISBLANK(A2251),"""",IFERROR(IF(H2251=""Sell"",VLOOKUP(9^99,FILTER({ROW(P$2:P2250),P$2:P2250},D$2:D2250=D2251),2),(VLOOKUP(9^99,FILTER({ROW(P$2:P2250),P$2:P2250},D$2:D2250=D2251),2)*VLOOKUP(9^99,FILTER({ROW(O$2:O2250),O$2:O2250},D$2:D2250=D2251),2)-N225"&amp;"1)/O2251),J2251))"),"")</f>
        <v/>
      </c>
      <c r="Q2251" s="264" t="str">
        <f>IFERROR(__xludf.DUMMYFUNCTION("IFERROR(IF(F2251=""Crypto"",B2251,(IF(ISBLANK(D2251),"""",IF(D2251=""Cash"",B2251,IF(GOOGLEFINANCE(D2251,""CURRENCY"")=""GBX"",""GBP"",GOOGLEFINANCE(D2251,""CURRENCY"")))))),B2251)"),"")</f>
        <v/>
      </c>
      <c r="R2251" s="263" t="str">
        <f>IFERROR(__xludf.DUMMYFUNCTION("IF(ISBLANK(A2251),"""",IFERROR(IF(OR(Q2251=""GPB"",Q2251=""ZAR""),IF(Q2251=Dashboard!$L$1,K2251,(K2251*GOOGLEFINANCE(""CURRENCY:""&amp;Q2251&amp;""""&amp;Dashboard!$L$1&amp;""""))/100),IF(Q2251=Dashboard!$L$1,K2251,K2251*GOOGLEFINANCE(""CURRENCY:""&amp;Q2251&amp;""""&amp;Dashboard!$"&amp;"L$1&amp;""""))),K2251))"),"")</f>
        <v/>
      </c>
      <c r="S2251" s="266" t="str">
        <f>IFERROR(__xludf.DUMMYFUNCTION("IF(ISBLANK(A2251),"""",IFERROR(IF(OR(Q2251=""GPB"",Q2251=""ZAR""),IF(Q2251=Dashboard!$L$1,M2251,(M2251*GOOGLEFINANCE(""CURRENCY:""&amp;Q2251&amp;""""&amp;Dashboard!$L$1&amp;""""))/100),IF(Q2251=Dashboard!$L$1,M2251,M2251*GOOGLEFINANCE(""CURRENCY:""&amp;Q2251&amp;""""&amp;Dashboard!$"&amp;"L$1&amp;""""))),M2251))"),"")</f>
        <v/>
      </c>
      <c r="T2251" s="264" t="str">
        <f t="shared" si="4"/>
        <v/>
      </c>
      <c r="U2251" s="264" t="str">
        <f t="shared" si="5"/>
        <v/>
      </c>
      <c r="V2251" s="264" t="str">
        <f t="shared" si="6"/>
        <v/>
      </c>
      <c r="W2251" s="267" t="str">
        <f t="shared" si="8"/>
        <v/>
      </c>
      <c r="X2251" s="264" t="str">
        <f t="shared" si="7"/>
        <v/>
      </c>
    </row>
    <row r="2252" ht="15.75" customHeight="1">
      <c r="A2252" s="258"/>
      <c r="B2252" s="258"/>
      <c r="C2252" s="269"/>
      <c r="D2252" s="258"/>
      <c r="E2252" s="258"/>
      <c r="F2252" s="258"/>
      <c r="G2252" s="258"/>
      <c r="H2252" s="271"/>
      <c r="I2252" s="258"/>
      <c r="J2252" s="272"/>
      <c r="K2252" s="260"/>
      <c r="L2252" s="261"/>
      <c r="M2252" s="262" t="str">
        <f t="shared" si="1"/>
        <v/>
      </c>
      <c r="N2252" s="263" t="str">
        <f t="shared" si="2"/>
        <v/>
      </c>
      <c r="O2252" s="264" t="str">
        <f t="shared" si="3"/>
        <v/>
      </c>
      <c r="P2252" s="265" t="str">
        <f>IFERROR(__xludf.DUMMYFUNCTION("IF(ISBLANK(A2252),"""",IFERROR(IF(H2252=""Sell"",VLOOKUP(9^99,FILTER({ROW(P$2:P2251),P$2:P2251},D$2:D2251=D2252),2),(VLOOKUP(9^99,FILTER({ROW(P$2:P2251),P$2:P2251},D$2:D2251=D2252),2)*VLOOKUP(9^99,FILTER({ROW(O$2:O2251),O$2:O2251},D$2:D2251=D2252),2)-N225"&amp;"2)/O2252),J2252))"),"")</f>
        <v/>
      </c>
      <c r="Q2252" s="264" t="str">
        <f>IFERROR(__xludf.DUMMYFUNCTION("IFERROR(IF(F2252=""Crypto"",B2252,(IF(ISBLANK(D2252),"""",IF(D2252=""Cash"",B2252,IF(GOOGLEFINANCE(D2252,""CURRENCY"")=""GBX"",""GBP"",GOOGLEFINANCE(D2252,""CURRENCY"")))))),B2252)"),"")</f>
        <v/>
      </c>
      <c r="R2252" s="263" t="str">
        <f>IFERROR(__xludf.DUMMYFUNCTION("IF(ISBLANK(A2252),"""",IFERROR(IF(OR(Q2252=""GPB"",Q2252=""ZAR""),IF(Q2252=Dashboard!$L$1,K2252,(K2252*GOOGLEFINANCE(""CURRENCY:""&amp;Q2252&amp;""""&amp;Dashboard!$L$1&amp;""""))/100),IF(Q2252=Dashboard!$L$1,K2252,K2252*GOOGLEFINANCE(""CURRENCY:""&amp;Q2252&amp;""""&amp;Dashboard!$"&amp;"L$1&amp;""""))),K2252))"),"")</f>
        <v/>
      </c>
      <c r="S2252" s="266" t="str">
        <f>IFERROR(__xludf.DUMMYFUNCTION("IF(ISBLANK(A2252),"""",IFERROR(IF(OR(Q2252=""GPB"",Q2252=""ZAR""),IF(Q2252=Dashboard!$L$1,M2252,(M2252*GOOGLEFINANCE(""CURRENCY:""&amp;Q2252&amp;""""&amp;Dashboard!$L$1&amp;""""))/100),IF(Q2252=Dashboard!$L$1,M2252,M2252*GOOGLEFINANCE(""CURRENCY:""&amp;Q2252&amp;""""&amp;Dashboard!$"&amp;"L$1&amp;""""))),M2252))"),"")</f>
        <v/>
      </c>
      <c r="T2252" s="264" t="str">
        <f t="shared" si="4"/>
        <v/>
      </c>
      <c r="U2252" s="264" t="str">
        <f t="shared" si="5"/>
        <v/>
      </c>
      <c r="V2252" s="264" t="str">
        <f t="shared" si="6"/>
        <v/>
      </c>
      <c r="W2252" s="267" t="str">
        <f t="shared" si="8"/>
        <v/>
      </c>
      <c r="X2252" s="264" t="str">
        <f t="shared" si="7"/>
        <v/>
      </c>
    </row>
    <row r="2253" ht="15.75" customHeight="1">
      <c r="A2253" s="258"/>
      <c r="B2253" s="258"/>
      <c r="C2253" s="269"/>
      <c r="D2253" s="258"/>
      <c r="E2253" s="258"/>
      <c r="F2253" s="258"/>
      <c r="G2253" s="258"/>
      <c r="H2253" s="271"/>
      <c r="I2253" s="258"/>
      <c r="J2253" s="272"/>
      <c r="K2253" s="260"/>
      <c r="L2253" s="261"/>
      <c r="M2253" s="262" t="str">
        <f t="shared" si="1"/>
        <v/>
      </c>
      <c r="N2253" s="263" t="str">
        <f t="shared" si="2"/>
        <v/>
      </c>
      <c r="O2253" s="264" t="str">
        <f t="shared" si="3"/>
        <v/>
      </c>
      <c r="P2253" s="265" t="str">
        <f>IFERROR(__xludf.DUMMYFUNCTION("IF(ISBLANK(A2253),"""",IFERROR(IF(H2253=""Sell"",VLOOKUP(9^99,FILTER({ROW(P$2:P2252),P$2:P2252},D$2:D2252=D2253),2),(VLOOKUP(9^99,FILTER({ROW(P$2:P2252),P$2:P2252},D$2:D2252=D2253),2)*VLOOKUP(9^99,FILTER({ROW(O$2:O2252),O$2:O2252},D$2:D2252=D2253),2)-N225"&amp;"3)/O2253),J2253))"),"")</f>
        <v/>
      </c>
      <c r="Q2253" s="264" t="str">
        <f>IFERROR(__xludf.DUMMYFUNCTION("IFERROR(IF(F2253=""Crypto"",B2253,(IF(ISBLANK(D2253),"""",IF(D2253=""Cash"",B2253,IF(GOOGLEFINANCE(D2253,""CURRENCY"")=""GBX"",""GBP"",GOOGLEFINANCE(D2253,""CURRENCY"")))))),B2253)"),"")</f>
        <v/>
      </c>
      <c r="R2253" s="263" t="str">
        <f>IFERROR(__xludf.DUMMYFUNCTION("IF(ISBLANK(A2253),"""",IFERROR(IF(OR(Q2253=""GPB"",Q2253=""ZAR""),IF(Q2253=Dashboard!$L$1,K2253,(K2253*GOOGLEFINANCE(""CURRENCY:""&amp;Q2253&amp;""""&amp;Dashboard!$L$1&amp;""""))/100),IF(Q2253=Dashboard!$L$1,K2253,K2253*GOOGLEFINANCE(""CURRENCY:""&amp;Q2253&amp;""""&amp;Dashboard!$"&amp;"L$1&amp;""""))),K2253))"),"")</f>
        <v/>
      </c>
      <c r="S2253" s="266" t="str">
        <f>IFERROR(__xludf.DUMMYFUNCTION("IF(ISBLANK(A2253),"""",IFERROR(IF(OR(Q2253=""GPB"",Q2253=""ZAR""),IF(Q2253=Dashboard!$L$1,M2253,(M2253*GOOGLEFINANCE(""CURRENCY:""&amp;Q2253&amp;""""&amp;Dashboard!$L$1&amp;""""))/100),IF(Q2253=Dashboard!$L$1,M2253,M2253*GOOGLEFINANCE(""CURRENCY:""&amp;Q2253&amp;""""&amp;Dashboard!$"&amp;"L$1&amp;""""))),M2253))"),"")</f>
        <v/>
      </c>
      <c r="T2253" s="264" t="str">
        <f t="shared" si="4"/>
        <v/>
      </c>
      <c r="U2253" s="264" t="str">
        <f t="shared" si="5"/>
        <v/>
      </c>
      <c r="V2253" s="264" t="str">
        <f t="shared" si="6"/>
        <v/>
      </c>
      <c r="W2253" s="267" t="str">
        <f t="shared" si="8"/>
        <v/>
      </c>
      <c r="X2253" s="264" t="str">
        <f t="shared" si="7"/>
        <v/>
      </c>
    </row>
    <row r="2254" ht="15.75" customHeight="1">
      <c r="A2254" s="258"/>
      <c r="B2254" s="258"/>
      <c r="C2254" s="269"/>
      <c r="D2254" s="258"/>
      <c r="E2254" s="258"/>
      <c r="F2254" s="258"/>
      <c r="G2254" s="258"/>
      <c r="H2254" s="271"/>
      <c r="I2254" s="258"/>
      <c r="J2254" s="272"/>
      <c r="K2254" s="260"/>
      <c r="L2254" s="261"/>
      <c r="M2254" s="262" t="str">
        <f t="shared" si="1"/>
        <v/>
      </c>
      <c r="N2254" s="263" t="str">
        <f t="shared" si="2"/>
        <v/>
      </c>
      <c r="O2254" s="264" t="str">
        <f t="shared" si="3"/>
        <v/>
      </c>
      <c r="P2254" s="265" t="str">
        <f>IFERROR(__xludf.DUMMYFUNCTION("IF(ISBLANK(A2254),"""",IFERROR(IF(H2254=""Sell"",VLOOKUP(9^99,FILTER({ROW(P$2:P2253),P$2:P2253},D$2:D2253=D2254),2),(VLOOKUP(9^99,FILTER({ROW(P$2:P2253),P$2:P2253},D$2:D2253=D2254),2)*VLOOKUP(9^99,FILTER({ROW(O$2:O2253),O$2:O2253},D$2:D2253=D2254),2)-N225"&amp;"4)/O2254),J2254))"),"")</f>
        <v/>
      </c>
      <c r="Q2254" s="264" t="str">
        <f>IFERROR(__xludf.DUMMYFUNCTION("IFERROR(IF(F2254=""Crypto"",B2254,(IF(ISBLANK(D2254),"""",IF(D2254=""Cash"",B2254,IF(GOOGLEFINANCE(D2254,""CURRENCY"")=""GBX"",""GBP"",GOOGLEFINANCE(D2254,""CURRENCY"")))))),B2254)"),"")</f>
        <v/>
      </c>
      <c r="R2254" s="263" t="str">
        <f>IFERROR(__xludf.DUMMYFUNCTION("IF(ISBLANK(A2254),"""",IFERROR(IF(OR(Q2254=""GPB"",Q2254=""ZAR""),IF(Q2254=Dashboard!$L$1,K2254,(K2254*GOOGLEFINANCE(""CURRENCY:""&amp;Q2254&amp;""""&amp;Dashboard!$L$1&amp;""""))/100),IF(Q2254=Dashboard!$L$1,K2254,K2254*GOOGLEFINANCE(""CURRENCY:""&amp;Q2254&amp;""""&amp;Dashboard!$"&amp;"L$1&amp;""""))),K2254))"),"")</f>
        <v/>
      </c>
      <c r="S2254" s="266" t="str">
        <f>IFERROR(__xludf.DUMMYFUNCTION("IF(ISBLANK(A2254),"""",IFERROR(IF(OR(Q2254=""GPB"",Q2254=""ZAR""),IF(Q2254=Dashboard!$L$1,M2254,(M2254*GOOGLEFINANCE(""CURRENCY:""&amp;Q2254&amp;""""&amp;Dashboard!$L$1&amp;""""))/100),IF(Q2254=Dashboard!$L$1,M2254,M2254*GOOGLEFINANCE(""CURRENCY:""&amp;Q2254&amp;""""&amp;Dashboard!$"&amp;"L$1&amp;""""))),M2254))"),"")</f>
        <v/>
      </c>
      <c r="T2254" s="264" t="str">
        <f t="shared" si="4"/>
        <v/>
      </c>
      <c r="U2254" s="264" t="str">
        <f t="shared" si="5"/>
        <v/>
      </c>
      <c r="V2254" s="264" t="str">
        <f t="shared" si="6"/>
        <v/>
      </c>
      <c r="W2254" s="267" t="str">
        <f t="shared" si="8"/>
        <v/>
      </c>
      <c r="X2254" s="264" t="str">
        <f t="shared" si="7"/>
        <v/>
      </c>
    </row>
    <row r="2255" ht="15.75" customHeight="1">
      <c r="A2255" s="258"/>
      <c r="B2255" s="258"/>
      <c r="C2255" s="269"/>
      <c r="D2255" s="258"/>
      <c r="E2255" s="258"/>
      <c r="F2255" s="258"/>
      <c r="G2255" s="258"/>
      <c r="H2255" s="271"/>
      <c r="I2255" s="258"/>
      <c r="J2255" s="272"/>
      <c r="K2255" s="260"/>
      <c r="L2255" s="261"/>
      <c r="M2255" s="262" t="str">
        <f t="shared" si="1"/>
        <v/>
      </c>
      <c r="N2255" s="263" t="str">
        <f t="shared" si="2"/>
        <v/>
      </c>
      <c r="O2255" s="264" t="str">
        <f t="shared" si="3"/>
        <v/>
      </c>
      <c r="P2255" s="265" t="str">
        <f>IFERROR(__xludf.DUMMYFUNCTION("IF(ISBLANK(A2255),"""",IFERROR(IF(H2255=""Sell"",VLOOKUP(9^99,FILTER({ROW(P$2:P2254),P$2:P2254},D$2:D2254=D2255),2),(VLOOKUP(9^99,FILTER({ROW(P$2:P2254),P$2:P2254},D$2:D2254=D2255),2)*VLOOKUP(9^99,FILTER({ROW(O$2:O2254),O$2:O2254},D$2:D2254=D2255),2)-N225"&amp;"5)/O2255),J2255))"),"")</f>
        <v/>
      </c>
      <c r="Q2255" s="264" t="str">
        <f>IFERROR(__xludf.DUMMYFUNCTION("IFERROR(IF(F2255=""Crypto"",B2255,(IF(ISBLANK(D2255),"""",IF(D2255=""Cash"",B2255,IF(GOOGLEFINANCE(D2255,""CURRENCY"")=""GBX"",""GBP"",GOOGLEFINANCE(D2255,""CURRENCY"")))))),B2255)"),"")</f>
        <v/>
      </c>
      <c r="R2255" s="263" t="str">
        <f>IFERROR(__xludf.DUMMYFUNCTION("IF(ISBLANK(A2255),"""",IFERROR(IF(OR(Q2255=""GPB"",Q2255=""ZAR""),IF(Q2255=Dashboard!$L$1,K2255,(K2255*GOOGLEFINANCE(""CURRENCY:""&amp;Q2255&amp;""""&amp;Dashboard!$L$1&amp;""""))/100),IF(Q2255=Dashboard!$L$1,K2255,K2255*GOOGLEFINANCE(""CURRENCY:""&amp;Q2255&amp;""""&amp;Dashboard!$"&amp;"L$1&amp;""""))),K2255))"),"")</f>
        <v/>
      </c>
      <c r="S2255" s="266" t="str">
        <f>IFERROR(__xludf.DUMMYFUNCTION("IF(ISBLANK(A2255),"""",IFERROR(IF(OR(Q2255=""GPB"",Q2255=""ZAR""),IF(Q2255=Dashboard!$L$1,M2255,(M2255*GOOGLEFINANCE(""CURRENCY:""&amp;Q2255&amp;""""&amp;Dashboard!$L$1&amp;""""))/100),IF(Q2255=Dashboard!$L$1,M2255,M2255*GOOGLEFINANCE(""CURRENCY:""&amp;Q2255&amp;""""&amp;Dashboard!$"&amp;"L$1&amp;""""))),M2255))"),"")</f>
        <v/>
      </c>
      <c r="T2255" s="264" t="str">
        <f t="shared" si="4"/>
        <v/>
      </c>
      <c r="U2255" s="264" t="str">
        <f t="shared" si="5"/>
        <v/>
      </c>
      <c r="V2255" s="264" t="str">
        <f t="shared" si="6"/>
        <v/>
      </c>
      <c r="W2255" s="267" t="str">
        <f t="shared" si="8"/>
        <v/>
      </c>
      <c r="X2255" s="264" t="str">
        <f t="shared" si="7"/>
        <v/>
      </c>
    </row>
    <row r="2256" ht="15.75" customHeight="1">
      <c r="A2256" s="258"/>
      <c r="B2256" s="258"/>
      <c r="C2256" s="269"/>
      <c r="D2256" s="258"/>
      <c r="E2256" s="258"/>
      <c r="F2256" s="258"/>
      <c r="G2256" s="258"/>
      <c r="H2256" s="271"/>
      <c r="I2256" s="258"/>
      <c r="J2256" s="272"/>
      <c r="K2256" s="260"/>
      <c r="L2256" s="261"/>
      <c r="M2256" s="262" t="str">
        <f t="shared" si="1"/>
        <v/>
      </c>
      <c r="N2256" s="263" t="str">
        <f t="shared" si="2"/>
        <v/>
      </c>
      <c r="O2256" s="264" t="str">
        <f t="shared" si="3"/>
        <v/>
      </c>
      <c r="P2256" s="265" t="str">
        <f>IFERROR(__xludf.DUMMYFUNCTION("IF(ISBLANK(A2256),"""",IFERROR(IF(H2256=""Sell"",VLOOKUP(9^99,FILTER({ROW(P$2:P2255),P$2:P2255},D$2:D2255=D2256),2),(VLOOKUP(9^99,FILTER({ROW(P$2:P2255),P$2:P2255},D$2:D2255=D2256),2)*VLOOKUP(9^99,FILTER({ROW(O$2:O2255),O$2:O2255},D$2:D2255=D2256),2)-N225"&amp;"6)/O2256),J2256))"),"")</f>
        <v/>
      </c>
      <c r="Q2256" s="264" t="str">
        <f>IFERROR(__xludf.DUMMYFUNCTION("IFERROR(IF(F2256=""Crypto"",B2256,(IF(ISBLANK(D2256),"""",IF(D2256=""Cash"",B2256,IF(GOOGLEFINANCE(D2256,""CURRENCY"")=""GBX"",""GBP"",GOOGLEFINANCE(D2256,""CURRENCY"")))))),B2256)"),"")</f>
        <v/>
      </c>
      <c r="R2256" s="263" t="str">
        <f>IFERROR(__xludf.DUMMYFUNCTION("IF(ISBLANK(A2256),"""",IFERROR(IF(OR(Q2256=""GPB"",Q2256=""ZAR""),IF(Q2256=Dashboard!$L$1,K2256,(K2256*GOOGLEFINANCE(""CURRENCY:""&amp;Q2256&amp;""""&amp;Dashboard!$L$1&amp;""""))/100),IF(Q2256=Dashboard!$L$1,K2256,K2256*GOOGLEFINANCE(""CURRENCY:""&amp;Q2256&amp;""""&amp;Dashboard!$"&amp;"L$1&amp;""""))),K2256))"),"")</f>
        <v/>
      </c>
      <c r="S2256" s="266" t="str">
        <f>IFERROR(__xludf.DUMMYFUNCTION("IF(ISBLANK(A2256),"""",IFERROR(IF(OR(Q2256=""GPB"",Q2256=""ZAR""),IF(Q2256=Dashboard!$L$1,M2256,(M2256*GOOGLEFINANCE(""CURRENCY:""&amp;Q2256&amp;""""&amp;Dashboard!$L$1&amp;""""))/100),IF(Q2256=Dashboard!$L$1,M2256,M2256*GOOGLEFINANCE(""CURRENCY:""&amp;Q2256&amp;""""&amp;Dashboard!$"&amp;"L$1&amp;""""))),M2256))"),"")</f>
        <v/>
      </c>
      <c r="T2256" s="264" t="str">
        <f t="shared" si="4"/>
        <v/>
      </c>
      <c r="U2256" s="264" t="str">
        <f t="shared" si="5"/>
        <v/>
      </c>
      <c r="V2256" s="264" t="str">
        <f t="shared" si="6"/>
        <v/>
      </c>
      <c r="W2256" s="267" t="str">
        <f t="shared" si="8"/>
        <v/>
      </c>
      <c r="X2256" s="264" t="str">
        <f t="shared" si="7"/>
        <v/>
      </c>
    </row>
    <row r="2257" ht="15.75" customHeight="1">
      <c r="A2257" s="258"/>
      <c r="B2257" s="258"/>
      <c r="C2257" s="269"/>
      <c r="D2257" s="258"/>
      <c r="E2257" s="258"/>
      <c r="F2257" s="258"/>
      <c r="G2257" s="258"/>
      <c r="H2257" s="271"/>
      <c r="I2257" s="258"/>
      <c r="J2257" s="272"/>
      <c r="K2257" s="260"/>
      <c r="L2257" s="261"/>
      <c r="M2257" s="262" t="str">
        <f t="shared" si="1"/>
        <v/>
      </c>
      <c r="N2257" s="263" t="str">
        <f t="shared" si="2"/>
        <v/>
      </c>
      <c r="O2257" s="264" t="str">
        <f t="shared" si="3"/>
        <v/>
      </c>
      <c r="P2257" s="265" t="str">
        <f>IFERROR(__xludf.DUMMYFUNCTION("IF(ISBLANK(A2257),"""",IFERROR(IF(H2257=""Sell"",VLOOKUP(9^99,FILTER({ROW(P$2:P2256),P$2:P2256},D$2:D2256=D2257),2),(VLOOKUP(9^99,FILTER({ROW(P$2:P2256),P$2:P2256},D$2:D2256=D2257),2)*VLOOKUP(9^99,FILTER({ROW(O$2:O2256),O$2:O2256},D$2:D2256=D2257),2)-N225"&amp;"7)/O2257),J2257))"),"")</f>
        <v/>
      </c>
      <c r="Q2257" s="264" t="str">
        <f>IFERROR(__xludf.DUMMYFUNCTION("IFERROR(IF(F2257=""Crypto"",B2257,(IF(ISBLANK(D2257),"""",IF(D2257=""Cash"",B2257,IF(GOOGLEFINANCE(D2257,""CURRENCY"")=""GBX"",""GBP"",GOOGLEFINANCE(D2257,""CURRENCY"")))))),B2257)"),"")</f>
        <v/>
      </c>
      <c r="R2257" s="263" t="str">
        <f>IFERROR(__xludf.DUMMYFUNCTION("IF(ISBLANK(A2257),"""",IFERROR(IF(OR(Q2257=""GPB"",Q2257=""ZAR""),IF(Q2257=Dashboard!$L$1,K2257,(K2257*GOOGLEFINANCE(""CURRENCY:""&amp;Q2257&amp;""""&amp;Dashboard!$L$1&amp;""""))/100),IF(Q2257=Dashboard!$L$1,K2257,K2257*GOOGLEFINANCE(""CURRENCY:""&amp;Q2257&amp;""""&amp;Dashboard!$"&amp;"L$1&amp;""""))),K2257))"),"")</f>
        <v/>
      </c>
      <c r="S2257" s="266" t="str">
        <f>IFERROR(__xludf.DUMMYFUNCTION("IF(ISBLANK(A2257),"""",IFERROR(IF(OR(Q2257=""GPB"",Q2257=""ZAR""),IF(Q2257=Dashboard!$L$1,M2257,(M2257*GOOGLEFINANCE(""CURRENCY:""&amp;Q2257&amp;""""&amp;Dashboard!$L$1&amp;""""))/100),IF(Q2257=Dashboard!$L$1,M2257,M2257*GOOGLEFINANCE(""CURRENCY:""&amp;Q2257&amp;""""&amp;Dashboard!$"&amp;"L$1&amp;""""))),M2257))"),"")</f>
        <v/>
      </c>
      <c r="T2257" s="264" t="str">
        <f t="shared" si="4"/>
        <v/>
      </c>
      <c r="U2257" s="264" t="str">
        <f t="shared" si="5"/>
        <v/>
      </c>
      <c r="V2257" s="264" t="str">
        <f t="shared" si="6"/>
        <v/>
      </c>
      <c r="W2257" s="267" t="str">
        <f t="shared" si="8"/>
        <v/>
      </c>
      <c r="X2257" s="264" t="str">
        <f t="shared" si="7"/>
        <v/>
      </c>
    </row>
    <row r="2258" ht="15.75" customHeight="1">
      <c r="A2258" s="258"/>
      <c r="B2258" s="258"/>
      <c r="C2258" s="269"/>
      <c r="D2258" s="258"/>
      <c r="E2258" s="258"/>
      <c r="F2258" s="258"/>
      <c r="G2258" s="258"/>
      <c r="H2258" s="271"/>
      <c r="I2258" s="258"/>
      <c r="J2258" s="272"/>
      <c r="K2258" s="260"/>
      <c r="L2258" s="261"/>
      <c r="M2258" s="262" t="str">
        <f t="shared" si="1"/>
        <v/>
      </c>
      <c r="N2258" s="263" t="str">
        <f t="shared" si="2"/>
        <v/>
      </c>
      <c r="O2258" s="264" t="str">
        <f t="shared" si="3"/>
        <v/>
      </c>
      <c r="P2258" s="265" t="str">
        <f>IFERROR(__xludf.DUMMYFUNCTION("IF(ISBLANK(A2258),"""",IFERROR(IF(H2258=""Sell"",VLOOKUP(9^99,FILTER({ROW(P$2:P2257),P$2:P2257},D$2:D2257=D2258),2),(VLOOKUP(9^99,FILTER({ROW(P$2:P2257),P$2:P2257},D$2:D2257=D2258),2)*VLOOKUP(9^99,FILTER({ROW(O$2:O2257),O$2:O2257},D$2:D2257=D2258),2)-N225"&amp;"8)/O2258),J2258))"),"")</f>
        <v/>
      </c>
      <c r="Q2258" s="264" t="str">
        <f>IFERROR(__xludf.DUMMYFUNCTION("IFERROR(IF(F2258=""Crypto"",B2258,(IF(ISBLANK(D2258),"""",IF(D2258=""Cash"",B2258,IF(GOOGLEFINANCE(D2258,""CURRENCY"")=""GBX"",""GBP"",GOOGLEFINANCE(D2258,""CURRENCY"")))))),B2258)"),"")</f>
        <v/>
      </c>
      <c r="R2258" s="263" t="str">
        <f>IFERROR(__xludf.DUMMYFUNCTION("IF(ISBLANK(A2258),"""",IFERROR(IF(OR(Q2258=""GPB"",Q2258=""ZAR""),IF(Q2258=Dashboard!$L$1,K2258,(K2258*GOOGLEFINANCE(""CURRENCY:""&amp;Q2258&amp;""""&amp;Dashboard!$L$1&amp;""""))/100),IF(Q2258=Dashboard!$L$1,K2258,K2258*GOOGLEFINANCE(""CURRENCY:""&amp;Q2258&amp;""""&amp;Dashboard!$"&amp;"L$1&amp;""""))),K2258))"),"")</f>
        <v/>
      </c>
      <c r="S2258" s="266" t="str">
        <f>IFERROR(__xludf.DUMMYFUNCTION("IF(ISBLANK(A2258),"""",IFERROR(IF(OR(Q2258=""GPB"",Q2258=""ZAR""),IF(Q2258=Dashboard!$L$1,M2258,(M2258*GOOGLEFINANCE(""CURRENCY:""&amp;Q2258&amp;""""&amp;Dashboard!$L$1&amp;""""))/100),IF(Q2258=Dashboard!$L$1,M2258,M2258*GOOGLEFINANCE(""CURRENCY:""&amp;Q2258&amp;""""&amp;Dashboard!$"&amp;"L$1&amp;""""))),M2258))"),"")</f>
        <v/>
      </c>
      <c r="T2258" s="264" t="str">
        <f t="shared" si="4"/>
        <v/>
      </c>
      <c r="U2258" s="264" t="str">
        <f t="shared" si="5"/>
        <v/>
      </c>
      <c r="V2258" s="264" t="str">
        <f t="shared" si="6"/>
        <v/>
      </c>
      <c r="W2258" s="267" t="str">
        <f t="shared" si="8"/>
        <v/>
      </c>
      <c r="X2258" s="264" t="str">
        <f t="shared" si="7"/>
        <v/>
      </c>
    </row>
    <row r="2259" ht="15.75" customHeight="1">
      <c r="A2259" s="258"/>
      <c r="B2259" s="258"/>
      <c r="C2259" s="269"/>
      <c r="D2259" s="258"/>
      <c r="E2259" s="258"/>
      <c r="F2259" s="258"/>
      <c r="G2259" s="258"/>
      <c r="H2259" s="271"/>
      <c r="I2259" s="258"/>
      <c r="J2259" s="272"/>
      <c r="K2259" s="260"/>
      <c r="L2259" s="261"/>
      <c r="M2259" s="262" t="str">
        <f t="shared" si="1"/>
        <v/>
      </c>
      <c r="N2259" s="263" t="str">
        <f t="shared" si="2"/>
        <v/>
      </c>
      <c r="O2259" s="264" t="str">
        <f t="shared" si="3"/>
        <v/>
      </c>
      <c r="P2259" s="265" t="str">
        <f>IFERROR(__xludf.DUMMYFUNCTION("IF(ISBLANK(A2259),"""",IFERROR(IF(H2259=""Sell"",VLOOKUP(9^99,FILTER({ROW(P$2:P2258),P$2:P2258},D$2:D2258=D2259),2),(VLOOKUP(9^99,FILTER({ROW(P$2:P2258),P$2:P2258},D$2:D2258=D2259),2)*VLOOKUP(9^99,FILTER({ROW(O$2:O2258),O$2:O2258},D$2:D2258=D2259),2)-N225"&amp;"9)/O2259),J2259))"),"")</f>
        <v/>
      </c>
      <c r="Q2259" s="264" t="str">
        <f>IFERROR(__xludf.DUMMYFUNCTION("IFERROR(IF(F2259=""Crypto"",B2259,(IF(ISBLANK(D2259),"""",IF(D2259=""Cash"",B2259,IF(GOOGLEFINANCE(D2259,""CURRENCY"")=""GBX"",""GBP"",GOOGLEFINANCE(D2259,""CURRENCY"")))))),B2259)"),"")</f>
        <v/>
      </c>
      <c r="R2259" s="263" t="str">
        <f>IFERROR(__xludf.DUMMYFUNCTION("IF(ISBLANK(A2259),"""",IFERROR(IF(OR(Q2259=""GPB"",Q2259=""ZAR""),IF(Q2259=Dashboard!$L$1,K2259,(K2259*GOOGLEFINANCE(""CURRENCY:""&amp;Q2259&amp;""""&amp;Dashboard!$L$1&amp;""""))/100),IF(Q2259=Dashboard!$L$1,K2259,K2259*GOOGLEFINANCE(""CURRENCY:""&amp;Q2259&amp;""""&amp;Dashboard!$"&amp;"L$1&amp;""""))),K2259))"),"")</f>
        <v/>
      </c>
      <c r="S2259" s="266" t="str">
        <f>IFERROR(__xludf.DUMMYFUNCTION("IF(ISBLANK(A2259),"""",IFERROR(IF(OR(Q2259=""GPB"",Q2259=""ZAR""),IF(Q2259=Dashboard!$L$1,M2259,(M2259*GOOGLEFINANCE(""CURRENCY:""&amp;Q2259&amp;""""&amp;Dashboard!$L$1&amp;""""))/100),IF(Q2259=Dashboard!$L$1,M2259,M2259*GOOGLEFINANCE(""CURRENCY:""&amp;Q2259&amp;""""&amp;Dashboard!$"&amp;"L$1&amp;""""))),M2259))"),"")</f>
        <v/>
      </c>
      <c r="T2259" s="264" t="str">
        <f t="shared" si="4"/>
        <v/>
      </c>
      <c r="U2259" s="264" t="str">
        <f t="shared" si="5"/>
        <v/>
      </c>
      <c r="V2259" s="264" t="str">
        <f t="shared" si="6"/>
        <v/>
      </c>
      <c r="W2259" s="267" t="str">
        <f t="shared" si="8"/>
        <v/>
      </c>
      <c r="X2259" s="264" t="str">
        <f t="shared" si="7"/>
        <v/>
      </c>
    </row>
    <row r="2260" ht="15.75" customHeight="1">
      <c r="A2260" s="258"/>
      <c r="B2260" s="258"/>
      <c r="C2260" s="269"/>
      <c r="D2260" s="258"/>
      <c r="E2260" s="258"/>
      <c r="F2260" s="258"/>
      <c r="G2260" s="258"/>
      <c r="H2260" s="271"/>
      <c r="I2260" s="258"/>
      <c r="J2260" s="272"/>
      <c r="K2260" s="260"/>
      <c r="L2260" s="261"/>
      <c r="M2260" s="262" t="str">
        <f t="shared" si="1"/>
        <v/>
      </c>
      <c r="N2260" s="263" t="str">
        <f t="shared" si="2"/>
        <v/>
      </c>
      <c r="O2260" s="264" t="str">
        <f t="shared" si="3"/>
        <v/>
      </c>
      <c r="P2260" s="265" t="str">
        <f>IFERROR(__xludf.DUMMYFUNCTION("IF(ISBLANK(A2260),"""",IFERROR(IF(H2260=""Sell"",VLOOKUP(9^99,FILTER({ROW(P$2:P2259),P$2:P2259},D$2:D2259=D2260),2),(VLOOKUP(9^99,FILTER({ROW(P$2:P2259),P$2:P2259},D$2:D2259=D2260),2)*VLOOKUP(9^99,FILTER({ROW(O$2:O2259),O$2:O2259},D$2:D2259=D2260),2)-N226"&amp;"0)/O2260),J2260))"),"")</f>
        <v/>
      </c>
      <c r="Q2260" s="264" t="str">
        <f>IFERROR(__xludf.DUMMYFUNCTION("IFERROR(IF(F2260=""Crypto"",B2260,(IF(ISBLANK(D2260),"""",IF(D2260=""Cash"",B2260,IF(GOOGLEFINANCE(D2260,""CURRENCY"")=""GBX"",""GBP"",GOOGLEFINANCE(D2260,""CURRENCY"")))))),B2260)"),"")</f>
        <v/>
      </c>
      <c r="R2260" s="263" t="str">
        <f>IFERROR(__xludf.DUMMYFUNCTION("IF(ISBLANK(A2260),"""",IFERROR(IF(OR(Q2260=""GPB"",Q2260=""ZAR""),IF(Q2260=Dashboard!$L$1,K2260,(K2260*GOOGLEFINANCE(""CURRENCY:""&amp;Q2260&amp;""""&amp;Dashboard!$L$1&amp;""""))/100),IF(Q2260=Dashboard!$L$1,K2260,K2260*GOOGLEFINANCE(""CURRENCY:""&amp;Q2260&amp;""""&amp;Dashboard!$"&amp;"L$1&amp;""""))),K2260))"),"")</f>
        <v/>
      </c>
      <c r="S2260" s="266" t="str">
        <f>IFERROR(__xludf.DUMMYFUNCTION("IF(ISBLANK(A2260),"""",IFERROR(IF(OR(Q2260=""GPB"",Q2260=""ZAR""),IF(Q2260=Dashboard!$L$1,M2260,(M2260*GOOGLEFINANCE(""CURRENCY:""&amp;Q2260&amp;""""&amp;Dashboard!$L$1&amp;""""))/100),IF(Q2260=Dashboard!$L$1,M2260,M2260*GOOGLEFINANCE(""CURRENCY:""&amp;Q2260&amp;""""&amp;Dashboard!$"&amp;"L$1&amp;""""))),M2260))"),"")</f>
        <v/>
      </c>
      <c r="T2260" s="264" t="str">
        <f t="shared" si="4"/>
        <v/>
      </c>
      <c r="U2260" s="264" t="str">
        <f t="shared" si="5"/>
        <v/>
      </c>
      <c r="V2260" s="264" t="str">
        <f t="shared" si="6"/>
        <v/>
      </c>
      <c r="W2260" s="267" t="str">
        <f t="shared" si="8"/>
        <v/>
      </c>
      <c r="X2260" s="264" t="str">
        <f t="shared" si="7"/>
        <v/>
      </c>
    </row>
    <row r="2261" ht="15.75" customHeight="1">
      <c r="A2261" s="258"/>
      <c r="B2261" s="258"/>
      <c r="C2261" s="269"/>
      <c r="D2261" s="258"/>
      <c r="E2261" s="258"/>
      <c r="F2261" s="258"/>
      <c r="G2261" s="258"/>
      <c r="H2261" s="271"/>
      <c r="I2261" s="258"/>
      <c r="J2261" s="272"/>
      <c r="K2261" s="260"/>
      <c r="L2261" s="261"/>
      <c r="M2261" s="262" t="str">
        <f t="shared" si="1"/>
        <v/>
      </c>
      <c r="N2261" s="263" t="str">
        <f t="shared" si="2"/>
        <v/>
      </c>
      <c r="O2261" s="264" t="str">
        <f t="shared" si="3"/>
        <v/>
      </c>
      <c r="P2261" s="265" t="str">
        <f>IFERROR(__xludf.DUMMYFUNCTION("IF(ISBLANK(A2261),"""",IFERROR(IF(H2261=""Sell"",VLOOKUP(9^99,FILTER({ROW(P$2:P2260),P$2:P2260},D$2:D2260=D2261),2),(VLOOKUP(9^99,FILTER({ROW(P$2:P2260),P$2:P2260},D$2:D2260=D2261),2)*VLOOKUP(9^99,FILTER({ROW(O$2:O2260),O$2:O2260},D$2:D2260=D2261),2)-N226"&amp;"1)/O2261),J2261))"),"")</f>
        <v/>
      </c>
      <c r="Q2261" s="264" t="str">
        <f>IFERROR(__xludf.DUMMYFUNCTION("IFERROR(IF(F2261=""Crypto"",B2261,(IF(ISBLANK(D2261),"""",IF(D2261=""Cash"",B2261,IF(GOOGLEFINANCE(D2261,""CURRENCY"")=""GBX"",""GBP"",GOOGLEFINANCE(D2261,""CURRENCY"")))))),B2261)"),"")</f>
        <v/>
      </c>
      <c r="R2261" s="263" t="str">
        <f>IFERROR(__xludf.DUMMYFUNCTION("IF(ISBLANK(A2261),"""",IFERROR(IF(OR(Q2261=""GPB"",Q2261=""ZAR""),IF(Q2261=Dashboard!$L$1,K2261,(K2261*GOOGLEFINANCE(""CURRENCY:""&amp;Q2261&amp;""""&amp;Dashboard!$L$1&amp;""""))/100),IF(Q2261=Dashboard!$L$1,K2261,K2261*GOOGLEFINANCE(""CURRENCY:""&amp;Q2261&amp;""""&amp;Dashboard!$"&amp;"L$1&amp;""""))),K2261))"),"")</f>
        <v/>
      </c>
      <c r="S2261" s="266" t="str">
        <f>IFERROR(__xludf.DUMMYFUNCTION("IF(ISBLANK(A2261),"""",IFERROR(IF(OR(Q2261=""GPB"",Q2261=""ZAR""),IF(Q2261=Dashboard!$L$1,M2261,(M2261*GOOGLEFINANCE(""CURRENCY:""&amp;Q2261&amp;""""&amp;Dashboard!$L$1&amp;""""))/100),IF(Q2261=Dashboard!$L$1,M2261,M2261*GOOGLEFINANCE(""CURRENCY:""&amp;Q2261&amp;""""&amp;Dashboard!$"&amp;"L$1&amp;""""))),M2261))"),"")</f>
        <v/>
      </c>
      <c r="T2261" s="264" t="str">
        <f t="shared" si="4"/>
        <v/>
      </c>
      <c r="U2261" s="264" t="str">
        <f t="shared" si="5"/>
        <v/>
      </c>
      <c r="V2261" s="264" t="str">
        <f t="shared" si="6"/>
        <v/>
      </c>
      <c r="W2261" s="267" t="str">
        <f t="shared" si="8"/>
        <v/>
      </c>
      <c r="X2261" s="264" t="str">
        <f t="shared" si="7"/>
        <v/>
      </c>
    </row>
    <row r="2262" ht="15.75" customHeight="1">
      <c r="A2262" s="258"/>
      <c r="B2262" s="258"/>
      <c r="C2262" s="269"/>
      <c r="D2262" s="258"/>
      <c r="E2262" s="258"/>
      <c r="F2262" s="258"/>
      <c r="G2262" s="258"/>
      <c r="H2262" s="271"/>
      <c r="I2262" s="258"/>
      <c r="J2262" s="272"/>
      <c r="K2262" s="260"/>
      <c r="L2262" s="261"/>
      <c r="M2262" s="262" t="str">
        <f t="shared" si="1"/>
        <v/>
      </c>
      <c r="N2262" s="263" t="str">
        <f t="shared" si="2"/>
        <v/>
      </c>
      <c r="O2262" s="264" t="str">
        <f t="shared" si="3"/>
        <v/>
      </c>
      <c r="P2262" s="265" t="str">
        <f>IFERROR(__xludf.DUMMYFUNCTION("IF(ISBLANK(A2262),"""",IFERROR(IF(H2262=""Sell"",VLOOKUP(9^99,FILTER({ROW(P$2:P2261),P$2:P2261},D$2:D2261=D2262),2),(VLOOKUP(9^99,FILTER({ROW(P$2:P2261),P$2:P2261},D$2:D2261=D2262),2)*VLOOKUP(9^99,FILTER({ROW(O$2:O2261),O$2:O2261},D$2:D2261=D2262),2)-N226"&amp;"2)/O2262),J2262))"),"")</f>
        <v/>
      </c>
      <c r="Q2262" s="264" t="str">
        <f>IFERROR(__xludf.DUMMYFUNCTION("IFERROR(IF(F2262=""Crypto"",B2262,(IF(ISBLANK(D2262),"""",IF(D2262=""Cash"",B2262,IF(GOOGLEFINANCE(D2262,""CURRENCY"")=""GBX"",""GBP"",GOOGLEFINANCE(D2262,""CURRENCY"")))))),B2262)"),"")</f>
        <v/>
      </c>
      <c r="R2262" s="263" t="str">
        <f>IFERROR(__xludf.DUMMYFUNCTION("IF(ISBLANK(A2262),"""",IFERROR(IF(OR(Q2262=""GPB"",Q2262=""ZAR""),IF(Q2262=Dashboard!$L$1,K2262,(K2262*GOOGLEFINANCE(""CURRENCY:""&amp;Q2262&amp;""""&amp;Dashboard!$L$1&amp;""""))/100),IF(Q2262=Dashboard!$L$1,K2262,K2262*GOOGLEFINANCE(""CURRENCY:""&amp;Q2262&amp;""""&amp;Dashboard!$"&amp;"L$1&amp;""""))),K2262))"),"")</f>
        <v/>
      </c>
      <c r="S2262" s="266" t="str">
        <f>IFERROR(__xludf.DUMMYFUNCTION("IF(ISBLANK(A2262),"""",IFERROR(IF(OR(Q2262=""GPB"",Q2262=""ZAR""),IF(Q2262=Dashboard!$L$1,M2262,(M2262*GOOGLEFINANCE(""CURRENCY:""&amp;Q2262&amp;""""&amp;Dashboard!$L$1&amp;""""))/100),IF(Q2262=Dashboard!$L$1,M2262,M2262*GOOGLEFINANCE(""CURRENCY:""&amp;Q2262&amp;""""&amp;Dashboard!$"&amp;"L$1&amp;""""))),M2262))"),"")</f>
        <v/>
      </c>
      <c r="T2262" s="264" t="str">
        <f t="shared" si="4"/>
        <v/>
      </c>
      <c r="U2262" s="264" t="str">
        <f t="shared" si="5"/>
        <v/>
      </c>
      <c r="V2262" s="264" t="str">
        <f t="shared" si="6"/>
        <v/>
      </c>
      <c r="W2262" s="267" t="str">
        <f t="shared" si="8"/>
        <v/>
      </c>
      <c r="X2262" s="264" t="str">
        <f t="shared" si="7"/>
        <v/>
      </c>
    </row>
    <row r="2263" ht="15.75" customHeight="1">
      <c r="A2263" s="258"/>
      <c r="B2263" s="258"/>
      <c r="C2263" s="269"/>
      <c r="D2263" s="258"/>
      <c r="E2263" s="258"/>
      <c r="F2263" s="258"/>
      <c r="G2263" s="258"/>
      <c r="H2263" s="271"/>
      <c r="I2263" s="258"/>
      <c r="J2263" s="272"/>
      <c r="K2263" s="260"/>
      <c r="L2263" s="261"/>
      <c r="M2263" s="262" t="str">
        <f t="shared" si="1"/>
        <v/>
      </c>
      <c r="N2263" s="263" t="str">
        <f t="shared" si="2"/>
        <v/>
      </c>
      <c r="O2263" s="264" t="str">
        <f t="shared" si="3"/>
        <v/>
      </c>
      <c r="P2263" s="265" t="str">
        <f>IFERROR(__xludf.DUMMYFUNCTION("IF(ISBLANK(A2263),"""",IFERROR(IF(H2263=""Sell"",VLOOKUP(9^99,FILTER({ROW(P$2:P2262),P$2:P2262},D$2:D2262=D2263),2),(VLOOKUP(9^99,FILTER({ROW(P$2:P2262),P$2:P2262},D$2:D2262=D2263),2)*VLOOKUP(9^99,FILTER({ROW(O$2:O2262),O$2:O2262},D$2:D2262=D2263),2)-N226"&amp;"3)/O2263),J2263))"),"")</f>
        <v/>
      </c>
      <c r="Q2263" s="264" t="str">
        <f>IFERROR(__xludf.DUMMYFUNCTION("IFERROR(IF(F2263=""Crypto"",B2263,(IF(ISBLANK(D2263),"""",IF(D2263=""Cash"",B2263,IF(GOOGLEFINANCE(D2263,""CURRENCY"")=""GBX"",""GBP"",GOOGLEFINANCE(D2263,""CURRENCY"")))))),B2263)"),"")</f>
        <v/>
      </c>
      <c r="R2263" s="263" t="str">
        <f>IFERROR(__xludf.DUMMYFUNCTION("IF(ISBLANK(A2263),"""",IFERROR(IF(OR(Q2263=""GPB"",Q2263=""ZAR""),IF(Q2263=Dashboard!$L$1,K2263,(K2263*GOOGLEFINANCE(""CURRENCY:""&amp;Q2263&amp;""""&amp;Dashboard!$L$1&amp;""""))/100),IF(Q2263=Dashboard!$L$1,K2263,K2263*GOOGLEFINANCE(""CURRENCY:""&amp;Q2263&amp;""""&amp;Dashboard!$"&amp;"L$1&amp;""""))),K2263))"),"")</f>
        <v/>
      </c>
      <c r="S2263" s="266" t="str">
        <f>IFERROR(__xludf.DUMMYFUNCTION("IF(ISBLANK(A2263),"""",IFERROR(IF(OR(Q2263=""GPB"",Q2263=""ZAR""),IF(Q2263=Dashboard!$L$1,M2263,(M2263*GOOGLEFINANCE(""CURRENCY:""&amp;Q2263&amp;""""&amp;Dashboard!$L$1&amp;""""))/100),IF(Q2263=Dashboard!$L$1,M2263,M2263*GOOGLEFINANCE(""CURRENCY:""&amp;Q2263&amp;""""&amp;Dashboard!$"&amp;"L$1&amp;""""))),M2263))"),"")</f>
        <v/>
      </c>
      <c r="T2263" s="264" t="str">
        <f t="shared" si="4"/>
        <v/>
      </c>
      <c r="U2263" s="264" t="str">
        <f t="shared" si="5"/>
        <v/>
      </c>
      <c r="V2263" s="264" t="str">
        <f t="shared" si="6"/>
        <v/>
      </c>
      <c r="W2263" s="267" t="str">
        <f t="shared" si="8"/>
        <v/>
      </c>
      <c r="X2263" s="264" t="str">
        <f t="shared" si="7"/>
        <v/>
      </c>
    </row>
    <row r="2264" ht="15.75" customHeight="1">
      <c r="A2264" s="258"/>
      <c r="B2264" s="258"/>
      <c r="C2264" s="269"/>
      <c r="D2264" s="258"/>
      <c r="E2264" s="258"/>
      <c r="F2264" s="258"/>
      <c r="G2264" s="258"/>
      <c r="H2264" s="271"/>
      <c r="I2264" s="258"/>
      <c r="J2264" s="272"/>
      <c r="K2264" s="260"/>
      <c r="L2264" s="261"/>
      <c r="M2264" s="262" t="str">
        <f t="shared" si="1"/>
        <v/>
      </c>
      <c r="N2264" s="263" t="str">
        <f t="shared" si="2"/>
        <v/>
      </c>
      <c r="O2264" s="264" t="str">
        <f t="shared" si="3"/>
        <v/>
      </c>
      <c r="P2264" s="265" t="str">
        <f>IFERROR(__xludf.DUMMYFUNCTION("IF(ISBLANK(A2264),"""",IFERROR(IF(H2264=""Sell"",VLOOKUP(9^99,FILTER({ROW(P$2:P2263),P$2:P2263},D$2:D2263=D2264),2),(VLOOKUP(9^99,FILTER({ROW(P$2:P2263),P$2:P2263},D$2:D2263=D2264),2)*VLOOKUP(9^99,FILTER({ROW(O$2:O2263),O$2:O2263},D$2:D2263=D2264),2)-N226"&amp;"4)/O2264),J2264))"),"")</f>
        <v/>
      </c>
      <c r="Q2264" s="264" t="str">
        <f>IFERROR(__xludf.DUMMYFUNCTION("IFERROR(IF(F2264=""Crypto"",B2264,(IF(ISBLANK(D2264),"""",IF(D2264=""Cash"",B2264,IF(GOOGLEFINANCE(D2264,""CURRENCY"")=""GBX"",""GBP"",GOOGLEFINANCE(D2264,""CURRENCY"")))))),B2264)"),"")</f>
        <v/>
      </c>
      <c r="R2264" s="263" t="str">
        <f>IFERROR(__xludf.DUMMYFUNCTION("IF(ISBLANK(A2264),"""",IFERROR(IF(OR(Q2264=""GPB"",Q2264=""ZAR""),IF(Q2264=Dashboard!$L$1,K2264,(K2264*GOOGLEFINANCE(""CURRENCY:""&amp;Q2264&amp;""""&amp;Dashboard!$L$1&amp;""""))/100),IF(Q2264=Dashboard!$L$1,K2264,K2264*GOOGLEFINANCE(""CURRENCY:""&amp;Q2264&amp;""""&amp;Dashboard!$"&amp;"L$1&amp;""""))),K2264))"),"")</f>
        <v/>
      </c>
      <c r="S2264" s="266" t="str">
        <f>IFERROR(__xludf.DUMMYFUNCTION("IF(ISBLANK(A2264),"""",IFERROR(IF(OR(Q2264=""GPB"",Q2264=""ZAR""),IF(Q2264=Dashboard!$L$1,M2264,(M2264*GOOGLEFINANCE(""CURRENCY:""&amp;Q2264&amp;""""&amp;Dashboard!$L$1&amp;""""))/100),IF(Q2264=Dashboard!$L$1,M2264,M2264*GOOGLEFINANCE(""CURRENCY:""&amp;Q2264&amp;""""&amp;Dashboard!$"&amp;"L$1&amp;""""))),M2264))"),"")</f>
        <v/>
      </c>
      <c r="T2264" s="264" t="str">
        <f t="shared" si="4"/>
        <v/>
      </c>
      <c r="U2264" s="264" t="str">
        <f t="shared" si="5"/>
        <v/>
      </c>
      <c r="V2264" s="264" t="str">
        <f t="shared" si="6"/>
        <v/>
      </c>
      <c r="W2264" s="267" t="str">
        <f t="shared" si="8"/>
        <v/>
      </c>
      <c r="X2264" s="264" t="str">
        <f t="shared" si="7"/>
        <v/>
      </c>
    </row>
    <row r="2265" ht="15.75" customHeight="1">
      <c r="A2265" s="258"/>
      <c r="B2265" s="258"/>
      <c r="C2265" s="269"/>
      <c r="D2265" s="258"/>
      <c r="E2265" s="258"/>
      <c r="F2265" s="258"/>
      <c r="G2265" s="258"/>
      <c r="H2265" s="271"/>
      <c r="I2265" s="258"/>
      <c r="J2265" s="272"/>
      <c r="K2265" s="260"/>
      <c r="L2265" s="261"/>
      <c r="M2265" s="262" t="str">
        <f t="shared" si="1"/>
        <v/>
      </c>
      <c r="N2265" s="263" t="str">
        <f t="shared" si="2"/>
        <v/>
      </c>
      <c r="O2265" s="264" t="str">
        <f t="shared" si="3"/>
        <v/>
      </c>
      <c r="P2265" s="265" t="str">
        <f>IFERROR(__xludf.DUMMYFUNCTION("IF(ISBLANK(A2265),"""",IFERROR(IF(H2265=""Sell"",VLOOKUP(9^99,FILTER({ROW(P$2:P2264),P$2:P2264},D$2:D2264=D2265),2),(VLOOKUP(9^99,FILTER({ROW(P$2:P2264),P$2:P2264},D$2:D2264=D2265),2)*VLOOKUP(9^99,FILTER({ROW(O$2:O2264),O$2:O2264},D$2:D2264=D2265),2)-N226"&amp;"5)/O2265),J2265))"),"")</f>
        <v/>
      </c>
      <c r="Q2265" s="264" t="str">
        <f>IFERROR(__xludf.DUMMYFUNCTION("IFERROR(IF(F2265=""Crypto"",B2265,(IF(ISBLANK(D2265),"""",IF(D2265=""Cash"",B2265,IF(GOOGLEFINANCE(D2265,""CURRENCY"")=""GBX"",""GBP"",GOOGLEFINANCE(D2265,""CURRENCY"")))))),B2265)"),"")</f>
        <v/>
      </c>
      <c r="R2265" s="263" t="str">
        <f>IFERROR(__xludf.DUMMYFUNCTION("IF(ISBLANK(A2265),"""",IFERROR(IF(OR(Q2265=""GPB"",Q2265=""ZAR""),IF(Q2265=Dashboard!$L$1,K2265,(K2265*GOOGLEFINANCE(""CURRENCY:""&amp;Q2265&amp;""""&amp;Dashboard!$L$1&amp;""""))/100),IF(Q2265=Dashboard!$L$1,K2265,K2265*GOOGLEFINANCE(""CURRENCY:""&amp;Q2265&amp;""""&amp;Dashboard!$"&amp;"L$1&amp;""""))),K2265))"),"")</f>
        <v/>
      </c>
      <c r="S2265" s="266" t="str">
        <f>IFERROR(__xludf.DUMMYFUNCTION("IF(ISBLANK(A2265),"""",IFERROR(IF(OR(Q2265=""GPB"",Q2265=""ZAR""),IF(Q2265=Dashboard!$L$1,M2265,(M2265*GOOGLEFINANCE(""CURRENCY:""&amp;Q2265&amp;""""&amp;Dashboard!$L$1&amp;""""))/100),IF(Q2265=Dashboard!$L$1,M2265,M2265*GOOGLEFINANCE(""CURRENCY:""&amp;Q2265&amp;""""&amp;Dashboard!$"&amp;"L$1&amp;""""))),M2265))"),"")</f>
        <v/>
      </c>
      <c r="T2265" s="264" t="str">
        <f t="shared" si="4"/>
        <v/>
      </c>
      <c r="U2265" s="264" t="str">
        <f t="shared" si="5"/>
        <v/>
      </c>
      <c r="V2265" s="264" t="str">
        <f t="shared" si="6"/>
        <v/>
      </c>
      <c r="W2265" s="267" t="str">
        <f t="shared" si="8"/>
        <v/>
      </c>
      <c r="X2265" s="264" t="str">
        <f t="shared" si="7"/>
        <v/>
      </c>
    </row>
    <row r="2266" ht="15.75" customHeight="1">
      <c r="A2266" s="258"/>
      <c r="B2266" s="258"/>
      <c r="C2266" s="269"/>
      <c r="D2266" s="258"/>
      <c r="E2266" s="258"/>
      <c r="F2266" s="258"/>
      <c r="G2266" s="258"/>
      <c r="H2266" s="271"/>
      <c r="I2266" s="258"/>
      <c r="J2266" s="272"/>
      <c r="K2266" s="260"/>
      <c r="L2266" s="261"/>
      <c r="M2266" s="262" t="str">
        <f t="shared" si="1"/>
        <v/>
      </c>
      <c r="N2266" s="263" t="str">
        <f t="shared" si="2"/>
        <v/>
      </c>
      <c r="O2266" s="264" t="str">
        <f t="shared" si="3"/>
        <v/>
      </c>
      <c r="P2266" s="265" t="str">
        <f>IFERROR(__xludf.DUMMYFUNCTION("IF(ISBLANK(A2266),"""",IFERROR(IF(H2266=""Sell"",VLOOKUP(9^99,FILTER({ROW(P$2:P2265),P$2:P2265},D$2:D2265=D2266),2),(VLOOKUP(9^99,FILTER({ROW(P$2:P2265),P$2:P2265},D$2:D2265=D2266),2)*VLOOKUP(9^99,FILTER({ROW(O$2:O2265),O$2:O2265},D$2:D2265=D2266),2)-N226"&amp;"6)/O2266),J2266))"),"")</f>
        <v/>
      </c>
      <c r="Q2266" s="264" t="str">
        <f>IFERROR(__xludf.DUMMYFUNCTION("IFERROR(IF(F2266=""Crypto"",B2266,(IF(ISBLANK(D2266),"""",IF(D2266=""Cash"",B2266,IF(GOOGLEFINANCE(D2266,""CURRENCY"")=""GBX"",""GBP"",GOOGLEFINANCE(D2266,""CURRENCY"")))))),B2266)"),"")</f>
        <v/>
      </c>
      <c r="R2266" s="263" t="str">
        <f>IFERROR(__xludf.DUMMYFUNCTION("IF(ISBLANK(A2266),"""",IFERROR(IF(OR(Q2266=""GPB"",Q2266=""ZAR""),IF(Q2266=Dashboard!$L$1,K2266,(K2266*GOOGLEFINANCE(""CURRENCY:""&amp;Q2266&amp;""""&amp;Dashboard!$L$1&amp;""""))/100),IF(Q2266=Dashboard!$L$1,K2266,K2266*GOOGLEFINANCE(""CURRENCY:""&amp;Q2266&amp;""""&amp;Dashboard!$"&amp;"L$1&amp;""""))),K2266))"),"")</f>
        <v/>
      </c>
      <c r="S2266" s="266" t="str">
        <f>IFERROR(__xludf.DUMMYFUNCTION("IF(ISBLANK(A2266),"""",IFERROR(IF(OR(Q2266=""GPB"",Q2266=""ZAR""),IF(Q2266=Dashboard!$L$1,M2266,(M2266*GOOGLEFINANCE(""CURRENCY:""&amp;Q2266&amp;""""&amp;Dashboard!$L$1&amp;""""))/100),IF(Q2266=Dashboard!$L$1,M2266,M2266*GOOGLEFINANCE(""CURRENCY:""&amp;Q2266&amp;""""&amp;Dashboard!$"&amp;"L$1&amp;""""))),M2266))"),"")</f>
        <v/>
      </c>
      <c r="T2266" s="264" t="str">
        <f t="shared" si="4"/>
        <v/>
      </c>
      <c r="U2266" s="264" t="str">
        <f t="shared" si="5"/>
        <v/>
      </c>
      <c r="V2266" s="264" t="str">
        <f t="shared" si="6"/>
        <v/>
      </c>
      <c r="W2266" s="267" t="str">
        <f t="shared" si="8"/>
        <v/>
      </c>
      <c r="X2266" s="264" t="str">
        <f t="shared" si="7"/>
        <v/>
      </c>
    </row>
    <row r="2267" ht="15.75" customHeight="1">
      <c r="A2267" s="258"/>
      <c r="B2267" s="258"/>
      <c r="C2267" s="269"/>
      <c r="D2267" s="258"/>
      <c r="E2267" s="258"/>
      <c r="F2267" s="258"/>
      <c r="G2267" s="258"/>
      <c r="H2267" s="271"/>
      <c r="I2267" s="258"/>
      <c r="J2267" s="272"/>
      <c r="K2267" s="260"/>
      <c r="L2267" s="261"/>
      <c r="M2267" s="262" t="str">
        <f t="shared" si="1"/>
        <v/>
      </c>
      <c r="N2267" s="263" t="str">
        <f t="shared" si="2"/>
        <v/>
      </c>
      <c r="O2267" s="264" t="str">
        <f t="shared" si="3"/>
        <v/>
      </c>
      <c r="P2267" s="265" t="str">
        <f>IFERROR(__xludf.DUMMYFUNCTION("IF(ISBLANK(A2267),"""",IFERROR(IF(H2267=""Sell"",VLOOKUP(9^99,FILTER({ROW(P$2:P2266),P$2:P2266},D$2:D2266=D2267),2),(VLOOKUP(9^99,FILTER({ROW(P$2:P2266),P$2:P2266},D$2:D2266=D2267),2)*VLOOKUP(9^99,FILTER({ROW(O$2:O2266),O$2:O2266},D$2:D2266=D2267),2)-N226"&amp;"7)/O2267),J2267))"),"")</f>
        <v/>
      </c>
      <c r="Q2267" s="264" t="str">
        <f>IFERROR(__xludf.DUMMYFUNCTION("IFERROR(IF(F2267=""Crypto"",B2267,(IF(ISBLANK(D2267),"""",IF(D2267=""Cash"",B2267,IF(GOOGLEFINANCE(D2267,""CURRENCY"")=""GBX"",""GBP"",GOOGLEFINANCE(D2267,""CURRENCY"")))))),B2267)"),"")</f>
        <v/>
      </c>
      <c r="R2267" s="263" t="str">
        <f>IFERROR(__xludf.DUMMYFUNCTION("IF(ISBLANK(A2267),"""",IFERROR(IF(OR(Q2267=""GPB"",Q2267=""ZAR""),IF(Q2267=Dashboard!$L$1,K2267,(K2267*GOOGLEFINANCE(""CURRENCY:""&amp;Q2267&amp;""""&amp;Dashboard!$L$1&amp;""""))/100),IF(Q2267=Dashboard!$L$1,K2267,K2267*GOOGLEFINANCE(""CURRENCY:""&amp;Q2267&amp;""""&amp;Dashboard!$"&amp;"L$1&amp;""""))),K2267))"),"")</f>
        <v/>
      </c>
      <c r="S2267" s="266" t="str">
        <f>IFERROR(__xludf.DUMMYFUNCTION("IF(ISBLANK(A2267),"""",IFERROR(IF(OR(Q2267=""GPB"",Q2267=""ZAR""),IF(Q2267=Dashboard!$L$1,M2267,(M2267*GOOGLEFINANCE(""CURRENCY:""&amp;Q2267&amp;""""&amp;Dashboard!$L$1&amp;""""))/100),IF(Q2267=Dashboard!$L$1,M2267,M2267*GOOGLEFINANCE(""CURRENCY:""&amp;Q2267&amp;""""&amp;Dashboard!$"&amp;"L$1&amp;""""))),M2267))"),"")</f>
        <v/>
      </c>
      <c r="T2267" s="264" t="str">
        <f t="shared" si="4"/>
        <v/>
      </c>
      <c r="U2267" s="264" t="str">
        <f t="shared" si="5"/>
        <v/>
      </c>
      <c r="V2267" s="264" t="str">
        <f t="shared" si="6"/>
        <v/>
      </c>
      <c r="W2267" s="267" t="str">
        <f t="shared" si="8"/>
        <v/>
      </c>
      <c r="X2267" s="264" t="str">
        <f t="shared" si="7"/>
        <v/>
      </c>
    </row>
    <row r="2268" ht="15.75" customHeight="1">
      <c r="A2268" s="258"/>
      <c r="B2268" s="258"/>
      <c r="C2268" s="269"/>
      <c r="D2268" s="258"/>
      <c r="E2268" s="258"/>
      <c r="F2268" s="258"/>
      <c r="G2268" s="258"/>
      <c r="H2268" s="271"/>
      <c r="I2268" s="258"/>
      <c r="J2268" s="272"/>
      <c r="K2268" s="260"/>
      <c r="L2268" s="261"/>
      <c r="M2268" s="262" t="str">
        <f t="shared" si="1"/>
        <v/>
      </c>
      <c r="N2268" s="263" t="str">
        <f t="shared" si="2"/>
        <v/>
      </c>
      <c r="O2268" s="264" t="str">
        <f t="shared" si="3"/>
        <v/>
      </c>
      <c r="P2268" s="265" t="str">
        <f>IFERROR(__xludf.DUMMYFUNCTION("IF(ISBLANK(A2268),"""",IFERROR(IF(H2268=""Sell"",VLOOKUP(9^99,FILTER({ROW(P$2:P2267),P$2:P2267},D$2:D2267=D2268),2),(VLOOKUP(9^99,FILTER({ROW(P$2:P2267),P$2:P2267},D$2:D2267=D2268),2)*VLOOKUP(9^99,FILTER({ROW(O$2:O2267),O$2:O2267},D$2:D2267=D2268),2)-N226"&amp;"8)/O2268),J2268))"),"")</f>
        <v/>
      </c>
      <c r="Q2268" s="264" t="str">
        <f>IFERROR(__xludf.DUMMYFUNCTION("IFERROR(IF(F2268=""Crypto"",B2268,(IF(ISBLANK(D2268),"""",IF(D2268=""Cash"",B2268,IF(GOOGLEFINANCE(D2268,""CURRENCY"")=""GBX"",""GBP"",GOOGLEFINANCE(D2268,""CURRENCY"")))))),B2268)"),"")</f>
        <v/>
      </c>
      <c r="R2268" s="263" t="str">
        <f>IFERROR(__xludf.DUMMYFUNCTION("IF(ISBLANK(A2268),"""",IFERROR(IF(OR(Q2268=""GPB"",Q2268=""ZAR""),IF(Q2268=Dashboard!$L$1,K2268,(K2268*GOOGLEFINANCE(""CURRENCY:""&amp;Q2268&amp;""""&amp;Dashboard!$L$1&amp;""""))/100),IF(Q2268=Dashboard!$L$1,K2268,K2268*GOOGLEFINANCE(""CURRENCY:""&amp;Q2268&amp;""""&amp;Dashboard!$"&amp;"L$1&amp;""""))),K2268))"),"")</f>
        <v/>
      </c>
      <c r="S2268" s="266" t="str">
        <f>IFERROR(__xludf.DUMMYFUNCTION("IF(ISBLANK(A2268),"""",IFERROR(IF(OR(Q2268=""GPB"",Q2268=""ZAR""),IF(Q2268=Dashboard!$L$1,M2268,(M2268*GOOGLEFINANCE(""CURRENCY:""&amp;Q2268&amp;""""&amp;Dashboard!$L$1&amp;""""))/100),IF(Q2268=Dashboard!$L$1,M2268,M2268*GOOGLEFINANCE(""CURRENCY:""&amp;Q2268&amp;""""&amp;Dashboard!$"&amp;"L$1&amp;""""))),M2268))"),"")</f>
        <v/>
      </c>
      <c r="T2268" s="264" t="str">
        <f t="shared" si="4"/>
        <v/>
      </c>
      <c r="U2268" s="264" t="str">
        <f t="shared" si="5"/>
        <v/>
      </c>
      <c r="V2268" s="264" t="str">
        <f t="shared" si="6"/>
        <v/>
      </c>
      <c r="W2268" s="267" t="str">
        <f t="shared" si="8"/>
        <v/>
      </c>
      <c r="X2268" s="264" t="str">
        <f t="shared" si="7"/>
        <v/>
      </c>
    </row>
    <row r="2269" ht="15.75" customHeight="1">
      <c r="A2269" s="258"/>
      <c r="B2269" s="258"/>
      <c r="C2269" s="269"/>
      <c r="D2269" s="258"/>
      <c r="E2269" s="258"/>
      <c r="F2269" s="258"/>
      <c r="G2269" s="258"/>
      <c r="H2269" s="271"/>
      <c r="I2269" s="258"/>
      <c r="J2269" s="272"/>
      <c r="K2269" s="260"/>
      <c r="L2269" s="261"/>
      <c r="M2269" s="262" t="str">
        <f t="shared" si="1"/>
        <v/>
      </c>
      <c r="N2269" s="263" t="str">
        <f t="shared" si="2"/>
        <v/>
      </c>
      <c r="O2269" s="264" t="str">
        <f t="shared" si="3"/>
        <v/>
      </c>
      <c r="P2269" s="265" t="str">
        <f>IFERROR(__xludf.DUMMYFUNCTION("IF(ISBLANK(A2269),"""",IFERROR(IF(H2269=""Sell"",VLOOKUP(9^99,FILTER({ROW(P$2:P2268),P$2:P2268},D$2:D2268=D2269),2),(VLOOKUP(9^99,FILTER({ROW(P$2:P2268),P$2:P2268},D$2:D2268=D2269),2)*VLOOKUP(9^99,FILTER({ROW(O$2:O2268),O$2:O2268},D$2:D2268=D2269),2)-N226"&amp;"9)/O2269),J2269))"),"")</f>
        <v/>
      </c>
      <c r="Q2269" s="264" t="str">
        <f>IFERROR(__xludf.DUMMYFUNCTION("IFERROR(IF(F2269=""Crypto"",B2269,(IF(ISBLANK(D2269),"""",IF(D2269=""Cash"",B2269,IF(GOOGLEFINANCE(D2269,""CURRENCY"")=""GBX"",""GBP"",GOOGLEFINANCE(D2269,""CURRENCY"")))))),B2269)"),"")</f>
        <v/>
      </c>
      <c r="R2269" s="263" t="str">
        <f>IFERROR(__xludf.DUMMYFUNCTION("IF(ISBLANK(A2269),"""",IFERROR(IF(OR(Q2269=""GPB"",Q2269=""ZAR""),IF(Q2269=Dashboard!$L$1,K2269,(K2269*GOOGLEFINANCE(""CURRENCY:""&amp;Q2269&amp;""""&amp;Dashboard!$L$1&amp;""""))/100),IF(Q2269=Dashboard!$L$1,K2269,K2269*GOOGLEFINANCE(""CURRENCY:""&amp;Q2269&amp;""""&amp;Dashboard!$"&amp;"L$1&amp;""""))),K2269))"),"")</f>
        <v/>
      </c>
      <c r="S2269" s="266" t="str">
        <f>IFERROR(__xludf.DUMMYFUNCTION("IF(ISBLANK(A2269),"""",IFERROR(IF(OR(Q2269=""GPB"",Q2269=""ZAR""),IF(Q2269=Dashboard!$L$1,M2269,(M2269*GOOGLEFINANCE(""CURRENCY:""&amp;Q2269&amp;""""&amp;Dashboard!$L$1&amp;""""))/100),IF(Q2269=Dashboard!$L$1,M2269,M2269*GOOGLEFINANCE(""CURRENCY:""&amp;Q2269&amp;""""&amp;Dashboard!$"&amp;"L$1&amp;""""))),M2269))"),"")</f>
        <v/>
      </c>
      <c r="T2269" s="264" t="str">
        <f t="shared" si="4"/>
        <v/>
      </c>
      <c r="U2269" s="264" t="str">
        <f t="shared" si="5"/>
        <v/>
      </c>
      <c r="V2269" s="264" t="str">
        <f t="shared" si="6"/>
        <v/>
      </c>
      <c r="W2269" s="267" t="str">
        <f t="shared" si="8"/>
        <v/>
      </c>
      <c r="X2269" s="264" t="str">
        <f t="shared" si="7"/>
        <v/>
      </c>
    </row>
    <row r="2270" ht="15.75" customHeight="1">
      <c r="A2270" s="258"/>
      <c r="B2270" s="258"/>
      <c r="C2270" s="269"/>
      <c r="D2270" s="258"/>
      <c r="E2270" s="258"/>
      <c r="F2270" s="258"/>
      <c r="G2270" s="258"/>
      <c r="H2270" s="271"/>
      <c r="I2270" s="258"/>
      <c r="J2270" s="272"/>
      <c r="K2270" s="260"/>
      <c r="L2270" s="261"/>
      <c r="M2270" s="262" t="str">
        <f t="shared" si="1"/>
        <v/>
      </c>
      <c r="N2270" s="263" t="str">
        <f t="shared" si="2"/>
        <v/>
      </c>
      <c r="O2270" s="264" t="str">
        <f t="shared" si="3"/>
        <v/>
      </c>
      <c r="P2270" s="265" t="str">
        <f>IFERROR(__xludf.DUMMYFUNCTION("IF(ISBLANK(A2270),"""",IFERROR(IF(H2270=""Sell"",VLOOKUP(9^99,FILTER({ROW(P$2:P2269),P$2:P2269},D$2:D2269=D2270),2),(VLOOKUP(9^99,FILTER({ROW(P$2:P2269),P$2:P2269},D$2:D2269=D2270),2)*VLOOKUP(9^99,FILTER({ROW(O$2:O2269),O$2:O2269},D$2:D2269=D2270),2)-N227"&amp;"0)/O2270),J2270))"),"")</f>
        <v/>
      </c>
      <c r="Q2270" s="264" t="str">
        <f>IFERROR(__xludf.DUMMYFUNCTION("IFERROR(IF(F2270=""Crypto"",B2270,(IF(ISBLANK(D2270),"""",IF(D2270=""Cash"",B2270,IF(GOOGLEFINANCE(D2270,""CURRENCY"")=""GBX"",""GBP"",GOOGLEFINANCE(D2270,""CURRENCY"")))))),B2270)"),"")</f>
        <v/>
      </c>
      <c r="R2270" s="263" t="str">
        <f>IFERROR(__xludf.DUMMYFUNCTION("IF(ISBLANK(A2270),"""",IFERROR(IF(OR(Q2270=""GPB"",Q2270=""ZAR""),IF(Q2270=Dashboard!$L$1,K2270,(K2270*GOOGLEFINANCE(""CURRENCY:""&amp;Q2270&amp;""""&amp;Dashboard!$L$1&amp;""""))/100),IF(Q2270=Dashboard!$L$1,K2270,K2270*GOOGLEFINANCE(""CURRENCY:""&amp;Q2270&amp;""""&amp;Dashboard!$"&amp;"L$1&amp;""""))),K2270))"),"")</f>
        <v/>
      </c>
      <c r="S2270" s="266" t="str">
        <f>IFERROR(__xludf.DUMMYFUNCTION("IF(ISBLANK(A2270),"""",IFERROR(IF(OR(Q2270=""GPB"",Q2270=""ZAR""),IF(Q2270=Dashboard!$L$1,M2270,(M2270*GOOGLEFINANCE(""CURRENCY:""&amp;Q2270&amp;""""&amp;Dashboard!$L$1&amp;""""))/100),IF(Q2270=Dashboard!$L$1,M2270,M2270*GOOGLEFINANCE(""CURRENCY:""&amp;Q2270&amp;""""&amp;Dashboard!$"&amp;"L$1&amp;""""))),M2270))"),"")</f>
        <v/>
      </c>
      <c r="T2270" s="264" t="str">
        <f t="shared" si="4"/>
        <v/>
      </c>
      <c r="U2270" s="264" t="str">
        <f t="shared" si="5"/>
        <v/>
      </c>
      <c r="V2270" s="264" t="str">
        <f t="shared" si="6"/>
        <v/>
      </c>
      <c r="W2270" s="267" t="str">
        <f t="shared" si="8"/>
        <v/>
      </c>
      <c r="X2270" s="264" t="str">
        <f t="shared" si="7"/>
        <v/>
      </c>
    </row>
    <row r="2271" ht="15.75" customHeight="1">
      <c r="A2271" s="258"/>
      <c r="B2271" s="258"/>
      <c r="C2271" s="269"/>
      <c r="D2271" s="258"/>
      <c r="E2271" s="258"/>
      <c r="F2271" s="258"/>
      <c r="G2271" s="258"/>
      <c r="H2271" s="271"/>
      <c r="I2271" s="258"/>
      <c r="J2271" s="272"/>
      <c r="K2271" s="260"/>
      <c r="L2271" s="261"/>
      <c r="M2271" s="262" t="str">
        <f t="shared" si="1"/>
        <v/>
      </c>
      <c r="N2271" s="263" t="str">
        <f t="shared" si="2"/>
        <v/>
      </c>
      <c r="O2271" s="264" t="str">
        <f t="shared" si="3"/>
        <v/>
      </c>
      <c r="P2271" s="265" t="str">
        <f>IFERROR(__xludf.DUMMYFUNCTION("IF(ISBLANK(A2271),"""",IFERROR(IF(H2271=""Sell"",VLOOKUP(9^99,FILTER({ROW(P$2:P2270),P$2:P2270},D$2:D2270=D2271),2),(VLOOKUP(9^99,FILTER({ROW(P$2:P2270),P$2:P2270},D$2:D2270=D2271),2)*VLOOKUP(9^99,FILTER({ROW(O$2:O2270),O$2:O2270},D$2:D2270=D2271),2)-N227"&amp;"1)/O2271),J2271))"),"")</f>
        <v/>
      </c>
      <c r="Q2271" s="264" t="str">
        <f>IFERROR(__xludf.DUMMYFUNCTION("IFERROR(IF(F2271=""Crypto"",B2271,(IF(ISBLANK(D2271),"""",IF(D2271=""Cash"",B2271,IF(GOOGLEFINANCE(D2271,""CURRENCY"")=""GBX"",""GBP"",GOOGLEFINANCE(D2271,""CURRENCY"")))))),B2271)"),"")</f>
        <v/>
      </c>
      <c r="R2271" s="263" t="str">
        <f>IFERROR(__xludf.DUMMYFUNCTION("IF(ISBLANK(A2271),"""",IFERROR(IF(OR(Q2271=""GPB"",Q2271=""ZAR""),IF(Q2271=Dashboard!$L$1,K2271,(K2271*GOOGLEFINANCE(""CURRENCY:""&amp;Q2271&amp;""""&amp;Dashboard!$L$1&amp;""""))/100),IF(Q2271=Dashboard!$L$1,K2271,K2271*GOOGLEFINANCE(""CURRENCY:""&amp;Q2271&amp;""""&amp;Dashboard!$"&amp;"L$1&amp;""""))),K2271))"),"")</f>
        <v/>
      </c>
      <c r="S2271" s="266" t="str">
        <f>IFERROR(__xludf.DUMMYFUNCTION("IF(ISBLANK(A2271),"""",IFERROR(IF(OR(Q2271=""GPB"",Q2271=""ZAR""),IF(Q2271=Dashboard!$L$1,M2271,(M2271*GOOGLEFINANCE(""CURRENCY:""&amp;Q2271&amp;""""&amp;Dashboard!$L$1&amp;""""))/100),IF(Q2271=Dashboard!$L$1,M2271,M2271*GOOGLEFINANCE(""CURRENCY:""&amp;Q2271&amp;""""&amp;Dashboard!$"&amp;"L$1&amp;""""))),M2271))"),"")</f>
        <v/>
      </c>
      <c r="T2271" s="264" t="str">
        <f t="shared" si="4"/>
        <v/>
      </c>
      <c r="U2271" s="264" t="str">
        <f t="shared" si="5"/>
        <v/>
      </c>
      <c r="V2271" s="264" t="str">
        <f t="shared" si="6"/>
        <v/>
      </c>
      <c r="W2271" s="267" t="str">
        <f t="shared" si="8"/>
        <v/>
      </c>
      <c r="X2271" s="264" t="str">
        <f t="shared" si="7"/>
        <v/>
      </c>
    </row>
    <row r="2272" ht="15.75" customHeight="1">
      <c r="A2272" s="258"/>
      <c r="B2272" s="258"/>
      <c r="C2272" s="269"/>
      <c r="D2272" s="258"/>
      <c r="E2272" s="258"/>
      <c r="F2272" s="258"/>
      <c r="G2272" s="258"/>
      <c r="H2272" s="271"/>
      <c r="I2272" s="258"/>
      <c r="J2272" s="272"/>
      <c r="K2272" s="260"/>
      <c r="L2272" s="261"/>
      <c r="M2272" s="262" t="str">
        <f t="shared" si="1"/>
        <v/>
      </c>
      <c r="N2272" s="263" t="str">
        <f t="shared" si="2"/>
        <v/>
      </c>
      <c r="O2272" s="264" t="str">
        <f t="shared" si="3"/>
        <v/>
      </c>
      <c r="P2272" s="265" t="str">
        <f>IFERROR(__xludf.DUMMYFUNCTION("IF(ISBLANK(A2272),"""",IFERROR(IF(H2272=""Sell"",VLOOKUP(9^99,FILTER({ROW(P$2:P2271),P$2:P2271},D$2:D2271=D2272),2),(VLOOKUP(9^99,FILTER({ROW(P$2:P2271),P$2:P2271},D$2:D2271=D2272),2)*VLOOKUP(9^99,FILTER({ROW(O$2:O2271),O$2:O2271},D$2:D2271=D2272),2)-N227"&amp;"2)/O2272),J2272))"),"")</f>
        <v/>
      </c>
      <c r="Q2272" s="264" t="str">
        <f>IFERROR(__xludf.DUMMYFUNCTION("IFERROR(IF(F2272=""Crypto"",B2272,(IF(ISBLANK(D2272),"""",IF(D2272=""Cash"",B2272,IF(GOOGLEFINANCE(D2272,""CURRENCY"")=""GBX"",""GBP"",GOOGLEFINANCE(D2272,""CURRENCY"")))))),B2272)"),"")</f>
        <v/>
      </c>
      <c r="R2272" s="263" t="str">
        <f>IFERROR(__xludf.DUMMYFUNCTION("IF(ISBLANK(A2272),"""",IFERROR(IF(OR(Q2272=""GPB"",Q2272=""ZAR""),IF(Q2272=Dashboard!$L$1,K2272,(K2272*GOOGLEFINANCE(""CURRENCY:""&amp;Q2272&amp;""""&amp;Dashboard!$L$1&amp;""""))/100),IF(Q2272=Dashboard!$L$1,K2272,K2272*GOOGLEFINANCE(""CURRENCY:""&amp;Q2272&amp;""""&amp;Dashboard!$"&amp;"L$1&amp;""""))),K2272))"),"")</f>
        <v/>
      </c>
      <c r="S2272" s="266" t="str">
        <f>IFERROR(__xludf.DUMMYFUNCTION("IF(ISBLANK(A2272),"""",IFERROR(IF(OR(Q2272=""GPB"",Q2272=""ZAR""),IF(Q2272=Dashboard!$L$1,M2272,(M2272*GOOGLEFINANCE(""CURRENCY:""&amp;Q2272&amp;""""&amp;Dashboard!$L$1&amp;""""))/100),IF(Q2272=Dashboard!$L$1,M2272,M2272*GOOGLEFINANCE(""CURRENCY:""&amp;Q2272&amp;""""&amp;Dashboard!$"&amp;"L$1&amp;""""))),M2272))"),"")</f>
        <v/>
      </c>
      <c r="T2272" s="264" t="str">
        <f t="shared" si="4"/>
        <v/>
      </c>
      <c r="U2272" s="264" t="str">
        <f t="shared" si="5"/>
        <v/>
      </c>
      <c r="V2272" s="264" t="str">
        <f t="shared" si="6"/>
        <v/>
      </c>
      <c r="W2272" s="267" t="str">
        <f t="shared" si="8"/>
        <v/>
      </c>
      <c r="X2272" s="264" t="str">
        <f t="shared" si="7"/>
        <v/>
      </c>
    </row>
    <row r="2273" ht="15.75" customHeight="1">
      <c r="A2273" s="258"/>
      <c r="B2273" s="258"/>
      <c r="C2273" s="269"/>
      <c r="D2273" s="258"/>
      <c r="E2273" s="258"/>
      <c r="F2273" s="258"/>
      <c r="G2273" s="258"/>
      <c r="H2273" s="271"/>
      <c r="I2273" s="258"/>
      <c r="J2273" s="272"/>
      <c r="K2273" s="260"/>
      <c r="L2273" s="261"/>
      <c r="M2273" s="262" t="str">
        <f t="shared" si="1"/>
        <v/>
      </c>
      <c r="N2273" s="263" t="str">
        <f t="shared" si="2"/>
        <v/>
      </c>
      <c r="O2273" s="264" t="str">
        <f t="shared" si="3"/>
        <v/>
      </c>
      <c r="P2273" s="265" t="str">
        <f>IFERROR(__xludf.DUMMYFUNCTION("IF(ISBLANK(A2273),"""",IFERROR(IF(H2273=""Sell"",VLOOKUP(9^99,FILTER({ROW(P$2:P2272),P$2:P2272},D$2:D2272=D2273),2),(VLOOKUP(9^99,FILTER({ROW(P$2:P2272),P$2:P2272},D$2:D2272=D2273),2)*VLOOKUP(9^99,FILTER({ROW(O$2:O2272),O$2:O2272},D$2:D2272=D2273),2)-N227"&amp;"3)/O2273),J2273))"),"")</f>
        <v/>
      </c>
      <c r="Q2273" s="264" t="str">
        <f>IFERROR(__xludf.DUMMYFUNCTION("IFERROR(IF(F2273=""Crypto"",B2273,(IF(ISBLANK(D2273),"""",IF(D2273=""Cash"",B2273,IF(GOOGLEFINANCE(D2273,""CURRENCY"")=""GBX"",""GBP"",GOOGLEFINANCE(D2273,""CURRENCY"")))))),B2273)"),"")</f>
        <v/>
      </c>
      <c r="R2273" s="263" t="str">
        <f>IFERROR(__xludf.DUMMYFUNCTION("IF(ISBLANK(A2273),"""",IFERROR(IF(OR(Q2273=""GPB"",Q2273=""ZAR""),IF(Q2273=Dashboard!$L$1,K2273,(K2273*GOOGLEFINANCE(""CURRENCY:""&amp;Q2273&amp;""""&amp;Dashboard!$L$1&amp;""""))/100),IF(Q2273=Dashboard!$L$1,K2273,K2273*GOOGLEFINANCE(""CURRENCY:""&amp;Q2273&amp;""""&amp;Dashboard!$"&amp;"L$1&amp;""""))),K2273))"),"")</f>
        <v/>
      </c>
      <c r="S2273" s="266" t="str">
        <f>IFERROR(__xludf.DUMMYFUNCTION("IF(ISBLANK(A2273),"""",IFERROR(IF(OR(Q2273=""GPB"",Q2273=""ZAR""),IF(Q2273=Dashboard!$L$1,M2273,(M2273*GOOGLEFINANCE(""CURRENCY:""&amp;Q2273&amp;""""&amp;Dashboard!$L$1&amp;""""))/100),IF(Q2273=Dashboard!$L$1,M2273,M2273*GOOGLEFINANCE(""CURRENCY:""&amp;Q2273&amp;""""&amp;Dashboard!$"&amp;"L$1&amp;""""))),M2273))"),"")</f>
        <v/>
      </c>
      <c r="T2273" s="264" t="str">
        <f t="shared" si="4"/>
        <v/>
      </c>
      <c r="U2273" s="264" t="str">
        <f t="shared" si="5"/>
        <v/>
      </c>
      <c r="V2273" s="264" t="str">
        <f t="shared" si="6"/>
        <v/>
      </c>
      <c r="W2273" s="267" t="str">
        <f t="shared" si="8"/>
        <v/>
      </c>
      <c r="X2273" s="264" t="str">
        <f t="shared" si="7"/>
        <v/>
      </c>
    </row>
    <row r="2274" ht="15.75" customHeight="1">
      <c r="A2274" s="258"/>
      <c r="B2274" s="258"/>
      <c r="C2274" s="269"/>
      <c r="D2274" s="258"/>
      <c r="E2274" s="258"/>
      <c r="F2274" s="258"/>
      <c r="G2274" s="258"/>
      <c r="H2274" s="271"/>
      <c r="I2274" s="258"/>
      <c r="J2274" s="272"/>
      <c r="K2274" s="260"/>
      <c r="L2274" s="261"/>
      <c r="M2274" s="262" t="str">
        <f t="shared" si="1"/>
        <v/>
      </c>
      <c r="N2274" s="263" t="str">
        <f t="shared" si="2"/>
        <v/>
      </c>
      <c r="O2274" s="264" t="str">
        <f t="shared" si="3"/>
        <v/>
      </c>
      <c r="P2274" s="265" t="str">
        <f>IFERROR(__xludf.DUMMYFUNCTION("IF(ISBLANK(A2274),"""",IFERROR(IF(H2274=""Sell"",VLOOKUP(9^99,FILTER({ROW(P$2:P2273),P$2:P2273},D$2:D2273=D2274),2),(VLOOKUP(9^99,FILTER({ROW(P$2:P2273),P$2:P2273},D$2:D2273=D2274),2)*VLOOKUP(9^99,FILTER({ROW(O$2:O2273),O$2:O2273},D$2:D2273=D2274),2)-N227"&amp;"4)/O2274),J2274))"),"")</f>
        <v/>
      </c>
      <c r="Q2274" s="264" t="str">
        <f>IFERROR(__xludf.DUMMYFUNCTION("IFERROR(IF(F2274=""Crypto"",B2274,(IF(ISBLANK(D2274),"""",IF(D2274=""Cash"",B2274,IF(GOOGLEFINANCE(D2274,""CURRENCY"")=""GBX"",""GBP"",GOOGLEFINANCE(D2274,""CURRENCY"")))))),B2274)"),"")</f>
        <v/>
      </c>
      <c r="R2274" s="263" t="str">
        <f>IFERROR(__xludf.DUMMYFUNCTION("IF(ISBLANK(A2274),"""",IFERROR(IF(OR(Q2274=""GPB"",Q2274=""ZAR""),IF(Q2274=Dashboard!$L$1,K2274,(K2274*GOOGLEFINANCE(""CURRENCY:""&amp;Q2274&amp;""""&amp;Dashboard!$L$1&amp;""""))/100),IF(Q2274=Dashboard!$L$1,K2274,K2274*GOOGLEFINANCE(""CURRENCY:""&amp;Q2274&amp;""""&amp;Dashboard!$"&amp;"L$1&amp;""""))),K2274))"),"")</f>
        <v/>
      </c>
      <c r="S2274" s="266" t="str">
        <f>IFERROR(__xludf.DUMMYFUNCTION("IF(ISBLANK(A2274),"""",IFERROR(IF(OR(Q2274=""GPB"",Q2274=""ZAR""),IF(Q2274=Dashboard!$L$1,M2274,(M2274*GOOGLEFINANCE(""CURRENCY:""&amp;Q2274&amp;""""&amp;Dashboard!$L$1&amp;""""))/100),IF(Q2274=Dashboard!$L$1,M2274,M2274*GOOGLEFINANCE(""CURRENCY:""&amp;Q2274&amp;""""&amp;Dashboard!$"&amp;"L$1&amp;""""))),M2274))"),"")</f>
        <v/>
      </c>
      <c r="T2274" s="264" t="str">
        <f t="shared" si="4"/>
        <v/>
      </c>
      <c r="U2274" s="264" t="str">
        <f t="shared" si="5"/>
        <v/>
      </c>
      <c r="V2274" s="264" t="str">
        <f t="shared" si="6"/>
        <v/>
      </c>
      <c r="W2274" s="267" t="str">
        <f t="shared" si="8"/>
        <v/>
      </c>
      <c r="X2274" s="264" t="str">
        <f t="shared" si="7"/>
        <v/>
      </c>
    </row>
    <row r="2275" ht="15.75" customHeight="1">
      <c r="A2275" s="258"/>
      <c r="B2275" s="258"/>
      <c r="C2275" s="269"/>
      <c r="D2275" s="258"/>
      <c r="E2275" s="258"/>
      <c r="F2275" s="258"/>
      <c r="G2275" s="258"/>
      <c r="H2275" s="271"/>
      <c r="I2275" s="258"/>
      <c r="J2275" s="272"/>
      <c r="K2275" s="260"/>
      <c r="L2275" s="261"/>
      <c r="M2275" s="262" t="str">
        <f t="shared" si="1"/>
        <v/>
      </c>
      <c r="N2275" s="263" t="str">
        <f t="shared" si="2"/>
        <v/>
      </c>
      <c r="O2275" s="264" t="str">
        <f t="shared" si="3"/>
        <v/>
      </c>
      <c r="P2275" s="265" t="str">
        <f>IFERROR(__xludf.DUMMYFUNCTION("IF(ISBLANK(A2275),"""",IFERROR(IF(H2275=""Sell"",VLOOKUP(9^99,FILTER({ROW(P$2:P2274),P$2:P2274},D$2:D2274=D2275),2),(VLOOKUP(9^99,FILTER({ROW(P$2:P2274),P$2:P2274},D$2:D2274=D2275),2)*VLOOKUP(9^99,FILTER({ROW(O$2:O2274),O$2:O2274},D$2:D2274=D2275),2)-N227"&amp;"5)/O2275),J2275))"),"")</f>
        <v/>
      </c>
      <c r="Q2275" s="264" t="str">
        <f>IFERROR(__xludf.DUMMYFUNCTION("IFERROR(IF(F2275=""Crypto"",B2275,(IF(ISBLANK(D2275),"""",IF(D2275=""Cash"",B2275,IF(GOOGLEFINANCE(D2275,""CURRENCY"")=""GBX"",""GBP"",GOOGLEFINANCE(D2275,""CURRENCY"")))))),B2275)"),"")</f>
        <v/>
      </c>
      <c r="R2275" s="263" t="str">
        <f>IFERROR(__xludf.DUMMYFUNCTION("IF(ISBLANK(A2275),"""",IFERROR(IF(OR(Q2275=""GPB"",Q2275=""ZAR""),IF(Q2275=Dashboard!$L$1,K2275,(K2275*GOOGLEFINANCE(""CURRENCY:""&amp;Q2275&amp;""""&amp;Dashboard!$L$1&amp;""""))/100),IF(Q2275=Dashboard!$L$1,K2275,K2275*GOOGLEFINANCE(""CURRENCY:""&amp;Q2275&amp;""""&amp;Dashboard!$"&amp;"L$1&amp;""""))),K2275))"),"")</f>
        <v/>
      </c>
      <c r="S2275" s="266" t="str">
        <f>IFERROR(__xludf.DUMMYFUNCTION("IF(ISBLANK(A2275),"""",IFERROR(IF(OR(Q2275=""GPB"",Q2275=""ZAR""),IF(Q2275=Dashboard!$L$1,M2275,(M2275*GOOGLEFINANCE(""CURRENCY:""&amp;Q2275&amp;""""&amp;Dashboard!$L$1&amp;""""))/100),IF(Q2275=Dashboard!$L$1,M2275,M2275*GOOGLEFINANCE(""CURRENCY:""&amp;Q2275&amp;""""&amp;Dashboard!$"&amp;"L$1&amp;""""))),M2275))"),"")</f>
        <v/>
      </c>
      <c r="T2275" s="264" t="str">
        <f t="shared" si="4"/>
        <v/>
      </c>
      <c r="U2275" s="264" t="str">
        <f t="shared" si="5"/>
        <v/>
      </c>
      <c r="V2275" s="264" t="str">
        <f t="shared" si="6"/>
        <v/>
      </c>
      <c r="W2275" s="267" t="str">
        <f t="shared" si="8"/>
        <v/>
      </c>
      <c r="X2275" s="264" t="str">
        <f t="shared" si="7"/>
        <v/>
      </c>
    </row>
    <row r="2276" ht="15.75" customHeight="1">
      <c r="A2276" s="258"/>
      <c r="B2276" s="258"/>
      <c r="C2276" s="269"/>
      <c r="D2276" s="258"/>
      <c r="E2276" s="258"/>
      <c r="F2276" s="258"/>
      <c r="G2276" s="258"/>
      <c r="H2276" s="271"/>
      <c r="I2276" s="258"/>
      <c r="J2276" s="272"/>
      <c r="K2276" s="260"/>
      <c r="L2276" s="261"/>
      <c r="M2276" s="262" t="str">
        <f t="shared" si="1"/>
        <v/>
      </c>
      <c r="N2276" s="263" t="str">
        <f t="shared" si="2"/>
        <v/>
      </c>
      <c r="O2276" s="264" t="str">
        <f t="shared" si="3"/>
        <v/>
      </c>
      <c r="P2276" s="265" t="str">
        <f>IFERROR(__xludf.DUMMYFUNCTION("IF(ISBLANK(A2276),"""",IFERROR(IF(H2276=""Sell"",VLOOKUP(9^99,FILTER({ROW(P$2:P2275),P$2:P2275},D$2:D2275=D2276),2),(VLOOKUP(9^99,FILTER({ROW(P$2:P2275),P$2:P2275},D$2:D2275=D2276),2)*VLOOKUP(9^99,FILTER({ROW(O$2:O2275),O$2:O2275},D$2:D2275=D2276),2)-N227"&amp;"6)/O2276),J2276))"),"")</f>
        <v/>
      </c>
      <c r="Q2276" s="264" t="str">
        <f>IFERROR(__xludf.DUMMYFUNCTION("IFERROR(IF(F2276=""Crypto"",B2276,(IF(ISBLANK(D2276),"""",IF(D2276=""Cash"",B2276,IF(GOOGLEFINANCE(D2276,""CURRENCY"")=""GBX"",""GBP"",GOOGLEFINANCE(D2276,""CURRENCY"")))))),B2276)"),"")</f>
        <v/>
      </c>
      <c r="R2276" s="263" t="str">
        <f>IFERROR(__xludf.DUMMYFUNCTION("IF(ISBLANK(A2276),"""",IFERROR(IF(OR(Q2276=""GPB"",Q2276=""ZAR""),IF(Q2276=Dashboard!$L$1,K2276,(K2276*GOOGLEFINANCE(""CURRENCY:""&amp;Q2276&amp;""""&amp;Dashboard!$L$1&amp;""""))/100),IF(Q2276=Dashboard!$L$1,K2276,K2276*GOOGLEFINANCE(""CURRENCY:""&amp;Q2276&amp;""""&amp;Dashboard!$"&amp;"L$1&amp;""""))),K2276))"),"")</f>
        <v/>
      </c>
      <c r="S2276" s="266" t="str">
        <f>IFERROR(__xludf.DUMMYFUNCTION("IF(ISBLANK(A2276),"""",IFERROR(IF(OR(Q2276=""GPB"",Q2276=""ZAR""),IF(Q2276=Dashboard!$L$1,M2276,(M2276*GOOGLEFINANCE(""CURRENCY:""&amp;Q2276&amp;""""&amp;Dashboard!$L$1&amp;""""))/100),IF(Q2276=Dashboard!$L$1,M2276,M2276*GOOGLEFINANCE(""CURRENCY:""&amp;Q2276&amp;""""&amp;Dashboard!$"&amp;"L$1&amp;""""))),M2276))"),"")</f>
        <v/>
      </c>
      <c r="T2276" s="264" t="str">
        <f t="shared" si="4"/>
        <v/>
      </c>
      <c r="U2276" s="264" t="str">
        <f t="shared" si="5"/>
        <v/>
      </c>
      <c r="V2276" s="264" t="str">
        <f t="shared" si="6"/>
        <v/>
      </c>
      <c r="W2276" s="267" t="str">
        <f t="shared" si="8"/>
        <v/>
      </c>
      <c r="X2276" s="264" t="str">
        <f t="shared" si="7"/>
        <v/>
      </c>
    </row>
    <row r="2277" ht="15.75" customHeight="1">
      <c r="A2277" s="258"/>
      <c r="B2277" s="258"/>
      <c r="C2277" s="269"/>
      <c r="D2277" s="258"/>
      <c r="E2277" s="258"/>
      <c r="F2277" s="258"/>
      <c r="G2277" s="258"/>
      <c r="H2277" s="271"/>
      <c r="I2277" s="258"/>
      <c r="J2277" s="272"/>
      <c r="K2277" s="260"/>
      <c r="L2277" s="261"/>
      <c r="M2277" s="262" t="str">
        <f t="shared" si="1"/>
        <v/>
      </c>
      <c r="N2277" s="263" t="str">
        <f t="shared" si="2"/>
        <v/>
      </c>
      <c r="O2277" s="264" t="str">
        <f t="shared" si="3"/>
        <v/>
      </c>
      <c r="P2277" s="265" t="str">
        <f>IFERROR(__xludf.DUMMYFUNCTION("IF(ISBLANK(A2277),"""",IFERROR(IF(H2277=""Sell"",VLOOKUP(9^99,FILTER({ROW(P$2:P2276),P$2:P2276},D$2:D2276=D2277),2),(VLOOKUP(9^99,FILTER({ROW(P$2:P2276),P$2:P2276},D$2:D2276=D2277),2)*VLOOKUP(9^99,FILTER({ROW(O$2:O2276),O$2:O2276},D$2:D2276=D2277),2)-N227"&amp;"7)/O2277),J2277))"),"")</f>
        <v/>
      </c>
      <c r="Q2277" s="264" t="str">
        <f>IFERROR(__xludf.DUMMYFUNCTION("IFERROR(IF(F2277=""Crypto"",B2277,(IF(ISBLANK(D2277),"""",IF(D2277=""Cash"",B2277,IF(GOOGLEFINANCE(D2277,""CURRENCY"")=""GBX"",""GBP"",GOOGLEFINANCE(D2277,""CURRENCY"")))))),B2277)"),"")</f>
        <v/>
      </c>
      <c r="R2277" s="263" t="str">
        <f>IFERROR(__xludf.DUMMYFUNCTION("IF(ISBLANK(A2277),"""",IFERROR(IF(OR(Q2277=""GPB"",Q2277=""ZAR""),IF(Q2277=Dashboard!$L$1,K2277,(K2277*GOOGLEFINANCE(""CURRENCY:""&amp;Q2277&amp;""""&amp;Dashboard!$L$1&amp;""""))/100),IF(Q2277=Dashboard!$L$1,K2277,K2277*GOOGLEFINANCE(""CURRENCY:""&amp;Q2277&amp;""""&amp;Dashboard!$"&amp;"L$1&amp;""""))),K2277))"),"")</f>
        <v/>
      </c>
      <c r="S2277" s="266" t="str">
        <f>IFERROR(__xludf.DUMMYFUNCTION("IF(ISBLANK(A2277),"""",IFERROR(IF(OR(Q2277=""GPB"",Q2277=""ZAR""),IF(Q2277=Dashboard!$L$1,M2277,(M2277*GOOGLEFINANCE(""CURRENCY:""&amp;Q2277&amp;""""&amp;Dashboard!$L$1&amp;""""))/100),IF(Q2277=Dashboard!$L$1,M2277,M2277*GOOGLEFINANCE(""CURRENCY:""&amp;Q2277&amp;""""&amp;Dashboard!$"&amp;"L$1&amp;""""))),M2277))"),"")</f>
        <v/>
      </c>
      <c r="T2277" s="264" t="str">
        <f t="shared" si="4"/>
        <v/>
      </c>
      <c r="U2277" s="264" t="str">
        <f t="shared" si="5"/>
        <v/>
      </c>
      <c r="V2277" s="264" t="str">
        <f t="shared" si="6"/>
        <v/>
      </c>
      <c r="W2277" s="267" t="str">
        <f t="shared" si="8"/>
        <v/>
      </c>
      <c r="X2277" s="264" t="str">
        <f t="shared" si="7"/>
        <v/>
      </c>
    </row>
    <row r="2278" ht="15.75" customHeight="1">
      <c r="A2278" s="258"/>
      <c r="B2278" s="258"/>
      <c r="C2278" s="269"/>
      <c r="D2278" s="258"/>
      <c r="E2278" s="258"/>
      <c r="F2278" s="258"/>
      <c r="G2278" s="258"/>
      <c r="H2278" s="271"/>
      <c r="I2278" s="258"/>
      <c r="J2278" s="272"/>
      <c r="K2278" s="260"/>
      <c r="L2278" s="261"/>
      <c r="M2278" s="262" t="str">
        <f t="shared" si="1"/>
        <v/>
      </c>
      <c r="N2278" s="263" t="str">
        <f t="shared" si="2"/>
        <v/>
      </c>
      <c r="O2278" s="264" t="str">
        <f t="shared" si="3"/>
        <v/>
      </c>
      <c r="P2278" s="265" t="str">
        <f>IFERROR(__xludf.DUMMYFUNCTION("IF(ISBLANK(A2278),"""",IFERROR(IF(H2278=""Sell"",VLOOKUP(9^99,FILTER({ROW(P$2:P2277),P$2:P2277},D$2:D2277=D2278),2),(VLOOKUP(9^99,FILTER({ROW(P$2:P2277),P$2:P2277},D$2:D2277=D2278),2)*VLOOKUP(9^99,FILTER({ROW(O$2:O2277),O$2:O2277},D$2:D2277=D2278),2)-N227"&amp;"8)/O2278),J2278))"),"")</f>
        <v/>
      </c>
      <c r="Q2278" s="264" t="str">
        <f>IFERROR(__xludf.DUMMYFUNCTION("IFERROR(IF(F2278=""Crypto"",B2278,(IF(ISBLANK(D2278),"""",IF(D2278=""Cash"",B2278,IF(GOOGLEFINANCE(D2278,""CURRENCY"")=""GBX"",""GBP"",GOOGLEFINANCE(D2278,""CURRENCY"")))))),B2278)"),"")</f>
        <v/>
      </c>
      <c r="R2278" s="263" t="str">
        <f>IFERROR(__xludf.DUMMYFUNCTION("IF(ISBLANK(A2278),"""",IFERROR(IF(OR(Q2278=""GPB"",Q2278=""ZAR""),IF(Q2278=Dashboard!$L$1,K2278,(K2278*GOOGLEFINANCE(""CURRENCY:""&amp;Q2278&amp;""""&amp;Dashboard!$L$1&amp;""""))/100),IF(Q2278=Dashboard!$L$1,K2278,K2278*GOOGLEFINANCE(""CURRENCY:""&amp;Q2278&amp;""""&amp;Dashboard!$"&amp;"L$1&amp;""""))),K2278))"),"")</f>
        <v/>
      </c>
      <c r="S2278" s="266" t="str">
        <f>IFERROR(__xludf.DUMMYFUNCTION("IF(ISBLANK(A2278),"""",IFERROR(IF(OR(Q2278=""GPB"",Q2278=""ZAR""),IF(Q2278=Dashboard!$L$1,M2278,(M2278*GOOGLEFINANCE(""CURRENCY:""&amp;Q2278&amp;""""&amp;Dashboard!$L$1&amp;""""))/100),IF(Q2278=Dashboard!$L$1,M2278,M2278*GOOGLEFINANCE(""CURRENCY:""&amp;Q2278&amp;""""&amp;Dashboard!$"&amp;"L$1&amp;""""))),M2278))"),"")</f>
        <v/>
      </c>
      <c r="T2278" s="264" t="str">
        <f t="shared" si="4"/>
        <v/>
      </c>
      <c r="U2278" s="264" t="str">
        <f t="shared" si="5"/>
        <v/>
      </c>
      <c r="V2278" s="264" t="str">
        <f t="shared" si="6"/>
        <v/>
      </c>
      <c r="W2278" s="267" t="str">
        <f t="shared" si="8"/>
        <v/>
      </c>
      <c r="X2278" s="264" t="str">
        <f t="shared" si="7"/>
        <v/>
      </c>
    </row>
    <row r="2279" ht="15.75" customHeight="1">
      <c r="A2279" s="258"/>
      <c r="B2279" s="258"/>
      <c r="C2279" s="269"/>
      <c r="D2279" s="258"/>
      <c r="E2279" s="258"/>
      <c r="F2279" s="258"/>
      <c r="G2279" s="258"/>
      <c r="H2279" s="271"/>
      <c r="I2279" s="258"/>
      <c r="J2279" s="272"/>
      <c r="K2279" s="260"/>
      <c r="L2279" s="261"/>
      <c r="M2279" s="262" t="str">
        <f t="shared" si="1"/>
        <v/>
      </c>
      <c r="N2279" s="263" t="str">
        <f t="shared" si="2"/>
        <v/>
      </c>
      <c r="O2279" s="264" t="str">
        <f t="shared" si="3"/>
        <v/>
      </c>
      <c r="P2279" s="265" t="str">
        <f>IFERROR(__xludf.DUMMYFUNCTION("IF(ISBLANK(A2279),"""",IFERROR(IF(H2279=""Sell"",VLOOKUP(9^99,FILTER({ROW(P$2:P2278),P$2:P2278},D$2:D2278=D2279),2),(VLOOKUP(9^99,FILTER({ROW(P$2:P2278),P$2:P2278},D$2:D2278=D2279),2)*VLOOKUP(9^99,FILTER({ROW(O$2:O2278),O$2:O2278},D$2:D2278=D2279),2)-N227"&amp;"9)/O2279),J2279))"),"")</f>
        <v/>
      </c>
      <c r="Q2279" s="264" t="str">
        <f>IFERROR(__xludf.DUMMYFUNCTION("IFERROR(IF(F2279=""Crypto"",B2279,(IF(ISBLANK(D2279),"""",IF(D2279=""Cash"",B2279,IF(GOOGLEFINANCE(D2279,""CURRENCY"")=""GBX"",""GBP"",GOOGLEFINANCE(D2279,""CURRENCY"")))))),B2279)"),"")</f>
        <v/>
      </c>
      <c r="R2279" s="263" t="str">
        <f>IFERROR(__xludf.DUMMYFUNCTION("IF(ISBLANK(A2279),"""",IFERROR(IF(OR(Q2279=""GPB"",Q2279=""ZAR""),IF(Q2279=Dashboard!$L$1,K2279,(K2279*GOOGLEFINANCE(""CURRENCY:""&amp;Q2279&amp;""""&amp;Dashboard!$L$1&amp;""""))/100),IF(Q2279=Dashboard!$L$1,K2279,K2279*GOOGLEFINANCE(""CURRENCY:""&amp;Q2279&amp;""""&amp;Dashboard!$"&amp;"L$1&amp;""""))),K2279))"),"")</f>
        <v/>
      </c>
      <c r="S2279" s="266" t="str">
        <f>IFERROR(__xludf.DUMMYFUNCTION("IF(ISBLANK(A2279),"""",IFERROR(IF(OR(Q2279=""GPB"",Q2279=""ZAR""),IF(Q2279=Dashboard!$L$1,M2279,(M2279*GOOGLEFINANCE(""CURRENCY:""&amp;Q2279&amp;""""&amp;Dashboard!$L$1&amp;""""))/100),IF(Q2279=Dashboard!$L$1,M2279,M2279*GOOGLEFINANCE(""CURRENCY:""&amp;Q2279&amp;""""&amp;Dashboard!$"&amp;"L$1&amp;""""))),M2279))"),"")</f>
        <v/>
      </c>
      <c r="T2279" s="264" t="str">
        <f t="shared" si="4"/>
        <v/>
      </c>
      <c r="U2279" s="264" t="str">
        <f t="shared" si="5"/>
        <v/>
      </c>
      <c r="V2279" s="264" t="str">
        <f t="shared" si="6"/>
        <v/>
      </c>
      <c r="W2279" s="267" t="str">
        <f t="shared" si="8"/>
        <v/>
      </c>
      <c r="X2279" s="264" t="str">
        <f t="shared" si="7"/>
        <v/>
      </c>
    </row>
    <row r="2280" ht="15.75" customHeight="1">
      <c r="A2280" s="258"/>
      <c r="B2280" s="258"/>
      <c r="C2280" s="269"/>
      <c r="D2280" s="258"/>
      <c r="E2280" s="258"/>
      <c r="F2280" s="258"/>
      <c r="G2280" s="258"/>
      <c r="H2280" s="271"/>
      <c r="I2280" s="258"/>
      <c r="J2280" s="272"/>
      <c r="K2280" s="260"/>
      <c r="L2280" s="261"/>
      <c r="M2280" s="262" t="str">
        <f t="shared" si="1"/>
        <v/>
      </c>
      <c r="N2280" s="263" t="str">
        <f t="shared" si="2"/>
        <v/>
      </c>
      <c r="O2280" s="264" t="str">
        <f t="shared" si="3"/>
        <v/>
      </c>
      <c r="P2280" s="265" t="str">
        <f>IFERROR(__xludf.DUMMYFUNCTION("IF(ISBLANK(A2280),"""",IFERROR(IF(H2280=""Sell"",VLOOKUP(9^99,FILTER({ROW(P$2:P2279),P$2:P2279},D$2:D2279=D2280),2),(VLOOKUP(9^99,FILTER({ROW(P$2:P2279),P$2:P2279},D$2:D2279=D2280),2)*VLOOKUP(9^99,FILTER({ROW(O$2:O2279),O$2:O2279},D$2:D2279=D2280),2)-N228"&amp;"0)/O2280),J2280))"),"")</f>
        <v/>
      </c>
      <c r="Q2280" s="264" t="str">
        <f>IFERROR(__xludf.DUMMYFUNCTION("IFERROR(IF(F2280=""Crypto"",B2280,(IF(ISBLANK(D2280),"""",IF(D2280=""Cash"",B2280,IF(GOOGLEFINANCE(D2280,""CURRENCY"")=""GBX"",""GBP"",GOOGLEFINANCE(D2280,""CURRENCY"")))))),B2280)"),"")</f>
        <v/>
      </c>
      <c r="R2280" s="263" t="str">
        <f>IFERROR(__xludf.DUMMYFUNCTION("IF(ISBLANK(A2280),"""",IFERROR(IF(OR(Q2280=""GPB"",Q2280=""ZAR""),IF(Q2280=Dashboard!$L$1,K2280,(K2280*GOOGLEFINANCE(""CURRENCY:""&amp;Q2280&amp;""""&amp;Dashboard!$L$1&amp;""""))/100),IF(Q2280=Dashboard!$L$1,K2280,K2280*GOOGLEFINANCE(""CURRENCY:""&amp;Q2280&amp;""""&amp;Dashboard!$"&amp;"L$1&amp;""""))),K2280))"),"")</f>
        <v/>
      </c>
      <c r="S2280" s="266" t="str">
        <f>IFERROR(__xludf.DUMMYFUNCTION("IF(ISBLANK(A2280),"""",IFERROR(IF(OR(Q2280=""GPB"",Q2280=""ZAR""),IF(Q2280=Dashboard!$L$1,M2280,(M2280*GOOGLEFINANCE(""CURRENCY:""&amp;Q2280&amp;""""&amp;Dashboard!$L$1&amp;""""))/100),IF(Q2280=Dashboard!$L$1,M2280,M2280*GOOGLEFINANCE(""CURRENCY:""&amp;Q2280&amp;""""&amp;Dashboard!$"&amp;"L$1&amp;""""))),M2280))"),"")</f>
        <v/>
      </c>
      <c r="T2280" s="264" t="str">
        <f t="shared" si="4"/>
        <v/>
      </c>
      <c r="U2280" s="264" t="str">
        <f t="shared" si="5"/>
        <v/>
      </c>
      <c r="V2280" s="264" t="str">
        <f t="shared" si="6"/>
        <v/>
      </c>
      <c r="W2280" s="267" t="str">
        <f t="shared" si="8"/>
        <v/>
      </c>
      <c r="X2280" s="264" t="str">
        <f t="shared" si="7"/>
        <v/>
      </c>
    </row>
    <row r="2281" ht="15.75" customHeight="1">
      <c r="A2281" s="258"/>
      <c r="B2281" s="258"/>
      <c r="C2281" s="269"/>
      <c r="D2281" s="258"/>
      <c r="E2281" s="258"/>
      <c r="F2281" s="258"/>
      <c r="G2281" s="258"/>
      <c r="H2281" s="271"/>
      <c r="I2281" s="258"/>
      <c r="J2281" s="272"/>
      <c r="K2281" s="260"/>
      <c r="L2281" s="261"/>
      <c r="M2281" s="262" t="str">
        <f t="shared" si="1"/>
        <v/>
      </c>
      <c r="N2281" s="263" t="str">
        <f t="shared" si="2"/>
        <v/>
      </c>
      <c r="O2281" s="264" t="str">
        <f t="shared" si="3"/>
        <v/>
      </c>
      <c r="P2281" s="265" t="str">
        <f>IFERROR(__xludf.DUMMYFUNCTION("IF(ISBLANK(A2281),"""",IFERROR(IF(H2281=""Sell"",VLOOKUP(9^99,FILTER({ROW(P$2:P2280),P$2:P2280},D$2:D2280=D2281),2),(VLOOKUP(9^99,FILTER({ROW(P$2:P2280),P$2:P2280},D$2:D2280=D2281),2)*VLOOKUP(9^99,FILTER({ROW(O$2:O2280),O$2:O2280},D$2:D2280=D2281),2)-N228"&amp;"1)/O2281),J2281))"),"")</f>
        <v/>
      </c>
      <c r="Q2281" s="264" t="str">
        <f>IFERROR(__xludf.DUMMYFUNCTION("IFERROR(IF(F2281=""Crypto"",B2281,(IF(ISBLANK(D2281),"""",IF(D2281=""Cash"",B2281,IF(GOOGLEFINANCE(D2281,""CURRENCY"")=""GBX"",""GBP"",GOOGLEFINANCE(D2281,""CURRENCY"")))))),B2281)"),"")</f>
        <v/>
      </c>
      <c r="R2281" s="263" t="str">
        <f>IFERROR(__xludf.DUMMYFUNCTION("IF(ISBLANK(A2281),"""",IFERROR(IF(OR(Q2281=""GPB"",Q2281=""ZAR""),IF(Q2281=Dashboard!$L$1,K2281,(K2281*GOOGLEFINANCE(""CURRENCY:""&amp;Q2281&amp;""""&amp;Dashboard!$L$1&amp;""""))/100),IF(Q2281=Dashboard!$L$1,K2281,K2281*GOOGLEFINANCE(""CURRENCY:""&amp;Q2281&amp;""""&amp;Dashboard!$"&amp;"L$1&amp;""""))),K2281))"),"")</f>
        <v/>
      </c>
      <c r="S2281" s="266" t="str">
        <f>IFERROR(__xludf.DUMMYFUNCTION("IF(ISBLANK(A2281),"""",IFERROR(IF(OR(Q2281=""GPB"",Q2281=""ZAR""),IF(Q2281=Dashboard!$L$1,M2281,(M2281*GOOGLEFINANCE(""CURRENCY:""&amp;Q2281&amp;""""&amp;Dashboard!$L$1&amp;""""))/100),IF(Q2281=Dashboard!$L$1,M2281,M2281*GOOGLEFINANCE(""CURRENCY:""&amp;Q2281&amp;""""&amp;Dashboard!$"&amp;"L$1&amp;""""))),M2281))"),"")</f>
        <v/>
      </c>
      <c r="T2281" s="264" t="str">
        <f t="shared" si="4"/>
        <v/>
      </c>
      <c r="U2281" s="264" t="str">
        <f t="shared" si="5"/>
        <v/>
      </c>
      <c r="V2281" s="264" t="str">
        <f t="shared" si="6"/>
        <v/>
      </c>
      <c r="W2281" s="267" t="str">
        <f t="shared" si="8"/>
        <v/>
      </c>
      <c r="X2281" s="264" t="str">
        <f t="shared" si="7"/>
        <v/>
      </c>
    </row>
    <row r="2282" ht="15.75" customHeight="1">
      <c r="A2282" s="258"/>
      <c r="B2282" s="258"/>
      <c r="C2282" s="269"/>
      <c r="D2282" s="258"/>
      <c r="E2282" s="258"/>
      <c r="F2282" s="258"/>
      <c r="G2282" s="258"/>
      <c r="H2282" s="271"/>
      <c r="I2282" s="258"/>
      <c r="J2282" s="272"/>
      <c r="K2282" s="260"/>
      <c r="L2282" s="261"/>
      <c r="M2282" s="262" t="str">
        <f t="shared" si="1"/>
        <v/>
      </c>
      <c r="N2282" s="263" t="str">
        <f t="shared" si="2"/>
        <v/>
      </c>
      <c r="O2282" s="264" t="str">
        <f t="shared" si="3"/>
        <v/>
      </c>
      <c r="P2282" s="265" t="str">
        <f>IFERROR(__xludf.DUMMYFUNCTION("IF(ISBLANK(A2282),"""",IFERROR(IF(H2282=""Sell"",VLOOKUP(9^99,FILTER({ROW(P$2:P2281),P$2:P2281},D$2:D2281=D2282),2),(VLOOKUP(9^99,FILTER({ROW(P$2:P2281),P$2:P2281},D$2:D2281=D2282),2)*VLOOKUP(9^99,FILTER({ROW(O$2:O2281),O$2:O2281},D$2:D2281=D2282),2)-N228"&amp;"2)/O2282),J2282))"),"")</f>
        <v/>
      </c>
      <c r="Q2282" s="264" t="str">
        <f>IFERROR(__xludf.DUMMYFUNCTION("IFERROR(IF(F2282=""Crypto"",B2282,(IF(ISBLANK(D2282),"""",IF(D2282=""Cash"",B2282,IF(GOOGLEFINANCE(D2282,""CURRENCY"")=""GBX"",""GBP"",GOOGLEFINANCE(D2282,""CURRENCY"")))))),B2282)"),"")</f>
        <v/>
      </c>
      <c r="R2282" s="263" t="str">
        <f>IFERROR(__xludf.DUMMYFUNCTION("IF(ISBLANK(A2282),"""",IFERROR(IF(OR(Q2282=""GPB"",Q2282=""ZAR""),IF(Q2282=Dashboard!$L$1,K2282,(K2282*GOOGLEFINANCE(""CURRENCY:""&amp;Q2282&amp;""""&amp;Dashboard!$L$1&amp;""""))/100),IF(Q2282=Dashboard!$L$1,K2282,K2282*GOOGLEFINANCE(""CURRENCY:""&amp;Q2282&amp;""""&amp;Dashboard!$"&amp;"L$1&amp;""""))),K2282))"),"")</f>
        <v/>
      </c>
      <c r="S2282" s="266" t="str">
        <f>IFERROR(__xludf.DUMMYFUNCTION("IF(ISBLANK(A2282),"""",IFERROR(IF(OR(Q2282=""GPB"",Q2282=""ZAR""),IF(Q2282=Dashboard!$L$1,M2282,(M2282*GOOGLEFINANCE(""CURRENCY:""&amp;Q2282&amp;""""&amp;Dashboard!$L$1&amp;""""))/100),IF(Q2282=Dashboard!$L$1,M2282,M2282*GOOGLEFINANCE(""CURRENCY:""&amp;Q2282&amp;""""&amp;Dashboard!$"&amp;"L$1&amp;""""))),M2282))"),"")</f>
        <v/>
      </c>
      <c r="T2282" s="264" t="str">
        <f t="shared" si="4"/>
        <v/>
      </c>
      <c r="U2282" s="264" t="str">
        <f t="shared" si="5"/>
        <v/>
      </c>
      <c r="V2282" s="264" t="str">
        <f t="shared" si="6"/>
        <v/>
      </c>
      <c r="W2282" s="267" t="str">
        <f t="shared" si="8"/>
        <v/>
      </c>
      <c r="X2282" s="264" t="str">
        <f t="shared" si="7"/>
        <v/>
      </c>
    </row>
    <row r="2283" ht="15.75" customHeight="1">
      <c r="A2283" s="258"/>
      <c r="B2283" s="258"/>
      <c r="C2283" s="269"/>
      <c r="D2283" s="258"/>
      <c r="E2283" s="258"/>
      <c r="F2283" s="258"/>
      <c r="G2283" s="258"/>
      <c r="H2283" s="271"/>
      <c r="I2283" s="258"/>
      <c r="J2283" s="272"/>
      <c r="K2283" s="260"/>
      <c r="L2283" s="261"/>
      <c r="M2283" s="262" t="str">
        <f t="shared" si="1"/>
        <v/>
      </c>
      <c r="N2283" s="263" t="str">
        <f t="shared" si="2"/>
        <v/>
      </c>
      <c r="O2283" s="264" t="str">
        <f t="shared" si="3"/>
        <v/>
      </c>
      <c r="P2283" s="265" t="str">
        <f>IFERROR(__xludf.DUMMYFUNCTION("IF(ISBLANK(A2283),"""",IFERROR(IF(H2283=""Sell"",VLOOKUP(9^99,FILTER({ROW(P$2:P2282),P$2:P2282},D$2:D2282=D2283),2),(VLOOKUP(9^99,FILTER({ROW(P$2:P2282),P$2:P2282},D$2:D2282=D2283),2)*VLOOKUP(9^99,FILTER({ROW(O$2:O2282),O$2:O2282},D$2:D2282=D2283),2)-N228"&amp;"3)/O2283),J2283))"),"")</f>
        <v/>
      </c>
      <c r="Q2283" s="264" t="str">
        <f>IFERROR(__xludf.DUMMYFUNCTION("IFERROR(IF(F2283=""Crypto"",B2283,(IF(ISBLANK(D2283),"""",IF(D2283=""Cash"",B2283,IF(GOOGLEFINANCE(D2283,""CURRENCY"")=""GBX"",""GBP"",GOOGLEFINANCE(D2283,""CURRENCY"")))))),B2283)"),"")</f>
        <v/>
      </c>
      <c r="R2283" s="263" t="str">
        <f>IFERROR(__xludf.DUMMYFUNCTION("IF(ISBLANK(A2283),"""",IFERROR(IF(OR(Q2283=""GPB"",Q2283=""ZAR""),IF(Q2283=Dashboard!$L$1,K2283,(K2283*GOOGLEFINANCE(""CURRENCY:""&amp;Q2283&amp;""""&amp;Dashboard!$L$1&amp;""""))/100),IF(Q2283=Dashboard!$L$1,K2283,K2283*GOOGLEFINANCE(""CURRENCY:""&amp;Q2283&amp;""""&amp;Dashboard!$"&amp;"L$1&amp;""""))),K2283))"),"")</f>
        <v/>
      </c>
      <c r="S2283" s="266" t="str">
        <f>IFERROR(__xludf.DUMMYFUNCTION("IF(ISBLANK(A2283),"""",IFERROR(IF(OR(Q2283=""GPB"",Q2283=""ZAR""),IF(Q2283=Dashboard!$L$1,M2283,(M2283*GOOGLEFINANCE(""CURRENCY:""&amp;Q2283&amp;""""&amp;Dashboard!$L$1&amp;""""))/100),IF(Q2283=Dashboard!$L$1,M2283,M2283*GOOGLEFINANCE(""CURRENCY:""&amp;Q2283&amp;""""&amp;Dashboard!$"&amp;"L$1&amp;""""))),M2283))"),"")</f>
        <v/>
      </c>
      <c r="T2283" s="264" t="str">
        <f t="shared" si="4"/>
        <v/>
      </c>
      <c r="U2283" s="264" t="str">
        <f t="shared" si="5"/>
        <v/>
      </c>
      <c r="V2283" s="264" t="str">
        <f t="shared" si="6"/>
        <v/>
      </c>
      <c r="W2283" s="267" t="str">
        <f t="shared" si="8"/>
        <v/>
      </c>
      <c r="X2283" s="264" t="str">
        <f t="shared" si="7"/>
        <v/>
      </c>
    </row>
    <row r="2284" ht="15.75" customHeight="1">
      <c r="A2284" s="258"/>
      <c r="B2284" s="258"/>
      <c r="C2284" s="269"/>
      <c r="D2284" s="258"/>
      <c r="E2284" s="258"/>
      <c r="F2284" s="258"/>
      <c r="G2284" s="258"/>
      <c r="H2284" s="271"/>
      <c r="I2284" s="258"/>
      <c r="J2284" s="272"/>
      <c r="K2284" s="260"/>
      <c r="L2284" s="261"/>
      <c r="M2284" s="262" t="str">
        <f t="shared" si="1"/>
        <v/>
      </c>
      <c r="N2284" s="263" t="str">
        <f t="shared" si="2"/>
        <v/>
      </c>
      <c r="O2284" s="264" t="str">
        <f t="shared" si="3"/>
        <v/>
      </c>
      <c r="P2284" s="265" t="str">
        <f>IFERROR(__xludf.DUMMYFUNCTION("IF(ISBLANK(A2284),"""",IFERROR(IF(H2284=""Sell"",VLOOKUP(9^99,FILTER({ROW(P$2:P2283),P$2:P2283},D$2:D2283=D2284),2),(VLOOKUP(9^99,FILTER({ROW(P$2:P2283),P$2:P2283},D$2:D2283=D2284),2)*VLOOKUP(9^99,FILTER({ROW(O$2:O2283),O$2:O2283},D$2:D2283=D2284),2)-N228"&amp;"4)/O2284),J2284))"),"")</f>
        <v/>
      </c>
      <c r="Q2284" s="264" t="str">
        <f>IFERROR(__xludf.DUMMYFUNCTION("IFERROR(IF(F2284=""Crypto"",B2284,(IF(ISBLANK(D2284),"""",IF(D2284=""Cash"",B2284,IF(GOOGLEFINANCE(D2284,""CURRENCY"")=""GBX"",""GBP"",GOOGLEFINANCE(D2284,""CURRENCY"")))))),B2284)"),"")</f>
        <v/>
      </c>
      <c r="R2284" s="263" t="str">
        <f>IFERROR(__xludf.DUMMYFUNCTION("IF(ISBLANK(A2284),"""",IFERROR(IF(OR(Q2284=""GPB"",Q2284=""ZAR""),IF(Q2284=Dashboard!$L$1,K2284,(K2284*GOOGLEFINANCE(""CURRENCY:""&amp;Q2284&amp;""""&amp;Dashboard!$L$1&amp;""""))/100),IF(Q2284=Dashboard!$L$1,K2284,K2284*GOOGLEFINANCE(""CURRENCY:""&amp;Q2284&amp;""""&amp;Dashboard!$"&amp;"L$1&amp;""""))),K2284))"),"")</f>
        <v/>
      </c>
      <c r="S2284" s="266" t="str">
        <f>IFERROR(__xludf.DUMMYFUNCTION("IF(ISBLANK(A2284),"""",IFERROR(IF(OR(Q2284=""GPB"",Q2284=""ZAR""),IF(Q2284=Dashboard!$L$1,M2284,(M2284*GOOGLEFINANCE(""CURRENCY:""&amp;Q2284&amp;""""&amp;Dashboard!$L$1&amp;""""))/100),IF(Q2284=Dashboard!$L$1,M2284,M2284*GOOGLEFINANCE(""CURRENCY:""&amp;Q2284&amp;""""&amp;Dashboard!$"&amp;"L$1&amp;""""))),M2284))"),"")</f>
        <v/>
      </c>
      <c r="T2284" s="264" t="str">
        <f t="shared" si="4"/>
        <v/>
      </c>
      <c r="U2284" s="264" t="str">
        <f t="shared" si="5"/>
        <v/>
      </c>
      <c r="V2284" s="264" t="str">
        <f t="shared" si="6"/>
        <v/>
      </c>
      <c r="W2284" s="267" t="str">
        <f t="shared" si="8"/>
        <v/>
      </c>
      <c r="X2284" s="264" t="str">
        <f t="shared" si="7"/>
        <v/>
      </c>
    </row>
    <row r="2285" ht="15.75" customHeight="1">
      <c r="A2285" s="258"/>
      <c r="B2285" s="258"/>
      <c r="C2285" s="269"/>
      <c r="D2285" s="258"/>
      <c r="E2285" s="258"/>
      <c r="F2285" s="258"/>
      <c r="G2285" s="258"/>
      <c r="H2285" s="271"/>
      <c r="I2285" s="258"/>
      <c r="J2285" s="272"/>
      <c r="K2285" s="260"/>
      <c r="L2285" s="261"/>
      <c r="M2285" s="262" t="str">
        <f t="shared" si="1"/>
        <v/>
      </c>
      <c r="N2285" s="263" t="str">
        <f t="shared" si="2"/>
        <v/>
      </c>
      <c r="O2285" s="264" t="str">
        <f t="shared" si="3"/>
        <v/>
      </c>
      <c r="P2285" s="265" t="str">
        <f>IFERROR(__xludf.DUMMYFUNCTION("IF(ISBLANK(A2285),"""",IFERROR(IF(H2285=""Sell"",VLOOKUP(9^99,FILTER({ROW(P$2:P2284),P$2:P2284},D$2:D2284=D2285),2),(VLOOKUP(9^99,FILTER({ROW(P$2:P2284),P$2:P2284},D$2:D2284=D2285),2)*VLOOKUP(9^99,FILTER({ROW(O$2:O2284),O$2:O2284},D$2:D2284=D2285),2)-N228"&amp;"5)/O2285),J2285))"),"")</f>
        <v/>
      </c>
      <c r="Q2285" s="264" t="str">
        <f>IFERROR(__xludf.DUMMYFUNCTION("IFERROR(IF(F2285=""Crypto"",B2285,(IF(ISBLANK(D2285),"""",IF(D2285=""Cash"",B2285,IF(GOOGLEFINANCE(D2285,""CURRENCY"")=""GBX"",""GBP"",GOOGLEFINANCE(D2285,""CURRENCY"")))))),B2285)"),"")</f>
        <v/>
      </c>
      <c r="R2285" s="263" t="str">
        <f>IFERROR(__xludf.DUMMYFUNCTION("IF(ISBLANK(A2285),"""",IFERROR(IF(OR(Q2285=""GPB"",Q2285=""ZAR""),IF(Q2285=Dashboard!$L$1,K2285,(K2285*GOOGLEFINANCE(""CURRENCY:""&amp;Q2285&amp;""""&amp;Dashboard!$L$1&amp;""""))/100),IF(Q2285=Dashboard!$L$1,K2285,K2285*GOOGLEFINANCE(""CURRENCY:""&amp;Q2285&amp;""""&amp;Dashboard!$"&amp;"L$1&amp;""""))),K2285))"),"")</f>
        <v/>
      </c>
      <c r="S2285" s="266" t="str">
        <f>IFERROR(__xludf.DUMMYFUNCTION("IF(ISBLANK(A2285),"""",IFERROR(IF(OR(Q2285=""GPB"",Q2285=""ZAR""),IF(Q2285=Dashboard!$L$1,M2285,(M2285*GOOGLEFINANCE(""CURRENCY:""&amp;Q2285&amp;""""&amp;Dashboard!$L$1&amp;""""))/100),IF(Q2285=Dashboard!$L$1,M2285,M2285*GOOGLEFINANCE(""CURRENCY:""&amp;Q2285&amp;""""&amp;Dashboard!$"&amp;"L$1&amp;""""))),M2285))"),"")</f>
        <v/>
      </c>
      <c r="T2285" s="264" t="str">
        <f t="shared" si="4"/>
        <v/>
      </c>
      <c r="U2285" s="264" t="str">
        <f t="shared" si="5"/>
        <v/>
      </c>
      <c r="V2285" s="264" t="str">
        <f t="shared" si="6"/>
        <v/>
      </c>
      <c r="W2285" s="267" t="str">
        <f t="shared" si="8"/>
        <v/>
      </c>
      <c r="X2285" s="264" t="str">
        <f t="shared" si="7"/>
        <v/>
      </c>
    </row>
    <row r="2286" ht="15.75" customHeight="1">
      <c r="A2286" s="258"/>
      <c r="B2286" s="258"/>
      <c r="C2286" s="269"/>
      <c r="D2286" s="258"/>
      <c r="E2286" s="258"/>
      <c r="F2286" s="258"/>
      <c r="G2286" s="258"/>
      <c r="H2286" s="271"/>
      <c r="I2286" s="258"/>
      <c r="J2286" s="272"/>
      <c r="K2286" s="260"/>
      <c r="L2286" s="261"/>
      <c r="M2286" s="262" t="str">
        <f t="shared" si="1"/>
        <v/>
      </c>
      <c r="N2286" s="263" t="str">
        <f t="shared" si="2"/>
        <v/>
      </c>
      <c r="O2286" s="264" t="str">
        <f t="shared" si="3"/>
        <v/>
      </c>
      <c r="P2286" s="265" t="str">
        <f>IFERROR(__xludf.DUMMYFUNCTION("IF(ISBLANK(A2286),"""",IFERROR(IF(H2286=""Sell"",VLOOKUP(9^99,FILTER({ROW(P$2:P2285),P$2:P2285},D$2:D2285=D2286),2),(VLOOKUP(9^99,FILTER({ROW(P$2:P2285),P$2:P2285},D$2:D2285=D2286),2)*VLOOKUP(9^99,FILTER({ROW(O$2:O2285),O$2:O2285},D$2:D2285=D2286),2)-N228"&amp;"6)/O2286),J2286))"),"")</f>
        <v/>
      </c>
      <c r="Q2286" s="264" t="str">
        <f>IFERROR(__xludf.DUMMYFUNCTION("IFERROR(IF(F2286=""Crypto"",B2286,(IF(ISBLANK(D2286),"""",IF(D2286=""Cash"",B2286,IF(GOOGLEFINANCE(D2286,""CURRENCY"")=""GBX"",""GBP"",GOOGLEFINANCE(D2286,""CURRENCY"")))))),B2286)"),"")</f>
        <v/>
      </c>
      <c r="R2286" s="263" t="str">
        <f>IFERROR(__xludf.DUMMYFUNCTION("IF(ISBLANK(A2286),"""",IFERROR(IF(OR(Q2286=""GPB"",Q2286=""ZAR""),IF(Q2286=Dashboard!$L$1,K2286,(K2286*GOOGLEFINANCE(""CURRENCY:""&amp;Q2286&amp;""""&amp;Dashboard!$L$1&amp;""""))/100),IF(Q2286=Dashboard!$L$1,K2286,K2286*GOOGLEFINANCE(""CURRENCY:""&amp;Q2286&amp;""""&amp;Dashboard!$"&amp;"L$1&amp;""""))),K2286))"),"")</f>
        <v/>
      </c>
      <c r="S2286" s="266" t="str">
        <f>IFERROR(__xludf.DUMMYFUNCTION("IF(ISBLANK(A2286),"""",IFERROR(IF(OR(Q2286=""GPB"",Q2286=""ZAR""),IF(Q2286=Dashboard!$L$1,M2286,(M2286*GOOGLEFINANCE(""CURRENCY:""&amp;Q2286&amp;""""&amp;Dashboard!$L$1&amp;""""))/100),IF(Q2286=Dashboard!$L$1,M2286,M2286*GOOGLEFINANCE(""CURRENCY:""&amp;Q2286&amp;""""&amp;Dashboard!$"&amp;"L$1&amp;""""))),M2286))"),"")</f>
        <v/>
      </c>
      <c r="T2286" s="264" t="str">
        <f t="shared" si="4"/>
        <v/>
      </c>
      <c r="U2286" s="264" t="str">
        <f t="shared" si="5"/>
        <v/>
      </c>
      <c r="V2286" s="264" t="str">
        <f t="shared" si="6"/>
        <v/>
      </c>
      <c r="W2286" s="267" t="str">
        <f t="shared" si="8"/>
        <v/>
      </c>
      <c r="X2286" s="264" t="str">
        <f t="shared" si="7"/>
        <v/>
      </c>
    </row>
    <row r="2287" ht="15.75" customHeight="1">
      <c r="A2287" s="258"/>
      <c r="B2287" s="258"/>
      <c r="C2287" s="269"/>
      <c r="D2287" s="258"/>
      <c r="E2287" s="258"/>
      <c r="F2287" s="258"/>
      <c r="G2287" s="258"/>
      <c r="H2287" s="271"/>
      <c r="I2287" s="258"/>
      <c r="J2287" s="272"/>
      <c r="K2287" s="260"/>
      <c r="L2287" s="261"/>
      <c r="M2287" s="262" t="str">
        <f t="shared" si="1"/>
        <v/>
      </c>
      <c r="N2287" s="263" t="str">
        <f t="shared" si="2"/>
        <v/>
      </c>
      <c r="O2287" s="264" t="str">
        <f t="shared" si="3"/>
        <v/>
      </c>
      <c r="P2287" s="265" t="str">
        <f>IFERROR(__xludf.DUMMYFUNCTION("IF(ISBLANK(A2287),"""",IFERROR(IF(H2287=""Sell"",VLOOKUP(9^99,FILTER({ROW(P$2:P2286),P$2:P2286},D$2:D2286=D2287),2),(VLOOKUP(9^99,FILTER({ROW(P$2:P2286),P$2:P2286},D$2:D2286=D2287),2)*VLOOKUP(9^99,FILTER({ROW(O$2:O2286),O$2:O2286},D$2:D2286=D2287),2)-N228"&amp;"7)/O2287),J2287))"),"")</f>
        <v/>
      </c>
      <c r="Q2287" s="264" t="str">
        <f>IFERROR(__xludf.DUMMYFUNCTION("IFERROR(IF(F2287=""Crypto"",B2287,(IF(ISBLANK(D2287),"""",IF(D2287=""Cash"",B2287,IF(GOOGLEFINANCE(D2287,""CURRENCY"")=""GBX"",""GBP"",GOOGLEFINANCE(D2287,""CURRENCY"")))))),B2287)"),"")</f>
        <v/>
      </c>
      <c r="R2287" s="263" t="str">
        <f>IFERROR(__xludf.DUMMYFUNCTION("IF(ISBLANK(A2287),"""",IFERROR(IF(OR(Q2287=""GPB"",Q2287=""ZAR""),IF(Q2287=Dashboard!$L$1,K2287,(K2287*GOOGLEFINANCE(""CURRENCY:""&amp;Q2287&amp;""""&amp;Dashboard!$L$1&amp;""""))/100),IF(Q2287=Dashboard!$L$1,K2287,K2287*GOOGLEFINANCE(""CURRENCY:""&amp;Q2287&amp;""""&amp;Dashboard!$"&amp;"L$1&amp;""""))),K2287))"),"")</f>
        <v/>
      </c>
      <c r="S2287" s="266" t="str">
        <f>IFERROR(__xludf.DUMMYFUNCTION("IF(ISBLANK(A2287),"""",IFERROR(IF(OR(Q2287=""GPB"",Q2287=""ZAR""),IF(Q2287=Dashboard!$L$1,M2287,(M2287*GOOGLEFINANCE(""CURRENCY:""&amp;Q2287&amp;""""&amp;Dashboard!$L$1&amp;""""))/100),IF(Q2287=Dashboard!$L$1,M2287,M2287*GOOGLEFINANCE(""CURRENCY:""&amp;Q2287&amp;""""&amp;Dashboard!$"&amp;"L$1&amp;""""))),M2287))"),"")</f>
        <v/>
      </c>
      <c r="T2287" s="264" t="str">
        <f t="shared" si="4"/>
        <v/>
      </c>
      <c r="U2287" s="264" t="str">
        <f t="shared" si="5"/>
        <v/>
      </c>
      <c r="V2287" s="264" t="str">
        <f t="shared" si="6"/>
        <v/>
      </c>
      <c r="W2287" s="267" t="str">
        <f t="shared" si="8"/>
        <v/>
      </c>
      <c r="X2287" s="264" t="str">
        <f t="shared" si="7"/>
        <v/>
      </c>
    </row>
    <row r="2288" ht="15.75" customHeight="1">
      <c r="A2288" s="258"/>
      <c r="B2288" s="258"/>
      <c r="C2288" s="269"/>
      <c r="D2288" s="258"/>
      <c r="E2288" s="258"/>
      <c r="F2288" s="258"/>
      <c r="G2288" s="258"/>
      <c r="H2288" s="271"/>
      <c r="I2288" s="258"/>
      <c r="J2288" s="272"/>
      <c r="K2288" s="260"/>
      <c r="L2288" s="261"/>
      <c r="M2288" s="262" t="str">
        <f t="shared" si="1"/>
        <v/>
      </c>
      <c r="N2288" s="263" t="str">
        <f t="shared" si="2"/>
        <v/>
      </c>
      <c r="O2288" s="264" t="str">
        <f t="shared" si="3"/>
        <v/>
      </c>
      <c r="P2288" s="265" t="str">
        <f>IFERROR(__xludf.DUMMYFUNCTION("IF(ISBLANK(A2288),"""",IFERROR(IF(H2288=""Sell"",VLOOKUP(9^99,FILTER({ROW(P$2:P2287),P$2:P2287},D$2:D2287=D2288),2),(VLOOKUP(9^99,FILTER({ROW(P$2:P2287),P$2:P2287},D$2:D2287=D2288),2)*VLOOKUP(9^99,FILTER({ROW(O$2:O2287),O$2:O2287},D$2:D2287=D2288),2)-N228"&amp;"8)/O2288),J2288))"),"")</f>
        <v/>
      </c>
      <c r="Q2288" s="264" t="str">
        <f>IFERROR(__xludf.DUMMYFUNCTION("IFERROR(IF(F2288=""Crypto"",B2288,(IF(ISBLANK(D2288),"""",IF(D2288=""Cash"",B2288,IF(GOOGLEFINANCE(D2288,""CURRENCY"")=""GBX"",""GBP"",GOOGLEFINANCE(D2288,""CURRENCY"")))))),B2288)"),"")</f>
        <v/>
      </c>
      <c r="R2288" s="263" t="str">
        <f>IFERROR(__xludf.DUMMYFUNCTION("IF(ISBLANK(A2288),"""",IFERROR(IF(OR(Q2288=""GPB"",Q2288=""ZAR""),IF(Q2288=Dashboard!$L$1,K2288,(K2288*GOOGLEFINANCE(""CURRENCY:""&amp;Q2288&amp;""""&amp;Dashboard!$L$1&amp;""""))/100),IF(Q2288=Dashboard!$L$1,K2288,K2288*GOOGLEFINANCE(""CURRENCY:""&amp;Q2288&amp;""""&amp;Dashboard!$"&amp;"L$1&amp;""""))),K2288))"),"")</f>
        <v/>
      </c>
      <c r="S2288" s="266" t="str">
        <f>IFERROR(__xludf.DUMMYFUNCTION("IF(ISBLANK(A2288),"""",IFERROR(IF(OR(Q2288=""GPB"",Q2288=""ZAR""),IF(Q2288=Dashboard!$L$1,M2288,(M2288*GOOGLEFINANCE(""CURRENCY:""&amp;Q2288&amp;""""&amp;Dashboard!$L$1&amp;""""))/100),IF(Q2288=Dashboard!$L$1,M2288,M2288*GOOGLEFINANCE(""CURRENCY:""&amp;Q2288&amp;""""&amp;Dashboard!$"&amp;"L$1&amp;""""))),M2288))"),"")</f>
        <v/>
      </c>
      <c r="T2288" s="264" t="str">
        <f t="shared" si="4"/>
        <v/>
      </c>
      <c r="U2288" s="264" t="str">
        <f t="shared" si="5"/>
        <v/>
      </c>
      <c r="V2288" s="264" t="str">
        <f t="shared" si="6"/>
        <v/>
      </c>
      <c r="W2288" s="267" t="str">
        <f t="shared" si="8"/>
        <v/>
      </c>
      <c r="X2288" s="264" t="str">
        <f t="shared" si="7"/>
        <v/>
      </c>
    </row>
    <row r="2289" ht="15.75" customHeight="1">
      <c r="A2289" s="258"/>
      <c r="B2289" s="258"/>
      <c r="C2289" s="269"/>
      <c r="D2289" s="258"/>
      <c r="E2289" s="258"/>
      <c r="F2289" s="258"/>
      <c r="G2289" s="258"/>
      <c r="H2289" s="271"/>
      <c r="I2289" s="258"/>
      <c r="J2289" s="272"/>
      <c r="K2289" s="260"/>
      <c r="L2289" s="261"/>
      <c r="M2289" s="262" t="str">
        <f t="shared" si="1"/>
        <v/>
      </c>
      <c r="N2289" s="263" t="str">
        <f t="shared" si="2"/>
        <v/>
      </c>
      <c r="O2289" s="264" t="str">
        <f t="shared" si="3"/>
        <v/>
      </c>
      <c r="P2289" s="265" t="str">
        <f>IFERROR(__xludf.DUMMYFUNCTION("IF(ISBLANK(A2289),"""",IFERROR(IF(H2289=""Sell"",VLOOKUP(9^99,FILTER({ROW(P$2:P2288),P$2:P2288},D$2:D2288=D2289),2),(VLOOKUP(9^99,FILTER({ROW(P$2:P2288),P$2:P2288},D$2:D2288=D2289),2)*VLOOKUP(9^99,FILTER({ROW(O$2:O2288),O$2:O2288},D$2:D2288=D2289),2)-N228"&amp;"9)/O2289),J2289))"),"")</f>
        <v/>
      </c>
      <c r="Q2289" s="264" t="str">
        <f>IFERROR(__xludf.DUMMYFUNCTION("IFERROR(IF(F2289=""Crypto"",B2289,(IF(ISBLANK(D2289),"""",IF(D2289=""Cash"",B2289,IF(GOOGLEFINANCE(D2289,""CURRENCY"")=""GBX"",""GBP"",GOOGLEFINANCE(D2289,""CURRENCY"")))))),B2289)"),"")</f>
        <v/>
      </c>
      <c r="R2289" s="263" t="str">
        <f>IFERROR(__xludf.DUMMYFUNCTION("IF(ISBLANK(A2289),"""",IFERROR(IF(OR(Q2289=""GPB"",Q2289=""ZAR""),IF(Q2289=Dashboard!$L$1,K2289,(K2289*GOOGLEFINANCE(""CURRENCY:""&amp;Q2289&amp;""""&amp;Dashboard!$L$1&amp;""""))/100),IF(Q2289=Dashboard!$L$1,K2289,K2289*GOOGLEFINANCE(""CURRENCY:""&amp;Q2289&amp;""""&amp;Dashboard!$"&amp;"L$1&amp;""""))),K2289))"),"")</f>
        <v/>
      </c>
      <c r="S2289" s="266" t="str">
        <f>IFERROR(__xludf.DUMMYFUNCTION("IF(ISBLANK(A2289),"""",IFERROR(IF(OR(Q2289=""GPB"",Q2289=""ZAR""),IF(Q2289=Dashboard!$L$1,M2289,(M2289*GOOGLEFINANCE(""CURRENCY:""&amp;Q2289&amp;""""&amp;Dashboard!$L$1&amp;""""))/100),IF(Q2289=Dashboard!$L$1,M2289,M2289*GOOGLEFINANCE(""CURRENCY:""&amp;Q2289&amp;""""&amp;Dashboard!$"&amp;"L$1&amp;""""))),M2289))"),"")</f>
        <v/>
      </c>
      <c r="T2289" s="264" t="str">
        <f t="shared" si="4"/>
        <v/>
      </c>
      <c r="U2289" s="264" t="str">
        <f t="shared" si="5"/>
        <v/>
      </c>
      <c r="V2289" s="264" t="str">
        <f t="shared" si="6"/>
        <v/>
      </c>
      <c r="W2289" s="267" t="str">
        <f t="shared" si="8"/>
        <v/>
      </c>
      <c r="X2289" s="264" t="str">
        <f t="shared" si="7"/>
        <v/>
      </c>
    </row>
    <row r="2290" ht="15.75" customHeight="1">
      <c r="A2290" s="258"/>
      <c r="B2290" s="258"/>
      <c r="C2290" s="269"/>
      <c r="D2290" s="258"/>
      <c r="E2290" s="258"/>
      <c r="F2290" s="258"/>
      <c r="G2290" s="258"/>
      <c r="H2290" s="271"/>
      <c r="I2290" s="258"/>
      <c r="J2290" s="272"/>
      <c r="K2290" s="260"/>
      <c r="L2290" s="261"/>
      <c r="M2290" s="262" t="str">
        <f t="shared" si="1"/>
        <v/>
      </c>
      <c r="N2290" s="263" t="str">
        <f t="shared" si="2"/>
        <v/>
      </c>
      <c r="O2290" s="264" t="str">
        <f t="shared" si="3"/>
        <v/>
      </c>
      <c r="P2290" s="265" t="str">
        <f>IFERROR(__xludf.DUMMYFUNCTION("IF(ISBLANK(A2290),"""",IFERROR(IF(H2290=""Sell"",VLOOKUP(9^99,FILTER({ROW(P$2:P2289),P$2:P2289},D$2:D2289=D2290),2),(VLOOKUP(9^99,FILTER({ROW(P$2:P2289),P$2:P2289},D$2:D2289=D2290),2)*VLOOKUP(9^99,FILTER({ROW(O$2:O2289),O$2:O2289},D$2:D2289=D2290),2)-N229"&amp;"0)/O2290),J2290))"),"")</f>
        <v/>
      </c>
      <c r="Q2290" s="264" t="str">
        <f>IFERROR(__xludf.DUMMYFUNCTION("IFERROR(IF(F2290=""Crypto"",B2290,(IF(ISBLANK(D2290),"""",IF(D2290=""Cash"",B2290,IF(GOOGLEFINANCE(D2290,""CURRENCY"")=""GBX"",""GBP"",GOOGLEFINANCE(D2290,""CURRENCY"")))))),B2290)"),"")</f>
        <v/>
      </c>
      <c r="R2290" s="263" t="str">
        <f>IFERROR(__xludf.DUMMYFUNCTION("IF(ISBLANK(A2290),"""",IFERROR(IF(OR(Q2290=""GPB"",Q2290=""ZAR""),IF(Q2290=Dashboard!$L$1,K2290,(K2290*GOOGLEFINANCE(""CURRENCY:""&amp;Q2290&amp;""""&amp;Dashboard!$L$1&amp;""""))/100),IF(Q2290=Dashboard!$L$1,K2290,K2290*GOOGLEFINANCE(""CURRENCY:""&amp;Q2290&amp;""""&amp;Dashboard!$"&amp;"L$1&amp;""""))),K2290))"),"")</f>
        <v/>
      </c>
      <c r="S2290" s="266" t="str">
        <f>IFERROR(__xludf.DUMMYFUNCTION("IF(ISBLANK(A2290),"""",IFERROR(IF(OR(Q2290=""GPB"",Q2290=""ZAR""),IF(Q2290=Dashboard!$L$1,M2290,(M2290*GOOGLEFINANCE(""CURRENCY:""&amp;Q2290&amp;""""&amp;Dashboard!$L$1&amp;""""))/100),IF(Q2290=Dashboard!$L$1,M2290,M2290*GOOGLEFINANCE(""CURRENCY:""&amp;Q2290&amp;""""&amp;Dashboard!$"&amp;"L$1&amp;""""))),M2290))"),"")</f>
        <v/>
      </c>
      <c r="T2290" s="264" t="str">
        <f t="shared" si="4"/>
        <v/>
      </c>
      <c r="U2290" s="264" t="str">
        <f t="shared" si="5"/>
        <v/>
      </c>
      <c r="V2290" s="264" t="str">
        <f t="shared" si="6"/>
        <v/>
      </c>
      <c r="W2290" s="267" t="str">
        <f t="shared" si="8"/>
        <v/>
      </c>
      <c r="X2290" s="264" t="str">
        <f t="shared" si="7"/>
        <v/>
      </c>
    </row>
    <row r="2291" ht="15.75" customHeight="1">
      <c r="A2291" s="258"/>
      <c r="B2291" s="258"/>
      <c r="C2291" s="269"/>
      <c r="D2291" s="258"/>
      <c r="E2291" s="258"/>
      <c r="F2291" s="258"/>
      <c r="G2291" s="258"/>
      <c r="H2291" s="271"/>
      <c r="I2291" s="258"/>
      <c r="J2291" s="272"/>
      <c r="K2291" s="260"/>
      <c r="L2291" s="261"/>
      <c r="M2291" s="262" t="str">
        <f t="shared" si="1"/>
        <v/>
      </c>
      <c r="N2291" s="263" t="str">
        <f t="shared" si="2"/>
        <v/>
      </c>
      <c r="O2291" s="264" t="str">
        <f t="shared" si="3"/>
        <v/>
      </c>
      <c r="P2291" s="265" t="str">
        <f>IFERROR(__xludf.DUMMYFUNCTION("IF(ISBLANK(A2291),"""",IFERROR(IF(H2291=""Sell"",VLOOKUP(9^99,FILTER({ROW(P$2:P2290),P$2:P2290},D$2:D2290=D2291),2),(VLOOKUP(9^99,FILTER({ROW(P$2:P2290),P$2:P2290},D$2:D2290=D2291),2)*VLOOKUP(9^99,FILTER({ROW(O$2:O2290),O$2:O2290},D$2:D2290=D2291),2)-N229"&amp;"1)/O2291),J2291))"),"")</f>
        <v/>
      </c>
      <c r="Q2291" s="264" t="str">
        <f>IFERROR(__xludf.DUMMYFUNCTION("IFERROR(IF(F2291=""Crypto"",B2291,(IF(ISBLANK(D2291),"""",IF(D2291=""Cash"",B2291,IF(GOOGLEFINANCE(D2291,""CURRENCY"")=""GBX"",""GBP"",GOOGLEFINANCE(D2291,""CURRENCY"")))))),B2291)"),"")</f>
        <v/>
      </c>
      <c r="R2291" s="263" t="str">
        <f>IFERROR(__xludf.DUMMYFUNCTION("IF(ISBLANK(A2291),"""",IFERROR(IF(OR(Q2291=""GPB"",Q2291=""ZAR""),IF(Q2291=Dashboard!$L$1,K2291,(K2291*GOOGLEFINANCE(""CURRENCY:""&amp;Q2291&amp;""""&amp;Dashboard!$L$1&amp;""""))/100),IF(Q2291=Dashboard!$L$1,K2291,K2291*GOOGLEFINANCE(""CURRENCY:""&amp;Q2291&amp;""""&amp;Dashboard!$"&amp;"L$1&amp;""""))),K2291))"),"")</f>
        <v/>
      </c>
      <c r="S2291" s="266" t="str">
        <f>IFERROR(__xludf.DUMMYFUNCTION("IF(ISBLANK(A2291),"""",IFERROR(IF(OR(Q2291=""GPB"",Q2291=""ZAR""),IF(Q2291=Dashboard!$L$1,M2291,(M2291*GOOGLEFINANCE(""CURRENCY:""&amp;Q2291&amp;""""&amp;Dashboard!$L$1&amp;""""))/100),IF(Q2291=Dashboard!$L$1,M2291,M2291*GOOGLEFINANCE(""CURRENCY:""&amp;Q2291&amp;""""&amp;Dashboard!$"&amp;"L$1&amp;""""))),M2291))"),"")</f>
        <v/>
      </c>
      <c r="T2291" s="264" t="str">
        <f t="shared" si="4"/>
        <v/>
      </c>
      <c r="U2291" s="264" t="str">
        <f t="shared" si="5"/>
        <v/>
      </c>
      <c r="V2291" s="264" t="str">
        <f t="shared" si="6"/>
        <v/>
      </c>
      <c r="W2291" s="267" t="str">
        <f t="shared" si="8"/>
        <v/>
      </c>
      <c r="X2291" s="264" t="str">
        <f t="shared" si="7"/>
        <v/>
      </c>
    </row>
    <row r="2292" ht="15.75" customHeight="1">
      <c r="A2292" s="258"/>
      <c r="B2292" s="258"/>
      <c r="C2292" s="269"/>
      <c r="D2292" s="258"/>
      <c r="E2292" s="258"/>
      <c r="F2292" s="258"/>
      <c r="G2292" s="258"/>
      <c r="H2292" s="271"/>
      <c r="I2292" s="258"/>
      <c r="J2292" s="272"/>
      <c r="K2292" s="260"/>
      <c r="L2292" s="261"/>
      <c r="M2292" s="262" t="str">
        <f t="shared" si="1"/>
        <v/>
      </c>
      <c r="N2292" s="263" t="str">
        <f t="shared" si="2"/>
        <v/>
      </c>
      <c r="O2292" s="264" t="str">
        <f t="shared" si="3"/>
        <v/>
      </c>
      <c r="P2292" s="265" t="str">
        <f>IFERROR(__xludf.DUMMYFUNCTION("IF(ISBLANK(A2292),"""",IFERROR(IF(H2292=""Sell"",VLOOKUP(9^99,FILTER({ROW(P$2:P2291),P$2:P2291},D$2:D2291=D2292),2),(VLOOKUP(9^99,FILTER({ROW(P$2:P2291),P$2:P2291},D$2:D2291=D2292),2)*VLOOKUP(9^99,FILTER({ROW(O$2:O2291),O$2:O2291},D$2:D2291=D2292),2)-N229"&amp;"2)/O2292),J2292))"),"")</f>
        <v/>
      </c>
      <c r="Q2292" s="264" t="str">
        <f>IFERROR(__xludf.DUMMYFUNCTION("IFERROR(IF(F2292=""Crypto"",B2292,(IF(ISBLANK(D2292),"""",IF(D2292=""Cash"",B2292,IF(GOOGLEFINANCE(D2292,""CURRENCY"")=""GBX"",""GBP"",GOOGLEFINANCE(D2292,""CURRENCY"")))))),B2292)"),"")</f>
        <v/>
      </c>
      <c r="R2292" s="263" t="str">
        <f>IFERROR(__xludf.DUMMYFUNCTION("IF(ISBLANK(A2292),"""",IFERROR(IF(OR(Q2292=""GPB"",Q2292=""ZAR""),IF(Q2292=Dashboard!$L$1,K2292,(K2292*GOOGLEFINANCE(""CURRENCY:""&amp;Q2292&amp;""""&amp;Dashboard!$L$1&amp;""""))/100),IF(Q2292=Dashboard!$L$1,K2292,K2292*GOOGLEFINANCE(""CURRENCY:""&amp;Q2292&amp;""""&amp;Dashboard!$"&amp;"L$1&amp;""""))),K2292))"),"")</f>
        <v/>
      </c>
      <c r="S2292" s="266" t="str">
        <f>IFERROR(__xludf.DUMMYFUNCTION("IF(ISBLANK(A2292),"""",IFERROR(IF(OR(Q2292=""GPB"",Q2292=""ZAR""),IF(Q2292=Dashboard!$L$1,M2292,(M2292*GOOGLEFINANCE(""CURRENCY:""&amp;Q2292&amp;""""&amp;Dashboard!$L$1&amp;""""))/100),IF(Q2292=Dashboard!$L$1,M2292,M2292*GOOGLEFINANCE(""CURRENCY:""&amp;Q2292&amp;""""&amp;Dashboard!$"&amp;"L$1&amp;""""))),M2292))"),"")</f>
        <v/>
      </c>
      <c r="T2292" s="264" t="str">
        <f t="shared" si="4"/>
        <v/>
      </c>
      <c r="U2292" s="264" t="str">
        <f t="shared" si="5"/>
        <v/>
      </c>
      <c r="V2292" s="264" t="str">
        <f t="shared" si="6"/>
        <v/>
      </c>
      <c r="W2292" s="267" t="str">
        <f t="shared" si="8"/>
        <v/>
      </c>
      <c r="X2292" s="264" t="str">
        <f t="shared" si="7"/>
        <v/>
      </c>
    </row>
    <row r="2293" ht="15.75" customHeight="1">
      <c r="A2293" s="258"/>
      <c r="B2293" s="258"/>
      <c r="C2293" s="269"/>
      <c r="D2293" s="258"/>
      <c r="E2293" s="258"/>
      <c r="F2293" s="258"/>
      <c r="G2293" s="258"/>
      <c r="H2293" s="271"/>
      <c r="I2293" s="258"/>
      <c r="J2293" s="272"/>
      <c r="K2293" s="260"/>
      <c r="L2293" s="261"/>
      <c r="M2293" s="262" t="str">
        <f t="shared" si="1"/>
        <v/>
      </c>
      <c r="N2293" s="263" t="str">
        <f t="shared" si="2"/>
        <v/>
      </c>
      <c r="O2293" s="264" t="str">
        <f t="shared" si="3"/>
        <v/>
      </c>
      <c r="P2293" s="265" t="str">
        <f>IFERROR(__xludf.DUMMYFUNCTION("IF(ISBLANK(A2293),"""",IFERROR(IF(H2293=""Sell"",VLOOKUP(9^99,FILTER({ROW(P$2:P2292),P$2:P2292},D$2:D2292=D2293),2),(VLOOKUP(9^99,FILTER({ROW(P$2:P2292),P$2:P2292},D$2:D2292=D2293),2)*VLOOKUP(9^99,FILTER({ROW(O$2:O2292),O$2:O2292},D$2:D2292=D2293),2)-N229"&amp;"3)/O2293),J2293))"),"")</f>
        <v/>
      </c>
      <c r="Q2293" s="264" t="str">
        <f>IFERROR(__xludf.DUMMYFUNCTION("IFERROR(IF(F2293=""Crypto"",B2293,(IF(ISBLANK(D2293),"""",IF(D2293=""Cash"",B2293,IF(GOOGLEFINANCE(D2293,""CURRENCY"")=""GBX"",""GBP"",GOOGLEFINANCE(D2293,""CURRENCY"")))))),B2293)"),"")</f>
        <v/>
      </c>
      <c r="R2293" s="263" t="str">
        <f>IFERROR(__xludf.DUMMYFUNCTION("IF(ISBLANK(A2293),"""",IFERROR(IF(OR(Q2293=""GPB"",Q2293=""ZAR""),IF(Q2293=Dashboard!$L$1,K2293,(K2293*GOOGLEFINANCE(""CURRENCY:""&amp;Q2293&amp;""""&amp;Dashboard!$L$1&amp;""""))/100),IF(Q2293=Dashboard!$L$1,K2293,K2293*GOOGLEFINANCE(""CURRENCY:""&amp;Q2293&amp;""""&amp;Dashboard!$"&amp;"L$1&amp;""""))),K2293))"),"")</f>
        <v/>
      </c>
      <c r="S2293" s="266" t="str">
        <f>IFERROR(__xludf.DUMMYFUNCTION("IF(ISBLANK(A2293),"""",IFERROR(IF(OR(Q2293=""GPB"",Q2293=""ZAR""),IF(Q2293=Dashboard!$L$1,M2293,(M2293*GOOGLEFINANCE(""CURRENCY:""&amp;Q2293&amp;""""&amp;Dashboard!$L$1&amp;""""))/100),IF(Q2293=Dashboard!$L$1,M2293,M2293*GOOGLEFINANCE(""CURRENCY:""&amp;Q2293&amp;""""&amp;Dashboard!$"&amp;"L$1&amp;""""))),M2293))"),"")</f>
        <v/>
      </c>
      <c r="T2293" s="264" t="str">
        <f t="shared" si="4"/>
        <v/>
      </c>
      <c r="U2293" s="264" t="str">
        <f t="shared" si="5"/>
        <v/>
      </c>
      <c r="V2293" s="264" t="str">
        <f t="shared" si="6"/>
        <v/>
      </c>
      <c r="W2293" s="267" t="str">
        <f t="shared" si="8"/>
        <v/>
      </c>
      <c r="X2293" s="264" t="str">
        <f t="shared" si="7"/>
        <v/>
      </c>
    </row>
    <row r="2294" ht="15.75" customHeight="1">
      <c r="A2294" s="258"/>
      <c r="B2294" s="258"/>
      <c r="C2294" s="269"/>
      <c r="D2294" s="258"/>
      <c r="E2294" s="258"/>
      <c r="F2294" s="258"/>
      <c r="G2294" s="258"/>
      <c r="H2294" s="271"/>
      <c r="I2294" s="258"/>
      <c r="J2294" s="272"/>
      <c r="K2294" s="260"/>
      <c r="L2294" s="261"/>
      <c r="M2294" s="262" t="str">
        <f t="shared" si="1"/>
        <v/>
      </c>
      <c r="N2294" s="263" t="str">
        <f t="shared" si="2"/>
        <v/>
      </c>
      <c r="O2294" s="264" t="str">
        <f t="shared" si="3"/>
        <v/>
      </c>
      <c r="P2294" s="265" t="str">
        <f>IFERROR(__xludf.DUMMYFUNCTION("IF(ISBLANK(A2294),"""",IFERROR(IF(H2294=""Sell"",VLOOKUP(9^99,FILTER({ROW(P$2:P2293),P$2:P2293},D$2:D2293=D2294),2),(VLOOKUP(9^99,FILTER({ROW(P$2:P2293),P$2:P2293},D$2:D2293=D2294),2)*VLOOKUP(9^99,FILTER({ROW(O$2:O2293),O$2:O2293},D$2:D2293=D2294),2)-N229"&amp;"4)/O2294),J2294))"),"")</f>
        <v/>
      </c>
      <c r="Q2294" s="264" t="str">
        <f>IFERROR(__xludf.DUMMYFUNCTION("IFERROR(IF(F2294=""Crypto"",B2294,(IF(ISBLANK(D2294),"""",IF(D2294=""Cash"",B2294,IF(GOOGLEFINANCE(D2294,""CURRENCY"")=""GBX"",""GBP"",GOOGLEFINANCE(D2294,""CURRENCY"")))))),B2294)"),"")</f>
        <v/>
      </c>
      <c r="R2294" s="263" t="str">
        <f>IFERROR(__xludf.DUMMYFUNCTION("IF(ISBLANK(A2294),"""",IFERROR(IF(OR(Q2294=""GPB"",Q2294=""ZAR""),IF(Q2294=Dashboard!$L$1,K2294,(K2294*GOOGLEFINANCE(""CURRENCY:""&amp;Q2294&amp;""""&amp;Dashboard!$L$1&amp;""""))/100),IF(Q2294=Dashboard!$L$1,K2294,K2294*GOOGLEFINANCE(""CURRENCY:""&amp;Q2294&amp;""""&amp;Dashboard!$"&amp;"L$1&amp;""""))),K2294))"),"")</f>
        <v/>
      </c>
      <c r="S2294" s="266" t="str">
        <f>IFERROR(__xludf.DUMMYFUNCTION("IF(ISBLANK(A2294),"""",IFERROR(IF(OR(Q2294=""GPB"",Q2294=""ZAR""),IF(Q2294=Dashboard!$L$1,M2294,(M2294*GOOGLEFINANCE(""CURRENCY:""&amp;Q2294&amp;""""&amp;Dashboard!$L$1&amp;""""))/100),IF(Q2294=Dashboard!$L$1,M2294,M2294*GOOGLEFINANCE(""CURRENCY:""&amp;Q2294&amp;""""&amp;Dashboard!$"&amp;"L$1&amp;""""))),M2294))"),"")</f>
        <v/>
      </c>
      <c r="T2294" s="264" t="str">
        <f t="shared" si="4"/>
        <v/>
      </c>
      <c r="U2294" s="264" t="str">
        <f t="shared" si="5"/>
        <v/>
      </c>
      <c r="V2294" s="264" t="str">
        <f t="shared" si="6"/>
        <v/>
      </c>
      <c r="W2294" s="267" t="str">
        <f t="shared" si="8"/>
        <v/>
      </c>
      <c r="X2294" s="264" t="str">
        <f t="shared" si="7"/>
        <v/>
      </c>
    </row>
    <row r="2295" ht="15.75" customHeight="1">
      <c r="A2295" s="258"/>
      <c r="B2295" s="258"/>
      <c r="C2295" s="269"/>
      <c r="D2295" s="258"/>
      <c r="E2295" s="258"/>
      <c r="F2295" s="258"/>
      <c r="G2295" s="258"/>
      <c r="H2295" s="271"/>
      <c r="I2295" s="258"/>
      <c r="J2295" s="272"/>
      <c r="K2295" s="260"/>
      <c r="L2295" s="261"/>
      <c r="M2295" s="262" t="str">
        <f t="shared" si="1"/>
        <v/>
      </c>
      <c r="N2295" s="263" t="str">
        <f t="shared" si="2"/>
        <v/>
      </c>
      <c r="O2295" s="264" t="str">
        <f t="shared" si="3"/>
        <v/>
      </c>
      <c r="P2295" s="265" t="str">
        <f>IFERROR(__xludf.DUMMYFUNCTION("IF(ISBLANK(A2295),"""",IFERROR(IF(H2295=""Sell"",VLOOKUP(9^99,FILTER({ROW(P$2:P2294),P$2:P2294},D$2:D2294=D2295),2),(VLOOKUP(9^99,FILTER({ROW(P$2:P2294),P$2:P2294},D$2:D2294=D2295),2)*VLOOKUP(9^99,FILTER({ROW(O$2:O2294),O$2:O2294},D$2:D2294=D2295),2)-N229"&amp;"5)/O2295),J2295))"),"")</f>
        <v/>
      </c>
      <c r="Q2295" s="264" t="str">
        <f>IFERROR(__xludf.DUMMYFUNCTION("IFERROR(IF(F2295=""Crypto"",B2295,(IF(ISBLANK(D2295),"""",IF(D2295=""Cash"",B2295,IF(GOOGLEFINANCE(D2295,""CURRENCY"")=""GBX"",""GBP"",GOOGLEFINANCE(D2295,""CURRENCY"")))))),B2295)"),"")</f>
        <v/>
      </c>
      <c r="R2295" s="263" t="str">
        <f>IFERROR(__xludf.DUMMYFUNCTION("IF(ISBLANK(A2295),"""",IFERROR(IF(OR(Q2295=""GPB"",Q2295=""ZAR""),IF(Q2295=Dashboard!$L$1,K2295,(K2295*GOOGLEFINANCE(""CURRENCY:""&amp;Q2295&amp;""""&amp;Dashboard!$L$1&amp;""""))/100),IF(Q2295=Dashboard!$L$1,K2295,K2295*GOOGLEFINANCE(""CURRENCY:""&amp;Q2295&amp;""""&amp;Dashboard!$"&amp;"L$1&amp;""""))),K2295))"),"")</f>
        <v/>
      </c>
      <c r="S2295" s="266" t="str">
        <f>IFERROR(__xludf.DUMMYFUNCTION("IF(ISBLANK(A2295),"""",IFERROR(IF(OR(Q2295=""GPB"",Q2295=""ZAR""),IF(Q2295=Dashboard!$L$1,M2295,(M2295*GOOGLEFINANCE(""CURRENCY:""&amp;Q2295&amp;""""&amp;Dashboard!$L$1&amp;""""))/100),IF(Q2295=Dashboard!$L$1,M2295,M2295*GOOGLEFINANCE(""CURRENCY:""&amp;Q2295&amp;""""&amp;Dashboard!$"&amp;"L$1&amp;""""))),M2295))"),"")</f>
        <v/>
      </c>
      <c r="T2295" s="264" t="str">
        <f t="shared" si="4"/>
        <v/>
      </c>
      <c r="U2295" s="264" t="str">
        <f t="shared" si="5"/>
        <v/>
      </c>
      <c r="V2295" s="264" t="str">
        <f t="shared" si="6"/>
        <v/>
      </c>
      <c r="W2295" s="267" t="str">
        <f t="shared" si="8"/>
        <v/>
      </c>
      <c r="X2295" s="264" t="str">
        <f t="shared" si="7"/>
        <v/>
      </c>
    </row>
    <row r="2296" ht="15.75" customHeight="1">
      <c r="A2296" s="258"/>
      <c r="B2296" s="258"/>
      <c r="C2296" s="269"/>
      <c r="D2296" s="258"/>
      <c r="E2296" s="258"/>
      <c r="F2296" s="258"/>
      <c r="G2296" s="258"/>
      <c r="H2296" s="271"/>
      <c r="I2296" s="258"/>
      <c r="J2296" s="272"/>
      <c r="K2296" s="260"/>
      <c r="L2296" s="261"/>
      <c r="M2296" s="262" t="str">
        <f t="shared" si="1"/>
        <v/>
      </c>
      <c r="N2296" s="263" t="str">
        <f t="shared" si="2"/>
        <v/>
      </c>
      <c r="O2296" s="264" t="str">
        <f t="shared" si="3"/>
        <v/>
      </c>
      <c r="P2296" s="265" t="str">
        <f>IFERROR(__xludf.DUMMYFUNCTION("IF(ISBLANK(A2296),"""",IFERROR(IF(H2296=""Sell"",VLOOKUP(9^99,FILTER({ROW(P$2:P2295),P$2:P2295},D$2:D2295=D2296),2),(VLOOKUP(9^99,FILTER({ROW(P$2:P2295),P$2:P2295},D$2:D2295=D2296),2)*VLOOKUP(9^99,FILTER({ROW(O$2:O2295),O$2:O2295},D$2:D2295=D2296),2)-N229"&amp;"6)/O2296),J2296))"),"")</f>
        <v/>
      </c>
      <c r="Q2296" s="264" t="str">
        <f>IFERROR(__xludf.DUMMYFUNCTION("IFERROR(IF(F2296=""Crypto"",B2296,(IF(ISBLANK(D2296),"""",IF(D2296=""Cash"",B2296,IF(GOOGLEFINANCE(D2296,""CURRENCY"")=""GBX"",""GBP"",GOOGLEFINANCE(D2296,""CURRENCY"")))))),B2296)"),"")</f>
        <v/>
      </c>
      <c r="R2296" s="263" t="str">
        <f>IFERROR(__xludf.DUMMYFUNCTION("IF(ISBLANK(A2296),"""",IFERROR(IF(OR(Q2296=""GPB"",Q2296=""ZAR""),IF(Q2296=Dashboard!$L$1,K2296,(K2296*GOOGLEFINANCE(""CURRENCY:""&amp;Q2296&amp;""""&amp;Dashboard!$L$1&amp;""""))/100),IF(Q2296=Dashboard!$L$1,K2296,K2296*GOOGLEFINANCE(""CURRENCY:""&amp;Q2296&amp;""""&amp;Dashboard!$"&amp;"L$1&amp;""""))),K2296))"),"")</f>
        <v/>
      </c>
      <c r="S2296" s="266" t="str">
        <f>IFERROR(__xludf.DUMMYFUNCTION("IF(ISBLANK(A2296),"""",IFERROR(IF(OR(Q2296=""GPB"",Q2296=""ZAR""),IF(Q2296=Dashboard!$L$1,M2296,(M2296*GOOGLEFINANCE(""CURRENCY:""&amp;Q2296&amp;""""&amp;Dashboard!$L$1&amp;""""))/100),IF(Q2296=Dashboard!$L$1,M2296,M2296*GOOGLEFINANCE(""CURRENCY:""&amp;Q2296&amp;""""&amp;Dashboard!$"&amp;"L$1&amp;""""))),M2296))"),"")</f>
        <v/>
      </c>
      <c r="T2296" s="264" t="str">
        <f t="shared" si="4"/>
        <v/>
      </c>
      <c r="U2296" s="264" t="str">
        <f t="shared" si="5"/>
        <v/>
      </c>
      <c r="V2296" s="264" t="str">
        <f t="shared" si="6"/>
        <v/>
      </c>
      <c r="W2296" s="267" t="str">
        <f t="shared" si="8"/>
        <v/>
      </c>
      <c r="X2296" s="264" t="str">
        <f t="shared" si="7"/>
        <v/>
      </c>
    </row>
    <row r="2297" ht="15.75" customHeight="1">
      <c r="A2297" s="258"/>
      <c r="B2297" s="258"/>
      <c r="C2297" s="269"/>
      <c r="D2297" s="258"/>
      <c r="E2297" s="258"/>
      <c r="F2297" s="258"/>
      <c r="G2297" s="258"/>
      <c r="H2297" s="271"/>
      <c r="I2297" s="258"/>
      <c r="J2297" s="272"/>
      <c r="K2297" s="260"/>
      <c r="L2297" s="261"/>
      <c r="M2297" s="262" t="str">
        <f t="shared" si="1"/>
        <v/>
      </c>
      <c r="N2297" s="263" t="str">
        <f t="shared" si="2"/>
        <v/>
      </c>
      <c r="O2297" s="264" t="str">
        <f t="shared" si="3"/>
        <v/>
      </c>
      <c r="P2297" s="265" t="str">
        <f>IFERROR(__xludf.DUMMYFUNCTION("IF(ISBLANK(A2297),"""",IFERROR(IF(H2297=""Sell"",VLOOKUP(9^99,FILTER({ROW(P$2:P2296),P$2:P2296},D$2:D2296=D2297),2),(VLOOKUP(9^99,FILTER({ROW(P$2:P2296),P$2:P2296},D$2:D2296=D2297),2)*VLOOKUP(9^99,FILTER({ROW(O$2:O2296),O$2:O2296},D$2:D2296=D2297),2)-N229"&amp;"7)/O2297),J2297))"),"")</f>
        <v/>
      </c>
      <c r="Q2297" s="264" t="str">
        <f>IFERROR(__xludf.DUMMYFUNCTION("IFERROR(IF(F2297=""Crypto"",B2297,(IF(ISBLANK(D2297),"""",IF(D2297=""Cash"",B2297,IF(GOOGLEFINANCE(D2297,""CURRENCY"")=""GBX"",""GBP"",GOOGLEFINANCE(D2297,""CURRENCY"")))))),B2297)"),"")</f>
        <v/>
      </c>
      <c r="R2297" s="263" t="str">
        <f>IFERROR(__xludf.DUMMYFUNCTION("IF(ISBLANK(A2297),"""",IFERROR(IF(OR(Q2297=""GPB"",Q2297=""ZAR""),IF(Q2297=Dashboard!$L$1,K2297,(K2297*GOOGLEFINANCE(""CURRENCY:""&amp;Q2297&amp;""""&amp;Dashboard!$L$1&amp;""""))/100),IF(Q2297=Dashboard!$L$1,K2297,K2297*GOOGLEFINANCE(""CURRENCY:""&amp;Q2297&amp;""""&amp;Dashboard!$"&amp;"L$1&amp;""""))),K2297))"),"")</f>
        <v/>
      </c>
      <c r="S2297" s="266" t="str">
        <f>IFERROR(__xludf.DUMMYFUNCTION("IF(ISBLANK(A2297),"""",IFERROR(IF(OR(Q2297=""GPB"",Q2297=""ZAR""),IF(Q2297=Dashboard!$L$1,M2297,(M2297*GOOGLEFINANCE(""CURRENCY:""&amp;Q2297&amp;""""&amp;Dashboard!$L$1&amp;""""))/100),IF(Q2297=Dashboard!$L$1,M2297,M2297*GOOGLEFINANCE(""CURRENCY:""&amp;Q2297&amp;""""&amp;Dashboard!$"&amp;"L$1&amp;""""))),M2297))"),"")</f>
        <v/>
      </c>
      <c r="T2297" s="264" t="str">
        <f t="shared" si="4"/>
        <v/>
      </c>
      <c r="U2297" s="264" t="str">
        <f t="shared" si="5"/>
        <v/>
      </c>
      <c r="V2297" s="264" t="str">
        <f t="shared" si="6"/>
        <v/>
      </c>
      <c r="W2297" s="267" t="str">
        <f t="shared" si="8"/>
        <v/>
      </c>
      <c r="X2297" s="264" t="str">
        <f t="shared" si="7"/>
        <v/>
      </c>
    </row>
    <row r="2298" ht="15.75" customHeight="1">
      <c r="A2298" s="258"/>
      <c r="B2298" s="258"/>
      <c r="C2298" s="269"/>
      <c r="D2298" s="258"/>
      <c r="E2298" s="258"/>
      <c r="F2298" s="258"/>
      <c r="G2298" s="258"/>
      <c r="H2298" s="271"/>
      <c r="I2298" s="258"/>
      <c r="J2298" s="272"/>
      <c r="K2298" s="260"/>
      <c r="L2298" s="261"/>
      <c r="M2298" s="262" t="str">
        <f t="shared" si="1"/>
        <v/>
      </c>
      <c r="N2298" s="263" t="str">
        <f t="shared" si="2"/>
        <v/>
      </c>
      <c r="O2298" s="264" t="str">
        <f t="shared" si="3"/>
        <v/>
      </c>
      <c r="P2298" s="265" t="str">
        <f>IFERROR(__xludf.DUMMYFUNCTION("IF(ISBLANK(A2298),"""",IFERROR(IF(H2298=""Sell"",VLOOKUP(9^99,FILTER({ROW(P$2:P2297),P$2:P2297},D$2:D2297=D2298),2),(VLOOKUP(9^99,FILTER({ROW(P$2:P2297),P$2:P2297},D$2:D2297=D2298),2)*VLOOKUP(9^99,FILTER({ROW(O$2:O2297),O$2:O2297},D$2:D2297=D2298),2)-N229"&amp;"8)/O2298),J2298))"),"")</f>
        <v/>
      </c>
      <c r="Q2298" s="264" t="str">
        <f>IFERROR(__xludf.DUMMYFUNCTION("IFERROR(IF(F2298=""Crypto"",B2298,(IF(ISBLANK(D2298),"""",IF(D2298=""Cash"",B2298,IF(GOOGLEFINANCE(D2298,""CURRENCY"")=""GBX"",""GBP"",GOOGLEFINANCE(D2298,""CURRENCY"")))))),B2298)"),"")</f>
        <v/>
      </c>
      <c r="R2298" s="263" t="str">
        <f>IFERROR(__xludf.DUMMYFUNCTION("IF(ISBLANK(A2298),"""",IFERROR(IF(OR(Q2298=""GPB"",Q2298=""ZAR""),IF(Q2298=Dashboard!$L$1,K2298,(K2298*GOOGLEFINANCE(""CURRENCY:""&amp;Q2298&amp;""""&amp;Dashboard!$L$1&amp;""""))/100),IF(Q2298=Dashboard!$L$1,K2298,K2298*GOOGLEFINANCE(""CURRENCY:""&amp;Q2298&amp;""""&amp;Dashboard!$"&amp;"L$1&amp;""""))),K2298))"),"")</f>
        <v/>
      </c>
      <c r="S2298" s="266" t="str">
        <f>IFERROR(__xludf.DUMMYFUNCTION("IF(ISBLANK(A2298),"""",IFERROR(IF(OR(Q2298=""GPB"",Q2298=""ZAR""),IF(Q2298=Dashboard!$L$1,M2298,(M2298*GOOGLEFINANCE(""CURRENCY:""&amp;Q2298&amp;""""&amp;Dashboard!$L$1&amp;""""))/100),IF(Q2298=Dashboard!$L$1,M2298,M2298*GOOGLEFINANCE(""CURRENCY:""&amp;Q2298&amp;""""&amp;Dashboard!$"&amp;"L$1&amp;""""))),M2298))"),"")</f>
        <v/>
      </c>
      <c r="T2298" s="264" t="str">
        <f t="shared" si="4"/>
        <v/>
      </c>
      <c r="U2298" s="264" t="str">
        <f t="shared" si="5"/>
        <v/>
      </c>
      <c r="V2298" s="264" t="str">
        <f t="shared" si="6"/>
        <v/>
      </c>
      <c r="W2298" s="267" t="str">
        <f t="shared" si="8"/>
        <v/>
      </c>
      <c r="X2298" s="264" t="str">
        <f t="shared" si="7"/>
        <v/>
      </c>
    </row>
    <row r="2299" ht="15.75" customHeight="1">
      <c r="A2299" s="258"/>
      <c r="B2299" s="258"/>
      <c r="C2299" s="269"/>
      <c r="D2299" s="258"/>
      <c r="E2299" s="258"/>
      <c r="F2299" s="258"/>
      <c r="G2299" s="258"/>
      <c r="H2299" s="271"/>
      <c r="I2299" s="258"/>
      <c r="J2299" s="272"/>
      <c r="K2299" s="260"/>
      <c r="L2299" s="261"/>
      <c r="M2299" s="262" t="str">
        <f t="shared" si="1"/>
        <v/>
      </c>
      <c r="N2299" s="263" t="str">
        <f t="shared" si="2"/>
        <v/>
      </c>
      <c r="O2299" s="264" t="str">
        <f t="shared" si="3"/>
        <v/>
      </c>
      <c r="P2299" s="265" t="str">
        <f>IFERROR(__xludf.DUMMYFUNCTION("IF(ISBLANK(A2299),"""",IFERROR(IF(H2299=""Sell"",VLOOKUP(9^99,FILTER({ROW(P$2:P2298),P$2:P2298},D$2:D2298=D2299),2),(VLOOKUP(9^99,FILTER({ROW(P$2:P2298),P$2:P2298},D$2:D2298=D2299),2)*VLOOKUP(9^99,FILTER({ROW(O$2:O2298),O$2:O2298},D$2:D2298=D2299),2)-N229"&amp;"9)/O2299),J2299))"),"")</f>
        <v/>
      </c>
      <c r="Q2299" s="264" t="str">
        <f>IFERROR(__xludf.DUMMYFUNCTION("IFERROR(IF(F2299=""Crypto"",B2299,(IF(ISBLANK(D2299),"""",IF(D2299=""Cash"",B2299,IF(GOOGLEFINANCE(D2299,""CURRENCY"")=""GBX"",""GBP"",GOOGLEFINANCE(D2299,""CURRENCY"")))))),B2299)"),"")</f>
        <v/>
      </c>
      <c r="R2299" s="263" t="str">
        <f>IFERROR(__xludf.DUMMYFUNCTION("IF(ISBLANK(A2299),"""",IFERROR(IF(OR(Q2299=""GPB"",Q2299=""ZAR""),IF(Q2299=Dashboard!$L$1,K2299,(K2299*GOOGLEFINANCE(""CURRENCY:""&amp;Q2299&amp;""""&amp;Dashboard!$L$1&amp;""""))/100),IF(Q2299=Dashboard!$L$1,K2299,K2299*GOOGLEFINANCE(""CURRENCY:""&amp;Q2299&amp;""""&amp;Dashboard!$"&amp;"L$1&amp;""""))),K2299))"),"")</f>
        <v/>
      </c>
      <c r="S2299" s="266" t="str">
        <f>IFERROR(__xludf.DUMMYFUNCTION("IF(ISBLANK(A2299),"""",IFERROR(IF(OR(Q2299=""GPB"",Q2299=""ZAR""),IF(Q2299=Dashboard!$L$1,M2299,(M2299*GOOGLEFINANCE(""CURRENCY:""&amp;Q2299&amp;""""&amp;Dashboard!$L$1&amp;""""))/100),IF(Q2299=Dashboard!$L$1,M2299,M2299*GOOGLEFINANCE(""CURRENCY:""&amp;Q2299&amp;""""&amp;Dashboard!$"&amp;"L$1&amp;""""))),M2299))"),"")</f>
        <v/>
      </c>
      <c r="T2299" s="264" t="str">
        <f t="shared" si="4"/>
        <v/>
      </c>
      <c r="U2299" s="264" t="str">
        <f t="shared" si="5"/>
        <v/>
      </c>
      <c r="V2299" s="264" t="str">
        <f t="shared" si="6"/>
        <v/>
      </c>
      <c r="W2299" s="267" t="str">
        <f t="shared" si="8"/>
        <v/>
      </c>
      <c r="X2299" s="264" t="str">
        <f t="shared" si="7"/>
        <v/>
      </c>
    </row>
    <row r="2300" ht="15.75" customHeight="1">
      <c r="A2300" s="258"/>
      <c r="B2300" s="258"/>
      <c r="C2300" s="269"/>
      <c r="D2300" s="258"/>
      <c r="E2300" s="258"/>
      <c r="F2300" s="258"/>
      <c r="G2300" s="258"/>
      <c r="H2300" s="271"/>
      <c r="I2300" s="258"/>
      <c r="J2300" s="272"/>
      <c r="K2300" s="260"/>
      <c r="L2300" s="261"/>
      <c r="M2300" s="262" t="str">
        <f t="shared" si="1"/>
        <v/>
      </c>
      <c r="N2300" s="263" t="str">
        <f t="shared" si="2"/>
        <v/>
      </c>
      <c r="O2300" s="264" t="str">
        <f t="shared" si="3"/>
        <v/>
      </c>
      <c r="P2300" s="265" t="str">
        <f>IFERROR(__xludf.DUMMYFUNCTION("IF(ISBLANK(A2300),"""",IFERROR(IF(H2300=""Sell"",VLOOKUP(9^99,FILTER({ROW(P$2:P2299),P$2:P2299},D$2:D2299=D2300),2),(VLOOKUP(9^99,FILTER({ROW(P$2:P2299),P$2:P2299},D$2:D2299=D2300),2)*VLOOKUP(9^99,FILTER({ROW(O$2:O2299),O$2:O2299},D$2:D2299=D2300),2)-N230"&amp;"0)/O2300),J2300))"),"")</f>
        <v/>
      </c>
      <c r="Q2300" s="264" t="str">
        <f>IFERROR(__xludf.DUMMYFUNCTION("IFERROR(IF(F2300=""Crypto"",B2300,(IF(ISBLANK(D2300),"""",IF(D2300=""Cash"",B2300,IF(GOOGLEFINANCE(D2300,""CURRENCY"")=""GBX"",""GBP"",GOOGLEFINANCE(D2300,""CURRENCY"")))))),B2300)"),"")</f>
        <v/>
      </c>
      <c r="R2300" s="263" t="str">
        <f>IFERROR(__xludf.DUMMYFUNCTION("IF(ISBLANK(A2300),"""",IFERROR(IF(OR(Q2300=""GPB"",Q2300=""ZAR""),IF(Q2300=Dashboard!$L$1,K2300,(K2300*GOOGLEFINANCE(""CURRENCY:""&amp;Q2300&amp;""""&amp;Dashboard!$L$1&amp;""""))/100),IF(Q2300=Dashboard!$L$1,K2300,K2300*GOOGLEFINANCE(""CURRENCY:""&amp;Q2300&amp;""""&amp;Dashboard!$"&amp;"L$1&amp;""""))),K2300))"),"")</f>
        <v/>
      </c>
      <c r="S2300" s="266" t="str">
        <f>IFERROR(__xludf.DUMMYFUNCTION("IF(ISBLANK(A2300),"""",IFERROR(IF(OR(Q2300=""GPB"",Q2300=""ZAR""),IF(Q2300=Dashboard!$L$1,M2300,(M2300*GOOGLEFINANCE(""CURRENCY:""&amp;Q2300&amp;""""&amp;Dashboard!$L$1&amp;""""))/100),IF(Q2300=Dashboard!$L$1,M2300,M2300*GOOGLEFINANCE(""CURRENCY:""&amp;Q2300&amp;""""&amp;Dashboard!$"&amp;"L$1&amp;""""))),M2300))"),"")</f>
        <v/>
      </c>
      <c r="T2300" s="264" t="str">
        <f t="shared" si="4"/>
        <v/>
      </c>
      <c r="U2300" s="264" t="str">
        <f t="shared" si="5"/>
        <v/>
      </c>
      <c r="V2300" s="264" t="str">
        <f t="shared" si="6"/>
        <v/>
      </c>
      <c r="W2300" s="267" t="str">
        <f t="shared" si="8"/>
        <v/>
      </c>
      <c r="X2300" s="264" t="str">
        <f t="shared" si="7"/>
        <v/>
      </c>
    </row>
    <row r="2301" ht="15.75" customHeight="1">
      <c r="A2301" s="258"/>
      <c r="B2301" s="258"/>
      <c r="C2301" s="269"/>
      <c r="D2301" s="258"/>
      <c r="E2301" s="258"/>
      <c r="F2301" s="258"/>
      <c r="G2301" s="258"/>
      <c r="H2301" s="271"/>
      <c r="I2301" s="258"/>
      <c r="J2301" s="272"/>
      <c r="K2301" s="260"/>
      <c r="L2301" s="261"/>
      <c r="M2301" s="262" t="str">
        <f t="shared" si="1"/>
        <v/>
      </c>
      <c r="N2301" s="263" t="str">
        <f t="shared" si="2"/>
        <v/>
      </c>
      <c r="O2301" s="264" t="str">
        <f t="shared" si="3"/>
        <v/>
      </c>
      <c r="P2301" s="265" t="str">
        <f>IFERROR(__xludf.DUMMYFUNCTION("IF(ISBLANK(A2301),"""",IFERROR(IF(H2301=""Sell"",VLOOKUP(9^99,FILTER({ROW(P$2:P2300),P$2:P2300},D$2:D2300=D2301),2),(VLOOKUP(9^99,FILTER({ROW(P$2:P2300),P$2:P2300},D$2:D2300=D2301),2)*VLOOKUP(9^99,FILTER({ROW(O$2:O2300),O$2:O2300},D$2:D2300=D2301),2)-N230"&amp;"1)/O2301),J2301))"),"")</f>
        <v/>
      </c>
      <c r="Q2301" s="264" t="str">
        <f>IFERROR(__xludf.DUMMYFUNCTION("IFERROR(IF(F2301=""Crypto"",B2301,(IF(ISBLANK(D2301),"""",IF(D2301=""Cash"",B2301,IF(GOOGLEFINANCE(D2301,""CURRENCY"")=""GBX"",""GBP"",GOOGLEFINANCE(D2301,""CURRENCY"")))))),B2301)"),"")</f>
        <v/>
      </c>
      <c r="R2301" s="263" t="str">
        <f>IFERROR(__xludf.DUMMYFUNCTION("IF(ISBLANK(A2301),"""",IFERROR(IF(OR(Q2301=""GPB"",Q2301=""ZAR""),IF(Q2301=Dashboard!$L$1,K2301,(K2301*GOOGLEFINANCE(""CURRENCY:""&amp;Q2301&amp;""""&amp;Dashboard!$L$1&amp;""""))/100),IF(Q2301=Dashboard!$L$1,K2301,K2301*GOOGLEFINANCE(""CURRENCY:""&amp;Q2301&amp;""""&amp;Dashboard!$"&amp;"L$1&amp;""""))),K2301))"),"")</f>
        <v/>
      </c>
      <c r="S2301" s="266" t="str">
        <f>IFERROR(__xludf.DUMMYFUNCTION("IF(ISBLANK(A2301),"""",IFERROR(IF(OR(Q2301=""GPB"",Q2301=""ZAR""),IF(Q2301=Dashboard!$L$1,M2301,(M2301*GOOGLEFINANCE(""CURRENCY:""&amp;Q2301&amp;""""&amp;Dashboard!$L$1&amp;""""))/100),IF(Q2301=Dashboard!$L$1,M2301,M2301*GOOGLEFINANCE(""CURRENCY:""&amp;Q2301&amp;""""&amp;Dashboard!$"&amp;"L$1&amp;""""))),M2301))"),"")</f>
        <v/>
      </c>
      <c r="T2301" s="264" t="str">
        <f t="shared" si="4"/>
        <v/>
      </c>
      <c r="U2301" s="264" t="str">
        <f t="shared" si="5"/>
        <v/>
      </c>
      <c r="V2301" s="264" t="str">
        <f t="shared" si="6"/>
        <v/>
      </c>
      <c r="W2301" s="267" t="str">
        <f t="shared" si="8"/>
        <v/>
      </c>
      <c r="X2301" s="264" t="str">
        <f t="shared" si="7"/>
        <v/>
      </c>
    </row>
    <row r="2302" ht="15.75" customHeight="1">
      <c r="A2302" s="258"/>
      <c r="B2302" s="258"/>
      <c r="C2302" s="269"/>
      <c r="D2302" s="258"/>
      <c r="E2302" s="258"/>
      <c r="F2302" s="258"/>
      <c r="G2302" s="258"/>
      <c r="H2302" s="271"/>
      <c r="I2302" s="258"/>
      <c r="J2302" s="272"/>
      <c r="K2302" s="260"/>
      <c r="L2302" s="261"/>
      <c r="M2302" s="262" t="str">
        <f t="shared" si="1"/>
        <v/>
      </c>
      <c r="N2302" s="263" t="str">
        <f t="shared" si="2"/>
        <v/>
      </c>
      <c r="O2302" s="264" t="str">
        <f t="shared" si="3"/>
        <v/>
      </c>
      <c r="P2302" s="265" t="str">
        <f>IFERROR(__xludf.DUMMYFUNCTION("IF(ISBLANK(A2302),"""",IFERROR(IF(H2302=""Sell"",VLOOKUP(9^99,FILTER({ROW(P$2:P2301),P$2:P2301},D$2:D2301=D2302),2),(VLOOKUP(9^99,FILTER({ROW(P$2:P2301),P$2:P2301},D$2:D2301=D2302),2)*VLOOKUP(9^99,FILTER({ROW(O$2:O2301),O$2:O2301},D$2:D2301=D2302),2)-N230"&amp;"2)/O2302),J2302))"),"")</f>
        <v/>
      </c>
      <c r="Q2302" s="264" t="str">
        <f>IFERROR(__xludf.DUMMYFUNCTION("IFERROR(IF(F2302=""Crypto"",B2302,(IF(ISBLANK(D2302),"""",IF(D2302=""Cash"",B2302,IF(GOOGLEFINANCE(D2302,""CURRENCY"")=""GBX"",""GBP"",GOOGLEFINANCE(D2302,""CURRENCY"")))))),B2302)"),"")</f>
        <v/>
      </c>
      <c r="R2302" s="263" t="str">
        <f>IFERROR(__xludf.DUMMYFUNCTION("IF(ISBLANK(A2302),"""",IFERROR(IF(OR(Q2302=""GPB"",Q2302=""ZAR""),IF(Q2302=Dashboard!$L$1,K2302,(K2302*GOOGLEFINANCE(""CURRENCY:""&amp;Q2302&amp;""""&amp;Dashboard!$L$1&amp;""""))/100),IF(Q2302=Dashboard!$L$1,K2302,K2302*GOOGLEFINANCE(""CURRENCY:""&amp;Q2302&amp;""""&amp;Dashboard!$"&amp;"L$1&amp;""""))),K2302))"),"")</f>
        <v/>
      </c>
      <c r="S2302" s="266" t="str">
        <f>IFERROR(__xludf.DUMMYFUNCTION("IF(ISBLANK(A2302),"""",IFERROR(IF(OR(Q2302=""GPB"",Q2302=""ZAR""),IF(Q2302=Dashboard!$L$1,M2302,(M2302*GOOGLEFINANCE(""CURRENCY:""&amp;Q2302&amp;""""&amp;Dashboard!$L$1&amp;""""))/100),IF(Q2302=Dashboard!$L$1,M2302,M2302*GOOGLEFINANCE(""CURRENCY:""&amp;Q2302&amp;""""&amp;Dashboard!$"&amp;"L$1&amp;""""))),M2302))"),"")</f>
        <v/>
      </c>
      <c r="T2302" s="264" t="str">
        <f t="shared" si="4"/>
        <v/>
      </c>
      <c r="U2302" s="264" t="str">
        <f t="shared" si="5"/>
        <v/>
      </c>
      <c r="V2302" s="264" t="str">
        <f t="shared" si="6"/>
        <v/>
      </c>
      <c r="W2302" s="267" t="str">
        <f t="shared" si="8"/>
        <v/>
      </c>
      <c r="X2302" s="264" t="str">
        <f t="shared" si="7"/>
        <v/>
      </c>
    </row>
    <row r="2303" ht="15.75" customHeight="1">
      <c r="A2303" s="258"/>
      <c r="B2303" s="258"/>
      <c r="C2303" s="269"/>
      <c r="D2303" s="258"/>
      <c r="E2303" s="258"/>
      <c r="F2303" s="258"/>
      <c r="G2303" s="258"/>
      <c r="H2303" s="271"/>
      <c r="I2303" s="258"/>
      <c r="J2303" s="272"/>
      <c r="K2303" s="260"/>
      <c r="L2303" s="261"/>
      <c r="M2303" s="262" t="str">
        <f t="shared" si="1"/>
        <v/>
      </c>
      <c r="N2303" s="263" t="str">
        <f t="shared" si="2"/>
        <v/>
      </c>
      <c r="O2303" s="264" t="str">
        <f t="shared" si="3"/>
        <v/>
      </c>
      <c r="P2303" s="265" t="str">
        <f>IFERROR(__xludf.DUMMYFUNCTION("IF(ISBLANK(A2303),"""",IFERROR(IF(H2303=""Sell"",VLOOKUP(9^99,FILTER({ROW(P$2:P2302),P$2:P2302},D$2:D2302=D2303),2),(VLOOKUP(9^99,FILTER({ROW(P$2:P2302),P$2:P2302},D$2:D2302=D2303),2)*VLOOKUP(9^99,FILTER({ROW(O$2:O2302),O$2:O2302},D$2:D2302=D2303),2)-N230"&amp;"3)/O2303),J2303))"),"")</f>
        <v/>
      </c>
      <c r="Q2303" s="264" t="str">
        <f>IFERROR(__xludf.DUMMYFUNCTION("IFERROR(IF(F2303=""Crypto"",B2303,(IF(ISBLANK(D2303),"""",IF(D2303=""Cash"",B2303,IF(GOOGLEFINANCE(D2303,""CURRENCY"")=""GBX"",""GBP"",GOOGLEFINANCE(D2303,""CURRENCY"")))))),B2303)"),"")</f>
        <v/>
      </c>
      <c r="R2303" s="263" t="str">
        <f>IFERROR(__xludf.DUMMYFUNCTION("IF(ISBLANK(A2303),"""",IFERROR(IF(OR(Q2303=""GPB"",Q2303=""ZAR""),IF(Q2303=Dashboard!$L$1,K2303,(K2303*GOOGLEFINANCE(""CURRENCY:""&amp;Q2303&amp;""""&amp;Dashboard!$L$1&amp;""""))/100),IF(Q2303=Dashboard!$L$1,K2303,K2303*GOOGLEFINANCE(""CURRENCY:""&amp;Q2303&amp;""""&amp;Dashboard!$"&amp;"L$1&amp;""""))),K2303))"),"")</f>
        <v/>
      </c>
      <c r="S2303" s="266" t="str">
        <f>IFERROR(__xludf.DUMMYFUNCTION("IF(ISBLANK(A2303),"""",IFERROR(IF(OR(Q2303=""GPB"",Q2303=""ZAR""),IF(Q2303=Dashboard!$L$1,M2303,(M2303*GOOGLEFINANCE(""CURRENCY:""&amp;Q2303&amp;""""&amp;Dashboard!$L$1&amp;""""))/100),IF(Q2303=Dashboard!$L$1,M2303,M2303*GOOGLEFINANCE(""CURRENCY:""&amp;Q2303&amp;""""&amp;Dashboard!$"&amp;"L$1&amp;""""))),M2303))"),"")</f>
        <v/>
      </c>
      <c r="T2303" s="264" t="str">
        <f t="shared" si="4"/>
        <v/>
      </c>
      <c r="U2303" s="264" t="str">
        <f t="shared" si="5"/>
        <v/>
      </c>
      <c r="V2303" s="264" t="str">
        <f t="shared" si="6"/>
        <v/>
      </c>
      <c r="W2303" s="267" t="str">
        <f t="shared" si="8"/>
        <v/>
      </c>
      <c r="X2303" s="264" t="str">
        <f t="shared" si="7"/>
        <v/>
      </c>
    </row>
    <row r="2304" ht="15.75" customHeight="1">
      <c r="A2304" s="258"/>
      <c r="B2304" s="258"/>
      <c r="C2304" s="269"/>
      <c r="D2304" s="258"/>
      <c r="E2304" s="258"/>
      <c r="F2304" s="258"/>
      <c r="G2304" s="258"/>
      <c r="H2304" s="271"/>
      <c r="I2304" s="258"/>
      <c r="J2304" s="272"/>
      <c r="K2304" s="260"/>
      <c r="L2304" s="261"/>
      <c r="M2304" s="262" t="str">
        <f t="shared" si="1"/>
        <v/>
      </c>
      <c r="N2304" s="263" t="str">
        <f t="shared" si="2"/>
        <v/>
      </c>
      <c r="O2304" s="264" t="str">
        <f t="shared" si="3"/>
        <v/>
      </c>
      <c r="P2304" s="265" t="str">
        <f>IFERROR(__xludf.DUMMYFUNCTION("IF(ISBLANK(A2304),"""",IFERROR(IF(H2304=""Sell"",VLOOKUP(9^99,FILTER({ROW(P$2:P2303),P$2:P2303},D$2:D2303=D2304),2),(VLOOKUP(9^99,FILTER({ROW(P$2:P2303),P$2:P2303},D$2:D2303=D2304),2)*VLOOKUP(9^99,FILTER({ROW(O$2:O2303),O$2:O2303},D$2:D2303=D2304),2)-N230"&amp;"4)/O2304),J2304))"),"")</f>
        <v/>
      </c>
      <c r="Q2304" s="264" t="str">
        <f>IFERROR(__xludf.DUMMYFUNCTION("IFERROR(IF(F2304=""Crypto"",B2304,(IF(ISBLANK(D2304),"""",IF(D2304=""Cash"",B2304,IF(GOOGLEFINANCE(D2304,""CURRENCY"")=""GBX"",""GBP"",GOOGLEFINANCE(D2304,""CURRENCY"")))))),B2304)"),"")</f>
        <v/>
      </c>
      <c r="R2304" s="263" t="str">
        <f>IFERROR(__xludf.DUMMYFUNCTION("IF(ISBLANK(A2304),"""",IFERROR(IF(OR(Q2304=""GPB"",Q2304=""ZAR""),IF(Q2304=Dashboard!$L$1,K2304,(K2304*GOOGLEFINANCE(""CURRENCY:""&amp;Q2304&amp;""""&amp;Dashboard!$L$1&amp;""""))/100),IF(Q2304=Dashboard!$L$1,K2304,K2304*GOOGLEFINANCE(""CURRENCY:""&amp;Q2304&amp;""""&amp;Dashboard!$"&amp;"L$1&amp;""""))),K2304))"),"")</f>
        <v/>
      </c>
      <c r="S2304" s="266" t="str">
        <f>IFERROR(__xludf.DUMMYFUNCTION("IF(ISBLANK(A2304),"""",IFERROR(IF(OR(Q2304=""GPB"",Q2304=""ZAR""),IF(Q2304=Dashboard!$L$1,M2304,(M2304*GOOGLEFINANCE(""CURRENCY:""&amp;Q2304&amp;""""&amp;Dashboard!$L$1&amp;""""))/100),IF(Q2304=Dashboard!$L$1,M2304,M2304*GOOGLEFINANCE(""CURRENCY:""&amp;Q2304&amp;""""&amp;Dashboard!$"&amp;"L$1&amp;""""))),M2304))"),"")</f>
        <v/>
      </c>
      <c r="T2304" s="264" t="str">
        <f t="shared" si="4"/>
        <v/>
      </c>
      <c r="U2304" s="264" t="str">
        <f t="shared" si="5"/>
        <v/>
      </c>
      <c r="V2304" s="264" t="str">
        <f t="shared" si="6"/>
        <v/>
      </c>
      <c r="W2304" s="267" t="str">
        <f t="shared" si="8"/>
        <v/>
      </c>
      <c r="X2304" s="264" t="str">
        <f t="shared" si="7"/>
        <v/>
      </c>
    </row>
    <row r="2305" ht="15.75" customHeight="1">
      <c r="A2305" s="258"/>
      <c r="B2305" s="258"/>
      <c r="C2305" s="269"/>
      <c r="D2305" s="258"/>
      <c r="E2305" s="258"/>
      <c r="F2305" s="258"/>
      <c r="G2305" s="258"/>
      <c r="H2305" s="271"/>
      <c r="I2305" s="258"/>
      <c r="J2305" s="272"/>
      <c r="K2305" s="260"/>
      <c r="L2305" s="261"/>
      <c r="M2305" s="262" t="str">
        <f t="shared" si="1"/>
        <v/>
      </c>
      <c r="N2305" s="263" t="str">
        <f t="shared" si="2"/>
        <v/>
      </c>
      <c r="O2305" s="264" t="str">
        <f t="shared" si="3"/>
        <v/>
      </c>
      <c r="P2305" s="265" t="str">
        <f>IFERROR(__xludf.DUMMYFUNCTION("IF(ISBLANK(A2305),"""",IFERROR(IF(H2305=""Sell"",VLOOKUP(9^99,FILTER({ROW(P$2:P2304),P$2:P2304},D$2:D2304=D2305),2),(VLOOKUP(9^99,FILTER({ROW(P$2:P2304),P$2:P2304},D$2:D2304=D2305),2)*VLOOKUP(9^99,FILTER({ROW(O$2:O2304),O$2:O2304},D$2:D2304=D2305),2)-N230"&amp;"5)/O2305),J2305))"),"")</f>
        <v/>
      </c>
      <c r="Q2305" s="264" t="str">
        <f>IFERROR(__xludf.DUMMYFUNCTION("IFERROR(IF(F2305=""Crypto"",B2305,(IF(ISBLANK(D2305),"""",IF(D2305=""Cash"",B2305,IF(GOOGLEFINANCE(D2305,""CURRENCY"")=""GBX"",""GBP"",GOOGLEFINANCE(D2305,""CURRENCY"")))))),B2305)"),"")</f>
        <v/>
      </c>
      <c r="R2305" s="263" t="str">
        <f>IFERROR(__xludf.DUMMYFUNCTION("IF(ISBLANK(A2305),"""",IFERROR(IF(OR(Q2305=""GPB"",Q2305=""ZAR""),IF(Q2305=Dashboard!$L$1,K2305,(K2305*GOOGLEFINANCE(""CURRENCY:""&amp;Q2305&amp;""""&amp;Dashboard!$L$1&amp;""""))/100),IF(Q2305=Dashboard!$L$1,K2305,K2305*GOOGLEFINANCE(""CURRENCY:""&amp;Q2305&amp;""""&amp;Dashboard!$"&amp;"L$1&amp;""""))),K2305))"),"")</f>
        <v/>
      </c>
      <c r="S2305" s="266" t="str">
        <f>IFERROR(__xludf.DUMMYFUNCTION("IF(ISBLANK(A2305),"""",IFERROR(IF(OR(Q2305=""GPB"",Q2305=""ZAR""),IF(Q2305=Dashboard!$L$1,M2305,(M2305*GOOGLEFINANCE(""CURRENCY:""&amp;Q2305&amp;""""&amp;Dashboard!$L$1&amp;""""))/100),IF(Q2305=Dashboard!$L$1,M2305,M2305*GOOGLEFINANCE(""CURRENCY:""&amp;Q2305&amp;""""&amp;Dashboard!$"&amp;"L$1&amp;""""))),M2305))"),"")</f>
        <v/>
      </c>
      <c r="T2305" s="264" t="str">
        <f t="shared" si="4"/>
        <v/>
      </c>
      <c r="U2305" s="264" t="str">
        <f t="shared" si="5"/>
        <v/>
      </c>
      <c r="V2305" s="264" t="str">
        <f t="shared" si="6"/>
        <v/>
      </c>
      <c r="W2305" s="267" t="str">
        <f t="shared" si="8"/>
        <v/>
      </c>
      <c r="X2305" s="264" t="str">
        <f t="shared" si="7"/>
        <v/>
      </c>
    </row>
    <row r="2306" ht="15.75" customHeight="1">
      <c r="A2306" s="258"/>
      <c r="B2306" s="258"/>
      <c r="C2306" s="269"/>
      <c r="D2306" s="258"/>
      <c r="E2306" s="258"/>
      <c r="F2306" s="258"/>
      <c r="G2306" s="258"/>
      <c r="H2306" s="271"/>
      <c r="I2306" s="258"/>
      <c r="J2306" s="272"/>
      <c r="K2306" s="260"/>
      <c r="L2306" s="261"/>
      <c r="M2306" s="262" t="str">
        <f t="shared" si="1"/>
        <v/>
      </c>
      <c r="N2306" s="263" t="str">
        <f t="shared" si="2"/>
        <v/>
      </c>
      <c r="O2306" s="264" t="str">
        <f t="shared" si="3"/>
        <v/>
      </c>
      <c r="P2306" s="265" t="str">
        <f>IFERROR(__xludf.DUMMYFUNCTION("IF(ISBLANK(A2306),"""",IFERROR(IF(H2306=""Sell"",VLOOKUP(9^99,FILTER({ROW(P$2:P2305),P$2:P2305},D$2:D2305=D2306),2),(VLOOKUP(9^99,FILTER({ROW(P$2:P2305),P$2:P2305},D$2:D2305=D2306),2)*VLOOKUP(9^99,FILTER({ROW(O$2:O2305),O$2:O2305},D$2:D2305=D2306),2)-N230"&amp;"6)/O2306),J2306))"),"")</f>
        <v/>
      </c>
      <c r="Q2306" s="264" t="str">
        <f>IFERROR(__xludf.DUMMYFUNCTION("IFERROR(IF(F2306=""Crypto"",B2306,(IF(ISBLANK(D2306),"""",IF(D2306=""Cash"",B2306,IF(GOOGLEFINANCE(D2306,""CURRENCY"")=""GBX"",""GBP"",GOOGLEFINANCE(D2306,""CURRENCY"")))))),B2306)"),"")</f>
        <v/>
      </c>
      <c r="R2306" s="263" t="str">
        <f>IFERROR(__xludf.DUMMYFUNCTION("IF(ISBLANK(A2306),"""",IFERROR(IF(OR(Q2306=""GPB"",Q2306=""ZAR""),IF(Q2306=Dashboard!$L$1,K2306,(K2306*GOOGLEFINANCE(""CURRENCY:""&amp;Q2306&amp;""""&amp;Dashboard!$L$1&amp;""""))/100),IF(Q2306=Dashboard!$L$1,K2306,K2306*GOOGLEFINANCE(""CURRENCY:""&amp;Q2306&amp;""""&amp;Dashboard!$"&amp;"L$1&amp;""""))),K2306))"),"")</f>
        <v/>
      </c>
      <c r="S2306" s="266" t="str">
        <f>IFERROR(__xludf.DUMMYFUNCTION("IF(ISBLANK(A2306),"""",IFERROR(IF(OR(Q2306=""GPB"",Q2306=""ZAR""),IF(Q2306=Dashboard!$L$1,M2306,(M2306*GOOGLEFINANCE(""CURRENCY:""&amp;Q2306&amp;""""&amp;Dashboard!$L$1&amp;""""))/100),IF(Q2306=Dashboard!$L$1,M2306,M2306*GOOGLEFINANCE(""CURRENCY:""&amp;Q2306&amp;""""&amp;Dashboard!$"&amp;"L$1&amp;""""))),M2306))"),"")</f>
        <v/>
      </c>
      <c r="T2306" s="264" t="str">
        <f t="shared" si="4"/>
        <v/>
      </c>
      <c r="U2306" s="264" t="str">
        <f t="shared" si="5"/>
        <v/>
      </c>
      <c r="V2306" s="264" t="str">
        <f t="shared" si="6"/>
        <v/>
      </c>
      <c r="W2306" s="267" t="str">
        <f t="shared" si="8"/>
        <v/>
      </c>
      <c r="X2306" s="264" t="str">
        <f t="shared" si="7"/>
        <v/>
      </c>
    </row>
    <row r="2307" ht="15.75" customHeight="1">
      <c r="A2307" s="258"/>
      <c r="B2307" s="258"/>
      <c r="C2307" s="269"/>
      <c r="D2307" s="258"/>
      <c r="E2307" s="258"/>
      <c r="F2307" s="258"/>
      <c r="G2307" s="258"/>
      <c r="H2307" s="271"/>
      <c r="I2307" s="258"/>
      <c r="J2307" s="272"/>
      <c r="K2307" s="260"/>
      <c r="L2307" s="261"/>
      <c r="M2307" s="262" t="str">
        <f t="shared" si="1"/>
        <v/>
      </c>
      <c r="N2307" s="263" t="str">
        <f t="shared" si="2"/>
        <v/>
      </c>
      <c r="O2307" s="264" t="str">
        <f t="shared" si="3"/>
        <v/>
      </c>
      <c r="P2307" s="265" t="str">
        <f>IFERROR(__xludf.DUMMYFUNCTION("IF(ISBLANK(A2307),"""",IFERROR(IF(H2307=""Sell"",VLOOKUP(9^99,FILTER({ROW(P$2:P2306),P$2:P2306},D$2:D2306=D2307),2),(VLOOKUP(9^99,FILTER({ROW(P$2:P2306),P$2:P2306},D$2:D2306=D2307),2)*VLOOKUP(9^99,FILTER({ROW(O$2:O2306),O$2:O2306},D$2:D2306=D2307),2)-N230"&amp;"7)/O2307),J2307))"),"")</f>
        <v/>
      </c>
      <c r="Q2307" s="264" t="str">
        <f>IFERROR(__xludf.DUMMYFUNCTION("IFERROR(IF(F2307=""Crypto"",B2307,(IF(ISBLANK(D2307),"""",IF(D2307=""Cash"",B2307,IF(GOOGLEFINANCE(D2307,""CURRENCY"")=""GBX"",""GBP"",GOOGLEFINANCE(D2307,""CURRENCY"")))))),B2307)"),"")</f>
        <v/>
      </c>
      <c r="R2307" s="263" t="str">
        <f>IFERROR(__xludf.DUMMYFUNCTION("IF(ISBLANK(A2307),"""",IFERROR(IF(OR(Q2307=""GPB"",Q2307=""ZAR""),IF(Q2307=Dashboard!$L$1,K2307,(K2307*GOOGLEFINANCE(""CURRENCY:""&amp;Q2307&amp;""""&amp;Dashboard!$L$1&amp;""""))/100),IF(Q2307=Dashboard!$L$1,K2307,K2307*GOOGLEFINANCE(""CURRENCY:""&amp;Q2307&amp;""""&amp;Dashboard!$"&amp;"L$1&amp;""""))),K2307))"),"")</f>
        <v/>
      </c>
      <c r="S2307" s="266" t="str">
        <f>IFERROR(__xludf.DUMMYFUNCTION("IF(ISBLANK(A2307),"""",IFERROR(IF(OR(Q2307=""GPB"",Q2307=""ZAR""),IF(Q2307=Dashboard!$L$1,M2307,(M2307*GOOGLEFINANCE(""CURRENCY:""&amp;Q2307&amp;""""&amp;Dashboard!$L$1&amp;""""))/100),IF(Q2307=Dashboard!$L$1,M2307,M2307*GOOGLEFINANCE(""CURRENCY:""&amp;Q2307&amp;""""&amp;Dashboard!$"&amp;"L$1&amp;""""))),M2307))"),"")</f>
        <v/>
      </c>
      <c r="T2307" s="264" t="str">
        <f t="shared" si="4"/>
        <v/>
      </c>
      <c r="U2307" s="264" t="str">
        <f t="shared" si="5"/>
        <v/>
      </c>
      <c r="V2307" s="264" t="str">
        <f t="shared" si="6"/>
        <v/>
      </c>
      <c r="W2307" s="267" t="str">
        <f t="shared" si="8"/>
        <v/>
      </c>
      <c r="X2307" s="264" t="str">
        <f t="shared" si="7"/>
        <v/>
      </c>
    </row>
    <row r="2308" ht="15.75" customHeight="1">
      <c r="A2308" s="258"/>
      <c r="B2308" s="258"/>
      <c r="C2308" s="269"/>
      <c r="D2308" s="258"/>
      <c r="E2308" s="258"/>
      <c r="F2308" s="258"/>
      <c r="G2308" s="258"/>
      <c r="H2308" s="271"/>
      <c r="I2308" s="258"/>
      <c r="J2308" s="272"/>
      <c r="K2308" s="260"/>
      <c r="L2308" s="261"/>
      <c r="M2308" s="262" t="str">
        <f t="shared" si="1"/>
        <v/>
      </c>
      <c r="N2308" s="263" t="str">
        <f t="shared" si="2"/>
        <v/>
      </c>
      <c r="O2308" s="264" t="str">
        <f t="shared" si="3"/>
        <v/>
      </c>
      <c r="P2308" s="265" t="str">
        <f>IFERROR(__xludf.DUMMYFUNCTION("IF(ISBLANK(A2308),"""",IFERROR(IF(H2308=""Sell"",VLOOKUP(9^99,FILTER({ROW(P$2:P2307),P$2:P2307},D$2:D2307=D2308),2),(VLOOKUP(9^99,FILTER({ROW(P$2:P2307),P$2:P2307},D$2:D2307=D2308),2)*VLOOKUP(9^99,FILTER({ROW(O$2:O2307),O$2:O2307},D$2:D2307=D2308),2)-N230"&amp;"8)/O2308),J2308))"),"")</f>
        <v/>
      </c>
      <c r="Q2308" s="264" t="str">
        <f>IFERROR(__xludf.DUMMYFUNCTION("IFERROR(IF(F2308=""Crypto"",B2308,(IF(ISBLANK(D2308),"""",IF(D2308=""Cash"",B2308,IF(GOOGLEFINANCE(D2308,""CURRENCY"")=""GBX"",""GBP"",GOOGLEFINANCE(D2308,""CURRENCY"")))))),B2308)"),"")</f>
        <v/>
      </c>
      <c r="R2308" s="263" t="str">
        <f>IFERROR(__xludf.DUMMYFUNCTION("IF(ISBLANK(A2308),"""",IFERROR(IF(OR(Q2308=""GPB"",Q2308=""ZAR""),IF(Q2308=Dashboard!$L$1,K2308,(K2308*GOOGLEFINANCE(""CURRENCY:""&amp;Q2308&amp;""""&amp;Dashboard!$L$1&amp;""""))/100),IF(Q2308=Dashboard!$L$1,K2308,K2308*GOOGLEFINANCE(""CURRENCY:""&amp;Q2308&amp;""""&amp;Dashboard!$"&amp;"L$1&amp;""""))),K2308))"),"")</f>
        <v/>
      </c>
      <c r="S2308" s="266" t="str">
        <f>IFERROR(__xludf.DUMMYFUNCTION("IF(ISBLANK(A2308),"""",IFERROR(IF(OR(Q2308=""GPB"",Q2308=""ZAR""),IF(Q2308=Dashboard!$L$1,M2308,(M2308*GOOGLEFINANCE(""CURRENCY:""&amp;Q2308&amp;""""&amp;Dashboard!$L$1&amp;""""))/100),IF(Q2308=Dashboard!$L$1,M2308,M2308*GOOGLEFINANCE(""CURRENCY:""&amp;Q2308&amp;""""&amp;Dashboard!$"&amp;"L$1&amp;""""))),M2308))"),"")</f>
        <v/>
      </c>
      <c r="T2308" s="264" t="str">
        <f t="shared" si="4"/>
        <v/>
      </c>
      <c r="U2308" s="264" t="str">
        <f t="shared" si="5"/>
        <v/>
      </c>
      <c r="V2308" s="264" t="str">
        <f t="shared" si="6"/>
        <v/>
      </c>
      <c r="W2308" s="267" t="str">
        <f t="shared" si="8"/>
        <v/>
      </c>
      <c r="X2308" s="264" t="str">
        <f t="shared" si="7"/>
        <v/>
      </c>
    </row>
    <row r="2309" ht="15.75" customHeight="1">
      <c r="A2309" s="258"/>
      <c r="B2309" s="258"/>
      <c r="C2309" s="269"/>
      <c r="D2309" s="258"/>
      <c r="E2309" s="258"/>
      <c r="F2309" s="258"/>
      <c r="G2309" s="258"/>
      <c r="H2309" s="271"/>
      <c r="I2309" s="258"/>
      <c r="J2309" s="272"/>
      <c r="K2309" s="260"/>
      <c r="L2309" s="261"/>
      <c r="M2309" s="262" t="str">
        <f t="shared" si="1"/>
        <v/>
      </c>
      <c r="N2309" s="263" t="str">
        <f t="shared" si="2"/>
        <v/>
      </c>
      <c r="O2309" s="264" t="str">
        <f t="shared" si="3"/>
        <v/>
      </c>
      <c r="P2309" s="265" t="str">
        <f>IFERROR(__xludf.DUMMYFUNCTION("IF(ISBLANK(A2309),"""",IFERROR(IF(H2309=""Sell"",VLOOKUP(9^99,FILTER({ROW(P$2:P2308),P$2:P2308},D$2:D2308=D2309),2),(VLOOKUP(9^99,FILTER({ROW(P$2:P2308),P$2:P2308},D$2:D2308=D2309),2)*VLOOKUP(9^99,FILTER({ROW(O$2:O2308),O$2:O2308},D$2:D2308=D2309),2)-N230"&amp;"9)/O2309),J2309))"),"")</f>
        <v/>
      </c>
      <c r="Q2309" s="264" t="str">
        <f>IFERROR(__xludf.DUMMYFUNCTION("IFERROR(IF(F2309=""Crypto"",B2309,(IF(ISBLANK(D2309),"""",IF(D2309=""Cash"",B2309,IF(GOOGLEFINANCE(D2309,""CURRENCY"")=""GBX"",""GBP"",GOOGLEFINANCE(D2309,""CURRENCY"")))))),B2309)"),"")</f>
        <v/>
      </c>
      <c r="R2309" s="263" t="str">
        <f>IFERROR(__xludf.DUMMYFUNCTION("IF(ISBLANK(A2309),"""",IFERROR(IF(OR(Q2309=""GPB"",Q2309=""ZAR""),IF(Q2309=Dashboard!$L$1,K2309,(K2309*GOOGLEFINANCE(""CURRENCY:""&amp;Q2309&amp;""""&amp;Dashboard!$L$1&amp;""""))/100),IF(Q2309=Dashboard!$L$1,K2309,K2309*GOOGLEFINANCE(""CURRENCY:""&amp;Q2309&amp;""""&amp;Dashboard!$"&amp;"L$1&amp;""""))),K2309))"),"")</f>
        <v/>
      </c>
      <c r="S2309" s="266" t="str">
        <f>IFERROR(__xludf.DUMMYFUNCTION("IF(ISBLANK(A2309),"""",IFERROR(IF(OR(Q2309=""GPB"",Q2309=""ZAR""),IF(Q2309=Dashboard!$L$1,M2309,(M2309*GOOGLEFINANCE(""CURRENCY:""&amp;Q2309&amp;""""&amp;Dashboard!$L$1&amp;""""))/100),IF(Q2309=Dashboard!$L$1,M2309,M2309*GOOGLEFINANCE(""CURRENCY:""&amp;Q2309&amp;""""&amp;Dashboard!$"&amp;"L$1&amp;""""))),M2309))"),"")</f>
        <v/>
      </c>
      <c r="T2309" s="264" t="str">
        <f t="shared" si="4"/>
        <v/>
      </c>
      <c r="U2309" s="264" t="str">
        <f t="shared" si="5"/>
        <v/>
      </c>
      <c r="V2309" s="264" t="str">
        <f t="shared" si="6"/>
        <v/>
      </c>
      <c r="W2309" s="267" t="str">
        <f t="shared" si="8"/>
        <v/>
      </c>
      <c r="X2309" s="264" t="str">
        <f t="shared" si="7"/>
        <v/>
      </c>
    </row>
    <row r="2310" ht="15.75" customHeight="1">
      <c r="A2310" s="258"/>
      <c r="B2310" s="258"/>
      <c r="C2310" s="269"/>
      <c r="D2310" s="258"/>
      <c r="E2310" s="258"/>
      <c r="F2310" s="258"/>
      <c r="G2310" s="258"/>
      <c r="H2310" s="271"/>
      <c r="I2310" s="258"/>
      <c r="J2310" s="272"/>
      <c r="K2310" s="260"/>
      <c r="L2310" s="261"/>
      <c r="M2310" s="262" t="str">
        <f t="shared" si="1"/>
        <v/>
      </c>
      <c r="N2310" s="263" t="str">
        <f t="shared" si="2"/>
        <v/>
      </c>
      <c r="O2310" s="264" t="str">
        <f t="shared" si="3"/>
        <v/>
      </c>
      <c r="P2310" s="265" t="str">
        <f>IFERROR(__xludf.DUMMYFUNCTION("IF(ISBLANK(A2310),"""",IFERROR(IF(H2310=""Sell"",VLOOKUP(9^99,FILTER({ROW(P$2:P2309),P$2:P2309},D$2:D2309=D2310),2),(VLOOKUP(9^99,FILTER({ROW(P$2:P2309),P$2:P2309},D$2:D2309=D2310),2)*VLOOKUP(9^99,FILTER({ROW(O$2:O2309),O$2:O2309},D$2:D2309=D2310),2)-N231"&amp;"0)/O2310),J2310))"),"")</f>
        <v/>
      </c>
      <c r="Q2310" s="264" t="str">
        <f>IFERROR(__xludf.DUMMYFUNCTION("IFERROR(IF(F2310=""Crypto"",B2310,(IF(ISBLANK(D2310),"""",IF(D2310=""Cash"",B2310,IF(GOOGLEFINANCE(D2310,""CURRENCY"")=""GBX"",""GBP"",GOOGLEFINANCE(D2310,""CURRENCY"")))))),B2310)"),"")</f>
        <v/>
      </c>
      <c r="R2310" s="263" t="str">
        <f>IFERROR(__xludf.DUMMYFUNCTION("IF(ISBLANK(A2310),"""",IFERROR(IF(OR(Q2310=""GPB"",Q2310=""ZAR""),IF(Q2310=Dashboard!$L$1,K2310,(K2310*GOOGLEFINANCE(""CURRENCY:""&amp;Q2310&amp;""""&amp;Dashboard!$L$1&amp;""""))/100),IF(Q2310=Dashboard!$L$1,K2310,K2310*GOOGLEFINANCE(""CURRENCY:""&amp;Q2310&amp;""""&amp;Dashboard!$"&amp;"L$1&amp;""""))),K2310))"),"")</f>
        <v/>
      </c>
      <c r="S2310" s="266" t="str">
        <f>IFERROR(__xludf.DUMMYFUNCTION("IF(ISBLANK(A2310),"""",IFERROR(IF(OR(Q2310=""GPB"",Q2310=""ZAR""),IF(Q2310=Dashboard!$L$1,M2310,(M2310*GOOGLEFINANCE(""CURRENCY:""&amp;Q2310&amp;""""&amp;Dashboard!$L$1&amp;""""))/100),IF(Q2310=Dashboard!$L$1,M2310,M2310*GOOGLEFINANCE(""CURRENCY:""&amp;Q2310&amp;""""&amp;Dashboard!$"&amp;"L$1&amp;""""))),M2310))"),"")</f>
        <v/>
      </c>
      <c r="T2310" s="264" t="str">
        <f t="shared" si="4"/>
        <v/>
      </c>
      <c r="U2310" s="264" t="str">
        <f t="shared" si="5"/>
        <v/>
      </c>
      <c r="V2310" s="264" t="str">
        <f t="shared" si="6"/>
        <v/>
      </c>
      <c r="W2310" s="267" t="str">
        <f t="shared" si="8"/>
        <v/>
      </c>
      <c r="X2310" s="264" t="str">
        <f t="shared" si="7"/>
        <v/>
      </c>
    </row>
    <row r="2311" ht="15.75" customHeight="1">
      <c r="A2311" s="258"/>
      <c r="B2311" s="258"/>
      <c r="C2311" s="269"/>
      <c r="D2311" s="258"/>
      <c r="E2311" s="258"/>
      <c r="F2311" s="258"/>
      <c r="G2311" s="258"/>
      <c r="H2311" s="271"/>
      <c r="I2311" s="258"/>
      <c r="J2311" s="272"/>
      <c r="K2311" s="260"/>
      <c r="L2311" s="261"/>
      <c r="M2311" s="262" t="str">
        <f t="shared" si="1"/>
        <v/>
      </c>
      <c r="N2311" s="263" t="str">
        <f t="shared" si="2"/>
        <v/>
      </c>
      <c r="O2311" s="264" t="str">
        <f t="shared" si="3"/>
        <v/>
      </c>
      <c r="P2311" s="265" t="str">
        <f>IFERROR(__xludf.DUMMYFUNCTION("IF(ISBLANK(A2311),"""",IFERROR(IF(H2311=""Sell"",VLOOKUP(9^99,FILTER({ROW(P$2:P2310),P$2:P2310},D$2:D2310=D2311),2),(VLOOKUP(9^99,FILTER({ROW(P$2:P2310),P$2:P2310},D$2:D2310=D2311),2)*VLOOKUP(9^99,FILTER({ROW(O$2:O2310),O$2:O2310},D$2:D2310=D2311),2)-N231"&amp;"1)/O2311),J2311))"),"")</f>
        <v/>
      </c>
      <c r="Q2311" s="264" t="str">
        <f>IFERROR(__xludf.DUMMYFUNCTION("IFERROR(IF(F2311=""Crypto"",B2311,(IF(ISBLANK(D2311),"""",IF(D2311=""Cash"",B2311,IF(GOOGLEFINANCE(D2311,""CURRENCY"")=""GBX"",""GBP"",GOOGLEFINANCE(D2311,""CURRENCY"")))))),B2311)"),"")</f>
        <v/>
      </c>
      <c r="R2311" s="263" t="str">
        <f>IFERROR(__xludf.DUMMYFUNCTION("IF(ISBLANK(A2311),"""",IFERROR(IF(OR(Q2311=""GPB"",Q2311=""ZAR""),IF(Q2311=Dashboard!$L$1,K2311,(K2311*GOOGLEFINANCE(""CURRENCY:""&amp;Q2311&amp;""""&amp;Dashboard!$L$1&amp;""""))/100),IF(Q2311=Dashboard!$L$1,K2311,K2311*GOOGLEFINANCE(""CURRENCY:""&amp;Q2311&amp;""""&amp;Dashboard!$"&amp;"L$1&amp;""""))),K2311))"),"")</f>
        <v/>
      </c>
      <c r="S2311" s="266" t="str">
        <f>IFERROR(__xludf.DUMMYFUNCTION("IF(ISBLANK(A2311),"""",IFERROR(IF(OR(Q2311=""GPB"",Q2311=""ZAR""),IF(Q2311=Dashboard!$L$1,M2311,(M2311*GOOGLEFINANCE(""CURRENCY:""&amp;Q2311&amp;""""&amp;Dashboard!$L$1&amp;""""))/100),IF(Q2311=Dashboard!$L$1,M2311,M2311*GOOGLEFINANCE(""CURRENCY:""&amp;Q2311&amp;""""&amp;Dashboard!$"&amp;"L$1&amp;""""))),M2311))"),"")</f>
        <v/>
      </c>
      <c r="T2311" s="264" t="str">
        <f t="shared" si="4"/>
        <v/>
      </c>
      <c r="U2311" s="264" t="str">
        <f t="shared" si="5"/>
        <v/>
      </c>
      <c r="V2311" s="264" t="str">
        <f t="shared" si="6"/>
        <v/>
      </c>
      <c r="W2311" s="267" t="str">
        <f t="shared" si="8"/>
        <v/>
      </c>
      <c r="X2311" s="264" t="str">
        <f t="shared" si="7"/>
        <v/>
      </c>
    </row>
    <row r="2312" ht="15.75" customHeight="1">
      <c r="A2312" s="258"/>
      <c r="B2312" s="258"/>
      <c r="C2312" s="269"/>
      <c r="D2312" s="258"/>
      <c r="E2312" s="258"/>
      <c r="F2312" s="258"/>
      <c r="G2312" s="258"/>
      <c r="H2312" s="271"/>
      <c r="I2312" s="258"/>
      <c r="J2312" s="272"/>
      <c r="K2312" s="260"/>
      <c r="L2312" s="261"/>
      <c r="M2312" s="262" t="str">
        <f t="shared" si="1"/>
        <v/>
      </c>
      <c r="N2312" s="263" t="str">
        <f t="shared" si="2"/>
        <v/>
      </c>
      <c r="O2312" s="264" t="str">
        <f t="shared" si="3"/>
        <v/>
      </c>
      <c r="P2312" s="265" t="str">
        <f>IFERROR(__xludf.DUMMYFUNCTION("IF(ISBLANK(A2312),"""",IFERROR(IF(H2312=""Sell"",VLOOKUP(9^99,FILTER({ROW(P$2:P2311),P$2:P2311},D$2:D2311=D2312),2),(VLOOKUP(9^99,FILTER({ROW(P$2:P2311),P$2:P2311},D$2:D2311=D2312),2)*VLOOKUP(9^99,FILTER({ROW(O$2:O2311),O$2:O2311},D$2:D2311=D2312),2)-N231"&amp;"2)/O2312),J2312))"),"")</f>
        <v/>
      </c>
      <c r="Q2312" s="264" t="str">
        <f>IFERROR(__xludf.DUMMYFUNCTION("IFERROR(IF(F2312=""Crypto"",B2312,(IF(ISBLANK(D2312),"""",IF(D2312=""Cash"",B2312,IF(GOOGLEFINANCE(D2312,""CURRENCY"")=""GBX"",""GBP"",GOOGLEFINANCE(D2312,""CURRENCY"")))))),B2312)"),"")</f>
        <v/>
      </c>
      <c r="R2312" s="263" t="str">
        <f>IFERROR(__xludf.DUMMYFUNCTION("IF(ISBLANK(A2312),"""",IFERROR(IF(OR(Q2312=""GPB"",Q2312=""ZAR""),IF(Q2312=Dashboard!$L$1,K2312,(K2312*GOOGLEFINANCE(""CURRENCY:""&amp;Q2312&amp;""""&amp;Dashboard!$L$1&amp;""""))/100),IF(Q2312=Dashboard!$L$1,K2312,K2312*GOOGLEFINANCE(""CURRENCY:""&amp;Q2312&amp;""""&amp;Dashboard!$"&amp;"L$1&amp;""""))),K2312))"),"")</f>
        <v/>
      </c>
      <c r="S2312" s="266" t="str">
        <f>IFERROR(__xludf.DUMMYFUNCTION("IF(ISBLANK(A2312),"""",IFERROR(IF(OR(Q2312=""GPB"",Q2312=""ZAR""),IF(Q2312=Dashboard!$L$1,M2312,(M2312*GOOGLEFINANCE(""CURRENCY:""&amp;Q2312&amp;""""&amp;Dashboard!$L$1&amp;""""))/100),IF(Q2312=Dashboard!$L$1,M2312,M2312*GOOGLEFINANCE(""CURRENCY:""&amp;Q2312&amp;""""&amp;Dashboard!$"&amp;"L$1&amp;""""))),M2312))"),"")</f>
        <v/>
      </c>
      <c r="T2312" s="264" t="str">
        <f t="shared" si="4"/>
        <v/>
      </c>
      <c r="U2312" s="264" t="str">
        <f t="shared" si="5"/>
        <v/>
      </c>
      <c r="V2312" s="264" t="str">
        <f t="shared" si="6"/>
        <v/>
      </c>
      <c r="W2312" s="267" t="str">
        <f t="shared" si="8"/>
        <v/>
      </c>
      <c r="X2312" s="264" t="str">
        <f t="shared" si="7"/>
        <v/>
      </c>
    </row>
    <row r="2313" ht="15.75" customHeight="1">
      <c r="A2313" s="258"/>
      <c r="B2313" s="258"/>
      <c r="C2313" s="269"/>
      <c r="D2313" s="258"/>
      <c r="E2313" s="258"/>
      <c r="F2313" s="258"/>
      <c r="G2313" s="258"/>
      <c r="H2313" s="271"/>
      <c r="I2313" s="258"/>
      <c r="J2313" s="272"/>
      <c r="K2313" s="260"/>
      <c r="L2313" s="261"/>
      <c r="M2313" s="262" t="str">
        <f t="shared" si="1"/>
        <v/>
      </c>
      <c r="N2313" s="263" t="str">
        <f t="shared" si="2"/>
        <v/>
      </c>
      <c r="O2313" s="264" t="str">
        <f t="shared" si="3"/>
        <v/>
      </c>
      <c r="P2313" s="265" t="str">
        <f>IFERROR(__xludf.DUMMYFUNCTION("IF(ISBLANK(A2313),"""",IFERROR(IF(H2313=""Sell"",VLOOKUP(9^99,FILTER({ROW(P$2:P2312),P$2:P2312},D$2:D2312=D2313),2),(VLOOKUP(9^99,FILTER({ROW(P$2:P2312),P$2:P2312},D$2:D2312=D2313),2)*VLOOKUP(9^99,FILTER({ROW(O$2:O2312),O$2:O2312},D$2:D2312=D2313),2)-N231"&amp;"3)/O2313),J2313))"),"")</f>
        <v/>
      </c>
      <c r="Q2313" s="264" t="str">
        <f>IFERROR(__xludf.DUMMYFUNCTION("IFERROR(IF(F2313=""Crypto"",B2313,(IF(ISBLANK(D2313),"""",IF(D2313=""Cash"",B2313,IF(GOOGLEFINANCE(D2313,""CURRENCY"")=""GBX"",""GBP"",GOOGLEFINANCE(D2313,""CURRENCY"")))))),B2313)"),"")</f>
        <v/>
      </c>
      <c r="R2313" s="263" t="str">
        <f>IFERROR(__xludf.DUMMYFUNCTION("IF(ISBLANK(A2313),"""",IFERROR(IF(OR(Q2313=""GPB"",Q2313=""ZAR""),IF(Q2313=Dashboard!$L$1,K2313,(K2313*GOOGLEFINANCE(""CURRENCY:""&amp;Q2313&amp;""""&amp;Dashboard!$L$1&amp;""""))/100),IF(Q2313=Dashboard!$L$1,K2313,K2313*GOOGLEFINANCE(""CURRENCY:""&amp;Q2313&amp;""""&amp;Dashboard!$"&amp;"L$1&amp;""""))),K2313))"),"")</f>
        <v/>
      </c>
      <c r="S2313" s="266" t="str">
        <f>IFERROR(__xludf.DUMMYFUNCTION("IF(ISBLANK(A2313),"""",IFERROR(IF(OR(Q2313=""GPB"",Q2313=""ZAR""),IF(Q2313=Dashboard!$L$1,M2313,(M2313*GOOGLEFINANCE(""CURRENCY:""&amp;Q2313&amp;""""&amp;Dashboard!$L$1&amp;""""))/100),IF(Q2313=Dashboard!$L$1,M2313,M2313*GOOGLEFINANCE(""CURRENCY:""&amp;Q2313&amp;""""&amp;Dashboard!$"&amp;"L$1&amp;""""))),M2313))"),"")</f>
        <v/>
      </c>
      <c r="T2313" s="264" t="str">
        <f t="shared" si="4"/>
        <v/>
      </c>
      <c r="U2313" s="264" t="str">
        <f t="shared" si="5"/>
        <v/>
      </c>
      <c r="V2313" s="264" t="str">
        <f t="shared" si="6"/>
        <v/>
      </c>
      <c r="W2313" s="267" t="str">
        <f t="shared" si="8"/>
        <v/>
      </c>
      <c r="X2313" s="264" t="str">
        <f t="shared" si="7"/>
        <v/>
      </c>
    </row>
    <row r="2314" ht="15.75" customHeight="1">
      <c r="A2314" s="258"/>
      <c r="B2314" s="258"/>
      <c r="C2314" s="269"/>
      <c r="D2314" s="258"/>
      <c r="E2314" s="258"/>
      <c r="F2314" s="258"/>
      <c r="G2314" s="258"/>
      <c r="H2314" s="271"/>
      <c r="I2314" s="258"/>
      <c r="J2314" s="272"/>
      <c r="K2314" s="260"/>
      <c r="L2314" s="261"/>
      <c r="M2314" s="262" t="str">
        <f t="shared" si="1"/>
        <v/>
      </c>
      <c r="N2314" s="263" t="str">
        <f t="shared" si="2"/>
        <v/>
      </c>
      <c r="O2314" s="264" t="str">
        <f t="shared" si="3"/>
        <v/>
      </c>
      <c r="P2314" s="265" t="str">
        <f>IFERROR(__xludf.DUMMYFUNCTION("IF(ISBLANK(A2314),"""",IFERROR(IF(H2314=""Sell"",VLOOKUP(9^99,FILTER({ROW(P$2:P2313),P$2:P2313},D$2:D2313=D2314),2),(VLOOKUP(9^99,FILTER({ROW(P$2:P2313),P$2:P2313},D$2:D2313=D2314),2)*VLOOKUP(9^99,FILTER({ROW(O$2:O2313),O$2:O2313},D$2:D2313=D2314),2)-N231"&amp;"4)/O2314),J2314))"),"")</f>
        <v/>
      </c>
      <c r="Q2314" s="264" t="str">
        <f>IFERROR(__xludf.DUMMYFUNCTION("IFERROR(IF(F2314=""Crypto"",B2314,(IF(ISBLANK(D2314),"""",IF(D2314=""Cash"",B2314,IF(GOOGLEFINANCE(D2314,""CURRENCY"")=""GBX"",""GBP"",GOOGLEFINANCE(D2314,""CURRENCY"")))))),B2314)"),"")</f>
        <v/>
      </c>
      <c r="R2314" s="263" t="str">
        <f>IFERROR(__xludf.DUMMYFUNCTION("IF(ISBLANK(A2314),"""",IFERROR(IF(OR(Q2314=""GPB"",Q2314=""ZAR""),IF(Q2314=Dashboard!$L$1,K2314,(K2314*GOOGLEFINANCE(""CURRENCY:""&amp;Q2314&amp;""""&amp;Dashboard!$L$1&amp;""""))/100),IF(Q2314=Dashboard!$L$1,K2314,K2314*GOOGLEFINANCE(""CURRENCY:""&amp;Q2314&amp;""""&amp;Dashboard!$"&amp;"L$1&amp;""""))),K2314))"),"")</f>
        <v/>
      </c>
      <c r="S2314" s="266" t="str">
        <f>IFERROR(__xludf.DUMMYFUNCTION("IF(ISBLANK(A2314),"""",IFERROR(IF(OR(Q2314=""GPB"",Q2314=""ZAR""),IF(Q2314=Dashboard!$L$1,M2314,(M2314*GOOGLEFINANCE(""CURRENCY:""&amp;Q2314&amp;""""&amp;Dashboard!$L$1&amp;""""))/100),IF(Q2314=Dashboard!$L$1,M2314,M2314*GOOGLEFINANCE(""CURRENCY:""&amp;Q2314&amp;""""&amp;Dashboard!$"&amp;"L$1&amp;""""))),M2314))"),"")</f>
        <v/>
      </c>
      <c r="T2314" s="264" t="str">
        <f t="shared" si="4"/>
        <v/>
      </c>
      <c r="U2314" s="264" t="str">
        <f t="shared" si="5"/>
        <v/>
      </c>
      <c r="V2314" s="264" t="str">
        <f t="shared" si="6"/>
        <v/>
      </c>
      <c r="W2314" s="267" t="str">
        <f t="shared" si="8"/>
        <v/>
      </c>
      <c r="X2314" s="264" t="str">
        <f t="shared" si="7"/>
        <v/>
      </c>
    </row>
    <row r="2315" ht="15.75" customHeight="1">
      <c r="A2315" s="258"/>
      <c r="B2315" s="258"/>
      <c r="C2315" s="269"/>
      <c r="D2315" s="258"/>
      <c r="E2315" s="258"/>
      <c r="F2315" s="258"/>
      <c r="G2315" s="258"/>
      <c r="H2315" s="271"/>
      <c r="I2315" s="258"/>
      <c r="J2315" s="272"/>
      <c r="K2315" s="260"/>
      <c r="L2315" s="261"/>
      <c r="M2315" s="262" t="str">
        <f t="shared" si="1"/>
        <v/>
      </c>
      <c r="N2315" s="263" t="str">
        <f t="shared" si="2"/>
        <v/>
      </c>
      <c r="O2315" s="264" t="str">
        <f t="shared" si="3"/>
        <v/>
      </c>
      <c r="P2315" s="265" t="str">
        <f>IFERROR(__xludf.DUMMYFUNCTION("IF(ISBLANK(A2315),"""",IFERROR(IF(H2315=""Sell"",VLOOKUP(9^99,FILTER({ROW(P$2:P2314),P$2:P2314},D$2:D2314=D2315),2),(VLOOKUP(9^99,FILTER({ROW(P$2:P2314),P$2:P2314},D$2:D2314=D2315),2)*VLOOKUP(9^99,FILTER({ROW(O$2:O2314),O$2:O2314},D$2:D2314=D2315),2)-N231"&amp;"5)/O2315),J2315))"),"")</f>
        <v/>
      </c>
      <c r="Q2315" s="264" t="str">
        <f>IFERROR(__xludf.DUMMYFUNCTION("IFERROR(IF(F2315=""Crypto"",B2315,(IF(ISBLANK(D2315),"""",IF(D2315=""Cash"",B2315,IF(GOOGLEFINANCE(D2315,""CURRENCY"")=""GBX"",""GBP"",GOOGLEFINANCE(D2315,""CURRENCY"")))))),B2315)"),"")</f>
        <v/>
      </c>
      <c r="R2315" s="263" t="str">
        <f>IFERROR(__xludf.DUMMYFUNCTION("IF(ISBLANK(A2315),"""",IFERROR(IF(OR(Q2315=""GPB"",Q2315=""ZAR""),IF(Q2315=Dashboard!$L$1,K2315,(K2315*GOOGLEFINANCE(""CURRENCY:""&amp;Q2315&amp;""""&amp;Dashboard!$L$1&amp;""""))/100),IF(Q2315=Dashboard!$L$1,K2315,K2315*GOOGLEFINANCE(""CURRENCY:""&amp;Q2315&amp;""""&amp;Dashboard!$"&amp;"L$1&amp;""""))),K2315))"),"")</f>
        <v/>
      </c>
      <c r="S2315" s="266" t="str">
        <f>IFERROR(__xludf.DUMMYFUNCTION("IF(ISBLANK(A2315),"""",IFERROR(IF(OR(Q2315=""GPB"",Q2315=""ZAR""),IF(Q2315=Dashboard!$L$1,M2315,(M2315*GOOGLEFINANCE(""CURRENCY:""&amp;Q2315&amp;""""&amp;Dashboard!$L$1&amp;""""))/100),IF(Q2315=Dashboard!$L$1,M2315,M2315*GOOGLEFINANCE(""CURRENCY:""&amp;Q2315&amp;""""&amp;Dashboard!$"&amp;"L$1&amp;""""))),M2315))"),"")</f>
        <v/>
      </c>
      <c r="T2315" s="264" t="str">
        <f t="shared" si="4"/>
        <v/>
      </c>
      <c r="U2315" s="264" t="str">
        <f t="shared" si="5"/>
        <v/>
      </c>
      <c r="V2315" s="264" t="str">
        <f t="shared" si="6"/>
        <v/>
      </c>
      <c r="W2315" s="267" t="str">
        <f t="shared" si="8"/>
        <v/>
      </c>
      <c r="X2315" s="264" t="str">
        <f t="shared" si="7"/>
        <v/>
      </c>
    </row>
    <row r="2316" ht="15.75" customHeight="1">
      <c r="A2316" s="258"/>
      <c r="B2316" s="258"/>
      <c r="C2316" s="269"/>
      <c r="D2316" s="258"/>
      <c r="E2316" s="258"/>
      <c r="F2316" s="258"/>
      <c r="G2316" s="258"/>
      <c r="H2316" s="271"/>
      <c r="I2316" s="258"/>
      <c r="J2316" s="272"/>
      <c r="K2316" s="260"/>
      <c r="L2316" s="261"/>
      <c r="M2316" s="262" t="str">
        <f t="shared" si="1"/>
        <v/>
      </c>
      <c r="N2316" s="263" t="str">
        <f t="shared" si="2"/>
        <v/>
      </c>
      <c r="O2316" s="264" t="str">
        <f t="shared" si="3"/>
        <v/>
      </c>
      <c r="P2316" s="265" t="str">
        <f>IFERROR(__xludf.DUMMYFUNCTION("IF(ISBLANK(A2316),"""",IFERROR(IF(H2316=""Sell"",VLOOKUP(9^99,FILTER({ROW(P$2:P2315),P$2:P2315},D$2:D2315=D2316),2),(VLOOKUP(9^99,FILTER({ROW(P$2:P2315),P$2:P2315},D$2:D2315=D2316),2)*VLOOKUP(9^99,FILTER({ROW(O$2:O2315),O$2:O2315},D$2:D2315=D2316),2)-N231"&amp;"6)/O2316),J2316))"),"")</f>
        <v/>
      </c>
      <c r="Q2316" s="264" t="str">
        <f>IFERROR(__xludf.DUMMYFUNCTION("IFERROR(IF(F2316=""Crypto"",B2316,(IF(ISBLANK(D2316),"""",IF(D2316=""Cash"",B2316,IF(GOOGLEFINANCE(D2316,""CURRENCY"")=""GBX"",""GBP"",GOOGLEFINANCE(D2316,""CURRENCY"")))))),B2316)"),"")</f>
        <v/>
      </c>
      <c r="R2316" s="263" t="str">
        <f>IFERROR(__xludf.DUMMYFUNCTION("IF(ISBLANK(A2316),"""",IFERROR(IF(OR(Q2316=""GPB"",Q2316=""ZAR""),IF(Q2316=Dashboard!$L$1,K2316,(K2316*GOOGLEFINANCE(""CURRENCY:""&amp;Q2316&amp;""""&amp;Dashboard!$L$1&amp;""""))/100),IF(Q2316=Dashboard!$L$1,K2316,K2316*GOOGLEFINANCE(""CURRENCY:""&amp;Q2316&amp;""""&amp;Dashboard!$"&amp;"L$1&amp;""""))),K2316))"),"")</f>
        <v/>
      </c>
      <c r="S2316" s="266" t="str">
        <f>IFERROR(__xludf.DUMMYFUNCTION("IF(ISBLANK(A2316),"""",IFERROR(IF(OR(Q2316=""GPB"",Q2316=""ZAR""),IF(Q2316=Dashboard!$L$1,M2316,(M2316*GOOGLEFINANCE(""CURRENCY:""&amp;Q2316&amp;""""&amp;Dashboard!$L$1&amp;""""))/100),IF(Q2316=Dashboard!$L$1,M2316,M2316*GOOGLEFINANCE(""CURRENCY:""&amp;Q2316&amp;""""&amp;Dashboard!$"&amp;"L$1&amp;""""))),M2316))"),"")</f>
        <v/>
      </c>
      <c r="T2316" s="264" t="str">
        <f t="shared" si="4"/>
        <v/>
      </c>
      <c r="U2316" s="264" t="str">
        <f t="shared" si="5"/>
        <v/>
      </c>
      <c r="V2316" s="264" t="str">
        <f t="shared" si="6"/>
        <v/>
      </c>
      <c r="W2316" s="267" t="str">
        <f t="shared" si="8"/>
        <v/>
      </c>
      <c r="X2316" s="264" t="str">
        <f t="shared" si="7"/>
        <v/>
      </c>
    </row>
    <row r="2317" ht="15.75" customHeight="1">
      <c r="A2317" s="258"/>
      <c r="B2317" s="258"/>
      <c r="C2317" s="269"/>
      <c r="D2317" s="258"/>
      <c r="E2317" s="258"/>
      <c r="F2317" s="258"/>
      <c r="G2317" s="258"/>
      <c r="H2317" s="271"/>
      <c r="I2317" s="258"/>
      <c r="J2317" s="272"/>
      <c r="K2317" s="260"/>
      <c r="L2317" s="261"/>
      <c r="M2317" s="262" t="str">
        <f t="shared" si="1"/>
        <v/>
      </c>
      <c r="N2317" s="263" t="str">
        <f t="shared" si="2"/>
        <v/>
      </c>
      <c r="O2317" s="264" t="str">
        <f t="shared" si="3"/>
        <v/>
      </c>
      <c r="P2317" s="265" t="str">
        <f>IFERROR(__xludf.DUMMYFUNCTION("IF(ISBLANK(A2317),"""",IFERROR(IF(H2317=""Sell"",VLOOKUP(9^99,FILTER({ROW(P$2:P2316),P$2:P2316},D$2:D2316=D2317),2),(VLOOKUP(9^99,FILTER({ROW(P$2:P2316),P$2:P2316},D$2:D2316=D2317),2)*VLOOKUP(9^99,FILTER({ROW(O$2:O2316),O$2:O2316},D$2:D2316=D2317),2)-N231"&amp;"7)/O2317),J2317))"),"")</f>
        <v/>
      </c>
      <c r="Q2317" s="264" t="str">
        <f>IFERROR(__xludf.DUMMYFUNCTION("IFERROR(IF(F2317=""Crypto"",B2317,(IF(ISBLANK(D2317),"""",IF(D2317=""Cash"",B2317,IF(GOOGLEFINANCE(D2317,""CURRENCY"")=""GBX"",""GBP"",GOOGLEFINANCE(D2317,""CURRENCY"")))))),B2317)"),"")</f>
        <v/>
      </c>
      <c r="R2317" s="263" t="str">
        <f>IFERROR(__xludf.DUMMYFUNCTION("IF(ISBLANK(A2317),"""",IFERROR(IF(OR(Q2317=""GPB"",Q2317=""ZAR""),IF(Q2317=Dashboard!$L$1,K2317,(K2317*GOOGLEFINANCE(""CURRENCY:""&amp;Q2317&amp;""""&amp;Dashboard!$L$1&amp;""""))/100),IF(Q2317=Dashboard!$L$1,K2317,K2317*GOOGLEFINANCE(""CURRENCY:""&amp;Q2317&amp;""""&amp;Dashboard!$"&amp;"L$1&amp;""""))),K2317))"),"")</f>
        <v/>
      </c>
      <c r="S2317" s="266" t="str">
        <f>IFERROR(__xludf.DUMMYFUNCTION("IF(ISBLANK(A2317),"""",IFERROR(IF(OR(Q2317=""GPB"",Q2317=""ZAR""),IF(Q2317=Dashboard!$L$1,M2317,(M2317*GOOGLEFINANCE(""CURRENCY:""&amp;Q2317&amp;""""&amp;Dashboard!$L$1&amp;""""))/100),IF(Q2317=Dashboard!$L$1,M2317,M2317*GOOGLEFINANCE(""CURRENCY:""&amp;Q2317&amp;""""&amp;Dashboard!$"&amp;"L$1&amp;""""))),M2317))"),"")</f>
        <v/>
      </c>
      <c r="T2317" s="264" t="str">
        <f t="shared" si="4"/>
        <v/>
      </c>
      <c r="U2317" s="264" t="str">
        <f t="shared" si="5"/>
        <v/>
      </c>
      <c r="V2317" s="264" t="str">
        <f t="shared" si="6"/>
        <v/>
      </c>
      <c r="W2317" s="267" t="str">
        <f t="shared" si="8"/>
        <v/>
      </c>
      <c r="X2317" s="264" t="str">
        <f t="shared" si="7"/>
        <v/>
      </c>
    </row>
    <row r="2318" ht="15.75" customHeight="1">
      <c r="A2318" s="258"/>
      <c r="B2318" s="258"/>
      <c r="C2318" s="269"/>
      <c r="D2318" s="258"/>
      <c r="E2318" s="258"/>
      <c r="F2318" s="258"/>
      <c r="G2318" s="258"/>
      <c r="H2318" s="271"/>
      <c r="I2318" s="258"/>
      <c r="J2318" s="272"/>
      <c r="K2318" s="260"/>
      <c r="L2318" s="261"/>
      <c r="M2318" s="262" t="str">
        <f t="shared" si="1"/>
        <v/>
      </c>
      <c r="N2318" s="263" t="str">
        <f t="shared" si="2"/>
        <v/>
      </c>
      <c r="O2318" s="264" t="str">
        <f t="shared" si="3"/>
        <v/>
      </c>
      <c r="P2318" s="265" t="str">
        <f>IFERROR(__xludf.DUMMYFUNCTION("IF(ISBLANK(A2318),"""",IFERROR(IF(H2318=""Sell"",VLOOKUP(9^99,FILTER({ROW(P$2:P2317),P$2:P2317},D$2:D2317=D2318),2),(VLOOKUP(9^99,FILTER({ROW(P$2:P2317),P$2:P2317},D$2:D2317=D2318),2)*VLOOKUP(9^99,FILTER({ROW(O$2:O2317),O$2:O2317},D$2:D2317=D2318),2)-N231"&amp;"8)/O2318),J2318))"),"")</f>
        <v/>
      </c>
      <c r="Q2318" s="264" t="str">
        <f>IFERROR(__xludf.DUMMYFUNCTION("IFERROR(IF(F2318=""Crypto"",B2318,(IF(ISBLANK(D2318),"""",IF(D2318=""Cash"",B2318,IF(GOOGLEFINANCE(D2318,""CURRENCY"")=""GBX"",""GBP"",GOOGLEFINANCE(D2318,""CURRENCY"")))))),B2318)"),"")</f>
        <v/>
      </c>
      <c r="R2318" s="263" t="str">
        <f>IFERROR(__xludf.DUMMYFUNCTION("IF(ISBLANK(A2318),"""",IFERROR(IF(OR(Q2318=""GPB"",Q2318=""ZAR""),IF(Q2318=Dashboard!$L$1,K2318,(K2318*GOOGLEFINANCE(""CURRENCY:""&amp;Q2318&amp;""""&amp;Dashboard!$L$1&amp;""""))/100),IF(Q2318=Dashboard!$L$1,K2318,K2318*GOOGLEFINANCE(""CURRENCY:""&amp;Q2318&amp;""""&amp;Dashboard!$"&amp;"L$1&amp;""""))),K2318))"),"")</f>
        <v/>
      </c>
      <c r="S2318" s="266" t="str">
        <f>IFERROR(__xludf.DUMMYFUNCTION("IF(ISBLANK(A2318),"""",IFERROR(IF(OR(Q2318=""GPB"",Q2318=""ZAR""),IF(Q2318=Dashboard!$L$1,M2318,(M2318*GOOGLEFINANCE(""CURRENCY:""&amp;Q2318&amp;""""&amp;Dashboard!$L$1&amp;""""))/100),IF(Q2318=Dashboard!$L$1,M2318,M2318*GOOGLEFINANCE(""CURRENCY:""&amp;Q2318&amp;""""&amp;Dashboard!$"&amp;"L$1&amp;""""))),M2318))"),"")</f>
        <v/>
      </c>
      <c r="T2318" s="264" t="str">
        <f t="shared" si="4"/>
        <v/>
      </c>
      <c r="U2318" s="264" t="str">
        <f t="shared" si="5"/>
        <v/>
      </c>
      <c r="V2318" s="264" t="str">
        <f t="shared" si="6"/>
        <v/>
      </c>
      <c r="W2318" s="267" t="str">
        <f t="shared" si="8"/>
        <v/>
      </c>
      <c r="X2318" s="264" t="str">
        <f t="shared" si="7"/>
        <v/>
      </c>
    </row>
    <row r="2319" ht="15.75" customHeight="1">
      <c r="A2319" s="258"/>
      <c r="B2319" s="258"/>
      <c r="C2319" s="269"/>
      <c r="D2319" s="258"/>
      <c r="E2319" s="258"/>
      <c r="F2319" s="258"/>
      <c r="G2319" s="258"/>
      <c r="H2319" s="271"/>
      <c r="I2319" s="258"/>
      <c r="J2319" s="272"/>
      <c r="K2319" s="260"/>
      <c r="L2319" s="261"/>
      <c r="M2319" s="262" t="str">
        <f t="shared" si="1"/>
        <v/>
      </c>
      <c r="N2319" s="263" t="str">
        <f t="shared" si="2"/>
        <v/>
      </c>
      <c r="O2319" s="264" t="str">
        <f t="shared" si="3"/>
        <v/>
      </c>
      <c r="P2319" s="265" t="str">
        <f>IFERROR(__xludf.DUMMYFUNCTION("IF(ISBLANK(A2319),"""",IFERROR(IF(H2319=""Sell"",VLOOKUP(9^99,FILTER({ROW(P$2:P2318),P$2:P2318},D$2:D2318=D2319),2),(VLOOKUP(9^99,FILTER({ROW(P$2:P2318),P$2:P2318},D$2:D2318=D2319),2)*VLOOKUP(9^99,FILTER({ROW(O$2:O2318),O$2:O2318},D$2:D2318=D2319),2)-N231"&amp;"9)/O2319),J2319))"),"")</f>
        <v/>
      </c>
      <c r="Q2319" s="264" t="str">
        <f>IFERROR(__xludf.DUMMYFUNCTION("IFERROR(IF(F2319=""Crypto"",B2319,(IF(ISBLANK(D2319),"""",IF(D2319=""Cash"",B2319,IF(GOOGLEFINANCE(D2319,""CURRENCY"")=""GBX"",""GBP"",GOOGLEFINANCE(D2319,""CURRENCY"")))))),B2319)"),"")</f>
        <v/>
      </c>
      <c r="R2319" s="263" t="str">
        <f>IFERROR(__xludf.DUMMYFUNCTION("IF(ISBLANK(A2319),"""",IFERROR(IF(OR(Q2319=""GPB"",Q2319=""ZAR""),IF(Q2319=Dashboard!$L$1,K2319,(K2319*GOOGLEFINANCE(""CURRENCY:""&amp;Q2319&amp;""""&amp;Dashboard!$L$1&amp;""""))/100),IF(Q2319=Dashboard!$L$1,K2319,K2319*GOOGLEFINANCE(""CURRENCY:""&amp;Q2319&amp;""""&amp;Dashboard!$"&amp;"L$1&amp;""""))),K2319))"),"")</f>
        <v/>
      </c>
      <c r="S2319" s="266" t="str">
        <f>IFERROR(__xludf.DUMMYFUNCTION("IF(ISBLANK(A2319),"""",IFERROR(IF(OR(Q2319=""GPB"",Q2319=""ZAR""),IF(Q2319=Dashboard!$L$1,M2319,(M2319*GOOGLEFINANCE(""CURRENCY:""&amp;Q2319&amp;""""&amp;Dashboard!$L$1&amp;""""))/100),IF(Q2319=Dashboard!$L$1,M2319,M2319*GOOGLEFINANCE(""CURRENCY:""&amp;Q2319&amp;""""&amp;Dashboard!$"&amp;"L$1&amp;""""))),M2319))"),"")</f>
        <v/>
      </c>
      <c r="T2319" s="264" t="str">
        <f t="shared" si="4"/>
        <v/>
      </c>
      <c r="U2319" s="264" t="str">
        <f t="shared" si="5"/>
        <v/>
      </c>
      <c r="V2319" s="264" t="str">
        <f t="shared" si="6"/>
        <v/>
      </c>
      <c r="W2319" s="267" t="str">
        <f t="shared" si="8"/>
        <v/>
      </c>
      <c r="X2319" s="264" t="str">
        <f t="shared" si="7"/>
        <v/>
      </c>
    </row>
    <row r="2320" ht="15.75" customHeight="1">
      <c r="A2320" s="258"/>
      <c r="B2320" s="258"/>
      <c r="C2320" s="269"/>
      <c r="D2320" s="258"/>
      <c r="E2320" s="258"/>
      <c r="F2320" s="258"/>
      <c r="G2320" s="258"/>
      <c r="H2320" s="271"/>
      <c r="I2320" s="258"/>
      <c r="J2320" s="272"/>
      <c r="K2320" s="260"/>
      <c r="L2320" s="261"/>
      <c r="M2320" s="262" t="str">
        <f t="shared" si="1"/>
        <v/>
      </c>
      <c r="N2320" s="263" t="str">
        <f t="shared" si="2"/>
        <v/>
      </c>
      <c r="O2320" s="264" t="str">
        <f t="shared" si="3"/>
        <v/>
      </c>
      <c r="P2320" s="265" t="str">
        <f>IFERROR(__xludf.DUMMYFUNCTION("IF(ISBLANK(A2320),"""",IFERROR(IF(H2320=""Sell"",VLOOKUP(9^99,FILTER({ROW(P$2:P2319),P$2:P2319},D$2:D2319=D2320),2),(VLOOKUP(9^99,FILTER({ROW(P$2:P2319),P$2:P2319},D$2:D2319=D2320),2)*VLOOKUP(9^99,FILTER({ROW(O$2:O2319),O$2:O2319},D$2:D2319=D2320),2)-N232"&amp;"0)/O2320),J2320))"),"")</f>
        <v/>
      </c>
      <c r="Q2320" s="264" t="str">
        <f>IFERROR(__xludf.DUMMYFUNCTION("IFERROR(IF(F2320=""Crypto"",B2320,(IF(ISBLANK(D2320),"""",IF(D2320=""Cash"",B2320,IF(GOOGLEFINANCE(D2320,""CURRENCY"")=""GBX"",""GBP"",GOOGLEFINANCE(D2320,""CURRENCY"")))))),B2320)"),"")</f>
        <v/>
      </c>
      <c r="R2320" s="263" t="str">
        <f>IFERROR(__xludf.DUMMYFUNCTION("IF(ISBLANK(A2320),"""",IFERROR(IF(OR(Q2320=""GPB"",Q2320=""ZAR""),IF(Q2320=Dashboard!$L$1,K2320,(K2320*GOOGLEFINANCE(""CURRENCY:""&amp;Q2320&amp;""""&amp;Dashboard!$L$1&amp;""""))/100),IF(Q2320=Dashboard!$L$1,K2320,K2320*GOOGLEFINANCE(""CURRENCY:""&amp;Q2320&amp;""""&amp;Dashboard!$"&amp;"L$1&amp;""""))),K2320))"),"")</f>
        <v/>
      </c>
      <c r="S2320" s="266" t="str">
        <f>IFERROR(__xludf.DUMMYFUNCTION("IF(ISBLANK(A2320),"""",IFERROR(IF(OR(Q2320=""GPB"",Q2320=""ZAR""),IF(Q2320=Dashboard!$L$1,M2320,(M2320*GOOGLEFINANCE(""CURRENCY:""&amp;Q2320&amp;""""&amp;Dashboard!$L$1&amp;""""))/100),IF(Q2320=Dashboard!$L$1,M2320,M2320*GOOGLEFINANCE(""CURRENCY:""&amp;Q2320&amp;""""&amp;Dashboard!$"&amp;"L$1&amp;""""))),M2320))"),"")</f>
        <v/>
      </c>
      <c r="T2320" s="264" t="str">
        <f t="shared" si="4"/>
        <v/>
      </c>
      <c r="U2320" s="264" t="str">
        <f t="shared" si="5"/>
        <v/>
      </c>
      <c r="V2320" s="264" t="str">
        <f t="shared" si="6"/>
        <v/>
      </c>
      <c r="W2320" s="267" t="str">
        <f t="shared" si="8"/>
        <v/>
      </c>
      <c r="X2320" s="264" t="str">
        <f t="shared" si="7"/>
        <v/>
      </c>
    </row>
    <row r="2321" ht="15.75" customHeight="1">
      <c r="A2321" s="258"/>
      <c r="B2321" s="258"/>
      <c r="C2321" s="269"/>
      <c r="D2321" s="258"/>
      <c r="E2321" s="258"/>
      <c r="F2321" s="258"/>
      <c r="G2321" s="258"/>
      <c r="H2321" s="271"/>
      <c r="I2321" s="258"/>
      <c r="J2321" s="272"/>
      <c r="K2321" s="260"/>
      <c r="L2321" s="261"/>
      <c r="M2321" s="262" t="str">
        <f t="shared" si="1"/>
        <v/>
      </c>
      <c r="N2321" s="263" t="str">
        <f t="shared" si="2"/>
        <v/>
      </c>
      <c r="O2321" s="264" t="str">
        <f t="shared" si="3"/>
        <v/>
      </c>
      <c r="P2321" s="265" t="str">
        <f>IFERROR(__xludf.DUMMYFUNCTION("IF(ISBLANK(A2321),"""",IFERROR(IF(H2321=""Sell"",VLOOKUP(9^99,FILTER({ROW(P$2:P2320),P$2:P2320},D$2:D2320=D2321),2),(VLOOKUP(9^99,FILTER({ROW(P$2:P2320),P$2:P2320},D$2:D2320=D2321),2)*VLOOKUP(9^99,FILTER({ROW(O$2:O2320),O$2:O2320},D$2:D2320=D2321),2)-N232"&amp;"1)/O2321),J2321))"),"")</f>
        <v/>
      </c>
      <c r="Q2321" s="264" t="str">
        <f>IFERROR(__xludf.DUMMYFUNCTION("IFERROR(IF(F2321=""Crypto"",B2321,(IF(ISBLANK(D2321),"""",IF(D2321=""Cash"",B2321,IF(GOOGLEFINANCE(D2321,""CURRENCY"")=""GBX"",""GBP"",GOOGLEFINANCE(D2321,""CURRENCY"")))))),B2321)"),"")</f>
        <v/>
      </c>
      <c r="R2321" s="263" t="str">
        <f>IFERROR(__xludf.DUMMYFUNCTION("IF(ISBLANK(A2321),"""",IFERROR(IF(OR(Q2321=""GPB"",Q2321=""ZAR""),IF(Q2321=Dashboard!$L$1,K2321,(K2321*GOOGLEFINANCE(""CURRENCY:""&amp;Q2321&amp;""""&amp;Dashboard!$L$1&amp;""""))/100),IF(Q2321=Dashboard!$L$1,K2321,K2321*GOOGLEFINANCE(""CURRENCY:""&amp;Q2321&amp;""""&amp;Dashboard!$"&amp;"L$1&amp;""""))),K2321))"),"")</f>
        <v/>
      </c>
      <c r="S2321" s="266" t="str">
        <f>IFERROR(__xludf.DUMMYFUNCTION("IF(ISBLANK(A2321),"""",IFERROR(IF(OR(Q2321=""GPB"",Q2321=""ZAR""),IF(Q2321=Dashboard!$L$1,M2321,(M2321*GOOGLEFINANCE(""CURRENCY:""&amp;Q2321&amp;""""&amp;Dashboard!$L$1&amp;""""))/100),IF(Q2321=Dashboard!$L$1,M2321,M2321*GOOGLEFINANCE(""CURRENCY:""&amp;Q2321&amp;""""&amp;Dashboard!$"&amp;"L$1&amp;""""))),M2321))"),"")</f>
        <v/>
      </c>
      <c r="T2321" s="264" t="str">
        <f t="shared" si="4"/>
        <v/>
      </c>
      <c r="U2321" s="264" t="str">
        <f t="shared" si="5"/>
        <v/>
      </c>
      <c r="V2321" s="264" t="str">
        <f t="shared" si="6"/>
        <v/>
      </c>
      <c r="W2321" s="267" t="str">
        <f t="shared" si="8"/>
        <v/>
      </c>
      <c r="X2321" s="264" t="str">
        <f t="shared" si="7"/>
        <v/>
      </c>
    </row>
    <row r="2322" ht="15.75" customHeight="1">
      <c r="A2322" s="258"/>
      <c r="B2322" s="258"/>
      <c r="C2322" s="269"/>
      <c r="D2322" s="258"/>
      <c r="E2322" s="258"/>
      <c r="F2322" s="258"/>
      <c r="G2322" s="258"/>
      <c r="H2322" s="271"/>
      <c r="I2322" s="258"/>
      <c r="J2322" s="272"/>
      <c r="K2322" s="260"/>
      <c r="L2322" s="261"/>
      <c r="M2322" s="262" t="str">
        <f t="shared" si="1"/>
        <v/>
      </c>
      <c r="N2322" s="263" t="str">
        <f t="shared" si="2"/>
        <v/>
      </c>
      <c r="O2322" s="264" t="str">
        <f t="shared" si="3"/>
        <v/>
      </c>
      <c r="P2322" s="265" t="str">
        <f>IFERROR(__xludf.DUMMYFUNCTION("IF(ISBLANK(A2322),"""",IFERROR(IF(H2322=""Sell"",VLOOKUP(9^99,FILTER({ROW(P$2:P2321),P$2:P2321},D$2:D2321=D2322),2),(VLOOKUP(9^99,FILTER({ROW(P$2:P2321),P$2:P2321},D$2:D2321=D2322),2)*VLOOKUP(9^99,FILTER({ROW(O$2:O2321),O$2:O2321},D$2:D2321=D2322),2)-N232"&amp;"2)/O2322),J2322))"),"")</f>
        <v/>
      </c>
      <c r="Q2322" s="264" t="str">
        <f>IFERROR(__xludf.DUMMYFUNCTION("IFERROR(IF(F2322=""Crypto"",B2322,(IF(ISBLANK(D2322),"""",IF(D2322=""Cash"",B2322,IF(GOOGLEFINANCE(D2322,""CURRENCY"")=""GBX"",""GBP"",GOOGLEFINANCE(D2322,""CURRENCY"")))))),B2322)"),"")</f>
        <v/>
      </c>
      <c r="R2322" s="263" t="str">
        <f>IFERROR(__xludf.DUMMYFUNCTION("IF(ISBLANK(A2322),"""",IFERROR(IF(OR(Q2322=""GPB"",Q2322=""ZAR""),IF(Q2322=Dashboard!$L$1,K2322,(K2322*GOOGLEFINANCE(""CURRENCY:""&amp;Q2322&amp;""""&amp;Dashboard!$L$1&amp;""""))/100),IF(Q2322=Dashboard!$L$1,K2322,K2322*GOOGLEFINANCE(""CURRENCY:""&amp;Q2322&amp;""""&amp;Dashboard!$"&amp;"L$1&amp;""""))),K2322))"),"")</f>
        <v/>
      </c>
      <c r="S2322" s="266" t="str">
        <f>IFERROR(__xludf.DUMMYFUNCTION("IF(ISBLANK(A2322),"""",IFERROR(IF(OR(Q2322=""GPB"",Q2322=""ZAR""),IF(Q2322=Dashboard!$L$1,M2322,(M2322*GOOGLEFINANCE(""CURRENCY:""&amp;Q2322&amp;""""&amp;Dashboard!$L$1&amp;""""))/100),IF(Q2322=Dashboard!$L$1,M2322,M2322*GOOGLEFINANCE(""CURRENCY:""&amp;Q2322&amp;""""&amp;Dashboard!$"&amp;"L$1&amp;""""))),M2322))"),"")</f>
        <v/>
      </c>
      <c r="T2322" s="264" t="str">
        <f t="shared" si="4"/>
        <v/>
      </c>
      <c r="U2322" s="264" t="str">
        <f t="shared" si="5"/>
        <v/>
      </c>
      <c r="V2322" s="264" t="str">
        <f t="shared" si="6"/>
        <v/>
      </c>
      <c r="W2322" s="267" t="str">
        <f t="shared" si="8"/>
        <v/>
      </c>
      <c r="X2322" s="264" t="str">
        <f t="shared" si="7"/>
        <v/>
      </c>
    </row>
    <row r="2323" ht="15.75" customHeight="1">
      <c r="A2323" s="258"/>
      <c r="B2323" s="258"/>
      <c r="C2323" s="269"/>
      <c r="D2323" s="258"/>
      <c r="E2323" s="258"/>
      <c r="F2323" s="258"/>
      <c r="G2323" s="258"/>
      <c r="H2323" s="271"/>
      <c r="I2323" s="258"/>
      <c r="J2323" s="272"/>
      <c r="K2323" s="260"/>
      <c r="L2323" s="261"/>
      <c r="M2323" s="262" t="str">
        <f t="shared" si="1"/>
        <v/>
      </c>
      <c r="N2323" s="263" t="str">
        <f t="shared" si="2"/>
        <v/>
      </c>
      <c r="O2323" s="264" t="str">
        <f t="shared" si="3"/>
        <v/>
      </c>
      <c r="P2323" s="265" t="str">
        <f>IFERROR(__xludf.DUMMYFUNCTION("IF(ISBLANK(A2323),"""",IFERROR(IF(H2323=""Sell"",VLOOKUP(9^99,FILTER({ROW(P$2:P2322),P$2:P2322},D$2:D2322=D2323),2),(VLOOKUP(9^99,FILTER({ROW(P$2:P2322),P$2:P2322},D$2:D2322=D2323),2)*VLOOKUP(9^99,FILTER({ROW(O$2:O2322),O$2:O2322},D$2:D2322=D2323),2)-N232"&amp;"3)/O2323),J2323))"),"")</f>
        <v/>
      </c>
      <c r="Q2323" s="264" t="str">
        <f>IFERROR(__xludf.DUMMYFUNCTION("IFERROR(IF(F2323=""Crypto"",B2323,(IF(ISBLANK(D2323),"""",IF(D2323=""Cash"",B2323,IF(GOOGLEFINANCE(D2323,""CURRENCY"")=""GBX"",""GBP"",GOOGLEFINANCE(D2323,""CURRENCY"")))))),B2323)"),"")</f>
        <v/>
      </c>
      <c r="R2323" s="263" t="str">
        <f>IFERROR(__xludf.DUMMYFUNCTION("IF(ISBLANK(A2323),"""",IFERROR(IF(OR(Q2323=""GPB"",Q2323=""ZAR""),IF(Q2323=Dashboard!$L$1,K2323,(K2323*GOOGLEFINANCE(""CURRENCY:""&amp;Q2323&amp;""""&amp;Dashboard!$L$1&amp;""""))/100),IF(Q2323=Dashboard!$L$1,K2323,K2323*GOOGLEFINANCE(""CURRENCY:""&amp;Q2323&amp;""""&amp;Dashboard!$"&amp;"L$1&amp;""""))),K2323))"),"")</f>
        <v/>
      </c>
      <c r="S2323" s="266" t="str">
        <f>IFERROR(__xludf.DUMMYFUNCTION("IF(ISBLANK(A2323),"""",IFERROR(IF(OR(Q2323=""GPB"",Q2323=""ZAR""),IF(Q2323=Dashboard!$L$1,M2323,(M2323*GOOGLEFINANCE(""CURRENCY:""&amp;Q2323&amp;""""&amp;Dashboard!$L$1&amp;""""))/100),IF(Q2323=Dashboard!$L$1,M2323,M2323*GOOGLEFINANCE(""CURRENCY:""&amp;Q2323&amp;""""&amp;Dashboard!$"&amp;"L$1&amp;""""))),M2323))"),"")</f>
        <v/>
      </c>
      <c r="T2323" s="264" t="str">
        <f t="shared" si="4"/>
        <v/>
      </c>
      <c r="U2323" s="264" t="str">
        <f t="shared" si="5"/>
        <v/>
      </c>
      <c r="V2323" s="264" t="str">
        <f t="shared" si="6"/>
        <v/>
      </c>
      <c r="W2323" s="267" t="str">
        <f t="shared" si="8"/>
        <v/>
      </c>
      <c r="X2323" s="264" t="str">
        <f t="shared" si="7"/>
        <v/>
      </c>
    </row>
    <row r="2324" ht="15.75" customHeight="1">
      <c r="A2324" s="258"/>
      <c r="B2324" s="258"/>
      <c r="C2324" s="269"/>
      <c r="D2324" s="258"/>
      <c r="E2324" s="258"/>
      <c r="F2324" s="258"/>
      <c r="G2324" s="258"/>
      <c r="H2324" s="271"/>
      <c r="I2324" s="258"/>
      <c r="J2324" s="272"/>
      <c r="K2324" s="260"/>
      <c r="L2324" s="261"/>
      <c r="M2324" s="262" t="str">
        <f t="shared" si="1"/>
        <v/>
      </c>
      <c r="N2324" s="263" t="str">
        <f t="shared" si="2"/>
        <v/>
      </c>
      <c r="O2324" s="264" t="str">
        <f t="shared" si="3"/>
        <v/>
      </c>
      <c r="P2324" s="265" t="str">
        <f>IFERROR(__xludf.DUMMYFUNCTION("IF(ISBLANK(A2324),"""",IFERROR(IF(H2324=""Sell"",VLOOKUP(9^99,FILTER({ROW(P$2:P2323),P$2:P2323},D$2:D2323=D2324),2),(VLOOKUP(9^99,FILTER({ROW(P$2:P2323),P$2:P2323},D$2:D2323=D2324),2)*VLOOKUP(9^99,FILTER({ROW(O$2:O2323),O$2:O2323},D$2:D2323=D2324),2)-N232"&amp;"4)/O2324),J2324))"),"")</f>
        <v/>
      </c>
      <c r="Q2324" s="264" t="str">
        <f>IFERROR(__xludf.DUMMYFUNCTION("IFERROR(IF(F2324=""Crypto"",B2324,(IF(ISBLANK(D2324),"""",IF(D2324=""Cash"",B2324,IF(GOOGLEFINANCE(D2324,""CURRENCY"")=""GBX"",""GBP"",GOOGLEFINANCE(D2324,""CURRENCY"")))))),B2324)"),"")</f>
        <v/>
      </c>
      <c r="R2324" s="263" t="str">
        <f>IFERROR(__xludf.DUMMYFUNCTION("IF(ISBLANK(A2324),"""",IFERROR(IF(OR(Q2324=""GPB"",Q2324=""ZAR""),IF(Q2324=Dashboard!$L$1,K2324,(K2324*GOOGLEFINANCE(""CURRENCY:""&amp;Q2324&amp;""""&amp;Dashboard!$L$1&amp;""""))/100),IF(Q2324=Dashboard!$L$1,K2324,K2324*GOOGLEFINANCE(""CURRENCY:""&amp;Q2324&amp;""""&amp;Dashboard!$"&amp;"L$1&amp;""""))),K2324))"),"")</f>
        <v/>
      </c>
      <c r="S2324" s="266" t="str">
        <f>IFERROR(__xludf.DUMMYFUNCTION("IF(ISBLANK(A2324),"""",IFERROR(IF(OR(Q2324=""GPB"",Q2324=""ZAR""),IF(Q2324=Dashboard!$L$1,M2324,(M2324*GOOGLEFINANCE(""CURRENCY:""&amp;Q2324&amp;""""&amp;Dashboard!$L$1&amp;""""))/100),IF(Q2324=Dashboard!$L$1,M2324,M2324*GOOGLEFINANCE(""CURRENCY:""&amp;Q2324&amp;""""&amp;Dashboard!$"&amp;"L$1&amp;""""))),M2324))"),"")</f>
        <v/>
      </c>
      <c r="T2324" s="264" t="str">
        <f t="shared" si="4"/>
        <v/>
      </c>
      <c r="U2324" s="264" t="str">
        <f t="shared" si="5"/>
        <v/>
      </c>
      <c r="V2324" s="264" t="str">
        <f t="shared" si="6"/>
        <v/>
      </c>
      <c r="W2324" s="267" t="str">
        <f t="shared" si="8"/>
        <v/>
      </c>
      <c r="X2324" s="264" t="str">
        <f t="shared" si="7"/>
        <v/>
      </c>
    </row>
    <row r="2325" ht="15.75" customHeight="1">
      <c r="A2325" s="258"/>
      <c r="B2325" s="258"/>
      <c r="C2325" s="269"/>
      <c r="D2325" s="258"/>
      <c r="E2325" s="258"/>
      <c r="F2325" s="258"/>
      <c r="G2325" s="258"/>
      <c r="H2325" s="271"/>
      <c r="I2325" s="258"/>
      <c r="J2325" s="272"/>
      <c r="K2325" s="260"/>
      <c r="L2325" s="261"/>
      <c r="M2325" s="262" t="str">
        <f t="shared" si="1"/>
        <v/>
      </c>
      <c r="N2325" s="263" t="str">
        <f t="shared" si="2"/>
        <v/>
      </c>
      <c r="O2325" s="264" t="str">
        <f t="shared" si="3"/>
        <v/>
      </c>
      <c r="P2325" s="265" t="str">
        <f>IFERROR(__xludf.DUMMYFUNCTION("IF(ISBLANK(A2325),"""",IFERROR(IF(H2325=""Sell"",VLOOKUP(9^99,FILTER({ROW(P$2:P2324),P$2:P2324},D$2:D2324=D2325),2),(VLOOKUP(9^99,FILTER({ROW(P$2:P2324),P$2:P2324},D$2:D2324=D2325),2)*VLOOKUP(9^99,FILTER({ROW(O$2:O2324),O$2:O2324},D$2:D2324=D2325),2)-N232"&amp;"5)/O2325),J2325))"),"")</f>
        <v/>
      </c>
      <c r="Q2325" s="264" t="str">
        <f>IFERROR(__xludf.DUMMYFUNCTION("IFERROR(IF(F2325=""Crypto"",B2325,(IF(ISBLANK(D2325),"""",IF(D2325=""Cash"",B2325,IF(GOOGLEFINANCE(D2325,""CURRENCY"")=""GBX"",""GBP"",GOOGLEFINANCE(D2325,""CURRENCY"")))))),B2325)"),"")</f>
        <v/>
      </c>
      <c r="R2325" s="263" t="str">
        <f>IFERROR(__xludf.DUMMYFUNCTION("IF(ISBLANK(A2325),"""",IFERROR(IF(OR(Q2325=""GPB"",Q2325=""ZAR""),IF(Q2325=Dashboard!$L$1,K2325,(K2325*GOOGLEFINANCE(""CURRENCY:""&amp;Q2325&amp;""""&amp;Dashboard!$L$1&amp;""""))/100),IF(Q2325=Dashboard!$L$1,K2325,K2325*GOOGLEFINANCE(""CURRENCY:""&amp;Q2325&amp;""""&amp;Dashboard!$"&amp;"L$1&amp;""""))),K2325))"),"")</f>
        <v/>
      </c>
      <c r="S2325" s="266" t="str">
        <f>IFERROR(__xludf.DUMMYFUNCTION("IF(ISBLANK(A2325),"""",IFERROR(IF(OR(Q2325=""GPB"",Q2325=""ZAR""),IF(Q2325=Dashboard!$L$1,M2325,(M2325*GOOGLEFINANCE(""CURRENCY:""&amp;Q2325&amp;""""&amp;Dashboard!$L$1&amp;""""))/100),IF(Q2325=Dashboard!$L$1,M2325,M2325*GOOGLEFINANCE(""CURRENCY:""&amp;Q2325&amp;""""&amp;Dashboard!$"&amp;"L$1&amp;""""))),M2325))"),"")</f>
        <v/>
      </c>
      <c r="T2325" s="264" t="str">
        <f t="shared" si="4"/>
        <v/>
      </c>
      <c r="U2325" s="264" t="str">
        <f t="shared" si="5"/>
        <v/>
      </c>
      <c r="V2325" s="264" t="str">
        <f t="shared" si="6"/>
        <v/>
      </c>
      <c r="W2325" s="267" t="str">
        <f t="shared" si="8"/>
        <v/>
      </c>
      <c r="X2325" s="264" t="str">
        <f t="shared" si="7"/>
        <v/>
      </c>
    </row>
    <row r="2326" ht="15.75" customHeight="1">
      <c r="A2326" s="258"/>
      <c r="B2326" s="258"/>
      <c r="C2326" s="269"/>
      <c r="D2326" s="258"/>
      <c r="E2326" s="258"/>
      <c r="F2326" s="258"/>
      <c r="G2326" s="258"/>
      <c r="H2326" s="271"/>
      <c r="I2326" s="258"/>
      <c r="J2326" s="272"/>
      <c r="K2326" s="260"/>
      <c r="L2326" s="261"/>
      <c r="M2326" s="262" t="str">
        <f t="shared" si="1"/>
        <v/>
      </c>
      <c r="N2326" s="263" t="str">
        <f t="shared" si="2"/>
        <v/>
      </c>
      <c r="O2326" s="264" t="str">
        <f t="shared" si="3"/>
        <v/>
      </c>
      <c r="P2326" s="265" t="str">
        <f>IFERROR(__xludf.DUMMYFUNCTION("IF(ISBLANK(A2326),"""",IFERROR(IF(H2326=""Sell"",VLOOKUP(9^99,FILTER({ROW(P$2:P2325),P$2:P2325},D$2:D2325=D2326),2),(VLOOKUP(9^99,FILTER({ROW(P$2:P2325),P$2:P2325},D$2:D2325=D2326),2)*VLOOKUP(9^99,FILTER({ROW(O$2:O2325),O$2:O2325},D$2:D2325=D2326),2)-N232"&amp;"6)/O2326),J2326))"),"")</f>
        <v/>
      </c>
      <c r="Q2326" s="264" t="str">
        <f>IFERROR(__xludf.DUMMYFUNCTION("IFERROR(IF(F2326=""Crypto"",B2326,(IF(ISBLANK(D2326),"""",IF(D2326=""Cash"",B2326,IF(GOOGLEFINANCE(D2326,""CURRENCY"")=""GBX"",""GBP"",GOOGLEFINANCE(D2326,""CURRENCY"")))))),B2326)"),"")</f>
        <v/>
      </c>
      <c r="R2326" s="263" t="str">
        <f>IFERROR(__xludf.DUMMYFUNCTION("IF(ISBLANK(A2326),"""",IFERROR(IF(OR(Q2326=""GPB"",Q2326=""ZAR""),IF(Q2326=Dashboard!$L$1,K2326,(K2326*GOOGLEFINANCE(""CURRENCY:""&amp;Q2326&amp;""""&amp;Dashboard!$L$1&amp;""""))/100),IF(Q2326=Dashboard!$L$1,K2326,K2326*GOOGLEFINANCE(""CURRENCY:""&amp;Q2326&amp;""""&amp;Dashboard!$"&amp;"L$1&amp;""""))),K2326))"),"")</f>
        <v/>
      </c>
      <c r="S2326" s="266" t="str">
        <f>IFERROR(__xludf.DUMMYFUNCTION("IF(ISBLANK(A2326),"""",IFERROR(IF(OR(Q2326=""GPB"",Q2326=""ZAR""),IF(Q2326=Dashboard!$L$1,M2326,(M2326*GOOGLEFINANCE(""CURRENCY:""&amp;Q2326&amp;""""&amp;Dashboard!$L$1&amp;""""))/100),IF(Q2326=Dashboard!$L$1,M2326,M2326*GOOGLEFINANCE(""CURRENCY:""&amp;Q2326&amp;""""&amp;Dashboard!$"&amp;"L$1&amp;""""))),M2326))"),"")</f>
        <v/>
      </c>
      <c r="T2326" s="264" t="str">
        <f t="shared" si="4"/>
        <v/>
      </c>
      <c r="U2326" s="264" t="str">
        <f t="shared" si="5"/>
        <v/>
      </c>
      <c r="V2326" s="264" t="str">
        <f t="shared" si="6"/>
        <v/>
      </c>
      <c r="W2326" s="267" t="str">
        <f t="shared" si="8"/>
        <v/>
      </c>
      <c r="X2326" s="264" t="str">
        <f t="shared" si="7"/>
        <v/>
      </c>
    </row>
    <row r="2327" ht="15.75" customHeight="1">
      <c r="A2327" s="258"/>
      <c r="B2327" s="258"/>
      <c r="C2327" s="269"/>
      <c r="D2327" s="258"/>
      <c r="E2327" s="258"/>
      <c r="F2327" s="258"/>
      <c r="G2327" s="258"/>
      <c r="H2327" s="271"/>
      <c r="I2327" s="258"/>
      <c r="J2327" s="272"/>
      <c r="K2327" s="260"/>
      <c r="L2327" s="261"/>
      <c r="M2327" s="262" t="str">
        <f t="shared" si="1"/>
        <v/>
      </c>
      <c r="N2327" s="263" t="str">
        <f t="shared" si="2"/>
        <v/>
      </c>
      <c r="O2327" s="264" t="str">
        <f t="shared" si="3"/>
        <v/>
      </c>
      <c r="P2327" s="265" t="str">
        <f>IFERROR(__xludf.DUMMYFUNCTION("IF(ISBLANK(A2327),"""",IFERROR(IF(H2327=""Sell"",VLOOKUP(9^99,FILTER({ROW(P$2:P2326),P$2:P2326},D$2:D2326=D2327),2),(VLOOKUP(9^99,FILTER({ROW(P$2:P2326),P$2:P2326},D$2:D2326=D2327),2)*VLOOKUP(9^99,FILTER({ROW(O$2:O2326),O$2:O2326},D$2:D2326=D2327),2)-N232"&amp;"7)/O2327),J2327))"),"")</f>
        <v/>
      </c>
      <c r="Q2327" s="264" t="str">
        <f>IFERROR(__xludf.DUMMYFUNCTION("IFERROR(IF(F2327=""Crypto"",B2327,(IF(ISBLANK(D2327),"""",IF(D2327=""Cash"",B2327,IF(GOOGLEFINANCE(D2327,""CURRENCY"")=""GBX"",""GBP"",GOOGLEFINANCE(D2327,""CURRENCY"")))))),B2327)"),"")</f>
        <v/>
      </c>
      <c r="R2327" s="263" t="str">
        <f>IFERROR(__xludf.DUMMYFUNCTION("IF(ISBLANK(A2327),"""",IFERROR(IF(OR(Q2327=""GPB"",Q2327=""ZAR""),IF(Q2327=Dashboard!$L$1,K2327,(K2327*GOOGLEFINANCE(""CURRENCY:""&amp;Q2327&amp;""""&amp;Dashboard!$L$1&amp;""""))/100),IF(Q2327=Dashboard!$L$1,K2327,K2327*GOOGLEFINANCE(""CURRENCY:""&amp;Q2327&amp;""""&amp;Dashboard!$"&amp;"L$1&amp;""""))),K2327))"),"")</f>
        <v/>
      </c>
      <c r="S2327" s="266" t="str">
        <f>IFERROR(__xludf.DUMMYFUNCTION("IF(ISBLANK(A2327),"""",IFERROR(IF(OR(Q2327=""GPB"",Q2327=""ZAR""),IF(Q2327=Dashboard!$L$1,M2327,(M2327*GOOGLEFINANCE(""CURRENCY:""&amp;Q2327&amp;""""&amp;Dashboard!$L$1&amp;""""))/100),IF(Q2327=Dashboard!$L$1,M2327,M2327*GOOGLEFINANCE(""CURRENCY:""&amp;Q2327&amp;""""&amp;Dashboard!$"&amp;"L$1&amp;""""))),M2327))"),"")</f>
        <v/>
      </c>
      <c r="T2327" s="264" t="str">
        <f t="shared" si="4"/>
        <v/>
      </c>
      <c r="U2327" s="264" t="str">
        <f t="shared" si="5"/>
        <v/>
      </c>
      <c r="V2327" s="264" t="str">
        <f t="shared" si="6"/>
        <v/>
      </c>
      <c r="W2327" s="267" t="str">
        <f t="shared" si="8"/>
        <v/>
      </c>
      <c r="X2327" s="264" t="str">
        <f t="shared" si="7"/>
        <v/>
      </c>
    </row>
    <row r="2328" ht="15.75" customHeight="1">
      <c r="A2328" s="258"/>
      <c r="B2328" s="258"/>
      <c r="C2328" s="269"/>
      <c r="D2328" s="258"/>
      <c r="E2328" s="258"/>
      <c r="F2328" s="258"/>
      <c r="G2328" s="258"/>
      <c r="H2328" s="271"/>
      <c r="I2328" s="258"/>
      <c r="J2328" s="272"/>
      <c r="K2328" s="260"/>
      <c r="L2328" s="261"/>
      <c r="M2328" s="262" t="str">
        <f t="shared" si="1"/>
        <v/>
      </c>
      <c r="N2328" s="263" t="str">
        <f t="shared" si="2"/>
        <v/>
      </c>
      <c r="O2328" s="264" t="str">
        <f t="shared" si="3"/>
        <v/>
      </c>
      <c r="P2328" s="265" t="str">
        <f>IFERROR(__xludf.DUMMYFUNCTION("IF(ISBLANK(A2328),"""",IFERROR(IF(H2328=""Sell"",VLOOKUP(9^99,FILTER({ROW(P$2:P2327),P$2:P2327},D$2:D2327=D2328),2),(VLOOKUP(9^99,FILTER({ROW(P$2:P2327),P$2:P2327},D$2:D2327=D2328),2)*VLOOKUP(9^99,FILTER({ROW(O$2:O2327),O$2:O2327},D$2:D2327=D2328),2)-N232"&amp;"8)/O2328),J2328))"),"")</f>
        <v/>
      </c>
      <c r="Q2328" s="264" t="str">
        <f>IFERROR(__xludf.DUMMYFUNCTION("IFERROR(IF(F2328=""Crypto"",B2328,(IF(ISBLANK(D2328),"""",IF(D2328=""Cash"",B2328,IF(GOOGLEFINANCE(D2328,""CURRENCY"")=""GBX"",""GBP"",GOOGLEFINANCE(D2328,""CURRENCY"")))))),B2328)"),"")</f>
        <v/>
      </c>
      <c r="R2328" s="263" t="str">
        <f>IFERROR(__xludf.DUMMYFUNCTION("IF(ISBLANK(A2328),"""",IFERROR(IF(OR(Q2328=""GPB"",Q2328=""ZAR""),IF(Q2328=Dashboard!$L$1,K2328,(K2328*GOOGLEFINANCE(""CURRENCY:""&amp;Q2328&amp;""""&amp;Dashboard!$L$1&amp;""""))/100),IF(Q2328=Dashboard!$L$1,K2328,K2328*GOOGLEFINANCE(""CURRENCY:""&amp;Q2328&amp;""""&amp;Dashboard!$"&amp;"L$1&amp;""""))),K2328))"),"")</f>
        <v/>
      </c>
      <c r="S2328" s="266" t="str">
        <f>IFERROR(__xludf.DUMMYFUNCTION("IF(ISBLANK(A2328),"""",IFERROR(IF(OR(Q2328=""GPB"",Q2328=""ZAR""),IF(Q2328=Dashboard!$L$1,M2328,(M2328*GOOGLEFINANCE(""CURRENCY:""&amp;Q2328&amp;""""&amp;Dashboard!$L$1&amp;""""))/100),IF(Q2328=Dashboard!$L$1,M2328,M2328*GOOGLEFINANCE(""CURRENCY:""&amp;Q2328&amp;""""&amp;Dashboard!$"&amp;"L$1&amp;""""))),M2328))"),"")</f>
        <v/>
      </c>
      <c r="T2328" s="264" t="str">
        <f t="shared" si="4"/>
        <v/>
      </c>
      <c r="U2328" s="264" t="str">
        <f t="shared" si="5"/>
        <v/>
      </c>
      <c r="V2328" s="264" t="str">
        <f t="shared" si="6"/>
        <v/>
      </c>
      <c r="W2328" s="267" t="str">
        <f t="shared" si="8"/>
        <v/>
      </c>
      <c r="X2328" s="264" t="str">
        <f t="shared" si="7"/>
        <v/>
      </c>
    </row>
    <row r="2329" ht="15.75" customHeight="1">
      <c r="A2329" s="258"/>
      <c r="B2329" s="258"/>
      <c r="C2329" s="269"/>
      <c r="D2329" s="258"/>
      <c r="E2329" s="258"/>
      <c r="F2329" s="258"/>
      <c r="G2329" s="258"/>
      <c r="H2329" s="271"/>
      <c r="I2329" s="258"/>
      <c r="J2329" s="272"/>
      <c r="K2329" s="260"/>
      <c r="L2329" s="261"/>
      <c r="M2329" s="262" t="str">
        <f t="shared" si="1"/>
        <v/>
      </c>
      <c r="N2329" s="263" t="str">
        <f t="shared" si="2"/>
        <v/>
      </c>
      <c r="O2329" s="264" t="str">
        <f t="shared" si="3"/>
        <v/>
      </c>
      <c r="P2329" s="265" t="str">
        <f>IFERROR(__xludf.DUMMYFUNCTION("IF(ISBLANK(A2329),"""",IFERROR(IF(H2329=""Sell"",VLOOKUP(9^99,FILTER({ROW(P$2:P2328),P$2:P2328},D$2:D2328=D2329),2),(VLOOKUP(9^99,FILTER({ROW(P$2:P2328),P$2:P2328},D$2:D2328=D2329),2)*VLOOKUP(9^99,FILTER({ROW(O$2:O2328),O$2:O2328},D$2:D2328=D2329),2)-N232"&amp;"9)/O2329),J2329))"),"")</f>
        <v/>
      </c>
      <c r="Q2329" s="264" t="str">
        <f>IFERROR(__xludf.DUMMYFUNCTION("IFERROR(IF(F2329=""Crypto"",B2329,(IF(ISBLANK(D2329),"""",IF(D2329=""Cash"",B2329,IF(GOOGLEFINANCE(D2329,""CURRENCY"")=""GBX"",""GBP"",GOOGLEFINANCE(D2329,""CURRENCY"")))))),B2329)"),"")</f>
        <v/>
      </c>
      <c r="R2329" s="263" t="str">
        <f>IFERROR(__xludf.DUMMYFUNCTION("IF(ISBLANK(A2329),"""",IFERROR(IF(OR(Q2329=""GPB"",Q2329=""ZAR""),IF(Q2329=Dashboard!$L$1,K2329,(K2329*GOOGLEFINANCE(""CURRENCY:""&amp;Q2329&amp;""""&amp;Dashboard!$L$1&amp;""""))/100),IF(Q2329=Dashboard!$L$1,K2329,K2329*GOOGLEFINANCE(""CURRENCY:""&amp;Q2329&amp;""""&amp;Dashboard!$"&amp;"L$1&amp;""""))),K2329))"),"")</f>
        <v/>
      </c>
      <c r="S2329" s="266" t="str">
        <f>IFERROR(__xludf.DUMMYFUNCTION("IF(ISBLANK(A2329),"""",IFERROR(IF(OR(Q2329=""GPB"",Q2329=""ZAR""),IF(Q2329=Dashboard!$L$1,M2329,(M2329*GOOGLEFINANCE(""CURRENCY:""&amp;Q2329&amp;""""&amp;Dashboard!$L$1&amp;""""))/100),IF(Q2329=Dashboard!$L$1,M2329,M2329*GOOGLEFINANCE(""CURRENCY:""&amp;Q2329&amp;""""&amp;Dashboard!$"&amp;"L$1&amp;""""))),M2329))"),"")</f>
        <v/>
      </c>
      <c r="T2329" s="264" t="str">
        <f t="shared" si="4"/>
        <v/>
      </c>
      <c r="U2329" s="264" t="str">
        <f t="shared" si="5"/>
        <v/>
      </c>
      <c r="V2329" s="264" t="str">
        <f t="shared" si="6"/>
        <v/>
      </c>
      <c r="W2329" s="267" t="str">
        <f t="shared" si="8"/>
        <v/>
      </c>
      <c r="X2329" s="264" t="str">
        <f t="shared" si="7"/>
        <v/>
      </c>
    </row>
    <row r="2330" ht="15.75" customHeight="1">
      <c r="A2330" s="258"/>
      <c r="B2330" s="258"/>
      <c r="C2330" s="269"/>
      <c r="D2330" s="258"/>
      <c r="E2330" s="258"/>
      <c r="F2330" s="258"/>
      <c r="G2330" s="258"/>
      <c r="H2330" s="271"/>
      <c r="I2330" s="258"/>
      <c r="J2330" s="272"/>
      <c r="K2330" s="260"/>
      <c r="L2330" s="261"/>
      <c r="M2330" s="262" t="str">
        <f t="shared" si="1"/>
        <v/>
      </c>
      <c r="N2330" s="263" t="str">
        <f t="shared" si="2"/>
        <v/>
      </c>
      <c r="O2330" s="264" t="str">
        <f t="shared" si="3"/>
        <v/>
      </c>
      <c r="P2330" s="265" t="str">
        <f>IFERROR(__xludf.DUMMYFUNCTION("IF(ISBLANK(A2330),"""",IFERROR(IF(H2330=""Sell"",VLOOKUP(9^99,FILTER({ROW(P$2:P2329),P$2:P2329},D$2:D2329=D2330),2),(VLOOKUP(9^99,FILTER({ROW(P$2:P2329),P$2:P2329},D$2:D2329=D2330),2)*VLOOKUP(9^99,FILTER({ROW(O$2:O2329),O$2:O2329},D$2:D2329=D2330),2)-N233"&amp;"0)/O2330),J2330))"),"")</f>
        <v/>
      </c>
      <c r="Q2330" s="264" t="str">
        <f>IFERROR(__xludf.DUMMYFUNCTION("IFERROR(IF(F2330=""Crypto"",B2330,(IF(ISBLANK(D2330),"""",IF(D2330=""Cash"",B2330,IF(GOOGLEFINANCE(D2330,""CURRENCY"")=""GBX"",""GBP"",GOOGLEFINANCE(D2330,""CURRENCY"")))))),B2330)"),"")</f>
        <v/>
      </c>
      <c r="R2330" s="263" t="str">
        <f>IFERROR(__xludf.DUMMYFUNCTION("IF(ISBLANK(A2330),"""",IFERROR(IF(OR(Q2330=""GPB"",Q2330=""ZAR""),IF(Q2330=Dashboard!$L$1,K2330,(K2330*GOOGLEFINANCE(""CURRENCY:""&amp;Q2330&amp;""""&amp;Dashboard!$L$1&amp;""""))/100),IF(Q2330=Dashboard!$L$1,K2330,K2330*GOOGLEFINANCE(""CURRENCY:""&amp;Q2330&amp;""""&amp;Dashboard!$"&amp;"L$1&amp;""""))),K2330))"),"")</f>
        <v/>
      </c>
      <c r="S2330" s="266" t="str">
        <f>IFERROR(__xludf.DUMMYFUNCTION("IF(ISBLANK(A2330),"""",IFERROR(IF(OR(Q2330=""GPB"",Q2330=""ZAR""),IF(Q2330=Dashboard!$L$1,M2330,(M2330*GOOGLEFINANCE(""CURRENCY:""&amp;Q2330&amp;""""&amp;Dashboard!$L$1&amp;""""))/100),IF(Q2330=Dashboard!$L$1,M2330,M2330*GOOGLEFINANCE(""CURRENCY:""&amp;Q2330&amp;""""&amp;Dashboard!$"&amp;"L$1&amp;""""))),M2330))"),"")</f>
        <v/>
      </c>
      <c r="T2330" s="264" t="str">
        <f t="shared" si="4"/>
        <v/>
      </c>
      <c r="U2330" s="264" t="str">
        <f t="shared" si="5"/>
        <v/>
      </c>
      <c r="V2330" s="264" t="str">
        <f t="shared" si="6"/>
        <v/>
      </c>
      <c r="W2330" s="267" t="str">
        <f t="shared" si="8"/>
        <v/>
      </c>
      <c r="X2330" s="264" t="str">
        <f t="shared" si="7"/>
        <v/>
      </c>
    </row>
    <row r="2331" ht="15.75" customHeight="1">
      <c r="A2331" s="258"/>
      <c r="B2331" s="258"/>
      <c r="C2331" s="269"/>
      <c r="D2331" s="258"/>
      <c r="E2331" s="258"/>
      <c r="F2331" s="258"/>
      <c r="G2331" s="258"/>
      <c r="H2331" s="271"/>
      <c r="I2331" s="258"/>
      <c r="J2331" s="272"/>
      <c r="K2331" s="260"/>
      <c r="L2331" s="261"/>
      <c r="M2331" s="262" t="str">
        <f t="shared" si="1"/>
        <v/>
      </c>
      <c r="N2331" s="263" t="str">
        <f t="shared" si="2"/>
        <v/>
      </c>
      <c r="O2331" s="264" t="str">
        <f t="shared" si="3"/>
        <v/>
      </c>
      <c r="P2331" s="265" t="str">
        <f>IFERROR(__xludf.DUMMYFUNCTION("IF(ISBLANK(A2331),"""",IFERROR(IF(H2331=""Sell"",VLOOKUP(9^99,FILTER({ROW(P$2:P2330),P$2:P2330},D$2:D2330=D2331),2),(VLOOKUP(9^99,FILTER({ROW(P$2:P2330),P$2:P2330},D$2:D2330=D2331),2)*VLOOKUP(9^99,FILTER({ROW(O$2:O2330),O$2:O2330},D$2:D2330=D2331),2)-N233"&amp;"1)/O2331),J2331))"),"")</f>
        <v/>
      </c>
      <c r="Q2331" s="264" t="str">
        <f>IFERROR(__xludf.DUMMYFUNCTION("IFERROR(IF(F2331=""Crypto"",B2331,(IF(ISBLANK(D2331),"""",IF(D2331=""Cash"",B2331,IF(GOOGLEFINANCE(D2331,""CURRENCY"")=""GBX"",""GBP"",GOOGLEFINANCE(D2331,""CURRENCY"")))))),B2331)"),"")</f>
        <v/>
      </c>
      <c r="R2331" s="263" t="str">
        <f>IFERROR(__xludf.DUMMYFUNCTION("IF(ISBLANK(A2331),"""",IFERROR(IF(OR(Q2331=""GPB"",Q2331=""ZAR""),IF(Q2331=Dashboard!$L$1,K2331,(K2331*GOOGLEFINANCE(""CURRENCY:""&amp;Q2331&amp;""""&amp;Dashboard!$L$1&amp;""""))/100),IF(Q2331=Dashboard!$L$1,K2331,K2331*GOOGLEFINANCE(""CURRENCY:""&amp;Q2331&amp;""""&amp;Dashboard!$"&amp;"L$1&amp;""""))),K2331))"),"")</f>
        <v/>
      </c>
      <c r="S2331" s="266" t="str">
        <f>IFERROR(__xludf.DUMMYFUNCTION("IF(ISBLANK(A2331),"""",IFERROR(IF(OR(Q2331=""GPB"",Q2331=""ZAR""),IF(Q2331=Dashboard!$L$1,M2331,(M2331*GOOGLEFINANCE(""CURRENCY:""&amp;Q2331&amp;""""&amp;Dashboard!$L$1&amp;""""))/100),IF(Q2331=Dashboard!$L$1,M2331,M2331*GOOGLEFINANCE(""CURRENCY:""&amp;Q2331&amp;""""&amp;Dashboard!$"&amp;"L$1&amp;""""))),M2331))"),"")</f>
        <v/>
      </c>
      <c r="T2331" s="264" t="str">
        <f t="shared" si="4"/>
        <v/>
      </c>
      <c r="U2331" s="264" t="str">
        <f t="shared" si="5"/>
        <v/>
      </c>
      <c r="V2331" s="264" t="str">
        <f t="shared" si="6"/>
        <v/>
      </c>
      <c r="W2331" s="267" t="str">
        <f t="shared" si="8"/>
        <v/>
      </c>
      <c r="X2331" s="264" t="str">
        <f t="shared" si="7"/>
        <v/>
      </c>
    </row>
    <row r="2332" ht="15.75" customHeight="1">
      <c r="A2332" s="258"/>
      <c r="B2332" s="258"/>
      <c r="C2332" s="269"/>
      <c r="D2332" s="258"/>
      <c r="E2332" s="258"/>
      <c r="F2332" s="258"/>
      <c r="G2332" s="258"/>
      <c r="H2332" s="271"/>
      <c r="I2332" s="258"/>
      <c r="J2332" s="272"/>
      <c r="K2332" s="260"/>
      <c r="L2332" s="261"/>
      <c r="M2332" s="262" t="str">
        <f t="shared" si="1"/>
        <v/>
      </c>
      <c r="N2332" s="263" t="str">
        <f t="shared" si="2"/>
        <v/>
      </c>
      <c r="O2332" s="264" t="str">
        <f t="shared" si="3"/>
        <v/>
      </c>
      <c r="P2332" s="265" t="str">
        <f>IFERROR(__xludf.DUMMYFUNCTION("IF(ISBLANK(A2332),"""",IFERROR(IF(H2332=""Sell"",VLOOKUP(9^99,FILTER({ROW(P$2:P2331),P$2:P2331},D$2:D2331=D2332),2),(VLOOKUP(9^99,FILTER({ROW(P$2:P2331),P$2:P2331},D$2:D2331=D2332),2)*VLOOKUP(9^99,FILTER({ROW(O$2:O2331),O$2:O2331},D$2:D2331=D2332),2)-N233"&amp;"2)/O2332),J2332))"),"")</f>
        <v/>
      </c>
      <c r="Q2332" s="264" t="str">
        <f>IFERROR(__xludf.DUMMYFUNCTION("IFERROR(IF(F2332=""Crypto"",B2332,(IF(ISBLANK(D2332),"""",IF(D2332=""Cash"",B2332,IF(GOOGLEFINANCE(D2332,""CURRENCY"")=""GBX"",""GBP"",GOOGLEFINANCE(D2332,""CURRENCY"")))))),B2332)"),"")</f>
        <v/>
      </c>
      <c r="R2332" s="263" t="str">
        <f>IFERROR(__xludf.DUMMYFUNCTION("IF(ISBLANK(A2332),"""",IFERROR(IF(OR(Q2332=""GPB"",Q2332=""ZAR""),IF(Q2332=Dashboard!$L$1,K2332,(K2332*GOOGLEFINANCE(""CURRENCY:""&amp;Q2332&amp;""""&amp;Dashboard!$L$1&amp;""""))/100),IF(Q2332=Dashboard!$L$1,K2332,K2332*GOOGLEFINANCE(""CURRENCY:""&amp;Q2332&amp;""""&amp;Dashboard!$"&amp;"L$1&amp;""""))),K2332))"),"")</f>
        <v/>
      </c>
      <c r="S2332" s="266" t="str">
        <f>IFERROR(__xludf.DUMMYFUNCTION("IF(ISBLANK(A2332),"""",IFERROR(IF(OR(Q2332=""GPB"",Q2332=""ZAR""),IF(Q2332=Dashboard!$L$1,M2332,(M2332*GOOGLEFINANCE(""CURRENCY:""&amp;Q2332&amp;""""&amp;Dashboard!$L$1&amp;""""))/100),IF(Q2332=Dashboard!$L$1,M2332,M2332*GOOGLEFINANCE(""CURRENCY:""&amp;Q2332&amp;""""&amp;Dashboard!$"&amp;"L$1&amp;""""))),M2332))"),"")</f>
        <v/>
      </c>
      <c r="T2332" s="264" t="str">
        <f t="shared" si="4"/>
        <v/>
      </c>
      <c r="U2332" s="264" t="str">
        <f t="shared" si="5"/>
        <v/>
      </c>
      <c r="V2332" s="264" t="str">
        <f t="shared" si="6"/>
        <v/>
      </c>
      <c r="W2332" s="267" t="str">
        <f t="shared" si="8"/>
        <v/>
      </c>
      <c r="X2332" s="264" t="str">
        <f t="shared" si="7"/>
        <v/>
      </c>
    </row>
    <row r="2333" ht="15.75" customHeight="1">
      <c r="A2333" s="258"/>
      <c r="B2333" s="258"/>
      <c r="C2333" s="269"/>
      <c r="D2333" s="258"/>
      <c r="E2333" s="258"/>
      <c r="F2333" s="258"/>
      <c r="G2333" s="258"/>
      <c r="H2333" s="271"/>
      <c r="I2333" s="258"/>
      <c r="J2333" s="272"/>
      <c r="K2333" s="260"/>
      <c r="L2333" s="261"/>
      <c r="M2333" s="262" t="str">
        <f t="shared" si="1"/>
        <v/>
      </c>
      <c r="N2333" s="263" t="str">
        <f t="shared" si="2"/>
        <v/>
      </c>
      <c r="O2333" s="264" t="str">
        <f t="shared" si="3"/>
        <v/>
      </c>
      <c r="P2333" s="265" t="str">
        <f>IFERROR(__xludf.DUMMYFUNCTION("IF(ISBLANK(A2333),"""",IFERROR(IF(H2333=""Sell"",VLOOKUP(9^99,FILTER({ROW(P$2:P2332),P$2:P2332},D$2:D2332=D2333),2),(VLOOKUP(9^99,FILTER({ROW(P$2:P2332),P$2:P2332},D$2:D2332=D2333),2)*VLOOKUP(9^99,FILTER({ROW(O$2:O2332),O$2:O2332},D$2:D2332=D2333),2)-N233"&amp;"3)/O2333),J2333))"),"")</f>
        <v/>
      </c>
      <c r="Q2333" s="264" t="str">
        <f>IFERROR(__xludf.DUMMYFUNCTION("IFERROR(IF(F2333=""Crypto"",B2333,(IF(ISBLANK(D2333),"""",IF(D2333=""Cash"",B2333,IF(GOOGLEFINANCE(D2333,""CURRENCY"")=""GBX"",""GBP"",GOOGLEFINANCE(D2333,""CURRENCY"")))))),B2333)"),"")</f>
        <v/>
      </c>
      <c r="R2333" s="263" t="str">
        <f>IFERROR(__xludf.DUMMYFUNCTION("IF(ISBLANK(A2333),"""",IFERROR(IF(OR(Q2333=""GPB"",Q2333=""ZAR""),IF(Q2333=Dashboard!$L$1,K2333,(K2333*GOOGLEFINANCE(""CURRENCY:""&amp;Q2333&amp;""""&amp;Dashboard!$L$1&amp;""""))/100),IF(Q2333=Dashboard!$L$1,K2333,K2333*GOOGLEFINANCE(""CURRENCY:""&amp;Q2333&amp;""""&amp;Dashboard!$"&amp;"L$1&amp;""""))),K2333))"),"")</f>
        <v/>
      </c>
      <c r="S2333" s="266" t="str">
        <f>IFERROR(__xludf.DUMMYFUNCTION("IF(ISBLANK(A2333),"""",IFERROR(IF(OR(Q2333=""GPB"",Q2333=""ZAR""),IF(Q2333=Dashboard!$L$1,M2333,(M2333*GOOGLEFINANCE(""CURRENCY:""&amp;Q2333&amp;""""&amp;Dashboard!$L$1&amp;""""))/100),IF(Q2333=Dashboard!$L$1,M2333,M2333*GOOGLEFINANCE(""CURRENCY:""&amp;Q2333&amp;""""&amp;Dashboard!$"&amp;"L$1&amp;""""))),M2333))"),"")</f>
        <v/>
      </c>
      <c r="T2333" s="264" t="str">
        <f t="shared" si="4"/>
        <v/>
      </c>
      <c r="U2333" s="264" t="str">
        <f t="shared" si="5"/>
        <v/>
      </c>
      <c r="V2333" s="264" t="str">
        <f t="shared" si="6"/>
        <v/>
      </c>
      <c r="W2333" s="267" t="str">
        <f t="shared" si="8"/>
        <v/>
      </c>
      <c r="X2333" s="264" t="str">
        <f t="shared" si="7"/>
        <v/>
      </c>
    </row>
    <row r="2334" ht="15.75" customHeight="1">
      <c r="A2334" s="258"/>
      <c r="B2334" s="258"/>
      <c r="C2334" s="269"/>
      <c r="D2334" s="258"/>
      <c r="E2334" s="258"/>
      <c r="F2334" s="258"/>
      <c r="G2334" s="258"/>
      <c r="H2334" s="271"/>
      <c r="I2334" s="258"/>
      <c r="J2334" s="272"/>
      <c r="K2334" s="260"/>
      <c r="L2334" s="261"/>
      <c r="M2334" s="262" t="str">
        <f t="shared" si="1"/>
        <v/>
      </c>
      <c r="N2334" s="263" t="str">
        <f t="shared" si="2"/>
        <v/>
      </c>
      <c r="O2334" s="264" t="str">
        <f t="shared" si="3"/>
        <v/>
      </c>
      <c r="P2334" s="265" t="str">
        <f>IFERROR(__xludf.DUMMYFUNCTION("IF(ISBLANK(A2334),"""",IFERROR(IF(H2334=""Sell"",VLOOKUP(9^99,FILTER({ROW(P$2:P2333),P$2:P2333},D$2:D2333=D2334),2),(VLOOKUP(9^99,FILTER({ROW(P$2:P2333),P$2:P2333},D$2:D2333=D2334),2)*VLOOKUP(9^99,FILTER({ROW(O$2:O2333),O$2:O2333},D$2:D2333=D2334),2)-N233"&amp;"4)/O2334),J2334))"),"")</f>
        <v/>
      </c>
      <c r="Q2334" s="264" t="str">
        <f>IFERROR(__xludf.DUMMYFUNCTION("IFERROR(IF(F2334=""Crypto"",B2334,(IF(ISBLANK(D2334),"""",IF(D2334=""Cash"",B2334,IF(GOOGLEFINANCE(D2334,""CURRENCY"")=""GBX"",""GBP"",GOOGLEFINANCE(D2334,""CURRENCY"")))))),B2334)"),"")</f>
        <v/>
      </c>
      <c r="R2334" s="263" t="str">
        <f>IFERROR(__xludf.DUMMYFUNCTION("IF(ISBLANK(A2334),"""",IFERROR(IF(OR(Q2334=""GPB"",Q2334=""ZAR""),IF(Q2334=Dashboard!$L$1,K2334,(K2334*GOOGLEFINANCE(""CURRENCY:""&amp;Q2334&amp;""""&amp;Dashboard!$L$1&amp;""""))/100),IF(Q2334=Dashboard!$L$1,K2334,K2334*GOOGLEFINANCE(""CURRENCY:""&amp;Q2334&amp;""""&amp;Dashboard!$"&amp;"L$1&amp;""""))),K2334))"),"")</f>
        <v/>
      </c>
      <c r="S2334" s="266" t="str">
        <f>IFERROR(__xludf.DUMMYFUNCTION("IF(ISBLANK(A2334),"""",IFERROR(IF(OR(Q2334=""GPB"",Q2334=""ZAR""),IF(Q2334=Dashboard!$L$1,M2334,(M2334*GOOGLEFINANCE(""CURRENCY:""&amp;Q2334&amp;""""&amp;Dashboard!$L$1&amp;""""))/100),IF(Q2334=Dashboard!$L$1,M2334,M2334*GOOGLEFINANCE(""CURRENCY:""&amp;Q2334&amp;""""&amp;Dashboard!$"&amp;"L$1&amp;""""))),M2334))"),"")</f>
        <v/>
      </c>
      <c r="T2334" s="264" t="str">
        <f t="shared" si="4"/>
        <v/>
      </c>
      <c r="U2334" s="264" t="str">
        <f t="shared" si="5"/>
        <v/>
      </c>
      <c r="V2334" s="264" t="str">
        <f t="shared" si="6"/>
        <v/>
      </c>
      <c r="W2334" s="267" t="str">
        <f t="shared" si="8"/>
        <v/>
      </c>
      <c r="X2334" s="264" t="str">
        <f t="shared" si="7"/>
        <v/>
      </c>
    </row>
    <row r="2335" ht="15.75" customHeight="1">
      <c r="A2335" s="258"/>
      <c r="B2335" s="258"/>
      <c r="C2335" s="269"/>
      <c r="D2335" s="258"/>
      <c r="E2335" s="258"/>
      <c r="F2335" s="258"/>
      <c r="G2335" s="258"/>
      <c r="H2335" s="271"/>
      <c r="I2335" s="258"/>
      <c r="J2335" s="272"/>
      <c r="K2335" s="260"/>
      <c r="L2335" s="261"/>
      <c r="M2335" s="262" t="str">
        <f t="shared" si="1"/>
        <v/>
      </c>
      <c r="N2335" s="263" t="str">
        <f t="shared" si="2"/>
        <v/>
      </c>
      <c r="O2335" s="264" t="str">
        <f t="shared" si="3"/>
        <v/>
      </c>
      <c r="P2335" s="265" t="str">
        <f>IFERROR(__xludf.DUMMYFUNCTION("IF(ISBLANK(A2335),"""",IFERROR(IF(H2335=""Sell"",VLOOKUP(9^99,FILTER({ROW(P$2:P2334),P$2:P2334},D$2:D2334=D2335),2),(VLOOKUP(9^99,FILTER({ROW(P$2:P2334),P$2:P2334},D$2:D2334=D2335),2)*VLOOKUP(9^99,FILTER({ROW(O$2:O2334),O$2:O2334},D$2:D2334=D2335),2)-N233"&amp;"5)/O2335),J2335))"),"")</f>
        <v/>
      </c>
      <c r="Q2335" s="264" t="str">
        <f>IFERROR(__xludf.DUMMYFUNCTION("IFERROR(IF(F2335=""Crypto"",B2335,(IF(ISBLANK(D2335),"""",IF(D2335=""Cash"",B2335,IF(GOOGLEFINANCE(D2335,""CURRENCY"")=""GBX"",""GBP"",GOOGLEFINANCE(D2335,""CURRENCY"")))))),B2335)"),"")</f>
        <v/>
      </c>
      <c r="R2335" s="263" t="str">
        <f>IFERROR(__xludf.DUMMYFUNCTION("IF(ISBLANK(A2335),"""",IFERROR(IF(OR(Q2335=""GPB"",Q2335=""ZAR""),IF(Q2335=Dashboard!$L$1,K2335,(K2335*GOOGLEFINANCE(""CURRENCY:""&amp;Q2335&amp;""""&amp;Dashboard!$L$1&amp;""""))/100),IF(Q2335=Dashboard!$L$1,K2335,K2335*GOOGLEFINANCE(""CURRENCY:""&amp;Q2335&amp;""""&amp;Dashboard!$"&amp;"L$1&amp;""""))),K2335))"),"")</f>
        <v/>
      </c>
      <c r="S2335" s="266" t="str">
        <f>IFERROR(__xludf.DUMMYFUNCTION("IF(ISBLANK(A2335),"""",IFERROR(IF(OR(Q2335=""GPB"",Q2335=""ZAR""),IF(Q2335=Dashboard!$L$1,M2335,(M2335*GOOGLEFINANCE(""CURRENCY:""&amp;Q2335&amp;""""&amp;Dashboard!$L$1&amp;""""))/100),IF(Q2335=Dashboard!$L$1,M2335,M2335*GOOGLEFINANCE(""CURRENCY:""&amp;Q2335&amp;""""&amp;Dashboard!$"&amp;"L$1&amp;""""))),M2335))"),"")</f>
        <v/>
      </c>
      <c r="T2335" s="264" t="str">
        <f t="shared" si="4"/>
        <v/>
      </c>
      <c r="U2335" s="264" t="str">
        <f t="shared" si="5"/>
        <v/>
      </c>
      <c r="V2335" s="264" t="str">
        <f t="shared" si="6"/>
        <v/>
      </c>
      <c r="W2335" s="267" t="str">
        <f t="shared" si="8"/>
        <v/>
      </c>
      <c r="X2335" s="264" t="str">
        <f t="shared" si="7"/>
        <v/>
      </c>
    </row>
    <row r="2336" ht="15.75" customHeight="1">
      <c r="A2336" s="258"/>
      <c r="B2336" s="258"/>
      <c r="C2336" s="269"/>
      <c r="D2336" s="258"/>
      <c r="E2336" s="258"/>
      <c r="F2336" s="258"/>
      <c r="G2336" s="258"/>
      <c r="H2336" s="271"/>
      <c r="I2336" s="258"/>
      <c r="J2336" s="272"/>
      <c r="K2336" s="260"/>
      <c r="L2336" s="261"/>
      <c r="M2336" s="262" t="str">
        <f t="shared" si="1"/>
        <v/>
      </c>
      <c r="N2336" s="263" t="str">
        <f t="shared" si="2"/>
        <v/>
      </c>
      <c r="O2336" s="264" t="str">
        <f t="shared" si="3"/>
        <v/>
      </c>
      <c r="P2336" s="265" t="str">
        <f>IFERROR(__xludf.DUMMYFUNCTION("IF(ISBLANK(A2336),"""",IFERROR(IF(H2336=""Sell"",VLOOKUP(9^99,FILTER({ROW(P$2:P2335),P$2:P2335},D$2:D2335=D2336),2),(VLOOKUP(9^99,FILTER({ROW(P$2:P2335),P$2:P2335},D$2:D2335=D2336),2)*VLOOKUP(9^99,FILTER({ROW(O$2:O2335),O$2:O2335},D$2:D2335=D2336),2)-N233"&amp;"6)/O2336),J2336))"),"")</f>
        <v/>
      </c>
      <c r="Q2336" s="264" t="str">
        <f>IFERROR(__xludf.DUMMYFUNCTION("IFERROR(IF(F2336=""Crypto"",B2336,(IF(ISBLANK(D2336),"""",IF(D2336=""Cash"",B2336,IF(GOOGLEFINANCE(D2336,""CURRENCY"")=""GBX"",""GBP"",GOOGLEFINANCE(D2336,""CURRENCY"")))))),B2336)"),"")</f>
        <v/>
      </c>
      <c r="R2336" s="263" t="str">
        <f>IFERROR(__xludf.DUMMYFUNCTION("IF(ISBLANK(A2336),"""",IFERROR(IF(OR(Q2336=""GPB"",Q2336=""ZAR""),IF(Q2336=Dashboard!$L$1,K2336,(K2336*GOOGLEFINANCE(""CURRENCY:""&amp;Q2336&amp;""""&amp;Dashboard!$L$1&amp;""""))/100),IF(Q2336=Dashboard!$L$1,K2336,K2336*GOOGLEFINANCE(""CURRENCY:""&amp;Q2336&amp;""""&amp;Dashboard!$"&amp;"L$1&amp;""""))),K2336))"),"")</f>
        <v/>
      </c>
      <c r="S2336" s="266" t="str">
        <f>IFERROR(__xludf.DUMMYFUNCTION("IF(ISBLANK(A2336),"""",IFERROR(IF(OR(Q2336=""GPB"",Q2336=""ZAR""),IF(Q2336=Dashboard!$L$1,M2336,(M2336*GOOGLEFINANCE(""CURRENCY:""&amp;Q2336&amp;""""&amp;Dashboard!$L$1&amp;""""))/100),IF(Q2336=Dashboard!$L$1,M2336,M2336*GOOGLEFINANCE(""CURRENCY:""&amp;Q2336&amp;""""&amp;Dashboard!$"&amp;"L$1&amp;""""))),M2336))"),"")</f>
        <v/>
      </c>
      <c r="T2336" s="264" t="str">
        <f t="shared" si="4"/>
        <v/>
      </c>
      <c r="U2336" s="264" t="str">
        <f t="shared" si="5"/>
        <v/>
      </c>
      <c r="V2336" s="264" t="str">
        <f t="shared" si="6"/>
        <v/>
      </c>
      <c r="W2336" s="267" t="str">
        <f t="shared" si="8"/>
        <v/>
      </c>
      <c r="X2336" s="264" t="str">
        <f t="shared" si="7"/>
        <v/>
      </c>
    </row>
    <row r="2337" ht="15.75" customHeight="1">
      <c r="A2337" s="258"/>
      <c r="B2337" s="258"/>
      <c r="C2337" s="269"/>
      <c r="D2337" s="258"/>
      <c r="E2337" s="258"/>
      <c r="F2337" s="258"/>
      <c r="G2337" s="258"/>
      <c r="H2337" s="271"/>
      <c r="I2337" s="258"/>
      <c r="J2337" s="272"/>
      <c r="K2337" s="260"/>
      <c r="L2337" s="261"/>
      <c r="M2337" s="262" t="str">
        <f t="shared" si="1"/>
        <v/>
      </c>
      <c r="N2337" s="263" t="str">
        <f t="shared" si="2"/>
        <v/>
      </c>
      <c r="O2337" s="264" t="str">
        <f t="shared" si="3"/>
        <v/>
      </c>
      <c r="P2337" s="265" t="str">
        <f>IFERROR(__xludf.DUMMYFUNCTION("IF(ISBLANK(A2337),"""",IFERROR(IF(H2337=""Sell"",VLOOKUP(9^99,FILTER({ROW(P$2:P2336),P$2:P2336},D$2:D2336=D2337),2),(VLOOKUP(9^99,FILTER({ROW(P$2:P2336),P$2:P2336},D$2:D2336=D2337),2)*VLOOKUP(9^99,FILTER({ROW(O$2:O2336),O$2:O2336},D$2:D2336=D2337),2)-N233"&amp;"7)/O2337),J2337))"),"")</f>
        <v/>
      </c>
      <c r="Q2337" s="264" t="str">
        <f>IFERROR(__xludf.DUMMYFUNCTION("IFERROR(IF(F2337=""Crypto"",B2337,(IF(ISBLANK(D2337),"""",IF(D2337=""Cash"",B2337,IF(GOOGLEFINANCE(D2337,""CURRENCY"")=""GBX"",""GBP"",GOOGLEFINANCE(D2337,""CURRENCY"")))))),B2337)"),"")</f>
        <v/>
      </c>
      <c r="R2337" s="263" t="str">
        <f>IFERROR(__xludf.DUMMYFUNCTION("IF(ISBLANK(A2337),"""",IFERROR(IF(OR(Q2337=""GPB"",Q2337=""ZAR""),IF(Q2337=Dashboard!$L$1,K2337,(K2337*GOOGLEFINANCE(""CURRENCY:""&amp;Q2337&amp;""""&amp;Dashboard!$L$1&amp;""""))/100),IF(Q2337=Dashboard!$L$1,K2337,K2337*GOOGLEFINANCE(""CURRENCY:""&amp;Q2337&amp;""""&amp;Dashboard!$"&amp;"L$1&amp;""""))),K2337))"),"")</f>
        <v/>
      </c>
      <c r="S2337" s="266" t="str">
        <f>IFERROR(__xludf.DUMMYFUNCTION("IF(ISBLANK(A2337),"""",IFERROR(IF(OR(Q2337=""GPB"",Q2337=""ZAR""),IF(Q2337=Dashboard!$L$1,M2337,(M2337*GOOGLEFINANCE(""CURRENCY:""&amp;Q2337&amp;""""&amp;Dashboard!$L$1&amp;""""))/100),IF(Q2337=Dashboard!$L$1,M2337,M2337*GOOGLEFINANCE(""CURRENCY:""&amp;Q2337&amp;""""&amp;Dashboard!$"&amp;"L$1&amp;""""))),M2337))"),"")</f>
        <v/>
      </c>
      <c r="T2337" s="264" t="str">
        <f t="shared" si="4"/>
        <v/>
      </c>
      <c r="U2337" s="264" t="str">
        <f t="shared" si="5"/>
        <v/>
      </c>
      <c r="V2337" s="264" t="str">
        <f t="shared" si="6"/>
        <v/>
      </c>
      <c r="W2337" s="267" t="str">
        <f t="shared" si="8"/>
        <v/>
      </c>
      <c r="X2337" s="264" t="str">
        <f t="shared" si="7"/>
        <v/>
      </c>
    </row>
    <row r="2338" ht="15.75" customHeight="1">
      <c r="A2338" s="258"/>
      <c r="B2338" s="258"/>
      <c r="C2338" s="269"/>
      <c r="D2338" s="258"/>
      <c r="E2338" s="258"/>
      <c r="F2338" s="258"/>
      <c r="G2338" s="258"/>
      <c r="H2338" s="271"/>
      <c r="I2338" s="258"/>
      <c r="J2338" s="272"/>
      <c r="K2338" s="260"/>
      <c r="L2338" s="261"/>
      <c r="M2338" s="262" t="str">
        <f t="shared" si="1"/>
        <v/>
      </c>
      <c r="N2338" s="263" t="str">
        <f t="shared" si="2"/>
        <v/>
      </c>
      <c r="O2338" s="264" t="str">
        <f t="shared" si="3"/>
        <v/>
      </c>
      <c r="P2338" s="265" t="str">
        <f>IFERROR(__xludf.DUMMYFUNCTION("IF(ISBLANK(A2338),"""",IFERROR(IF(H2338=""Sell"",VLOOKUP(9^99,FILTER({ROW(P$2:P2337),P$2:P2337},D$2:D2337=D2338),2),(VLOOKUP(9^99,FILTER({ROW(P$2:P2337),P$2:P2337},D$2:D2337=D2338),2)*VLOOKUP(9^99,FILTER({ROW(O$2:O2337),O$2:O2337},D$2:D2337=D2338),2)-N233"&amp;"8)/O2338),J2338))"),"")</f>
        <v/>
      </c>
      <c r="Q2338" s="264" t="str">
        <f>IFERROR(__xludf.DUMMYFUNCTION("IFERROR(IF(F2338=""Crypto"",B2338,(IF(ISBLANK(D2338),"""",IF(D2338=""Cash"",B2338,IF(GOOGLEFINANCE(D2338,""CURRENCY"")=""GBX"",""GBP"",GOOGLEFINANCE(D2338,""CURRENCY"")))))),B2338)"),"")</f>
        <v/>
      </c>
      <c r="R2338" s="263" t="str">
        <f>IFERROR(__xludf.DUMMYFUNCTION("IF(ISBLANK(A2338),"""",IFERROR(IF(OR(Q2338=""GPB"",Q2338=""ZAR""),IF(Q2338=Dashboard!$L$1,K2338,(K2338*GOOGLEFINANCE(""CURRENCY:""&amp;Q2338&amp;""""&amp;Dashboard!$L$1&amp;""""))/100),IF(Q2338=Dashboard!$L$1,K2338,K2338*GOOGLEFINANCE(""CURRENCY:""&amp;Q2338&amp;""""&amp;Dashboard!$"&amp;"L$1&amp;""""))),K2338))"),"")</f>
        <v/>
      </c>
      <c r="S2338" s="266" t="str">
        <f>IFERROR(__xludf.DUMMYFUNCTION("IF(ISBLANK(A2338),"""",IFERROR(IF(OR(Q2338=""GPB"",Q2338=""ZAR""),IF(Q2338=Dashboard!$L$1,M2338,(M2338*GOOGLEFINANCE(""CURRENCY:""&amp;Q2338&amp;""""&amp;Dashboard!$L$1&amp;""""))/100),IF(Q2338=Dashboard!$L$1,M2338,M2338*GOOGLEFINANCE(""CURRENCY:""&amp;Q2338&amp;""""&amp;Dashboard!$"&amp;"L$1&amp;""""))),M2338))"),"")</f>
        <v/>
      </c>
      <c r="T2338" s="264" t="str">
        <f t="shared" si="4"/>
        <v/>
      </c>
      <c r="U2338" s="264" t="str">
        <f t="shared" si="5"/>
        <v/>
      </c>
      <c r="V2338" s="264" t="str">
        <f t="shared" si="6"/>
        <v/>
      </c>
      <c r="W2338" s="267" t="str">
        <f t="shared" si="8"/>
        <v/>
      </c>
      <c r="X2338" s="264" t="str">
        <f t="shared" si="7"/>
        <v/>
      </c>
    </row>
    <row r="2339" ht="15.75" customHeight="1">
      <c r="A2339" s="258"/>
      <c r="B2339" s="258"/>
      <c r="C2339" s="269"/>
      <c r="D2339" s="258"/>
      <c r="E2339" s="258"/>
      <c r="F2339" s="258"/>
      <c r="G2339" s="258"/>
      <c r="H2339" s="271"/>
      <c r="I2339" s="258"/>
      <c r="J2339" s="272"/>
      <c r="K2339" s="260"/>
      <c r="L2339" s="261"/>
      <c r="M2339" s="262" t="str">
        <f t="shared" si="1"/>
        <v/>
      </c>
      <c r="N2339" s="263" t="str">
        <f t="shared" si="2"/>
        <v/>
      </c>
      <c r="O2339" s="264" t="str">
        <f t="shared" si="3"/>
        <v/>
      </c>
      <c r="P2339" s="265" t="str">
        <f>IFERROR(__xludf.DUMMYFUNCTION("IF(ISBLANK(A2339),"""",IFERROR(IF(H2339=""Sell"",VLOOKUP(9^99,FILTER({ROW(P$2:P2338),P$2:P2338},D$2:D2338=D2339),2),(VLOOKUP(9^99,FILTER({ROW(P$2:P2338),P$2:P2338},D$2:D2338=D2339),2)*VLOOKUP(9^99,FILTER({ROW(O$2:O2338),O$2:O2338},D$2:D2338=D2339),2)-N233"&amp;"9)/O2339),J2339))"),"")</f>
        <v/>
      </c>
      <c r="Q2339" s="264" t="str">
        <f>IFERROR(__xludf.DUMMYFUNCTION("IFERROR(IF(F2339=""Crypto"",B2339,(IF(ISBLANK(D2339),"""",IF(D2339=""Cash"",B2339,IF(GOOGLEFINANCE(D2339,""CURRENCY"")=""GBX"",""GBP"",GOOGLEFINANCE(D2339,""CURRENCY"")))))),B2339)"),"")</f>
        <v/>
      </c>
      <c r="R2339" s="263" t="str">
        <f>IFERROR(__xludf.DUMMYFUNCTION("IF(ISBLANK(A2339),"""",IFERROR(IF(OR(Q2339=""GPB"",Q2339=""ZAR""),IF(Q2339=Dashboard!$L$1,K2339,(K2339*GOOGLEFINANCE(""CURRENCY:""&amp;Q2339&amp;""""&amp;Dashboard!$L$1&amp;""""))/100),IF(Q2339=Dashboard!$L$1,K2339,K2339*GOOGLEFINANCE(""CURRENCY:""&amp;Q2339&amp;""""&amp;Dashboard!$"&amp;"L$1&amp;""""))),K2339))"),"")</f>
        <v/>
      </c>
      <c r="S2339" s="266" t="str">
        <f>IFERROR(__xludf.DUMMYFUNCTION("IF(ISBLANK(A2339),"""",IFERROR(IF(OR(Q2339=""GPB"",Q2339=""ZAR""),IF(Q2339=Dashboard!$L$1,M2339,(M2339*GOOGLEFINANCE(""CURRENCY:""&amp;Q2339&amp;""""&amp;Dashboard!$L$1&amp;""""))/100),IF(Q2339=Dashboard!$L$1,M2339,M2339*GOOGLEFINANCE(""CURRENCY:""&amp;Q2339&amp;""""&amp;Dashboard!$"&amp;"L$1&amp;""""))),M2339))"),"")</f>
        <v/>
      </c>
      <c r="T2339" s="264" t="str">
        <f t="shared" si="4"/>
        <v/>
      </c>
      <c r="U2339" s="264" t="str">
        <f t="shared" si="5"/>
        <v/>
      </c>
      <c r="V2339" s="264" t="str">
        <f t="shared" si="6"/>
        <v/>
      </c>
      <c r="W2339" s="267" t="str">
        <f t="shared" si="8"/>
        <v/>
      </c>
      <c r="X2339" s="264" t="str">
        <f t="shared" si="7"/>
        <v/>
      </c>
    </row>
    <row r="2340" ht="15.75" customHeight="1">
      <c r="A2340" s="258"/>
      <c r="B2340" s="258"/>
      <c r="C2340" s="269"/>
      <c r="D2340" s="258"/>
      <c r="E2340" s="258"/>
      <c r="F2340" s="258"/>
      <c r="G2340" s="258"/>
      <c r="H2340" s="271"/>
      <c r="I2340" s="258"/>
      <c r="J2340" s="272"/>
      <c r="K2340" s="260"/>
      <c r="L2340" s="261"/>
      <c r="M2340" s="262" t="str">
        <f t="shared" si="1"/>
        <v/>
      </c>
      <c r="N2340" s="263" t="str">
        <f t="shared" si="2"/>
        <v/>
      </c>
      <c r="O2340" s="264" t="str">
        <f t="shared" si="3"/>
        <v/>
      </c>
      <c r="P2340" s="265" t="str">
        <f>IFERROR(__xludf.DUMMYFUNCTION("IF(ISBLANK(A2340),"""",IFERROR(IF(H2340=""Sell"",VLOOKUP(9^99,FILTER({ROW(P$2:P2339),P$2:P2339},D$2:D2339=D2340),2),(VLOOKUP(9^99,FILTER({ROW(P$2:P2339),P$2:P2339},D$2:D2339=D2340),2)*VLOOKUP(9^99,FILTER({ROW(O$2:O2339),O$2:O2339},D$2:D2339=D2340),2)-N234"&amp;"0)/O2340),J2340))"),"")</f>
        <v/>
      </c>
      <c r="Q2340" s="264" t="str">
        <f>IFERROR(__xludf.DUMMYFUNCTION("IFERROR(IF(F2340=""Crypto"",B2340,(IF(ISBLANK(D2340),"""",IF(D2340=""Cash"",B2340,IF(GOOGLEFINANCE(D2340,""CURRENCY"")=""GBX"",""GBP"",GOOGLEFINANCE(D2340,""CURRENCY"")))))),B2340)"),"")</f>
        <v/>
      </c>
      <c r="R2340" s="263" t="str">
        <f>IFERROR(__xludf.DUMMYFUNCTION("IF(ISBLANK(A2340),"""",IFERROR(IF(OR(Q2340=""GPB"",Q2340=""ZAR""),IF(Q2340=Dashboard!$L$1,K2340,(K2340*GOOGLEFINANCE(""CURRENCY:""&amp;Q2340&amp;""""&amp;Dashboard!$L$1&amp;""""))/100),IF(Q2340=Dashboard!$L$1,K2340,K2340*GOOGLEFINANCE(""CURRENCY:""&amp;Q2340&amp;""""&amp;Dashboard!$"&amp;"L$1&amp;""""))),K2340))"),"")</f>
        <v/>
      </c>
      <c r="S2340" s="266" t="str">
        <f>IFERROR(__xludf.DUMMYFUNCTION("IF(ISBLANK(A2340),"""",IFERROR(IF(OR(Q2340=""GPB"",Q2340=""ZAR""),IF(Q2340=Dashboard!$L$1,M2340,(M2340*GOOGLEFINANCE(""CURRENCY:""&amp;Q2340&amp;""""&amp;Dashboard!$L$1&amp;""""))/100),IF(Q2340=Dashboard!$L$1,M2340,M2340*GOOGLEFINANCE(""CURRENCY:""&amp;Q2340&amp;""""&amp;Dashboard!$"&amp;"L$1&amp;""""))),M2340))"),"")</f>
        <v/>
      </c>
      <c r="T2340" s="264" t="str">
        <f t="shared" si="4"/>
        <v/>
      </c>
      <c r="U2340" s="264" t="str">
        <f t="shared" si="5"/>
        <v/>
      </c>
      <c r="V2340" s="264" t="str">
        <f t="shared" si="6"/>
        <v/>
      </c>
      <c r="W2340" s="267" t="str">
        <f t="shared" si="8"/>
        <v/>
      </c>
      <c r="X2340" s="264" t="str">
        <f t="shared" si="7"/>
        <v/>
      </c>
    </row>
    <row r="2341" ht="15.75" customHeight="1">
      <c r="A2341" s="258"/>
      <c r="B2341" s="258"/>
      <c r="C2341" s="269"/>
      <c r="D2341" s="258"/>
      <c r="E2341" s="258"/>
      <c r="F2341" s="258"/>
      <c r="G2341" s="258"/>
      <c r="H2341" s="271"/>
      <c r="I2341" s="258"/>
      <c r="J2341" s="272"/>
      <c r="K2341" s="260"/>
      <c r="L2341" s="261"/>
      <c r="M2341" s="262" t="str">
        <f t="shared" si="1"/>
        <v/>
      </c>
      <c r="N2341" s="263" t="str">
        <f t="shared" si="2"/>
        <v/>
      </c>
      <c r="O2341" s="264" t="str">
        <f t="shared" si="3"/>
        <v/>
      </c>
      <c r="P2341" s="265" t="str">
        <f>IFERROR(__xludf.DUMMYFUNCTION("IF(ISBLANK(A2341),"""",IFERROR(IF(H2341=""Sell"",VLOOKUP(9^99,FILTER({ROW(P$2:P2340),P$2:P2340},D$2:D2340=D2341),2),(VLOOKUP(9^99,FILTER({ROW(P$2:P2340),P$2:P2340},D$2:D2340=D2341),2)*VLOOKUP(9^99,FILTER({ROW(O$2:O2340),O$2:O2340},D$2:D2340=D2341),2)-N234"&amp;"1)/O2341),J2341))"),"")</f>
        <v/>
      </c>
      <c r="Q2341" s="264" t="str">
        <f>IFERROR(__xludf.DUMMYFUNCTION("IFERROR(IF(F2341=""Crypto"",B2341,(IF(ISBLANK(D2341),"""",IF(D2341=""Cash"",B2341,IF(GOOGLEFINANCE(D2341,""CURRENCY"")=""GBX"",""GBP"",GOOGLEFINANCE(D2341,""CURRENCY"")))))),B2341)"),"")</f>
        <v/>
      </c>
      <c r="R2341" s="263" t="str">
        <f>IFERROR(__xludf.DUMMYFUNCTION("IF(ISBLANK(A2341),"""",IFERROR(IF(OR(Q2341=""GPB"",Q2341=""ZAR""),IF(Q2341=Dashboard!$L$1,K2341,(K2341*GOOGLEFINANCE(""CURRENCY:""&amp;Q2341&amp;""""&amp;Dashboard!$L$1&amp;""""))/100),IF(Q2341=Dashboard!$L$1,K2341,K2341*GOOGLEFINANCE(""CURRENCY:""&amp;Q2341&amp;""""&amp;Dashboard!$"&amp;"L$1&amp;""""))),K2341))"),"")</f>
        <v/>
      </c>
      <c r="S2341" s="266" t="str">
        <f>IFERROR(__xludf.DUMMYFUNCTION("IF(ISBLANK(A2341),"""",IFERROR(IF(OR(Q2341=""GPB"",Q2341=""ZAR""),IF(Q2341=Dashboard!$L$1,M2341,(M2341*GOOGLEFINANCE(""CURRENCY:""&amp;Q2341&amp;""""&amp;Dashboard!$L$1&amp;""""))/100),IF(Q2341=Dashboard!$L$1,M2341,M2341*GOOGLEFINANCE(""CURRENCY:""&amp;Q2341&amp;""""&amp;Dashboard!$"&amp;"L$1&amp;""""))),M2341))"),"")</f>
        <v/>
      </c>
      <c r="T2341" s="264" t="str">
        <f t="shared" si="4"/>
        <v/>
      </c>
      <c r="U2341" s="264" t="str">
        <f t="shared" si="5"/>
        <v/>
      </c>
      <c r="V2341" s="264" t="str">
        <f t="shared" si="6"/>
        <v/>
      </c>
      <c r="W2341" s="267" t="str">
        <f t="shared" si="8"/>
        <v/>
      </c>
      <c r="X2341" s="264" t="str">
        <f t="shared" si="7"/>
        <v/>
      </c>
    </row>
    <row r="2342" ht="15.75" customHeight="1">
      <c r="A2342" s="258"/>
      <c r="B2342" s="258"/>
      <c r="C2342" s="269"/>
      <c r="D2342" s="258"/>
      <c r="E2342" s="258"/>
      <c r="F2342" s="258"/>
      <c r="G2342" s="258"/>
      <c r="H2342" s="271"/>
      <c r="I2342" s="258"/>
      <c r="J2342" s="272"/>
      <c r="K2342" s="260"/>
      <c r="L2342" s="261"/>
      <c r="M2342" s="262" t="str">
        <f t="shared" si="1"/>
        <v/>
      </c>
      <c r="N2342" s="263" t="str">
        <f t="shared" si="2"/>
        <v/>
      </c>
      <c r="O2342" s="264" t="str">
        <f t="shared" si="3"/>
        <v/>
      </c>
      <c r="P2342" s="265" t="str">
        <f>IFERROR(__xludf.DUMMYFUNCTION("IF(ISBLANK(A2342),"""",IFERROR(IF(H2342=""Sell"",VLOOKUP(9^99,FILTER({ROW(P$2:P2341),P$2:P2341},D$2:D2341=D2342),2),(VLOOKUP(9^99,FILTER({ROW(P$2:P2341),P$2:P2341},D$2:D2341=D2342),2)*VLOOKUP(9^99,FILTER({ROW(O$2:O2341),O$2:O2341},D$2:D2341=D2342),2)-N234"&amp;"2)/O2342),J2342))"),"")</f>
        <v/>
      </c>
      <c r="Q2342" s="264" t="str">
        <f>IFERROR(__xludf.DUMMYFUNCTION("IFERROR(IF(F2342=""Crypto"",B2342,(IF(ISBLANK(D2342),"""",IF(D2342=""Cash"",B2342,IF(GOOGLEFINANCE(D2342,""CURRENCY"")=""GBX"",""GBP"",GOOGLEFINANCE(D2342,""CURRENCY"")))))),B2342)"),"")</f>
        <v/>
      </c>
      <c r="R2342" s="263" t="str">
        <f>IFERROR(__xludf.DUMMYFUNCTION("IF(ISBLANK(A2342),"""",IFERROR(IF(OR(Q2342=""GPB"",Q2342=""ZAR""),IF(Q2342=Dashboard!$L$1,K2342,(K2342*GOOGLEFINANCE(""CURRENCY:""&amp;Q2342&amp;""""&amp;Dashboard!$L$1&amp;""""))/100),IF(Q2342=Dashboard!$L$1,K2342,K2342*GOOGLEFINANCE(""CURRENCY:""&amp;Q2342&amp;""""&amp;Dashboard!$"&amp;"L$1&amp;""""))),K2342))"),"")</f>
        <v/>
      </c>
      <c r="S2342" s="266" t="str">
        <f>IFERROR(__xludf.DUMMYFUNCTION("IF(ISBLANK(A2342),"""",IFERROR(IF(OR(Q2342=""GPB"",Q2342=""ZAR""),IF(Q2342=Dashboard!$L$1,M2342,(M2342*GOOGLEFINANCE(""CURRENCY:""&amp;Q2342&amp;""""&amp;Dashboard!$L$1&amp;""""))/100),IF(Q2342=Dashboard!$L$1,M2342,M2342*GOOGLEFINANCE(""CURRENCY:""&amp;Q2342&amp;""""&amp;Dashboard!$"&amp;"L$1&amp;""""))),M2342))"),"")</f>
        <v/>
      </c>
      <c r="T2342" s="264" t="str">
        <f t="shared" si="4"/>
        <v/>
      </c>
      <c r="U2342" s="264" t="str">
        <f t="shared" si="5"/>
        <v/>
      </c>
      <c r="V2342" s="264" t="str">
        <f t="shared" si="6"/>
        <v/>
      </c>
      <c r="W2342" s="267" t="str">
        <f t="shared" si="8"/>
        <v/>
      </c>
      <c r="X2342" s="264" t="str">
        <f t="shared" si="7"/>
        <v/>
      </c>
    </row>
    <row r="2343" ht="15.75" customHeight="1">
      <c r="A2343" s="258"/>
      <c r="B2343" s="258"/>
      <c r="C2343" s="269"/>
      <c r="D2343" s="258"/>
      <c r="E2343" s="258"/>
      <c r="F2343" s="258"/>
      <c r="G2343" s="258"/>
      <c r="H2343" s="271"/>
      <c r="I2343" s="258"/>
      <c r="J2343" s="272"/>
      <c r="K2343" s="260"/>
      <c r="L2343" s="261"/>
      <c r="M2343" s="262" t="str">
        <f t="shared" si="1"/>
        <v/>
      </c>
      <c r="N2343" s="263" t="str">
        <f t="shared" si="2"/>
        <v/>
      </c>
      <c r="O2343" s="264" t="str">
        <f t="shared" si="3"/>
        <v/>
      </c>
      <c r="P2343" s="265" t="str">
        <f>IFERROR(__xludf.DUMMYFUNCTION("IF(ISBLANK(A2343),"""",IFERROR(IF(H2343=""Sell"",VLOOKUP(9^99,FILTER({ROW(P$2:P2342),P$2:P2342},D$2:D2342=D2343),2),(VLOOKUP(9^99,FILTER({ROW(P$2:P2342),P$2:P2342},D$2:D2342=D2343),2)*VLOOKUP(9^99,FILTER({ROW(O$2:O2342),O$2:O2342},D$2:D2342=D2343),2)-N234"&amp;"3)/O2343),J2343))"),"")</f>
        <v/>
      </c>
      <c r="Q2343" s="264" t="str">
        <f>IFERROR(__xludf.DUMMYFUNCTION("IFERROR(IF(F2343=""Crypto"",B2343,(IF(ISBLANK(D2343),"""",IF(D2343=""Cash"",B2343,IF(GOOGLEFINANCE(D2343,""CURRENCY"")=""GBX"",""GBP"",GOOGLEFINANCE(D2343,""CURRENCY"")))))),B2343)"),"")</f>
        <v/>
      </c>
      <c r="R2343" s="263" t="str">
        <f>IFERROR(__xludf.DUMMYFUNCTION("IF(ISBLANK(A2343),"""",IFERROR(IF(OR(Q2343=""GPB"",Q2343=""ZAR""),IF(Q2343=Dashboard!$L$1,K2343,(K2343*GOOGLEFINANCE(""CURRENCY:""&amp;Q2343&amp;""""&amp;Dashboard!$L$1&amp;""""))/100),IF(Q2343=Dashboard!$L$1,K2343,K2343*GOOGLEFINANCE(""CURRENCY:""&amp;Q2343&amp;""""&amp;Dashboard!$"&amp;"L$1&amp;""""))),K2343))"),"")</f>
        <v/>
      </c>
      <c r="S2343" s="266" t="str">
        <f>IFERROR(__xludf.DUMMYFUNCTION("IF(ISBLANK(A2343),"""",IFERROR(IF(OR(Q2343=""GPB"",Q2343=""ZAR""),IF(Q2343=Dashboard!$L$1,M2343,(M2343*GOOGLEFINANCE(""CURRENCY:""&amp;Q2343&amp;""""&amp;Dashboard!$L$1&amp;""""))/100),IF(Q2343=Dashboard!$L$1,M2343,M2343*GOOGLEFINANCE(""CURRENCY:""&amp;Q2343&amp;""""&amp;Dashboard!$"&amp;"L$1&amp;""""))),M2343))"),"")</f>
        <v/>
      </c>
      <c r="T2343" s="264" t="str">
        <f t="shared" si="4"/>
        <v/>
      </c>
      <c r="U2343" s="264" t="str">
        <f t="shared" si="5"/>
        <v/>
      </c>
      <c r="V2343" s="264" t="str">
        <f t="shared" si="6"/>
        <v/>
      </c>
      <c r="W2343" s="267" t="str">
        <f t="shared" si="8"/>
        <v/>
      </c>
      <c r="X2343" s="264" t="str">
        <f t="shared" si="7"/>
        <v/>
      </c>
    </row>
    <row r="2344" ht="15.75" customHeight="1">
      <c r="A2344" s="258"/>
      <c r="B2344" s="258"/>
      <c r="C2344" s="269"/>
      <c r="D2344" s="258"/>
      <c r="E2344" s="258"/>
      <c r="F2344" s="258"/>
      <c r="G2344" s="258"/>
      <c r="H2344" s="271"/>
      <c r="I2344" s="258"/>
      <c r="J2344" s="272"/>
      <c r="K2344" s="260"/>
      <c r="L2344" s="261"/>
      <c r="M2344" s="262" t="str">
        <f t="shared" si="1"/>
        <v/>
      </c>
      <c r="N2344" s="263" t="str">
        <f t="shared" si="2"/>
        <v/>
      </c>
      <c r="O2344" s="264" t="str">
        <f t="shared" si="3"/>
        <v/>
      </c>
      <c r="P2344" s="265" t="str">
        <f>IFERROR(__xludf.DUMMYFUNCTION("IF(ISBLANK(A2344),"""",IFERROR(IF(H2344=""Sell"",VLOOKUP(9^99,FILTER({ROW(P$2:P2343),P$2:P2343},D$2:D2343=D2344),2),(VLOOKUP(9^99,FILTER({ROW(P$2:P2343),P$2:P2343},D$2:D2343=D2344),2)*VLOOKUP(9^99,FILTER({ROW(O$2:O2343),O$2:O2343},D$2:D2343=D2344),2)-N234"&amp;"4)/O2344),J2344))"),"")</f>
        <v/>
      </c>
      <c r="Q2344" s="264" t="str">
        <f>IFERROR(__xludf.DUMMYFUNCTION("IFERROR(IF(F2344=""Crypto"",B2344,(IF(ISBLANK(D2344),"""",IF(D2344=""Cash"",B2344,IF(GOOGLEFINANCE(D2344,""CURRENCY"")=""GBX"",""GBP"",GOOGLEFINANCE(D2344,""CURRENCY"")))))),B2344)"),"")</f>
        <v/>
      </c>
      <c r="R2344" s="263" t="str">
        <f>IFERROR(__xludf.DUMMYFUNCTION("IF(ISBLANK(A2344),"""",IFERROR(IF(OR(Q2344=""GPB"",Q2344=""ZAR""),IF(Q2344=Dashboard!$L$1,K2344,(K2344*GOOGLEFINANCE(""CURRENCY:""&amp;Q2344&amp;""""&amp;Dashboard!$L$1&amp;""""))/100),IF(Q2344=Dashboard!$L$1,K2344,K2344*GOOGLEFINANCE(""CURRENCY:""&amp;Q2344&amp;""""&amp;Dashboard!$"&amp;"L$1&amp;""""))),K2344))"),"")</f>
        <v/>
      </c>
      <c r="S2344" s="266" t="str">
        <f>IFERROR(__xludf.DUMMYFUNCTION("IF(ISBLANK(A2344),"""",IFERROR(IF(OR(Q2344=""GPB"",Q2344=""ZAR""),IF(Q2344=Dashboard!$L$1,M2344,(M2344*GOOGLEFINANCE(""CURRENCY:""&amp;Q2344&amp;""""&amp;Dashboard!$L$1&amp;""""))/100),IF(Q2344=Dashboard!$L$1,M2344,M2344*GOOGLEFINANCE(""CURRENCY:""&amp;Q2344&amp;""""&amp;Dashboard!$"&amp;"L$1&amp;""""))),M2344))"),"")</f>
        <v/>
      </c>
      <c r="T2344" s="264" t="str">
        <f t="shared" si="4"/>
        <v/>
      </c>
      <c r="U2344" s="264" t="str">
        <f t="shared" si="5"/>
        <v/>
      </c>
      <c r="V2344" s="264" t="str">
        <f t="shared" si="6"/>
        <v/>
      </c>
      <c r="W2344" s="267" t="str">
        <f t="shared" si="8"/>
        <v/>
      </c>
      <c r="X2344" s="264" t="str">
        <f t="shared" si="7"/>
        <v/>
      </c>
    </row>
    <row r="2345" ht="15.75" customHeight="1">
      <c r="A2345" s="258"/>
      <c r="B2345" s="258"/>
      <c r="C2345" s="269"/>
      <c r="D2345" s="258"/>
      <c r="E2345" s="258"/>
      <c r="F2345" s="258"/>
      <c r="G2345" s="258"/>
      <c r="H2345" s="271"/>
      <c r="I2345" s="258"/>
      <c r="J2345" s="272"/>
      <c r="K2345" s="260"/>
      <c r="L2345" s="261"/>
      <c r="M2345" s="262" t="str">
        <f t="shared" si="1"/>
        <v/>
      </c>
      <c r="N2345" s="263" t="str">
        <f t="shared" si="2"/>
        <v/>
      </c>
      <c r="O2345" s="264" t="str">
        <f t="shared" si="3"/>
        <v/>
      </c>
      <c r="P2345" s="265" t="str">
        <f>IFERROR(__xludf.DUMMYFUNCTION("IF(ISBLANK(A2345),"""",IFERROR(IF(H2345=""Sell"",VLOOKUP(9^99,FILTER({ROW(P$2:P2344),P$2:P2344},D$2:D2344=D2345),2),(VLOOKUP(9^99,FILTER({ROW(P$2:P2344),P$2:P2344},D$2:D2344=D2345),2)*VLOOKUP(9^99,FILTER({ROW(O$2:O2344),O$2:O2344},D$2:D2344=D2345),2)-N234"&amp;"5)/O2345),J2345))"),"")</f>
        <v/>
      </c>
      <c r="Q2345" s="264" t="str">
        <f>IFERROR(__xludf.DUMMYFUNCTION("IFERROR(IF(F2345=""Crypto"",B2345,(IF(ISBLANK(D2345),"""",IF(D2345=""Cash"",B2345,IF(GOOGLEFINANCE(D2345,""CURRENCY"")=""GBX"",""GBP"",GOOGLEFINANCE(D2345,""CURRENCY"")))))),B2345)"),"")</f>
        <v/>
      </c>
      <c r="R2345" s="263" t="str">
        <f>IFERROR(__xludf.DUMMYFUNCTION("IF(ISBLANK(A2345),"""",IFERROR(IF(OR(Q2345=""GPB"",Q2345=""ZAR""),IF(Q2345=Dashboard!$L$1,K2345,(K2345*GOOGLEFINANCE(""CURRENCY:""&amp;Q2345&amp;""""&amp;Dashboard!$L$1&amp;""""))/100),IF(Q2345=Dashboard!$L$1,K2345,K2345*GOOGLEFINANCE(""CURRENCY:""&amp;Q2345&amp;""""&amp;Dashboard!$"&amp;"L$1&amp;""""))),K2345))"),"")</f>
        <v/>
      </c>
      <c r="S2345" s="266" t="str">
        <f>IFERROR(__xludf.DUMMYFUNCTION("IF(ISBLANK(A2345),"""",IFERROR(IF(OR(Q2345=""GPB"",Q2345=""ZAR""),IF(Q2345=Dashboard!$L$1,M2345,(M2345*GOOGLEFINANCE(""CURRENCY:""&amp;Q2345&amp;""""&amp;Dashboard!$L$1&amp;""""))/100),IF(Q2345=Dashboard!$L$1,M2345,M2345*GOOGLEFINANCE(""CURRENCY:""&amp;Q2345&amp;""""&amp;Dashboard!$"&amp;"L$1&amp;""""))),M2345))"),"")</f>
        <v/>
      </c>
      <c r="T2345" s="264" t="str">
        <f t="shared" si="4"/>
        <v/>
      </c>
      <c r="U2345" s="264" t="str">
        <f t="shared" si="5"/>
        <v/>
      </c>
      <c r="V2345" s="264" t="str">
        <f t="shared" si="6"/>
        <v/>
      </c>
      <c r="W2345" s="267" t="str">
        <f t="shared" si="8"/>
        <v/>
      </c>
      <c r="X2345" s="264" t="str">
        <f t="shared" si="7"/>
        <v/>
      </c>
    </row>
    <row r="2346" ht="15.75" customHeight="1">
      <c r="A2346" s="258"/>
      <c r="B2346" s="258"/>
      <c r="C2346" s="269"/>
      <c r="D2346" s="258"/>
      <c r="E2346" s="258"/>
      <c r="F2346" s="258"/>
      <c r="G2346" s="258"/>
      <c r="H2346" s="271"/>
      <c r="I2346" s="258"/>
      <c r="J2346" s="272"/>
      <c r="K2346" s="260"/>
      <c r="L2346" s="261"/>
      <c r="M2346" s="262" t="str">
        <f t="shared" si="1"/>
        <v/>
      </c>
      <c r="N2346" s="263" t="str">
        <f t="shared" si="2"/>
        <v/>
      </c>
      <c r="O2346" s="264" t="str">
        <f t="shared" si="3"/>
        <v/>
      </c>
      <c r="P2346" s="265" t="str">
        <f>IFERROR(__xludf.DUMMYFUNCTION("IF(ISBLANK(A2346),"""",IFERROR(IF(H2346=""Sell"",VLOOKUP(9^99,FILTER({ROW(P$2:P2345),P$2:P2345},D$2:D2345=D2346),2),(VLOOKUP(9^99,FILTER({ROW(P$2:P2345),P$2:P2345},D$2:D2345=D2346),2)*VLOOKUP(9^99,FILTER({ROW(O$2:O2345),O$2:O2345},D$2:D2345=D2346),2)-N234"&amp;"6)/O2346),J2346))"),"")</f>
        <v/>
      </c>
      <c r="Q2346" s="264" t="str">
        <f>IFERROR(__xludf.DUMMYFUNCTION("IFERROR(IF(F2346=""Crypto"",B2346,(IF(ISBLANK(D2346),"""",IF(D2346=""Cash"",B2346,IF(GOOGLEFINANCE(D2346,""CURRENCY"")=""GBX"",""GBP"",GOOGLEFINANCE(D2346,""CURRENCY"")))))),B2346)"),"")</f>
        <v/>
      </c>
      <c r="R2346" s="263" t="str">
        <f>IFERROR(__xludf.DUMMYFUNCTION("IF(ISBLANK(A2346),"""",IFERROR(IF(OR(Q2346=""GPB"",Q2346=""ZAR""),IF(Q2346=Dashboard!$L$1,K2346,(K2346*GOOGLEFINANCE(""CURRENCY:""&amp;Q2346&amp;""""&amp;Dashboard!$L$1&amp;""""))/100),IF(Q2346=Dashboard!$L$1,K2346,K2346*GOOGLEFINANCE(""CURRENCY:""&amp;Q2346&amp;""""&amp;Dashboard!$"&amp;"L$1&amp;""""))),K2346))"),"")</f>
        <v/>
      </c>
      <c r="S2346" s="266" t="str">
        <f>IFERROR(__xludf.DUMMYFUNCTION("IF(ISBLANK(A2346),"""",IFERROR(IF(OR(Q2346=""GPB"",Q2346=""ZAR""),IF(Q2346=Dashboard!$L$1,M2346,(M2346*GOOGLEFINANCE(""CURRENCY:""&amp;Q2346&amp;""""&amp;Dashboard!$L$1&amp;""""))/100),IF(Q2346=Dashboard!$L$1,M2346,M2346*GOOGLEFINANCE(""CURRENCY:""&amp;Q2346&amp;""""&amp;Dashboard!$"&amp;"L$1&amp;""""))),M2346))"),"")</f>
        <v/>
      </c>
      <c r="T2346" s="264" t="str">
        <f t="shared" si="4"/>
        <v/>
      </c>
      <c r="U2346" s="264" t="str">
        <f t="shared" si="5"/>
        <v/>
      </c>
      <c r="V2346" s="264" t="str">
        <f t="shared" si="6"/>
        <v/>
      </c>
      <c r="W2346" s="267" t="str">
        <f t="shared" si="8"/>
        <v/>
      </c>
      <c r="X2346" s="264" t="str">
        <f t="shared" si="7"/>
        <v/>
      </c>
    </row>
    <row r="2347" ht="15.75" customHeight="1">
      <c r="A2347" s="258"/>
      <c r="B2347" s="258"/>
      <c r="C2347" s="269"/>
      <c r="D2347" s="258"/>
      <c r="E2347" s="258"/>
      <c r="F2347" s="258"/>
      <c r="G2347" s="258"/>
      <c r="H2347" s="271"/>
      <c r="I2347" s="258"/>
      <c r="J2347" s="272"/>
      <c r="K2347" s="260"/>
      <c r="L2347" s="261"/>
      <c r="M2347" s="262" t="str">
        <f t="shared" si="1"/>
        <v/>
      </c>
      <c r="N2347" s="263" t="str">
        <f t="shared" si="2"/>
        <v/>
      </c>
      <c r="O2347" s="264" t="str">
        <f t="shared" si="3"/>
        <v/>
      </c>
      <c r="P2347" s="265" t="str">
        <f>IFERROR(__xludf.DUMMYFUNCTION("IF(ISBLANK(A2347),"""",IFERROR(IF(H2347=""Sell"",VLOOKUP(9^99,FILTER({ROW(P$2:P2346),P$2:P2346},D$2:D2346=D2347),2),(VLOOKUP(9^99,FILTER({ROW(P$2:P2346),P$2:P2346},D$2:D2346=D2347),2)*VLOOKUP(9^99,FILTER({ROW(O$2:O2346),O$2:O2346},D$2:D2346=D2347),2)-N234"&amp;"7)/O2347),J2347))"),"")</f>
        <v/>
      </c>
      <c r="Q2347" s="264" t="str">
        <f>IFERROR(__xludf.DUMMYFUNCTION("IFERROR(IF(F2347=""Crypto"",B2347,(IF(ISBLANK(D2347),"""",IF(D2347=""Cash"",B2347,IF(GOOGLEFINANCE(D2347,""CURRENCY"")=""GBX"",""GBP"",GOOGLEFINANCE(D2347,""CURRENCY"")))))),B2347)"),"")</f>
        <v/>
      </c>
      <c r="R2347" s="263" t="str">
        <f>IFERROR(__xludf.DUMMYFUNCTION("IF(ISBLANK(A2347),"""",IFERROR(IF(OR(Q2347=""GPB"",Q2347=""ZAR""),IF(Q2347=Dashboard!$L$1,K2347,(K2347*GOOGLEFINANCE(""CURRENCY:""&amp;Q2347&amp;""""&amp;Dashboard!$L$1&amp;""""))/100),IF(Q2347=Dashboard!$L$1,K2347,K2347*GOOGLEFINANCE(""CURRENCY:""&amp;Q2347&amp;""""&amp;Dashboard!$"&amp;"L$1&amp;""""))),K2347))"),"")</f>
        <v/>
      </c>
      <c r="S2347" s="266" t="str">
        <f>IFERROR(__xludf.DUMMYFUNCTION("IF(ISBLANK(A2347),"""",IFERROR(IF(OR(Q2347=""GPB"",Q2347=""ZAR""),IF(Q2347=Dashboard!$L$1,M2347,(M2347*GOOGLEFINANCE(""CURRENCY:""&amp;Q2347&amp;""""&amp;Dashboard!$L$1&amp;""""))/100),IF(Q2347=Dashboard!$L$1,M2347,M2347*GOOGLEFINANCE(""CURRENCY:""&amp;Q2347&amp;""""&amp;Dashboard!$"&amp;"L$1&amp;""""))),M2347))"),"")</f>
        <v/>
      </c>
      <c r="T2347" s="264" t="str">
        <f t="shared" si="4"/>
        <v/>
      </c>
      <c r="U2347" s="264" t="str">
        <f t="shared" si="5"/>
        <v/>
      </c>
      <c r="V2347" s="264" t="str">
        <f t="shared" si="6"/>
        <v/>
      </c>
      <c r="W2347" s="267" t="str">
        <f t="shared" si="8"/>
        <v/>
      </c>
      <c r="X2347" s="264" t="str">
        <f t="shared" si="7"/>
        <v/>
      </c>
    </row>
    <row r="2348" ht="15.75" customHeight="1">
      <c r="A2348" s="258"/>
      <c r="B2348" s="258"/>
      <c r="C2348" s="269"/>
      <c r="D2348" s="258"/>
      <c r="E2348" s="258"/>
      <c r="F2348" s="258"/>
      <c r="G2348" s="258"/>
      <c r="H2348" s="271"/>
      <c r="I2348" s="258"/>
      <c r="J2348" s="272"/>
      <c r="K2348" s="260"/>
      <c r="L2348" s="261"/>
      <c r="M2348" s="262" t="str">
        <f t="shared" si="1"/>
        <v/>
      </c>
      <c r="N2348" s="263" t="str">
        <f t="shared" si="2"/>
        <v/>
      </c>
      <c r="O2348" s="264" t="str">
        <f t="shared" si="3"/>
        <v/>
      </c>
      <c r="P2348" s="265" t="str">
        <f>IFERROR(__xludf.DUMMYFUNCTION("IF(ISBLANK(A2348),"""",IFERROR(IF(H2348=""Sell"",VLOOKUP(9^99,FILTER({ROW(P$2:P2347),P$2:P2347},D$2:D2347=D2348),2),(VLOOKUP(9^99,FILTER({ROW(P$2:P2347),P$2:P2347},D$2:D2347=D2348),2)*VLOOKUP(9^99,FILTER({ROW(O$2:O2347),O$2:O2347},D$2:D2347=D2348),2)-N234"&amp;"8)/O2348),J2348))"),"")</f>
        <v/>
      </c>
      <c r="Q2348" s="264" t="str">
        <f>IFERROR(__xludf.DUMMYFUNCTION("IFERROR(IF(F2348=""Crypto"",B2348,(IF(ISBLANK(D2348),"""",IF(D2348=""Cash"",B2348,IF(GOOGLEFINANCE(D2348,""CURRENCY"")=""GBX"",""GBP"",GOOGLEFINANCE(D2348,""CURRENCY"")))))),B2348)"),"")</f>
        <v/>
      </c>
      <c r="R2348" s="263" t="str">
        <f>IFERROR(__xludf.DUMMYFUNCTION("IF(ISBLANK(A2348),"""",IFERROR(IF(OR(Q2348=""GPB"",Q2348=""ZAR""),IF(Q2348=Dashboard!$L$1,K2348,(K2348*GOOGLEFINANCE(""CURRENCY:""&amp;Q2348&amp;""""&amp;Dashboard!$L$1&amp;""""))/100),IF(Q2348=Dashboard!$L$1,K2348,K2348*GOOGLEFINANCE(""CURRENCY:""&amp;Q2348&amp;""""&amp;Dashboard!$"&amp;"L$1&amp;""""))),K2348))"),"")</f>
        <v/>
      </c>
      <c r="S2348" s="266" t="str">
        <f>IFERROR(__xludf.DUMMYFUNCTION("IF(ISBLANK(A2348),"""",IFERROR(IF(OR(Q2348=""GPB"",Q2348=""ZAR""),IF(Q2348=Dashboard!$L$1,M2348,(M2348*GOOGLEFINANCE(""CURRENCY:""&amp;Q2348&amp;""""&amp;Dashboard!$L$1&amp;""""))/100),IF(Q2348=Dashboard!$L$1,M2348,M2348*GOOGLEFINANCE(""CURRENCY:""&amp;Q2348&amp;""""&amp;Dashboard!$"&amp;"L$1&amp;""""))),M2348))"),"")</f>
        <v/>
      </c>
      <c r="T2348" s="264" t="str">
        <f t="shared" si="4"/>
        <v/>
      </c>
      <c r="U2348" s="264" t="str">
        <f t="shared" si="5"/>
        <v/>
      </c>
      <c r="V2348" s="264" t="str">
        <f t="shared" si="6"/>
        <v/>
      </c>
      <c r="W2348" s="267" t="str">
        <f t="shared" si="8"/>
        <v/>
      </c>
      <c r="X2348" s="264" t="str">
        <f t="shared" si="7"/>
        <v/>
      </c>
    </row>
    <row r="2349" ht="15.75" customHeight="1">
      <c r="A2349" s="258"/>
      <c r="B2349" s="258"/>
      <c r="C2349" s="269"/>
      <c r="D2349" s="258"/>
      <c r="E2349" s="258"/>
      <c r="F2349" s="258"/>
      <c r="G2349" s="258"/>
      <c r="H2349" s="271"/>
      <c r="I2349" s="258"/>
      <c r="J2349" s="272"/>
      <c r="K2349" s="260"/>
      <c r="L2349" s="261"/>
      <c r="M2349" s="262" t="str">
        <f t="shared" si="1"/>
        <v/>
      </c>
      <c r="N2349" s="263" t="str">
        <f t="shared" si="2"/>
        <v/>
      </c>
      <c r="O2349" s="264" t="str">
        <f t="shared" si="3"/>
        <v/>
      </c>
      <c r="P2349" s="265" t="str">
        <f>IFERROR(__xludf.DUMMYFUNCTION("IF(ISBLANK(A2349),"""",IFERROR(IF(H2349=""Sell"",VLOOKUP(9^99,FILTER({ROW(P$2:P2348),P$2:P2348},D$2:D2348=D2349),2),(VLOOKUP(9^99,FILTER({ROW(P$2:P2348),P$2:P2348},D$2:D2348=D2349),2)*VLOOKUP(9^99,FILTER({ROW(O$2:O2348),O$2:O2348},D$2:D2348=D2349),2)-N234"&amp;"9)/O2349),J2349))"),"")</f>
        <v/>
      </c>
      <c r="Q2349" s="264" t="str">
        <f>IFERROR(__xludf.DUMMYFUNCTION("IFERROR(IF(F2349=""Crypto"",B2349,(IF(ISBLANK(D2349),"""",IF(D2349=""Cash"",B2349,IF(GOOGLEFINANCE(D2349,""CURRENCY"")=""GBX"",""GBP"",GOOGLEFINANCE(D2349,""CURRENCY"")))))),B2349)"),"")</f>
        <v/>
      </c>
      <c r="R2349" s="263" t="str">
        <f>IFERROR(__xludf.DUMMYFUNCTION("IF(ISBLANK(A2349),"""",IFERROR(IF(OR(Q2349=""GPB"",Q2349=""ZAR""),IF(Q2349=Dashboard!$L$1,K2349,(K2349*GOOGLEFINANCE(""CURRENCY:""&amp;Q2349&amp;""""&amp;Dashboard!$L$1&amp;""""))/100),IF(Q2349=Dashboard!$L$1,K2349,K2349*GOOGLEFINANCE(""CURRENCY:""&amp;Q2349&amp;""""&amp;Dashboard!$"&amp;"L$1&amp;""""))),K2349))"),"")</f>
        <v/>
      </c>
      <c r="S2349" s="266" t="str">
        <f>IFERROR(__xludf.DUMMYFUNCTION("IF(ISBLANK(A2349),"""",IFERROR(IF(OR(Q2349=""GPB"",Q2349=""ZAR""),IF(Q2349=Dashboard!$L$1,M2349,(M2349*GOOGLEFINANCE(""CURRENCY:""&amp;Q2349&amp;""""&amp;Dashboard!$L$1&amp;""""))/100),IF(Q2349=Dashboard!$L$1,M2349,M2349*GOOGLEFINANCE(""CURRENCY:""&amp;Q2349&amp;""""&amp;Dashboard!$"&amp;"L$1&amp;""""))),M2349))"),"")</f>
        <v/>
      </c>
      <c r="T2349" s="264" t="str">
        <f t="shared" si="4"/>
        <v/>
      </c>
      <c r="U2349" s="264" t="str">
        <f t="shared" si="5"/>
        <v/>
      </c>
      <c r="V2349" s="264" t="str">
        <f t="shared" si="6"/>
        <v/>
      </c>
      <c r="W2349" s="267" t="str">
        <f t="shared" si="8"/>
        <v/>
      </c>
      <c r="X2349" s="264" t="str">
        <f t="shared" si="7"/>
        <v/>
      </c>
    </row>
    <row r="2350" ht="15.75" customHeight="1">
      <c r="A2350" s="258"/>
      <c r="B2350" s="258"/>
      <c r="C2350" s="269"/>
      <c r="D2350" s="258"/>
      <c r="E2350" s="258"/>
      <c r="F2350" s="258"/>
      <c r="G2350" s="258"/>
      <c r="H2350" s="271"/>
      <c r="I2350" s="258"/>
      <c r="J2350" s="272"/>
      <c r="K2350" s="260"/>
      <c r="L2350" s="261"/>
      <c r="M2350" s="262" t="str">
        <f t="shared" si="1"/>
        <v/>
      </c>
      <c r="N2350" s="263" t="str">
        <f t="shared" si="2"/>
        <v/>
      </c>
      <c r="O2350" s="264" t="str">
        <f t="shared" si="3"/>
        <v/>
      </c>
      <c r="P2350" s="265" t="str">
        <f>IFERROR(__xludf.DUMMYFUNCTION("IF(ISBLANK(A2350),"""",IFERROR(IF(H2350=""Sell"",VLOOKUP(9^99,FILTER({ROW(P$2:P2349),P$2:P2349},D$2:D2349=D2350),2),(VLOOKUP(9^99,FILTER({ROW(P$2:P2349),P$2:P2349},D$2:D2349=D2350),2)*VLOOKUP(9^99,FILTER({ROW(O$2:O2349),O$2:O2349},D$2:D2349=D2350),2)-N235"&amp;"0)/O2350),J2350))"),"")</f>
        <v/>
      </c>
      <c r="Q2350" s="264" t="str">
        <f>IFERROR(__xludf.DUMMYFUNCTION("IFERROR(IF(F2350=""Crypto"",B2350,(IF(ISBLANK(D2350),"""",IF(D2350=""Cash"",B2350,IF(GOOGLEFINANCE(D2350,""CURRENCY"")=""GBX"",""GBP"",GOOGLEFINANCE(D2350,""CURRENCY"")))))),B2350)"),"")</f>
        <v/>
      </c>
      <c r="R2350" s="263" t="str">
        <f>IFERROR(__xludf.DUMMYFUNCTION("IF(ISBLANK(A2350),"""",IFERROR(IF(OR(Q2350=""GPB"",Q2350=""ZAR""),IF(Q2350=Dashboard!$L$1,K2350,(K2350*GOOGLEFINANCE(""CURRENCY:""&amp;Q2350&amp;""""&amp;Dashboard!$L$1&amp;""""))/100),IF(Q2350=Dashboard!$L$1,K2350,K2350*GOOGLEFINANCE(""CURRENCY:""&amp;Q2350&amp;""""&amp;Dashboard!$"&amp;"L$1&amp;""""))),K2350))"),"")</f>
        <v/>
      </c>
      <c r="S2350" s="266" t="str">
        <f>IFERROR(__xludf.DUMMYFUNCTION("IF(ISBLANK(A2350),"""",IFERROR(IF(OR(Q2350=""GPB"",Q2350=""ZAR""),IF(Q2350=Dashboard!$L$1,M2350,(M2350*GOOGLEFINANCE(""CURRENCY:""&amp;Q2350&amp;""""&amp;Dashboard!$L$1&amp;""""))/100),IF(Q2350=Dashboard!$L$1,M2350,M2350*GOOGLEFINANCE(""CURRENCY:""&amp;Q2350&amp;""""&amp;Dashboard!$"&amp;"L$1&amp;""""))),M2350))"),"")</f>
        <v/>
      </c>
      <c r="T2350" s="264" t="str">
        <f t="shared" si="4"/>
        <v/>
      </c>
      <c r="U2350" s="264" t="str">
        <f t="shared" si="5"/>
        <v/>
      </c>
      <c r="V2350" s="264" t="str">
        <f t="shared" si="6"/>
        <v/>
      </c>
      <c r="W2350" s="267" t="str">
        <f t="shared" si="8"/>
        <v/>
      </c>
      <c r="X2350" s="264" t="str">
        <f t="shared" si="7"/>
        <v/>
      </c>
    </row>
    <row r="2351" ht="15.75" customHeight="1">
      <c r="A2351" s="258"/>
      <c r="B2351" s="258"/>
      <c r="C2351" s="269"/>
      <c r="D2351" s="258"/>
      <c r="E2351" s="258"/>
      <c r="F2351" s="258"/>
      <c r="G2351" s="258"/>
      <c r="H2351" s="271"/>
      <c r="I2351" s="258"/>
      <c r="J2351" s="272"/>
      <c r="K2351" s="260"/>
      <c r="L2351" s="261"/>
      <c r="M2351" s="262" t="str">
        <f t="shared" si="1"/>
        <v/>
      </c>
      <c r="N2351" s="263" t="str">
        <f t="shared" si="2"/>
        <v/>
      </c>
      <c r="O2351" s="264" t="str">
        <f t="shared" si="3"/>
        <v/>
      </c>
      <c r="P2351" s="265" t="str">
        <f>IFERROR(__xludf.DUMMYFUNCTION("IF(ISBLANK(A2351),"""",IFERROR(IF(H2351=""Sell"",VLOOKUP(9^99,FILTER({ROW(P$2:P2350),P$2:P2350},D$2:D2350=D2351),2),(VLOOKUP(9^99,FILTER({ROW(P$2:P2350),P$2:P2350},D$2:D2350=D2351),2)*VLOOKUP(9^99,FILTER({ROW(O$2:O2350),O$2:O2350},D$2:D2350=D2351),2)-N235"&amp;"1)/O2351),J2351))"),"")</f>
        <v/>
      </c>
      <c r="Q2351" s="264" t="str">
        <f>IFERROR(__xludf.DUMMYFUNCTION("IFERROR(IF(F2351=""Crypto"",B2351,(IF(ISBLANK(D2351),"""",IF(D2351=""Cash"",B2351,IF(GOOGLEFINANCE(D2351,""CURRENCY"")=""GBX"",""GBP"",GOOGLEFINANCE(D2351,""CURRENCY"")))))),B2351)"),"")</f>
        <v/>
      </c>
      <c r="R2351" s="263" t="str">
        <f>IFERROR(__xludf.DUMMYFUNCTION("IF(ISBLANK(A2351),"""",IFERROR(IF(OR(Q2351=""GPB"",Q2351=""ZAR""),IF(Q2351=Dashboard!$L$1,K2351,(K2351*GOOGLEFINANCE(""CURRENCY:""&amp;Q2351&amp;""""&amp;Dashboard!$L$1&amp;""""))/100),IF(Q2351=Dashboard!$L$1,K2351,K2351*GOOGLEFINANCE(""CURRENCY:""&amp;Q2351&amp;""""&amp;Dashboard!$"&amp;"L$1&amp;""""))),K2351))"),"")</f>
        <v/>
      </c>
      <c r="S2351" s="266" t="str">
        <f>IFERROR(__xludf.DUMMYFUNCTION("IF(ISBLANK(A2351),"""",IFERROR(IF(OR(Q2351=""GPB"",Q2351=""ZAR""),IF(Q2351=Dashboard!$L$1,M2351,(M2351*GOOGLEFINANCE(""CURRENCY:""&amp;Q2351&amp;""""&amp;Dashboard!$L$1&amp;""""))/100),IF(Q2351=Dashboard!$L$1,M2351,M2351*GOOGLEFINANCE(""CURRENCY:""&amp;Q2351&amp;""""&amp;Dashboard!$"&amp;"L$1&amp;""""))),M2351))"),"")</f>
        <v/>
      </c>
      <c r="T2351" s="264" t="str">
        <f t="shared" si="4"/>
        <v/>
      </c>
      <c r="U2351" s="264" t="str">
        <f t="shared" si="5"/>
        <v/>
      </c>
      <c r="V2351" s="264" t="str">
        <f t="shared" si="6"/>
        <v/>
      </c>
      <c r="W2351" s="267" t="str">
        <f t="shared" si="8"/>
        <v/>
      </c>
      <c r="X2351" s="264" t="str">
        <f t="shared" si="7"/>
        <v/>
      </c>
    </row>
    <row r="2352" ht="15.75" customHeight="1">
      <c r="A2352" s="258"/>
      <c r="B2352" s="258"/>
      <c r="C2352" s="269"/>
      <c r="D2352" s="258"/>
      <c r="E2352" s="258"/>
      <c r="F2352" s="258"/>
      <c r="G2352" s="258"/>
      <c r="H2352" s="271"/>
      <c r="I2352" s="258"/>
      <c r="J2352" s="272"/>
      <c r="K2352" s="260"/>
      <c r="L2352" s="261"/>
      <c r="M2352" s="262" t="str">
        <f t="shared" si="1"/>
        <v/>
      </c>
      <c r="N2352" s="263" t="str">
        <f t="shared" si="2"/>
        <v/>
      </c>
      <c r="O2352" s="264" t="str">
        <f t="shared" si="3"/>
        <v/>
      </c>
      <c r="P2352" s="265" t="str">
        <f>IFERROR(__xludf.DUMMYFUNCTION("IF(ISBLANK(A2352),"""",IFERROR(IF(H2352=""Sell"",VLOOKUP(9^99,FILTER({ROW(P$2:P2351),P$2:P2351},D$2:D2351=D2352),2),(VLOOKUP(9^99,FILTER({ROW(P$2:P2351),P$2:P2351},D$2:D2351=D2352),2)*VLOOKUP(9^99,FILTER({ROW(O$2:O2351),O$2:O2351},D$2:D2351=D2352),2)-N235"&amp;"2)/O2352),J2352))"),"")</f>
        <v/>
      </c>
      <c r="Q2352" s="264" t="str">
        <f>IFERROR(__xludf.DUMMYFUNCTION("IFERROR(IF(F2352=""Crypto"",B2352,(IF(ISBLANK(D2352),"""",IF(D2352=""Cash"",B2352,IF(GOOGLEFINANCE(D2352,""CURRENCY"")=""GBX"",""GBP"",GOOGLEFINANCE(D2352,""CURRENCY"")))))),B2352)"),"")</f>
        <v/>
      </c>
      <c r="R2352" s="263" t="str">
        <f>IFERROR(__xludf.DUMMYFUNCTION("IF(ISBLANK(A2352),"""",IFERROR(IF(OR(Q2352=""GPB"",Q2352=""ZAR""),IF(Q2352=Dashboard!$L$1,K2352,(K2352*GOOGLEFINANCE(""CURRENCY:""&amp;Q2352&amp;""""&amp;Dashboard!$L$1&amp;""""))/100),IF(Q2352=Dashboard!$L$1,K2352,K2352*GOOGLEFINANCE(""CURRENCY:""&amp;Q2352&amp;""""&amp;Dashboard!$"&amp;"L$1&amp;""""))),K2352))"),"")</f>
        <v/>
      </c>
      <c r="S2352" s="266" t="str">
        <f>IFERROR(__xludf.DUMMYFUNCTION("IF(ISBLANK(A2352),"""",IFERROR(IF(OR(Q2352=""GPB"",Q2352=""ZAR""),IF(Q2352=Dashboard!$L$1,M2352,(M2352*GOOGLEFINANCE(""CURRENCY:""&amp;Q2352&amp;""""&amp;Dashboard!$L$1&amp;""""))/100),IF(Q2352=Dashboard!$L$1,M2352,M2352*GOOGLEFINANCE(""CURRENCY:""&amp;Q2352&amp;""""&amp;Dashboard!$"&amp;"L$1&amp;""""))),M2352))"),"")</f>
        <v/>
      </c>
      <c r="T2352" s="264" t="str">
        <f t="shared" si="4"/>
        <v/>
      </c>
      <c r="U2352" s="264" t="str">
        <f t="shared" si="5"/>
        <v/>
      </c>
      <c r="V2352" s="264" t="str">
        <f t="shared" si="6"/>
        <v/>
      </c>
      <c r="W2352" s="267" t="str">
        <f t="shared" si="8"/>
        <v/>
      </c>
      <c r="X2352" s="264" t="str">
        <f t="shared" si="7"/>
        <v/>
      </c>
    </row>
    <row r="2353" ht="15.75" customHeight="1">
      <c r="A2353" s="258"/>
      <c r="B2353" s="258"/>
      <c r="C2353" s="269"/>
      <c r="D2353" s="258"/>
      <c r="E2353" s="258"/>
      <c r="F2353" s="258"/>
      <c r="G2353" s="258"/>
      <c r="H2353" s="271"/>
      <c r="I2353" s="258"/>
      <c r="J2353" s="272"/>
      <c r="K2353" s="260"/>
      <c r="L2353" s="261"/>
      <c r="M2353" s="262" t="str">
        <f t="shared" si="1"/>
        <v/>
      </c>
      <c r="N2353" s="263" t="str">
        <f t="shared" si="2"/>
        <v/>
      </c>
      <c r="O2353" s="264" t="str">
        <f t="shared" si="3"/>
        <v/>
      </c>
      <c r="P2353" s="265" t="str">
        <f>IFERROR(__xludf.DUMMYFUNCTION("IF(ISBLANK(A2353),"""",IFERROR(IF(H2353=""Sell"",VLOOKUP(9^99,FILTER({ROW(P$2:P2352),P$2:P2352},D$2:D2352=D2353),2),(VLOOKUP(9^99,FILTER({ROW(P$2:P2352),P$2:P2352},D$2:D2352=D2353),2)*VLOOKUP(9^99,FILTER({ROW(O$2:O2352),O$2:O2352},D$2:D2352=D2353),2)-N235"&amp;"3)/O2353),J2353))"),"")</f>
        <v/>
      </c>
      <c r="Q2353" s="264" t="str">
        <f>IFERROR(__xludf.DUMMYFUNCTION("IFERROR(IF(F2353=""Crypto"",B2353,(IF(ISBLANK(D2353),"""",IF(D2353=""Cash"",B2353,IF(GOOGLEFINANCE(D2353,""CURRENCY"")=""GBX"",""GBP"",GOOGLEFINANCE(D2353,""CURRENCY"")))))),B2353)"),"")</f>
        <v/>
      </c>
      <c r="R2353" s="263" t="str">
        <f>IFERROR(__xludf.DUMMYFUNCTION("IF(ISBLANK(A2353),"""",IFERROR(IF(OR(Q2353=""GPB"",Q2353=""ZAR""),IF(Q2353=Dashboard!$L$1,K2353,(K2353*GOOGLEFINANCE(""CURRENCY:""&amp;Q2353&amp;""""&amp;Dashboard!$L$1&amp;""""))/100),IF(Q2353=Dashboard!$L$1,K2353,K2353*GOOGLEFINANCE(""CURRENCY:""&amp;Q2353&amp;""""&amp;Dashboard!$"&amp;"L$1&amp;""""))),K2353))"),"")</f>
        <v/>
      </c>
      <c r="S2353" s="266" t="str">
        <f>IFERROR(__xludf.DUMMYFUNCTION("IF(ISBLANK(A2353),"""",IFERROR(IF(OR(Q2353=""GPB"",Q2353=""ZAR""),IF(Q2353=Dashboard!$L$1,M2353,(M2353*GOOGLEFINANCE(""CURRENCY:""&amp;Q2353&amp;""""&amp;Dashboard!$L$1&amp;""""))/100),IF(Q2353=Dashboard!$L$1,M2353,M2353*GOOGLEFINANCE(""CURRENCY:""&amp;Q2353&amp;""""&amp;Dashboard!$"&amp;"L$1&amp;""""))),M2353))"),"")</f>
        <v/>
      </c>
      <c r="T2353" s="264" t="str">
        <f t="shared" si="4"/>
        <v/>
      </c>
      <c r="U2353" s="264" t="str">
        <f t="shared" si="5"/>
        <v/>
      </c>
      <c r="V2353" s="264" t="str">
        <f t="shared" si="6"/>
        <v/>
      </c>
      <c r="W2353" s="267" t="str">
        <f t="shared" si="8"/>
        <v/>
      </c>
      <c r="X2353" s="264" t="str">
        <f t="shared" si="7"/>
        <v/>
      </c>
    </row>
    <row r="2354" ht="15.75" customHeight="1">
      <c r="A2354" s="258"/>
      <c r="B2354" s="258"/>
      <c r="C2354" s="269"/>
      <c r="D2354" s="258"/>
      <c r="E2354" s="258"/>
      <c r="F2354" s="258"/>
      <c r="G2354" s="258"/>
      <c r="H2354" s="271"/>
      <c r="I2354" s="258"/>
      <c r="J2354" s="272"/>
      <c r="K2354" s="260"/>
      <c r="L2354" s="261"/>
      <c r="M2354" s="262" t="str">
        <f t="shared" si="1"/>
        <v/>
      </c>
      <c r="N2354" s="263" t="str">
        <f t="shared" si="2"/>
        <v/>
      </c>
      <c r="O2354" s="264" t="str">
        <f t="shared" si="3"/>
        <v/>
      </c>
      <c r="P2354" s="265" t="str">
        <f>IFERROR(__xludf.DUMMYFUNCTION("IF(ISBLANK(A2354),"""",IFERROR(IF(H2354=""Sell"",VLOOKUP(9^99,FILTER({ROW(P$2:P2353),P$2:P2353},D$2:D2353=D2354),2),(VLOOKUP(9^99,FILTER({ROW(P$2:P2353),P$2:P2353},D$2:D2353=D2354),2)*VLOOKUP(9^99,FILTER({ROW(O$2:O2353),O$2:O2353},D$2:D2353=D2354),2)-N235"&amp;"4)/O2354),J2354))"),"")</f>
        <v/>
      </c>
      <c r="Q2354" s="264" t="str">
        <f>IFERROR(__xludf.DUMMYFUNCTION("IFERROR(IF(F2354=""Crypto"",B2354,(IF(ISBLANK(D2354),"""",IF(D2354=""Cash"",B2354,IF(GOOGLEFINANCE(D2354,""CURRENCY"")=""GBX"",""GBP"",GOOGLEFINANCE(D2354,""CURRENCY"")))))),B2354)"),"")</f>
        <v/>
      </c>
      <c r="R2354" s="263" t="str">
        <f>IFERROR(__xludf.DUMMYFUNCTION("IF(ISBLANK(A2354),"""",IFERROR(IF(OR(Q2354=""GPB"",Q2354=""ZAR""),IF(Q2354=Dashboard!$L$1,K2354,(K2354*GOOGLEFINANCE(""CURRENCY:""&amp;Q2354&amp;""""&amp;Dashboard!$L$1&amp;""""))/100),IF(Q2354=Dashboard!$L$1,K2354,K2354*GOOGLEFINANCE(""CURRENCY:""&amp;Q2354&amp;""""&amp;Dashboard!$"&amp;"L$1&amp;""""))),K2354))"),"")</f>
        <v/>
      </c>
      <c r="S2354" s="266" t="str">
        <f>IFERROR(__xludf.DUMMYFUNCTION("IF(ISBLANK(A2354),"""",IFERROR(IF(OR(Q2354=""GPB"",Q2354=""ZAR""),IF(Q2354=Dashboard!$L$1,M2354,(M2354*GOOGLEFINANCE(""CURRENCY:""&amp;Q2354&amp;""""&amp;Dashboard!$L$1&amp;""""))/100),IF(Q2354=Dashboard!$L$1,M2354,M2354*GOOGLEFINANCE(""CURRENCY:""&amp;Q2354&amp;""""&amp;Dashboard!$"&amp;"L$1&amp;""""))),M2354))"),"")</f>
        <v/>
      </c>
      <c r="T2354" s="264" t="str">
        <f t="shared" si="4"/>
        <v/>
      </c>
      <c r="U2354" s="264" t="str">
        <f t="shared" si="5"/>
        <v/>
      </c>
      <c r="V2354" s="264" t="str">
        <f t="shared" si="6"/>
        <v/>
      </c>
      <c r="W2354" s="267" t="str">
        <f t="shared" si="8"/>
        <v/>
      </c>
      <c r="X2354" s="264" t="str">
        <f t="shared" si="7"/>
        <v/>
      </c>
    </row>
    <row r="2355" ht="15.75" customHeight="1">
      <c r="A2355" s="258"/>
      <c r="B2355" s="258"/>
      <c r="C2355" s="269"/>
      <c r="D2355" s="258"/>
      <c r="E2355" s="258"/>
      <c r="F2355" s="258"/>
      <c r="G2355" s="258"/>
      <c r="H2355" s="271"/>
      <c r="I2355" s="258"/>
      <c r="J2355" s="272"/>
      <c r="K2355" s="260"/>
      <c r="L2355" s="261"/>
      <c r="M2355" s="262" t="str">
        <f t="shared" si="1"/>
        <v/>
      </c>
      <c r="N2355" s="263" t="str">
        <f t="shared" si="2"/>
        <v/>
      </c>
      <c r="O2355" s="264" t="str">
        <f t="shared" si="3"/>
        <v/>
      </c>
      <c r="P2355" s="265" t="str">
        <f>IFERROR(__xludf.DUMMYFUNCTION("IF(ISBLANK(A2355),"""",IFERROR(IF(H2355=""Sell"",VLOOKUP(9^99,FILTER({ROW(P$2:P2354),P$2:P2354},D$2:D2354=D2355),2),(VLOOKUP(9^99,FILTER({ROW(P$2:P2354),P$2:P2354},D$2:D2354=D2355),2)*VLOOKUP(9^99,FILTER({ROW(O$2:O2354),O$2:O2354},D$2:D2354=D2355),2)-N235"&amp;"5)/O2355),J2355))"),"")</f>
        <v/>
      </c>
      <c r="Q2355" s="264" t="str">
        <f>IFERROR(__xludf.DUMMYFUNCTION("IFERROR(IF(F2355=""Crypto"",B2355,(IF(ISBLANK(D2355),"""",IF(D2355=""Cash"",B2355,IF(GOOGLEFINANCE(D2355,""CURRENCY"")=""GBX"",""GBP"",GOOGLEFINANCE(D2355,""CURRENCY"")))))),B2355)"),"")</f>
        <v/>
      </c>
      <c r="R2355" s="263" t="str">
        <f>IFERROR(__xludf.DUMMYFUNCTION("IF(ISBLANK(A2355),"""",IFERROR(IF(OR(Q2355=""GPB"",Q2355=""ZAR""),IF(Q2355=Dashboard!$L$1,K2355,(K2355*GOOGLEFINANCE(""CURRENCY:""&amp;Q2355&amp;""""&amp;Dashboard!$L$1&amp;""""))/100),IF(Q2355=Dashboard!$L$1,K2355,K2355*GOOGLEFINANCE(""CURRENCY:""&amp;Q2355&amp;""""&amp;Dashboard!$"&amp;"L$1&amp;""""))),K2355))"),"")</f>
        <v/>
      </c>
      <c r="S2355" s="266" t="str">
        <f>IFERROR(__xludf.DUMMYFUNCTION("IF(ISBLANK(A2355),"""",IFERROR(IF(OR(Q2355=""GPB"",Q2355=""ZAR""),IF(Q2355=Dashboard!$L$1,M2355,(M2355*GOOGLEFINANCE(""CURRENCY:""&amp;Q2355&amp;""""&amp;Dashboard!$L$1&amp;""""))/100),IF(Q2355=Dashboard!$L$1,M2355,M2355*GOOGLEFINANCE(""CURRENCY:""&amp;Q2355&amp;""""&amp;Dashboard!$"&amp;"L$1&amp;""""))),M2355))"),"")</f>
        <v/>
      </c>
      <c r="T2355" s="264" t="str">
        <f t="shared" si="4"/>
        <v/>
      </c>
      <c r="U2355" s="264" t="str">
        <f t="shared" si="5"/>
        <v/>
      </c>
      <c r="V2355" s="264" t="str">
        <f t="shared" si="6"/>
        <v/>
      </c>
      <c r="W2355" s="267" t="str">
        <f t="shared" si="8"/>
        <v/>
      </c>
      <c r="X2355" s="264" t="str">
        <f t="shared" si="7"/>
        <v/>
      </c>
    </row>
    <row r="2356" ht="15.75" customHeight="1">
      <c r="A2356" s="258"/>
      <c r="B2356" s="258"/>
      <c r="C2356" s="269"/>
      <c r="D2356" s="258"/>
      <c r="E2356" s="258"/>
      <c r="F2356" s="258"/>
      <c r="G2356" s="258"/>
      <c r="H2356" s="271"/>
      <c r="I2356" s="258"/>
      <c r="J2356" s="272"/>
      <c r="K2356" s="260"/>
      <c r="L2356" s="261"/>
      <c r="M2356" s="262" t="str">
        <f t="shared" si="1"/>
        <v/>
      </c>
      <c r="N2356" s="263" t="str">
        <f t="shared" si="2"/>
        <v/>
      </c>
      <c r="O2356" s="264" t="str">
        <f t="shared" si="3"/>
        <v/>
      </c>
      <c r="P2356" s="265" t="str">
        <f>IFERROR(__xludf.DUMMYFUNCTION("IF(ISBLANK(A2356),"""",IFERROR(IF(H2356=""Sell"",VLOOKUP(9^99,FILTER({ROW(P$2:P2355),P$2:P2355},D$2:D2355=D2356),2),(VLOOKUP(9^99,FILTER({ROW(P$2:P2355),P$2:P2355},D$2:D2355=D2356),2)*VLOOKUP(9^99,FILTER({ROW(O$2:O2355),O$2:O2355},D$2:D2355=D2356),2)-N235"&amp;"6)/O2356),J2356))"),"")</f>
        <v/>
      </c>
      <c r="Q2356" s="264" t="str">
        <f>IFERROR(__xludf.DUMMYFUNCTION("IFERROR(IF(F2356=""Crypto"",B2356,(IF(ISBLANK(D2356),"""",IF(D2356=""Cash"",B2356,IF(GOOGLEFINANCE(D2356,""CURRENCY"")=""GBX"",""GBP"",GOOGLEFINANCE(D2356,""CURRENCY"")))))),B2356)"),"")</f>
        <v/>
      </c>
      <c r="R2356" s="263" t="str">
        <f>IFERROR(__xludf.DUMMYFUNCTION("IF(ISBLANK(A2356),"""",IFERROR(IF(OR(Q2356=""GPB"",Q2356=""ZAR""),IF(Q2356=Dashboard!$L$1,K2356,(K2356*GOOGLEFINANCE(""CURRENCY:""&amp;Q2356&amp;""""&amp;Dashboard!$L$1&amp;""""))/100),IF(Q2356=Dashboard!$L$1,K2356,K2356*GOOGLEFINANCE(""CURRENCY:""&amp;Q2356&amp;""""&amp;Dashboard!$"&amp;"L$1&amp;""""))),K2356))"),"")</f>
        <v/>
      </c>
      <c r="S2356" s="266" t="str">
        <f>IFERROR(__xludf.DUMMYFUNCTION("IF(ISBLANK(A2356),"""",IFERROR(IF(OR(Q2356=""GPB"",Q2356=""ZAR""),IF(Q2356=Dashboard!$L$1,M2356,(M2356*GOOGLEFINANCE(""CURRENCY:""&amp;Q2356&amp;""""&amp;Dashboard!$L$1&amp;""""))/100),IF(Q2356=Dashboard!$L$1,M2356,M2356*GOOGLEFINANCE(""CURRENCY:""&amp;Q2356&amp;""""&amp;Dashboard!$"&amp;"L$1&amp;""""))),M2356))"),"")</f>
        <v/>
      </c>
      <c r="T2356" s="264" t="str">
        <f t="shared" si="4"/>
        <v/>
      </c>
      <c r="U2356" s="264" t="str">
        <f t="shared" si="5"/>
        <v/>
      </c>
      <c r="V2356" s="264" t="str">
        <f t="shared" si="6"/>
        <v/>
      </c>
      <c r="W2356" s="267" t="str">
        <f t="shared" si="8"/>
        <v/>
      </c>
      <c r="X2356" s="264" t="str">
        <f t="shared" si="7"/>
        <v/>
      </c>
    </row>
    <row r="2357" ht="15.75" customHeight="1">
      <c r="A2357" s="258"/>
      <c r="B2357" s="258"/>
      <c r="C2357" s="269"/>
      <c r="D2357" s="258"/>
      <c r="E2357" s="258"/>
      <c r="F2357" s="258"/>
      <c r="G2357" s="258"/>
      <c r="H2357" s="271"/>
      <c r="I2357" s="258"/>
      <c r="J2357" s="272"/>
      <c r="K2357" s="260"/>
      <c r="L2357" s="261"/>
      <c r="M2357" s="262" t="str">
        <f t="shared" si="1"/>
        <v/>
      </c>
      <c r="N2357" s="263" t="str">
        <f t="shared" si="2"/>
        <v/>
      </c>
      <c r="O2357" s="264" t="str">
        <f t="shared" si="3"/>
        <v/>
      </c>
      <c r="P2357" s="265" t="str">
        <f>IFERROR(__xludf.DUMMYFUNCTION("IF(ISBLANK(A2357),"""",IFERROR(IF(H2357=""Sell"",VLOOKUP(9^99,FILTER({ROW(P$2:P2356),P$2:P2356},D$2:D2356=D2357),2),(VLOOKUP(9^99,FILTER({ROW(P$2:P2356),P$2:P2356},D$2:D2356=D2357),2)*VLOOKUP(9^99,FILTER({ROW(O$2:O2356),O$2:O2356},D$2:D2356=D2357),2)-N235"&amp;"7)/O2357),J2357))"),"")</f>
        <v/>
      </c>
      <c r="Q2357" s="264" t="str">
        <f>IFERROR(__xludf.DUMMYFUNCTION("IFERROR(IF(F2357=""Crypto"",B2357,(IF(ISBLANK(D2357),"""",IF(D2357=""Cash"",B2357,IF(GOOGLEFINANCE(D2357,""CURRENCY"")=""GBX"",""GBP"",GOOGLEFINANCE(D2357,""CURRENCY"")))))),B2357)"),"")</f>
        <v/>
      </c>
      <c r="R2357" s="263" t="str">
        <f>IFERROR(__xludf.DUMMYFUNCTION("IF(ISBLANK(A2357),"""",IFERROR(IF(OR(Q2357=""GPB"",Q2357=""ZAR""),IF(Q2357=Dashboard!$L$1,K2357,(K2357*GOOGLEFINANCE(""CURRENCY:""&amp;Q2357&amp;""""&amp;Dashboard!$L$1&amp;""""))/100),IF(Q2357=Dashboard!$L$1,K2357,K2357*GOOGLEFINANCE(""CURRENCY:""&amp;Q2357&amp;""""&amp;Dashboard!$"&amp;"L$1&amp;""""))),K2357))"),"")</f>
        <v/>
      </c>
      <c r="S2357" s="266" t="str">
        <f>IFERROR(__xludf.DUMMYFUNCTION("IF(ISBLANK(A2357),"""",IFERROR(IF(OR(Q2357=""GPB"",Q2357=""ZAR""),IF(Q2357=Dashboard!$L$1,M2357,(M2357*GOOGLEFINANCE(""CURRENCY:""&amp;Q2357&amp;""""&amp;Dashboard!$L$1&amp;""""))/100),IF(Q2357=Dashboard!$L$1,M2357,M2357*GOOGLEFINANCE(""CURRENCY:""&amp;Q2357&amp;""""&amp;Dashboard!$"&amp;"L$1&amp;""""))),M2357))"),"")</f>
        <v/>
      </c>
      <c r="T2357" s="264" t="str">
        <f t="shared" si="4"/>
        <v/>
      </c>
      <c r="U2357" s="264" t="str">
        <f t="shared" si="5"/>
        <v/>
      </c>
      <c r="V2357" s="264" t="str">
        <f t="shared" si="6"/>
        <v/>
      </c>
      <c r="W2357" s="267" t="str">
        <f t="shared" si="8"/>
        <v/>
      </c>
      <c r="X2357" s="264" t="str">
        <f t="shared" si="7"/>
        <v/>
      </c>
    </row>
    <row r="2358" ht="15.75" customHeight="1">
      <c r="A2358" s="258"/>
      <c r="B2358" s="258"/>
      <c r="C2358" s="269"/>
      <c r="D2358" s="258"/>
      <c r="E2358" s="258"/>
      <c r="F2358" s="258"/>
      <c r="G2358" s="258"/>
      <c r="H2358" s="271"/>
      <c r="I2358" s="258"/>
      <c r="J2358" s="272"/>
      <c r="K2358" s="260"/>
      <c r="L2358" s="261"/>
      <c r="M2358" s="262" t="str">
        <f t="shared" si="1"/>
        <v/>
      </c>
      <c r="N2358" s="263" t="str">
        <f t="shared" si="2"/>
        <v/>
      </c>
      <c r="O2358" s="264" t="str">
        <f t="shared" si="3"/>
        <v/>
      </c>
      <c r="P2358" s="265" t="str">
        <f>IFERROR(__xludf.DUMMYFUNCTION("IF(ISBLANK(A2358),"""",IFERROR(IF(H2358=""Sell"",VLOOKUP(9^99,FILTER({ROW(P$2:P2357),P$2:P2357},D$2:D2357=D2358),2),(VLOOKUP(9^99,FILTER({ROW(P$2:P2357),P$2:P2357},D$2:D2357=D2358),2)*VLOOKUP(9^99,FILTER({ROW(O$2:O2357),O$2:O2357},D$2:D2357=D2358),2)-N235"&amp;"8)/O2358),J2358))"),"")</f>
        <v/>
      </c>
      <c r="Q2358" s="264" t="str">
        <f>IFERROR(__xludf.DUMMYFUNCTION("IFERROR(IF(F2358=""Crypto"",B2358,(IF(ISBLANK(D2358),"""",IF(D2358=""Cash"",B2358,IF(GOOGLEFINANCE(D2358,""CURRENCY"")=""GBX"",""GBP"",GOOGLEFINANCE(D2358,""CURRENCY"")))))),B2358)"),"")</f>
        <v/>
      </c>
      <c r="R2358" s="263" t="str">
        <f>IFERROR(__xludf.DUMMYFUNCTION("IF(ISBLANK(A2358),"""",IFERROR(IF(OR(Q2358=""GPB"",Q2358=""ZAR""),IF(Q2358=Dashboard!$L$1,K2358,(K2358*GOOGLEFINANCE(""CURRENCY:""&amp;Q2358&amp;""""&amp;Dashboard!$L$1&amp;""""))/100),IF(Q2358=Dashboard!$L$1,K2358,K2358*GOOGLEFINANCE(""CURRENCY:""&amp;Q2358&amp;""""&amp;Dashboard!$"&amp;"L$1&amp;""""))),K2358))"),"")</f>
        <v/>
      </c>
      <c r="S2358" s="266" t="str">
        <f>IFERROR(__xludf.DUMMYFUNCTION("IF(ISBLANK(A2358),"""",IFERROR(IF(OR(Q2358=""GPB"",Q2358=""ZAR""),IF(Q2358=Dashboard!$L$1,M2358,(M2358*GOOGLEFINANCE(""CURRENCY:""&amp;Q2358&amp;""""&amp;Dashboard!$L$1&amp;""""))/100),IF(Q2358=Dashboard!$L$1,M2358,M2358*GOOGLEFINANCE(""CURRENCY:""&amp;Q2358&amp;""""&amp;Dashboard!$"&amp;"L$1&amp;""""))),M2358))"),"")</f>
        <v/>
      </c>
      <c r="T2358" s="264" t="str">
        <f t="shared" si="4"/>
        <v/>
      </c>
      <c r="U2358" s="264" t="str">
        <f t="shared" si="5"/>
        <v/>
      </c>
      <c r="V2358" s="264" t="str">
        <f t="shared" si="6"/>
        <v/>
      </c>
      <c r="W2358" s="267" t="str">
        <f t="shared" si="8"/>
        <v/>
      </c>
      <c r="X2358" s="264" t="str">
        <f t="shared" si="7"/>
        <v/>
      </c>
    </row>
    <row r="2359" ht="15.75" customHeight="1">
      <c r="A2359" s="258"/>
      <c r="B2359" s="258"/>
      <c r="C2359" s="269"/>
      <c r="D2359" s="258"/>
      <c r="E2359" s="258"/>
      <c r="F2359" s="258"/>
      <c r="G2359" s="258"/>
      <c r="H2359" s="271"/>
      <c r="I2359" s="258"/>
      <c r="J2359" s="272"/>
      <c r="K2359" s="260"/>
      <c r="L2359" s="261"/>
      <c r="M2359" s="262" t="str">
        <f t="shared" si="1"/>
        <v/>
      </c>
      <c r="N2359" s="263" t="str">
        <f t="shared" si="2"/>
        <v/>
      </c>
      <c r="O2359" s="264" t="str">
        <f t="shared" si="3"/>
        <v/>
      </c>
      <c r="P2359" s="265" t="str">
        <f>IFERROR(__xludf.DUMMYFUNCTION("IF(ISBLANK(A2359),"""",IFERROR(IF(H2359=""Sell"",VLOOKUP(9^99,FILTER({ROW(P$2:P2358),P$2:P2358},D$2:D2358=D2359),2),(VLOOKUP(9^99,FILTER({ROW(P$2:P2358),P$2:P2358},D$2:D2358=D2359),2)*VLOOKUP(9^99,FILTER({ROW(O$2:O2358),O$2:O2358},D$2:D2358=D2359),2)-N235"&amp;"9)/O2359),J2359))"),"")</f>
        <v/>
      </c>
      <c r="Q2359" s="264" t="str">
        <f>IFERROR(__xludf.DUMMYFUNCTION("IFERROR(IF(F2359=""Crypto"",B2359,(IF(ISBLANK(D2359),"""",IF(D2359=""Cash"",B2359,IF(GOOGLEFINANCE(D2359,""CURRENCY"")=""GBX"",""GBP"",GOOGLEFINANCE(D2359,""CURRENCY"")))))),B2359)"),"")</f>
        <v/>
      </c>
      <c r="R2359" s="263" t="str">
        <f>IFERROR(__xludf.DUMMYFUNCTION("IF(ISBLANK(A2359),"""",IFERROR(IF(OR(Q2359=""GPB"",Q2359=""ZAR""),IF(Q2359=Dashboard!$L$1,K2359,(K2359*GOOGLEFINANCE(""CURRENCY:""&amp;Q2359&amp;""""&amp;Dashboard!$L$1&amp;""""))/100),IF(Q2359=Dashboard!$L$1,K2359,K2359*GOOGLEFINANCE(""CURRENCY:""&amp;Q2359&amp;""""&amp;Dashboard!$"&amp;"L$1&amp;""""))),K2359))"),"")</f>
        <v/>
      </c>
      <c r="S2359" s="266" t="str">
        <f>IFERROR(__xludf.DUMMYFUNCTION("IF(ISBLANK(A2359),"""",IFERROR(IF(OR(Q2359=""GPB"",Q2359=""ZAR""),IF(Q2359=Dashboard!$L$1,M2359,(M2359*GOOGLEFINANCE(""CURRENCY:""&amp;Q2359&amp;""""&amp;Dashboard!$L$1&amp;""""))/100),IF(Q2359=Dashboard!$L$1,M2359,M2359*GOOGLEFINANCE(""CURRENCY:""&amp;Q2359&amp;""""&amp;Dashboard!$"&amp;"L$1&amp;""""))),M2359))"),"")</f>
        <v/>
      </c>
      <c r="T2359" s="264" t="str">
        <f t="shared" si="4"/>
        <v/>
      </c>
      <c r="U2359" s="264" t="str">
        <f t="shared" si="5"/>
        <v/>
      </c>
      <c r="V2359" s="264" t="str">
        <f t="shared" si="6"/>
        <v/>
      </c>
      <c r="W2359" s="267" t="str">
        <f t="shared" si="8"/>
        <v/>
      </c>
      <c r="X2359" s="264" t="str">
        <f t="shared" si="7"/>
        <v/>
      </c>
    </row>
    <row r="2360" ht="15.75" customHeight="1">
      <c r="A2360" s="258"/>
      <c r="B2360" s="258"/>
      <c r="C2360" s="269"/>
      <c r="D2360" s="258"/>
      <c r="E2360" s="258"/>
      <c r="F2360" s="258"/>
      <c r="G2360" s="258"/>
      <c r="H2360" s="271"/>
      <c r="I2360" s="258"/>
      <c r="J2360" s="272"/>
      <c r="K2360" s="260"/>
      <c r="L2360" s="261"/>
      <c r="M2360" s="262" t="str">
        <f t="shared" si="1"/>
        <v/>
      </c>
      <c r="N2360" s="263" t="str">
        <f t="shared" si="2"/>
        <v/>
      </c>
      <c r="O2360" s="264" t="str">
        <f t="shared" si="3"/>
        <v/>
      </c>
      <c r="P2360" s="265" t="str">
        <f>IFERROR(__xludf.DUMMYFUNCTION("IF(ISBLANK(A2360),"""",IFERROR(IF(H2360=""Sell"",VLOOKUP(9^99,FILTER({ROW(P$2:P2359),P$2:P2359},D$2:D2359=D2360),2),(VLOOKUP(9^99,FILTER({ROW(P$2:P2359),P$2:P2359},D$2:D2359=D2360),2)*VLOOKUP(9^99,FILTER({ROW(O$2:O2359),O$2:O2359},D$2:D2359=D2360),2)-N236"&amp;"0)/O2360),J2360))"),"")</f>
        <v/>
      </c>
      <c r="Q2360" s="264" t="str">
        <f>IFERROR(__xludf.DUMMYFUNCTION("IFERROR(IF(F2360=""Crypto"",B2360,(IF(ISBLANK(D2360),"""",IF(D2360=""Cash"",B2360,IF(GOOGLEFINANCE(D2360,""CURRENCY"")=""GBX"",""GBP"",GOOGLEFINANCE(D2360,""CURRENCY"")))))),B2360)"),"")</f>
        <v/>
      </c>
      <c r="R2360" s="263" t="str">
        <f>IFERROR(__xludf.DUMMYFUNCTION("IF(ISBLANK(A2360),"""",IFERROR(IF(OR(Q2360=""GPB"",Q2360=""ZAR""),IF(Q2360=Dashboard!$L$1,K2360,(K2360*GOOGLEFINANCE(""CURRENCY:""&amp;Q2360&amp;""""&amp;Dashboard!$L$1&amp;""""))/100),IF(Q2360=Dashboard!$L$1,K2360,K2360*GOOGLEFINANCE(""CURRENCY:""&amp;Q2360&amp;""""&amp;Dashboard!$"&amp;"L$1&amp;""""))),K2360))"),"")</f>
        <v/>
      </c>
      <c r="S2360" s="266" t="str">
        <f>IFERROR(__xludf.DUMMYFUNCTION("IF(ISBLANK(A2360),"""",IFERROR(IF(OR(Q2360=""GPB"",Q2360=""ZAR""),IF(Q2360=Dashboard!$L$1,M2360,(M2360*GOOGLEFINANCE(""CURRENCY:""&amp;Q2360&amp;""""&amp;Dashboard!$L$1&amp;""""))/100),IF(Q2360=Dashboard!$L$1,M2360,M2360*GOOGLEFINANCE(""CURRENCY:""&amp;Q2360&amp;""""&amp;Dashboard!$"&amp;"L$1&amp;""""))),M2360))"),"")</f>
        <v/>
      </c>
      <c r="T2360" s="264" t="str">
        <f t="shared" si="4"/>
        <v/>
      </c>
      <c r="U2360" s="264" t="str">
        <f t="shared" si="5"/>
        <v/>
      </c>
      <c r="V2360" s="264" t="str">
        <f t="shared" si="6"/>
        <v/>
      </c>
      <c r="W2360" s="267" t="str">
        <f t="shared" si="8"/>
        <v/>
      </c>
      <c r="X2360" s="264" t="str">
        <f t="shared" si="7"/>
        <v/>
      </c>
    </row>
    <row r="2361" ht="15.75" customHeight="1">
      <c r="A2361" s="258"/>
      <c r="B2361" s="258"/>
      <c r="C2361" s="269"/>
      <c r="D2361" s="258"/>
      <c r="E2361" s="258"/>
      <c r="F2361" s="258"/>
      <c r="G2361" s="258"/>
      <c r="H2361" s="271"/>
      <c r="I2361" s="258"/>
      <c r="J2361" s="272"/>
      <c r="K2361" s="260"/>
      <c r="L2361" s="261"/>
      <c r="M2361" s="262" t="str">
        <f t="shared" si="1"/>
        <v/>
      </c>
      <c r="N2361" s="263" t="str">
        <f t="shared" si="2"/>
        <v/>
      </c>
      <c r="O2361" s="264" t="str">
        <f t="shared" si="3"/>
        <v/>
      </c>
      <c r="P2361" s="265" t="str">
        <f>IFERROR(__xludf.DUMMYFUNCTION("IF(ISBLANK(A2361),"""",IFERROR(IF(H2361=""Sell"",VLOOKUP(9^99,FILTER({ROW(P$2:P2360),P$2:P2360},D$2:D2360=D2361),2),(VLOOKUP(9^99,FILTER({ROW(P$2:P2360),P$2:P2360},D$2:D2360=D2361),2)*VLOOKUP(9^99,FILTER({ROW(O$2:O2360),O$2:O2360},D$2:D2360=D2361),2)-N236"&amp;"1)/O2361),J2361))"),"")</f>
        <v/>
      </c>
      <c r="Q2361" s="264" t="str">
        <f>IFERROR(__xludf.DUMMYFUNCTION("IFERROR(IF(F2361=""Crypto"",B2361,(IF(ISBLANK(D2361),"""",IF(D2361=""Cash"",B2361,IF(GOOGLEFINANCE(D2361,""CURRENCY"")=""GBX"",""GBP"",GOOGLEFINANCE(D2361,""CURRENCY"")))))),B2361)"),"")</f>
        <v/>
      </c>
      <c r="R2361" s="263" t="str">
        <f>IFERROR(__xludf.DUMMYFUNCTION("IF(ISBLANK(A2361),"""",IFERROR(IF(OR(Q2361=""GPB"",Q2361=""ZAR""),IF(Q2361=Dashboard!$L$1,K2361,(K2361*GOOGLEFINANCE(""CURRENCY:""&amp;Q2361&amp;""""&amp;Dashboard!$L$1&amp;""""))/100),IF(Q2361=Dashboard!$L$1,K2361,K2361*GOOGLEFINANCE(""CURRENCY:""&amp;Q2361&amp;""""&amp;Dashboard!$"&amp;"L$1&amp;""""))),K2361))"),"")</f>
        <v/>
      </c>
      <c r="S2361" s="266" t="str">
        <f>IFERROR(__xludf.DUMMYFUNCTION("IF(ISBLANK(A2361),"""",IFERROR(IF(OR(Q2361=""GPB"",Q2361=""ZAR""),IF(Q2361=Dashboard!$L$1,M2361,(M2361*GOOGLEFINANCE(""CURRENCY:""&amp;Q2361&amp;""""&amp;Dashboard!$L$1&amp;""""))/100),IF(Q2361=Dashboard!$L$1,M2361,M2361*GOOGLEFINANCE(""CURRENCY:""&amp;Q2361&amp;""""&amp;Dashboard!$"&amp;"L$1&amp;""""))),M2361))"),"")</f>
        <v/>
      </c>
      <c r="T2361" s="264" t="str">
        <f t="shared" si="4"/>
        <v/>
      </c>
      <c r="U2361" s="264" t="str">
        <f t="shared" si="5"/>
        <v/>
      </c>
      <c r="V2361" s="264" t="str">
        <f t="shared" si="6"/>
        <v/>
      </c>
      <c r="W2361" s="267" t="str">
        <f t="shared" si="8"/>
        <v/>
      </c>
      <c r="X2361" s="264" t="str">
        <f t="shared" si="7"/>
        <v/>
      </c>
    </row>
    <row r="2362" ht="15.75" customHeight="1">
      <c r="A2362" s="258"/>
      <c r="B2362" s="258"/>
      <c r="C2362" s="269"/>
      <c r="D2362" s="258"/>
      <c r="E2362" s="258"/>
      <c r="F2362" s="258"/>
      <c r="G2362" s="258"/>
      <c r="H2362" s="271"/>
      <c r="I2362" s="258"/>
      <c r="J2362" s="272"/>
      <c r="K2362" s="260"/>
      <c r="L2362" s="261"/>
      <c r="M2362" s="262" t="str">
        <f t="shared" si="1"/>
        <v/>
      </c>
      <c r="N2362" s="263" t="str">
        <f t="shared" si="2"/>
        <v/>
      </c>
      <c r="O2362" s="264" t="str">
        <f t="shared" si="3"/>
        <v/>
      </c>
      <c r="P2362" s="265" t="str">
        <f>IFERROR(__xludf.DUMMYFUNCTION("IF(ISBLANK(A2362),"""",IFERROR(IF(H2362=""Sell"",VLOOKUP(9^99,FILTER({ROW(P$2:P2361),P$2:P2361},D$2:D2361=D2362),2),(VLOOKUP(9^99,FILTER({ROW(P$2:P2361),P$2:P2361},D$2:D2361=D2362),2)*VLOOKUP(9^99,FILTER({ROW(O$2:O2361),O$2:O2361},D$2:D2361=D2362),2)-N236"&amp;"2)/O2362),J2362))"),"")</f>
        <v/>
      </c>
      <c r="Q2362" s="264" t="str">
        <f>IFERROR(__xludf.DUMMYFUNCTION("IFERROR(IF(F2362=""Crypto"",B2362,(IF(ISBLANK(D2362),"""",IF(D2362=""Cash"",B2362,IF(GOOGLEFINANCE(D2362,""CURRENCY"")=""GBX"",""GBP"",GOOGLEFINANCE(D2362,""CURRENCY"")))))),B2362)"),"")</f>
        <v/>
      </c>
      <c r="R2362" s="263" t="str">
        <f>IFERROR(__xludf.DUMMYFUNCTION("IF(ISBLANK(A2362),"""",IFERROR(IF(OR(Q2362=""GPB"",Q2362=""ZAR""),IF(Q2362=Dashboard!$L$1,K2362,(K2362*GOOGLEFINANCE(""CURRENCY:""&amp;Q2362&amp;""""&amp;Dashboard!$L$1&amp;""""))/100),IF(Q2362=Dashboard!$L$1,K2362,K2362*GOOGLEFINANCE(""CURRENCY:""&amp;Q2362&amp;""""&amp;Dashboard!$"&amp;"L$1&amp;""""))),K2362))"),"")</f>
        <v/>
      </c>
      <c r="S2362" s="266" t="str">
        <f>IFERROR(__xludf.DUMMYFUNCTION("IF(ISBLANK(A2362),"""",IFERROR(IF(OR(Q2362=""GPB"",Q2362=""ZAR""),IF(Q2362=Dashboard!$L$1,M2362,(M2362*GOOGLEFINANCE(""CURRENCY:""&amp;Q2362&amp;""""&amp;Dashboard!$L$1&amp;""""))/100),IF(Q2362=Dashboard!$L$1,M2362,M2362*GOOGLEFINANCE(""CURRENCY:""&amp;Q2362&amp;""""&amp;Dashboard!$"&amp;"L$1&amp;""""))),M2362))"),"")</f>
        <v/>
      </c>
      <c r="T2362" s="264" t="str">
        <f t="shared" si="4"/>
        <v/>
      </c>
      <c r="U2362" s="264" t="str">
        <f t="shared" si="5"/>
        <v/>
      </c>
      <c r="V2362" s="264" t="str">
        <f t="shared" si="6"/>
        <v/>
      </c>
      <c r="W2362" s="267" t="str">
        <f t="shared" si="8"/>
        <v/>
      </c>
      <c r="X2362" s="264" t="str">
        <f t="shared" si="7"/>
        <v/>
      </c>
    </row>
    <row r="2363" ht="15.75" customHeight="1">
      <c r="A2363" s="258"/>
      <c r="B2363" s="258"/>
      <c r="C2363" s="269"/>
      <c r="D2363" s="258"/>
      <c r="E2363" s="258"/>
      <c r="F2363" s="258"/>
      <c r="G2363" s="258"/>
      <c r="H2363" s="271"/>
      <c r="I2363" s="258"/>
      <c r="J2363" s="272"/>
      <c r="K2363" s="260"/>
      <c r="L2363" s="261"/>
      <c r="M2363" s="262" t="str">
        <f t="shared" si="1"/>
        <v/>
      </c>
      <c r="N2363" s="263" t="str">
        <f t="shared" si="2"/>
        <v/>
      </c>
      <c r="O2363" s="264" t="str">
        <f t="shared" si="3"/>
        <v/>
      </c>
      <c r="P2363" s="265" t="str">
        <f>IFERROR(__xludf.DUMMYFUNCTION("IF(ISBLANK(A2363),"""",IFERROR(IF(H2363=""Sell"",VLOOKUP(9^99,FILTER({ROW(P$2:P2362),P$2:P2362},D$2:D2362=D2363),2),(VLOOKUP(9^99,FILTER({ROW(P$2:P2362),P$2:P2362},D$2:D2362=D2363),2)*VLOOKUP(9^99,FILTER({ROW(O$2:O2362),O$2:O2362},D$2:D2362=D2363),2)-N236"&amp;"3)/O2363),J2363))"),"")</f>
        <v/>
      </c>
      <c r="Q2363" s="264" t="str">
        <f>IFERROR(__xludf.DUMMYFUNCTION("IFERROR(IF(F2363=""Crypto"",B2363,(IF(ISBLANK(D2363),"""",IF(D2363=""Cash"",B2363,IF(GOOGLEFINANCE(D2363,""CURRENCY"")=""GBX"",""GBP"",GOOGLEFINANCE(D2363,""CURRENCY"")))))),B2363)"),"")</f>
        <v/>
      </c>
      <c r="R2363" s="263" t="str">
        <f>IFERROR(__xludf.DUMMYFUNCTION("IF(ISBLANK(A2363),"""",IFERROR(IF(OR(Q2363=""GPB"",Q2363=""ZAR""),IF(Q2363=Dashboard!$L$1,K2363,(K2363*GOOGLEFINANCE(""CURRENCY:""&amp;Q2363&amp;""""&amp;Dashboard!$L$1&amp;""""))/100),IF(Q2363=Dashboard!$L$1,K2363,K2363*GOOGLEFINANCE(""CURRENCY:""&amp;Q2363&amp;""""&amp;Dashboard!$"&amp;"L$1&amp;""""))),K2363))"),"")</f>
        <v/>
      </c>
      <c r="S2363" s="266" t="str">
        <f>IFERROR(__xludf.DUMMYFUNCTION("IF(ISBLANK(A2363),"""",IFERROR(IF(OR(Q2363=""GPB"",Q2363=""ZAR""),IF(Q2363=Dashboard!$L$1,M2363,(M2363*GOOGLEFINANCE(""CURRENCY:""&amp;Q2363&amp;""""&amp;Dashboard!$L$1&amp;""""))/100),IF(Q2363=Dashboard!$L$1,M2363,M2363*GOOGLEFINANCE(""CURRENCY:""&amp;Q2363&amp;""""&amp;Dashboard!$"&amp;"L$1&amp;""""))),M2363))"),"")</f>
        <v/>
      </c>
      <c r="T2363" s="264" t="str">
        <f t="shared" si="4"/>
        <v/>
      </c>
      <c r="U2363" s="264" t="str">
        <f t="shared" si="5"/>
        <v/>
      </c>
      <c r="V2363" s="264" t="str">
        <f t="shared" si="6"/>
        <v/>
      </c>
      <c r="W2363" s="267" t="str">
        <f t="shared" si="8"/>
        <v/>
      </c>
      <c r="X2363" s="264" t="str">
        <f t="shared" si="7"/>
        <v/>
      </c>
    </row>
    <row r="2364" ht="15.75" customHeight="1">
      <c r="A2364" s="258"/>
      <c r="B2364" s="258"/>
      <c r="C2364" s="269"/>
      <c r="D2364" s="258"/>
      <c r="E2364" s="258"/>
      <c r="F2364" s="258"/>
      <c r="G2364" s="258"/>
      <c r="H2364" s="271"/>
      <c r="I2364" s="258"/>
      <c r="J2364" s="272"/>
      <c r="K2364" s="260"/>
      <c r="L2364" s="261"/>
      <c r="M2364" s="262" t="str">
        <f t="shared" si="1"/>
        <v/>
      </c>
      <c r="N2364" s="263" t="str">
        <f t="shared" si="2"/>
        <v/>
      </c>
      <c r="O2364" s="264" t="str">
        <f t="shared" si="3"/>
        <v/>
      </c>
      <c r="P2364" s="265" t="str">
        <f>IFERROR(__xludf.DUMMYFUNCTION("IF(ISBLANK(A2364),"""",IFERROR(IF(H2364=""Sell"",VLOOKUP(9^99,FILTER({ROW(P$2:P2363),P$2:P2363},D$2:D2363=D2364),2),(VLOOKUP(9^99,FILTER({ROW(P$2:P2363),P$2:P2363},D$2:D2363=D2364),2)*VLOOKUP(9^99,FILTER({ROW(O$2:O2363),O$2:O2363},D$2:D2363=D2364),2)-N236"&amp;"4)/O2364),J2364))"),"")</f>
        <v/>
      </c>
      <c r="Q2364" s="264" t="str">
        <f>IFERROR(__xludf.DUMMYFUNCTION("IFERROR(IF(F2364=""Crypto"",B2364,(IF(ISBLANK(D2364),"""",IF(D2364=""Cash"",B2364,IF(GOOGLEFINANCE(D2364,""CURRENCY"")=""GBX"",""GBP"",GOOGLEFINANCE(D2364,""CURRENCY"")))))),B2364)"),"")</f>
        <v/>
      </c>
      <c r="R2364" s="263" t="str">
        <f>IFERROR(__xludf.DUMMYFUNCTION("IF(ISBLANK(A2364),"""",IFERROR(IF(OR(Q2364=""GPB"",Q2364=""ZAR""),IF(Q2364=Dashboard!$L$1,K2364,(K2364*GOOGLEFINANCE(""CURRENCY:""&amp;Q2364&amp;""""&amp;Dashboard!$L$1&amp;""""))/100),IF(Q2364=Dashboard!$L$1,K2364,K2364*GOOGLEFINANCE(""CURRENCY:""&amp;Q2364&amp;""""&amp;Dashboard!$"&amp;"L$1&amp;""""))),K2364))"),"")</f>
        <v/>
      </c>
      <c r="S2364" s="266" t="str">
        <f>IFERROR(__xludf.DUMMYFUNCTION("IF(ISBLANK(A2364),"""",IFERROR(IF(OR(Q2364=""GPB"",Q2364=""ZAR""),IF(Q2364=Dashboard!$L$1,M2364,(M2364*GOOGLEFINANCE(""CURRENCY:""&amp;Q2364&amp;""""&amp;Dashboard!$L$1&amp;""""))/100),IF(Q2364=Dashboard!$L$1,M2364,M2364*GOOGLEFINANCE(""CURRENCY:""&amp;Q2364&amp;""""&amp;Dashboard!$"&amp;"L$1&amp;""""))),M2364))"),"")</f>
        <v/>
      </c>
      <c r="T2364" s="264" t="str">
        <f t="shared" si="4"/>
        <v/>
      </c>
      <c r="U2364" s="264" t="str">
        <f t="shared" si="5"/>
        <v/>
      </c>
      <c r="V2364" s="264" t="str">
        <f t="shared" si="6"/>
        <v/>
      </c>
      <c r="W2364" s="267" t="str">
        <f t="shared" si="8"/>
        <v/>
      </c>
      <c r="X2364" s="264" t="str">
        <f t="shared" si="7"/>
        <v/>
      </c>
    </row>
    <row r="2365" ht="15.75" customHeight="1">
      <c r="A2365" s="258"/>
      <c r="B2365" s="258"/>
      <c r="C2365" s="269"/>
      <c r="D2365" s="258"/>
      <c r="E2365" s="258"/>
      <c r="F2365" s="258"/>
      <c r="G2365" s="258"/>
      <c r="H2365" s="271"/>
      <c r="I2365" s="258"/>
      <c r="J2365" s="272"/>
      <c r="K2365" s="260"/>
      <c r="L2365" s="261"/>
      <c r="M2365" s="262" t="str">
        <f t="shared" si="1"/>
        <v/>
      </c>
      <c r="N2365" s="263" t="str">
        <f t="shared" si="2"/>
        <v/>
      </c>
      <c r="O2365" s="264" t="str">
        <f t="shared" si="3"/>
        <v/>
      </c>
      <c r="P2365" s="265" t="str">
        <f>IFERROR(__xludf.DUMMYFUNCTION("IF(ISBLANK(A2365),"""",IFERROR(IF(H2365=""Sell"",VLOOKUP(9^99,FILTER({ROW(P$2:P2364),P$2:P2364},D$2:D2364=D2365),2),(VLOOKUP(9^99,FILTER({ROW(P$2:P2364),P$2:P2364},D$2:D2364=D2365),2)*VLOOKUP(9^99,FILTER({ROW(O$2:O2364),O$2:O2364},D$2:D2364=D2365),2)-N236"&amp;"5)/O2365),J2365))"),"")</f>
        <v/>
      </c>
      <c r="Q2365" s="264" t="str">
        <f>IFERROR(__xludf.DUMMYFUNCTION("IFERROR(IF(F2365=""Crypto"",B2365,(IF(ISBLANK(D2365),"""",IF(D2365=""Cash"",B2365,IF(GOOGLEFINANCE(D2365,""CURRENCY"")=""GBX"",""GBP"",GOOGLEFINANCE(D2365,""CURRENCY"")))))),B2365)"),"")</f>
        <v/>
      </c>
      <c r="R2365" s="263" t="str">
        <f>IFERROR(__xludf.DUMMYFUNCTION("IF(ISBLANK(A2365),"""",IFERROR(IF(OR(Q2365=""GPB"",Q2365=""ZAR""),IF(Q2365=Dashboard!$L$1,K2365,(K2365*GOOGLEFINANCE(""CURRENCY:""&amp;Q2365&amp;""""&amp;Dashboard!$L$1&amp;""""))/100),IF(Q2365=Dashboard!$L$1,K2365,K2365*GOOGLEFINANCE(""CURRENCY:""&amp;Q2365&amp;""""&amp;Dashboard!$"&amp;"L$1&amp;""""))),K2365))"),"")</f>
        <v/>
      </c>
      <c r="S2365" s="266" t="str">
        <f>IFERROR(__xludf.DUMMYFUNCTION("IF(ISBLANK(A2365),"""",IFERROR(IF(OR(Q2365=""GPB"",Q2365=""ZAR""),IF(Q2365=Dashboard!$L$1,M2365,(M2365*GOOGLEFINANCE(""CURRENCY:""&amp;Q2365&amp;""""&amp;Dashboard!$L$1&amp;""""))/100),IF(Q2365=Dashboard!$L$1,M2365,M2365*GOOGLEFINANCE(""CURRENCY:""&amp;Q2365&amp;""""&amp;Dashboard!$"&amp;"L$1&amp;""""))),M2365))"),"")</f>
        <v/>
      </c>
      <c r="T2365" s="264" t="str">
        <f t="shared" si="4"/>
        <v/>
      </c>
      <c r="U2365" s="264" t="str">
        <f t="shared" si="5"/>
        <v/>
      </c>
      <c r="V2365" s="264" t="str">
        <f t="shared" si="6"/>
        <v/>
      </c>
      <c r="W2365" s="267" t="str">
        <f t="shared" si="8"/>
        <v/>
      </c>
      <c r="X2365" s="264" t="str">
        <f t="shared" si="7"/>
        <v/>
      </c>
    </row>
    <row r="2366" ht="15.75" customHeight="1">
      <c r="A2366" s="258"/>
      <c r="B2366" s="258"/>
      <c r="C2366" s="269"/>
      <c r="D2366" s="258"/>
      <c r="E2366" s="258"/>
      <c r="F2366" s="258"/>
      <c r="G2366" s="258"/>
      <c r="H2366" s="271"/>
      <c r="I2366" s="258"/>
      <c r="J2366" s="272"/>
      <c r="K2366" s="260"/>
      <c r="L2366" s="261"/>
      <c r="M2366" s="262" t="str">
        <f t="shared" si="1"/>
        <v/>
      </c>
      <c r="N2366" s="263" t="str">
        <f t="shared" si="2"/>
        <v/>
      </c>
      <c r="O2366" s="264" t="str">
        <f t="shared" si="3"/>
        <v/>
      </c>
      <c r="P2366" s="265" t="str">
        <f>IFERROR(__xludf.DUMMYFUNCTION("IF(ISBLANK(A2366),"""",IFERROR(IF(H2366=""Sell"",VLOOKUP(9^99,FILTER({ROW(P$2:P2365),P$2:P2365},D$2:D2365=D2366),2),(VLOOKUP(9^99,FILTER({ROW(P$2:P2365),P$2:P2365},D$2:D2365=D2366),2)*VLOOKUP(9^99,FILTER({ROW(O$2:O2365),O$2:O2365},D$2:D2365=D2366),2)-N236"&amp;"6)/O2366),J2366))"),"")</f>
        <v/>
      </c>
      <c r="Q2366" s="264" t="str">
        <f>IFERROR(__xludf.DUMMYFUNCTION("IFERROR(IF(F2366=""Crypto"",B2366,(IF(ISBLANK(D2366),"""",IF(D2366=""Cash"",B2366,IF(GOOGLEFINANCE(D2366,""CURRENCY"")=""GBX"",""GBP"",GOOGLEFINANCE(D2366,""CURRENCY"")))))),B2366)"),"")</f>
        <v/>
      </c>
      <c r="R2366" s="263" t="str">
        <f>IFERROR(__xludf.DUMMYFUNCTION("IF(ISBLANK(A2366),"""",IFERROR(IF(OR(Q2366=""GPB"",Q2366=""ZAR""),IF(Q2366=Dashboard!$L$1,K2366,(K2366*GOOGLEFINANCE(""CURRENCY:""&amp;Q2366&amp;""""&amp;Dashboard!$L$1&amp;""""))/100),IF(Q2366=Dashboard!$L$1,K2366,K2366*GOOGLEFINANCE(""CURRENCY:""&amp;Q2366&amp;""""&amp;Dashboard!$"&amp;"L$1&amp;""""))),K2366))"),"")</f>
        <v/>
      </c>
      <c r="S2366" s="266" t="str">
        <f>IFERROR(__xludf.DUMMYFUNCTION("IF(ISBLANK(A2366),"""",IFERROR(IF(OR(Q2366=""GPB"",Q2366=""ZAR""),IF(Q2366=Dashboard!$L$1,M2366,(M2366*GOOGLEFINANCE(""CURRENCY:""&amp;Q2366&amp;""""&amp;Dashboard!$L$1&amp;""""))/100),IF(Q2366=Dashboard!$L$1,M2366,M2366*GOOGLEFINANCE(""CURRENCY:""&amp;Q2366&amp;""""&amp;Dashboard!$"&amp;"L$1&amp;""""))),M2366))"),"")</f>
        <v/>
      </c>
      <c r="T2366" s="264" t="str">
        <f t="shared" si="4"/>
        <v/>
      </c>
      <c r="U2366" s="264" t="str">
        <f t="shared" si="5"/>
        <v/>
      </c>
      <c r="V2366" s="264" t="str">
        <f t="shared" si="6"/>
        <v/>
      </c>
      <c r="W2366" s="267" t="str">
        <f t="shared" si="8"/>
        <v/>
      </c>
      <c r="X2366" s="264" t="str">
        <f t="shared" si="7"/>
        <v/>
      </c>
    </row>
    <row r="2367" ht="15.75" customHeight="1">
      <c r="A2367" s="258"/>
      <c r="B2367" s="258"/>
      <c r="C2367" s="269"/>
      <c r="D2367" s="258"/>
      <c r="E2367" s="258"/>
      <c r="F2367" s="258"/>
      <c r="G2367" s="258"/>
      <c r="H2367" s="271"/>
      <c r="I2367" s="258"/>
      <c r="J2367" s="272"/>
      <c r="K2367" s="260"/>
      <c r="L2367" s="261"/>
      <c r="M2367" s="262" t="str">
        <f t="shared" si="1"/>
        <v/>
      </c>
      <c r="N2367" s="263" t="str">
        <f t="shared" si="2"/>
        <v/>
      </c>
      <c r="O2367" s="264" t="str">
        <f t="shared" si="3"/>
        <v/>
      </c>
      <c r="P2367" s="265" t="str">
        <f>IFERROR(__xludf.DUMMYFUNCTION("IF(ISBLANK(A2367),"""",IFERROR(IF(H2367=""Sell"",VLOOKUP(9^99,FILTER({ROW(P$2:P2366),P$2:P2366},D$2:D2366=D2367),2),(VLOOKUP(9^99,FILTER({ROW(P$2:P2366),P$2:P2366},D$2:D2366=D2367),2)*VLOOKUP(9^99,FILTER({ROW(O$2:O2366),O$2:O2366},D$2:D2366=D2367),2)-N236"&amp;"7)/O2367),J2367))"),"")</f>
        <v/>
      </c>
      <c r="Q2367" s="264" t="str">
        <f>IFERROR(__xludf.DUMMYFUNCTION("IFERROR(IF(F2367=""Crypto"",B2367,(IF(ISBLANK(D2367),"""",IF(D2367=""Cash"",B2367,IF(GOOGLEFINANCE(D2367,""CURRENCY"")=""GBX"",""GBP"",GOOGLEFINANCE(D2367,""CURRENCY"")))))),B2367)"),"")</f>
        <v/>
      </c>
      <c r="R2367" s="263" t="str">
        <f>IFERROR(__xludf.DUMMYFUNCTION("IF(ISBLANK(A2367),"""",IFERROR(IF(OR(Q2367=""GPB"",Q2367=""ZAR""),IF(Q2367=Dashboard!$L$1,K2367,(K2367*GOOGLEFINANCE(""CURRENCY:""&amp;Q2367&amp;""""&amp;Dashboard!$L$1&amp;""""))/100),IF(Q2367=Dashboard!$L$1,K2367,K2367*GOOGLEFINANCE(""CURRENCY:""&amp;Q2367&amp;""""&amp;Dashboard!$"&amp;"L$1&amp;""""))),K2367))"),"")</f>
        <v/>
      </c>
      <c r="S2367" s="266" t="str">
        <f>IFERROR(__xludf.DUMMYFUNCTION("IF(ISBLANK(A2367),"""",IFERROR(IF(OR(Q2367=""GPB"",Q2367=""ZAR""),IF(Q2367=Dashboard!$L$1,M2367,(M2367*GOOGLEFINANCE(""CURRENCY:""&amp;Q2367&amp;""""&amp;Dashboard!$L$1&amp;""""))/100),IF(Q2367=Dashboard!$L$1,M2367,M2367*GOOGLEFINANCE(""CURRENCY:""&amp;Q2367&amp;""""&amp;Dashboard!$"&amp;"L$1&amp;""""))),M2367))"),"")</f>
        <v/>
      </c>
      <c r="T2367" s="264" t="str">
        <f t="shared" si="4"/>
        <v/>
      </c>
      <c r="U2367" s="264" t="str">
        <f t="shared" si="5"/>
        <v/>
      </c>
      <c r="V2367" s="264" t="str">
        <f t="shared" si="6"/>
        <v/>
      </c>
      <c r="W2367" s="267" t="str">
        <f t="shared" si="8"/>
        <v/>
      </c>
      <c r="X2367" s="264" t="str">
        <f t="shared" si="7"/>
        <v/>
      </c>
    </row>
    <row r="2368" ht="15.75" customHeight="1">
      <c r="A2368" s="258"/>
      <c r="B2368" s="258"/>
      <c r="C2368" s="269"/>
      <c r="D2368" s="258"/>
      <c r="E2368" s="258"/>
      <c r="F2368" s="258"/>
      <c r="G2368" s="258"/>
      <c r="H2368" s="271"/>
      <c r="I2368" s="258"/>
      <c r="J2368" s="272"/>
      <c r="K2368" s="260"/>
      <c r="L2368" s="261"/>
      <c r="M2368" s="262" t="str">
        <f t="shared" si="1"/>
        <v/>
      </c>
      <c r="N2368" s="263" t="str">
        <f t="shared" si="2"/>
        <v/>
      </c>
      <c r="O2368" s="264" t="str">
        <f t="shared" si="3"/>
        <v/>
      </c>
      <c r="P2368" s="265" t="str">
        <f>IFERROR(__xludf.DUMMYFUNCTION("IF(ISBLANK(A2368),"""",IFERROR(IF(H2368=""Sell"",VLOOKUP(9^99,FILTER({ROW(P$2:P2367),P$2:P2367},D$2:D2367=D2368),2),(VLOOKUP(9^99,FILTER({ROW(P$2:P2367),P$2:P2367},D$2:D2367=D2368),2)*VLOOKUP(9^99,FILTER({ROW(O$2:O2367),O$2:O2367},D$2:D2367=D2368),2)-N236"&amp;"8)/O2368),J2368))"),"")</f>
        <v/>
      </c>
      <c r="Q2368" s="264" t="str">
        <f>IFERROR(__xludf.DUMMYFUNCTION("IFERROR(IF(F2368=""Crypto"",B2368,(IF(ISBLANK(D2368),"""",IF(D2368=""Cash"",B2368,IF(GOOGLEFINANCE(D2368,""CURRENCY"")=""GBX"",""GBP"",GOOGLEFINANCE(D2368,""CURRENCY"")))))),B2368)"),"")</f>
        <v/>
      </c>
      <c r="R2368" s="263" t="str">
        <f>IFERROR(__xludf.DUMMYFUNCTION("IF(ISBLANK(A2368),"""",IFERROR(IF(OR(Q2368=""GPB"",Q2368=""ZAR""),IF(Q2368=Dashboard!$L$1,K2368,(K2368*GOOGLEFINANCE(""CURRENCY:""&amp;Q2368&amp;""""&amp;Dashboard!$L$1&amp;""""))/100),IF(Q2368=Dashboard!$L$1,K2368,K2368*GOOGLEFINANCE(""CURRENCY:""&amp;Q2368&amp;""""&amp;Dashboard!$"&amp;"L$1&amp;""""))),K2368))"),"")</f>
        <v/>
      </c>
      <c r="S2368" s="266" t="str">
        <f>IFERROR(__xludf.DUMMYFUNCTION("IF(ISBLANK(A2368),"""",IFERROR(IF(OR(Q2368=""GPB"",Q2368=""ZAR""),IF(Q2368=Dashboard!$L$1,M2368,(M2368*GOOGLEFINANCE(""CURRENCY:""&amp;Q2368&amp;""""&amp;Dashboard!$L$1&amp;""""))/100),IF(Q2368=Dashboard!$L$1,M2368,M2368*GOOGLEFINANCE(""CURRENCY:""&amp;Q2368&amp;""""&amp;Dashboard!$"&amp;"L$1&amp;""""))),M2368))"),"")</f>
        <v/>
      </c>
      <c r="T2368" s="264" t="str">
        <f t="shared" si="4"/>
        <v/>
      </c>
      <c r="U2368" s="264" t="str">
        <f t="shared" si="5"/>
        <v/>
      </c>
      <c r="V2368" s="264" t="str">
        <f t="shared" si="6"/>
        <v/>
      </c>
      <c r="W2368" s="267" t="str">
        <f t="shared" si="8"/>
        <v/>
      </c>
      <c r="X2368" s="264" t="str">
        <f t="shared" si="7"/>
        <v/>
      </c>
    </row>
    <row r="2369" ht="15.75" customHeight="1">
      <c r="A2369" s="258"/>
      <c r="B2369" s="258"/>
      <c r="C2369" s="269"/>
      <c r="D2369" s="258"/>
      <c r="E2369" s="258"/>
      <c r="F2369" s="258"/>
      <c r="G2369" s="258"/>
      <c r="H2369" s="271"/>
      <c r="I2369" s="258"/>
      <c r="J2369" s="272"/>
      <c r="K2369" s="260"/>
      <c r="L2369" s="261"/>
      <c r="M2369" s="262" t="str">
        <f t="shared" si="1"/>
        <v/>
      </c>
      <c r="N2369" s="263" t="str">
        <f t="shared" si="2"/>
        <v/>
      </c>
      <c r="O2369" s="264" t="str">
        <f t="shared" si="3"/>
        <v/>
      </c>
      <c r="P2369" s="265" t="str">
        <f>IFERROR(__xludf.DUMMYFUNCTION("IF(ISBLANK(A2369),"""",IFERROR(IF(H2369=""Sell"",VLOOKUP(9^99,FILTER({ROW(P$2:P2368),P$2:P2368},D$2:D2368=D2369),2),(VLOOKUP(9^99,FILTER({ROW(P$2:P2368),P$2:P2368},D$2:D2368=D2369),2)*VLOOKUP(9^99,FILTER({ROW(O$2:O2368),O$2:O2368},D$2:D2368=D2369),2)-N236"&amp;"9)/O2369),J2369))"),"")</f>
        <v/>
      </c>
      <c r="Q2369" s="264" t="str">
        <f>IFERROR(__xludf.DUMMYFUNCTION("IFERROR(IF(F2369=""Crypto"",B2369,(IF(ISBLANK(D2369),"""",IF(D2369=""Cash"",B2369,IF(GOOGLEFINANCE(D2369,""CURRENCY"")=""GBX"",""GBP"",GOOGLEFINANCE(D2369,""CURRENCY"")))))),B2369)"),"")</f>
        <v/>
      </c>
      <c r="R2369" s="263" t="str">
        <f>IFERROR(__xludf.DUMMYFUNCTION("IF(ISBLANK(A2369),"""",IFERROR(IF(OR(Q2369=""GPB"",Q2369=""ZAR""),IF(Q2369=Dashboard!$L$1,K2369,(K2369*GOOGLEFINANCE(""CURRENCY:""&amp;Q2369&amp;""""&amp;Dashboard!$L$1&amp;""""))/100),IF(Q2369=Dashboard!$L$1,K2369,K2369*GOOGLEFINANCE(""CURRENCY:""&amp;Q2369&amp;""""&amp;Dashboard!$"&amp;"L$1&amp;""""))),K2369))"),"")</f>
        <v/>
      </c>
      <c r="S2369" s="266" t="str">
        <f>IFERROR(__xludf.DUMMYFUNCTION("IF(ISBLANK(A2369),"""",IFERROR(IF(OR(Q2369=""GPB"",Q2369=""ZAR""),IF(Q2369=Dashboard!$L$1,M2369,(M2369*GOOGLEFINANCE(""CURRENCY:""&amp;Q2369&amp;""""&amp;Dashboard!$L$1&amp;""""))/100),IF(Q2369=Dashboard!$L$1,M2369,M2369*GOOGLEFINANCE(""CURRENCY:""&amp;Q2369&amp;""""&amp;Dashboard!$"&amp;"L$1&amp;""""))),M2369))"),"")</f>
        <v/>
      </c>
      <c r="T2369" s="264" t="str">
        <f t="shared" si="4"/>
        <v/>
      </c>
      <c r="U2369" s="264" t="str">
        <f t="shared" si="5"/>
        <v/>
      </c>
      <c r="V2369" s="264" t="str">
        <f t="shared" si="6"/>
        <v/>
      </c>
      <c r="W2369" s="267" t="str">
        <f t="shared" si="8"/>
        <v/>
      </c>
      <c r="X2369" s="264" t="str">
        <f t="shared" si="7"/>
        <v/>
      </c>
    </row>
    <row r="2370" ht="15.75" customHeight="1">
      <c r="A2370" s="258"/>
      <c r="B2370" s="258"/>
      <c r="C2370" s="269"/>
      <c r="D2370" s="258"/>
      <c r="E2370" s="258"/>
      <c r="F2370" s="258"/>
      <c r="G2370" s="258"/>
      <c r="H2370" s="271"/>
      <c r="I2370" s="258"/>
      <c r="J2370" s="272"/>
      <c r="K2370" s="260"/>
      <c r="L2370" s="261"/>
      <c r="M2370" s="262" t="str">
        <f t="shared" si="1"/>
        <v/>
      </c>
      <c r="N2370" s="263" t="str">
        <f t="shared" si="2"/>
        <v/>
      </c>
      <c r="O2370" s="264" t="str">
        <f t="shared" si="3"/>
        <v/>
      </c>
      <c r="P2370" s="265" t="str">
        <f>IFERROR(__xludf.DUMMYFUNCTION("IF(ISBLANK(A2370),"""",IFERROR(IF(H2370=""Sell"",VLOOKUP(9^99,FILTER({ROW(P$2:P2369),P$2:P2369},D$2:D2369=D2370),2),(VLOOKUP(9^99,FILTER({ROW(P$2:P2369),P$2:P2369},D$2:D2369=D2370),2)*VLOOKUP(9^99,FILTER({ROW(O$2:O2369),O$2:O2369},D$2:D2369=D2370),2)-N237"&amp;"0)/O2370),J2370))"),"")</f>
        <v/>
      </c>
      <c r="Q2370" s="264" t="str">
        <f>IFERROR(__xludf.DUMMYFUNCTION("IFERROR(IF(F2370=""Crypto"",B2370,(IF(ISBLANK(D2370),"""",IF(D2370=""Cash"",B2370,IF(GOOGLEFINANCE(D2370,""CURRENCY"")=""GBX"",""GBP"",GOOGLEFINANCE(D2370,""CURRENCY"")))))),B2370)"),"")</f>
        <v/>
      </c>
      <c r="R2370" s="263" t="str">
        <f>IFERROR(__xludf.DUMMYFUNCTION("IF(ISBLANK(A2370),"""",IFERROR(IF(OR(Q2370=""GPB"",Q2370=""ZAR""),IF(Q2370=Dashboard!$L$1,K2370,(K2370*GOOGLEFINANCE(""CURRENCY:""&amp;Q2370&amp;""""&amp;Dashboard!$L$1&amp;""""))/100),IF(Q2370=Dashboard!$L$1,K2370,K2370*GOOGLEFINANCE(""CURRENCY:""&amp;Q2370&amp;""""&amp;Dashboard!$"&amp;"L$1&amp;""""))),K2370))"),"")</f>
        <v/>
      </c>
      <c r="S2370" s="266" t="str">
        <f>IFERROR(__xludf.DUMMYFUNCTION("IF(ISBLANK(A2370),"""",IFERROR(IF(OR(Q2370=""GPB"",Q2370=""ZAR""),IF(Q2370=Dashboard!$L$1,M2370,(M2370*GOOGLEFINANCE(""CURRENCY:""&amp;Q2370&amp;""""&amp;Dashboard!$L$1&amp;""""))/100),IF(Q2370=Dashboard!$L$1,M2370,M2370*GOOGLEFINANCE(""CURRENCY:""&amp;Q2370&amp;""""&amp;Dashboard!$"&amp;"L$1&amp;""""))),M2370))"),"")</f>
        <v/>
      </c>
      <c r="T2370" s="264" t="str">
        <f t="shared" si="4"/>
        <v/>
      </c>
      <c r="U2370" s="264" t="str">
        <f t="shared" si="5"/>
        <v/>
      </c>
      <c r="V2370" s="264" t="str">
        <f t="shared" si="6"/>
        <v/>
      </c>
      <c r="W2370" s="267" t="str">
        <f t="shared" si="8"/>
        <v/>
      </c>
      <c r="X2370" s="264" t="str">
        <f t="shared" si="7"/>
        <v/>
      </c>
    </row>
    <row r="2371" ht="15.75" customHeight="1">
      <c r="A2371" s="258"/>
      <c r="B2371" s="258"/>
      <c r="C2371" s="269"/>
      <c r="D2371" s="258"/>
      <c r="E2371" s="258"/>
      <c r="F2371" s="258"/>
      <c r="G2371" s="258"/>
      <c r="H2371" s="271"/>
      <c r="I2371" s="258"/>
      <c r="J2371" s="272"/>
      <c r="K2371" s="260"/>
      <c r="L2371" s="261"/>
      <c r="M2371" s="262" t="str">
        <f t="shared" si="1"/>
        <v/>
      </c>
      <c r="N2371" s="263" t="str">
        <f t="shared" si="2"/>
        <v/>
      </c>
      <c r="O2371" s="264" t="str">
        <f t="shared" si="3"/>
        <v/>
      </c>
      <c r="P2371" s="265" t="str">
        <f>IFERROR(__xludf.DUMMYFUNCTION("IF(ISBLANK(A2371),"""",IFERROR(IF(H2371=""Sell"",VLOOKUP(9^99,FILTER({ROW(P$2:P2370),P$2:P2370},D$2:D2370=D2371),2),(VLOOKUP(9^99,FILTER({ROW(P$2:P2370),P$2:P2370},D$2:D2370=D2371),2)*VLOOKUP(9^99,FILTER({ROW(O$2:O2370),O$2:O2370},D$2:D2370=D2371),2)-N237"&amp;"1)/O2371),J2371))"),"")</f>
        <v/>
      </c>
      <c r="Q2371" s="264" t="str">
        <f>IFERROR(__xludf.DUMMYFUNCTION("IFERROR(IF(F2371=""Crypto"",B2371,(IF(ISBLANK(D2371),"""",IF(D2371=""Cash"",B2371,IF(GOOGLEFINANCE(D2371,""CURRENCY"")=""GBX"",""GBP"",GOOGLEFINANCE(D2371,""CURRENCY"")))))),B2371)"),"")</f>
        <v/>
      </c>
      <c r="R2371" s="263" t="str">
        <f>IFERROR(__xludf.DUMMYFUNCTION("IF(ISBLANK(A2371),"""",IFERROR(IF(OR(Q2371=""GPB"",Q2371=""ZAR""),IF(Q2371=Dashboard!$L$1,K2371,(K2371*GOOGLEFINANCE(""CURRENCY:""&amp;Q2371&amp;""""&amp;Dashboard!$L$1&amp;""""))/100),IF(Q2371=Dashboard!$L$1,K2371,K2371*GOOGLEFINANCE(""CURRENCY:""&amp;Q2371&amp;""""&amp;Dashboard!$"&amp;"L$1&amp;""""))),K2371))"),"")</f>
        <v/>
      </c>
      <c r="S2371" s="266" t="str">
        <f>IFERROR(__xludf.DUMMYFUNCTION("IF(ISBLANK(A2371),"""",IFERROR(IF(OR(Q2371=""GPB"",Q2371=""ZAR""),IF(Q2371=Dashboard!$L$1,M2371,(M2371*GOOGLEFINANCE(""CURRENCY:""&amp;Q2371&amp;""""&amp;Dashboard!$L$1&amp;""""))/100),IF(Q2371=Dashboard!$L$1,M2371,M2371*GOOGLEFINANCE(""CURRENCY:""&amp;Q2371&amp;""""&amp;Dashboard!$"&amp;"L$1&amp;""""))),M2371))"),"")</f>
        <v/>
      </c>
      <c r="T2371" s="264" t="str">
        <f t="shared" si="4"/>
        <v/>
      </c>
      <c r="U2371" s="264" t="str">
        <f t="shared" si="5"/>
        <v/>
      </c>
      <c r="V2371" s="264" t="str">
        <f t="shared" si="6"/>
        <v/>
      </c>
      <c r="W2371" s="267" t="str">
        <f t="shared" si="8"/>
        <v/>
      </c>
      <c r="X2371" s="264" t="str">
        <f t="shared" si="7"/>
        <v/>
      </c>
    </row>
    <row r="2372" ht="15.75" customHeight="1">
      <c r="A2372" s="258"/>
      <c r="B2372" s="258"/>
      <c r="C2372" s="269"/>
      <c r="D2372" s="258"/>
      <c r="E2372" s="258"/>
      <c r="F2372" s="258"/>
      <c r="G2372" s="258"/>
      <c r="H2372" s="271"/>
      <c r="I2372" s="258"/>
      <c r="J2372" s="272"/>
      <c r="K2372" s="260"/>
      <c r="L2372" s="261"/>
      <c r="M2372" s="262" t="str">
        <f t="shared" si="1"/>
        <v/>
      </c>
      <c r="N2372" s="263" t="str">
        <f t="shared" si="2"/>
        <v/>
      </c>
      <c r="O2372" s="264" t="str">
        <f t="shared" si="3"/>
        <v/>
      </c>
      <c r="P2372" s="265" t="str">
        <f>IFERROR(__xludf.DUMMYFUNCTION("IF(ISBLANK(A2372),"""",IFERROR(IF(H2372=""Sell"",VLOOKUP(9^99,FILTER({ROW(P$2:P2371),P$2:P2371},D$2:D2371=D2372),2),(VLOOKUP(9^99,FILTER({ROW(P$2:P2371),P$2:P2371},D$2:D2371=D2372),2)*VLOOKUP(9^99,FILTER({ROW(O$2:O2371),O$2:O2371},D$2:D2371=D2372),2)-N237"&amp;"2)/O2372),J2372))"),"")</f>
        <v/>
      </c>
      <c r="Q2372" s="264" t="str">
        <f>IFERROR(__xludf.DUMMYFUNCTION("IFERROR(IF(F2372=""Crypto"",B2372,(IF(ISBLANK(D2372),"""",IF(D2372=""Cash"",B2372,IF(GOOGLEFINANCE(D2372,""CURRENCY"")=""GBX"",""GBP"",GOOGLEFINANCE(D2372,""CURRENCY"")))))),B2372)"),"")</f>
        <v/>
      </c>
      <c r="R2372" s="263" t="str">
        <f>IFERROR(__xludf.DUMMYFUNCTION("IF(ISBLANK(A2372),"""",IFERROR(IF(OR(Q2372=""GPB"",Q2372=""ZAR""),IF(Q2372=Dashboard!$L$1,K2372,(K2372*GOOGLEFINANCE(""CURRENCY:""&amp;Q2372&amp;""""&amp;Dashboard!$L$1&amp;""""))/100),IF(Q2372=Dashboard!$L$1,K2372,K2372*GOOGLEFINANCE(""CURRENCY:""&amp;Q2372&amp;""""&amp;Dashboard!$"&amp;"L$1&amp;""""))),K2372))"),"")</f>
        <v/>
      </c>
      <c r="S2372" s="266" t="str">
        <f>IFERROR(__xludf.DUMMYFUNCTION("IF(ISBLANK(A2372),"""",IFERROR(IF(OR(Q2372=""GPB"",Q2372=""ZAR""),IF(Q2372=Dashboard!$L$1,M2372,(M2372*GOOGLEFINANCE(""CURRENCY:""&amp;Q2372&amp;""""&amp;Dashboard!$L$1&amp;""""))/100),IF(Q2372=Dashboard!$L$1,M2372,M2372*GOOGLEFINANCE(""CURRENCY:""&amp;Q2372&amp;""""&amp;Dashboard!$"&amp;"L$1&amp;""""))),M2372))"),"")</f>
        <v/>
      </c>
      <c r="T2372" s="264" t="str">
        <f t="shared" si="4"/>
        <v/>
      </c>
      <c r="U2372" s="264" t="str">
        <f t="shared" si="5"/>
        <v/>
      </c>
      <c r="V2372" s="264" t="str">
        <f t="shared" si="6"/>
        <v/>
      </c>
      <c r="W2372" s="267" t="str">
        <f t="shared" si="8"/>
        <v/>
      </c>
      <c r="X2372" s="264" t="str">
        <f t="shared" si="7"/>
        <v/>
      </c>
    </row>
    <row r="2373" ht="15.75" customHeight="1">
      <c r="A2373" s="258"/>
      <c r="B2373" s="258"/>
      <c r="C2373" s="269"/>
      <c r="D2373" s="258"/>
      <c r="E2373" s="258"/>
      <c r="F2373" s="258"/>
      <c r="G2373" s="258"/>
      <c r="H2373" s="271"/>
      <c r="I2373" s="258"/>
      <c r="J2373" s="272"/>
      <c r="K2373" s="260"/>
      <c r="L2373" s="261"/>
      <c r="M2373" s="262" t="str">
        <f t="shared" si="1"/>
        <v/>
      </c>
      <c r="N2373" s="263" t="str">
        <f t="shared" si="2"/>
        <v/>
      </c>
      <c r="O2373" s="264" t="str">
        <f t="shared" si="3"/>
        <v/>
      </c>
      <c r="P2373" s="265" t="str">
        <f>IFERROR(__xludf.DUMMYFUNCTION("IF(ISBLANK(A2373),"""",IFERROR(IF(H2373=""Sell"",VLOOKUP(9^99,FILTER({ROW(P$2:P2372),P$2:P2372},D$2:D2372=D2373),2),(VLOOKUP(9^99,FILTER({ROW(P$2:P2372),P$2:P2372},D$2:D2372=D2373),2)*VLOOKUP(9^99,FILTER({ROW(O$2:O2372),O$2:O2372},D$2:D2372=D2373),2)-N237"&amp;"3)/O2373),J2373))"),"")</f>
        <v/>
      </c>
      <c r="Q2373" s="264" t="str">
        <f>IFERROR(__xludf.DUMMYFUNCTION("IFERROR(IF(F2373=""Crypto"",B2373,(IF(ISBLANK(D2373),"""",IF(D2373=""Cash"",B2373,IF(GOOGLEFINANCE(D2373,""CURRENCY"")=""GBX"",""GBP"",GOOGLEFINANCE(D2373,""CURRENCY"")))))),B2373)"),"")</f>
        <v/>
      </c>
      <c r="R2373" s="263" t="str">
        <f>IFERROR(__xludf.DUMMYFUNCTION("IF(ISBLANK(A2373),"""",IFERROR(IF(OR(Q2373=""GPB"",Q2373=""ZAR""),IF(Q2373=Dashboard!$L$1,K2373,(K2373*GOOGLEFINANCE(""CURRENCY:""&amp;Q2373&amp;""""&amp;Dashboard!$L$1&amp;""""))/100),IF(Q2373=Dashboard!$L$1,K2373,K2373*GOOGLEFINANCE(""CURRENCY:""&amp;Q2373&amp;""""&amp;Dashboard!$"&amp;"L$1&amp;""""))),K2373))"),"")</f>
        <v/>
      </c>
      <c r="S2373" s="266" t="str">
        <f>IFERROR(__xludf.DUMMYFUNCTION("IF(ISBLANK(A2373),"""",IFERROR(IF(OR(Q2373=""GPB"",Q2373=""ZAR""),IF(Q2373=Dashboard!$L$1,M2373,(M2373*GOOGLEFINANCE(""CURRENCY:""&amp;Q2373&amp;""""&amp;Dashboard!$L$1&amp;""""))/100),IF(Q2373=Dashboard!$L$1,M2373,M2373*GOOGLEFINANCE(""CURRENCY:""&amp;Q2373&amp;""""&amp;Dashboard!$"&amp;"L$1&amp;""""))),M2373))"),"")</f>
        <v/>
      </c>
      <c r="T2373" s="264" t="str">
        <f t="shared" si="4"/>
        <v/>
      </c>
      <c r="U2373" s="264" t="str">
        <f t="shared" si="5"/>
        <v/>
      </c>
      <c r="V2373" s="264" t="str">
        <f t="shared" si="6"/>
        <v/>
      </c>
      <c r="W2373" s="267" t="str">
        <f t="shared" si="8"/>
        <v/>
      </c>
      <c r="X2373" s="264" t="str">
        <f t="shared" si="7"/>
        <v/>
      </c>
    </row>
    <row r="2374" ht="15.75" customHeight="1">
      <c r="A2374" s="258"/>
      <c r="B2374" s="258"/>
      <c r="C2374" s="269"/>
      <c r="D2374" s="258"/>
      <c r="E2374" s="258"/>
      <c r="F2374" s="258"/>
      <c r="G2374" s="258"/>
      <c r="H2374" s="271"/>
      <c r="I2374" s="258"/>
      <c r="J2374" s="272"/>
      <c r="K2374" s="260"/>
      <c r="L2374" s="261"/>
      <c r="M2374" s="262" t="str">
        <f t="shared" si="1"/>
        <v/>
      </c>
      <c r="N2374" s="263" t="str">
        <f t="shared" si="2"/>
        <v/>
      </c>
      <c r="O2374" s="264" t="str">
        <f t="shared" si="3"/>
        <v/>
      </c>
      <c r="P2374" s="265" t="str">
        <f>IFERROR(__xludf.DUMMYFUNCTION("IF(ISBLANK(A2374),"""",IFERROR(IF(H2374=""Sell"",VLOOKUP(9^99,FILTER({ROW(P$2:P2373),P$2:P2373},D$2:D2373=D2374),2),(VLOOKUP(9^99,FILTER({ROW(P$2:P2373),P$2:P2373},D$2:D2373=D2374),2)*VLOOKUP(9^99,FILTER({ROW(O$2:O2373),O$2:O2373},D$2:D2373=D2374),2)-N237"&amp;"4)/O2374),J2374))"),"")</f>
        <v/>
      </c>
      <c r="Q2374" s="264" t="str">
        <f>IFERROR(__xludf.DUMMYFUNCTION("IFERROR(IF(F2374=""Crypto"",B2374,(IF(ISBLANK(D2374),"""",IF(D2374=""Cash"",B2374,IF(GOOGLEFINANCE(D2374,""CURRENCY"")=""GBX"",""GBP"",GOOGLEFINANCE(D2374,""CURRENCY"")))))),B2374)"),"")</f>
        <v/>
      </c>
      <c r="R2374" s="263" t="str">
        <f>IFERROR(__xludf.DUMMYFUNCTION("IF(ISBLANK(A2374),"""",IFERROR(IF(OR(Q2374=""GPB"",Q2374=""ZAR""),IF(Q2374=Dashboard!$L$1,K2374,(K2374*GOOGLEFINANCE(""CURRENCY:""&amp;Q2374&amp;""""&amp;Dashboard!$L$1&amp;""""))/100),IF(Q2374=Dashboard!$L$1,K2374,K2374*GOOGLEFINANCE(""CURRENCY:""&amp;Q2374&amp;""""&amp;Dashboard!$"&amp;"L$1&amp;""""))),K2374))"),"")</f>
        <v/>
      </c>
      <c r="S2374" s="266" t="str">
        <f>IFERROR(__xludf.DUMMYFUNCTION("IF(ISBLANK(A2374),"""",IFERROR(IF(OR(Q2374=""GPB"",Q2374=""ZAR""),IF(Q2374=Dashboard!$L$1,M2374,(M2374*GOOGLEFINANCE(""CURRENCY:""&amp;Q2374&amp;""""&amp;Dashboard!$L$1&amp;""""))/100),IF(Q2374=Dashboard!$L$1,M2374,M2374*GOOGLEFINANCE(""CURRENCY:""&amp;Q2374&amp;""""&amp;Dashboard!$"&amp;"L$1&amp;""""))),M2374))"),"")</f>
        <v/>
      </c>
      <c r="T2374" s="264" t="str">
        <f t="shared" si="4"/>
        <v/>
      </c>
      <c r="U2374" s="264" t="str">
        <f t="shared" si="5"/>
        <v/>
      </c>
      <c r="V2374" s="264" t="str">
        <f t="shared" si="6"/>
        <v/>
      </c>
      <c r="W2374" s="267" t="str">
        <f t="shared" si="8"/>
        <v/>
      </c>
      <c r="X2374" s="264" t="str">
        <f t="shared" si="7"/>
        <v/>
      </c>
    </row>
    <row r="2375" ht="15.75" customHeight="1">
      <c r="A2375" s="258"/>
      <c r="B2375" s="258"/>
      <c r="C2375" s="269"/>
      <c r="D2375" s="258"/>
      <c r="E2375" s="258"/>
      <c r="F2375" s="258"/>
      <c r="G2375" s="258"/>
      <c r="H2375" s="271"/>
      <c r="I2375" s="258"/>
      <c r="J2375" s="272"/>
      <c r="K2375" s="260"/>
      <c r="L2375" s="261"/>
      <c r="M2375" s="262" t="str">
        <f t="shared" si="1"/>
        <v/>
      </c>
      <c r="N2375" s="263" t="str">
        <f t="shared" si="2"/>
        <v/>
      </c>
      <c r="O2375" s="264" t="str">
        <f t="shared" si="3"/>
        <v/>
      </c>
      <c r="P2375" s="265" t="str">
        <f>IFERROR(__xludf.DUMMYFUNCTION("IF(ISBLANK(A2375),"""",IFERROR(IF(H2375=""Sell"",VLOOKUP(9^99,FILTER({ROW(P$2:P2374),P$2:P2374},D$2:D2374=D2375),2),(VLOOKUP(9^99,FILTER({ROW(P$2:P2374),P$2:P2374},D$2:D2374=D2375),2)*VLOOKUP(9^99,FILTER({ROW(O$2:O2374),O$2:O2374},D$2:D2374=D2375),2)-N237"&amp;"5)/O2375),J2375))"),"")</f>
        <v/>
      </c>
      <c r="Q2375" s="264" t="str">
        <f>IFERROR(__xludf.DUMMYFUNCTION("IFERROR(IF(F2375=""Crypto"",B2375,(IF(ISBLANK(D2375),"""",IF(D2375=""Cash"",B2375,IF(GOOGLEFINANCE(D2375,""CURRENCY"")=""GBX"",""GBP"",GOOGLEFINANCE(D2375,""CURRENCY"")))))),B2375)"),"")</f>
        <v/>
      </c>
      <c r="R2375" s="263" t="str">
        <f>IFERROR(__xludf.DUMMYFUNCTION("IF(ISBLANK(A2375),"""",IFERROR(IF(OR(Q2375=""GPB"",Q2375=""ZAR""),IF(Q2375=Dashboard!$L$1,K2375,(K2375*GOOGLEFINANCE(""CURRENCY:""&amp;Q2375&amp;""""&amp;Dashboard!$L$1&amp;""""))/100),IF(Q2375=Dashboard!$L$1,K2375,K2375*GOOGLEFINANCE(""CURRENCY:""&amp;Q2375&amp;""""&amp;Dashboard!$"&amp;"L$1&amp;""""))),K2375))"),"")</f>
        <v/>
      </c>
      <c r="S2375" s="266" t="str">
        <f>IFERROR(__xludf.DUMMYFUNCTION("IF(ISBLANK(A2375),"""",IFERROR(IF(OR(Q2375=""GPB"",Q2375=""ZAR""),IF(Q2375=Dashboard!$L$1,M2375,(M2375*GOOGLEFINANCE(""CURRENCY:""&amp;Q2375&amp;""""&amp;Dashboard!$L$1&amp;""""))/100),IF(Q2375=Dashboard!$L$1,M2375,M2375*GOOGLEFINANCE(""CURRENCY:""&amp;Q2375&amp;""""&amp;Dashboard!$"&amp;"L$1&amp;""""))),M2375))"),"")</f>
        <v/>
      </c>
      <c r="T2375" s="264" t="str">
        <f t="shared" si="4"/>
        <v/>
      </c>
      <c r="U2375" s="264" t="str">
        <f t="shared" si="5"/>
        <v/>
      </c>
      <c r="V2375" s="264" t="str">
        <f t="shared" si="6"/>
        <v/>
      </c>
      <c r="W2375" s="267" t="str">
        <f t="shared" si="8"/>
        <v/>
      </c>
      <c r="X2375" s="264" t="str">
        <f t="shared" si="7"/>
        <v/>
      </c>
    </row>
    <row r="2376" ht="15.75" customHeight="1">
      <c r="A2376" s="258"/>
      <c r="B2376" s="258"/>
      <c r="C2376" s="269"/>
      <c r="D2376" s="258"/>
      <c r="E2376" s="258"/>
      <c r="F2376" s="258"/>
      <c r="G2376" s="258"/>
      <c r="H2376" s="271"/>
      <c r="I2376" s="258"/>
      <c r="J2376" s="272"/>
      <c r="K2376" s="260"/>
      <c r="L2376" s="261"/>
      <c r="M2376" s="262" t="str">
        <f t="shared" si="1"/>
        <v/>
      </c>
      <c r="N2376" s="263" t="str">
        <f t="shared" si="2"/>
        <v/>
      </c>
      <c r="O2376" s="264" t="str">
        <f t="shared" si="3"/>
        <v/>
      </c>
      <c r="P2376" s="265" t="str">
        <f>IFERROR(__xludf.DUMMYFUNCTION("IF(ISBLANK(A2376),"""",IFERROR(IF(H2376=""Sell"",VLOOKUP(9^99,FILTER({ROW(P$2:P2375),P$2:P2375},D$2:D2375=D2376),2),(VLOOKUP(9^99,FILTER({ROW(P$2:P2375),P$2:P2375},D$2:D2375=D2376),2)*VLOOKUP(9^99,FILTER({ROW(O$2:O2375),O$2:O2375},D$2:D2375=D2376),2)-N237"&amp;"6)/O2376),J2376))"),"")</f>
        <v/>
      </c>
      <c r="Q2376" s="264" t="str">
        <f>IFERROR(__xludf.DUMMYFUNCTION("IFERROR(IF(F2376=""Crypto"",B2376,(IF(ISBLANK(D2376),"""",IF(D2376=""Cash"",B2376,IF(GOOGLEFINANCE(D2376,""CURRENCY"")=""GBX"",""GBP"",GOOGLEFINANCE(D2376,""CURRENCY"")))))),B2376)"),"")</f>
        <v/>
      </c>
      <c r="R2376" s="263" t="str">
        <f>IFERROR(__xludf.DUMMYFUNCTION("IF(ISBLANK(A2376),"""",IFERROR(IF(OR(Q2376=""GPB"",Q2376=""ZAR""),IF(Q2376=Dashboard!$L$1,K2376,(K2376*GOOGLEFINANCE(""CURRENCY:""&amp;Q2376&amp;""""&amp;Dashboard!$L$1&amp;""""))/100),IF(Q2376=Dashboard!$L$1,K2376,K2376*GOOGLEFINANCE(""CURRENCY:""&amp;Q2376&amp;""""&amp;Dashboard!$"&amp;"L$1&amp;""""))),K2376))"),"")</f>
        <v/>
      </c>
      <c r="S2376" s="266" t="str">
        <f>IFERROR(__xludf.DUMMYFUNCTION("IF(ISBLANK(A2376),"""",IFERROR(IF(OR(Q2376=""GPB"",Q2376=""ZAR""),IF(Q2376=Dashboard!$L$1,M2376,(M2376*GOOGLEFINANCE(""CURRENCY:""&amp;Q2376&amp;""""&amp;Dashboard!$L$1&amp;""""))/100),IF(Q2376=Dashboard!$L$1,M2376,M2376*GOOGLEFINANCE(""CURRENCY:""&amp;Q2376&amp;""""&amp;Dashboard!$"&amp;"L$1&amp;""""))),M2376))"),"")</f>
        <v/>
      </c>
      <c r="T2376" s="264" t="str">
        <f t="shared" si="4"/>
        <v/>
      </c>
      <c r="U2376" s="264" t="str">
        <f t="shared" si="5"/>
        <v/>
      </c>
      <c r="V2376" s="264" t="str">
        <f t="shared" si="6"/>
        <v/>
      </c>
      <c r="W2376" s="267" t="str">
        <f t="shared" si="8"/>
        <v/>
      </c>
      <c r="X2376" s="264" t="str">
        <f t="shared" si="7"/>
        <v/>
      </c>
    </row>
    <row r="2377" ht="15.75" customHeight="1">
      <c r="A2377" s="258"/>
      <c r="B2377" s="258"/>
      <c r="C2377" s="269"/>
      <c r="D2377" s="258"/>
      <c r="E2377" s="258"/>
      <c r="F2377" s="258"/>
      <c r="G2377" s="258"/>
      <c r="H2377" s="271"/>
      <c r="I2377" s="258"/>
      <c r="J2377" s="272"/>
      <c r="K2377" s="260"/>
      <c r="L2377" s="261"/>
      <c r="M2377" s="262" t="str">
        <f t="shared" si="1"/>
        <v/>
      </c>
      <c r="N2377" s="263" t="str">
        <f t="shared" si="2"/>
        <v/>
      </c>
      <c r="O2377" s="264" t="str">
        <f t="shared" si="3"/>
        <v/>
      </c>
      <c r="P2377" s="265" t="str">
        <f>IFERROR(__xludf.DUMMYFUNCTION("IF(ISBLANK(A2377),"""",IFERROR(IF(H2377=""Sell"",VLOOKUP(9^99,FILTER({ROW(P$2:P2376),P$2:P2376},D$2:D2376=D2377),2),(VLOOKUP(9^99,FILTER({ROW(P$2:P2376),P$2:P2376},D$2:D2376=D2377),2)*VLOOKUP(9^99,FILTER({ROW(O$2:O2376),O$2:O2376},D$2:D2376=D2377),2)-N237"&amp;"7)/O2377),J2377))"),"")</f>
        <v/>
      </c>
      <c r="Q2377" s="264" t="str">
        <f>IFERROR(__xludf.DUMMYFUNCTION("IFERROR(IF(F2377=""Crypto"",B2377,(IF(ISBLANK(D2377),"""",IF(D2377=""Cash"",B2377,IF(GOOGLEFINANCE(D2377,""CURRENCY"")=""GBX"",""GBP"",GOOGLEFINANCE(D2377,""CURRENCY"")))))),B2377)"),"")</f>
        <v/>
      </c>
      <c r="R2377" s="263" t="str">
        <f>IFERROR(__xludf.DUMMYFUNCTION("IF(ISBLANK(A2377),"""",IFERROR(IF(OR(Q2377=""GPB"",Q2377=""ZAR""),IF(Q2377=Dashboard!$L$1,K2377,(K2377*GOOGLEFINANCE(""CURRENCY:""&amp;Q2377&amp;""""&amp;Dashboard!$L$1&amp;""""))/100),IF(Q2377=Dashboard!$L$1,K2377,K2377*GOOGLEFINANCE(""CURRENCY:""&amp;Q2377&amp;""""&amp;Dashboard!$"&amp;"L$1&amp;""""))),K2377))"),"")</f>
        <v/>
      </c>
      <c r="S2377" s="266" t="str">
        <f>IFERROR(__xludf.DUMMYFUNCTION("IF(ISBLANK(A2377),"""",IFERROR(IF(OR(Q2377=""GPB"",Q2377=""ZAR""),IF(Q2377=Dashboard!$L$1,M2377,(M2377*GOOGLEFINANCE(""CURRENCY:""&amp;Q2377&amp;""""&amp;Dashboard!$L$1&amp;""""))/100),IF(Q2377=Dashboard!$L$1,M2377,M2377*GOOGLEFINANCE(""CURRENCY:""&amp;Q2377&amp;""""&amp;Dashboard!$"&amp;"L$1&amp;""""))),M2377))"),"")</f>
        <v/>
      </c>
      <c r="T2377" s="264" t="str">
        <f t="shared" si="4"/>
        <v/>
      </c>
      <c r="U2377" s="264" t="str">
        <f t="shared" si="5"/>
        <v/>
      </c>
      <c r="V2377" s="264" t="str">
        <f t="shared" si="6"/>
        <v/>
      </c>
      <c r="W2377" s="267" t="str">
        <f t="shared" si="8"/>
        <v/>
      </c>
      <c r="X2377" s="264" t="str">
        <f t="shared" si="7"/>
        <v/>
      </c>
    </row>
    <row r="2378" ht="15.75" customHeight="1">
      <c r="A2378" s="258"/>
      <c r="B2378" s="258"/>
      <c r="C2378" s="269"/>
      <c r="D2378" s="258"/>
      <c r="E2378" s="258"/>
      <c r="F2378" s="258"/>
      <c r="G2378" s="258"/>
      <c r="H2378" s="271"/>
      <c r="I2378" s="258"/>
      <c r="J2378" s="272"/>
      <c r="K2378" s="260"/>
      <c r="L2378" s="261"/>
      <c r="M2378" s="262" t="str">
        <f t="shared" si="1"/>
        <v/>
      </c>
      <c r="N2378" s="263" t="str">
        <f t="shared" si="2"/>
        <v/>
      </c>
      <c r="O2378" s="264" t="str">
        <f t="shared" si="3"/>
        <v/>
      </c>
      <c r="P2378" s="265" t="str">
        <f>IFERROR(__xludf.DUMMYFUNCTION("IF(ISBLANK(A2378),"""",IFERROR(IF(H2378=""Sell"",VLOOKUP(9^99,FILTER({ROW(P$2:P2377),P$2:P2377},D$2:D2377=D2378),2),(VLOOKUP(9^99,FILTER({ROW(P$2:P2377),P$2:P2377},D$2:D2377=D2378),2)*VLOOKUP(9^99,FILTER({ROW(O$2:O2377),O$2:O2377},D$2:D2377=D2378),2)-N237"&amp;"8)/O2378),J2378))"),"")</f>
        <v/>
      </c>
      <c r="Q2378" s="264" t="str">
        <f>IFERROR(__xludf.DUMMYFUNCTION("IFERROR(IF(F2378=""Crypto"",B2378,(IF(ISBLANK(D2378),"""",IF(D2378=""Cash"",B2378,IF(GOOGLEFINANCE(D2378,""CURRENCY"")=""GBX"",""GBP"",GOOGLEFINANCE(D2378,""CURRENCY"")))))),B2378)"),"")</f>
        <v/>
      </c>
      <c r="R2378" s="263" t="str">
        <f>IFERROR(__xludf.DUMMYFUNCTION("IF(ISBLANK(A2378),"""",IFERROR(IF(OR(Q2378=""GPB"",Q2378=""ZAR""),IF(Q2378=Dashboard!$L$1,K2378,(K2378*GOOGLEFINANCE(""CURRENCY:""&amp;Q2378&amp;""""&amp;Dashboard!$L$1&amp;""""))/100),IF(Q2378=Dashboard!$L$1,K2378,K2378*GOOGLEFINANCE(""CURRENCY:""&amp;Q2378&amp;""""&amp;Dashboard!$"&amp;"L$1&amp;""""))),K2378))"),"")</f>
        <v/>
      </c>
      <c r="S2378" s="266" t="str">
        <f>IFERROR(__xludf.DUMMYFUNCTION("IF(ISBLANK(A2378),"""",IFERROR(IF(OR(Q2378=""GPB"",Q2378=""ZAR""),IF(Q2378=Dashboard!$L$1,M2378,(M2378*GOOGLEFINANCE(""CURRENCY:""&amp;Q2378&amp;""""&amp;Dashboard!$L$1&amp;""""))/100),IF(Q2378=Dashboard!$L$1,M2378,M2378*GOOGLEFINANCE(""CURRENCY:""&amp;Q2378&amp;""""&amp;Dashboard!$"&amp;"L$1&amp;""""))),M2378))"),"")</f>
        <v/>
      </c>
      <c r="T2378" s="264" t="str">
        <f t="shared" si="4"/>
        <v/>
      </c>
      <c r="U2378" s="264" t="str">
        <f t="shared" si="5"/>
        <v/>
      </c>
      <c r="V2378" s="264" t="str">
        <f t="shared" si="6"/>
        <v/>
      </c>
      <c r="W2378" s="267" t="str">
        <f t="shared" si="8"/>
        <v/>
      </c>
      <c r="X2378" s="264" t="str">
        <f t="shared" si="7"/>
        <v/>
      </c>
    </row>
    <row r="2379" ht="15.75" customHeight="1">
      <c r="A2379" s="258"/>
      <c r="B2379" s="258"/>
      <c r="C2379" s="269"/>
      <c r="D2379" s="258"/>
      <c r="E2379" s="258"/>
      <c r="F2379" s="258"/>
      <c r="G2379" s="258"/>
      <c r="H2379" s="271"/>
      <c r="I2379" s="258"/>
      <c r="J2379" s="272"/>
      <c r="K2379" s="260"/>
      <c r="L2379" s="261"/>
      <c r="M2379" s="262" t="str">
        <f t="shared" si="1"/>
        <v/>
      </c>
      <c r="N2379" s="263" t="str">
        <f t="shared" si="2"/>
        <v/>
      </c>
      <c r="O2379" s="264" t="str">
        <f t="shared" si="3"/>
        <v/>
      </c>
      <c r="P2379" s="265" t="str">
        <f>IFERROR(__xludf.DUMMYFUNCTION("IF(ISBLANK(A2379),"""",IFERROR(IF(H2379=""Sell"",VLOOKUP(9^99,FILTER({ROW(P$2:P2378),P$2:P2378},D$2:D2378=D2379),2),(VLOOKUP(9^99,FILTER({ROW(P$2:P2378),P$2:P2378},D$2:D2378=D2379),2)*VLOOKUP(9^99,FILTER({ROW(O$2:O2378),O$2:O2378},D$2:D2378=D2379),2)-N237"&amp;"9)/O2379),J2379))"),"")</f>
        <v/>
      </c>
      <c r="Q2379" s="264" t="str">
        <f>IFERROR(__xludf.DUMMYFUNCTION("IFERROR(IF(F2379=""Crypto"",B2379,(IF(ISBLANK(D2379),"""",IF(D2379=""Cash"",B2379,IF(GOOGLEFINANCE(D2379,""CURRENCY"")=""GBX"",""GBP"",GOOGLEFINANCE(D2379,""CURRENCY"")))))),B2379)"),"")</f>
        <v/>
      </c>
      <c r="R2379" s="263" t="str">
        <f>IFERROR(__xludf.DUMMYFUNCTION("IF(ISBLANK(A2379),"""",IFERROR(IF(OR(Q2379=""GPB"",Q2379=""ZAR""),IF(Q2379=Dashboard!$L$1,K2379,(K2379*GOOGLEFINANCE(""CURRENCY:""&amp;Q2379&amp;""""&amp;Dashboard!$L$1&amp;""""))/100),IF(Q2379=Dashboard!$L$1,K2379,K2379*GOOGLEFINANCE(""CURRENCY:""&amp;Q2379&amp;""""&amp;Dashboard!$"&amp;"L$1&amp;""""))),K2379))"),"")</f>
        <v/>
      </c>
      <c r="S2379" s="266" t="str">
        <f>IFERROR(__xludf.DUMMYFUNCTION("IF(ISBLANK(A2379),"""",IFERROR(IF(OR(Q2379=""GPB"",Q2379=""ZAR""),IF(Q2379=Dashboard!$L$1,M2379,(M2379*GOOGLEFINANCE(""CURRENCY:""&amp;Q2379&amp;""""&amp;Dashboard!$L$1&amp;""""))/100),IF(Q2379=Dashboard!$L$1,M2379,M2379*GOOGLEFINANCE(""CURRENCY:""&amp;Q2379&amp;""""&amp;Dashboard!$"&amp;"L$1&amp;""""))),M2379))"),"")</f>
        <v/>
      </c>
      <c r="T2379" s="264" t="str">
        <f t="shared" si="4"/>
        <v/>
      </c>
      <c r="U2379" s="264" t="str">
        <f t="shared" si="5"/>
        <v/>
      </c>
      <c r="V2379" s="264" t="str">
        <f t="shared" si="6"/>
        <v/>
      </c>
      <c r="W2379" s="267" t="str">
        <f t="shared" si="8"/>
        <v/>
      </c>
      <c r="X2379" s="264" t="str">
        <f t="shared" si="7"/>
        <v/>
      </c>
    </row>
    <row r="2380" ht="15.75" customHeight="1">
      <c r="A2380" s="258"/>
      <c r="B2380" s="258"/>
      <c r="C2380" s="269"/>
      <c r="D2380" s="258"/>
      <c r="E2380" s="258"/>
      <c r="F2380" s="258"/>
      <c r="G2380" s="258"/>
      <c r="H2380" s="271"/>
      <c r="I2380" s="258"/>
      <c r="J2380" s="272"/>
      <c r="K2380" s="260"/>
      <c r="L2380" s="261"/>
      <c r="M2380" s="262" t="str">
        <f t="shared" si="1"/>
        <v/>
      </c>
      <c r="N2380" s="263" t="str">
        <f t="shared" si="2"/>
        <v/>
      </c>
      <c r="O2380" s="264" t="str">
        <f t="shared" si="3"/>
        <v/>
      </c>
      <c r="P2380" s="265" t="str">
        <f>IFERROR(__xludf.DUMMYFUNCTION("IF(ISBLANK(A2380),"""",IFERROR(IF(H2380=""Sell"",VLOOKUP(9^99,FILTER({ROW(P$2:P2379),P$2:P2379},D$2:D2379=D2380),2),(VLOOKUP(9^99,FILTER({ROW(P$2:P2379),P$2:P2379},D$2:D2379=D2380),2)*VLOOKUP(9^99,FILTER({ROW(O$2:O2379),O$2:O2379},D$2:D2379=D2380),2)-N238"&amp;"0)/O2380),J2380))"),"")</f>
        <v/>
      </c>
      <c r="Q2380" s="264" t="str">
        <f>IFERROR(__xludf.DUMMYFUNCTION("IFERROR(IF(F2380=""Crypto"",B2380,(IF(ISBLANK(D2380),"""",IF(D2380=""Cash"",B2380,IF(GOOGLEFINANCE(D2380,""CURRENCY"")=""GBX"",""GBP"",GOOGLEFINANCE(D2380,""CURRENCY"")))))),B2380)"),"")</f>
        <v/>
      </c>
      <c r="R2380" s="263" t="str">
        <f>IFERROR(__xludf.DUMMYFUNCTION("IF(ISBLANK(A2380),"""",IFERROR(IF(OR(Q2380=""GPB"",Q2380=""ZAR""),IF(Q2380=Dashboard!$L$1,K2380,(K2380*GOOGLEFINANCE(""CURRENCY:""&amp;Q2380&amp;""""&amp;Dashboard!$L$1&amp;""""))/100),IF(Q2380=Dashboard!$L$1,K2380,K2380*GOOGLEFINANCE(""CURRENCY:""&amp;Q2380&amp;""""&amp;Dashboard!$"&amp;"L$1&amp;""""))),K2380))"),"")</f>
        <v/>
      </c>
      <c r="S2380" s="266" t="str">
        <f>IFERROR(__xludf.DUMMYFUNCTION("IF(ISBLANK(A2380),"""",IFERROR(IF(OR(Q2380=""GPB"",Q2380=""ZAR""),IF(Q2380=Dashboard!$L$1,M2380,(M2380*GOOGLEFINANCE(""CURRENCY:""&amp;Q2380&amp;""""&amp;Dashboard!$L$1&amp;""""))/100),IF(Q2380=Dashboard!$L$1,M2380,M2380*GOOGLEFINANCE(""CURRENCY:""&amp;Q2380&amp;""""&amp;Dashboard!$"&amp;"L$1&amp;""""))),M2380))"),"")</f>
        <v/>
      </c>
      <c r="T2380" s="264" t="str">
        <f t="shared" si="4"/>
        <v/>
      </c>
      <c r="U2380" s="264" t="str">
        <f t="shared" si="5"/>
        <v/>
      </c>
      <c r="V2380" s="264" t="str">
        <f t="shared" si="6"/>
        <v/>
      </c>
      <c r="W2380" s="267" t="str">
        <f t="shared" si="8"/>
        <v/>
      </c>
      <c r="X2380" s="264" t="str">
        <f t="shared" si="7"/>
        <v/>
      </c>
    </row>
    <row r="2381" ht="15.75" customHeight="1">
      <c r="A2381" s="258"/>
      <c r="B2381" s="258"/>
      <c r="C2381" s="269"/>
      <c r="D2381" s="258"/>
      <c r="E2381" s="258"/>
      <c r="F2381" s="258"/>
      <c r="G2381" s="258"/>
      <c r="H2381" s="271"/>
      <c r="I2381" s="258"/>
      <c r="J2381" s="272"/>
      <c r="K2381" s="260"/>
      <c r="L2381" s="261"/>
      <c r="M2381" s="262" t="str">
        <f t="shared" si="1"/>
        <v/>
      </c>
      <c r="N2381" s="263" t="str">
        <f t="shared" si="2"/>
        <v/>
      </c>
      <c r="O2381" s="264" t="str">
        <f t="shared" si="3"/>
        <v/>
      </c>
      <c r="P2381" s="265" t="str">
        <f>IFERROR(__xludf.DUMMYFUNCTION("IF(ISBLANK(A2381),"""",IFERROR(IF(H2381=""Sell"",VLOOKUP(9^99,FILTER({ROW(P$2:P2380),P$2:P2380},D$2:D2380=D2381),2),(VLOOKUP(9^99,FILTER({ROW(P$2:P2380),P$2:P2380},D$2:D2380=D2381),2)*VLOOKUP(9^99,FILTER({ROW(O$2:O2380),O$2:O2380},D$2:D2380=D2381),2)-N238"&amp;"1)/O2381),J2381))"),"")</f>
        <v/>
      </c>
      <c r="Q2381" s="264" t="str">
        <f>IFERROR(__xludf.DUMMYFUNCTION("IFERROR(IF(F2381=""Crypto"",B2381,(IF(ISBLANK(D2381),"""",IF(D2381=""Cash"",B2381,IF(GOOGLEFINANCE(D2381,""CURRENCY"")=""GBX"",""GBP"",GOOGLEFINANCE(D2381,""CURRENCY"")))))),B2381)"),"")</f>
        <v/>
      </c>
      <c r="R2381" s="263" t="str">
        <f>IFERROR(__xludf.DUMMYFUNCTION("IF(ISBLANK(A2381),"""",IFERROR(IF(OR(Q2381=""GPB"",Q2381=""ZAR""),IF(Q2381=Dashboard!$L$1,K2381,(K2381*GOOGLEFINANCE(""CURRENCY:""&amp;Q2381&amp;""""&amp;Dashboard!$L$1&amp;""""))/100),IF(Q2381=Dashboard!$L$1,K2381,K2381*GOOGLEFINANCE(""CURRENCY:""&amp;Q2381&amp;""""&amp;Dashboard!$"&amp;"L$1&amp;""""))),K2381))"),"")</f>
        <v/>
      </c>
      <c r="S2381" s="266" t="str">
        <f>IFERROR(__xludf.DUMMYFUNCTION("IF(ISBLANK(A2381),"""",IFERROR(IF(OR(Q2381=""GPB"",Q2381=""ZAR""),IF(Q2381=Dashboard!$L$1,M2381,(M2381*GOOGLEFINANCE(""CURRENCY:""&amp;Q2381&amp;""""&amp;Dashboard!$L$1&amp;""""))/100),IF(Q2381=Dashboard!$L$1,M2381,M2381*GOOGLEFINANCE(""CURRENCY:""&amp;Q2381&amp;""""&amp;Dashboard!$"&amp;"L$1&amp;""""))),M2381))"),"")</f>
        <v/>
      </c>
      <c r="T2381" s="264" t="str">
        <f t="shared" si="4"/>
        <v/>
      </c>
      <c r="U2381" s="264" t="str">
        <f t="shared" si="5"/>
        <v/>
      </c>
      <c r="V2381" s="264" t="str">
        <f t="shared" si="6"/>
        <v/>
      </c>
      <c r="W2381" s="267" t="str">
        <f t="shared" si="8"/>
        <v/>
      </c>
      <c r="X2381" s="264" t="str">
        <f t="shared" si="7"/>
        <v/>
      </c>
    </row>
    <row r="2382" ht="15.75" customHeight="1">
      <c r="A2382" s="258"/>
      <c r="B2382" s="258"/>
      <c r="C2382" s="269"/>
      <c r="D2382" s="258"/>
      <c r="E2382" s="258"/>
      <c r="F2382" s="258"/>
      <c r="G2382" s="258"/>
      <c r="H2382" s="271"/>
      <c r="I2382" s="258"/>
      <c r="J2382" s="272"/>
      <c r="K2382" s="260"/>
      <c r="L2382" s="261"/>
      <c r="M2382" s="262" t="str">
        <f t="shared" si="1"/>
        <v/>
      </c>
      <c r="N2382" s="263" t="str">
        <f t="shared" si="2"/>
        <v/>
      </c>
      <c r="O2382" s="264" t="str">
        <f t="shared" si="3"/>
        <v/>
      </c>
      <c r="P2382" s="265" t="str">
        <f>IFERROR(__xludf.DUMMYFUNCTION("IF(ISBLANK(A2382),"""",IFERROR(IF(H2382=""Sell"",VLOOKUP(9^99,FILTER({ROW(P$2:P2381),P$2:P2381},D$2:D2381=D2382),2),(VLOOKUP(9^99,FILTER({ROW(P$2:P2381),P$2:P2381},D$2:D2381=D2382),2)*VLOOKUP(9^99,FILTER({ROW(O$2:O2381),O$2:O2381},D$2:D2381=D2382),2)-N238"&amp;"2)/O2382),J2382))"),"")</f>
        <v/>
      </c>
      <c r="Q2382" s="264" t="str">
        <f>IFERROR(__xludf.DUMMYFUNCTION("IFERROR(IF(F2382=""Crypto"",B2382,(IF(ISBLANK(D2382),"""",IF(D2382=""Cash"",B2382,IF(GOOGLEFINANCE(D2382,""CURRENCY"")=""GBX"",""GBP"",GOOGLEFINANCE(D2382,""CURRENCY"")))))),B2382)"),"")</f>
        <v/>
      </c>
      <c r="R2382" s="263" t="str">
        <f>IFERROR(__xludf.DUMMYFUNCTION("IF(ISBLANK(A2382),"""",IFERROR(IF(OR(Q2382=""GPB"",Q2382=""ZAR""),IF(Q2382=Dashboard!$L$1,K2382,(K2382*GOOGLEFINANCE(""CURRENCY:""&amp;Q2382&amp;""""&amp;Dashboard!$L$1&amp;""""))/100),IF(Q2382=Dashboard!$L$1,K2382,K2382*GOOGLEFINANCE(""CURRENCY:""&amp;Q2382&amp;""""&amp;Dashboard!$"&amp;"L$1&amp;""""))),K2382))"),"")</f>
        <v/>
      </c>
      <c r="S2382" s="266" t="str">
        <f>IFERROR(__xludf.DUMMYFUNCTION("IF(ISBLANK(A2382),"""",IFERROR(IF(OR(Q2382=""GPB"",Q2382=""ZAR""),IF(Q2382=Dashboard!$L$1,M2382,(M2382*GOOGLEFINANCE(""CURRENCY:""&amp;Q2382&amp;""""&amp;Dashboard!$L$1&amp;""""))/100),IF(Q2382=Dashboard!$L$1,M2382,M2382*GOOGLEFINANCE(""CURRENCY:""&amp;Q2382&amp;""""&amp;Dashboard!$"&amp;"L$1&amp;""""))),M2382))"),"")</f>
        <v/>
      </c>
      <c r="T2382" s="264" t="str">
        <f t="shared" si="4"/>
        <v/>
      </c>
      <c r="U2382" s="264" t="str">
        <f t="shared" si="5"/>
        <v/>
      </c>
      <c r="V2382" s="264" t="str">
        <f t="shared" si="6"/>
        <v/>
      </c>
      <c r="W2382" s="267" t="str">
        <f t="shared" si="8"/>
        <v/>
      </c>
      <c r="X2382" s="264" t="str">
        <f t="shared" si="7"/>
        <v/>
      </c>
    </row>
    <row r="2383" ht="15.75" customHeight="1">
      <c r="A2383" s="258"/>
      <c r="B2383" s="258"/>
      <c r="C2383" s="269"/>
      <c r="D2383" s="258"/>
      <c r="E2383" s="258"/>
      <c r="F2383" s="258"/>
      <c r="G2383" s="258"/>
      <c r="H2383" s="271"/>
      <c r="I2383" s="258"/>
      <c r="J2383" s="272"/>
      <c r="K2383" s="260"/>
      <c r="L2383" s="261"/>
      <c r="M2383" s="262" t="str">
        <f t="shared" si="1"/>
        <v/>
      </c>
      <c r="N2383" s="263" t="str">
        <f t="shared" si="2"/>
        <v/>
      </c>
      <c r="O2383" s="264" t="str">
        <f t="shared" si="3"/>
        <v/>
      </c>
      <c r="P2383" s="265" t="str">
        <f>IFERROR(__xludf.DUMMYFUNCTION("IF(ISBLANK(A2383),"""",IFERROR(IF(H2383=""Sell"",VLOOKUP(9^99,FILTER({ROW(P$2:P2382),P$2:P2382},D$2:D2382=D2383),2),(VLOOKUP(9^99,FILTER({ROW(P$2:P2382),P$2:P2382},D$2:D2382=D2383),2)*VLOOKUP(9^99,FILTER({ROW(O$2:O2382),O$2:O2382},D$2:D2382=D2383),2)-N238"&amp;"3)/O2383),J2383))"),"")</f>
        <v/>
      </c>
      <c r="Q2383" s="264" t="str">
        <f>IFERROR(__xludf.DUMMYFUNCTION("IFERROR(IF(F2383=""Crypto"",B2383,(IF(ISBLANK(D2383),"""",IF(D2383=""Cash"",B2383,IF(GOOGLEFINANCE(D2383,""CURRENCY"")=""GBX"",""GBP"",GOOGLEFINANCE(D2383,""CURRENCY"")))))),B2383)"),"")</f>
        <v/>
      </c>
      <c r="R2383" s="263" t="str">
        <f>IFERROR(__xludf.DUMMYFUNCTION("IF(ISBLANK(A2383),"""",IFERROR(IF(OR(Q2383=""GPB"",Q2383=""ZAR""),IF(Q2383=Dashboard!$L$1,K2383,(K2383*GOOGLEFINANCE(""CURRENCY:""&amp;Q2383&amp;""""&amp;Dashboard!$L$1&amp;""""))/100),IF(Q2383=Dashboard!$L$1,K2383,K2383*GOOGLEFINANCE(""CURRENCY:""&amp;Q2383&amp;""""&amp;Dashboard!$"&amp;"L$1&amp;""""))),K2383))"),"")</f>
        <v/>
      </c>
      <c r="S2383" s="266" t="str">
        <f>IFERROR(__xludf.DUMMYFUNCTION("IF(ISBLANK(A2383),"""",IFERROR(IF(OR(Q2383=""GPB"",Q2383=""ZAR""),IF(Q2383=Dashboard!$L$1,M2383,(M2383*GOOGLEFINANCE(""CURRENCY:""&amp;Q2383&amp;""""&amp;Dashboard!$L$1&amp;""""))/100),IF(Q2383=Dashboard!$L$1,M2383,M2383*GOOGLEFINANCE(""CURRENCY:""&amp;Q2383&amp;""""&amp;Dashboard!$"&amp;"L$1&amp;""""))),M2383))"),"")</f>
        <v/>
      </c>
      <c r="T2383" s="264" t="str">
        <f t="shared" si="4"/>
        <v/>
      </c>
      <c r="U2383" s="264" t="str">
        <f t="shared" si="5"/>
        <v/>
      </c>
      <c r="V2383" s="264" t="str">
        <f t="shared" si="6"/>
        <v/>
      </c>
      <c r="W2383" s="267" t="str">
        <f t="shared" si="8"/>
        <v/>
      </c>
      <c r="X2383" s="264" t="str">
        <f t="shared" si="7"/>
        <v/>
      </c>
    </row>
    <row r="2384" ht="15.75" customHeight="1">
      <c r="A2384" s="258"/>
      <c r="B2384" s="258"/>
      <c r="C2384" s="269"/>
      <c r="D2384" s="258"/>
      <c r="E2384" s="258"/>
      <c r="F2384" s="258"/>
      <c r="G2384" s="258"/>
      <c r="H2384" s="271"/>
      <c r="I2384" s="258"/>
      <c r="J2384" s="272"/>
      <c r="K2384" s="260"/>
      <c r="L2384" s="261"/>
      <c r="M2384" s="262" t="str">
        <f t="shared" si="1"/>
        <v/>
      </c>
      <c r="N2384" s="263" t="str">
        <f t="shared" si="2"/>
        <v/>
      </c>
      <c r="O2384" s="264" t="str">
        <f t="shared" si="3"/>
        <v/>
      </c>
      <c r="P2384" s="265" t="str">
        <f>IFERROR(__xludf.DUMMYFUNCTION("IF(ISBLANK(A2384),"""",IFERROR(IF(H2384=""Sell"",VLOOKUP(9^99,FILTER({ROW(P$2:P2383),P$2:P2383},D$2:D2383=D2384),2),(VLOOKUP(9^99,FILTER({ROW(P$2:P2383),P$2:P2383},D$2:D2383=D2384),2)*VLOOKUP(9^99,FILTER({ROW(O$2:O2383),O$2:O2383},D$2:D2383=D2384),2)-N238"&amp;"4)/O2384),J2384))"),"")</f>
        <v/>
      </c>
      <c r="Q2384" s="264" t="str">
        <f>IFERROR(__xludf.DUMMYFUNCTION("IFERROR(IF(F2384=""Crypto"",B2384,(IF(ISBLANK(D2384),"""",IF(D2384=""Cash"",B2384,IF(GOOGLEFINANCE(D2384,""CURRENCY"")=""GBX"",""GBP"",GOOGLEFINANCE(D2384,""CURRENCY"")))))),B2384)"),"")</f>
        <v/>
      </c>
      <c r="R2384" s="263" t="str">
        <f>IFERROR(__xludf.DUMMYFUNCTION("IF(ISBLANK(A2384),"""",IFERROR(IF(OR(Q2384=""GPB"",Q2384=""ZAR""),IF(Q2384=Dashboard!$L$1,K2384,(K2384*GOOGLEFINANCE(""CURRENCY:""&amp;Q2384&amp;""""&amp;Dashboard!$L$1&amp;""""))/100),IF(Q2384=Dashboard!$L$1,K2384,K2384*GOOGLEFINANCE(""CURRENCY:""&amp;Q2384&amp;""""&amp;Dashboard!$"&amp;"L$1&amp;""""))),K2384))"),"")</f>
        <v/>
      </c>
      <c r="S2384" s="266" t="str">
        <f>IFERROR(__xludf.DUMMYFUNCTION("IF(ISBLANK(A2384),"""",IFERROR(IF(OR(Q2384=""GPB"",Q2384=""ZAR""),IF(Q2384=Dashboard!$L$1,M2384,(M2384*GOOGLEFINANCE(""CURRENCY:""&amp;Q2384&amp;""""&amp;Dashboard!$L$1&amp;""""))/100),IF(Q2384=Dashboard!$L$1,M2384,M2384*GOOGLEFINANCE(""CURRENCY:""&amp;Q2384&amp;""""&amp;Dashboard!$"&amp;"L$1&amp;""""))),M2384))"),"")</f>
        <v/>
      </c>
      <c r="T2384" s="264" t="str">
        <f t="shared" si="4"/>
        <v/>
      </c>
      <c r="U2384" s="264" t="str">
        <f t="shared" si="5"/>
        <v/>
      </c>
      <c r="V2384" s="264" t="str">
        <f t="shared" si="6"/>
        <v/>
      </c>
      <c r="W2384" s="267" t="str">
        <f t="shared" si="8"/>
        <v/>
      </c>
      <c r="X2384" s="264" t="str">
        <f t="shared" si="7"/>
        <v/>
      </c>
    </row>
    <row r="2385" ht="15.75" customHeight="1">
      <c r="A2385" s="258"/>
      <c r="B2385" s="258"/>
      <c r="C2385" s="269"/>
      <c r="D2385" s="258"/>
      <c r="E2385" s="258"/>
      <c r="F2385" s="258"/>
      <c r="G2385" s="258"/>
      <c r="H2385" s="271"/>
      <c r="I2385" s="258"/>
      <c r="J2385" s="272"/>
      <c r="K2385" s="260"/>
      <c r="L2385" s="261"/>
      <c r="M2385" s="262" t="str">
        <f t="shared" si="1"/>
        <v/>
      </c>
      <c r="N2385" s="263" t="str">
        <f t="shared" si="2"/>
        <v/>
      </c>
      <c r="O2385" s="264" t="str">
        <f t="shared" si="3"/>
        <v/>
      </c>
      <c r="P2385" s="265" t="str">
        <f>IFERROR(__xludf.DUMMYFUNCTION("IF(ISBLANK(A2385),"""",IFERROR(IF(H2385=""Sell"",VLOOKUP(9^99,FILTER({ROW(P$2:P2384),P$2:P2384},D$2:D2384=D2385),2),(VLOOKUP(9^99,FILTER({ROW(P$2:P2384),P$2:P2384},D$2:D2384=D2385),2)*VLOOKUP(9^99,FILTER({ROW(O$2:O2384),O$2:O2384},D$2:D2384=D2385),2)-N238"&amp;"5)/O2385),J2385))"),"")</f>
        <v/>
      </c>
      <c r="Q2385" s="264" t="str">
        <f>IFERROR(__xludf.DUMMYFUNCTION("IFERROR(IF(F2385=""Crypto"",B2385,(IF(ISBLANK(D2385),"""",IF(D2385=""Cash"",B2385,IF(GOOGLEFINANCE(D2385,""CURRENCY"")=""GBX"",""GBP"",GOOGLEFINANCE(D2385,""CURRENCY"")))))),B2385)"),"")</f>
        <v/>
      </c>
      <c r="R2385" s="263" t="str">
        <f>IFERROR(__xludf.DUMMYFUNCTION("IF(ISBLANK(A2385),"""",IFERROR(IF(OR(Q2385=""GPB"",Q2385=""ZAR""),IF(Q2385=Dashboard!$L$1,K2385,(K2385*GOOGLEFINANCE(""CURRENCY:""&amp;Q2385&amp;""""&amp;Dashboard!$L$1&amp;""""))/100),IF(Q2385=Dashboard!$L$1,K2385,K2385*GOOGLEFINANCE(""CURRENCY:""&amp;Q2385&amp;""""&amp;Dashboard!$"&amp;"L$1&amp;""""))),K2385))"),"")</f>
        <v/>
      </c>
      <c r="S2385" s="266" t="str">
        <f>IFERROR(__xludf.DUMMYFUNCTION("IF(ISBLANK(A2385),"""",IFERROR(IF(OR(Q2385=""GPB"",Q2385=""ZAR""),IF(Q2385=Dashboard!$L$1,M2385,(M2385*GOOGLEFINANCE(""CURRENCY:""&amp;Q2385&amp;""""&amp;Dashboard!$L$1&amp;""""))/100),IF(Q2385=Dashboard!$L$1,M2385,M2385*GOOGLEFINANCE(""CURRENCY:""&amp;Q2385&amp;""""&amp;Dashboard!$"&amp;"L$1&amp;""""))),M2385))"),"")</f>
        <v/>
      </c>
      <c r="T2385" s="264" t="str">
        <f t="shared" si="4"/>
        <v/>
      </c>
      <c r="U2385" s="264" t="str">
        <f t="shared" si="5"/>
        <v/>
      </c>
      <c r="V2385" s="264" t="str">
        <f t="shared" si="6"/>
        <v/>
      </c>
      <c r="W2385" s="267" t="str">
        <f t="shared" si="8"/>
        <v/>
      </c>
      <c r="X2385" s="264" t="str">
        <f t="shared" si="7"/>
        <v/>
      </c>
    </row>
    <row r="2386" ht="15.75" customHeight="1">
      <c r="A2386" s="258"/>
      <c r="B2386" s="258"/>
      <c r="C2386" s="269"/>
      <c r="D2386" s="258"/>
      <c r="E2386" s="258"/>
      <c r="F2386" s="258"/>
      <c r="G2386" s="258"/>
      <c r="H2386" s="271"/>
      <c r="I2386" s="258"/>
      <c r="J2386" s="272"/>
      <c r="K2386" s="260"/>
      <c r="L2386" s="261"/>
      <c r="M2386" s="262" t="str">
        <f t="shared" si="1"/>
        <v/>
      </c>
      <c r="N2386" s="263" t="str">
        <f t="shared" si="2"/>
        <v/>
      </c>
      <c r="O2386" s="264" t="str">
        <f t="shared" si="3"/>
        <v/>
      </c>
      <c r="P2386" s="265" t="str">
        <f>IFERROR(__xludf.DUMMYFUNCTION("IF(ISBLANK(A2386),"""",IFERROR(IF(H2386=""Sell"",VLOOKUP(9^99,FILTER({ROW(P$2:P2385),P$2:P2385},D$2:D2385=D2386),2),(VLOOKUP(9^99,FILTER({ROW(P$2:P2385),P$2:P2385},D$2:D2385=D2386),2)*VLOOKUP(9^99,FILTER({ROW(O$2:O2385),O$2:O2385},D$2:D2385=D2386),2)-N238"&amp;"6)/O2386),J2386))"),"")</f>
        <v/>
      </c>
      <c r="Q2386" s="264" t="str">
        <f>IFERROR(__xludf.DUMMYFUNCTION("IFERROR(IF(F2386=""Crypto"",B2386,(IF(ISBLANK(D2386),"""",IF(D2386=""Cash"",B2386,IF(GOOGLEFINANCE(D2386,""CURRENCY"")=""GBX"",""GBP"",GOOGLEFINANCE(D2386,""CURRENCY"")))))),B2386)"),"")</f>
        <v/>
      </c>
      <c r="R2386" s="263" t="str">
        <f>IFERROR(__xludf.DUMMYFUNCTION("IF(ISBLANK(A2386),"""",IFERROR(IF(OR(Q2386=""GPB"",Q2386=""ZAR""),IF(Q2386=Dashboard!$L$1,K2386,(K2386*GOOGLEFINANCE(""CURRENCY:""&amp;Q2386&amp;""""&amp;Dashboard!$L$1&amp;""""))/100),IF(Q2386=Dashboard!$L$1,K2386,K2386*GOOGLEFINANCE(""CURRENCY:""&amp;Q2386&amp;""""&amp;Dashboard!$"&amp;"L$1&amp;""""))),K2386))"),"")</f>
        <v/>
      </c>
      <c r="S2386" s="266" t="str">
        <f>IFERROR(__xludf.DUMMYFUNCTION("IF(ISBLANK(A2386),"""",IFERROR(IF(OR(Q2386=""GPB"",Q2386=""ZAR""),IF(Q2386=Dashboard!$L$1,M2386,(M2386*GOOGLEFINANCE(""CURRENCY:""&amp;Q2386&amp;""""&amp;Dashboard!$L$1&amp;""""))/100),IF(Q2386=Dashboard!$L$1,M2386,M2386*GOOGLEFINANCE(""CURRENCY:""&amp;Q2386&amp;""""&amp;Dashboard!$"&amp;"L$1&amp;""""))),M2386))"),"")</f>
        <v/>
      </c>
      <c r="T2386" s="264" t="str">
        <f t="shared" si="4"/>
        <v/>
      </c>
      <c r="U2386" s="264" t="str">
        <f t="shared" si="5"/>
        <v/>
      </c>
      <c r="V2386" s="264" t="str">
        <f t="shared" si="6"/>
        <v/>
      </c>
      <c r="W2386" s="267" t="str">
        <f t="shared" si="8"/>
        <v/>
      </c>
      <c r="X2386" s="264" t="str">
        <f t="shared" si="7"/>
        <v/>
      </c>
    </row>
    <row r="2387" ht="15.75" customHeight="1">
      <c r="A2387" s="258"/>
      <c r="B2387" s="258"/>
      <c r="C2387" s="269"/>
      <c r="D2387" s="258"/>
      <c r="E2387" s="258"/>
      <c r="F2387" s="258"/>
      <c r="G2387" s="258"/>
      <c r="H2387" s="271"/>
      <c r="I2387" s="258"/>
      <c r="J2387" s="272"/>
      <c r="K2387" s="260"/>
      <c r="L2387" s="261"/>
      <c r="M2387" s="262" t="str">
        <f t="shared" si="1"/>
        <v/>
      </c>
      <c r="N2387" s="263" t="str">
        <f t="shared" si="2"/>
        <v/>
      </c>
      <c r="O2387" s="264" t="str">
        <f t="shared" si="3"/>
        <v/>
      </c>
      <c r="P2387" s="265" t="str">
        <f>IFERROR(__xludf.DUMMYFUNCTION("IF(ISBLANK(A2387),"""",IFERROR(IF(H2387=""Sell"",VLOOKUP(9^99,FILTER({ROW(P$2:P2386),P$2:P2386},D$2:D2386=D2387),2),(VLOOKUP(9^99,FILTER({ROW(P$2:P2386),P$2:P2386},D$2:D2386=D2387),2)*VLOOKUP(9^99,FILTER({ROW(O$2:O2386),O$2:O2386},D$2:D2386=D2387),2)-N238"&amp;"7)/O2387),J2387))"),"")</f>
        <v/>
      </c>
      <c r="Q2387" s="264" t="str">
        <f>IFERROR(__xludf.DUMMYFUNCTION("IFERROR(IF(F2387=""Crypto"",B2387,(IF(ISBLANK(D2387),"""",IF(D2387=""Cash"",B2387,IF(GOOGLEFINANCE(D2387,""CURRENCY"")=""GBX"",""GBP"",GOOGLEFINANCE(D2387,""CURRENCY"")))))),B2387)"),"")</f>
        <v/>
      </c>
      <c r="R2387" s="263" t="str">
        <f>IFERROR(__xludf.DUMMYFUNCTION("IF(ISBLANK(A2387),"""",IFERROR(IF(OR(Q2387=""GPB"",Q2387=""ZAR""),IF(Q2387=Dashboard!$L$1,K2387,(K2387*GOOGLEFINANCE(""CURRENCY:""&amp;Q2387&amp;""""&amp;Dashboard!$L$1&amp;""""))/100),IF(Q2387=Dashboard!$L$1,K2387,K2387*GOOGLEFINANCE(""CURRENCY:""&amp;Q2387&amp;""""&amp;Dashboard!$"&amp;"L$1&amp;""""))),K2387))"),"")</f>
        <v/>
      </c>
      <c r="S2387" s="266" t="str">
        <f>IFERROR(__xludf.DUMMYFUNCTION("IF(ISBLANK(A2387),"""",IFERROR(IF(OR(Q2387=""GPB"",Q2387=""ZAR""),IF(Q2387=Dashboard!$L$1,M2387,(M2387*GOOGLEFINANCE(""CURRENCY:""&amp;Q2387&amp;""""&amp;Dashboard!$L$1&amp;""""))/100),IF(Q2387=Dashboard!$L$1,M2387,M2387*GOOGLEFINANCE(""CURRENCY:""&amp;Q2387&amp;""""&amp;Dashboard!$"&amp;"L$1&amp;""""))),M2387))"),"")</f>
        <v/>
      </c>
      <c r="T2387" s="264" t="str">
        <f t="shared" si="4"/>
        <v/>
      </c>
      <c r="U2387" s="264" t="str">
        <f t="shared" si="5"/>
        <v/>
      </c>
      <c r="V2387" s="264" t="str">
        <f t="shared" si="6"/>
        <v/>
      </c>
      <c r="W2387" s="267" t="str">
        <f t="shared" si="8"/>
        <v/>
      </c>
      <c r="X2387" s="264" t="str">
        <f t="shared" si="7"/>
        <v/>
      </c>
    </row>
    <row r="2388" ht="15.75" customHeight="1">
      <c r="A2388" s="258"/>
      <c r="B2388" s="258"/>
      <c r="C2388" s="269"/>
      <c r="D2388" s="258"/>
      <c r="E2388" s="258"/>
      <c r="F2388" s="258"/>
      <c r="G2388" s="258"/>
      <c r="H2388" s="271"/>
      <c r="I2388" s="258"/>
      <c r="J2388" s="272"/>
      <c r="K2388" s="260"/>
      <c r="L2388" s="261"/>
      <c r="M2388" s="262" t="str">
        <f t="shared" si="1"/>
        <v/>
      </c>
      <c r="N2388" s="263" t="str">
        <f t="shared" si="2"/>
        <v/>
      </c>
      <c r="O2388" s="264" t="str">
        <f t="shared" si="3"/>
        <v/>
      </c>
      <c r="P2388" s="265" t="str">
        <f>IFERROR(__xludf.DUMMYFUNCTION("IF(ISBLANK(A2388),"""",IFERROR(IF(H2388=""Sell"",VLOOKUP(9^99,FILTER({ROW(P$2:P2387),P$2:P2387},D$2:D2387=D2388),2),(VLOOKUP(9^99,FILTER({ROW(P$2:P2387),P$2:P2387},D$2:D2387=D2388),2)*VLOOKUP(9^99,FILTER({ROW(O$2:O2387),O$2:O2387},D$2:D2387=D2388),2)-N238"&amp;"8)/O2388),J2388))"),"")</f>
        <v/>
      </c>
      <c r="Q2388" s="264" t="str">
        <f>IFERROR(__xludf.DUMMYFUNCTION("IFERROR(IF(F2388=""Crypto"",B2388,(IF(ISBLANK(D2388),"""",IF(D2388=""Cash"",B2388,IF(GOOGLEFINANCE(D2388,""CURRENCY"")=""GBX"",""GBP"",GOOGLEFINANCE(D2388,""CURRENCY"")))))),B2388)"),"")</f>
        <v/>
      </c>
      <c r="R2388" s="263" t="str">
        <f>IFERROR(__xludf.DUMMYFUNCTION("IF(ISBLANK(A2388),"""",IFERROR(IF(OR(Q2388=""GPB"",Q2388=""ZAR""),IF(Q2388=Dashboard!$L$1,K2388,(K2388*GOOGLEFINANCE(""CURRENCY:""&amp;Q2388&amp;""""&amp;Dashboard!$L$1&amp;""""))/100),IF(Q2388=Dashboard!$L$1,K2388,K2388*GOOGLEFINANCE(""CURRENCY:""&amp;Q2388&amp;""""&amp;Dashboard!$"&amp;"L$1&amp;""""))),K2388))"),"")</f>
        <v/>
      </c>
      <c r="S2388" s="266" t="str">
        <f>IFERROR(__xludf.DUMMYFUNCTION("IF(ISBLANK(A2388),"""",IFERROR(IF(OR(Q2388=""GPB"",Q2388=""ZAR""),IF(Q2388=Dashboard!$L$1,M2388,(M2388*GOOGLEFINANCE(""CURRENCY:""&amp;Q2388&amp;""""&amp;Dashboard!$L$1&amp;""""))/100),IF(Q2388=Dashboard!$L$1,M2388,M2388*GOOGLEFINANCE(""CURRENCY:""&amp;Q2388&amp;""""&amp;Dashboard!$"&amp;"L$1&amp;""""))),M2388))"),"")</f>
        <v/>
      </c>
      <c r="T2388" s="264" t="str">
        <f t="shared" si="4"/>
        <v/>
      </c>
      <c r="U2388" s="264" t="str">
        <f t="shared" si="5"/>
        <v/>
      </c>
      <c r="V2388" s="264" t="str">
        <f t="shared" si="6"/>
        <v/>
      </c>
      <c r="W2388" s="267" t="str">
        <f t="shared" si="8"/>
        <v/>
      </c>
      <c r="X2388" s="264" t="str">
        <f t="shared" si="7"/>
        <v/>
      </c>
    </row>
    <row r="2389" ht="15.75" customHeight="1">
      <c r="A2389" s="258"/>
      <c r="B2389" s="258"/>
      <c r="C2389" s="269"/>
      <c r="D2389" s="258"/>
      <c r="E2389" s="258"/>
      <c r="F2389" s="258"/>
      <c r="G2389" s="258"/>
      <c r="H2389" s="271"/>
      <c r="I2389" s="258"/>
      <c r="J2389" s="272"/>
      <c r="K2389" s="260"/>
      <c r="L2389" s="261"/>
      <c r="M2389" s="262" t="str">
        <f t="shared" si="1"/>
        <v/>
      </c>
      <c r="N2389" s="263" t="str">
        <f t="shared" si="2"/>
        <v/>
      </c>
      <c r="O2389" s="264" t="str">
        <f t="shared" si="3"/>
        <v/>
      </c>
      <c r="P2389" s="265" t="str">
        <f>IFERROR(__xludf.DUMMYFUNCTION("IF(ISBLANK(A2389),"""",IFERROR(IF(H2389=""Sell"",VLOOKUP(9^99,FILTER({ROW(P$2:P2388),P$2:P2388},D$2:D2388=D2389),2),(VLOOKUP(9^99,FILTER({ROW(P$2:P2388),P$2:P2388},D$2:D2388=D2389),2)*VLOOKUP(9^99,FILTER({ROW(O$2:O2388),O$2:O2388},D$2:D2388=D2389),2)-N238"&amp;"9)/O2389),J2389))"),"")</f>
        <v/>
      </c>
      <c r="Q2389" s="264" t="str">
        <f>IFERROR(__xludf.DUMMYFUNCTION("IFERROR(IF(F2389=""Crypto"",B2389,(IF(ISBLANK(D2389),"""",IF(D2389=""Cash"",B2389,IF(GOOGLEFINANCE(D2389,""CURRENCY"")=""GBX"",""GBP"",GOOGLEFINANCE(D2389,""CURRENCY"")))))),B2389)"),"")</f>
        <v/>
      </c>
      <c r="R2389" s="263" t="str">
        <f>IFERROR(__xludf.DUMMYFUNCTION("IF(ISBLANK(A2389),"""",IFERROR(IF(OR(Q2389=""GPB"",Q2389=""ZAR""),IF(Q2389=Dashboard!$L$1,K2389,(K2389*GOOGLEFINANCE(""CURRENCY:""&amp;Q2389&amp;""""&amp;Dashboard!$L$1&amp;""""))/100),IF(Q2389=Dashboard!$L$1,K2389,K2389*GOOGLEFINANCE(""CURRENCY:""&amp;Q2389&amp;""""&amp;Dashboard!$"&amp;"L$1&amp;""""))),K2389))"),"")</f>
        <v/>
      </c>
      <c r="S2389" s="266" t="str">
        <f>IFERROR(__xludf.DUMMYFUNCTION("IF(ISBLANK(A2389),"""",IFERROR(IF(OR(Q2389=""GPB"",Q2389=""ZAR""),IF(Q2389=Dashboard!$L$1,M2389,(M2389*GOOGLEFINANCE(""CURRENCY:""&amp;Q2389&amp;""""&amp;Dashboard!$L$1&amp;""""))/100),IF(Q2389=Dashboard!$L$1,M2389,M2389*GOOGLEFINANCE(""CURRENCY:""&amp;Q2389&amp;""""&amp;Dashboard!$"&amp;"L$1&amp;""""))),M2389))"),"")</f>
        <v/>
      </c>
      <c r="T2389" s="264" t="str">
        <f t="shared" si="4"/>
        <v/>
      </c>
      <c r="U2389" s="264" t="str">
        <f t="shared" si="5"/>
        <v/>
      </c>
      <c r="V2389" s="264" t="str">
        <f t="shared" si="6"/>
        <v/>
      </c>
      <c r="W2389" s="267" t="str">
        <f t="shared" si="8"/>
        <v/>
      </c>
      <c r="X2389" s="264" t="str">
        <f t="shared" si="7"/>
        <v/>
      </c>
    </row>
    <row r="2390" ht="15.75" customHeight="1">
      <c r="A2390" s="258"/>
      <c r="B2390" s="258"/>
      <c r="C2390" s="269"/>
      <c r="D2390" s="258"/>
      <c r="E2390" s="258"/>
      <c r="F2390" s="258"/>
      <c r="G2390" s="258"/>
      <c r="H2390" s="271"/>
      <c r="I2390" s="258"/>
      <c r="J2390" s="272"/>
      <c r="K2390" s="260"/>
      <c r="L2390" s="261"/>
      <c r="M2390" s="262" t="str">
        <f t="shared" si="1"/>
        <v/>
      </c>
      <c r="N2390" s="263" t="str">
        <f t="shared" si="2"/>
        <v/>
      </c>
      <c r="O2390" s="264" t="str">
        <f t="shared" si="3"/>
        <v/>
      </c>
      <c r="P2390" s="265" t="str">
        <f>IFERROR(__xludf.DUMMYFUNCTION("IF(ISBLANK(A2390),"""",IFERROR(IF(H2390=""Sell"",VLOOKUP(9^99,FILTER({ROW(P$2:P2389),P$2:P2389},D$2:D2389=D2390),2),(VLOOKUP(9^99,FILTER({ROW(P$2:P2389),P$2:P2389},D$2:D2389=D2390),2)*VLOOKUP(9^99,FILTER({ROW(O$2:O2389),O$2:O2389},D$2:D2389=D2390),2)-N239"&amp;"0)/O2390),J2390))"),"")</f>
        <v/>
      </c>
      <c r="Q2390" s="264" t="str">
        <f>IFERROR(__xludf.DUMMYFUNCTION("IFERROR(IF(F2390=""Crypto"",B2390,(IF(ISBLANK(D2390),"""",IF(D2390=""Cash"",B2390,IF(GOOGLEFINANCE(D2390,""CURRENCY"")=""GBX"",""GBP"",GOOGLEFINANCE(D2390,""CURRENCY"")))))),B2390)"),"")</f>
        <v/>
      </c>
      <c r="R2390" s="263" t="str">
        <f>IFERROR(__xludf.DUMMYFUNCTION("IF(ISBLANK(A2390),"""",IFERROR(IF(OR(Q2390=""GPB"",Q2390=""ZAR""),IF(Q2390=Dashboard!$L$1,K2390,(K2390*GOOGLEFINANCE(""CURRENCY:""&amp;Q2390&amp;""""&amp;Dashboard!$L$1&amp;""""))/100),IF(Q2390=Dashboard!$L$1,K2390,K2390*GOOGLEFINANCE(""CURRENCY:""&amp;Q2390&amp;""""&amp;Dashboard!$"&amp;"L$1&amp;""""))),K2390))"),"")</f>
        <v/>
      </c>
      <c r="S2390" s="266" t="str">
        <f>IFERROR(__xludf.DUMMYFUNCTION("IF(ISBLANK(A2390),"""",IFERROR(IF(OR(Q2390=""GPB"",Q2390=""ZAR""),IF(Q2390=Dashboard!$L$1,M2390,(M2390*GOOGLEFINANCE(""CURRENCY:""&amp;Q2390&amp;""""&amp;Dashboard!$L$1&amp;""""))/100),IF(Q2390=Dashboard!$L$1,M2390,M2390*GOOGLEFINANCE(""CURRENCY:""&amp;Q2390&amp;""""&amp;Dashboard!$"&amp;"L$1&amp;""""))),M2390))"),"")</f>
        <v/>
      </c>
      <c r="T2390" s="264" t="str">
        <f t="shared" si="4"/>
        <v/>
      </c>
      <c r="U2390" s="264" t="str">
        <f t="shared" si="5"/>
        <v/>
      </c>
      <c r="V2390" s="264" t="str">
        <f t="shared" si="6"/>
        <v/>
      </c>
      <c r="W2390" s="267" t="str">
        <f t="shared" si="8"/>
        <v/>
      </c>
      <c r="X2390" s="264" t="str">
        <f t="shared" si="7"/>
        <v/>
      </c>
    </row>
    <row r="2391" ht="15.75" customHeight="1">
      <c r="A2391" s="258"/>
      <c r="B2391" s="258"/>
      <c r="C2391" s="269"/>
      <c r="D2391" s="258"/>
      <c r="E2391" s="258"/>
      <c r="F2391" s="258"/>
      <c r="G2391" s="258"/>
      <c r="H2391" s="271"/>
      <c r="I2391" s="258"/>
      <c r="J2391" s="272"/>
      <c r="K2391" s="260"/>
      <c r="L2391" s="261"/>
      <c r="M2391" s="262" t="str">
        <f t="shared" si="1"/>
        <v/>
      </c>
      <c r="N2391" s="263" t="str">
        <f t="shared" si="2"/>
        <v/>
      </c>
      <c r="O2391" s="264" t="str">
        <f t="shared" si="3"/>
        <v/>
      </c>
      <c r="P2391" s="265" t="str">
        <f>IFERROR(__xludf.DUMMYFUNCTION("IF(ISBLANK(A2391),"""",IFERROR(IF(H2391=""Sell"",VLOOKUP(9^99,FILTER({ROW(P$2:P2390),P$2:P2390},D$2:D2390=D2391),2),(VLOOKUP(9^99,FILTER({ROW(P$2:P2390),P$2:P2390},D$2:D2390=D2391),2)*VLOOKUP(9^99,FILTER({ROW(O$2:O2390),O$2:O2390},D$2:D2390=D2391),2)-N239"&amp;"1)/O2391),J2391))"),"")</f>
        <v/>
      </c>
      <c r="Q2391" s="264" t="str">
        <f>IFERROR(__xludf.DUMMYFUNCTION("IFERROR(IF(F2391=""Crypto"",B2391,(IF(ISBLANK(D2391),"""",IF(D2391=""Cash"",B2391,IF(GOOGLEFINANCE(D2391,""CURRENCY"")=""GBX"",""GBP"",GOOGLEFINANCE(D2391,""CURRENCY"")))))),B2391)"),"")</f>
        <v/>
      </c>
      <c r="R2391" s="263" t="str">
        <f>IFERROR(__xludf.DUMMYFUNCTION("IF(ISBLANK(A2391),"""",IFERROR(IF(OR(Q2391=""GPB"",Q2391=""ZAR""),IF(Q2391=Dashboard!$L$1,K2391,(K2391*GOOGLEFINANCE(""CURRENCY:""&amp;Q2391&amp;""""&amp;Dashboard!$L$1&amp;""""))/100),IF(Q2391=Dashboard!$L$1,K2391,K2391*GOOGLEFINANCE(""CURRENCY:""&amp;Q2391&amp;""""&amp;Dashboard!$"&amp;"L$1&amp;""""))),K2391))"),"")</f>
        <v/>
      </c>
      <c r="S2391" s="266" t="str">
        <f>IFERROR(__xludf.DUMMYFUNCTION("IF(ISBLANK(A2391),"""",IFERROR(IF(OR(Q2391=""GPB"",Q2391=""ZAR""),IF(Q2391=Dashboard!$L$1,M2391,(M2391*GOOGLEFINANCE(""CURRENCY:""&amp;Q2391&amp;""""&amp;Dashboard!$L$1&amp;""""))/100),IF(Q2391=Dashboard!$L$1,M2391,M2391*GOOGLEFINANCE(""CURRENCY:""&amp;Q2391&amp;""""&amp;Dashboard!$"&amp;"L$1&amp;""""))),M2391))"),"")</f>
        <v/>
      </c>
      <c r="T2391" s="264" t="str">
        <f t="shared" si="4"/>
        <v/>
      </c>
      <c r="U2391" s="264" t="str">
        <f t="shared" si="5"/>
        <v/>
      </c>
      <c r="V2391" s="264" t="str">
        <f t="shared" si="6"/>
        <v/>
      </c>
      <c r="W2391" s="267" t="str">
        <f t="shared" si="8"/>
        <v/>
      </c>
      <c r="X2391" s="264" t="str">
        <f t="shared" si="7"/>
        <v/>
      </c>
    </row>
    <row r="2392" ht="15.75" customHeight="1">
      <c r="A2392" s="258"/>
      <c r="B2392" s="258"/>
      <c r="C2392" s="269"/>
      <c r="D2392" s="258"/>
      <c r="E2392" s="258"/>
      <c r="F2392" s="258"/>
      <c r="G2392" s="258"/>
      <c r="H2392" s="271"/>
      <c r="I2392" s="258"/>
      <c r="J2392" s="272"/>
      <c r="K2392" s="260"/>
      <c r="L2392" s="261"/>
      <c r="M2392" s="262" t="str">
        <f t="shared" si="1"/>
        <v/>
      </c>
      <c r="N2392" s="263" t="str">
        <f t="shared" si="2"/>
        <v/>
      </c>
      <c r="O2392" s="264" t="str">
        <f t="shared" si="3"/>
        <v/>
      </c>
      <c r="P2392" s="265" t="str">
        <f>IFERROR(__xludf.DUMMYFUNCTION("IF(ISBLANK(A2392),"""",IFERROR(IF(H2392=""Sell"",VLOOKUP(9^99,FILTER({ROW(P$2:P2391),P$2:P2391},D$2:D2391=D2392),2),(VLOOKUP(9^99,FILTER({ROW(P$2:P2391),P$2:P2391},D$2:D2391=D2392),2)*VLOOKUP(9^99,FILTER({ROW(O$2:O2391),O$2:O2391},D$2:D2391=D2392),2)-N239"&amp;"2)/O2392),J2392))"),"")</f>
        <v/>
      </c>
      <c r="Q2392" s="264" t="str">
        <f>IFERROR(__xludf.DUMMYFUNCTION("IFERROR(IF(F2392=""Crypto"",B2392,(IF(ISBLANK(D2392),"""",IF(D2392=""Cash"",B2392,IF(GOOGLEFINANCE(D2392,""CURRENCY"")=""GBX"",""GBP"",GOOGLEFINANCE(D2392,""CURRENCY"")))))),B2392)"),"")</f>
        <v/>
      </c>
      <c r="R2392" s="263" t="str">
        <f>IFERROR(__xludf.DUMMYFUNCTION("IF(ISBLANK(A2392),"""",IFERROR(IF(OR(Q2392=""GPB"",Q2392=""ZAR""),IF(Q2392=Dashboard!$L$1,K2392,(K2392*GOOGLEFINANCE(""CURRENCY:""&amp;Q2392&amp;""""&amp;Dashboard!$L$1&amp;""""))/100),IF(Q2392=Dashboard!$L$1,K2392,K2392*GOOGLEFINANCE(""CURRENCY:""&amp;Q2392&amp;""""&amp;Dashboard!$"&amp;"L$1&amp;""""))),K2392))"),"")</f>
        <v/>
      </c>
      <c r="S2392" s="266" t="str">
        <f>IFERROR(__xludf.DUMMYFUNCTION("IF(ISBLANK(A2392),"""",IFERROR(IF(OR(Q2392=""GPB"",Q2392=""ZAR""),IF(Q2392=Dashboard!$L$1,M2392,(M2392*GOOGLEFINANCE(""CURRENCY:""&amp;Q2392&amp;""""&amp;Dashboard!$L$1&amp;""""))/100),IF(Q2392=Dashboard!$L$1,M2392,M2392*GOOGLEFINANCE(""CURRENCY:""&amp;Q2392&amp;""""&amp;Dashboard!$"&amp;"L$1&amp;""""))),M2392))"),"")</f>
        <v/>
      </c>
      <c r="T2392" s="264" t="str">
        <f t="shared" si="4"/>
        <v/>
      </c>
      <c r="U2392" s="264" t="str">
        <f t="shared" si="5"/>
        <v/>
      </c>
      <c r="V2392" s="264" t="str">
        <f t="shared" si="6"/>
        <v/>
      </c>
      <c r="W2392" s="267" t="str">
        <f t="shared" si="8"/>
        <v/>
      </c>
      <c r="X2392" s="264" t="str">
        <f t="shared" si="7"/>
        <v/>
      </c>
    </row>
    <row r="2393" ht="15.75" customHeight="1">
      <c r="A2393" s="258"/>
      <c r="B2393" s="258"/>
      <c r="C2393" s="269"/>
      <c r="D2393" s="258"/>
      <c r="E2393" s="258"/>
      <c r="F2393" s="258"/>
      <c r="G2393" s="258"/>
      <c r="H2393" s="271"/>
      <c r="I2393" s="258"/>
      <c r="J2393" s="272"/>
      <c r="K2393" s="260"/>
      <c r="L2393" s="261"/>
      <c r="M2393" s="262" t="str">
        <f t="shared" si="1"/>
        <v/>
      </c>
      <c r="N2393" s="263" t="str">
        <f t="shared" si="2"/>
        <v/>
      </c>
      <c r="O2393" s="264" t="str">
        <f t="shared" si="3"/>
        <v/>
      </c>
      <c r="P2393" s="265" t="str">
        <f>IFERROR(__xludf.DUMMYFUNCTION("IF(ISBLANK(A2393),"""",IFERROR(IF(H2393=""Sell"",VLOOKUP(9^99,FILTER({ROW(P$2:P2392),P$2:P2392},D$2:D2392=D2393),2),(VLOOKUP(9^99,FILTER({ROW(P$2:P2392),P$2:P2392},D$2:D2392=D2393),2)*VLOOKUP(9^99,FILTER({ROW(O$2:O2392),O$2:O2392},D$2:D2392=D2393),2)-N239"&amp;"3)/O2393),J2393))"),"")</f>
        <v/>
      </c>
      <c r="Q2393" s="264" t="str">
        <f>IFERROR(__xludf.DUMMYFUNCTION("IFERROR(IF(F2393=""Crypto"",B2393,(IF(ISBLANK(D2393),"""",IF(D2393=""Cash"",B2393,IF(GOOGLEFINANCE(D2393,""CURRENCY"")=""GBX"",""GBP"",GOOGLEFINANCE(D2393,""CURRENCY"")))))),B2393)"),"")</f>
        <v/>
      </c>
      <c r="R2393" s="263" t="str">
        <f>IFERROR(__xludf.DUMMYFUNCTION("IF(ISBLANK(A2393),"""",IFERROR(IF(OR(Q2393=""GPB"",Q2393=""ZAR""),IF(Q2393=Dashboard!$L$1,K2393,(K2393*GOOGLEFINANCE(""CURRENCY:""&amp;Q2393&amp;""""&amp;Dashboard!$L$1&amp;""""))/100),IF(Q2393=Dashboard!$L$1,K2393,K2393*GOOGLEFINANCE(""CURRENCY:""&amp;Q2393&amp;""""&amp;Dashboard!$"&amp;"L$1&amp;""""))),K2393))"),"")</f>
        <v/>
      </c>
      <c r="S2393" s="266" t="str">
        <f>IFERROR(__xludf.DUMMYFUNCTION("IF(ISBLANK(A2393),"""",IFERROR(IF(OR(Q2393=""GPB"",Q2393=""ZAR""),IF(Q2393=Dashboard!$L$1,M2393,(M2393*GOOGLEFINANCE(""CURRENCY:""&amp;Q2393&amp;""""&amp;Dashboard!$L$1&amp;""""))/100),IF(Q2393=Dashboard!$L$1,M2393,M2393*GOOGLEFINANCE(""CURRENCY:""&amp;Q2393&amp;""""&amp;Dashboard!$"&amp;"L$1&amp;""""))),M2393))"),"")</f>
        <v/>
      </c>
      <c r="T2393" s="264" t="str">
        <f t="shared" si="4"/>
        <v/>
      </c>
      <c r="U2393" s="264" t="str">
        <f t="shared" si="5"/>
        <v/>
      </c>
      <c r="V2393" s="264" t="str">
        <f t="shared" si="6"/>
        <v/>
      </c>
      <c r="W2393" s="267" t="str">
        <f t="shared" si="8"/>
        <v/>
      </c>
      <c r="X2393" s="264" t="str">
        <f t="shared" si="7"/>
        <v/>
      </c>
    </row>
    <row r="2394" ht="15.75" customHeight="1">
      <c r="A2394" s="258"/>
      <c r="B2394" s="258"/>
      <c r="C2394" s="269"/>
      <c r="D2394" s="258"/>
      <c r="E2394" s="258"/>
      <c r="F2394" s="258"/>
      <c r="G2394" s="258"/>
      <c r="H2394" s="271"/>
      <c r="I2394" s="258"/>
      <c r="J2394" s="272"/>
      <c r="K2394" s="260"/>
      <c r="L2394" s="261"/>
      <c r="M2394" s="262" t="str">
        <f t="shared" si="1"/>
        <v/>
      </c>
      <c r="N2394" s="263" t="str">
        <f t="shared" si="2"/>
        <v/>
      </c>
      <c r="O2394" s="264" t="str">
        <f t="shared" si="3"/>
        <v/>
      </c>
      <c r="P2394" s="265" t="str">
        <f>IFERROR(__xludf.DUMMYFUNCTION("IF(ISBLANK(A2394),"""",IFERROR(IF(H2394=""Sell"",VLOOKUP(9^99,FILTER({ROW(P$2:P2393),P$2:P2393},D$2:D2393=D2394),2),(VLOOKUP(9^99,FILTER({ROW(P$2:P2393),P$2:P2393},D$2:D2393=D2394),2)*VLOOKUP(9^99,FILTER({ROW(O$2:O2393),O$2:O2393},D$2:D2393=D2394),2)-N239"&amp;"4)/O2394),J2394))"),"")</f>
        <v/>
      </c>
      <c r="Q2394" s="264" t="str">
        <f>IFERROR(__xludf.DUMMYFUNCTION("IFERROR(IF(F2394=""Crypto"",B2394,(IF(ISBLANK(D2394),"""",IF(D2394=""Cash"",B2394,IF(GOOGLEFINANCE(D2394,""CURRENCY"")=""GBX"",""GBP"",GOOGLEFINANCE(D2394,""CURRENCY"")))))),B2394)"),"")</f>
        <v/>
      </c>
      <c r="R2394" s="263" t="str">
        <f>IFERROR(__xludf.DUMMYFUNCTION("IF(ISBLANK(A2394),"""",IFERROR(IF(OR(Q2394=""GPB"",Q2394=""ZAR""),IF(Q2394=Dashboard!$L$1,K2394,(K2394*GOOGLEFINANCE(""CURRENCY:""&amp;Q2394&amp;""""&amp;Dashboard!$L$1&amp;""""))/100),IF(Q2394=Dashboard!$L$1,K2394,K2394*GOOGLEFINANCE(""CURRENCY:""&amp;Q2394&amp;""""&amp;Dashboard!$"&amp;"L$1&amp;""""))),K2394))"),"")</f>
        <v/>
      </c>
      <c r="S2394" s="266" t="str">
        <f>IFERROR(__xludf.DUMMYFUNCTION("IF(ISBLANK(A2394),"""",IFERROR(IF(OR(Q2394=""GPB"",Q2394=""ZAR""),IF(Q2394=Dashboard!$L$1,M2394,(M2394*GOOGLEFINANCE(""CURRENCY:""&amp;Q2394&amp;""""&amp;Dashboard!$L$1&amp;""""))/100),IF(Q2394=Dashboard!$L$1,M2394,M2394*GOOGLEFINANCE(""CURRENCY:""&amp;Q2394&amp;""""&amp;Dashboard!$"&amp;"L$1&amp;""""))),M2394))"),"")</f>
        <v/>
      </c>
      <c r="T2394" s="264" t="str">
        <f t="shared" si="4"/>
        <v/>
      </c>
      <c r="U2394" s="264" t="str">
        <f t="shared" si="5"/>
        <v/>
      </c>
      <c r="V2394" s="264" t="str">
        <f t="shared" si="6"/>
        <v/>
      </c>
      <c r="W2394" s="267" t="str">
        <f t="shared" si="8"/>
        <v/>
      </c>
      <c r="X2394" s="264" t="str">
        <f t="shared" si="7"/>
        <v/>
      </c>
    </row>
    <row r="2395" ht="15.75" customHeight="1">
      <c r="A2395" s="258"/>
      <c r="B2395" s="258"/>
      <c r="C2395" s="269"/>
      <c r="D2395" s="258"/>
      <c r="E2395" s="258"/>
      <c r="F2395" s="258"/>
      <c r="G2395" s="258"/>
      <c r="H2395" s="271"/>
      <c r="I2395" s="258"/>
      <c r="J2395" s="272"/>
      <c r="K2395" s="260"/>
      <c r="L2395" s="261"/>
      <c r="M2395" s="262" t="str">
        <f t="shared" si="1"/>
        <v/>
      </c>
      <c r="N2395" s="263" t="str">
        <f t="shared" si="2"/>
        <v/>
      </c>
      <c r="O2395" s="264" t="str">
        <f t="shared" si="3"/>
        <v/>
      </c>
      <c r="P2395" s="265" t="str">
        <f>IFERROR(__xludf.DUMMYFUNCTION("IF(ISBLANK(A2395),"""",IFERROR(IF(H2395=""Sell"",VLOOKUP(9^99,FILTER({ROW(P$2:P2394),P$2:P2394},D$2:D2394=D2395),2),(VLOOKUP(9^99,FILTER({ROW(P$2:P2394),P$2:P2394},D$2:D2394=D2395),2)*VLOOKUP(9^99,FILTER({ROW(O$2:O2394),O$2:O2394},D$2:D2394=D2395),2)-N239"&amp;"5)/O2395),J2395))"),"")</f>
        <v/>
      </c>
      <c r="Q2395" s="264" t="str">
        <f>IFERROR(__xludf.DUMMYFUNCTION("IFERROR(IF(F2395=""Crypto"",B2395,(IF(ISBLANK(D2395),"""",IF(D2395=""Cash"",B2395,IF(GOOGLEFINANCE(D2395,""CURRENCY"")=""GBX"",""GBP"",GOOGLEFINANCE(D2395,""CURRENCY"")))))),B2395)"),"")</f>
        <v/>
      </c>
      <c r="R2395" s="263" t="str">
        <f>IFERROR(__xludf.DUMMYFUNCTION("IF(ISBLANK(A2395),"""",IFERROR(IF(OR(Q2395=""GPB"",Q2395=""ZAR""),IF(Q2395=Dashboard!$L$1,K2395,(K2395*GOOGLEFINANCE(""CURRENCY:""&amp;Q2395&amp;""""&amp;Dashboard!$L$1&amp;""""))/100),IF(Q2395=Dashboard!$L$1,K2395,K2395*GOOGLEFINANCE(""CURRENCY:""&amp;Q2395&amp;""""&amp;Dashboard!$"&amp;"L$1&amp;""""))),K2395))"),"")</f>
        <v/>
      </c>
      <c r="S2395" s="266" t="str">
        <f>IFERROR(__xludf.DUMMYFUNCTION("IF(ISBLANK(A2395),"""",IFERROR(IF(OR(Q2395=""GPB"",Q2395=""ZAR""),IF(Q2395=Dashboard!$L$1,M2395,(M2395*GOOGLEFINANCE(""CURRENCY:""&amp;Q2395&amp;""""&amp;Dashboard!$L$1&amp;""""))/100),IF(Q2395=Dashboard!$L$1,M2395,M2395*GOOGLEFINANCE(""CURRENCY:""&amp;Q2395&amp;""""&amp;Dashboard!$"&amp;"L$1&amp;""""))),M2395))"),"")</f>
        <v/>
      </c>
      <c r="T2395" s="264" t="str">
        <f t="shared" si="4"/>
        <v/>
      </c>
      <c r="U2395" s="264" t="str">
        <f t="shared" si="5"/>
        <v/>
      </c>
      <c r="V2395" s="264" t="str">
        <f t="shared" si="6"/>
        <v/>
      </c>
      <c r="W2395" s="267" t="str">
        <f t="shared" si="8"/>
        <v/>
      </c>
      <c r="X2395" s="264" t="str">
        <f t="shared" si="7"/>
        <v/>
      </c>
    </row>
    <row r="2396" ht="15.75" customHeight="1">
      <c r="A2396" s="258"/>
      <c r="B2396" s="258"/>
      <c r="C2396" s="269"/>
      <c r="D2396" s="258"/>
      <c r="E2396" s="258"/>
      <c r="F2396" s="258"/>
      <c r="G2396" s="258"/>
      <c r="H2396" s="271"/>
      <c r="I2396" s="258"/>
      <c r="J2396" s="272"/>
      <c r="K2396" s="260"/>
      <c r="L2396" s="261"/>
      <c r="M2396" s="262" t="str">
        <f t="shared" si="1"/>
        <v/>
      </c>
      <c r="N2396" s="263" t="str">
        <f t="shared" si="2"/>
        <v/>
      </c>
      <c r="O2396" s="264" t="str">
        <f t="shared" si="3"/>
        <v/>
      </c>
      <c r="P2396" s="265" t="str">
        <f>IFERROR(__xludf.DUMMYFUNCTION("IF(ISBLANK(A2396),"""",IFERROR(IF(H2396=""Sell"",VLOOKUP(9^99,FILTER({ROW(P$2:P2395),P$2:P2395},D$2:D2395=D2396),2),(VLOOKUP(9^99,FILTER({ROW(P$2:P2395),P$2:P2395},D$2:D2395=D2396),2)*VLOOKUP(9^99,FILTER({ROW(O$2:O2395),O$2:O2395},D$2:D2395=D2396),2)-N239"&amp;"6)/O2396),J2396))"),"")</f>
        <v/>
      </c>
      <c r="Q2396" s="264" t="str">
        <f>IFERROR(__xludf.DUMMYFUNCTION("IFERROR(IF(F2396=""Crypto"",B2396,(IF(ISBLANK(D2396),"""",IF(D2396=""Cash"",B2396,IF(GOOGLEFINANCE(D2396,""CURRENCY"")=""GBX"",""GBP"",GOOGLEFINANCE(D2396,""CURRENCY"")))))),B2396)"),"")</f>
        <v/>
      </c>
      <c r="R2396" s="263" t="str">
        <f>IFERROR(__xludf.DUMMYFUNCTION("IF(ISBLANK(A2396),"""",IFERROR(IF(OR(Q2396=""GPB"",Q2396=""ZAR""),IF(Q2396=Dashboard!$L$1,K2396,(K2396*GOOGLEFINANCE(""CURRENCY:""&amp;Q2396&amp;""""&amp;Dashboard!$L$1&amp;""""))/100),IF(Q2396=Dashboard!$L$1,K2396,K2396*GOOGLEFINANCE(""CURRENCY:""&amp;Q2396&amp;""""&amp;Dashboard!$"&amp;"L$1&amp;""""))),K2396))"),"")</f>
        <v/>
      </c>
      <c r="S2396" s="266" t="str">
        <f>IFERROR(__xludf.DUMMYFUNCTION("IF(ISBLANK(A2396),"""",IFERROR(IF(OR(Q2396=""GPB"",Q2396=""ZAR""),IF(Q2396=Dashboard!$L$1,M2396,(M2396*GOOGLEFINANCE(""CURRENCY:""&amp;Q2396&amp;""""&amp;Dashboard!$L$1&amp;""""))/100),IF(Q2396=Dashboard!$L$1,M2396,M2396*GOOGLEFINANCE(""CURRENCY:""&amp;Q2396&amp;""""&amp;Dashboard!$"&amp;"L$1&amp;""""))),M2396))"),"")</f>
        <v/>
      </c>
      <c r="T2396" s="264" t="str">
        <f t="shared" si="4"/>
        <v/>
      </c>
      <c r="U2396" s="264" t="str">
        <f t="shared" si="5"/>
        <v/>
      </c>
      <c r="V2396" s="264" t="str">
        <f t="shared" si="6"/>
        <v/>
      </c>
      <c r="W2396" s="267" t="str">
        <f t="shared" si="8"/>
        <v/>
      </c>
      <c r="X2396" s="264" t="str">
        <f t="shared" si="7"/>
        <v/>
      </c>
    </row>
    <row r="2397" ht="15.75" customHeight="1">
      <c r="A2397" s="258"/>
      <c r="B2397" s="258"/>
      <c r="C2397" s="269"/>
      <c r="D2397" s="258"/>
      <c r="E2397" s="258"/>
      <c r="F2397" s="258"/>
      <c r="G2397" s="258"/>
      <c r="H2397" s="271"/>
      <c r="I2397" s="258"/>
      <c r="J2397" s="272"/>
      <c r="K2397" s="260"/>
      <c r="L2397" s="261"/>
      <c r="M2397" s="262" t="str">
        <f t="shared" si="1"/>
        <v/>
      </c>
      <c r="N2397" s="263" t="str">
        <f t="shared" si="2"/>
        <v/>
      </c>
      <c r="O2397" s="264" t="str">
        <f t="shared" si="3"/>
        <v/>
      </c>
      <c r="P2397" s="265" t="str">
        <f>IFERROR(__xludf.DUMMYFUNCTION("IF(ISBLANK(A2397),"""",IFERROR(IF(H2397=""Sell"",VLOOKUP(9^99,FILTER({ROW(P$2:P2396),P$2:P2396},D$2:D2396=D2397),2),(VLOOKUP(9^99,FILTER({ROW(P$2:P2396),P$2:P2396},D$2:D2396=D2397),2)*VLOOKUP(9^99,FILTER({ROW(O$2:O2396),O$2:O2396},D$2:D2396=D2397),2)-N239"&amp;"7)/O2397),J2397))"),"")</f>
        <v/>
      </c>
      <c r="Q2397" s="264" t="str">
        <f>IFERROR(__xludf.DUMMYFUNCTION("IFERROR(IF(F2397=""Crypto"",B2397,(IF(ISBLANK(D2397),"""",IF(D2397=""Cash"",B2397,IF(GOOGLEFINANCE(D2397,""CURRENCY"")=""GBX"",""GBP"",GOOGLEFINANCE(D2397,""CURRENCY"")))))),B2397)"),"")</f>
        <v/>
      </c>
      <c r="R2397" s="263" t="str">
        <f>IFERROR(__xludf.DUMMYFUNCTION("IF(ISBLANK(A2397),"""",IFERROR(IF(OR(Q2397=""GPB"",Q2397=""ZAR""),IF(Q2397=Dashboard!$L$1,K2397,(K2397*GOOGLEFINANCE(""CURRENCY:""&amp;Q2397&amp;""""&amp;Dashboard!$L$1&amp;""""))/100),IF(Q2397=Dashboard!$L$1,K2397,K2397*GOOGLEFINANCE(""CURRENCY:""&amp;Q2397&amp;""""&amp;Dashboard!$"&amp;"L$1&amp;""""))),K2397))"),"")</f>
        <v/>
      </c>
      <c r="S2397" s="266" t="str">
        <f>IFERROR(__xludf.DUMMYFUNCTION("IF(ISBLANK(A2397),"""",IFERROR(IF(OR(Q2397=""GPB"",Q2397=""ZAR""),IF(Q2397=Dashboard!$L$1,M2397,(M2397*GOOGLEFINANCE(""CURRENCY:""&amp;Q2397&amp;""""&amp;Dashboard!$L$1&amp;""""))/100),IF(Q2397=Dashboard!$L$1,M2397,M2397*GOOGLEFINANCE(""CURRENCY:""&amp;Q2397&amp;""""&amp;Dashboard!$"&amp;"L$1&amp;""""))),M2397))"),"")</f>
        <v/>
      </c>
      <c r="T2397" s="264" t="str">
        <f t="shared" si="4"/>
        <v/>
      </c>
      <c r="U2397" s="264" t="str">
        <f t="shared" si="5"/>
        <v/>
      </c>
      <c r="V2397" s="264" t="str">
        <f t="shared" si="6"/>
        <v/>
      </c>
      <c r="W2397" s="267" t="str">
        <f t="shared" si="8"/>
        <v/>
      </c>
      <c r="X2397" s="264" t="str">
        <f t="shared" si="7"/>
        <v/>
      </c>
    </row>
    <row r="2398" ht="15.75" customHeight="1">
      <c r="A2398" s="258"/>
      <c r="B2398" s="258"/>
      <c r="C2398" s="269"/>
      <c r="D2398" s="258"/>
      <c r="E2398" s="258"/>
      <c r="F2398" s="258"/>
      <c r="G2398" s="258"/>
      <c r="H2398" s="271"/>
      <c r="I2398" s="258"/>
      <c r="J2398" s="272"/>
      <c r="K2398" s="260"/>
      <c r="L2398" s="261"/>
      <c r="M2398" s="262" t="str">
        <f t="shared" si="1"/>
        <v/>
      </c>
      <c r="N2398" s="263" t="str">
        <f t="shared" si="2"/>
        <v/>
      </c>
      <c r="O2398" s="264" t="str">
        <f t="shared" si="3"/>
        <v/>
      </c>
      <c r="P2398" s="265" t="str">
        <f>IFERROR(__xludf.DUMMYFUNCTION("IF(ISBLANK(A2398),"""",IFERROR(IF(H2398=""Sell"",VLOOKUP(9^99,FILTER({ROW(P$2:P2397),P$2:P2397},D$2:D2397=D2398),2),(VLOOKUP(9^99,FILTER({ROW(P$2:P2397),P$2:P2397},D$2:D2397=D2398),2)*VLOOKUP(9^99,FILTER({ROW(O$2:O2397),O$2:O2397},D$2:D2397=D2398),2)-N239"&amp;"8)/O2398),J2398))"),"")</f>
        <v/>
      </c>
      <c r="Q2398" s="264" t="str">
        <f>IFERROR(__xludf.DUMMYFUNCTION("IFERROR(IF(F2398=""Crypto"",B2398,(IF(ISBLANK(D2398),"""",IF(D2398=""Cash"",B2398,IF(GOOGLEFINANCE(D2398,""CURRENCY"")=""GBX"",""GBP"",GOOGLEFINANCE(D2398,""CURRENCY"")))))),B2398)"),"")</f>
        <v/>
      </c>
      <c r="R2398" s="263" t="str">
        <f>IFERROR(__xludf.DUMMYFUNCTION("IF(ISBLANK(A2398),"""",IFERROR(IF(OR(Q2398=""GPB"",Q2398=""ZAR""),IF(Q2398=Dashboard!$L$1,K2398,(K2398*GOOGLEFINANCE(""CURRENCY:""&amp;Q2398&amp;""""&amp;Dashboard!$L$1&amp;""""))/100),IF(Q2398=Dashboard!$L$1,K2398,K2398*GOOGLEFINANCE(""CURRENCY:""&amp;Q2398&amp;""""&amp;Dashboard!$"&amp;"L$1&amp;""""))),K2398))"),"")</f>
        <v/>
      </c>
      <c r="S2398" s="266" t="str">
        <f>IFERROR(__xludf.DUMMYFUNCTION("IF(ISBLANK(A2398),"""",IFERROR(IF(OR(Q2398=""GPB"",Q2398=""ZAR""),IF(Q2398=Dashboard!$L$1,M2398,(M2398*GOOGLEFINANCE(""CURRENCY:""&amp;Q2398&amp;""""&amp;Dashboard!$L$1&amp;""""))/100),IF(Q2398=Dashboard!$L$1,M2398,M2398*GOOGLEFINANCE(""CURRENCY:""&amp;Q2398&amp;""""&amp;Dashboard!$"&amp;"L$1&amp;""""))),M2398))"),"")</f>
        <v/>
      </c>
      <c r="T2398" s="264" t="str">
        <f t="shared" si="4"/>
        <v/>
      </c>
      <c r="U2398" s="264" t="str">
        <f t="shared" si="5"/>
        <v/>
      </c>
      <c r="V2398" s="264" t="str">
        <f t="shared" si="6"/>
        <v/>
      </c>
      <c r="W2398" s="267" t="str">
        <f t="shared" si="8"/>
        <v/>
      </c>
      <c r="X2398" s="264" t="str">
        <f t="shared" si="7"/>
        <v/>
      </c>
    </row>
    <row r="2399" ht="15.75" customHeight="1">
      <c r="A2399" s="258"/>
      <c r="B2399" s="258"/>
      <c r="C2399" s="269"/>
      <c r="D2399" s="258"/>
      <c r="E2399" s="258"/>
      <c r="F2399" s="258"/>
      <c r="G2399" s="258"/>
      <c r="H2399" s="271"/>
      <c r="I2399" s="258"/>
      <c r="J2399" s="272"/>
      <c r="K2399" s="260"/>
      <c r="L2399" s="261"/>
      <c r="M2399" s="262" t="str">
        <f t="shared" si="1"/>
        <v/>
      </c>
      <c r="N2399" s="263" t="str">
        <f t="shared" si="2"/>
        <v/>
      </c>
      <c r="O2399" s="264" t="str">
        <f t="shared" si="3"/>
        <v/>
      </c>
      <c r="P2399" s="265" t="str">
        <f>IFERROR(__xludf.DUMMYFUNCTION("IF(ISBLANK(A2399),"""",IFERROR(IF(H2399=""Sell"",VLOOKUP(9^99,FILTER({ROW(P$2:P2398),P$2:P2398},D$2:D2398=D2399),2),(VLOOKUP(9^99,FILTER({ROW(P$2:P2398),P$2:P2398},D$2:D2398=D2399),2)*VLOOKUP(9^99,FILTER({ROW(O$2:O2398),O$2:O2398},D$2:D2398=D2399),2)-N239"&amp;"9)/O2399),J2399))"),"")</f>
        <v/>
      </c>
      <c r="Q2399" s="264" t="str">
        <f>IFERROR(__xludf.DUMMYFUNCTION("IFERROR(IF(F2399=""Crypto"",B2399,(IF(ISBLANK(D2399),"""",IF(D2399=""Cash"",B2399,IF(GOOGLEFINANCE(D2399,""CURRENCY"")=""GBX"",""GBP"",GOOGLEFINANCE(D2399,""CURRENCY"")))))),B2399)"),"")</f>
        <v/>
      </c>
      <c r="R2399" s="263" t="str">
        <f>IFERROR(__xludf.DUMMYFUNCTION("IF(ISBLANK(A2399),"""",IFERROR(IF(OR(Q2399=""GPB"",Q2399=""ZAR""),IF(Q2399=Dashboard!$L$1,K2399,(K2399*GOOGLEFINANCE(""CURRENCY:""&amp;Q2399&amp;""""&amp;Dashboard!$L$1&amp;""""))/100),IF(Q2399=Dashboard!$L$1,K2399,K2399*GOOGLEFINANCE(""CURRENCY:""&amp;Q2399&amp;""""&amp;Dashboard!$"&amp;"L$1&amp;""""))),K2399))"),"")</f>
        <v/>
      </c>
      <c r="S2399" s="266" t="str">
        <f>IFERROR(__xludf.DUMMYFUNCTION("IF(ISBLANK(A2399),"""",IFERROR(IF(OR(Q2399=""GPB"",Q2399=""ZAR""),IF(Q2399=Dashboard!$L$1,M2399,(M2399*GOOGLEFINANCE(""CURRENCY:""&amp;Q2399&amp;""""&amp;Dashboard!$L$1&amp;""""))/100),IF(Q2399=Dashboard!$L$1,M2399,M2399*GOOGLEFINANCE(""CURRENCY:""&amp;Q2399&amp;""""&amp;Dashboard!$"&amp;"L$1&amp;""""))),M2399))"),"")</f>
        <v/>
      </c>
      <c r="T2399" s="264" t="str">
        <f t="shared" si="4"/>
        <v/>
      </c>
      <c r="U2399" s="264" t="str">
        <f t="shared" si="5"/>
        <v/>
      </c>
      <c r="V2399" s="264" t="str">
        <f t="shared" si="6"/>
        <v/>
      </c>
      <c r="W2399" s="267" t="str">
        <f t="shared" si="8"/>
        <v/>
      </c>
      <c r="X2399" s="264" t="str">
        <f t="shared" si="7"/>
        <v/>
      </c>
    </row>
    <row r="2400" ht="15.75" customHeight="1">
      <c r="A2400" s="258"/>
      <c r="B2400" s="258"/>
      <c r="C2400" s="269"/>
      <c r="D2400" s="258"/>
      <c r="E2400" s="258"/>
      <c r="F2400" s="258"/>
      <c r="G2400" s="258"/>
      <c r="H2400" s="271"/>
      <c r="I2400" s="258"/>
      <c r="J2400" s="272"/>
      <c r="K2400" s="260"/>
      <c r="L2400" s="261"/>
      <c r="M2400" s="262" t="str">
        <f t="shared" si="1"/>
        <v/>
      </c>
      <c r="N2400" s="263" t="str">
        <f t="shared" si="2"/>
        <v/>
      </c>
      <c r="O2400" s="264" t="str">
        <f t="shared" si="3"/>
        <v/>
      </c>
      <c r="P2400" s="265" t="str">
        <f>IFERROR(__xludf.DUMMYFUNCTION("IF(ISBLANK(A2400),"""",IFERROR(IF(H2400=""Sell"",VLOOKUP(9^99,FILTER({ROW(P$2:P2399),P$2:P2399},D$2:D2399=D2400),2),(VLOOKUP(9^99,FILTER({ROW(P$2:P2399),P$2:P2399},D$2:D2399=D2400),2)*VLOOKUP(9^99,FILTER({ROW(O$2:O2399),O$2:O2399},D$2:D2399=D2400),2)-N240"&amp;"0)/O2400),J2400))"),"")</f>
        <v/>
      </c>
      <c r="Q2400" s="264" t="str">
        <f>IFERROR(__xludf.DUMMYFUNCTION("IFERROR(IF(F2400=""Crypto"",B2400,(IF(ISBLANK(D2400),"""",IF(D2400=""Cash"",B2400,IF(GOOGLEFINANCE(D2400,""CURRENCY"")=""GBX"",""GBP"",GOOGLEFINANCE(D2400,""CURRENCY"")))))),B2400)"),"")</f>
        <v/>
      </c>
      <c r="R2400" s="263" t="str">
        <f>IFERROR(__xludf.DUMMYFUNCTION("IF(ISBLANK(A2400),"""",IFERROR(IF(OR(Q2400=""GPB"",Q2400=""ZAR""),IF(Q2400=Dashboard!$L$1,K2400,(K2400*GOOGLEFINANCE(""CURRENCY:""&amp;Q2400&amp;""""&amp;Dashboard!$L$1&amp;""""))/100),IF(Q2400=Dashboard!$L$1,K2400,K2400*GOOGLEFINANCE(""CURRENCY:""&amp;Q2400&amp;""""&amp;Dashboard!$"&amp;"L$1&amp;""""))),K2400))"),"")</f>
        <v/>
      </c>
      <c r="S2400" s="266" t="str">
        <f>IFERROR(__xludf.DUMMYFUNCTION("IF(ISBLANK(A2400),"""",IFERROR(IF(OR(Q2400=""GPB"",Q2400=""ZAR""),IF(Q2400=Dashboard!$L$1,M2400,(M2400*GOOGLEFINANCE(""CURRENCY:""&amp;Q2400&amp;""""&amp;Dashboard!$L$1&amp;""""))/100),IF(Q2400=Dashboard!$L$1,M2400,M2400*GOOGLEFINANCE(""CURRENCY:""&amp;Q2400&amp;""""&amp;Dashboard!$"&amp;"L$1&amp;""""))),M2400))"),"")</f>
        <v/>
      </c>
      <c r="T2400" s="264" t="str">
        <f t="shared" si="4"/>
        <v/>
      </c>
      <c r="U2400" s="264" t="str">
        <f t="shared" si="5"/>
        <v/>
      </c>
      <c r="V2400" s="264" t="str">
        <f t="shared" si="6"/>
        <v/>
      </c>
      <c r="W2400" s="267" t="str">
        <f t="shared" si="8"/>
        <v/>
      </c>
      <c r="X2400" s="264" t="str">
        <f t="shared" si="7"/>
        <v/>
      </c>
    </row>
    <row r="2401" ht="15.75" customHeight="1">
      <c r="A2401" s="258"/>
      <c r="B2401" s="258"/>
      <c r="C2401" s="269"/>
      <c r="D2401" s="258"/>
      <c r="E2401" s="258"/>
      <c r="F2401" s="258"/>
      <c r="G2401" s="258"/>
      <c r="H2401" s="271"/>
      <c r="I2401" s="258"/>
      <c r="J2401" s="272"/>
      <c r="K2401" s="260"/>
      <c r="L2401" s="261"/>
      <c r="M2401" s="262" t="str">
        <f t="shared" si="1"/>
        <v/>
      </c>
      <c r="N2401" s="263" t="str">
        <f t="shared" si="2"/>
        <v/>
      </c>
      <c r="O2401" s="264" t="str">
        <f t="shared" si="3"/>
        <v/>
      </c>
      <c r="P2401" s="265" t="str">
        <f>IFERROR(__xludf.DUMMYFUNCTION("IF(ISBLANK(A2401),"""",IFERROR(IF(H2401=""Sell"",VLOOKUP(9^99,FILTER({ROW(P$2:P2400),P$2:P2400},D$2:D2400=D2401),2),(VLOOKUP(9^99,FILTER({ROW(P$2:P2400),P$2:P2400},D$2:D2400=D2401),2)*VLOOKUP(9^99,FILTER({ROW(O$2:O2400),O$2:O2400},D$2:D2400=D2401),2)-N240"&amp;"1)/O2401),J2401))"),"")</f>
        <v/>
      </c>
      <c r="Q2401" s="264" t="str">
        <f>IFERROR(__xludf.DUMMYFUNCTION("IFERROR(IF(F2401=""Crypto"",B2401,(IF(ISBLANK(D2401),"""",IF(D2401=""Cash"",B2401,IF(GOOGLEFINANCE(D2401,""CURRENCY"")=""GBX"",""GBP"",GOOGLEFINANCE(D2401,""CURRENCY"")))))),B2401)"),"")</f>
        <v/>
      </c>
      <c r="R2401" s="263" t="str">
        <f>IFERROR(__xludf.DUMMYFUNCTION("IF(ISBLANK(A2401),"""",IFERROR(IF(OR(Q2401=""GPB"",Q2401=""ZAR""),IF(Q2401=Dashboard!$L$1,K2401,(K2401*GOOGLEFINANCE(""CURRENCY:""&amp;Q2401&amp;""""&amp;Dashboard!$L$1&amp;""""))/100),IF(Q2401=Dashboard!$L$1,K2401,K2401*GOOGLEFINANCE(""CURRENCY:""&amp;Q2401&amp;""""&amp;Dashboard!$"&amp;"L$1&amp;""""))),K2401))"),"")</f>
        <v/>
      </c>
      <c r="S2401" s="266" t="str">
        <f>IFERROR(__xludf.DUMMYFUNCTION("IF(ISBLANK(A2401),"""",IFERROR(IF(OR(Q2401=""GPB"",Q2401=""ZAR""),IF(Q2401=Dashboard!$L$1,M2401,(M2401*GOOGLEFINANCE(""CURRENCY:""&amp;Q2401&amp;""""&amp;Dashboard!$L$1&amp;""""))/100),IF(Q2401=Dashboard!$L$1,M2401,M2401*GOOGLEFINANCE(""CURRENCY:""&amp;Q2401&amp;""""&amp;Dashboard!$"&amp;"L$1&amp;""""))),M2401))"),"")</f>
        <v/>
      </c>
      <c r="T2401" s="264" t="str">
        <f t="shared" si="4"/>
        <v/>
      </c>
      <c r="U2401" s="264" t="str">
        <f t="shared" si="5"/>
        <v/>
      </c>
      <c r="V2401" s="264" t="str">
        <f t="shared" si="6"/>
        <v/>
      </c>
      <c r="W2401" s="267" t="str">
        <f t="shared" si="8"/>
        <v/>
      </c>
      <c r="X2401" s="264" t="str">
        <f t="shared" si="7"/>
        <v/>
      </c>
    </row>
    <row r="2402" ht="15.75" customHeight="1">
      <c r="A2402" s="258"/>
      <c r="B2402" s="258"/>
      <c r="C2402" s="269"/>
      <c r="D2402" s="258"/>
      <c r="E2402" s="258"/>
      <c r="F2402" s="258"/>
      <c r="G2402" s="258"/>
      <c r="H2402" s="271"/>
      <c r="I2402" s="258"/>
      <c r="J2402" s="272"/>
      <c r="K2402" s="260"/>
      <c r="L2402" s="261"/>
      <c r="M2402" s="262" t="str">
        <f t="shared" si="1"/>
        <v/>
      </c>
      <c r="N2402" s="263" t="str">
        <f t="shared" si="2"/>
        <v/>
      </c>
      <c r="O2402" s="264" t="str">
        <f t="shared" si="3"/>
        <v/>
      </c>
      <c r="P2402" s="265" t="str">
        <f>IFERROR(__xludf.DUMMYFUNCTION("IF(ISBLANK(A2402),"""",IFERROR(IF(H2402=""Sell"",VLOOKUP(9^99,FILTER({ROW(P$2:P2401),P$2:P2401},D$2:D2401=D2402),2),(VLOOKUP(9^99,FILTER({ROW(P$2:P2401),P$2:P2401},D$2:D2401=D2402),2)*VLOOKUP(9^99,FILTER({ROW(O$2:O2401),O$2:O2401},D$2:D2401=D2402),2)-N240"&amp;"2)/O2402),J2402))"),"")</f>
        <v/>
      </c>
      <c r="Q2402" s="264" t="str">
        <f>IFERROR(__xludf.DUMMYFUNCTION("IFERROR(IF(F2402=""Crypto"",B2402,(IF(ISBLANK(D2402),"""",IF(D2402=""Cash"",B2402,IF(GOOGLEFINANCE(D2402,""CURRENCY"")=""GBX"",""GBP"",GOOGLEFINANCE(D2402,""CURRENCY"")))))),B2402)"),"")</f>
        <v/>
      </c>
      <c r="R2402" s="263" t="str">
        <f>IFERROR(__xludf.DUMMYFUNCTION("IF(ISBLANK(A2402),"""",IFERROR(IF(OR(Q2402=""GPB"",Q2402=""ZAR""),IF(Q2402=Dashboard!$L$1,K2402,(K2402*GOOGLEFINANCE(""CURRENCY:""&amp;Q2402&amp;""""&amp;Dashboard!$L$1&amp;""""))/100),IF(Q2402=Dashboard!$L$1,K2402,K2402*GOOGLEFINANCE(""CURRENCY:""&amp;Q2402&amp;""""&amp;Dashboard!$"&amp;"L$1&amp;""""))),K2402))"),"")</f>
        <v/>
      </c>
      <c r="S2402" s="266" t="str">
        <f>IFERROR(__xludf.DUMMYFUNCTION("IF(ISBLANK(A2402),"""",IFERROR(IF(OR(Q2402=""GPB"",Q2402=""ZAR""),IF(Q2402=Dashboard!$L$1,M2402,(M2402*GOOGLEFINANCE(""CURRENCY:""&amp;Q2402&amp;""""&amp;Dashboard!$L$1&amp;""""))/100),IF(Q2402=Dashboard!$L$1,M2402,M2402*GOOGLEFINANCE(""CURRENCY:""&amp;Q2402&amp;""""&amp;Dashboard!$"&amp;"L$1&amp;""""))),M2402))"),"")</f>
        <v/>
      </c>
      <c r="T2402" s="264" t="str">
        <f t="shared" si="4"/>
        <v/>
      </c>
      <c r="U2402" s="264" t="str">
        <f t="shared" si="5"/>
        <v/>
      </c>
      <c r="V2402" s="264" t="str">
        <f t="shared" si="6"/>
        <v/>
      </c>
      <c r="W2402" s="267" t="str">
        <f t="shared" si="8"/>
        <v/>
      </c>
      <c r="X2402" s="264" t="str">
        <f t="shared" si="7"/>
        <v/>
      </c>
    </row>
    <row r="2403" ht="15.75" customHeight="1">
      <c r="A2403" s="258"/>
      <c r="B2403" s="258"/>
      <c r="C2403" s="269"/>
      <c r="D2403" s="258"/>
      <c r="E2403" s="258"/>
      <c r="F2403" s="258"/>
      <c r="G2403" s="258"/>
      <c r="H2403" s="271"/>
      <c r="I2403" s="258"/>
      <c r="J2403" s="272"/>
      <c r="K2403" s="260"/>
      <c r="L2403" s="261"/>
      <c r="M2403" s="262" t="str">
        <f t="shared" si="1"/>
        <v/>
      </c>
      <c r="N2403" s="263" t="str">
        <f t="shared" si="2"/>
        <v/>
      </c>
      <c r="O2403" s="264" t="str">
        <f t="shared" si="3"/>
        <v/>
      </c>
      <c r="P2403" s="265" t="str">
        <f>IFERROR(__xludf.DUMMYFUNCTION("IF(ISBLANK(A2403),"""",IFERROR(IF(H2403=""Sell"",VLOOKUP(9^99,FILTER({ROW(P$2:P2402),P$2:P2402},D$2:D2402=D2403),2),(VLOOKUP(9^99,FILTER({ROW(P$2:P2402),P$2:P2402},D$2:D2402=D2403),2)*VLOOKUP(9^99,FILTER({ROW(O$2:O2402),O$2:O2402},D$2:D2402=D2403),2)-N240"&amp;"3)/O2403),J2403))"),"")</f>
        <v/>
      </c>
      <c r="Q2403" s="264" t="str">
        <f>IFERROR(__xludf.DUMMYFUNCTION("IFERROR(IF(F2403=""Crypto"",B2403,(IF(ISBLANK(D2403),"""",IF(D2403=""Cash"",B2403,IF(GOOGLEFINANCE(D2403,""CURRENCY"")=""GBX"",""GBP"",GOOGLEFINANCE(D2403,""CURRENCY"")))))),B2403)"),"")</f>
        <v/>
      </c>
      <c r="R2403" s="263" t="str">
        <f>IFERROR(__xludf.DUMMYFUNCTION("IF(ISBLANK(A2403),"""",IFERROR(IF(OR(Q2403=""GPB"",Q2403=""ZAR""),IF(Q2403=Dashboard!$L$1,K2403,(K2403*GOOGLEFINANCE(""CURRENCY:""&amp;Q2403&amp;""""&amp;Dashboard!$L$1&amp;""""))/100),IF(Q2403=Dashboard!$L$1,K2403,K2403*GOOGLEFINANCE(""CURRENCY:""&amp;Q2403&amp;""""&amp;Dashboard!$"&amp;"L$1&amp;""""))),K2403))"),"")</f>
        <v/>
      </c>
      <c r="S2403" s="266" t="str">
        <f>IFERROR(__xludf.DUMMYFUNCTION("IF(ISBLANK(A2403),"""",IFERROR(IF(OR(Q2403=""GPB"",Q2403=""ZAR""),IF(Q2403=Dashboard!$L$1,M2403,(M2403*GOOGLEFINANCE(""CURRENCY:""&amp;Q2403&amp;""""&amp;Dashboard!$L$1&amp;""""))/100),IF(Q2403=Dashboard!$L$1,M2403,M2403*GOOGLEFINANCE(""CURRENCY:""&amp;Q2403&amp;""""&amp;Dashboard!$"&amp;"L$1&amp;""""))),M2403))"),"")</f>
        <v/>
      </c>
      <c r="T2403" s="264" t="str">
        <f t="shared" si="4"/>
        <v/>
      </c>
      <c r="U2403" s="264" t="str">
        <f t="shared" si="5"/>
        <v/>
      </c>
      <c r="V2403" s="264" t="str">
        <f t="shared" si="6"/>
        <v/>
      </c>
      <c r="W2403" s="267" t="str">
        <f t="shared" si="8"/>
        <v/>
      </c>
      <c r="X2403" s="264" t="str">
        <f t="shared" si="7"/>
        <v/>
      </c>
    </row>
    <row r="2404" ht="15.75" customHeight="1">
      <c r="A2404" s="258"/>
      <c r="B2404" s="258"/>
      <c r="C2404" s="269"/>
      <c r="D2404" s="258"/>
      <c r="E2404" s="258"/>
      <c r="F2404" s="258"/>
      <c r="G2404" s="258"/>
      <c r="H2404" s="271"/>
      <c r="I2404" s="258"/>
      <c r="J2404" s="272"/>
      <c r="K2404" s="260"/>
      <c r="L2404" s="261"/>
      <c r="M2404" s="262" t="str">
        <f t="shared" si="1"/>
        <v/>
      </c>
      <c r="N2404" s="263" t="str">
        <f t="shared" si="2"/>
        <v/>
      </c>
      <c r="O2404" s="264" t="str">
        <f t="shared" si="3"/>
        <v/>
      </c>
      <c r="P2404" s="265" t="str">
        <f>IFERROR(__xludf.DUMMYFUNCTION("IF(ISBLANK(A2404),"""",IFERROR(IF(H2404=""Sell"",VLOOKUP(9^99,FILTER({ROW(P$2:P2403),P$2:P2403},D$2:D2403=D2404),2),(VLOOKUP(9^99,FILTER({ROW(P$2:P2403),P$2:P2403},D$2:D2403=D2404),2)*VLOOKUP(9^99,FILTER({ROW(O$2:O2403),O$2:O2403},D$2:D2403=D2404),2)-N240"&amp;"4)/O2404),J2404))"),"")</f>
        <v/>
      </c>
      <c r="Q2404" s="264" t="str">
        <f>IFERROR(__xludf.DUMMYFUNCTION("IFERROR(IF(F2404=""Crypto"",B2404,(IF(ISBLANK(D2404),"""",IF(D2404=""Cash"",B2404,IF(GOOGLEFINANCE(D2404,""CURRENCY"")=""GBX"",""GBP"",GOOGLEFINANCE(D2404,""CURRENCY"")))))),B2404)"),"")</f>
        <v/>
      </c>
      <c r="R2404" s="263" t="str">
        <f>IFERROR(__xludf.DUMMYFUNCTION("IF(ISBLANK(A2404),"""",IFERROR(IF(OR(Q2404=""GPB"",Q2404=""ZAR""),IF(Q2404=Dashboard!$L$1,K2404,(K2404*GOOGLEFINANCE(""CURRENCY:""&amp;Q2404&amp;""""&amp;Dashboard!$L$1&amp;""""))/100),IF(Q2404=Dashboard!$L$1,K2404,K2404*GOOGLEFINANCE(""CURRENCY:""&amp;Q2404&amp;""""&amp;Dashboard!$"&amp;"L$1&amp;""""))),K2404))"),"")</f>
        <v/>
      </c>
      <c r="S2404" s="266" t="str">
        <f>IFERROR(__xludf.DUMMYFUNCTION("IF(ISBLANK(A2404),"""",IFERROR(IF(OR(Q2404=""GPB"",Q2404=""ZAR""),IF(Q2404=Dashboard!$L$1,M2404,(M2404*GOOGLEFINANCE(""CURRENCY:""&amp;Q2404&amp;""""&amp;Dashboard!$L$1&amp;""""))/100),IF(Q2404=Dashboard!$L$1,M2404,M2404*GOOGLEFINANCE(""CURRENCY:""&amp;Q2404&amp;""""&amp;Dashboard!$"&amp;"L$1&amp;""""))),M2404))"),"")</f>
        <v/>
      </c>
      <c r="T2404" s="264" t="str">
        <f t="shared" si="4"/>
        <v/>
      </c>
      <c r="U2404" s="264" t="str">
        <f t="shared" si="5"/>
        <v/>
      </c>
      <c r="V2404" s="264" t="str">
        <f t="shared" si="6"/>
        <v/>
      </c>
      <c r="W2404" s="267" t="str">
        <f t="shared" si="8"/>
        <v/>
      </c>
      <c r="X2404" s="264" t="str">
        <f t="shared" si="7"/>
        <v/>
      </c>
    </row>
    <row r="2405" ht="15.75" customHeight="1">
      <c r="A2405" s="258"/>
      <c r="B2405" s="258"/>
      <c r="C2405" s="269"/>
      <c r="D2405" s="258"/>
      <c r="E2405" s="258"/>
      <c r="F2405" s="258"/>
      <c r="G2405" s="258"/>
      <c r="H2405" s="271"/>
      <c r="I2405" s="258"/>
      <c r="J2405" s="272"/>
      <c r="K2405" s="260"/>
      <c r="L2405" s="261"/>
      <c r="M2405" s="262" t="str">
        <f t="shared" si="1"/>
        <v/>
      </c>
      <c r="N2405" s="263" t="str">
        <f t="shared" si="2"/>
        <v/>
      </c>
      <c r="O2405" s="264" t="str">
        <f t="shared" si="3"/>
        <v/>
      </c>
      <c r="P2405" s="265" t="str">
        <f>IFERROR(__xludf.DUMMYFUNCTION("IF(ISBLANK(A2405),"""",IFERROR(IF(H2405=""Sell"",VLOOKUP(9^99,FILTER({ROW(P$2:P2404),P$2:P2404},D$2:D2404=D2405),2),(VLOOKUP(9^99,FILTER({ROW(P$2:P2404),P$2:P2404},D$2:D2404=D2405),2)*VLOOKUP(9^99,FILTER({ROW(O$2:O2404),O$2:O2404},D$2:D2404=D2405),2)-N240"&amp;"5)/O2405),J2405))"),"")</f>
        <v/>
      </c>
      <c r="Q2405" s="264" t="str">
        <f>IFERROR(__xludf.DUMMYFUNCTION("IFERROR(IF(F2405=""Crypto"",B2405,(IF(ISBLANK(D2405),"""",IF(D2405=""Cash"",B2405,IF(GOOGLEFINANCE(D2405,""CURRENCY"")=""GBX"",""GBP"",GOOGLEFINANCE(D2405,""CURRENCY"")))))),B2405)"),"")</f>
        <v/>
      </c>
      <c r="R2405" s="263" t="str">
        <f>IFERROR(__xludf.DUMMYFUNCTION("IF(ISBLANK(A2405),"""",IFERROR(IF(OR(Q2405=""GPB"",Q2405=""ZAR""),IF(Q2405=Dashboard!$L$1,K2405,(K2405*GOOGLEFINANCE(""CURRENCY:""&amp;Q2405&amp;""""&amp;Dashboard!$L$1&amp;""""))/100),IF(Q2405=Dashboard!$L$1,K2405,K2405*GOOGLEFINANCE(""CURRENCY:""&amp;Q2405&amp;""""&amp;Dashboard!$"&amp;"L$1&amp;""""))),K2405))"),"")</f>
        <v/>
      </c>
      <c r="S2405" s="266" t="str">
        <f>IFERROR(__xludf.DUMMYFUNCTION("IF(ISBLANK(A2405),"""",IFERROR(IF(OR(Q2405=""GPB"",Q2405=""ZAR""),IF(Q2405=Dashboard!$L$1,M2405,(M2405*GOOGLEFINANCE(""CURRENCY:""&amp;Q2405&amp;""""&amp;Dashboard!$L$1&amp;""""))/100),IF(Q2405=Dashboard!$L$1,M2405,M2405*GOOGLEFINANCE(""CURRENCY:""&amp;Q2405&amp;""""&amp;Dashboard!$"&amp;"L$1&amp;""""))),M2405))"),"")</f>
        <v/>
      </c>
      <c r="T2405" s="264" t="str">
        <f t="shared" si="4"/>
        <v/>
      </c>
      <c r="U2405" s="264" t="str">
        <f t="shared" si="5"/>
        <v/>
      </c>
      <c r="V2405" s="264" t="str">
        <f t="shared" si="6"/>
        <v/>
      </c>
      <c r="W2405" s="267" t="str">
        <f t="shared" si="8"/>
        <v/>
      </c>
      <c r="X2405" s="264" t="str">
        <f t="shared" si="7"/>
        <v/>
      </c>
    </row>
    <row r="2406" ht="15.75" customHeight="1">
      <c r="A2406" s="258"/>
      <c r="B2406" s="258"/>
      <c r="C2406" s="269"/>
      <c r="D2406" s="258"/>
      <c r="E2406" s="258"/>
      <c r="F2406" s="258"/>
      <c r="G2406" s="258"/>
      <c r="H2406" s="271"/>
      <c r="I2406" s="258"/>
      <c r="J2406" s="272"/>
      <c r="K2406" s="260"/>
      <c r="L2406" s="261"/>
      <c r="M2406" s="262" t="str">
        <f t="shared" si="1"/>
        <v/>
      </c>
      <c r="N2406" s="263" t="str">
        <f t="shared" si="2"/>
        <v/>
      </c>
      <c r="O2406" s="264" t="str">
        <f t="shared" si="3"/>
        <v/>
      </c>
      <c r="P2406" s="265" t="str">
        <f>IFERROR(__xludf.DUMMYFUNCTION("IF(ISBLANK(A2406),"""",IFERROR(IF(H2406=""Sell"",VLOOKUP(9^99,FILTER({ROW(P$2:P2405),P$2:P2405},D$2:D2405=D2406),2),(VLOOKUP(9^99,FILTER({ROW(P$2:P2405),P$2:P2405},D$2:D2405=D2406),2)*VLOOKUP(9^99,FILTER({ROW(O$2:O2405),O$2:O2405},D$2:D2405=D2406),2)-N240"&amp;"6)/O2406),J2406))"),"")</f>
        <v/>
      </c>
      <c r="Q2406" s="264" t="str">
        <f>IFERROR(__xludf.DUMMYFUNCTION("IFERROR(IF(F2406=""Crypto"",B2406,(IF(ISBLANK(D2406),"""",IF(D2406=""Cash"",B2406,IF(GOOGLEFINANCE(D2406,""CURRENCY"")=""GBX"",""GBP"",GOOGLEFINANCE(D2406,""CURRENCY"")))))),B2406)"),"")</f>
        <v/>
      </c>
      <c r="R2406" s="263" t="str">
        <f>IFERROR(__xludf.DUMMYFUNCTION("IF(ISBLANK(A2406),"""",IFERROR(IF(OR(Q2406=""GPB"",Q2406=""ZAR""),IF(Q2406=Dashboard!$L$1,K2406,(K2406*GOOGLEFINANCE(""CURRENCY:""&amp;Q2406&amp;""""&amp;Dashboard!$L$1&amp;""""))/100),IF(Q2406=Dashboard!$L$1,K2406,K2406*GOOGLEFINANCE(""CURRENCY:""&amp;Q2406&amp;""""&amp;Dashboard!$"&amp;"L$1&amp;""""))),K2406))"),"")</f>
        <v/>
      </c>
      <c r="S2406" s="266" t="str">
        <f>IFERROR(__xludf.DUMMYFUNCTION("IF(ISBLANK(A2406),"""",IFERROR(IF(OR(Q2406=""GPB"",Q2406=""ZAR""),IF(Q2406=Dashboard!$L$1,M2406,(M2406*GOOGLEFINANCE(""CURRENCY:""&amp;Q2406&amp;""""&amp;Dashboard!$L$1&amp;""""))/100),IF(Q2406=Dashboard!$L$1,M2406,M2406*GOOGLEFINANCE(""CURRENCY:""&amp;Q2406&amp;""""&amp;Dashboard!$"&amp;"L$1&amp;""""))),M2406))"),"")</f>
        <v/>
      </c>
      <c r="T2406" s="264" t="str">
        <f t="shared" si="4"/>
        <v/>
      </c>
      <c r="U2406" s="264" t="str">
        <f t="shared" si="5"/>
        <v/>
      </c>
      <c r="V2406" s="264" t="str">
        <f t="shared" si="6"/>
        <v/>
      </c>
      <c r="W2406" s="267" t="str">
        <f t="shared" si="8"/>
        <v/>
      </c>
      <c r="X2406" s="264" t="str">
        <f t="shared" si="7"/>
        <v/>
      </c>
    </row>
    <row r="2407" ht="15.75" customHeight="1">
      <c r="A2407" s="258"/>
      <c r="B2407" s="258"/>
      <c r="C2407" s="269"/>
      <c r="D2407" s="258"/>
      <c r="E2407" s="258"/>
      <c r="F2407" s="258"/>
      <c r="G2407" s="258"/>
      <c r="H2407" s="271"/>
      <c r="I2407" s="258"/>
      <c r="J2407" s="272"/>
      <c r="K2407" s="260"/>
      <c r="L2407" s="261"/>
      <c r="M2407" s="262" t="str">
        <f t="shared" si="1"/>
        <v/>
      </c>
      <c r="N2407" s="263" t="str">
        <f t="shared" si="2"/>
        <v/>
      </c>
      <c r="O2407" s="264" t="str">
        <f t="shared" si="3"/>
        <v/>
      </c>
      <c r="P2407" s="265" t="str">
        <f>IFERROR(__xludf.DUMMYFUNCTION("IF(ISBLANK(A2407),"""",IFERROR(IF(H2407=""Sell"",VLOOKUP(9^99,FILTER({ROW(P$2:P2406),P$2:P2406},D$2:D2406=D2407),2),(VLOOKUP(9^99,FILTER({ROW(P$2:P2406),P$2:P2406},D$2:D2406=D2407),2)*VLOOKUP(9^99,FILTER({ROW(O$2:O2406),O$2:O2406},D$2:D2406=D2407),2)-N240"&amp;"7)/O2407),J2407))"),"")</f>
        <v/>
      </c>
      <c r="Q2407" s="264" t="str">
        <f>IFERROR(__xludf.DUMMYFUNCTION("IFERROR(IF(F2407=""Crypto"",B2407,(IF(ISBLANK(D2407),"""",IF(D2407=""Cash"",B2407,IF(GOOGLEFINANCE(D2407,""CURRENCY"")=""GBX"",""GBP"",GOOGLEFINANCE(D2407,""CURRENCY"")))))),B2407)"),"")</f>
        <v/>
      </c>
      <c r="R2407" s="263" t="str">
        <f>IFERROR(__xludf.DUMMYFUNCTION("IF(ISBLANK(A2407),"""",IFERROR(IF(OR(Q2407=""GPB"",Q2407=""ZAR""),IF(Q2407=Dashboard!$L$1,K2407,(K2407*GOOGLEFINANCE(""CURRENCY:""&amp;Q2407&amp;""""&amp;Dashboard!$L$1&amp;""""))/100),IF(Q2407=Dashboard!$L$1,K2407,K2407*GOOGLEFINANCE(""CURRENCY:""&amp;Q2407&amp;""""&amp;Dashboard!$"&amp;"L$1&amp;""""))),K2407))"),"")</f>
        <v/>
      </c>
      <c r="S2407" s="266" t="str">
        <f>IFERROR(__xludf.DUMMYFUNCTION("IF(ISBLANK(A2407),"""",IFERROR(IF(OR(Q2407=""GPB"",Q2407=""ZAR""),IF(Q2407=Dashboard!$L$1,M2407,(M2407*GOOGLEFINANCE(""CURRENCY:""&amp;Q2407&amp;""""&amp;Dashboard!$L$1&amp;""""))/100),IF(Q2407=Dashboard!$L$1,M2407,M2407*GOOGLEFINANCE(""CURRENCY:""&amp;Q2407&amp;""""&amp;Dashboard!$"&amp;"L$1&amp;""""))),M2407))"),"")</f>
        <v/>
      </c>
      <c r="T2407" s="264" t="str">
        <f t="shared" si="4"/>
        <v/>
      </c>
      <c r="U2407" s="264" t="str">
        <f t="shared" si="5"/>
        <v/>
      </c>
      <c r="V2407" s="264" t="str">
        <f t="shared" si="6"/>
        <v/>
      </c>
      <c r="W2407" s="267" t="str">
        <f t="shared" si="8"/>
        <v/>
      </c>
      <c r="X2407" s="264" t="str">
        <f t="shared" si="7"/>
        <v/>
      </c>
    </row>
    <row r="2408" ht="15.75" customHeight="1">
      <c r="A2408" s="258"/>
      <c r="B2408" s="258"/>
      <c r="C2408" s="269"/>
      <c r="D2408" s="258"/>
      <c r="E2408" s="258"/>
      <c r="F2408" s="258"/>
      <c r="G2408" s="258"/>
      <c r="H2408" s="271"/>
      <c r="I2408" s="258"/>
      <c r="J2408" s="272"/>
      <c r="K2408" s="260"/>
      <c r="L2408" s="261"/>
      <c r="M2408" s="262" t="str">
        <f t="shared" si="1"/>
        <v/>
      </c>
      <c r="N2408" s="263" t="str">
        <f t="shared" si="2"/>
        <v/>
      </c>
      <c r="O2408" s="264" t="str">
        <f t="shared" si="3"/>
        <v/>
      </c>
      <c r="P2408" s="265" t="str">
        <f>IFERROR(__xludf.DUMMYFUNCTION("IF(ISBLANK(A2408),"""",IFERROR(IF(H2408=""Sell"",VLOOKUP(9^99,FILTER({ROW(P$2:P2407),P$2:P2407},D$2:D2407=D2408),2),(VLOOKUP(9^99,FILTER({ROW(P$2:P2407),P$2:P2407},D$2:D2407=D2408),2)*VLOOKUP(9^99,FILTER({ROW(O$2:O2407),O$2:O2407},D$2:D2407=D2408),2)-N240"&amp;"8)/O2408),J2408))"),"")</f>
        <v/>
      </c>
      <c r="Q2408" s="264" t="str">
        <f>IFERROR(__xludf.DUMMYFUNCTION("IFERROR(IF(F2408=""Crypto"",B2408,(IF(ISBLANK(D2408),"""",IF(D2408=""Cash"",B2408,IF(GOOGLEFINANCE(D2408,""CURRENCY"")=""GBX"",""GBP"",GOOGLEFINANCE(D2408,""CURRENCY"")))))),B2408)"),"")</f>
        <v/>
      </c>
      <c r="R2408" s="263" t="str">
        <f>IFERROR(__xludf.DUMMYFUNCTION("IF(ISBLANK(A2408),"""",IFERROR(IF(OR(Q2408=""GPB"",Q2408=""ZAR""),IF(Q2408=Dashboard!$L$1,K2408,(K2408*GOOGLEFINANCE(""CURRENCY:""&amp;Q2408&amp;""""&amp;Dashboard!$L$1&amp;""""))/100),IF(Q2408=Dashboard!$L$1,K2408,K2408*GOOGLEFINANCE(""CURRENCY:""&amp;Q2408&amp;""""&amp;Dashboard!$"&amp;"L$1&amp;""""))),K2408))"),"")</f>
        <v/>
      </c>
      <c r="S2408" s="266" t="str">
        <f>IFERROR(__xludf.DUMMYFUNCTION("IF(ISBLANK(A2408),"""",IFERROR(IF(OR(Q2408=""GPB"",Q2408=""ZAR""),IF(Q2408=Dashboard!$L$1,M2408,(M2408*GOOGLEFINANCE(""CURRENCY:""&amp;Q2408&amp;""""&amp;Dashboard!$L$1&amp;""""))/100),IF(Q2408=Dashboard!$L$1,M2408,M2408*GOOGLEFINANCE(""CURRENCY:""&amp;Q2408&amp;""""&amp;Dashboard!$"&amp;"L$1&amp;""""))),M2408))"),"")</f>
        <v/>
      </c>
      <c r="T2408" s="264" t="str">
        <f t="shared" si="4"/>
        <v/>
      </c>
      <c r="U2408" s="264" t="str">
        <f t="shared" si="5"/>
        <v/>
      </c>
      <c r="V2408" s="264" t="str">
        <f t="shared" si="6"/>
        <v/>
      </c>
      <c r="W2408" s="267" t="str">
        <f t="shared" si="8"/>
        <v/>
      </c>
      <c r="X2408" s="264" t="str">
        <f t="shared" si="7"/>
        <v/>
      </c>
    </row>
    <row r="2409" ht="15.75" customHeight="1">
      <c r="A2409" s="258"/>
      <c r="B2409" s="258"/>
      <c r="C2409" s="269"/>
      <c r="D2409" s="258"/>
      <c r="E2409" s="258"/>
      <c r="F2409" s="258"/>
      <c r="G2409" s="258"/>
      <c r="H2409" s="271"/>
      <c r="I2409" s="258"/>
      <c r="J2409" s="272"/>
      <c r="K2409" s="260"/>
      <c r="L2409" s="261"/>
      <c r="M2409" s="262" t="str">
        <f t="shared" si="1"/>
        <v/>
      </c>
      <c r="N2409" s="263" t="str">
        <f t="shared" si="2"/>
        <v/>
      </c>
      <c r="O2409" s="264" t="str">
        <f t="shared" si="3"/>
        <v/>
      </c>
      <c r="P2409" s="265" t="str">
        <f>IFERROR(__xludf.DUMMYFUNCTION("IF(ISBLANK(A2409),"""",IFERROR(IF(H2409=""Sell"",VLOOKUP(9^99,FILTER({ROW(P$2:P2408),P$2:P2408},D$2:D2408=D2409),2),(VLOOKUP(9^99,FILTER({ROW(P$2:P2408),P$2:P2408},D$2:D2408=D2409),2)*VLOOKUP(9^99,FILTER({ROW(O$2:O2408),O$2:O2408},D$2:D2408=D2409),2)-N240"&amp;"9)/O2409),J2409))"),"")</f>
        <v/>
      </c>
      <c r="Q2409" s="264" t="str">
        <f>IFERROR(__xludf.DUMMYFUNCTION("IFERROR(IF(F2409=""Crypto"",B2409,(IF(ISBLANK(D2409),"""",IF(D2409=""Cash"",B2409,IF(GOOGLEFINANCE(D2409,""CURRENCY"")=""GBX"",""GBP"",GOOGLEFINANCE(D2409,""CURRENCY"")))))),B2409)"),"")</f>
        <v/>
      </c>
      <c r="R2409" s="263" t="str">
        <f>IFERROR(__xludf.DUMMYFUNCTION("IF(ISBLANK(A2409),"""",IFERROR(IF(OR(Q2409=""GPB"",Q2409=""ZAR""),IF(Q2409=Dashboard!$L$1,K2409,(K2409*GOOGLEFINANCE(""CURRENCY:""&amp;Q2409&amp;""""&amp;Dashboard!$L$1&amp;""""))/100),IF(Q2409=Dashboard!$L$1,K2409,K2409*GOOGLEFINANCE(""CURRENCY:""&amp;Q2409&amp;""""&amp;Dashboard!$"&amp;"L$1&amp;""""))),K2409))"),"")</f>
        <v/>
      </c>
      <c r="S2409" s="266" t="str">
        <f>IFERROR(__xludf.DUMMYFUNCTION("IF(ISBLANK(A2409),"""",IFERROR(IF(OR(Q2409=""GPB"",Q2409=""ZAR""),IF(Q2409=Dashboard!$L$1,M2409,(M2409*GOOGLEFINANCE(""CURRENCY:""&amp;Q2409&amp;""""&amp;Dashboard!$L$1&amp;""""))/100),IF(Q2409=Dashboard!$L$1,M2409,M2409*GOOGLEFINANCE(""CURRENCY:""&amp;Q2409&amp;""""&amp;Dashboard!$"&amp;"L$1&amp;""""))),M2409))"),"")</f>
        <v/>
      </c>
      <c r="T2409" s="264" t="str">
        <f t="shared" si="4"/>
        <v/>
      </c>
      <c r="U2409" s="264" t="str">
        <f t="shared" si="5"/>
        <v/>
      </c>
      <c r="V2409" s="264" t="str">
        <f t="shared" si="6"/>
        <v/>
      </c>
      <c r="W2409" s="267" t="str">
        <f t="shared" si="8"/>
        <v/>
      </c>
      <c r="X2409" s="264" t="str">
        <f t="shared" si="7"/>
        <v/>
      </c>
    </row>
    <row r="2410" ht="15.75" customHeight="1">
      <c r="A2410" s="258"/>
      <c r="B2410" s="258"/>
      <c r="C2410" s="269"/>
      <c r="D2410" s="258"/>
      <c r="E2410" s="258"/>
      <c r="F2410" s="258"/>
      <c r="G2410" s="258"/>
      <c r="H2410" s="271"/>
      <c r="I2410" s="258"/>
      <c r="J2410" s="272"/>
      <c r="K2410" s="260"/>
      <c r="L2410" s="261"/>
      <c r="M2410" s="262" t="str">
        <f t="shared" si="1"/>
        <v/>
      </c>
      <c r="N2410" s="263" t="str">
        <f t="shared" si="2"/>
        <v/>
      </c>
      <c r="O2410" s="264" t="str">
        <f t="shared" si="3"/>
        <v/>
      </c>
      <c r="P2410" s="265" t="str">
        <f>IFERROR(__xludf.DUMMYFUNCTION("IF(ISBLANK(A2410),"""",IFERROR(IF(H2410=""Sell"",VLOOKUP(9^99,FILTER({ROW(P$2:P2409),P$2:P2409},D$2:D2409=D2410),2),(VLOOKUP(9^99,FILTER({ROW(P$2:P2409),P$2:P2409},D$2:D2409=D2410),2)*VLOOKUP(9^99,FILTER({ROW(O$2:O2409),O$2:O2409},D$2:D2409=D2410),2)-N241"&amp;"0)/O2410),J2410))"),"")</f>
        <v/>
      </c>
      <c r="Q2410" s="264" t="str">
        <f>IFERROR(__xludf.DUMMYFUNCTION("IFERROR(IF(F2410=""Crypto"",B2410,(IF(ISBLANK(D2410),"""",IF(D2410=""Cash"",B2410,IF(GOOGLEFINANCE(D2410,""CURRENCY"")=""GBX"",""GBP"",GOOGLEFINANCE(D2410,""CURRENCY"")))))),B2410)"),"")</f>
        <v/>
      </c>
      <c r="R2410" s="263" t="str">
        <f>IFERROR(__xludf.DUMMYFUNCTION("IF(ISBLANK(A2410),"""",IFERROR(IF(OR(Q2410=""GPB"",Q2410=""ZAR""),IF(Q2410=Dashboard!$L$1,K2410,(K2410*GOOGLEFINANCE(""CURRENCY:""&amp;Q2410&amp;""""&amp;Dashboard!$L$1&amp;""""))/100),IF(Q2410=Dashboard!$L$1,K2410,K2410*GOOGLEFINANCE(""CURRENCY:""&amp;Q2410&amp;""""&amp;Dashboard!$"&amp;"L$1&amp;""""))),K2410))"),"")</f>
        <v/>
      </c>
      <c r="S2410" s="266" t="str">
        <f>IFERROR(__xludf.DUMMYFUNCTION("IF(ISBLANK(A2410),"""",IFERROR(IF(OR(Q2410=""GPB"",Q2410=""ZAR""),IF(Q2410=Dashboard!$L$1,M2410,(M2410*GOOGLEFINANCE(""CURRENCY:""&amp;Q2410&amp;""""&amp;Dashboard!$L$1&amp;""""))/100),IF(Q2410=Dashboard!$L$1,M2410,M2410*GOOGLEFINANCE(""CURRENCY:""&amp;Q2410&amp;""""&amp;Dashboard!$"&amp;"L$1&amp;""""))),M2410))"),"")</f>
        <v/>
      </c>
      <c r="T2410" s="264" t="str">
        <f t="shared" si="4"/>
        <v/>
      </c>
      <c r="U2410" s="264" t="str">
        <f t="shared" si="5"/>
        <v/>
      </c>
      <c r="V2410" s="264" t="str">
        <f t="shared" si="6"/>
        <v/>
      </c>
      <c r="W2410" s="267" t="str">
        <f t="shared" si="8"/>
        <v/>
      </c>
      <c r="X2410" s="264" t="str">
        <f t="shared" si="7"/>
        <v/>
      </c>
    </row>
    <row r="2411" ht="15.75" customHeight="1">
      <c r="A2411" s="258"/>
      <c r="B2411" s="258"/>
      <c r="C2411" s="269"/>
      <c r="D2411" s="258"/>
      <c r="E2411" s="258"/>
      <c r="F2411" s="258"/>
      <c r="G2411" s="258"/>
      <c r="H2411" s="271"/>
      <c r="I2411" s="258"/>
      <c r="J2411" s="272"/>
      <c r="K2411" s="260"/>
      <c r="L2411" s="261"/>
      <c r="M2411" s="262" t="str">
        <f t="shared" si="1"/>
        <v/>
      </c>
      <c r="N2411" s="263" t="str">
        <f t="shared" si="2"/>
        <v/>
      </c>
      <c r="O2411" s="264" t="str">
        <f t="shared" si="3"/>
        <v/>
      </c>
      <c r="P2411" s="265" t="str">
        <f>IFERROR(__xludf.DUMMYFUNCTION("IF(ISBLANK(A2411),"""",IFERROR(IF(H2411=""Sell"",VLOOKUP(9^99,FILTER({ROW(P$2:P2410),P$2:P2410},D$2:D2410=D2411),2),(VLOOKUP(9^99,FILTER({ROW(P$2:P2410),P$2:P2410},D$2:D2410=D2411),2)*VLOOKUP(9^99,FILTER({ROW(O$2:O2410),O$2:O2410},D$2:D2410=D2411),2)-N241"&amp;"1)/O2411),J2411))"),"")</f>
        <v/>
      </c>
      <c r="Q2411" s="264" t="str">
        <f>IFERROR(__xludf.DUMMYFUNCTION("IFERROR(IF(F2411=""Crypto"",B2411,(IF(ISBLANK(D2411),"""",IF(D2411=""Cash"",B2411,IF(GOOGLEFINANCE(D2411,""CURRENCY"")=""GBX"",""GBP"",GOOGLEFINANCE(D2411,""CURRENCY"")))))),B2411)"),"")</f>
        <v/>
      </c>
      <c r="R2411" s="263" t="str">
        <f>IFERROR(__xludf.DUMMYFUNCTION("IF(ISBLANK(A2411),"""",IFERROR(IF(OR(Q2411=""GPB"",Q2411=""ZAR""),IF(Q2411=Dashboard!$L$1,K2411,(K2411*GOOGLEFINANCE(""CURRENCY:""&amp;Q2411&amp;""""&amp;Dashboard!$L$1&amp;""""))/100),IF(Q2411=Dashboard!$L$1,K2411,K2411*GOOGLEFINANCE(""CURRENCY:""&amp;Q2411&amp;""""&amp;Dashboard!$"&amp;"L$1&amp;""""))),K2411))"),"")</f>
        <v/>
      </c>
      <c r="S2411" s="266" t="str">
        <f>IFERROR(__xludf.DUMMYFUNCTION("IF(ISBLANK(A2411),"""",IFERROR(IF(OR(Q2411=""GPB"",Q2411=""ZAR""),IF(Q2411=Dashboard!$L$1,M2411,(M2411*GOOGLEFINANCE(""CURRENCY:""&amp;Q2411&amp;""""&amp;Dashboard!$L$1&amp;""""))/100),IF(Q2411=Dashboard!$L$1,M2411,M2411*GOOGLEFINANCE(""CURRENCY:""&amp;Q2411&amp;""""&amp;Dashboard!$"&amp;"L$1&amp;""""))),M2411))"),"")</f>
        <v/>
      </c>
      <c r="T2411" s="264" t="str">
        <f t="shared" si="4"/>
        <v/>
      </c>
      <c r="U2411" s="264" t="str">
        <f t="shared" si="5"/>
        <v/>
      </c>
      <c r="V2411" s="264" t="str">
        <f t="shared" si="6"/>
        <v/>
      </c>
      <c r="W2411" s="267" t="str">
        <f t="shared" si="8"/>
        <v/>
      </c>
      <c r="X2411" s="264" t="str">
        <f t="shared" si="7"/>
        <v/>
      </c>
    </row>
    <row r="2412" ht="15.75" customHeight="1">
      <c r="A2412" s="258"/>
      <c r="B2412" s="258"/>
      <c r="C2412" s="269"/>
      <c r="D2412" s="258"/>
      <c r="E2412" s="258"/>
      <c r="F2412" s="258"/>
      <c r="G2412" s="258"/>
      <c r="H2412" s="271"/>
      <c r="I2412" s="258"/>
      <c r="J2412" s="272"/>
      <c r="K2412" s="260"/>
      <c r="L2412" s="261"/>
      <c r="M2412" s="262" t="str">
        <f t="shared" si="1"/>
        <v/>
      </c>
      <c r="N2412" s="263" t="str">
        <f t="shared" si="2"/>
        <v/>
      </c>
      <c r="O2412" s="264" t="str">
        <f t="shared" si="3"/>
        <v/>
      </c>
      <c r="P2412" s="265" t="str">
        <f>IFERROR(__xludf.DUMMYFUNCTION("IF(ISBLANK(A2412),"""",IFERROR(IF(H2412=""Sell"",VLOOKUP(9^99,FILTER({ROW(P$2:P2411),P$2:P2411},D$2:D2411=D2412),2),(VLOOKUP(9^99,FILTER({ROW(P$2:P2411),P$2:P2411},D$2:D2411=D2412),2)*VLOOKUP(9^99,FILTER({ROW(O$2:O2411),O$2:O2411},D$2:D2411=D2412),2)-N241"&amp;"2)/O2412),J2412))"),"")</f>
        <v/>
      </c>
      <c r="Q2412" s="264" t="str">
        <f>IFERROR(__xludf.DUMMYFUNCTION("IFERROR(IF(F2412=""Crypto"",B2412,(IF(ISBLANK(D2412),"""",IF(D2412=""Cash"",B2412,IF(GOOGLEFINANCE(D2412,""CURRENCY"")=""GBX"",""GBP"",GOOGLEFINANCE(D2412,""CURRENCY"")))))),B2412)"),"")</f>
        <v/>
      </c>
      <c r="R2412" s="263" t="str">
        <f>IFERROR(__xludf.DUMMYFUNCTION("IF(ISBLANK(A2412),"""",IFERROR(IF(OR(Q2412=""GPB"",Q2412=""ZAR""),IF(Q2412=Dashboard!$L$1,K2412,(K2412*GOOGLEFINANCE(""CURRENCY:""&amp;Q2412&amp;""""&amp;Dashboard!$L$1&amp;""""))/100),IF(Q2412=Dashboard!$L$1,K2412,K2412*GOOGLEFINANCE(""CURRENCY:""&amp;Q2412&amp;""""&amp;Dashboard!$"&amp;"L$1&amp;""""))),K2412))"),"")</f>
        <v/>
      </c>
      <c r="S2412" s="266" t="str">
        <f>IFERROR(__xludf.DUMMYFUNCTION("IF(ISBLANK(A2412),"""",IFERROR(IF(OR(Q2412=""GPB"",Q2412=""ZAR""),IF(Q2412=Dashboard!$L$1,M2412,(M2412*GOOGLEFINANCE(""CURRENCY:""&amp;Q2412&amp;""""&amp;Dashboard!$L$1&amp;""""))/100),IF(Q2412=Dashboard!$L$1,M2412,M2412*GOOGLEFINANCE(""CURRENCY:""&amp;Q2412&amp;""""&amp;Dashboard!$"&amp;"L$1&amp;""""))),M2412))"),"")</f>
        <v/>
      </c>
      <c r="T2412" s="264" t="str">
        <f t="shared" si="4"/>
        <v/>
      </c>
      <c r="U2412" s="264" t="str">
        <f t="shared" si="5"/>
        <v/>
      </c>
      <c r="V2412" s="264" t="str">
        <f t="shared" si="6"/>
        <v/>
      </c>
      <c r="W2412" s="267" t="str">
        <f t="shared" si="8"/>
        <v/>
      </c>
      <c r="X2412" s="264" t="str">
        <f t="shared" si="7"/>
        <v/>
      </c>
    </row>
    <row r="2413" ht="15.75" customHeight="1">
      <c r="A2413" s="258"/>
      <c r="B2413" s="258"/>
      <c r="C2413" s="269"/>
      <c r="D2413" s="258"/>
      <c r="E2413" s="258"/>
      <c r="F2413" s="258"/>
      <c r="G2413" s="258"/>
      <c r="H2413" s="271"/>
      <c r="I2413" s="258"/>
      <c r="J2413" s="272"/>
      <c r="K2413" s="260"/>
      <c r="L2413" s="261"/>
      <c r="M2413" s="262" t="str">
        <f t="shared" si="1"/>
        <v/>
      </c>
      <c r="N2413" s="263" t="str">
        <f t="shared" si="2"/>
        <v/>
      </c>
      <c r="O2413" s="264" t="str">
        <f t="shared" si="3"/>
        <v/>
      </c>
      <c r="P2413" s="265" t="str">
        <f>IFERROR(__xludf.DUMMYFUNCTION("IF(ISBLANK(A2413),"""",IFERROR(IF(H2413=""Sell"",VLOOKUP(9^99,FILTER({ROW(P$2:P2412),P$2:P2412},D$2:D2412=D2413),2),(VLOOKUP(9^99,FILTER({ROW(P$2:P2412),P$2:P2412},D$2:D2412=D2413),2)*VLOOKUP(9^99,FILTER({ROW(O$2:O2412),O$2:O2412},D$2:D2412=D2413),2)-N241"&amp;"3)/O2413),J2413))"),"")</f>
        <v/>
      </c>
      <c r="Q2413" s="264" t="str">
        <f>IFERROR(__xludf.DUMMYFUNCTION("IFERROR(IF(F2413=""Crypto"",B2413,(IF(ISBLANK(D2413),"""",IF(D2413=""Cash"",B2413,IF(GOOGLEFINANCE(D2413,""CURRENCY"")=""GBX"",""GBP"",GOOGLEFINANCE(D2413,""CURRENCY"")))))),B2413)"),"")</f>
        <v/>
      </c>
      <c r="R2413" s="263" t="str">
        <f>IFERROR(__xludf.DUMMYFUNCTION("IF(ISBLANK(A2413),"""",IFERROR(IF(OR(Q2413=""GPB"",Q2413=""ZAR""),IF(Q2413=Dashboard!$L$1,K2413,(K2413*GOOGLEFINANCE(""CURRENCY:""&amp;Q2413&amp;""""&amp;Dashboard!$L$1&amp;""""))/100),IF(Q2413=Dashboard!$L$1,K2413,K2413*GOOGLEFINANCE(""CURRENCY:""&amp;Q2413&amp;""""&amp;Dashboard!$"&amp;"L$1&amp;""""))),K2413))"),"")</f>
        <v/>
      </c>
      <c r="S2413" s="266" t="str">
        <f>IFERROR(__xludf.DUMMYFUNCTION("IF(ISBLANK(A2413),"""",IFERROR(IF(OR(Q2413=""GPB"",Q2413=""ZAR""),IF(Q2413=Dashboard!$L$1,M2413,(M2413*GOOGLEFINANCE(""CURRENCY:""&amp;Q2413&amp;""""&amp;Dashboard!$L$1&amp;""""))/100),IF(Q2413=Dashboard!$L$1,M2413,M2413*GOOGLEFINANCE(""CURRENCY:""&amp;Q2413&amp;""""&amp;Dashboard!$"&amp;"L$1&amp;""""))),M2413))"),"")</f>
        <v/>
      </c>
      <c r="T2413" s="264" t="str">
        <f t="shared" si="4"/>
        <v/>
      </c>
      <c r="U2413" s="264" t="str">
        <f t="shared" si="5"/>
        <v/>
      </c>
      <c r="V2413" s="264" t="str">
        <f t="shared" si="6"/>
        <v/>
      </c>
      <c r="W2413" s="267" t="str">
        <f t="shared" si="8"/>
        <v/>
      </c>
      <c r="X2413" s="264" t="str">
        <f t="shared" si="7"/>
        <v/>
      </c>
    </row>
    <row r="2414" ht="15.75" customHeight="1">
      <c r="A2414" s="258"/>
      <c r="B2414" s="258"/>
      <c r="C2414" s="269"/>
      <c r="D2414" s="258"/>
      <c r="E2414" s="258"/>
      <c r="F2414" s="258"/>
      <c r="G2414" s="258"/>
      <c r="H2414" s="271"/>
      <c r="I2414" s="258"/>
      <c r="J2414" s="272"/>
      <c r="K2414" s="260"/>
      <c r="L2414" s="261"/>
      <c r="M2414" s="262" t="str">
        <f t="shared" si="1"/>
        <v/>
      </c>
      <c r="N2414" s="263" t="str">
        <f t="shared" si="2"/>
        <v/>
      </c>
      <c r="O2414" s="264" t="str">
        <f t="shared" si="3"/>
        <v/>
      </c>
      <c r="P2414" s="265" t="str">
        <f>IFERROR(__xludf.DUMMYFUNCTION("IF(ISBLANK(A2414),"""",IFERROR(IF(H2414=""Sell"",VLOOKUP(9^99,FILTER({ROW(P$2:P2413),P$2:P2413},D$2:D2413=D2414),2),(VLOOKUP(9^99,FILTER({ROW(P$2:P2413),P$2:P2413},D$2:D2413=D2414),2)*VLOOKUP(9^99,FILTER({ROW(O$2:O2413),O$2:O2413},D$2:D2413=D2414),2)-N241"&amp;"4)/O2414),J2414))"),"")</f>
        <v/>
      </c>
      <c r="Q2414" s="264" t="str">
        <f>IFERROR(__xludf.DUMMYFUNCTION("IFERROR(IF(F2414=""Crypto"",B2414,(IF(ISBLANK(D2414),"""",IF(D2414=""Cash"",B2414,IF(GOOGLEFINANCE(D2414,""CURRENCY"")=""GBX"",""GBP"",GOOGLEFINANCE(D2414,""CURRENCY"")))))),B2414)"),"")</f>
        <v/>
      </c>
      <c r="R2414" s="263" t="str">
        <f>IFERROR(__xludf.DUMMYFUNCTION("IF(ISBLANK(A2414),"""",IFERROR(IF(OR(Q2414=""GPB"",Q2414=""ZAR""),IF(Q2414=Dashboard!$L$1,K2414,(K2414*GOOGLEFINANCE(""CURRENCY:""&amp;Q2414&amp;""""&amp;Dashboard!$L$1&amp;""""))/100),IF(Q2414=Dashboard!$L$1,K2414,K2414*GOOGLEFINANCE(""CURRENCY:""&amp;Q2414&amp;""""&amp;Dashboard!$"&amp;"L$1&amp;""""))),K2414))"),"")</f>
        <v/>
      </c>
      <c r="S2414" s="266" t="str">
        <f>IFERROR(__xludf.DUMMYFUNCTION("IF(ISBLANK(A2414),"""",IFERROR(IF(OR(Q2414=""GPB"",Q2414=""ZAR""),IF(Q2414=Dashboard!$L$1,M2414,(M2414*GOOGLEFINANCE(""CURRENCY:""&amp;Q2414&amp;""""&amp;Dashboard!$L$1&amp;""""))/100),IF(Q2414=Dashboard!$L$1,M2414,M2414*GOOGLEFINANCE(""CURRENCY:""&amp;Q2414&amp;""""&amp;Dashboard!$"&amp;"L$1&amp;""""))),M2414))"),"")</f>
        <v/>
      </c>
      <c r="T2414" s="264" t="str">
        <f t="shared" si="4"/>
        <v/>
      </c>
      <c r="U2414" s="264" t="str">
        <f t="shared" si="5"/>
        <v/>
      </c>
      <c r="V2414" s="264" t="str">
        <f t="shared" si="6"/>
        <v/>
      </c>
      <c r="W2414" s="267" t="str">
        <f t="shared" si="8"/>
        <v/>
      </c>
      <c r="X2414" s="264" t="str">
        <f t="shared" si="7"/>
        <v/>
      </c>
    </row>
    <row r="2415" ht="15.75" customHeight="1">
      <c r="A2415" s="258"/>
      <c r="B2415" s="258"/>
      <c r="C2415" s="269"/>
      <c r="D2415" s="258"/>
      <c r="E2415" s="258"/>
      <c r="F2415" s="258"/>
      <c r="G2415" s="258"/>
      <c r="H2415" s="271"/>
      <c r="I2415" s="258"/>
      <c r="J2415" s="272"/>
      <c r="K2415" s="260"/>
      <c r="L2415" s="261"/>
      <c r="M2415" s="262" t="str">
        <f t="shared" si="1"/>
        <v/>
      </c>
      <c r="N2415" s="263" t="str">
        <f t="shared" si="2"/>
        <v/>
      </c>
      <c r="O2415" s="264" t="str">
        <f t="shared" si="3"/>
        <v/>
      </c>
      <c r="P2415" s="265" t="str">
        <f>IFERROR(__xludf.DUMMYFUNCTION("IF(ISBLANK(A2415),"""",IFERROR(IF(H2415=""Sell"",VLOOKUP(9^99,FILTER({ROW(P$2:P2414),P$2:P2414},D$2:D2414=D2415),2),(VLOOKUP(9^99,FILTER({ROW(P$2:P2414),P$2:P2414},D$2:D2414=D2415),2)*VLOOKUP(9^99,FILTER({ROW(O$2:O2414),O$2:O2414},D$2:D2414=D2415),2)-N241"&amp;"5)/O2415),J2415))"),"")</f>
        <v/>
      </c>
      <c r="Q2415" s="264" t="str">
        <f>IFERROR(__xludf.DUMMYFUNCTION("IFERROR(IF(F2415=""Crypto"",B2415,(IF(ISBLANK(D2415),"""",IF(D2415=""Cash"",B2415,IF(GOOGLEFINANCE(D2415,""CURRENCY"")=""GBX"",""GBP"",GOOGLEFINANCE(D2415,""CURRENCY"")))))),B2415)"),"")</f>
        <v/>
      </c>
      <c r="R2415" s="263" t="str">
        <f>IFERROR(__xludf.DUMMYFUNCTION("IF(ISBLANK(A2415),"""",IFERROR(IF(OR(Q2415=""GPB"",Q2415=""ZAR""),IF(Q2415=Dashboard!$L$1,K2415,(K2415*GOOGLEFINANCE(""CURRENCY:""&amp;Q2415&amp;""""&amp;Dashboard!$L$1&amp;""""))/100),IF(Q2415=Dashboard!$L$1,K2415,K2415*GOOGLEFINANCE(""CURRENCY:""&amp;Q2415&amp;""""&amp;Dashboard!$"&amp;"L$1&amp;""""))),K2415))"),"")</f>
        <v/>
      </c>
      <c r="S2415" s="266" t="str">
        <f>IFERROR(__xludf.DUMMYFUNCTION("IF(ISBLANK(A2415),"""",IFERROR(IF(OR(Q2415=""GPB"",Q2415=""ZAR""),IF(Q2415=Dashboard!$L$1,M2415,(M2415*GOOGLEFINANCE(""CURRENCY:""&amp;Q2415&amp;""""&amp;Dashboard!$L$1&amp;""""))/100),IF(Q2415=Dashboard!$L$1,M2415,M2415*GOOGLEFINANCE(""CURRENCY:""&amp;Q2415&amp;""""&amp;Dashboard!$"&amp;"L$1&amp;""""))),M2415))"),"")</f>
        <v/>
      </c>
      <c r="T2415" s="264" t="str">
        <f t="shared" si="4"/>
        <v/>
      </c>
      <c r="U2415" s="264" t="str">
        <f t="shared" si="5"/>
        <v/>
      </c>
      <c r="V2415" s="264" t="str">
        <f t="shared" si="6"/>
        <v/>
      </c>
      <c r="W2415" s="267" t="str">
        <f t="shared" si="8"/>
        <v/>
      </c>
      <c r="X2415" s="264" t="str">
        <f t="shared" si="7"/>
        <v/>
      </c>
    </row>
    <row r="2416" ht="15.75" customHeight="1">
      <c r="A2416" s="258"/>
      <c r="B2416" s="258"/>
      <c r="C2416" s="269"/>
      <c r="D2416" s="258"/>
      <c r="E2416" s="258"/>
      <c r="F2416" s="258"/>
      <c r="G2416" s="258"/>
      <c r="H2416" s="271"/>
      <c r="I2416" s="258"/>
      <c r="J2416" s="272"/>
      <c r="K2416" s="260"/>
      <c r="L2416" s="261"/>
      <c r="M2416" s="262" t="str">
        <f t="shared" si="1"/>
        <v/>
      </c>
      <c r="N2416" s="263" t="str">
        <f t="shared" si="2"/>
        <v/>
      </c>
      <c r="O2416" s="264" t="str">
        <f t="shared" si="3"/>
        <v/>
      </c>
      <c r="P2416" s="265" t="str">
        <f>IFERROR(__xludf.DUMMYFUNCTION("IF(ISBLANK(A2416),"""",IFERROR(IF(H2416=""Sell"",VLOOKUP(9^99,FILTER({ROW(P$2:P2415),P$2:P2415},D$2:D2415=D2416),2),(VLOOKUP(9^99,FILTER({ROW(P$2:P2415),P$2:P2415},D$2:D2415=D2416),2)*VLOOKUP(9^99,FILTER({ROW(O$2:O2415),O$2:O2415},D$2:D2415=D2416),2)-N241"&amp;"6)/O2416),J2416))"),"")</f>
        <v/>
      </c>
      <c r="Q2416" s="264" t="str">
        <f>IFERROR(__xludf.DUMMYFUNCTION("IFERROR(IF(F2416=""Crypto"",B2416,(IF(ISBLANK(D2416),"""",IF(D2416=""Cash"",B2416,IF(GOOGLEFINANCE(D2416,""CURRENCY"")=""GBX"",""GBP"",GOOGLEFINANCE(D2416,""CURRENCY"")))))),B2416)"),"")</f>
        <v/>
      </c>
      <c r="R2416" s="263" t="str">
        <f>IFERROR(__xludf.DUMMYFUNCTION("IF(ISBLANK(A2416),"""",IFERROR(IF(OR(Q2416=""GPB"",Q2416=""ZAR""),IF(Q2416=Dashboard!$L$1,K2416,(K2416*GOOGLEFINANCE(""CURRENCY:""&amp;Q2416&amp;""""&amp;Dashboard!$L$1&amp;""""))/100),IF(Q2416=Dashboard!$L$1,K2416,K2416*GOOGLEFINANCE(""CURRENCY:""&amp;Q2416&amp;""""&amp;Dashboard!$"&amp;"L$1&amp;""""))),K2416))"),"")</f>
        <v/>
      </c>
      <c r="S2416" s="266" t="str">
        <f>IFERROR(__xludf.DUMMYFUNCTION("IF(ISBLANK(A2416),"""",IFERROR(IF(OR(Q2416=""GPB"",Q2416=""ZAR""),IF(Q2416=Dashboard!$L$1,M2416,(M2416*GOOGLEFINANCE(""CURRENCY:""&amp;Q2416&amp;""""&amp;Dashboard!$L$1&amp;""""))/100),IF(Q2416=Dashboard!$L$1,M2416,M2416*GOOGLEFINANCE(""CURRENCY:""&amp;Q2416&amp;""""&amp;Dashboard!$"&amp;"L$1&amp;""""))),M2416))"),"")</f>
        <v/>
      </c>
      <c r="T2416" s="264" t="str">
        <f t="shared" si="4"/>
        <v/>
      </c>
      <c r="U2416" s="264" t="str">
        <f t="shared" si="5"/>
        <v/>
      </c>
      <c r="V2416" s="264" t="str">
        <f t="shared" si="6"/>
        <v/>
      </c>
      <c r="W2416" s="267" t="str">
        <f t="shared" si="8"/>
        <v/>
      </c>
      <c r="X2416" s="264" t="str">
        <f t="shared" si="7"/>
        <v/>
      </c>
    </row>
    <row r="2417" ht="15.75" customHeight="1">
      <c r="A2417" s="258"/>
      <c r="B2417" s="258"/>
      <c r="C2417" s="269"/>
      <c r="D2417" s="258"/>
      <c r="E2417" s="258"/>
      <c r="F2417" s="258"/>
      <c r="G2417" s="258"/>
      <c r="H2417" s="271"/>
      <c r="I2417" s="258"/>
      <c r="J2417" s="272"/>
      <c r="K2417" s="260"/>
      <c r="L2417" s="261"/>
      <c r="M2417" s="262" t="str">
        <f t="shared" si="1"/>
        <v/>
      </c>
      <c r="N2417" s="263" t="str">
        <f t="shared" si="2"/>
        <v/>
      </c>
      <c r="O2417" s="264" t="str">
        <f t="shared" si="3"/>
        <v/>
      </c>
      <c r="P2417" s="265" t="str">
        <f>IFERROR(__xludf.DUMMYFUNCTION("IF(ISBLANK(A2417),"""",IFERROR(IF(H2417=""Sell"",VLOOKUP(9^99,FILTER({ROW(P$2:P2416),P$2:P2416},D$2:D2416=D2417),2),(VLOOKUP(9^99,FILTER({ROW(P$2:P2416),P$2:P2416},D$2:D2416=D2417),2)*VLOOKUP(9^99,FILTER({ROW(O$2:O2416),O$2:O2416},D$2:D2416=D2417),2)-N241"&amp;"7)/O2417),J2417))"),"")</f>
        <v/>
      </c>
      <c r="Q2417" s="264" t="str">
        <f>IFERROR(__xludf.DUMMYFUNCTION("IFERROR(IF(F2417=""Crypto"",B2417,(IF(ISBLANK(D2417),"""",IF(D2417=""Cash"",B2417,IF(GOOGLEFINANCE(D2417,""CURRENCY"")=""GBX"",""GBP"",GOOGLEFINANCE(D2417,""CURRENCY"")))))),B2417)"),"")</f>
        <v/>
      </c>
      <c r="R2417" s="263" t="str">
        <f>IFERROR(__xludf.DUMMYFUNCTION("IF(ISBLANK(A2417),"""",IFERROR(IF(OR(Q2417=""GPB"",Q2417=""ZAR""),IF(Q2417=Dashboard!$L$1,K2417,(K2417*GOOGLEFINANCE(""CURRENCY:""&amp;Q2417&amp;""""&amp;Dashboard!$L$1&amp;""""))/100),IF(Q2417=Dashboard!$L$1,K2417,K2417*GOOGLEFINANCE(""CURRENCY:""&amp;Q2417&amp;""""&amp;Dashboard!$"&amp;"L$1&amp;""""))),K2417))"),"")</f>
        <v/>
      </c>
      <c r="S2417" s="266" t="str">
        <f>IFERROR(__xludf.DUMMYFUNCTION("IF(ISBLANK(A2417),"""",IFERROR(IF(OR(Q2417=""GPB"",Q2417=""ZAR""),IF(Q2417=Dashboard!$L$1,M2417,(M2417*GOOGLEFINANCE(""CURRENCY:""&amp;Q2417&amp;""""&amp;Dashboard!$L$1&amp;""""))/100),IF(Q2417=Dashboard!$L$1,M2417,M2417*GOOGLEFINANCE(""CURRENCY:""&amp;Q2417&amp;""""&amp;Dashboard!$"&amp;"L$1&amp;""""))),M2417))"),"")</f>
        <v/>
      </c>
      <c r="T2417" s="264" t="str">
        <f t="shared" si="4"/>
        <v/>
      </c>
      <c r="U2417" s="264" t="str">
        <f t="shared" si="5"/>
        <v/>
      </c>
      <c r="V2417" s="264" t="str">
        <f t="shared" si="6"/>
        <v/>
      </c>
      <c r="W2417" s="267" t="str">
        <f t="shared" si="8"/>
        <v/>
      </c>
      <c r="X2417" s="264" t="str">
        <f t="shared" si="7"/>
        <v/>
      </c>
    </row>
    <row r="2418" ht="15.75" customHeight="1">
      <c r="A2418" s="258"/>
      <c r="B2418" s="258"/>
      <c r="C2418" s="269"/>
      <c r="D2418" s="258"/>
      <c r="E2418" s="258"/>
      <c r="F2418" s="258"/>
      <c r="G2418" s="258"/>
      <c r="H2418" s="271"/>
      <c r="I2418" s="258"/>
      <c r="J2418" s="272"/>
      <c r="K2418" s="260"/>
      <c r="L2418" s="261"/>
      <c r="M2418" s="262" t="str">
        <f t="shared" si="1"/>
        <v/>
      </c>
      <c r="N2418" s="263" t="str">
        <f t="shared" si="2"/>
        <v/>
      </c>
      <c r="O2418" s="264" t="str">
        <f t="shared" si="3"/>
        <v/>
      </c>
      <c r="P2418" s="265" t="str">
        <f>IFERROR(__xludf.DUMMYFUNCTION("IF(ISBLANK(A2418),"""",IFERROR(IF(H2418=""Sell"",VLOOKUP(9^99,FILTER({ROW(P$2:P2417),P$2:P2417},D$2:D2417=D2418),2),(VLOOKUP(9^99,FILTER({ROW(P$2:P2417),P$2:P2417},D$2:D2417=D2418),2)*VLOOKUP(9^99,FILTER({ROW(O$2:O2417),O$2:O2417},D$2:D2417=D2418),2)-N241"&amp;"8)/O2418),J2418))"),"")</f>
        <v/>
      </c>
      <c r="Q2418" s="264" t="str">
        <f>IFERROR(__xludf.DUMMYFUNCTION("IFERROR(IF(F2418=""Crypto"",B2418,(IF(ISBLANK(D2418),"""",IF(D2418=""Cash"",B2418,IF(GOOGLEFINANCE(D2418,""CURRENCY"")=""GBX"",""GBP"",GOOGLEFINANCE(D2418,""CURRENCY"")))))),B2418)"),"")</f>
        <v/>
      </c>
      <c r="R2418" s="263" t="str">
        <f>IFERROR(__xludf.DUMMYFUNCTION("IF(ISBLANK(A2418),"""",IFERROR(IF(OR(Q2418=""GPB"",Q2418=""ZAR""),IF(Q2418=Dashboard!$L$1,K2418,(K2418*GOOGLEFINANCE(""CURRENCY:""&amp;Q2418&amp;""""&amp;Dashboard!$L$1&amp;""""))/100),IF(Q2418=Dashboard!$L$1,K2418,K2418*GOOGLEFINANCE(""CURRENCY:""&amp;Q2418&amp;""""&amp;Dashboard!$"&amp;"L$1&amp;""""))),K2418))"),"")</f>
        <v/>
      </c>
      <c r="S2418" s="266" t="str">
        <f>IFERROR(__xludf.DUMMYFUNCTION("IF(ISBLANK(A2418),"""",IFERROR(IF(OR(Q2418=""GPB"",Q2418=""ZAR""),IF(Q2418=Dashboard!$L$1,M2418,(M2418*GOOGLEFINANCE(""CURRENCY:""&amp;Q2418&amp;""""&amp;Dashboard!$L$1&amp;""""))/100),IF(Q2418=Dashboard!$L$1,M2418,M2418*GOOGLEFINANCE(""CURRENCY:""&amp;Q2418&amp;""""&amp;Dashboard!$"&amp;"L$1&amp;""""))),M2418))"),"")</f>
        <v/>
      </c>
      <c r="T2418" s="264" t="str">
        <f t="shared" si="4"/>
        <v/>
      </c>
      <c r="U2418" s="264" t="str">
        <f t="shared" si="5"/>
        <v/>
      </c>
      <c r="V2418" s="264" t="str">
        <f t="shared" si="6"/>
        <v/>
      </c>
      <c r="W2418" s="267" t="str">
        <f t="shared" si="8"/>
        <v/>
      </c>
      <c r="X2418" s="264" t="str">
        <f t="shared" si="7"/>
        <v/>
      </c>
    </row>
    <row r="2419" ht="15.75" customHeight="1">
      <c r="A2419" s="258"/>
      <c r="B2419" s="258"/>
      <c r="C2419" s="269"/>
      <c r="D2419" s="258"/>
      <c r="E2419" s="258"/>
      <c r="F2419" s="258"/>
      <c r="G2419" s="258"/>
      <c r="H2419" s="271"/>
      <c r="I2419" s="258"/>
      <c r="J2419" s="272"/>
      <c r="K2419" s="260"/>
      <c r="L2419" s="261"/>
      <c r="M2419" s="262" t="str">
        <f t="shared" si="1"/>
        <v/>
      </c>
      <c r="N2419" s="263" t="str">
        <f t="shared" si="2"/>
        <v/>
      </c>
      <c r="O2419" s="264" t="str">
        <f t="shared" si="3"/>
        <v/>
      </c>
      <c r="P2419" s="265" t="str">
        <f>IFERROR(__xludf.DUMMYFUNCTION("IF(ISBLANK(A2419),"""",IFERROR(IF(H2419=""Sell"",VLOOKUP(9^99,FILTER({ROW(P$2:P2418),P$2:P2418},D$2:D2418=D2419),2),(VLOOKUP(9^99,FILTER({ROW(P$2:P2418),P$2:P2418},D$2:D2418=D2419),2)*VLOOKUP(9^99,FILTER({ROW(O$2:O2418),O$2:O2418},D$2:D2418=D2419),2)-N241"&amp;"9)/O2419),J2419))"),"")</f>
        <v/>
      </c>
      <c r="Q2419" s="264" t="str">
        <f>IFERROR(__xludf.DUMMYFUNCTION("IFERROR(IF(F2419=""Crypto"",B2419,(IF(ISBLANK(D2419),"""",IF(D2419=""Cash"",B2419,IF(GOOGLEFINANCE(D2419,""CURRENCY"")=""GBX"",""GBP"",GOOGLEFINANCE(D2419,""CURRENCY"")))))),B2419)"),"")</f>
        <v/>
      </c>
      <c r="R2419" s="263" t="str">
        <f>IFERROR(__xludf.DUMMYFUNCTION("IF(ISBLANK(A2419),"""",IFERROR(IF(OR(Q2419=""GPB"",Q2419=""ZAR""),IF(Q2419=Dashboard!$L$1,K2419,(K2419*GOOGLEFINANCE(""CURRENCY:""&amp;Q2419&amp;""""&amp;Dashboard!$L$1&amp;""""))/100),IF(Q2419=Dashboard!$L$1,K2419,K2419*GOOGLEFINANCE(""CURRENCY:""&amp;Q2419&amp;""""&amp;Dashboard!$"&amp;"L$1&amp;""""))),K2419))"),"")</f>
        <v/>
      </c>
      <c r="S2419" s="266" t="str">
        <f>IFERROR(__xludf.DUMMYFUNCTION("IF(ISBLANK(A2419),"""",IFERROR(IF(OR(Q2419=""GPB"",Q2419=""ZAR""),IF(Q2419=Dashboard!$L$1,M2419,(M2419*GOOGLEFINANCE(""CURRENCY:""&amp;Q2419&amp;""""&amp;Dashboard!$L$1&amp;""""))/100),IF(Q2419=Dashboard!$L$1,M2419,M2419*GOOGLEFINANCE(""CURRENCY:""&amp;Q2419&amp;""""&amp;Dashboard!$"&amp;"L$1&amp;""""))),M2419))"),"")</f>
        <v/>
      </c>
      <c r="T2419" s="264" t="str">
        <f t="shared" si="4"/>
        <v/>
      </c>
      <c r="U2419" s="264" t="str">
        <f t="shared" si="5"/>
        <v/>
      </c>
      <c r="V2419" s="264" t="str">
        <f t="shared" si="6"/>
        <v/>
      </c>
      <c r="W2419" s="267" t="str">
        <f t="shared" si="8"/>
        <v/>
      </c>
      <c r="X2419" s="264" t="str">
        <f t="shared" si="7"/>
        <v/>
      </c>
    </row>
    <row r="2420" ht="15.75" customHeight="1">
      <c r="A2420" s="258"/>
      <c r="B2420" s="258"/>
      <c r="C2420" s="269"/>
      <c r="D2420" s="258"/>
      <c r="E2420" s="258"/>
      <c r="F2420" s="258"/>
      <c r="G2420" s="258"/>
      <c r="H2420" s="271"/>
      <c r="I2420" s="258"/>
      <c r="J2420" s="272"/>
      <c r="K2420" s="260"/>
      <c r="L2420" s="261"/>
      <c r="M2420" s="262" t="str">
        <f t="shared" si="1"/>
        <v/>
      </c>
      <c r="N2420" s="263" t="str">
        <f t="shared" si="2"/>
        <v/>
      </c>
      <c r="O2420" s="264" t="str">
        <f t="shared" si="3"/>
        <v/>
      </c>
      <c r="P2420" s="265" t="str">
        <f>IFERROR(__xludf.DUMMYFUNCTION("IF(ISBLANK(A2420),"""",IFERROR(IF(H2420=""Sell"",VLOOKUP(9^99,FILTER({ROW(P$2:P2419),P$2:P2419},D$2:D2419=D2420),2),(VLOOKUP(9^99,FILTER({ROW(P$2:P2419),P$2:P2419},D$2:D2419=D2420),2)*VLOOKUP(9^99,FILTER({ROW(O$2:O2419),O$2:O2419},D$2:D2419=D2420),2)-N242"&amp;"0)/O2420),J2420))"),"")</f>
        <v/>
      </c>
      <c r="Q2420" s="264" t="str">
        <f>IFERROR(__xludf.DUMMYFUNCTION("IFERROR(IF(F2420=""Crypto"",B2420,(IF(ISBLANK(D2420),"""",IF(D2420=""Cash"",B2420,IF(GOOGLEFINANCE(D2420,""CURRENCY"")=""GBX"",""GBP"",GOOGLEFINANCE(D2420,""CURRENCY"")))))),B2420)"),"")</f>
        <v/>
      </c>
      <c r="R2420" s="263" t="str">
        <f>IFERROR(__xludf.DUMMYFUNCTION("IF(ISBLANK(A2420),"""",IFERROR(IF(OR(Q2420=""GPB"",Q2420=""ZAR""),IF(Q2420=Dashboard!$L$1,K2420,(K2420*GOOGLEFINANCE(""CURRENCY:""&amp;Q2420&amp;""""&amp;Dashboard!$L$1&amp;""""))/100),IF(Q2420=Dashboard!$L$1,K2420,K2420*GOOGLEFINANCE(""CURRENCY:""&amp;Q2420&amp;""""&amp;Dashboard!$"&amp;"L$1&amp;""""))),K2420))"),"")</f>
        <v/>
      </c>
      <c r="S2420" s="266" t="str">
        <f>IFERROR(__xludf.DUMMYFUNCTION("IF(ISBLANK(A2420),"""",IFERROR(IF(OR(Q2420=""GPB"",Q2420=""ZAR""),IF(Q2420=Dashboard!$L$1,M2420,(M2420*GOOGLEFINANCE(""CURRENCY:""&amp;Q2420&amp;""""&amp;Dashboard!$L$1&amp;""""))/100),IF(Q2420=Dashboard!$L$1,M2420,M2420*GOOGLEFINANCE(""CURRENCY:""&amp;Q2420&amp;""""&amp;Dashboard!$"&amp;"L$1&amp;""""))),M2420))"),"")</f>
        <v/>
      </c>
      <c r="T2420" s="264" t="str">
        <f t="shared" si="4"/>
        <v/>
      </c>
      <c r="U2420" s="264" t="str">
        <f t="shared" si="5"/>
        <v/>
      </c>
      <c r="V2420" s="264" t="str">
        <f t="shared" si="6"/>
        <v/>
      </c>
      <c r="W2420" s="267" t="str">
        <f t="shared" si="8"/>
        <v/>
      </c>
      <c r="X2420" s="264" t="str">
        <f t="shared" si="7"/>
        <v/>
      </c>
    </row>
    <row r="2421" ht="15.75" customHeight="1">
      <c r="A2421" s="258"/>
      <c r="B2421" s="258"/>
      <c r="C2421" s="269"/>
      <c r="D2421" s="258"/>
      <c r="E2421" s="258"/>
      <c r="F2421" s="258"/>
      <c r="G2421" s="258"/>
      <c r="H2421" s="271"/>
      <c r="I2421" s="258"/>
      <c r="J2421" s="272"/>
      <c r="K2421" s="260"/>
      <c r="L2421" s="261"/>
      <c r="M2421" s="262" t="str">
        <f t="shared" si="1"/>
        <v/>
      </c>
      <c r="N2421" s="263" t="str">
        <f t="shared" si="2"/>
        <v/>
      </c>
      <c r="O2421" s="264" t="str">
        <f t="shared" si="3"/>
        <v/>
      </c>
      <c r="P2421" s="265" t="str">
        <f>IFERROR(__xludf.DUMMYFUNCTION("IF(ISBLANK(A2421),"""",IFERROR(IF(H2421=""Sell"",VLOOKUP(9^99,FILTER({ROW(P$2:P2420),P$2:P2420},D$2:D2420=D2421),2),(VLOOKUP(9^99,FILTER({ROW(P$2:P2420),P$2:P2420},D$2:D2420=D2421),2)*VLOOKUP(9^99,FILTER({ROW(O$2:O2420),O$2:O2420},D$2:D2420=D2421),2)-N242"&amp;"1)/O2421),J2421))"),"")</f>
        <v/>
      </c>
      <c r="Q2421" s="264" t="str">
        <f>IFERROR(__xludf.DUMMYFUNCTION("IFERROR(IF(F2421=""Crypto"",B2421,(IF(ISBLANK(D2421),"""",IF(D2421=""Cash"",B2421,IF(GOOGLEFINANCE(D2421,""CURRENCY"")=""GBX"",""GBP"",GOOGLEFINANCE(D2421,""CURRENCY"")))))),B2421)"),"")</f>
        <v/>
      </c>
      <c r="R2421" s="263" t="str">
        <f>IFERROR(__xludf.DUMMYFUNCTION("IF(ISBLANK(A2421),"""",IFERROR(IF(OR(Q2421=""GPB"",Q2421=""ZAR""),IF(Q2421=Dashboard!$L$1,K2421,(K2421*GOOGLEFINANCE(""CURRENCY:""&amp;Q2421&amp;""""&amp;Dashboard!$L$1&amp;""""))/100),IF(Q2421=Dashboard!$L$1,K2421,K2421*GOOGLEFINANCE(""CURRENCY:""&amp;Q2421&amp;""""&amp;Dashboard!$"&amp;"L$1&amp;""""))),K2421))"),"")</f>
        <v/>
      </c>
      <c r="S2421" s="266" t="str">
        <f>IFERROR(__xludf.DUMMYFUNCTION("IF(ISBLANK(A2421),"""",IFERROR(IF(OR(Q2421=""GPB"",Q2421=""ZAR""),IF(Q2421=Dashboard!$L$1,M2421,(M2421*GOOGLEFINANCE(""CURRENCY:""&amp;Q2421&amp;""""&amp;Dashboard!$L$1&amp;""""))/100),IF(Q2421=Dashboard!$L$1,M2421,M2421*GOOGLEFINANCE(""CURRENCY:""&amp;Q2421&amp;""""&amp;Dashboard!$"&amp;"L$1&amp;""""))),M2421))"),"")</f>
        <v/>
      </c>
      <c r="T2421" s="264" t="str">
        <f t="shared" si="4"/>
        <v/>
      </c>
      <c r="U2421" s="264" t="str">
        <f t="shared" si="5"/>
        <v/>
      </c>
      <c r="V2421" s="264" t="str">
        <f t="shared" si="6"/>
        <v/>
      </c>
      <c r="W2421" s="267" t="str">
        <f t="shared" si="8"/>
        <v/>
      </c>
      <c r="X2421" s="264" t="str">
        <f t="shared" si="7"/>
        <v/>
      </c>
    </row>
    <row r="2422" ht="15.75" customHeight="1">
      <c r="A2422" s="258"/>
      <c r="B2422" s="258"/>
      <c r="C2422" s="269"/>
      <c r="D2422" s="258"/>
      <c r="E2422" s="258"/>
      <c r="F2422" s="258"/>
      <c r="G2422" s="258"/>
      <c r="H2422" s="271"/>
      <c r="I2422" s="258"/>
      <c r="J2422" s="272"/>
      <c r="K2422" s="260"/>
      <c r="L2422" s="261"/>
      <c r="M2422" s="262" t="str">
        <f t="shared" si="1"/>
        <v/>
      </c>
      <c r="N2422" s="263" t="str">
        <f t="shared" si="2"/>
        <v/>
      </c>
      <c r="O2422" s="264" t="str">
        <f t="shared" si="3"/>
        <v/>
      </c>
      <c r="P2422" s="265" t="str">
        <f>IFERROR(__xludf.DUMMYFUNCTION("IF(ISBLANK(A2422),"""",IFERROR(IF(H2422=""Sell"",VLOOKUP(9^99,FILTER({ROW(P$2:P2421),P$2:P2421},D$2:D2421=D2422),2),(VLOOKUP(9^99,FILTER({ROW(P$2:P2421),P$2:P2421},D$2:D2421=D2422),2)*VLOOKUP(9^99,FILTER({ROW(O$2:O2421),O$2:O2421},D$2:D2421=D2422),2)-N242"&amp;"2)/O2422),J2422))"),"")</f>
        <v/>
      </c>
      <c r="Q2422" s="264" t="str">
        <f>IFERROR(__xludf.DUMMYFUNCTION("IFERROR(IF(F2422=""Crypto"",B2422,(IF(ISBLANK(D2422),"""",IF(D2422=""Cash"",B2422,IF(GOOGLEFINANCE(D2422,""CURRENCY"")=""GBX"",""GBP"",GOOGLEFINANCE(D2422,""CURRENCY"")))))),B2422)"),"")</f>
        <v/>
      </c>
      <c r="R2422" s="263" t="str">
        <f>IFERROR(__xludf.DUMMYFUNCTION("IF(ISBLANK(A2422),"""",IFERROR(IF(OR(Q2422=""GPB"",Q2422=""ZAR""),IF(Q2422=Dashboard!$L$1,K2422,(K2422*GOOGLEFINANCE(""CURRENCY:""&amp;Q2422&amp;""""&amp;Dashboard!$L$1&amp;""""))/100),IF(Q2422=Dashboard!$L$1,K2422,K2422*GOOGLEFINANCE(""CURRENCY:""&amp;Q2422&amp;""""&amp;Dashboard!$"&amp;"L$1&amp;""""))),K2422))"),"")</f>
        <v/>
      </c>
      <c r="S2422" s="266" t="str">
        <f>IFERROR(__xludf.DUMMYFUNCTION("IF(ISBLANK(A2422),"""",IFERROR(IF(OR(Q2422=""GPB"",Q2422=""ZAR""),IF(Q2422=Dashboard!$L$1,M2422,(M2422*GOOGLEFINANCE(""CURRENCY:""&amp;Q2422&amp;""""&amp;Dashboard!$L$1&amp;""""))/100),IF(Q2422=Dashboard!$L$1,M2422,M2422*GOOGLEFINANCE(""CURRENCY:""&amp;Q2422&amp;""""&amp;Dashboard!$"&amp;"L$1&amp;""""))),M2422))"),"")</f>
        <v/>
      </c>
      <c r="T2422" s="264" t="str">
        <f t="shared" si="4"/>
        <v/>
      </c>
      <c r="U2422" s="264" t="str">
        <f t="shared" si="5"/>
        <v/>
      </c>
      <c r="V2422" s="264" t="str">
        <f t="shared" si="6"/>
        <v/>
      </c>
      <c r="W2422" s="267" t="str">
        <f t="shared" si="8"/>
        <v/>
      </c>
      <c r="X2422" s="264" t="str">
        <f t="shared" si="7"/>
        <v/>
      </c>
    </row>
    <row r="2423" ht="15.75" customHeight="1">
      <c r="A2423" s="258"/>
      <c r="B2423" s="258"/>
      <c r="C2423" s="269"/>
      <c r="D2423" s="258"/>
      <c r="E2423" s="258"/>
      <c r="F2423" s="258"/>
      <c r="G2423" s="258"/>
      <c r="H2423" s="271"/>
      <c r="I2423" s="258"/>
      <c r="J2423" s="272"/>
      <c r="K2423" s="260"/>
      <c r="L2423" s="261"/>
      <c r="M2423" s="262" t="str">
        <f t="shared" si="1"/>
        <v/>
      </c>
      <c r="N2423" s="263" t="str">
        <f t="shared" si="2"/>
        <v/>
      </c>
      <c r="O2423" s="264" t="str">
        <f t="shared" si="3"/>
        <v/>
      </c>
      <c r="P2423" s="265" t="str">
        <f>IFERROR(__xludf.DUMMYFUNCTION("IF(ISBLANK(A2423),"""",IFERROR(IF(H2423=""Sell"",VLOOKUP(9^99,FILTER({ROW(P$2:P2422),P$2:P2422},D$2:D2422=D2423),2),(VLOOKUP(9^99,FILTER({ROW(P$2:P2422),P$2:P2422},D$2:D2422=D2423),2)*VLOOKUP(9^99,FILTER({ROW(O$2:O2422),O$2:O2422},D$2:D2422=D2423),2)-N242"&amp;"3)/O2423),J2423))"),"")</f>
        <v/>
      </c>
      <c r="Q2423" s="264" t="str">
        <f>IFERROR(__xludf.DUMMYFUNCTION("IFERROR(IF(F2423=""Crypto"",B2423,(IF(ISBLANK(D2423),"""",IF(D2423=""Cash"",B2423,IF(GOOGLEFINANCE(D2423,""CURRENCY"")=""GBX"",""GBP"",GOOGLEFINANCE(D2423,""CURRENCY"")))))),B2423)"),"")</f>
        <v/>
      </c>
      <c r="R2423" s="263" t="str">
        <f>IFERROR(__xludf.DUMMYFUNCTION("IF(ISBLANK(A2423),"""",IFERROR(IF(OR(Q2423=""GPB"",Q2423=""ZAR""),IF(Q2423=Dashboard!$L$1,K2423,(K2423*GOOGLEFINANCE(""CURRENCY:""&amp;Q2423&amp;""""&amp;Dashboard!$L$1&amp;""""))/100),IF(Q2423=Dashboard!$L$1,K2423,K2423*GOOGLEFINANCE(""CURRENCY:""&amp;Q2423&amp;""""&amp;Dashboard!$"&amp;"L$1&amp;""""))),K2423))"),"")</f>
        <v/>
      </c>
      <c r="S2423" s="266" t="str">
        <f>IFERROR(__xludf.DUMMYFUNCTION("IF(ISBLANK(A2423),"""",IFERROR(IF(OR(Q2423=""GPB"",Q2423=""ZAR""),IF(Q2423=Dashboard!$L$1,M2423,(M2423*GOOGLEFINANCE(""CURRENCY:""&amp;Q2423&amp;""""&amp;Dashboard!$L$1&amp;""""))/100),IF(Q2423=Dashboard!$L$1,M2423,M2423*GOOGLEFINANCE(""CURRENCY:""&amp;Q2423&amp;""""&amp;Dashboard!$"&amp;"L$1&amp;""""))),M2423))"),"")</f>
        <v/>
      </c>
      <c r="T2423" s="264" t="str">
        <f t="shared" si="4"/>
        <v/>
      </c>
      <c r="U2423" s="264" t="str">
        <f t="shared" si="5"/>
        <v/>
      </c>
      <c r="V2423" s="264" t="str">
        <f t="shared" si="6"/>
        <v/>
      </c>
      <c r="W2423" s="267" t="str">
        <f t="shared" si="8"/>
        <v/>
      </c>
      <c r="X2423" s="264" t="str">
        <f t="shared" si="7"/>
        <v/>
      </c>
    </row>
    <row r="2424" ht="15.75" customHeight="1">
      <c r="A2424" s="258"/>
      <c r="B2424" s="258"/>
      <c r="C2424" s="269"/>
      <c r="D2424" s="258"/>
      <c r="E2424" s="258"/>
      <c r="F2424" s="258"/>
      <c r="G2424" s="258"/>
      <c r="H2424" s="271"/>
      <c r="I2424" s="258"/>
      <c r="J2424" s="272"/>
      <c r="K2424" s="260"/>
      <c r="L2424" s="261"/>
      <c r="M2424" s="262" t="str">
        <f t="shared" si="1"/>
        <v/>
      </c>
      <c r="N2424" s="263" t="str">
        <f t="shared" si="2"/>
        <v/>
      </c>
      <c r="O2424" s="264" t="str">
        <f t="shared" si="3"/>
        <v/>
      </c>
      <c r="P2424" s="265" t="str">
        <f>IFERROR(__xludf.DUMMYFUNCTION("IF(ISBLANK(A2424),"""",IFERROR(IF(H2424=""Sell"",VLOOKUP(9^99,FILTER({ROW(P$2:P2423),P$2:P2423},D$2:D2423=D2424),2),(VLOOKUP(9^99,FILTER({ROW(P$2:P2423),P$2:P2423},D$2:D2423=D2424),2)*VLOOKUP(9^99,FILTER({ROW(O$2:O2423),O$2:O2423},D$2:D2423=D2424),2)-N242"&amp;"4)/O2424),J2424))"),"")</f>
        <v/>
      </c>
      <c r="Q2424" s="264" t="str">
        <f>IFERROR(__xludf.DUMMYFUNCTION("IFERROR(IF(F2424=""Crypto"",B2424,(IF(ISBLANK(D2424),"""",IF(D2424=""Cash"",B2424,IF(GOOGLEFINANCE(D2424,""CURRENCY"")=""GBX"",""GBP"",GOOGLEFINANCE(D2424,""CURRENCY"")))))),B2424)"),"")</f>
        <v/>
      </c>
      <c r="R2424" s="263" t="str">
        <f>IFERROR(__xludf.DUMMYFUNCTION("IF(ISBLANK(A2424),"""",IFERROR(IF(OR(Q2424=""GPB"",Q2424=""ZAR""),IF(Q2424=Dashboard!$L$1,K2424,(K2424*GOOGLEFINANCE(""CURRENCY:""&amp;Q2424&amp;""""&amp;Dashboard!$L$1&amp;""""))/100),IF(Q2424=Dashboard!$L$1,K2424,K2424*GOOGLEFINANCE(""CURRENCY:""&amp;Q2424&amp;""""&amp;Dashboard!$"&amp;"L$1&amp;""""))),K2424))"),"")</f>
        <v/>
      </c>
      <c r="S2424" s="266" t="str">
        <f>IFERROR(__xludf.DUMMYFUNCTION("IF(ISBLANK(A2424),"""",IFERROR(IF(OR(Q2424=""GPB"",Q2424=""ZAR""),IF(Q2424=Dashboard!$L$1,M2424,(M2424*GOOGLEFINANCE(""CURRENCY:""&amp;Q2424&amp;""""&amp;Dashboard!$L$1&amp;""""))/100),IF(Q2424=Dashboard!$L$1,M2424,M2424*GOOGLEFINANCE(""CURRENCY:""&amp;Q2424&amp;""""&amp;Dashboard!$"&amp;"L$1&amp;""""))),M2424))"),"")</f>
        <v/>
      </c>
      <c r="T2424" s="264" t="str">
        <f t="shared" si="4"/>
        <v/>
      </c>
      <c r="U2424" s="264" t="str">
        <f t="shared" si="5"/>
        <v/>
      </c>
      <c r="V2424" s="264" t="str">
        <f t="shared" si="6"/>
        <v/>
      </c>
      <c r="W2424" s="267" t="str">
        <f t="shared" si="8"/>
        <v/>
      </c>
      <c r="X2424" s="264" t="str">
        <f t="shared" si="7"/>
        <v/>
      </c>
    </row>
    <row r="2425" ht="15.75" customHeight="1">
      <c r="A2425" s="258"/>
      <c r="B2425" s="258"/>
      <c r="C2425" s="269"/>
      <c r="D2425" s="258"/>
      <c r="E2425" s="258"/>
      <c r="F2425" s="258"/>
      <c r="G2425" s="258"/>
      <c r="H2425" s="271"/>
      <c r="I2425" s="258"/>
      <c r="J2425" s="272"/>
      <c r="K2425" s="260"/>
      <c r="L2425" s="261"/>
      <c r="M2425" s="262" t="str">
        <f t="shared" si="1"/>
        <v/>
      </c>
      <c r="N2425" s="263" t="str">
        <f t="shared" si="2"/>
        <v/>
      </c>
      <c r="O2425" s="264" t="str">
        <f t="shared" si="3"/>
        <v/>
      </c>
      <c r="P2425" s="265" t="str">
        <f>IFERROR(__xludf.DUMMYFUNCTION("IF(ISBLANK(A2425),"""",IFERROR(IF(H2425=""Sell"",VLOOKUP(9^99,FILTER({ROW(P$2:P2424),P$2:P2424},D$2:D2424=D2425),2),(VLOOKUP(9^99,FILTER({ROW(P$2:P2424),P$2:P2424},D$2:D2424=D2425),2)*VLOOKUP(9^99,FILTER({ROW(O$2:O2424),O$2:O2424},D$2:D2424=D2425),2)-N242"&amp;"5)/O2425),J2425))"),"")</f>
        <v/>
      </c>
      <c r="Q2425" s="264" t="str">
        <f>IFERROR(__xludf.DUMMYFUNCTION("IFERROR(IF(F2425=""Crypto"",B2425,(IF(ISBLANK(D2425),"""",IF(D2425=""Cash"",B2425,IF(GOOGLEFINANCE(D2425,""CURRENCY"")=""GBX"",""GBP"",GOOGLEFINANCE(D2425,""CURRENCY"")))))),B2425)"),"")</f>
        <v/>
      </c>
      <c r="R2425" s="263" t="str">
        <f>IFERROR(__xludf.DUMMYFUNCTION("IF(ISBLANK(A2425),"""",IFERROR(IF(OR(Q2425=""GPB"",Q2425=""ZAR""),IF(Q2425=Dashboard!$L$1,K2425,(K2425*GOOGLEFINANCE(""CURRENCY:""&amp;Q2425&amp;""""&amp;Dashboard!$L$1&amp;""""))/100),IF(Q2425=Dashboard!$L$1,K2425,K2425*GOOGLEFINANCE(""CURRENCY:""&amp;Q2425&amp;""""&amp;Dashboard!$"&amp;"L$1&amp;""""))),K2425))"),"")</f>
        <v/>
      </c>
      <c r="S2425" s="266" t="str">
        <f>IFERROR(__xludf.DUMMYFUNCTION("IF(ISBLANK(A2425),"""",IFERROR(IF(OR(Q2425=""GPB"",Q2425=""ZAR""),IF(Q2425=Dashboard!$L$1,M2425,(M2425*GOOGLEFINANCE(""CURRENCY:""&amp;Q2425&amp;""""&amp;Dashboard!$L$1&amp;""""))/100),IF(Q2425=Dashboard!$L$1,M2425,M2425*GOOGLEFINANCE(""CURRENCY:""&amp;Q2425&amp;""""&amp;Dashboard!$"&amp;"L$1&amp;""""))),M2425))"),"")</f>
        <v/>
      </c>
      <c r="T2425" s="264" t="str">
        <f t="shared" si="4"/>
        <v/>
      </c>
      <c r="U2425" s="264" t="str">
        <f t="shared" si="5"/>
        <v/>
      </c>
      <c r="V2425" s="264" t="str">
        <f t="shared" si="6"/>
        <v/>
      </c>
      <c r="W2425" s="267" t="str">
        <f t="shared" si="8"/>
        <v/>
      </c>
      <c r="X2425" s="264" t="str">
        <f t="shared" si="7"/>
        <v/>
      </c>
    </row>
    <row r="2426" ht="15.75" customHeight="1">
      <c r="A2426" s="258"/>
      <c r="B2426" s="258"/>
      <c r="C2426" s="269"/>
      <c r="D2426" s="258"/>
      <c r="E2426" s="258"/>
      <c r="F2426" s="258"/>
      <c r="G2426" s="258"/>
      <c r="H2426" s="271"/>
      <c r="I2426" s="258"/>
      <c r="J2426" s="272"/>
      <c r="K2426" s="260"/>
      <c r="L2426" s="261"/>
      <c r="M2426" s="262" t="str">
        <f t="shared" si="1"/>
        <v/>
      </c>
      <c r="N2426" s="263" t="str">
        <f t="shared" si="2"/>
        <v/>
      </c>
      <c r="O2426" s="264" t="str">
        <f t="shared" si="3"/>
        <v/>
      </c>
      <c r="P2426" s="265" t="str">
        <f>IFERROR(__xludf.DUMMYFUNCTION("IF(ISBLANK(A2426),"""",IFERROR(IF(H2426=""Sell"",VLOOKUP(9^99,FILTER({ROW(P$2:P2425),P$2:P2425},D$2:D2425=D2426),2),(VLOOKUP(9^99,FILTER({ROW(P$2:P2425),P$2:P2425},D$2:D2425=D2426),2)*VLOOKUP(9^99,FILTER({ROW(O$2:O2425),O$2:O2425},D$2:D2425=D2426),2)-N242"&amp;"6)/O2426),J2426))"),"")</f>
        <v/>
      </c>
      <c r="Q2426" s="264" t="str">
        <f>IFERROR(__xludf.DUMMYFUNCTION("IFERROR(IF(F2426=""Crypto"",B2426,(IF(ISBLANK(D2426),"""",IF(D2426=""Cash"",B2426,IF(GOOGLEFINANCE(D2426,""CURRENCY"")=""GBX"",""GBP"",GOOGLEFINANCE(D2426,""CURRENCY"")))))),B2426)"),"")</f>
        <v/>
      </c>
      <c r="R2426" s="263" t="str">
        <f>IFERROR(__xludf.DUMMYFUNCTION("IF(ISBLANK(A2426),"""",IFERROR(IF(OR(Q2426=""GPB"",Q2426=""ZAR""),IF(Q2426=Dashboard!$L$1,K2426,(K2426*GOOGLEFINANCE(""CURRENCY:""&amp;Q2426&amp;""""&amp;Dashboard!$L$1&amp;""""))/100),IF(Q2426=Dashboard!$L$1,K2426,K2426*GOOGLEFINANCE(""CURRENCY:""&amp;Q2426&amp;""""&amp;Dashboard!$"&amp;"L$1&amp;""""))),K2426))"),"")</f>
        <v/>
      </c>
      <c r="S2426" s="266" t="str">
        <f>IFERROR(__xludf.DUMMYFUNCTION("IF(ISBLANK(A2426),"""",IFERROR(IF(OR(Q2426=""GPB"",Q2426=""ZAR""),IF(Q2426=Dashboard!$L$1,M2426,(M2426*GOOGLEFINANCE(""CURRENCY:""&amp;Q2426&amp;""""&amp;Dashboard!$L$1&amp;""""))/100),IF(Q2426=Dashboard!$L$1,M2426,M2426*GOOGLEFINANCE(""CURRENCY:""&amp;Q2426&amp;""""&amp;Dashboard!$"&amp;"L$1&amp;""""))),M2426))"),"")</f>
        <v/>
      </c>
      <c r="T2426" s="264" t="str">
        <f t="shared" si="4"/>
        <v/>
      </c>
      <c r="U2426" s="264" t="str">
        <f t="shared" si="5"/>
        <v/>
      </c>
      <c r="V2426" s="264" t="str">
        <f t="shared" si="6"/>
        <v/>
      </c>
      <c r="W2426" s="267" t="str">
        <f t="shared" si="8"/>
        <v/>
      </c>
      <c r="X2426" s="264" t="str">
        <f t="shared" si="7"/>
        <v/>
      </c>
    </row>
    <row r="2427" ht="15.75" customHeight="1">
      <c r="A2427" s="258"/>
      <c r="B2427" s="258"/>
      <c r="C2427" s="269"/>
      <c r="D2427" s="258"/>
      <c r="E2427" s="258"/>
      <c r="F2427" s="258"/>
      <c r="G2427" s="258"/>
      <c r="H2427" s="271"/>
      <c r="I2427" s="258"/>
      <c r="J2427" s="272"/>
      <c r="K2427" s="260"/>
      <c r="L2427" s="261"/>
      <c r="M2427" s="262" t="str">
        <f t="shared" si="1"/>
        <v/>
      </c>
      <c r="N2427" s="263" t="str">
        <f t="shared" si="2"/>
        <v/>
      </c>
      <c r="O2427" s="264" t="str">
        <f t="shared" si="3"/>
        <v/>
      </c>
      <c r="P2427" s="265" t="str">
        <f>IFERROR(__xludf.DUMMYFUNCTION("IF(ISBLANK(A2427),"""",IFERROR(IF(H2427=""Sell"",VLOOKUP(9^99,FILTER({ROW(P$2:P2426),P$2:P2426},D$2:D2426=D2427),2),(VLOOKUP(9^99,FILTER({ROW(P$2:P2426),P$2:P2426},D$2:D2426=D2427),2)*VLOOKUP(9^99,FILTER({ROW(O$2:O2426),O$2:O2426},D$2:D2426=D2427),2)-N242"&amp;"7)/O2427),J2427))"),"")</f>
        <v/>
      </c>
      <c r="Q2427" s="264" t="str">
        <f>IFERROR(__xludf.DUMMYFUNCTION("IFERROR(IF(F2427=""Crypto"",B2427,(IF(ISBLANK(D2427),"""",IF(D2427=""Cash"",B2427,IF(GOOGLEFINANCE(D2427,""CURRENCY"")=""GBX"",""GBP"",GOOGLEFINANCE(D2427,""CURRENCY"")))))),B2427)"),"")</f>
        <v/>
      </c>
      <c r="R2427" s="263" t="str">
        <f>IFERROR(__xludf.DUMMYFUNCTION("IF(ISBLANK(A2427),"""",IFERROR(IF(OR(Q2427=""GPB"",Q2427=""ZAR""),IF(Q2427=Dashboard!$L$1,K2427,(K2427*GOOGLEFINANCE(""CURRENCY:""&amp;Q2427&amp;""""&amp;Dashboard!$L$1&amp;""""))/100),IF(Q2427=Dashboard!$L$1,K2427,K2427*GOOGLEFINANCE(""CURRENCY:""&amp;Q2427&amp;""""&amp;Dashboard!$"&amp;"L$1&amp;""""))),K2427))"),"")</f>
        <v/>
      </c>
      <c r="S2427" s="266" t="str">
        <f>IFERROR(__xludf.DUMMYFUNCTION("IF(ISBLANK(A2427),"""",IFERROR(IF(OR(Q2427=""GPB"",Q2427=""ZAR""),IF(Q2427=Dashboard!$L$1,M2427,(M2427*GOOGLEFINANCE(""CURRENCY:""&amp;Q2427&amp;""""&amp;Dashboard!$L$1&amp;""""))/100),IF(Q2427=Dashboard!$L$1,M2427,M2427*GOOGLEFINANCE(""CURRENCY:""&amp;Q2427&amp;""""&amp;Dashboard!$"&amp;"L$1&amp;""""))),M2427))"),"")</f>
        <v/>
      </c>
      <c r="T2427" s="264" t="str">
        <f t="shared" si="4"/>
        <v/>
      </c>
      <c r="U2427" s="264" t="str">
        <f t="shared" si="5"/>
        <v/>
      </c>
      <c r="V2427" s="264" t="str">
        <f t="shared" si="6"/>
        <v/>
      </c>
      <c r="W2427" s="267" t="str">
        <f t="shared" si="8"/>
        <v/>
      </c>
      <c r="X2427" s="264" t="str">
        <f t="shared" si="7"/>
        <v/>
      </c>
    </row>
    <row r="2428" ht="15.75" customHeight="1">
      <c r="A2428" s="258"/>
      <c r="B2428" s="258"/>
      <c r="C2428" s="269"/>
      <c r="D2428" s="258"/>
      <c r="E2428" s="258"/>
      <c r="F2428" s="258"/>
      <c r="G2428" s="258"/>
      <c r="H2428" s="271"/>
      <c r="I2428" s="258"/>
      <c r="J2428" s="272"/>
      <c r="K2428" s="260"/>
      <c r="L2428" s="261"/>
      <c r="M2428" s="262" t="str">
        <f t="shared" si="1"/>
        <v/>
      </c>
      <c r="N2428" s="263" t="str">
        <f t="shared" si="2"/>
        <v/>
      </c>
      <c r="O2428" s="264" t="str">
        <f t="shared" si="3"/>
        <v/>
      </c>
      <c r="P2428" s="265" t="str">
        <f>IFERROR(__xludf.DUMMYFUNCTION("IF(ISBLANK(A2428),"""",IFERROR(IF(H2428=""Sell"",VLOOKUP(9^99,FILTER({ROW(P$2:P2427),P$2:P2427},D$2:D2427=D2428),2),(VLOOKUP(9^99,FILTER({ROW(P$2:P2427),P$2:P2427},D$2:D2427=D2428),2)*VLOOKUP(9^99,FILTER({ROW(O$2:O2427),O$2:O2427},D$2:D2427=D2428),2)-N242"&amp;"8)/O2428),J2428))"),"")</f>
        <v/>
      </c>
      <c r="Q2428" s="264" t="str">
        <f>IFERROR(__xludf.DUMMYFUNCTION("IFERROR(IF(F2428=""Crypto"",B2428,(IF(ISBLANK(D2428),"""",IF(D2428=""Cash"",B2428,IF(GOOGLEFINANCE(D2428,""CURRENCY"")=""GBX"",""GBP"",GOOGLEFINANCE(D2428,""CURRENCY"")))))),B2428)"),"")</f>
        <v/>
      </c>
      <c r="R2428" s="263" t="str">
        <f>IFERROR(__xludf.DUMMYFUNCTION("IF(ISBLANK(A2428),"""",IFERROR(IF(OR(Q2428=""GPB"",Q2428=""ZAR""),IF(Q2428=Dashboard!$L$1,K2428,(K2428*GOOGLEFINANCE(""CURRENCY:""&amp;Q2428&amp;""""&amp;Dashboard!$L$1&amp;""""))/100),IF(Q2428=Dashboard!$L$1,K2428,K2428*GOOGLEFINANCE(""CURRENCY:""&amp;Q2428&amp;""""&amp;Dashboard!$"&amp;"L$1&amp;""""))),K2428))"),"")</f>
        <v/>
      </c>
      <c r="S2428" s="266" t="str">
        <f>IFERROR(__xludf.DUMMYFUNCTION("IF(ISBLANK(A2428),"""",IFERROR(IF(OR(Q2428=""GPB"",Q2428=""ZAR""),IF(Q2428=Dashboard!$L$1,M2428,(M2428*GOOGLEFINANCE(""CURRENCY:""&amp;Q2428&amp;""""&amp;Dashboard!$L$1&amp;""""))/100),IF(Q2428=Dashboard!$L$1,M2428,M2428*GOOGLEFINANCE(""CURRENCY:""&amp;Q2428&amp;""""&amp;Dashboard!$"&amp;"L$1&amp;""""))),M2428))"),"")</f>
        <v/>
      </c>
      <c r="T2428" s="264" t="str">
        <f t="shared" si="4"/>
        <v/>
      </c>
      <c r="U2428" s="264" t="str">
        <f t="shared" si="5"/>
        <v/>
      </c>
      <c r="V2428" s="264" t="str">
        <f t="shared" si="6"/>
        <v/>
      </c>
      <c r="W2428" s="267" t="str">
        <f t="shared" si="8"/>
        <v/>
      </c>
      <c r="X2428" s="264" t="str">
        <f t="shared" si="7"/>
        <v/>
      </c>
    </row>
    <row r="2429" ht="15.75" customHeight="1">
      <c r="A2429" s="258"/>
      <c r="B2429" s="258"/>
      <c r="C2429" s="269"/>
      <c r="D2429" s="258"/>
      <c r="E2429" s="258"/>
      <c r="F2429" s="258"/>
      <c r="G2429" s="258"/>
      <c r="H2429" s="271"/>
      <c r="I2429" s="258"/>
      <c r="J2429" s="272"/>
      <c r="K2429" s="260"/>
      <c r="L2429" s="261"/>
      <c r="M2429" s="262" t="str">
        <f t="shared" si="1"/>
        <v/>
      </c>
      <c r="N2429" s="263" t="str">
        <f t="shared" si="2"/>
        <v/>
      </c>
      <c r="O2429" s="264" t="str">
        <f t="shared" si="3"/>
        <v/>
      </c>
      <c r="P2429" s="265" t="str">
        <f>IFERROR(__xludf.DUMMYFUNCTION("IF(ISBLANK(A2429),"""",IFERROR(IF(H2429=""Sell"",VLOOKUP(9^99,FILTER({ROW(P$2:P2428),P$2:P2428},D$2:D2428=D2429),2),(VLOOKUP(9^99,FILTER({ROW(P$2:P2428),P$2:P2428},D$2:D2428=D2429),2)*VLOOKUP(9^99,FILTER({ROW(O$2:O2428),O$2:O2428},D$2:D2428=D2429),2)-N242"&amp;"9)/O2429),J2429))"),"")</f>
        <v/>
      </c>
      <c r="Q2429" s="264" t="str">
        <f>IFERROR(__xludf.DUMMYFUNCTION("IFERROR(IF(F2429=""Crypto"",B2429,(IF(ISBLANK(D2429),"""",IF(D2429=""Cash"",B2429,IF(GOOGLEFINANCE(D2429,""CURRENCY"")=""GBX"",""GBP"",GOOGLEFINANCE(D2429,""CURRENCY"")))))),B2429)"),"")</f>
        <v/>
      </c>
      <c r="R2429" s="263" t="str">
        <f>IFERROR(__xludf.DUMMYFUNCTION("IF(ISBLANK(A2429),"""",IFERROR(IF(OR(Q2429=""GPB"",Q2429=""ZAR""),IF(Q2429=Dashboard!$L$1,K2429,(K2429*GOOGLEFINANCE(""CURRENCY:""&amp;Q2429&amp;""""&amp;Dashboard!$L$1&amp;""""))/100),IF(Q2429=Dashboard!$L$1,K2429,K2429*GOOGLEFINANCE(""CURRENCY:""&amp;Q2429&amp;""""&amp;Dashboard!$"&amp;"L$1&amp;""""))),K2429))"),"")</f>
        <v/>
      </c>
      <c r="S2429" s="266" t="str">
        <f>IFERROR(__xludf.DUMMYFUNCTION("IF(ISBLANK(A2429),"""",IFERROR(IF(OR(Q2429=""GPB"",Q2429=""ZAR""),IF(Q2429=Dashboard!$L$1,M2429,(M2429*GOOGLEFINANCE(""CURRENCY:""&amp;Q2429&amp;""""&amp;Dashboard!$L$1&amp;""""))/100),IF(Q2429=Dashboard!$L$1,M2429,M2429*GOOGLEFINANCE(""CURRENCY:""&amp;Q2429&amp;""""&amp;Dashboard!$"&amp;"L$1&amp;""""))),M2429))"),"")</f>
        <v/>
      </c>
      <c r="T2429" s="264" t="str">
        <f t="shared" si="4"/>
        <v/>
      </c>
      <c r="U2429" s="264" t="str">
        <f t="shared" si="5"/>
        <v/>
      </c>
      <c r="V2429" s="264" t="str">
        <f t="shared" si="6"/>
        <v/>
      </c>
      <c r="W2429" s="267" t="str">
        <f t="shared" si="8"/>
        <v/>
      </c>
      <c r="X2429" s="264" t="str">
        <f t="shared" si="7"/>
        <v/>
      </c>
    </row>
    <row r="2430" ht="15.75" customHeight="1">
      <c r="A2430" s="258"/>
      <c r="B2430" s="258"/>
      <c r="C2430" s="269"/>
      <c r="D2430" s="258"/>
      <c r="E2430" s="258"/>
      <c r="F2430" s="258"/>
      <c r="G2430" s="258"/>
      <c r="H2430" s="271"/>
      <c r="I2430" s="258"/>
      <c r="J2430" s="272"/>
      <c r="K2430" s="260"/>
      <c r="L2430" s="261"/>
      <c r="M2430" s="262" t="str">
        <f t="shared" si="1"/>
        <v/>
      </c>
      <c r="N2430" s="263" t="str">
        <f t="shared" si="2"/>
        <v/>
      </c>
      <c r="O2430" s="264" t="str">
        <f t="shared" si="3"/>
        <v/>
      </c>
      <c r="P2430" s="265" t="str">
        <f>IFERROR(__xludf.DUMMYFUNCTION("IF(ISBLANK(A2430),"""",IFERROR(IF(H2430=""Sell"",VLOOKUP(9^99,FILTER({ROW(P$2:P2429),P$2:P2429},D$2:D2429=D2430),2),(VLOOKUP(9^99,FILTER({ROW(P$2:P2429),P$2:P2429},D$2:D2429=D2430),2)*VLOOKUP(9^99,FILTER({ROW(O$2:O2429),O$2:O2429},D$2:D2429=D2430),2)-N243"&amp;"0)/O2430),J2430))"),"")</f>
        <v/>
      </c>
      <c r="Q2430" s="264" t="str">
        <f>IFERROR(__xludf.DUMMYFUNCTION("IFERROR(IF(F2430=""Crypto"",B2430,(IF(ISBLANK(D2430),"""",IF(D2430=""Cash"",B2430,IF(GOOGLEFINANCE(D2430,""CURRENCY"")=""GBX"",""GBP"",GOOGLEFINANCE(D2430,""CURRENCY"")))))),B2430)"),"")</f>
        <v/>
      </c>
      <c r="R2430" s="263" t="str">
        <f>IFERROR(__xludf.DUMMYFUNCTION("IF(ISBLANK(A2430),"""",IFERROR(IF(OR(Q2430=""GPB"",Q2430=""ZAR""),IF(Q2430=Dashboard!$L$1,K2430,(K2430*GOOGLEFINANCE(""CURRENCY:""&amp;Q2430&amp;""""&amp;Dashboard!$L$1&amp;""""))/100),IF(Q2430=Dashboard!$L$1,K2430,K2430*GOOGLEFINANCE(""CURRENCY:""&amp;Q2430&amp;""""&amp;Dashboard!$"&amp;"L$1&amp;""""))),K2430))"),"")</f>
        <v/>
      </c>
      <c r="S2430" s="266" t="str">
        <f>IFERROR(__xludf.DUMMYFUNCTION("IF(ISBLANK(A2430),"""",IFERROR(IF(OR(Q2430=""GPB"",Q2430=""ZAR""),IF(Q2430=Dashboard!$L$1,M2430,(M2430*GOOGLEFINANCE(""CURRENCY:""&amp;Q2430&amp;""""&amp;Dashboard!$L$1&amp;""""))/100),IF(Q2430=Dashboard!$L$1,M2430,M2430*GOOGLEFINANCE(""CURRENCY:""&amp;Q2430&amp;""""&amp;Dashboard!$"&amp;"L$1&amp;""""))),M2430))"),"")</f>
        <v/>
      </c>
      <c r="T2430" s="264" t="str">
        <f t="shared" si="4"/>
        <v/>
      </c>
      <c r="U2430" s="264" t="str">
        <f t="shared" si="5"/>
        <v/>
      </c>
      <c r="V2430" s="264" t="str">
        <f t="shared" si="6"/>
        <v/>
      </c>
      <c r="W2430" s="267" t="str">
        <f t="shared" si="8"/>
        <v/>
      </c>
      <c r="X2430" s="264" t="str">
        <f t="shared" si="7"/>
        <v/>
      </c>
    </row>
    <row r="2431" ht="15.75" customHeight="1">
      <c r="A2431" s="258"/>
      <c r="B2431" s="258"/>
      <c r="C2431" s="269"/>
      <c r="D2431" s="258"/>
      <c r="E2431" s="258"/>
      <c r="F2431" s="258"/>
      <c r="G2431" s="258"/>
      <c r="H2431" s="271"/>
      <c r="I2431" s="258"/>
      <c r="J2431" s="272"/>
      <c r="K2431" s="260"/>
      <c r="L2431" s="261"/>
      <c r="M2431" s="262" t="str">
        <f t="shared" si="1"/>
        <v/>
      </c>
      <c r="N2431" s="263" t="str">
        <f t="shared" si="2"/>
        <v/>
      </c>
      <c r="O2431" s="264" t="str">
        <f t="shared" si="3"/>
        <v/>
      </c>
      <c r="P2431" s="265" t="str">
        <f>IFERROR(__xludf.DUMMYFUNCTION("IF(ISBLANK(A2431),"""",IFERROR(IF(H2431=""Sell"",VLOOKUP(9^99,FILTER({ROW(P$2:P2430),P$2:P2430},D$2:D2430=D2431),2),(VLOOKUP(9^99,FILTER({ROW(P$2:P2430),P$2:P2430},D$2:D2430=D2431),2)*VLOOKUP(9^99,FILTER({ROW(O$2:O2430),O$2:O2430},D$2:D2430=D2431),2)-N243"&amp;"1)/O2431),J2431))"),"")</f>
        <v/>
      </c>
      <c r="Q2431" s="264" t="str">
        <f>IFERROR(__xludf.DUMMYFUNCTION("IFERROR(IF(F2431=""Crypto"",B2431,(IF(ISBLANK(D2431),"""",IF(D2431=""Cash"",B2431,IF(GOOGLEFINANCE(D2431,""CURRENCY"")=""GBX"",""GBP"",GOOGLEFINANCE(D2431,""CURRENCY"")))))),B2431)"),"")</f>
        <v/>
      </c>
      <c r="R2431" s="263" t="str">
        <f>IFERROR(__xludf.DUMMYFUNCTION("IF(ISBLANK(A2431),"""",IFERROR(IF(OR(Q2431=""GPB"",Q2431=""ZAR""),IF(Q2431=Dashboard!$L$1,K2431,(K2431*GOOGLEFINANCE(""CURRENCY:""&amp;Q2431&amp;""""&amp;Dashboard!$L$1&amp;""""))/100),IF(Q2431=Dashboard!$L$1,K2431,K2431*GOOGLEFINANCE(""CURRENCY:""&amp;Q2431&amp;""""&amp;Dashboard!$"&amp;"L$1&amp;""""))),K2431))"),"")</f>
        <v/>
      </c>
      <c r="S2431" s="266" t="str">
        <f>IFERROR(__xludf.DUMMYFUNCTION("IF(ISBLANK(A2431),"""",IFERROR(IF(OR(Q2431=""GPB"",Q2431=""ZAR""),IF(Q2431=Dashboard!$L$1,M2431,(M2431*GOOGLEFINANCE(""CURRENCY:""&amp;Q2431&amp;""""&amp;Dashboard!$L$1&amp;""""))/100),IF(Q2431=Dashboard!$L$1,M2431,M2431*GOOGLEFINANCE(""CURRENCY:""&amp;Q2431&amp;""""&amp;Dashboard!$"&amp;"L$1&amp;""""))),M2431))"),"")</f>
        <v/>
      </c>
      <c r="T2431" s="264" t="str">
        <f t="shared" si="4"/>
        <v/>
      </c>
      <c r="U2431" s="264" t="str">
        <f t="shared" si="5"/>
        <v/>
      </c>
      <c r="V2431" s="264" t="str">
        <f t="shared" si="6"/>
        <v/>
      </c>
      <c r="W2431" s="267" t="str">
        <f t="shared" si="8"/>
        <v/>
      </c>
      <c r="X2431" s="264" t="str">
        <f t="shared" si="7"/>
        <v/>
      </c>
    </row>
    <row r="2432" ht="15.75" customHeight="1">
      <c r="A2432" s="258"/>
      <c r="B2432" s="258"/>
      <c r="C2432" s="269"/>
      <c r="D2432" s="258"/>
      <c r="E2432" s="258"/>
      <c r="F2432" s="258"/>
      <c r="G2432" s="258"/>
      <c r="H2432" s="271"/>
      <c r="I2432" s="258"/>
      <c r="J2432" s="272"/>
      <c r="K2432" s="260"/>
      <c r="L2432" s="261"/>
      <c r="M2432" s="262" t="str">
        <f t="shared" si="1"/>
        <v/>
      </c>
      <c r="N2432" s="263" t="str">
        <f t="shared" si="2"/>
        <v/>
      </c>
      <c r="O2432" s="264" t="str">
        <f t="shared" si="3"/>
        <v/>
      </c>
      <c r="P2432" s="265" t="str">
        <f>IFERROR(__xludf.DUMMYFUNCTION("IF(ISBLANK(A2432),"""",IFERROR(IF(H2432=""Sell"",VLOOKUP(9^99,FILTER({ROW(P$2:P2431),P$2:P2431},D$2:D2431=D2432),2),(VLOOKUP(9^99,FILTER({ROW(P$2:P2431),P$2:P2431},D$2:D2431=D2432),2)*VLOOKUP(9^99,FILTER({ROW(O$2:O2431),O$2:O2431},D$2:D2431=D2432),2)-N243"&amp;"2)/O2432),J2432))"),"")</f>
        <v/>
      </c>
      <c r="Q2432" s="264" t="str">
        <f>IFERROR(__xludf.DUMMYFUNCTION("IFERROR(IF(F2432=""Crypto"",B2432,(IF(ISBLANK(D2432),"""",IF(D2432=""Cash"",B2432,IF(GOOGLEFINANCE(D2432,""CURRENCY"")=""GBX"",""GBP"",GOOGLEFINANCE(D2432,""CURRENCY"")))))),B2432)"),"")</f>
        <v/>
      </c>
      <c r="R2432" s="263" t="str">
        <f>IFERROR(__xludf.DUMMYFUNCTION("IF(ISBLANK(A2432),"""",IFERROR(IF(OR(Q2432=""GPB"",Q2432=""ZAR""),IF(Q2432=Dashboard!$L$1,K2432,(K2432*GOOGLEFINANCE(""CURRENCY:""&amp;Q2432&amp;""""&amp;Dashboard!$L$1&amp;""""))/100),IF(Q2432=Dashboard!$L$1,K2432,K2432*GOOGLEFINANCE(""CURRENCY:""&amp;Q2432&amp;""""&amp;Dashboard!$"&amp;"L$1&amp;""""))),K2432))"),"")</f>
        <v/>
      </c>
      <c r="S2432" s="266" t="str">
        <f>IFERROR(__xludf.DUMMYFUNCTION("IF(ISBLANK(A2432),"""",IFERROR(IF(OR(Q2432=""GPB"",Q2432=""ZAR""),IF(Q2432=Dashboard!$L$1,M2432,(M2432*GOOGLEFINANCE(""CURRENCY:""&amp;Q2432&amp;""""&amp;Dashboard!$L$1&amp;""""))/100),IF(Q2432=Dashboard!$L$1,M2432,M2432*GOOGLEFINANCE(""CURRENCY:""&amp;Q2432&amp;""""&amp;Dashboard!$"&amp;"L$1&amp;""""))),M2432))"),"")</f>
        <v/>
      </c>
      <c r="T2432" s="264" t="str">
        <f t="shared" si="4"/>
        <v/>
      </c>
      <c r="U2432" s="264" t="str">
        <f t="shared" si="5"/>
        <v/>
      </c>
      <c r="V2432" s="264" t="str">
        <f t="shared" si="6"/>
        <v/>
      </c>
      <c r="W2432" s="267" t="str">
        <f t="shared" si="8"/>
        <v/>
      </c>
      <c r="X2432" s="264" t="str">
        <f t="shared" si="7"/>
        <v/>
      </c>
    </row>
    <row r="2433" ht="15.75" customHeight="1">
      <c r="A2433" s="258"/>
      <c r="B2433" s="258"/>
      <c r="C2433" s="269"/>
      <c r="D2433" s="258"/>
      <c r="E2433" s="258"/>
      <c r="F2433" s="258"/>
      <c r="G2433" s="258"/>
      <c r="H2433" s="271"/>
      <c r="I2433" s="258"/>
      <c r="J2433" s="272"/>
      <c r="K2433" s="260"/>
      <c r="L2433" s="261"/>
      <c r="M2433" s="262" t="str">
        <f t="shared" si="1"/>
        <v/>
      </c>
      <c r="N2433" s="263" t="str">
        <f t="shared" si="2"/>
        <v/>
      </c>
      <c r="O2433" s="264" t="str">
        <f t="shared" si="3"/>
        <v/>
      </c>
      <c r="P2433" s="265" t="str">
        <f>IFERROR(__xludf.DUMMYFUNCTION("IF(ISBLANK(A2433),"""",IFERROR(IF(H2433=""Sell"",VLOOKUP(9^99,FILTER({ROW(P$2:P2432),P$2:P2432},D$2:D2432=D2433),2),(VLOOKUP(9^99,FILTER({ROW(P$2:P2432),P$2:P2432},D$2:D2432=D2433),2)*VLOOKUP(9^99,FILTER({ROW(O$2:O2432),O$2:O2432},D$2:D2432=D2433),2)-N243"&amp;"3)/O2433),J2433))"),"")</f>
        <v/>
      </c>
      <c r="Q2433" s="264" t="str">
        <f>IFERROR(__xludf.DUMMYFUNCTION("IFERROR(IF(F2433=""Crypto"",B2433,(IF(ISBLANK(D2433),"""",IF(D2433=""Cash"",B2433,IF(GOOGLEFINANCE(D2433,""CURRENCY"")=""GBX"",""GBP"",GOOGLEFINANCE(D2433,""CURRENCY"")))))),B2433)"),"")</f>
        <v/>
      </c>
      <c r="R2433" s="263" t="str">
        <f>IFERROR(__xludf.DUMMYFUNCTION("IF(ISBLANK(A2433),"""",IFERROR(IF(OR(Q2433=""GPB"",Q2433=""ZAR""),IF(Q2433=Dashboard!$L$1,K2433,(K2433*GOOGLEFINANCE(""CURRENCY:""&amp;Q2433&amp;""""&amp;Dashboard!$L$1&amp;""""))/100),IF(Q2433=Dashboard!$L$1,K2433,K2433*GOOGLEFINANCE(""CURRENCY:""&amp;Q2433&amp;""""&amp;Dashboard!$"&amp;"L$1&amp;""""))),K2433))"),"")</f>
        <v/>
      </c>
      <c r="S2433" s="266" t="str">
        <f>IFERROR(__xludf.DUMMYFUNCTION("IF(ISBLANK(A2433),"""",IFERROR(IF(OR(Q2433=""GPB"",Q2433=""ZAR""),IF(Q2433=Dashboard!$L$1,M2433,(M2433*GOOGLEFINANCE(""CURRENCY:""&amp;Q2433&amp;""""&amp;Dashboard!$L$1&amp;""""))/100),IF(Q2433=Dashboard!$L$1,M2433,M2433*GOOGLEFINANCE(""CURRENCY:""&amp;Q2433&amp;""""&amp;Dashboard!$"&amp;"L$1&amp;""""))),M2433))"),"")</f>
        <v/>
      </c>
      <c r="T2433" s="264" t="str">
        <f t="shared" si="4"/>
        <v/>
      </c>
      <c r="U2433" s="264" t="str">
        <f t="shared" si="5"/>
        <v/>
      </c>
      <c r="V2433" s="264" t="str">
        <f t="shared" si="6"/>
        <v/>
      </c>
      <c r="W2433" s="267" t="str">
        <f t="shared" si="8"/>
        <v/>
      </c>
      <c r="X2433" s="264" t="str">
        <f t="shared" si="7"/>
        <v/>
      </c>
    </row>
    <row r="2434" ht="15.75" customHeight="1">
      <c r="A2434" s="258"/>
      <c r="B2434" s="258"/>
      <c r="C2434" s="269"/>
      <c r="D2434" s="258"/>
      <c r="E2434" s="258"/>
      <c r="F2434" s="258"/>
      <c r="G2434" s="258"/>
      <c r="H2434" s="271"/>
      <c r="I2434" s="258"/>
      <c r="J2434" s="272"/>
      <c r="K2434" s="260"/>
      <c r="L2434" s="261"/>
      <c r="M2434" s="262" t="str">
        <f t="shared" si="1"/>
        <v/>
      </c>
      <c r="N2434" s="263" t="str">
        <f t="shared" si="2"/>
        <v/>
      </c>
      <c r="O2434" s="264" t="str">
        <f t="shared" si="3"/>
        <v/>
      </c>
      <c r="P2434" s="265" t="str">
        <f>IFERROR(__xludf.DUMMYFUNCTION("IF(ISBLANK(A2434),"""",IFERROR(IF(H2434=""Sell"",VLOOKUP(9^99,FILTER({ROW(P$2:P2433),P$2:P2433},D$2:D2433=D2434),2),(VLOOKUP(9^99,FILTER({ROW(P$2:P2433),P$2:P2433},D$2:D2433=D2434),2)*VLOOKUP(9^99,FILTER({ROW(O$2:O2433),O$2:O2433},D$2:D2433=D2434),2)-N243"&amp;"4)/O2434),J2434))"),"")</f>
        <v/>
      </c>
      <c r="Q2434" s="264" t="str">
        <f>IFERROR(__xludf.DUMMYFUNCTION("IFERROR(IF(F2434=""Crypto"",B2434,(IF(ISBLANK(D2434),"""",IF(D2434=""Cash"",B2434,IF(GOOGLEFINANCE(D2434,""CURRENCY"")=""GBX"",""GBP"",GOOGLEFINANCE(D2434,""CURRENCY"")))))),B2434)"),"")</f>
        <v/>
      </c>
      <c r="R2434" s="263" t="str">
        <f>IFERROR(__xludf.DUMMYFUNCTION("IF(ISBLANK(A2434),"""",IFERROR(IF(OR(Q2434=""GPB"",Q2434=""ZAR""),IF(Q2434=Dashboard!$L$1,K2434,(K2434*GOOGLEFINANCE(""CURRENCY:""&amp;Q2434&amp;""""&amp;Dashboard!$L$1&amp;""""))/100),IF(Q2434=Dashboard!$L$1,K2434,K2434*GOOGLEFINANCE(""CURRENCY:""&amp;Q2434&amp;""""&amp;Dashboard!$"&amp;"L$1&amp;""""))),K2434))"),"")</f>
        <v/>
      </c>
      <c r="S2434" s="266" t="str">
        <f>IFERROR(__xludf.DUMMYFUNCTION("IF(ISBLANK(A2434),"""",IFERROR(IF(OR(Q2434=""GPB"",Q2434=""ZAR""),IF(Q2434=Dashboard!$L$1,M2434,(M2434*GOOGLEFINANCE(""CURRENCY:""&amp;Q2434&amp;""""&amp;Dashboard!$L$1&amp;""""))/100),IF(Q2434=Dashboard!$L$1,M2434,M2434*GOOGLEFINANCE(""CURRENCY:""&amp;Q2434&amp;""""&amp;Dashboard!$"&amp;"L$1&amp;""""))),M2434))"),"")</f>
        <v/>
      </c>
      <c r="T2434" s="264" t="str">
        <f t="shared" si="4"/>
        <v/>
      </c>
      <c r="U2434" s="264" t="str">
        <f t="shared" si="5"/>
        <v/>
      </c>
      <c r="V2434" s="264" t="str">
        <f t="shared" si="6"/>
        <v/>
      </c>
      <c r="W2434" s="267" t="str">
        <f t="shared" si="8"/>
        <v/>
      </c>
      <c r="X2434" s="264" t="str">
        <f t="shared" si="7"/>
        <v/>
      </c>
    </row>
    <row r="2435" ht="15.75" customHeight="1">
      <c r="A2435" s="258"/>
      <c r="B2435" s="258"/>
      <c r="C2435" s="269"/>
      <c r="D2435" s="258"/>
      <c r="E2435" s="258"/>
      <c r="F2435" s="258"/>
      <c r="G2435" s="258"/>
      <c r="H2435" s="271"/>
      <c r="I2435" s="258"/>
      <c r="J2435" s="272"/>
      <c r="K2435" s="260"/>
      <c r="L2435" s="261"/>
      <c r="M2435" s="262" t="str">
        <f t="shared" si="1"/>
        <v/>
      </c>
      <c r="N2435" s="263" t="str">
        <f t="shared" si="2"/>
        <v/>
      </c>
      <c r="O2435" s="264" t="str">
        <f t="shared" si="3"/>
        <v/>
      </c>
      <c r="P2435" s="265" t="str">
        <f>IFERROR(__xludf.DUMMYFUNCTION("IF(ISBLANK(A2435),"""",IFERROR(IF(H2435=""Sell"",VLOOKUP(9^99,FILTER({ROW(P$2:P2434),P$2:P2434},D$2:D2434=D2435),2),(VLOOKUP(9^99,FILTER({ROW(P$2:P2434),P$2:P2434},D$2:D2434=D2435),2)*VLOOKUP(9^99,FILTER({ROW(O$2:O2434),O$2:O2434},D$2:D2434=D2435),2)-N243"&amp;"5)/O2435),J2435))"),"")</f>
        <v/>
      </c>
      <c r="Q2435" s="264" t="str">
        <f>IFERROR(__xludf.DUMMYFUNCTION("IFERROR(IF(F2435=""Crypto"",B2435,(IF(ISBLANK(D2435),"""",IF(D2435=""Cash"",B2435,IF(GOOGLEFINANCE(D2435,""CURRENCY"")=""GBX"",""GBP"",GOOGLEFINANCE(D2435,""CURRENCY"")))))),B2435)"),"")</f>
        <v/>
      </c>
      <c r="R2435" s="263" t="str">
        <f>IFERROR(__xludf.DUMMYFUNCTION("IF(ISBLANK(A2435),"""",IFERROR(IF(OR(Q2435=""GPB"",Q2435=""ZAR""),IF(Q2435=Dashboard!$L$1,K2435,(K2435*GOOGLEFINANCE(""CURRENCY:""&amp;Q2435&amp;""""&amp;Dashboard!$L$1&amp;""""))/100),IF(Q2435=Dashboard!$L$1,K2435,K2435*GOOGLEFINANCE(""CURRENCY:""&amp;Q2435&amp;""""&amp;Dashboard!$"&amp;"L$1&amp;""""))),K2435))"),"")</f>
        <v/>
      </c>
      <c r="S2435" s="266" t="str">
        <f>IFERROR(__xludf.DUMMYFUNCTION("IF(ISBLANK(A2435),"""",IFERROR(IF(OR(Q2435=""GPB"",Q2435=""ZAR""),IF(Q2435=Dashboard!$L$1,M2435,(M2435*GOOGLEFINANCE(""CURRENCY:""&amp;Q2435&amp;""""&amp;Dashboard!$L$1&amp;""""))/100),IF(Q2435=Dashboard!$L$1,M2435,M2435*GOOGLEFINANCE(""CURRENCY:""&amp;Q2435&amp;""""&amp;Dashboard!$"&amp;"L$1&amp;""""))),M2435))"),"")</f>
        <v/>
      </c>
      <c r="T2435" s="264" t="str">
        <f t="shared" si="4"/>
        <v/>
      </c>
      <c r="U2435" s="264" t="str">
        <f t="shared" si="5"/>
        <v/>
      </c>
      <c r="V2435" s="264" t="str">
        <f t="shared" si="6"/>
        <v/>
      </c>
      <c r="W2435" s="267" t="str">
        <f t="shared" si="8"/>
        <v/>
      </c>
      <c r="X2435" s="264" t="str">
        <f t="shared" si="7"/>
        <v/>
      </c>
    </row>
    <row r="2436" ht="15.75" customHeight="1">
      <c r="A2436" s="258"/>
      <c r="B2436" s="258"/>
      <c r="C2436" s="269"/>
      <c r="D2436" s="258"/>
      <c r="E2436" s="258"/>
      <c r="F2436" s="258"/>
      <c r="G2436" s="258"/>
      <c r="H2436" s="271"/>
      <c r="I2436" s="258"/>
      <c r="J2436" s="272"/>
      <c r="K2436" s="260"/>
      <c r="L2436" s="261"/>
      <c r="M2436" s="262" t="str">
        <f t="shared" si="1"/>
        <v/>
      </c>
      <c r="N2436" s="263" t="str">
        <f t="shared" si="2"/>
        <v/>
      </c>
      <c r="O2436" s="264" t="str">
        <f t="shared" si="3"/>
        <v/>
      </c>
      <c r="P2436" s="265" t="str">
        <f>IFERROR(__xludf.DUMMYFUNCTION("IF(ISBLANK(A2436),"""",IFERROR(IF(H2436=""Sell"",VLOOKUP(9^99,FILTER({ROW(P$2:P2435),P$2:P2435},D$2:D2435=D2436),2),(VLOOKUP(9^99,FILTER({ROW(P$2:P2435),P$2:P2435},D$2:D2435=D2436),2)*VLOOKUP(9^99,FILTER({ROW(O$2:O2435),O$2:O2435},D$2:D2435=D2436),2)-N243"&amp;"6)/O2436),J2436))"),"")</f>
        <v/>
      </c>
      <c r="Q2436" s="264" t="str">
        <f>IFERROR(__xludf.DUMMYFUNCTION("IFERROR(IF(F2436=""Crypto"",B2436,(IF(ISBLANK(D2436),"""",IF(D2436=""Cash"",B2436,IF(GOOGLEFINANCE(D2436,""CURRENCY"")=""GBX"",""GBP"",GOOGLEFINANCE(D2436,""CURRENCY"")))))),B2436)"),"")</f>
        <v/>
      </c>
      <c r="R2436" s="263" t="str">
        <f>IFERROR(__xludf.DUMMYFUNCTION("IF(ISBLANK(A2436),"""",IFERROR(IF(OR(Q2436=""GPB"",Q2436=""ZAR""),IF(Q2436=Dashboard!$L$1,K2436,(K2436*GOOGLEFINANCE(""CURRENCY:""&amp;Q2436&amp;""""&amp;Dashboard!$L$1&amp;""""))/100),IF(Q2436=Dashboard!$L$1,K2436,K2436*GOOGLEFINANCE(""CURRENCY:""&amp;Q2436&amp;""""&amp;Dashboard!$"&amp;"L$1&amp;""""))),K2436))"),"")</f>
        <v/>
      </c>
      <c r="S2436" s="266" t="str">
        <f>IFERROR(__xludf.DUMMYFUNCTION("IF(ISBLANK(A2436),"""",IFERROR(IF(OR(Q2436=""GPB"",Q2436=""ZAR""),IF(Q2436=Dashboard!$L$1,M2436,(M2436*GOOGLEFINANCE(""CURRENCY:""&amp;Q2436&amp;""""&amp;Dashboard!$L$1&amp;""""))/100),IF(Q2436=Dashboard!$L$1,M2436,M2436*GOOGLEFINANCE(""CURRENCY:""&amp;Q2436&amp;""""&amp;Dashboard!$"&amp;"L$1&amp;""""))),M2436))"),"")</f>
        <v/>
      </c>
      <c r="T2436" s="264" t="str">
        <f t="shared" si="4"/>
        <v/>
      </c>
      <c r="U2436" s="264" t="str">
        <f t="shared" si="5"/>
        <v/>
      </c>
      <c r="V2436" s="264" t="str">
        <f t="shared" si="6"/>
        <v/>
      </c>
      <c r="W2436" s="267" t="str">
        <f t="shared" si="8"/>
        <v/>
      </c>
      <c r="X2436" s="264" t="str">
        <f t="shared" si="7"/>
        <v/>
      </c>
    </row>
    <row r="2437" ht="15.75" customHeight="1">
      <c r="A2437" s="258"/>
      <c r="B2437" s="258"/>
      <c r="C2437" s="269"/>
      <c r="D2437" s="258"/>
      <c r="E2437" s="258"/>
      <c r="F2437" s="258"/>
      <c r="G2437" s="258"/>
      <c r="H2437" s="271"/>
      <c r="I2437" s="258"/>
      <c r="J2437" s="272"/>
      <c r="K2437" s="260"/>
      <c r="L2437" s="261"/>
      <c r="M2437" s="262" t="str">
        <f t="shared" si="1"/>
        <v/>
      </c>
      <c r="N2437" s="263" t="str">
        <f t="shared" si="2"/>
        <v/>
      </c>
      <c r="O2437" s="264" t="str">
        <f t="shared" si="3"/>
        <v/>
      </c>
      <c r="P2437" s="265" t="str">
        <f>IFERROR(__xludf.DUMMYFUNCTION("IF(ISBLANK(A2437),"""",IFERROR(IF(H2437=""Sell"",VLOOKUP(9^99,FILTER({ROW(P$2:P2436),P$2:P2436},D$2:D2436=D2437),2),(VLOOKUP(9^99,FILTER({ROW(P$2:P2436),P$2:P2436},D$2:D2436=D2437),2)*VLOOKUP(9^99,FILTER({ROW(O$2:O2436),O$2:O2436},D$2:D2436=D2437),2)-N243"&amp;"7)/O2437),J2437))"),"")</f>
        <v/>
      </c>
      <c r="Q2437" s="264" t="str">
        <f>IFERROR(__xludf.DUMMYFUNCTION("IFERROR(IF(F2437=""Crypto"",B2437,(IF(ISBLANK(D2437),"""",IF(D2437=""Cash"",B2437,IF(GOOGLEFINANCE(D2437,""CURRENCY"")=""GBX"",""GBP"",GOOGLEFINANCE(D2437,""CURRENCY"")))))),B2437)"),"")</f>
        <v/>
      </c>
      <c r="R2437" s="263" t="str">
        <f>IFERROR(__xludf.DUMMYFUNCTION("IF(ISBLANK(A2437),"""",IFERROR(IF(OR(Q2437=""GPB"",Q2437=""ZAR""),IF(Q2437=Dashboard!$L$1,K2437,(K2437*GOOGLEFINANCE(""CURRENCY:""&amp;Q2437&amp;""""&amp;Dashboard!$L$1&amp;""""))/100),IF(Q2437=Dashboard!$L$1,K2437,K2437*GOOGLEFINANCE(""CURRENCY:""&amp;Q2437&amp;""""&amp;Dashboard!$"&amp;"L$1&amp;""""))),K2437))"),"")</f>
        <v/>
      </c>
      <c r="S2437" s="266" t="str">
        <f>IFERROR(__xludf.DUMMYFUNCTION("IF(ISBLANK(A2437),"""",IFERROR(IF(OR(Q2437=""GPB"",Q2437=""ZAR""),IF(Q2437=Dashboard!$L$1,M2437,(M2437*GOOGLEFINANCE(""CURRENCY:""&amp;Q2437&amp;""""&amp;Dashboard!$L$1&amp;""""))/100),IF(Q2437=Dashboard!$L$1,M2437,M2437*GOOGLEFINANCE(""CURRENCY:""&amp;Q2437&amp;""""&amp;Dashboard!$"&amp;"L$1&amp;""""))),M2437))"),"")</f>
        <v/>
      </c>
      <c r="T2437" s="264" t="str">
        <f t="shared" si="4"/>
        <v/>
      </c>
      <c r="U2437" s="264" t="str">
        <f t="shared" si="5"/>
        <v/>
      </c>
      <c r="V2437" s="264" t="str">
        <f t="shared" si="6"/>
        <v/>
      </c>
      <c r="W2437" s="267" t="str">
        <f t="shared" si="8"/>
        <v/>
      </c>
      <c r="X2437" s="264" t="str">
        <f t="shared" si="7"/>
        <v/>
      </c>
    </row>
    <row r="2438" ht="15.75" customHeight="1">
      <c r="A2438" s="258"/>
      <c r="B2438" s="258"/>
      <c r="C2438" s="269"/>
      <c r="D2438" s="258"/>
      <c r="E2438" s="258"/>
      <c r="F2438" s="258"/>
      <c r="G2438" s="258"/>
      <c r="H2438" s="271"/>
      <c r="I2438" s="258"/>
      <c r="J2438" s="272"/>
      <c r="K2438" s="260"/>
      <c r="L2438" s="261"/>
      <c r="M2438" s="262" t="str">
        <f t="shared" si="1"/>
        <v/>
      </c>
      <c r="N2438" s="263" t="str">
        <f t="shared" si="2"/>
        <v/>
      </c>
      <c r="O2438" s="264" t="str">
        <f t="shared" si="3"/>
        <v/>
      </c>
      <c r="P2438" s="265" t="str">
        <f>IFERROR(__xludf.DUMMYFUNCTION("IF(ISBLANK(A2438),"""",IFERROR(IF(H2438=""Sell"",VLOOKUP(9^99,FILTER({ROW(P$2:P2437),P$2:P2437},D$2:D2437=D2438),2),(VLOOKUP(9^99,FILTER({ROW(P$2:P2437),P$2:P2437},D$2:D2437=D2438),2)*VLOOKUP(9^99,FILTER({ROW(O$2:O2437),O$2:O2437},D$2:D2437=D2438),2)-N243"&amp;"8)/O2438),J2438))"),"")</f>
        <v/>
      </c>
      <c r="Q2438" s="264" t="str">
        <f>IFERROR(__xludf.DUMMYFUNCTION("IFERROR(IF(F2438=""Crypto"",B2438,(IF(ISBLANK(D2438),"""",IF(D2438=""Cash"",B2438,IF(GOOGLEFINANCE(D2438,""CURRENCY"")=""GBX"",""GBP"",GOOGLEFINANCE(D2438,""CURRENCY"")))))),B2438)"),"")</f>
        <v/>
      </c>
      <c r="R2438" s="263" t="str">
        <f>IFERROR(__xludf.DUMMYFUNCTION("IF(ISBLANK(A2438),"""",IFERROR(IF(OR(Q2438=""GPB"",Q2438=""ZAR""),IF(Q2438=Dashboard!$L$1,K2438,(K2438*GOOGLEFINANCE(""CURRENCY:""&amp;Q2438&amp;""""&amp;Dashboard!$L$1&amp;""""))/100),IF(Q2438=Dashboard!$L$1,K2438,K2438*GOOGLEFINANCE(""CURRENCY:""&amp;Q2438&amp;""""&amp;Dashboard!$"&amp;"L$1&amp;""""))),K2438))"),"")</f>
        <v/>
      </c>
      <c r="S2438" s="266" t="str">
        <f>IFERROR(__xludf.DUMMYFUNCTION("IF(ISBLANK(A2438),"""",IFERROR(IF(OR(Q2438=""GPB"",Q2438=""ZAR""),IF(Q2438=Dashboard!$L$1,M2438,(M2438*GOOGLEFINANCE(""CURRENCY:""&amp;Q2438&amp;""""&amp;Dashboard!$L$1&amp;""""))/100),IF(Q2438=Dashboard!$L$1,M2438,M2438*GOOGLEFINANCE(""CURRENCY:""&amp;Q2438&amp;""""&amp;Dashboard!$"&amp;"L$1&amp;""""))),M2438))"),"")</f>
        <v/>
      </c>
      <c r="T2438" s="264" t="str">
        <f t="shared" si="4"/>
        <v/>
      </c>
      <c r="U2438" s="264" t="str">
        <f t="shared" si="5"/>
        <v/>
      </c>
      <c r="V2438" s="264" t="str">
        <f t="shared" si="6"/>
        <v/>
      </c>
      <c r="W2438" s="267" t="str">
        <f t="shared" si="8"/>
        <v/>
      </c>
      <c r="X2438" s="264" t="str">
        <f t="shared" si="7"/>
        <v/>
      </c>
    </row>
    <row r="2439" ht="15.75" customHeight="1">
      <c r="A2439" s="258"/>
      <c r="B2439" s="258"/>
      <c r="C2439" s="269"/>
      <c r="D2439" s="258"/>
      <c r="E2439" s="258"/>
      <c r="F2439" s="258"/>
      <c r="G2439" s="258"/>
      <c r="H2439" s="271"/>
      <c r="I2439" s="258"/>
      <c r="J2439" s="272"/>
      <c r="K2439" s="260"/>
      <c r="L2439" s="261"/>
      <c r="M2439" s="262" t="str">
        <f t="shared" si="1"/>
        <v/>
      </c>
      <c r="N2439" s="263" t="str">
        <f t="shared" si="2"/>
        <v/>
      </c>
      <c r="O2439" s="264" t="str">
        <f t="shared" si="3"/>
        <v/>
      </c>
      <c r="P2439" s="265" t="str">
        <f>IFERROR(__xludf.DUMMYFUNCTION("IF(ISBLANK(A2439),"""",IFERROR(IF(H2439=""Sell"",VLOOKUP(9^99,FILTER({ROW(P$2:P2438),P$2:P2438},D$2:D2438=D2439),2),(VLOOKUP(9^99,FILTER({ROW(P$2:P2438),P$2:P2438},D$2:D2438=D2439),2)*VLOOKUP(9^99,FILTER({ROW(O$2:O2438),O$2:O2438},D$2:D2438=D2439),2)-N243"&amp;"9)/O2439),J2439))"),"")</f>
        <v/>
      </c>
      <c r="Q2439" s="264" t="str">
        <f>IFERROR(__xludf.DUMMYFUNCTION("IFERROR(IF(F2439=""Crypto"",B2439,(IF(ISBLANK(D2439),"""",IF(D2439=""Cash"",B2439,IF(GOOGLEFINANCE(D2439,""CURRENCY"")=""GBX"",""GBP"",GOOGLEFINANCE(D2439,""CURRENCY"")))))),B2439)"),"")</f>
        <v/>
      </c>
      <c r="R2439" s="263" t="str">
        <f>IFERROR(__xludf.DUMMYFUNCTION("IF(ISBLANK(A2439),"""",IFERROR(IF(OR(Q2439=""GPB"",Q2439=""ZAR""),IF(Q2439=Dashboard!$L$1,K2439,(K2439*GOOGLEFINANCE(""CURRENCY:""&amp;Q2439&amp;""""&amp;Dashboard!$L$1&amp;""""))/100),IF(Q2439=Dashboard!$L$1,K2439,K2439*GOOGLEFINANCE(""CURRENCY:""&amp;Q2439&amp;""""&amp;Dashboard!$"&amp;"L$1&amp;""""))),K2439))"),"")</f>
        <v/>
      </c>
      <c r="S2439" s="266" t="str">
        <f>IFERROR(__xludf.DUMMYFUNCTION("IF(ISBLANK(A2439),"""",IFERROR(IF(OR(Q2439=""GPB"",Q2439=""ZAR""),IF(Q2439=Dashboard!$L$1,M2439,(M2439*GOOGLEFINANCE(""CURRENCY:""&amp;Q2439&amp;""""&amp;Dashboard!$L$1&amp;""""))/100),IF(Q2439=Dashboard!$L$1,M2439,M2439*GOOGLEFINANCE(""CURRENCY:""&amp;Q2439&amp;""""&amp;Dashboard!$"&amp;"L$1&amp;""""))),M2439))"),"")</f>
        <v/>
      </c>
      <c r="T2439" s="264" t="str">
        <f t="shared" si="4"/>
        <v/>
      </c>
      <c r="U2439" s="264" t="str">
        <f t="shared" si="5"/>
        <v/>
      </c>
      <c r="V2439" s="264" t="str">
        <f t="shared" si="6"/>
        <v/>
      </c>
      <c r="W2439" s="267" t="str">
        <f t="shared" si="8"/>
        <v/>
      </c>
      <c r="X2439" s="264" t="str">
        <f t="shared" si="7"/>
        <v/>
      </c>
    </row>
    <row r="2440" ht="15.75" customHeight="1">
      <c r="A2440" s="258"/>
      <c r="B2440" s="258"/>
      <c r="C2440" s="269"/>
      <c r="D2440" s="258"/>
      <c r="E2440" s="258"/>
      <c r="F2440" s="258"/>
      <c r="G2440" s="258"/>
      <c r="H2440" s="271"/>
      <c r="I2440" s="258"/>
      <c r="J2440" s="272"/>
      <c r="K2440" s="260"/>
      <c r="L2440" s="261"/>
      <c r="M2440" s="262" t="str">
        <f t="shared" si="1"/>
        <v/>
      </c>
      <c r="N2440" s="263" t="str">
        <f t="shared" si="2"/>
        <v/>
      </c>
      <c r="O2440" s="264" t="str">
        <f t="shared" si="3"/>
        <v/>
      </c>
      <c r="P2440" s="265" t="str">
        <f>IFERROR(__xludf.DUMMYFUNCTION("IF(ISBLANK(A2440),"""",IFERROR(IF(H2440=""Sell"",VLOOKUP(9^99,FILTER({ROW(P$2:P2439),P$2:P2439},D$2:D2439=D2440),2),(VLOOKUP(9^99,FILTER({ROW(P$2:P2439),P$2:P2439},D$2:D2439=D2440),2)*VLOOKUP(9^99,FILTER({ROW(O$2:O2439),O$2:O2439},D$2:D2439=D2440),2)-N244"&amp;"0)/O2440),J2440))"),"")</f>
        <v/>
      </c>
      <c r="Q2440" s="264" t="str">
        <f>IFERROR(__xludf.DUMMYFUNCTION("IFERROR(IF(F2440=""Crypto"",B2440,(IF(ISBLANK(D2440),"""",IF(D2440=""Cash"",B2440,IF(GOOGLEFINANCE(D2440,""CURRENCY"")=""GBX"",""GBP"",GOOGLEFINANCE(D2440,""CURRENCY"")))))),B2440)"),"")</f>
        <v/>
      </c>
      <c r="R2440" s="263" t="str">
        <f>IFERROR(__xludf.DUMMYFUNCTION("IF(ISBLANK(A2440),"""",IFERROR(IF(OR(Q2440=""GPB"",Q2440=""ZAR""),IF(Q2440=Dashboard!$L$1,K2440,(K2440*GOOGLEFINANCE(""CURRENCY:""&amp;Q2440&amp;""""&amp;Dashboard!$L$1&amp;""""))/100),IF(Q2440=Dashboard!$L$1,K2440,K2440*GOOGLEFINANCE(""CURRENCY:""&amp;Q2440&amp;""""&amp;Dashboard!$"&amp;"L$1&amp;""""))),K2440))"),"")</f>
        <v/>
      </c>
      <c r="S2440" s="266" t="str">
        <f>IFERROR(__xludf.DUMMYFUNCTION("IF(ISBLANK(A2440),"""",IFERROR(IF(OR(Q2440=""GPB"",Q2440=""ZAR""),IF(Q2440=Dashboard!$L$1,M2440,(M2440*GOOGLEFINANCE(""CURRENCY:""&amp;Q2440&amp;""""&amp;Dashboard!$L$1&amp;""""))/100),IF(Q2440=Dashboard!$L$1,M2440,M2440*GOOGLEFINANCE(""CURRENCY:""&amp;Q2440&amp;""""&amp;Dashboard!$"&amp;"L$1&amp;""""))),M2440))"),"")</f>
        <v/>
      </c>
      <c r="T2440" s="264" t="str">
        <f t="shared" si="4"/>
        <v/>
      </c>
      <c r="U2440" s="264" t="str">
        <f t="shared" si="5"/>
        <v/>
      </c>
      <c r="V2440" s="264" t="str">
        <f t="shared" si="6"/>
        <v/>
      </c>
      <c r="W2440" s="267" t="str">
        <f t="shared" si="8"/>
        <v/>
      </c>
      <c r="X2440" s="264" t="str">
        <f t="shared" si="7"/>
        <v/>
      </c>
    </row>
    <row r="2441" ht="15.75" customHeight="1">
      <c r="A2441" s="258"/>
      <c r="B2441" s="258"/>
      <c r="C2441" s="269"/>
      <c r="D2441" s="258"/>
      <c r="E2441" s="258"/>
      <c r="F2441" s="258"/>
      <c r="G2441" s="258"/>
      <c r="H2441" s="271"/>
      <c r="I2441" s="258"/>
      <c r="J2441" s="272"/>
      <c r="K2441" s="260"/>
      <c r="L2441" s="261"/>
      <c r="M2441" s="262" t="str">
        <f t="shared" si="1"/>
        <v/>
      </c>
      <c r="N2441" s="263" t="str">
        <f t="shared" si="2"/>
        <v/>
      </c>
      <c r="O2441" s="264" t="str">
        <f t="shared" si="3"/>
        <v/>
      </c>
      <c r="P2441" s="265" t="str">
        <f>IFERROR(__xludf.DUMMYFUNCTION("IF(ISBLANK(A2441),"""",IFERROR(IF(H2441=""Sell"",VLOOKUP(9^99,FILTER({ROW(P$2:P2440),P$2:P2440},D$2:D2440=D2441),2),(VLOOKUP(9^99,FILTER({ROW(P$2:P2440),P$2:P2440},D$2:D2440=D2441),2)*VLOOKUP(9^99,FILTER({ROW(O$2:O2440),O$2:O2440},D$2:D2440=D2441),2)-N244"&amp;"1)/O2441),J2441))"),"")</f>
        <v/>
      </c>
      <c r="Q2441" s="264" t="str">
        <f>IFERROR(__xludf.DUMMYFUNCTION("IFERROR(IF(F2441=""Crypto"",B2441,(IF(ISBLANK(D2441),"""",IF(D2441=""Cash"",B2441,IF(GOOGLEFINANCE(D2441,""CURRENCY"")=""GBX"",""GBP"",GOOGLEFINANCE(D2441,""CURRENCY"")))))),B2441)"),"")</f>
        <v/>
      </c>
      <c r="R2441" s="263" t="str">
        <f>IFERROR(__xludf.DUMMYFUNCTION("IF(ISBLANK(A2441),"""",IFERROR(IF(OR(Q2441=""GPB"",Q2441=""ZAR""),IF(Q2441=Dashboard!$L$1,K2441,(K2441*GOOGLEFINANCE(""CURRENCY:""&amp;Q2441&amp;""""&amp;Dashboard!$L$1&amp;""""))/100),IF(Q2441=Dashboard!$L$1,K2441,K2441*GOOGLEFINANCE(""CURRENCY:""&amp;Q2441&amp;""""&amp;Dashboard!$"&amp;"L$1&amp;""""))),K2441))"),"")</f>
        <v/>
      </c>
      <c r="S2441" s="266" t="str">
        <f>IFERROR(__xludf.DUMMYFUNCTION("IF(ISBLANK(A2441),"""",IFERROR(IF(OR(Q2441=""GPB"",Q2441=""ZAR""),IF(Q2441=Dashboard!$L$1,M2441,(M2441*GOOGLEFINANCE(""CURRENCY:""&amp;Q2441&amp;""""&amp;Dashboard!$L$1&amp;""""))/100),IF(Q2441=Dashboard!$L$1,M2441,M2441*GOOGLEFINANCE(""CURRENCY:""&amp;Q2441&amp;""""&amp;Dashboard!$"&amp;"L$1&amp;""""))),M2441))"),"")</f>
        <v/>
      </c>
      <c r="T2441" s="264" t="str">
        <f t="shared" si="4"/>
        <v/>
      </c>
      <c r="U2441" s="264" t="str">
        <f t="shared" si="5"/>
        <v/>
      </c>
      <c r="V2441" s="264" t="str">
        <f t="shared" si="6"/>
        <v/>
      </c>
      <c r="W2441" s="267" t="str">
        <f t="shared" si="8"/>
        <v/>
      </c>
      <c r="X2441" s="264" t="str">
        <f t="shared" si="7"/>
        <v/>
      </c>
    </row>
    <row r="2442" ht="15.75" customHeight="1">
      <c r="A2442" s="258"/>
      <c r="B2442" s="258"/>
      <c r="C2442" s="269"/>
      <c r="D2442" s="258"/>
      <c r="E2442" s="258"/>
      <c r="F2442" s="258"/>
      <c r="G2442" s="258"/>
      <c r="H2442" s="271"/>
      <c r="I2442" s="258"/>
      <c r="J2442" s="272"/>
      <c r="K2442" s="260"/>
      <c r="L2442" s="261"/>
      <c r="M2442" s="262" t="str">
        <f t="shared" si="1"/>
        <v/>
      </c>
      <c r="N2442" s="263" t="str">
        <f t="shared" si="2"/>
        <v/>
      </c>
      <c r="O2442" s="264" t="str">
        <f t="shared" si="3"/>
        <v/>
      </c>
      <c r="P2442" s="265" t="str">
        <f>IFERROR(__xludf.DUMMYFUNCTION("IF(ISBLANK(A2442),"""",IFERROR(IF(H2442=""Sell"",VLOOKUP(9^99,FILTER({ROW(P$2:P2441),P$2:P2441},D$2:D2441=D2442),2),(VLOOKUP(9^99,FILTER({ROW(P$2:P2441),P$2:P2441},D$2:D2441=D2442),2)*VLOOKUP(9^99,FILTER({ROW(O$2:O2441),O$2:O2441},D$2:D2441=D2442),2)-N244"&amp;"2)/O2442),J2442))"),"")</f>
        <v/>
      </c>
      <c r="Q2442" s="264" t="str">
        <f>IFERROR(__xludf.DUMMYFUNCTION("IFERROR(IF(F2442=""Crypto"",B2442,(IF(ISBLANK(D2442),"""",IF(D2442=""Cash"",B2442,IF(GOOGLEFINANCE(D2442,""CURRENCY"")=""GBX"",""GBP"",GOOGLEFINANCE(D2442,""CURRENCY"")))))),B2442)"),"")</f>
        <v/>
      </c>
      <c r="R2442" s="263" t="str">
        <f>IFERROR(__xludf.DUMMYFUNCTION("IF(ISBLANK(A2442),"""",IFERROR(IF(OR(Q2442=""GPB"",Q2442=""ZAR""),IF(Q2442=Dashboard!$L$1,K2442,(K2442*GOOGLEFINANCE(""CURRENCY:""&amp;Q2442&amp;""""&amp;Dashboard!$L$1&amp;""""))/100),IF(Q2442=Dashboard!$L$1,K2442,K2442*GOOGLEFINANCE(""CURRENCY:""&amp;Q2442&amp;""""&amp;Dashboard!$"&amp;"L$1&amp;""""))),K2442))"),"")</f>
        <v/>
      </c>
      <c r="S2442" s="266" t="str">
        <f>IFERROR(__xludf.DUMMYFUNCTION("IF(ISBLANK(A2442),"""",IFERROR(IF(OR(Q2442=""GPB"",Q2442=""ZAR""),IF(Q2442=Dashboard!$L$1,M2442,(M2442*GOOGLEFINANCE(""CURRENCY:""&amp;Q2442&amp;""""&amp;Dashboard!$L$1&amp;""""))/100),IF(Q2442=Dashboard!$L$1,M2442,M2442*GOOGLEFINANCE(""CURRENCY:""&amp;Q2442&amp;""""&amp;Dashboard!$"&amp;"L$1&amp;""""))),M2442))"),"")</f>
        <v/>
      </c>
      <c r="T2442" s="264" t="str">
        <f t="shared" si="4"/>
        <v/>
      </c>
      <c r="U2442" s="264" t="str">
        <f t="shared" si="5"/>
        <v/>
      </c>
      <c r="V2442" s="264" t="str">
        <f t="shared" si="6"/>
        <v/>
      </c>
      <c r="W2442" s="267" t="str">
        <f t="shared" si="8"/>
        <v/>
      </c>
      <c r="X2442" s="264" t="str">
        <f t="shared" si="7"/>
        <v/>
      </c>
    </row>
    <row r="2443" ht="15.75" customHeight="1">
      <c r="A2443" s="258"/>
      <c r="B2443" s="258"/>
      <c r="C2443" s="269"/>
      <c r="D2443" s="258"/>
      <c r="E2443" s="258"/>
      <c r="F2443" s="258"/>
      <c r="G2443" s="258"/>
      <c r="H2443" s="271"/>
      <c r="I2443" s="258"/>
      <c r="J2443" s="272"/>
      <c r="K2443" s="260"/>
      <c r="L2443" s="261"/>
      <c r="M2443" s="262" t="str">
        <f t="shared" si="1"/>
        <v/>
      </c>
      <c r="N2443" s="263" t="str">
        <f t="shared" si="2"/>
        <v/>
      </c>
      <c r="O2443" s="264" t="str">
        <f t="shared" si="3"/>
        <v/>
      </c>
      <c r="P2443" s="265" t="str">
        <f>IFERROR(__xludf.DUMMYFUNCTION("IF(ISBLANK(A2443),"""",IFERROR(IF(H2443=""Sell"",VLOOKUP(9^99,FILTER({ROW(P$2:P2442),P$2:P2442},D$2:D2442=D2443),2),(VLOOKUP(9^99,FILTER({ROW(P$2:P2442),P$2:P2442},D$2:D2442=D2443),2)*VLOOKUP(9^99,FILTER({ROW(O$2:O2442),O$2:O2442},D$2:D2442=D2443),2)-N244"&amp;"3)/O2443),J2443))"),"")</f>
        <v/>
      </c>
      <c r="Q2443" s="264" t="str">
        <f>IFERROR(__xludf.DUMMYFUNCTION("IFERROR(IF(F2443=""Crypto"",B2443,(IF(ISBLANK(D2443),"""",IF(D2443=""Cash"",B2443,IF(GOOGLEFINANCE(D2443,""CURRENCY"")=""GBX"",""GBP"",GOOGLEFINANCE(D2443,""CURRENCY"")))))),B2443)"),"")</f>
        <v/>
      </c>
      <c r="R2443" s="263" t="str">
        <f>IFERROR(__xludf.DUMMYFUNCTION("IF(ISBLANK(A2443),"""",IFERROR(IF(OR(Q2443=""GPB"",Q2443=""ZAR""),IF(Q2443=Dashboard!$L$1,K2443,(K2443*GOOGLEFINANCE(""CURRENCY:""&amp;Q2443&amp;""""&amp;Dashboard!$L$1&amp;""""))/100),IF(Q2443=Dashboard!$L$1,K2443,K2443*GOOGLEFINANCE(""CURRENCY:""&amp;Q2443&amp;""""&amp;Dashboard!$"&amp;"L$1&amp;""""))),K2443))"),"")</f>
        <v/>
      </c>
      <c r="S2443" s="266" t="str">
        <f>IFERROR(__xludf.DUMMYFUNCTION("IF(ISBLANK(A2443),"""",IFERROR(IF(OR(Q2443=""GPB"",Q2443=""ZAR""),IF(Q2443=Dashboard!$L$1,M2443,(M2443*GOOGLEFINANCE(""CURRENCY:""&amp;Q2443&amp;""""&amp;Dashboard!$L$1&amp;""""))/100),IF(Q2443=Dashboard!$L$1,M2443,M2443*GOOGLEFINANCE(""CURRENCY:""&amp;Q2443&amp;""""&amp;Dashboard!$"&amp;"L$1&amp;""""))),M2443))"),"")</f>
        <v/>
      </c>
      <c r="T2443" s="264" t="str">
        <f t="shared" si="4"/>
        <v/>
      </c>
      <c r="U2443" s="264" t="str">
        <f t="shared" si="5"/>
        <v/>
      </c>
      <c r="V2443" s="264" t="str">
        <f t="shared" si="6"/>
        <v/>
      </c>
      <c r="W2443" s="267" t="str">
        <f t="shared" si="8"/>
        <v/>
      </c>
      <c r="X2443" s="264" t="str">
        <f t="shared" si="7"/>
        <v/>
      </c>
    </row>
    <row r="2444" ht="15.75" customHeight="1">
      <c r="A2444" s="258"/>
      <c r="B2444" s="258"/>
      <c r="C2444" s="269"/>
      <c r="D2444" s="258"/>
      <c r="E2444" s="258"/>
      <c r="F2444" s="258"/>
      <c r="G2444" s="258"/>
      <c r="H2444" s="271"/>
      <c r="I2444" s="258"/>
      <c r="J2444" s="272"/>
      <c r="K2444" s="260"/>
      <c r="L2444" s="261"/>
      <c r="M2444" s="262" t="str">
        <f t="shared" si="1"/>
        <v/>
      </c>
      <c r="N2444" s="263" t="str">
        <f t="shared" si="2"/>
        <v/>
      </c>
      <c r="O2444" s="264" t="str">
        <f t="shared" si="3"/>
        <v/>
      </c>
      <c r="P2444" s="265" t="str">
        <f>IFERROR(__xludf.DUMMYFUNCTION("IF(ISBLANK(A2444),"""",IFERROR(IF(H2444=""Sell"",VLOOKUP(9^99,FILTER({ROW(P$2:P2443),P$2:P2443},D$2:D2443=D2444),2),(VLOOKUP(9^99,FILTER({ROW(P$2:P2443),P$2:P2443},D$2:D2443=D2444),2)*VLOOKUP(9^99,FILTER({ROW(O$2:O2443),O$2:O2443},D$2:D2443=D2444),2)-N244"&amp;"4)/O2444),J2444))"),"")</f>
        <v/>
      </c>
      <c r="Q2444" s="264" t="str">
        <f>IFERROR(__xludf.DUMMYFUNCTION("IFERROR(IF(F2444=""Crypto"",B2444,(IF(ISBLANK(D2444),"""",IF(D2444=""Cash"",B2444,IF(GOOGLEFINANCE(D2444,""CURRENCY"")=""GBX"",""GBP"",GOOGLEFINANCE(D2444,""CURRENCY"")))))),B2444)"),"")</f>
        <v/>
      </c>
      <c r="R2444" s="263" t="str">
        <f>IFERROR(__xludf.DUMMYFUNCTION("IF(ISBLANK(A2444),"""",IFERROR(IF(OR(Q2444=""GPB"",Q2444=""ZAR""),IF(Q2444=Dashboard!$L$1,K2444,(K2444*GOOGLEFINANCE(""CURRENCY:""&amp;Q2444&amp;""""&amp;Dashboard!$L$1&amp;""""))/100),IF(Q2444=Dashboard!$L$1,K2444,K2444*GOOGLEFINANCE(""CURRENCY:""&amp;Q2444&amp;""""&amp;Dashboard!$"&amp;"L$1&amp;""""))),K2444))"),"")</f>
        <v/>
      </c>
      <c r="S2444" s="266" t="str">
        <f>IFERROR(__xludf.DUMMYFUNCTION("IF(ISBLANK(A2444),"""",IFERROR(IF(OR(Q2444=""GPB"",Q2444=""ZAR""),IF(Q2444=Dashboard!$L$1,M2444,(M2444*GOOGLEFINANCE(""CURRENCY:""&amp;Q2444&amp;""""&amp;Dashboard!$L$1&amp;""""))/100),IF(Q2444=Dashboard!$L$1,M2444,M2444*GOOGLEFINANCE(""CURRENCY:""&amp;Q2444&amp;""""&amp;Dashboard!$"&amp;"L$1&amp;""""))),M2444))"),"")</f>
        <v/>
      </c>
      <c r="T2444" s="264" t="str">
        <f t="shared" si="4"/>
        <v/>
      </c>
      <c r="U2444" s="264" t="str">
        <f t="shared" si="5"/>
        <v/>
      </c>
      <c r="V2444" s="264" t="str">
        <f t="shared" si="6"/>
        <v/>
      </c>
      <c r="W2444" s="267" t="str">
        <f t="shared" si="8"/>
        <v/>
      </c>
      <c r="X2444" s="264" t="str">
        <f t="shared" si="7"/>
        <v/>
      </c>
    </row>
    <row r="2445" ht="15.75" customHeight="1">
      <c r="A2445" s="258"/>
      <c r="B2445" s="258"/>
      <c r="C2445" s="269"/>
      <c r="D2445" s="258"/>
      <c r="E2445" s="258"/>
      <c r="F2445" s="258"/>
      <c r="G2445" s="258"/>
      <c r="H2445" s="271"/>
      <c r="I2445" s="258"/>
      <c r="J2445" s="272"/>
      <c r="K2445" s="260"/>
      <c r="L2445" s="261"/>
      <c r="M2445" s="262" t="str">
        <f t="shared" si="1"/>
        <v/>
      </c>
      <c r="N2445" s="263" t="str">
        <f t="shared" si="2"/>
        <v/>
      </c>
      <c r="O2445" s="264" t="str">
        <f t="shared" si="3"/>
        <v/>
      </c>
      <c r="P2445" s="265" t="str">
        <f>IFERROR(__xludf.DUMMYFUNCTION("IF(ISBLANK(A2445),"""",IFERROR(IF(H2445=""Sell"",VLOOKUP(9^99,FILTER({ROW(P$2:P2444),P$2:P2444},D$2:D2444=D2445),2),(VLOOKUP(9^99,FILTER({ROW(P$2:P2444),P$2:P2444},D$2:D2444=D2445),2)*VLOOKUP(9^99,FILTER({ROW(O$2:O2444),O$2:O2444},D$2:D2444=D2445),2)-N244"&amp;"5)/O2445),J2445))"),"")</f>
        <v/>
      </c>
      <c r="Q2445" s="264" t="str">
        <f>IFERROR(__xludf.DUMMYFUNCTION("IFERROR(IF(F2445=""Crypto"",B2445,(IF(ISBLANK(D2445),"""",IF(D2445=""Cash"",B2445,IF(GOOGLEFINANCE(D2445,""CURRENCY"")=""GBX"",""GBP"",GOOGLEFINANCE(D2445,""CURRENCY"")))))),B2445)"),"")</f>
        <v/>
      </c>
      <c r="R2445" s="263" t="str">
        <f>IFERROR(__xludf.DUMMYFUNCTION("IF(ISBLANK(A2445),"""",IFERROR(IF(OR(Q2445=""GPB"",Q2445=""ZAR""),IF(Q2445=Dashboard!$L$1,K2445,(K2445*GOOGLEFINANCE(""CURRENCY:""&amp;Q2445&amp;""""&amp;Dashboard!$L$1&amp;""""))/100),IF(Q2445=Dashboard!$L$1,K2445,K2445*GOOGLEFINANCE(""CURRENCY:""&amp;Q2445&amp;""""&amp;Dashboard!$"&amp;"L$1&amp;""""))),K2445))"),"")</f>
        <v/>
      </c>
      <c r="S2445" s="266" t="str">
        <f>IFERROR(__xludf.DUMMYFUNCTION("IF(ISBLANK(A2445),"""",IFERROR(IF(OR(Q2445=""GPB"",Q2445=""ZAR""),IF(Q2445=Dashboard!$L$1,M2445,(M2445*GOOGLEFINANCE(""CURRENCY:""&amp;Q2445&amp;""""&amp;Dashboard!$L$1&amp;""""))/100),IF(Q2445=Dashboard!$L$1,M2445,M2445*GOOGLEFINANCE(""CURRENCY:""&amp;Q2445&amp;""""&amp;Dashboard!$"&amp;"L$1&amp;""""))),M2445))"),"")</f>
        <v/>
      </c>
      <c r="T2445" s="264" t="str">
        <f t="shared" si="4"/>
        <v/>
      </c>
      <c r="U2445" s="264" t="str">
        <f t="shared" si="5"/>
        <v/>
      </c>
      <c r="V2445" s="264" t="str">
        <f t="shared" si="6"/>
        <v/>
      </c>
      <c r="W2445" s="267" t="str">
        <f t="shared" si="8"/>
        <v/>
      </c>
      <c r="X2445" s="264" t="str">
        <f t="shared" si="7"/>
        <v/>
      </c>
    </row>
    <row r="2446" ht="15.75" customHeight="1">
      <c r="A2446" s="258"/>
      <c r="B2446" s="258"/>
      <c r="C2446" s="269"/>
      <c r="D2446" s="258"/>
      <c r="E2446" s="258"/>
      <c r="F2446" s="258"/>
      <c r="G2446" s="258"/>
      <c r="H2446" s="271"/>
      <c r="I2446" s="258"/>
      <c r="J2446" s="272"/>
      <c r="K2446" s="260"/>
      <c r="L2446" s="261"/>
      <c r="M2446" s="262" t="str">
        <f t="shared" si="1"/>
        <v/>
      </c>
      <c r="N2446" s="263" t="str">
        <f t="shared" si="2"/>
        <v/>
      </c>
      <c r="O2446" s="264" t="str">
        <f t="shared" si="3"/>
        <v/>
      </c>
      <c r="P2446" s="265" t="str">
        <f>IFERROR(__xludf.DUMMYFUNCTION("IF(ISBLANK(A2446),"""",IFERROR(IF(H2446=""Sell"",VLOOKUP(9^99,FILTER({ROW(P$2:P2445),P$2:P2445},D$2:D2445=D2446),2),(VLOOKUP(9^99,FILTER({ROW(P$2:P2445),P$2:P2445},D$2:D2445=D2446),2)*VLOOKUP(9^99,FILTER({ROW(O$2:O2445),O$2:O2445},D$2:D2445=D2446),2)-N244"&amp;"6)/O2446),J2446))"),"")</f>
        <v/>
      </c>
      <c r="Q2446" s="264" t="str">
        <f>IFERROR(__xludf.DUMMYFUNCTION("IFERROR(IF(F2446=""Crypto"",B2446,(IF(ISBLANK(D2446),"""",IF(D2446=""Cash"",B2446,IF(GOOGLEFINANCE(D2446,""CURRENCY"")=""GBX"",""GBP"",GOOGLEFINANCE(D2446,""CURRENCY"")))))),B2446)"),"")</f>
        <v/>
      </c>
      <c r="R2446" s="263" t="str">
        <f>IFERROR(__xludf.DUMMYFUNCTION("IF(ISBLANK(A2446),"""",IFERROR(IF(OR(Q2446=""GPB"",Q2446=""ZAR""),IF(Q2446=Dashboard!$L$1,K2446,(K2446*GOOGLEFINANCE(""CURRENCY:""&amp;Q2446&amp;""""&amp;Dashboard!$L$1&amp;""""))/100),IF(Q2446=Dashboard!$L$1,K2446,K2446*GOOGLEFINANCE(""CURRENCY:""&amp;Q2446&amp;""""&amp;Dashboard!$"&amp;"L$1&amp;""""))),K2446))"),"")</f>
        <v/>
      </c>
      <c r="S2446" s="266" t="str">
        <f>IFERROR(__xludf.DUMMYFUNCTION("IF(ISBLANK(A2446),"""",IFERROR(IF(OR(Q2446=""GPB"",Q2446=""ZAR""),IF(Q2446=Dashboard!$L$1,M2446,(M2446*GOOGLEFINANCE(""CURRENCY:""&amp;Q2446&amp;""""&amp;Dashboard!$L$1&amp;""""))/100),IF(Q2446=Dashboard!$L$1,M2446,M2446*GOOGLEFINANCE(""CURRENCY:""&amp;Q2446&amp;""""&amp;Dashboard!$"&amp;"L$1&amp;""""))),M2446))"),"")</f>
        <v/>
      </c>
      <c r="T2446" s="264" t="str">
        <f t="shared" si="4"/>
        <v/>
      </c>
      <c r="U2446" s="264" t="str">
        <f t="shared" si="5"/>
        <v/>
      </c>
      <c r="V2446" s="264" t="str">
        <f t="shared" si="6"/>
        <v/>
      </c>
      <c r="W2446" s="267" t="str">
        <f t="shared" si="8"/>
        <v/>
      </c>
      <c r="X2446" s="264" t="str">
        <f t="shared" si="7"/>
        <v/>
      </c>
    </row>
    <row r="2447" ht="15.75" customHeight="1">
      <c r="A2447" s="258"/>
      <c r="B2447" s="258"/>
      <c r="C2447" s="269"/>
      <c r="D2447" s="258"/>
      <c r="E2447" s="258"/>
      <c r="F2447" s="258"/>
      <c r="G2447" s="258"/>
      <c r="H2447" s="271"/>
      <c r="I2447" s="258"/>
      <c r="J2447" s="272"/>
      <c r="K2447" s="260"/>
      <c r="L2447" s="261"/>
      <c r="M2447" s="262" t="str">
        <f t="shared" si="1"/>
        <v/>
      </c>
      <c r="N2447" s="263" t="str">
        <f t="shared" si="2"/>
        <v/>
      </c>
      <c r="O2447" s="264" t="str">
        <f t="shared" si="3"/>
        <v/>
      </c>
      <c r="P2447" s="265" t="str">
        <f>IFERROR(__xludf.DUMMYFUNCTION("IF(ISBLANK(A2447),"""",IFERROR(IF(H2447=""Sell"",VLOOKUP(9^99,FILTER({ROW(P$2:P2446),P$2:P2446},D$2:D2446=D2447),2),(VLOOKUP(9^99,FILTER({ROW(P$2:P2446),P$2:P2446},D$2:D2446=D2447),2)*VLOOKUP(9^99,FILTER({ROW(O$2:O2446),O$2:O2446},D$2:D2446=D2447),2)-N244"&amp;"7)/O2447),J2447))"),"")</f>
        <v/>
      </c>
      <c r="Q2447" s="264" t="str">
        <f>IFERROR(__xludf.DUMMYFUNCTION("IFERROR(IF(F2447=""Crypto"",B2447,(IF(ISBLANK(D2447),"""",IF(D2447=""Cash"",B2447,IF(GOOGLEFINANCE(D2447,""CURRENCY"")=""GBX"",""GBP"",GOOGLEFINANCE(D2447,""CURRENCY"")))))),B2447)"),"")</f>
        <v/>
      </c>
      <c r="R2447" s="263" t="str">
        <f>IFERROR(__xludf.DUMMYFUNCTION("IF(ISBLANK(A2447),"""",IFERROR(IF(OR(Q2447=""GPB"",Q2447=""ZAR""),IF(Q2447=Dashboard!$L$1,K2447,(K2447*GOOGLEFINANCE(""CURRENCY:""&amp;Q2447&amp;""""&amp;Dashboard!$L$1&amp;""""))/100),IF(Q2447=Dashboard!$L$1,K2447,K2447*GOOGLEFINANCE(""CURRENCY:""&amp;Q2447&amp;""""&amp;Dashboard!$"&amp;"L$1&amp;""""))),K2447))"),"")</f>
        <v/>
      </c>
      <c r="S2447" s="266" t="str">
        <f>IFERROR(__xludf.DUMMYFUNCTION("IF(ISBLANK(A2447),"""",IFERROR(IF(OR(Q2447=""GPB"",Q2447=""ZAR""),IF(Q2447=Dashboard!$L$1,M2447,(M2447*GOOGLEFINANCE(""CURRENCY:""&amp;Q2447&amp;""""&amp;Dashboard!$L$1&amp;""""))/100),IF(Q2447=Dashboard!$L$1,M2447,M2447*GOOGLEFINANCE(""CURRENCY:""&amp;Q2447&amp;""""&amp;Dashboard!$"&amp;"L$1&amp;""""))),M2447))"),"")</f>
        <v/>
      </c>
      <c r="T2447" s="264" t="str">
        <f t="shared" si="4"/>
        <v/>
      </c>
      <c r="U2447" s="264" t="str">
        <f t="shared" si="5"/>
        <v/>
      </c>
      <c r="V2447" s="264" t="str">
        <f t="shared" si="6"/>
        <v/>
      </c>
      <c r="W2447" s="267" t="str">
        <f t="shared" si="8"/>
        <v/>
      </c>
      <c r="X2447" s="264" t="str">
        <f t="shared" si="7"/>
        <v/>
      </c>
    </row>
    <row r="2448" ht="15.75" customHeight="1">
      <c r="A2448" s="258"/>
      <c r="B2448" s="258"/>
      <c r="C2448" s="269"/>
      <c r="D2448" s="258"/>
      <c r="E2448" s="258"/>
      <c r="F2448" s="258"/>
      <c r="G2448" s="258"/>
      <c r="H2448" s="271"/>
      <c r="I2448" s="258"/>
      <c r="J2448" s="272"/>
      <c r="K2448" s="260"/>
      <c r="L2448" s="261"/>
      <c r="M2448" s="262" t="str">
        <f t="shared" si="1"/>
        <v/>
      </c>
      <c r="N2448" s="263" t="str">
        <f t="shared" si="2"/>
        <v/>
      </c>
      <c r="O2448" s="264" t="str">
        <f t="shared" si="3"/>
        <v/>
      </c>
      <c r="P2448" s="265" t="str">
        <f>IFERROR(__xludf.DUMMYFUNCTION("IF(ISBLANK(A2448),"""",IFERROR(IF(H2448=""Sell"",VLOOKUP(9^99,FILTER({ROW(P$2:P2447),P$2:P2447},D$2:D2447=D2448),2),(VLOOKUP(9^99,FILTER({ROW(P$2:P2447),P$2:P2447},D$2:D2447=D2448),2)*VLOOKUP(9^99,FILTER({ROW(O$2:O2447),O$2:O2447},D$2:D2447=D2448),2)-N244"&amp;"8)/O2448),J2448))"),"")</f>
        <v/>
      </c>
      <c r="Q2448" s="264" t="str">
        <f>IFERROR(__xludf.DUMMYFUNCTION("IFERROR(IF(F2448=""Crypto"",B2448,(IF(ISBLANK(D2448),"""",IF(D2448=""Cash"",B2448,IF(GOOGLEFINANCE(D2448,""CURRENCY"")=""GBX"",""GBP"",GOOGLEFINANCE(D2448,""CURRENCY"")))))),B2448)"),"")</f>
        <v/>
      </c>
      <c r="R2448" s="263" t="str">
        <f>IFERROR(__xludf.DUMMYFUNCTION("IF(ISBLANK(A2448),"""",IFERROR(IF(OR(Q2448=""GPB"",Q2448=""ZAR""),IF(Q2448=Dashboard!$L$1,K2448,(K2448*GOOGLEFINANCE(""CURRENCY:""&amp;Q2448&amp;""""&amp;Dashboard!$L$1&amp;""""))/100),IF(Q2448=Dashboard!$L$1,K2448,K2448*GOOGLEFINANCE(""CURRENCY:""&amp;Q2448&amp;""""&amp;Dashboard!$"&amp;"L$1&amp;""""))),K2448))"),"")</f>
        <v/>
      </c>
      <c r="S2448" s="266" t="str">
        <f>IFERROR(__xludf.DUMMYFUNCTION("IF(ISBLANK(A2448),"""",IFERROR(IF(OR(Q2448=""GPB"",Q2448=""ZAR""),IF(Q2448=Dashboard!$L$1,M2448,(M2448*GOOGLEFINANCE(""CURRENCY:""&amp;Q2448&amp;""""&amp;Dashboard!$L$1&amp;""""))/100),IF(Q2448=Dashboard!$L$1,M2448,M2448*GOOGLEFINANCE(""CURRENCY:""&amp;Q2448&amp;""""&amp;Dashboard!$"&amp;"L$1&amp;""""))),M2448))"),"")</f>
        <v/>
      </c>
      <c r="T2448" s="264" t="str">
        <f t="shared" si="4"/>
        <v/>
      </c>
      <c r="U2448" s="264" t="str">
        <f t="shared" si="5"/>
        <v/>
      </c>
      <c r="V2448" s="264" t="str">
        <f t="shared" si="6"/>
        <v/>
      </c>
      <c r="W2448" s="267" t="str">
        <f t="shared" si="8"/>
        <v/>
      </c>
      <c r="X2448" s="264" t="str">
        <f t="shared" si="7"/>
        <v/>
      </c>
    </row>
    <row r="2449" ht="15.75" customHeight="1">
      <c r="A2449" s="258"/>
      <c r="B2449" s="258"/>
      <c r="C2449" s="269"/>
      <c r="D2449" s="258"/>
      <c r="E2449" s="258"/>
      <c r="F2449" s="258"/>
      <c r="G2449" s="258"/>
      <c r="H2449" s="271"/>
      <c r="I2449" s="258"/>
      <c r="J2449" s="272"/>
      <c r="K2449" s="260"/>
      <c r="L2449" s="261"/>
      <c r="M2449" s="262" t="str">
        <f t="shared" si="1"/>
        <v/>
      </c>
      <c r="N2449" s="263" t="str">
        <f t="shared" si="2"/>
        <v/>
      </c>
      <c r="O2449" s="264" t="str">
        <f t="shared" si="3"/>
        <v/>
      </c>
      <c r="P2449" s="265" t="str">
        <f>IFERROR(__xludf.DUMMYFUNCTION("IF(ISBLANK(A2449),"""",IFERROR(IF(H2449=""Sell"",VLOOKUP(9^99,FILTER({ROW(P$2:P2448),P$2:P2448},D$2:D2448=D2449),2),(VLOOKUP(9^99,FILTER({ROW(P$2:P2448),P$2:P2448},D$2:D2448=D2449),2)*VLOOKUP(9^99,FILTER({ROW(O$2:O2448),O$2:O2448},D$2:D2448=D2449),2)-N244"&amp;"9)/O2449),J2449))"),"")</f>
        <v/>
      </c>
      <c r="Q2449" s="264" t="str">
        <f>IFERROR(__xludf.DUMMYFUNCTION("IFERROR(IF(F2449=""Crypto"",B2449,(IF(ISBLANK(D2449),"""",IF(D2449=""Cash"",B2449,IF(GOOGLEFINANCE(D2449,""CURRENCY"")=""GBX"",""GBP"",GOOGLEFINANCE(D2449,""CURRENCY"")))))),B2449)"),"")</f>
        <v/>
      </c>
      <c r="R2449" s="263" t="str">
        <f>IFERROR(__xludf.DUMMYFUNCTION("IF(ISBLANK(A2449),"""",IFERROR(IF(OR(Q2449=""GPB"",Q2449=""ZAR""),IF(Q2449=Dashboard!$L$1,K2449,(K2449*GOOGLEFINANCE(""CURRENCY:""&amp;Q2449&amp;""""&amp;Dashboard!$L$1&amp;""""))/100),IF(Q2449=Dashboard!$L$1,K2449,K2449*GOOGLEFINANCE(""CURRENCY:""&amp;Q2449&amp;""""&amp;Dashboard!$"&amp;"L$1&amp;""""))),K2449))"),"")</f>
        <v/>
      </c>
      <c r="S2449" s="266" t="str">
        <f>IFERROR(__xludf.DUMMYFUNCTION("IF(ISBLANK(A2449),"""",IFERROR(IF(OR(Q2449=""GPB"",Q2449=""ZAR""),IF(Q2449=Dashboard!$L$1,M2449,(M2449*GOOGLEFINANCE(""CURRENCY:""&amp;Q2449&amp;""""&amp;Dashboard!$L$1&amp;""""))/100),IF(Q2449=Dashboard!$L$1,M2449,M2449*GOOGLEFINANCE(""CURRENCY:""&amp;Q2449&amp;""""&amp;Dashboard!$"&amp;"L$1&amp;""""))),M2449))"),"")</f>
        <v/>
      </c>
      <c r="T2449" s="264" t="str">
        <f t="shared" si="4"/>
        <v/>
      </c>
      <c r="U2449" s="264" t="str">
        <f t="shared" si="5"/>
        <v/>
      </c>
      <c r="V2449" s="264" t="str">
        <f t="shared" si="6"/>
        <v/>
      </c>
      <c r="W2449" s="267" t="str">
        <f t="shared" si="8"/>
        <v/>
      </c>
      <c r="X2449" s="264" t="str">
        <f t="shared" si="7"/>
        <v/>
      </c>
    </row>
    <row r="2450" ht="15.75" customHeight="1">
      <c r="A2450" s="258"/>
      <c r="B2450" s="258"/>
      <c r="C2450" s="269"/>
      <c r="D2450" s="258"/>
      <c r="E2450" s="258"/>
      <c r="F2450" s="258"/>
      <c r="G2450" s="258"/>
      <c r="H2450" s="271"/>
      <c r="I2450" s="258"/>
      <c r="J2450" s="272"/>
      <c r="K2450" s="260"/>
      <c r="L2450" s="261"/>
      <c r="M2450" s="262" t="str">
        <f t="shared" si="1"/>
        <v/>
      </c>
      <c r="N2450" s="263" t="str">
        <f t="shared" si="2"/>
        <v/>
      </c>
      <c r="O2450" s="264" t="str">
        <f t="shared" si="3"/>
        <v/>
      </c>
      <c r="P2450" s="265" t="str">
        <f>IFERROR(__xludf.DUMMYFUNCTION("IF(ISBLANK(A2450),"""",IFERROR(IF(H2450=""Sell"",VLOOKUP(9^99,FILTER({ROW(P$2:P2449),P$2:P2449},D$2:D2449=D2450),2),(VLOOKUP(9^99,FILTER({ROW(P$2:P2449),P$2:P2449},D$2:D2449=D2450),2)*VLOOKUP(9^99,FILTER({ROW(O$2:O2449),O$2:O2449},D$2:D2449=D2450),2)-N245"&amp;"0)/O2450),J2450))"),"")</f>
        <v/>
      </c>
      <c r="Q2450" s="264" t="str">
        <f>IFERROR(__xludf.DUMMYFUNCTION("IFERROR(IF(F2450=""Crypto"",B2450,(IF(ISBLANK(D2450),"""",IF(D2450=""Cash"",B2450,IF(GOOGLEFINANCE(D2450,""CURRENCY"")=""GBX"",""GBP"",GOOGLEFINANCE(D2450,""CURRENCY"")))))),B2450)"),"")</f>
        <v/>
      </c>
      <c r="R2450" s="263" t="str">
        <f>IFERROR(__xludf.DUMMYFUNCTION("IF(ISBLANK(A2450),"""",IFERROR(IF(OR(Q2450=""GPB"",Q2450=""ZAR""),IF(Q2450=Dashboard!$L$1,K2450,(K2450*GOOGLEFINANCE(""CURRENCY:""&amp;Q2450&amp;""""&amp;Dashboard!$L$1&amp;""""))/100),IF(Q2450=Dashboard!$L$1,K2450,K2450*GOOGLEFINANCE(""CURRENCY:""&amp;Q2450&amp;""""&amp;Dashboard!$"&amp;"L$1&amp;""""))),K2450))"),"")</f>
        <v/>
      </c>
      <c r="S2450" s="266" t="str">
        <f>IFERROR(__xludf.DUMMYFUNCTION("IF(ISBLANK(A2450),"""",IFERROR(IF(OR(Q2450=""GPB"",Q2450=""ZAR""),IF(Q2450=Dashboard!$L$1,M2450,(M2450*GOOGLEFINANCE(""CURRENCY:""&amp;Q2450&amp;""""&amp;Dashboard!$L$1&amp;""""))/100),IF(Q2450=Dashboard!$L$1,M2450,M2450*GOOGLEFINANCE(""CURRENCY:""&amp;Q2450&amp;""""&amp;Dashboard!$"&amp;"L$1&amp;""""))),M2450))"),"")</f>
        <v/>
      </c>
      <c r="T2450" s="264" t="str">
        <f t="shared" si="4"/>
        <v/>
      </c>
      <c r="U2450" s="264" t="str">
        <f t="shared" si="5"/>
        <v/>
      </c>
      <c r="V2450" s="264" t="str">
        <f t="shared" si="6"/>
        <v/>
      </c>
      <c r="W2450" s="267" t="str">
        <f t="shared" si="8"/>
        <v/>
      </c>
      <c r="X2450" s="264" t="str">
        <f t="shared" si="7"/>
        <v/>
      </c>
    </row>
    <row r="2451" ht="15.75" customHeight="1">
      <c r="A2451" s="258"/>
      <c r="B2451" s="258"/>
      <c r="C2451" s="269"/>
      <c r="D2451" s="258"/>
      <c r="E2451" s="258"/>
      <c r="F2451" s="258"/>
      <c r="G2451" s="258"/>
      <c r="H2451" s="271"/>
      <c r="I2451" s="258"/>
      <c r="J2451" s="272"/>
      <c r="K2451" s="260"/>
      <c r="L2451" s="261"/>
      <c r="M2451" s="262" t="str">
        <f t="shared" si="1"/>
        <v/>
      </c>
      <c r="N2451" s="263" t="str">
        <f t="shared" si="2"/>
        <v/>
      </c>
      <c r="O2451" s="264" t="str">
        <f t="shared" si="3"/>
        <v/>
      </c>
      <c r="P2451" s="265" t="str">
        <f>IFERROR(__xludf.DUMMYFUNCTION("IF(ISBLANK(A2451),"""",IFERROR(IF(H2451=""Sell"",VLOOKUP(9^99,FILTER({ROW(P$2:P2450),P$2:P2450},D$2:D2450=D2451),2),(VLOOKUP(9^99,FILTER({ROW(P$2:P2450),P$2:P2450},D$2:D2450=D2451),2)*VLOOKUP(9^99,FILTER({ROW(O$2:O2450),O$2:O2450},D$2:D2450=D2451),2)-N245"&amp;"1)/O2451),J2451))"),"")</f>
        <v/>
      </c>
      <c r="Q2451" s="264" t="str">
        <f>IFERROR(__xludf.DUMMYFUNCTION("IFERROR(IF(F2451=""Crypto"",B2451,(IF(ISBLANK(D2451),"""",IF(D2451=""Cash"",B2451,IF(GOOGLEFINANCE(D2451,""CURRENCY"")=""GBX"",""GBP"",GOOGLEFINANCE(D2451,""CURRENCY"")))))),B2451)"),"")</f>
        <v/>
      </c>
      <c r="R2451" s="263" t="str">
        <f>IFERROR(__xludf.DUMMYFUNCTION("IF(ISBLANK(A2451),"""",IFERROR(IF(OR(Q2451=""GPB"",Q2451=""ZAR""),IF(Q2451=Dashboard!$L$1,K2451,(K2451*GOOGLEFINANCE(""CURRENCY:""&amp;Q2451&amp;""""&amp;Dashboard!$L$1&amp;""""))/100),IF(Q2451=Dashboard!$L$1,K2451,K2451*GOOGLEFINANCE(""CURRENCY:""&amp;Q2451&amp;""""&amp;Dashboard!$"&amp;"L$1&amp;""""))),K2451))"),"")</f>
        <v/>
      </c>
      <c r="S2451" s="266" t="str">
        <f>IFERROR(__xludf.DUMMYFUNCTION("IF(ISBLANK(A2451),"""",IFERROR(IF(OR(Q2451=""GPB"",Q2451=""ZAR""),IF(Q2451=Dashboard!$L$1,M2451,(M2451*GOOGLEFINANCE(""CURRENCY:""&amp;Q2451&amp;""""&amp;Dashboard!$L$1&amp;""""))/100),IF(Q2451=Dashboard!$L$1,M2451,M2451*GOOGLEFINANCE(""CURRENCY:""&amp;Q2451&amp;""""&amp;Dashboard!$"&amp;"L$1&amp;""""))),M2451))"),"")</f>
        <v/>
      </c>
      <c r="T2451" s="264" t="str">
        <f t="shared" si="4"/>
        <v/>
      </c>
      <c r="U2451" s="264" t="str">
        <f t="shared" si="5"/>
        <v/>
      </c>
      <c r="V2451" s="264" t="str">
        <f t="shared" si="6"/>
        <v/>
      </c>
      <c r="W2451" s="267" t="str">
        <f t="shared" si="8"/>
        <v/>
      </c>
      <c r="X2451" s="264" t="str">
        <f t="shared" si="7"/>
        <v/>
      </c>
    </row>
    <row r="2452" ht="15.75" customHeight="1">
      <c r="A2452" s="258"/>
      <c r="B2452" s="258"/>
      <c r="C2452" s="269"/>
      <c r="D2452" s="258"/>
      <c r="E2452" s="258"/>
      <c r="F2452" s="258"/>
      <c r="G2452" s="258"/>
      <c r="H2452" s="271"/>
      <c r="I2452" s="258"/>
      <c r="J2452" s="272"/>
      <c r="K2452" s="260"/>
      <c r="L2452" s="261"/>
      <c r="M2452" s="262" t="str">
        <f t="shared" si="1"/>
        <v/>
      </c>
      <c r="N2452" s="263" t="str">
        <f t="shared" si="2"/>
        <v/>
      </c>
      <c r="O2452" s="264" t="str">
        <f t="shared" si="3"/>
        <v/>
      </c>
      <c r="P2452" s="265" t="str">
        <f>IFERROR(__xludf.DUMMYFUNCTION("IF(ISBLANK(A2452),"""",IFERROR(IF(H2452=""Sell"",VLOOKUP(9^99,FILTER({ROW(P$2:P2451),P$2:P2451},D$2:D2451=D2452),2),(VLOOKUP(9^99,FILTER({ROW(P$2:P2451),P$2:P2451},D$2:D2451=D2452),2)*VLOOKUP(9^99,FILTER({ROW(O$2:O2451),O$2:O2451},D$2:D2451=D2452),2)-N245"&amp;"2)/O2452),J2452))"),"")</f>
        <v/>
      </c>
      <c r="Q2452" s="264" t="str">
        <f>IFERROR(__xludf.DUMMYFUNCTION("IFERROR(IF(F2452=""Crypto"",B2452,(IF(ISBLANK(D2452),"""",IF(D2452=""Cash"",B2452,IF(GOOGLEFINANCE(D2452,""CURRENCY"")=""GBX"",""GBP"",GOOGLEFINANCE(D2452,""CURRENCY"")))))),B2452)"),"")</f>
        <v/>
      </c>
      <c r="R2452" s="263" t="str">
        <f>IFERROR(__xludf.DUMMYFUNCTION("IF(ISBLANK(A2452),"""",IFERROR(IF(OR(Q2452=""GPB"",Q2452=""ZAR""),IF(Q2452=Dashboard!$L$1,K2452,(K2452*GOOGLEFINANCE(""CURRENCY:""&amp;Q2452&amp;""""&amp;Dashboard!$L$1&amp;""""))/100),IF(Q2452=Dashboard!$L$1,K2452,K2452*GOOGLEFINANCE(""CURRENCY:""&amp;Q2452&amp;""""&amp;Dashboard!$"&amp;"L$1&amp;""""))),K2452))"),"")</f>
        <v/>
      </c>
      <c r="S2452" s="266" t="str">
        <f>IFERROR(__xludf.DUMMYFUNCTION("IF(ISBLANK(A2452),"""",IFERROR(IF(OR(Q2452=""GPB"",Q2452=""ZAR""),IF(Q2452=Dashboard!$L$1,M2452,(M2452*GOOGLEFINANCE(""CURRENCY:""&amp;Q2452&amp;""""&amp;Dashboard!$L$1&amp;""""))/100),IF(Q2452=Dashboard!$L$1,M2452,M2452*GOOGLEFINANCE(""CURRENCY:""&amp;Q2452&amp;""""&amp;Dashboard!$"&amp;"L$1&amp;""""))),M2452))"),"")</f>
        <v/>
      </c>
      <c r="T2452" s="264" t="str">
        <f t="shared" si="4"/>
        <v/>
      </c>
      <c r="U2452" s="264" t="str">
        <f t="shared" si="5"/>
        <v/>
      </c>
      <c r="V2452" s="264" t="str">
        <f t="shared" si="6"/>
        <v/>
      </c>
      <c r="W2452" s="267" t="str">
        <f t="shared" si="8"/>
        <v/>
      </c>
      <c r="X2452" s="264" t="str">
        <f t="shared" si="7"/>
        <v/>
      </c>
    </row>
    <row r="2453" ht="15.75" customHeight="1">
      <c r="A2453" s="258"/>
      <c r="B2453" s="258"/>
      <c r="C2453" s="269"/>
      <c r="D2453" s="258"/>
      <c r="E2453" s="258"/>
      <c r="F2453" s="258"/>
      <c r="G2453" s="258"/>
      <c r="H2453" s="271"/>
      <c r="I2453" s="258"/>
      <c r="J2453" s="272"/>
      <c r="K2453" s="260"/>
      <c r="L2453" s="261"/>
      <c r="M2453" s="262" t="str">
        <f t="shared" si="1"/>
        <v/>
      </c>
      <c r="N2453" s="263" t="str">
        <f t="shared" si="2"/>
        <v/>
      </c>
      <c r="O2453" s="264" t="str">
        <f t="shared" si="3"/>
        <v/>
      </c>
      <c r="P2453" s="265" t="str">
        <f>IFERROR(__xludf.DUMMYFUNCTION("IF(ISBLANK(A2453),"""",IFERROR(IF(H2453=""Sell"",VLOOKUP(9^99,FILTER({ROW(P$2:P2452),P$2:P2452},D$2:D2452=D2453),2),(VLOOKUP(9^99,FILTER({ROW(P$2:P2452),P$2:P2452},D$2:D2452=D2453),2)*VLOOKUP(9^99,FILTER({ROW(O$2:O2452),O$2:O2452},D$2:D2452=D2453),2)-N245"&amp;"3)/O2453),J2453))"),"")</f>
        <v/>
      </c>
      <c r="Q2453" s="264" t="str">
        <f>IFERROR(__xludf.DUMMYFUNCTION("IFERROR(IF(F2453=""Crypto"",B2453,(IF(ISBLANK(D2453),"""",IF(D2453=""Cash"",B2453,IF(GOOGLEFINANCE(D2453,""CURRENCY"")=""GBX"",""GBP"",GOOGLEFINANCE(D2453,""CURRENCY"")))))),B2453)"),"")</f>
        <v/>
      </c>
      <c r="R2453" s="263" t="str">
        <f>IFERROR(__xludf.DUMMYFUNCTION("IF(ISBLANK(A2453),"""",IFERROR(IF(OR(Q2453=""GPB"",Q2453=""ZAR""),IF(Q2453=Dashboard!$L$1,K2453,(K2453*GOOGLEFINANCE(""CURRENCY:""&amp;Q2453&amp;""""&amp;Dashboard!$L$1&amp;""""))/100),IF(Q2453=Dashboard!$L$1,K2453,K2453*GOOGLEFINANCE(""CURRENCY:""&amp;Q2453&amp;""""&amp;Dashboard!$"&amp;"L$1&amp;""""))),K2453))"),"")</f>
        <v/>
      </c>
      <c r="S2453" s="266" t="str">
        <f>IFERROR(__xludf.DUMMYFUNCTION("IF(ISBLANK(A2453),"""",IFERROR(IF(OR(Q2453=""GPB"",Q2453=""ZAR""),IF(Q2453=Dashboard!$L$1,M2453,(M2453*GOOGLEFINANCE(""CURRENCY:""&amp;Q2453&amp;""""&amp;Dashboard!$L$1&amp;""""))/100),IF(Q2453=Dashboard!$L$1,M2453,M2453*GOOGLEFINANCE(""CURRENCY:""&amp;Q2453&amp;""""&amp;Dashboard!$"&amp;"L$1&amp;""""))),M2453))"),"")</f>
        <v/>
      </c>
      <c r="T2453" s="264" t="str">
        <f t="shared" si="4"/>
        <v/>
      </c>
      <c r="U2453" s="264" t="str">
        <f t="shared" si="5"/>
        <v/>
      </c>
      <c r="V2453" s="264" t="str">
        <f t="shared" si="6"/>
        <v/>
      </c>
      <c r="W2453" s="267" t="str">
        <f t="shared" si="8"/>
        <v/>
      </c>
      <c r="X2453" s="264" t="str">
        <f t="shared" si="7"/>
        <v/>
      </c>
    </row>
    <row r="2454" ht="15.75" customHeight="1">
      <c r="A2454" s="258"/>
      <c r="B2454" s="258"/>
      <c r="C2454" s="269"/>
      <c r="D2454" s="258"/>
      <c r="E2454" s="258"/>
      <c r="F2454" s="258"/>
      <c r="G2454" s="258"/>
      <c r="H2454" s="271"/>
      <c r="I2454" s="258"/>
      <c r="J2454" s="272"/>
      <c r="K2454" s="260"/>
      <c r="L2454" s="261"/>
      <c r="M2454" s="262" t="str">
        <f t="shared" si="1"/>
        <v/>
      </c>
      <c r="N2454" s="263" t="str">
        <f t="shared" si="2"/>
        <v/>
      </c>
      <c r="O2454" s="264" t="str">
        <f t="shared" si="3"/>
        <v/>
      </c>
      <c r="P2454" s="265" t="str">
        <f>IFERROR(__xludf.DUMMYFUNCTION("IF(ISBLANK(A2454),"""",IFERROR(IF(H2454=""Sell"",VLOOKUP(9^99,FILTER({ROW(P$2:P2453),P$2:P2453},D$2:D2453=D2454),2),(VLOOKUP(9^99,FILTER({ROW(P$2:P2453),P$2:P2453},D$2:D2453=D2454),2)*VLOOKUP(9^99,FILTER({ROW(O$2:O2453),O$2:O2453},D$2:D2453=D2454),2)-N245"&amp;"4)/O2454),J2454))"),"")</f>
        <v/>
      </c>
      <c r="Q2454" s="264" t="str">
        <f>IFERROR(__xludf.DUMMYFUNCTION("IFERROR(IF(F2454=""Crypto"",B2454,(IF(ISBLANK(D2454),"""",IF(D2454=""Cash"",B2454,IF(GOOGLEFINANCE(D2454,""CURRENCY"")=""GBX"",""GBP"",GOOGLEFINANCE(D2454,""CURRENCY"")))))),B2454)"),"")</f>
        <v/>
      </c>
      <c r="R2454" s="263" t="str">
        <f>IFERROR(__xludf.DUMMYFUNCTION("IF(ISBLANK(A2454),"""",IFERROR(IF(OR(Q2454=""GPB"",Q2454=""ZAR""),IF(Q2454=Dashboard!$L$1,K2454,(K2454*GOOGLEFINANCE(""CURRENCY:""&amp;Q2454&amp;""""&amp;Dashboard!$L$1&amp;""""))/100),IF(Q2454=Dashboard!$L$1,K2454,K2454*GOOGLEFINANCE(""CURRENCY:""&amp;Q2454&amp;""""&amp;Dashboard!$"&amp;"L$1&amp;""""))),K2454))"),"")</f>
        <v/>
      </c>
      <c r="S2454" s="266" t="str">
        <f>IFERROR(__xludf.DUMMYFUNCTION("IF(ISBLANK(A2454),"""",IFERROR(IF(OR(Q2454=""GPB"",Q2454=""ZAR""),IF(Q2454=Dashboard!$L$1,M2454,(M2454*GOOGLEFINANCE(""CURRENCY:""&amp;Q2454&amp;""""&amp;Dashboard!$L$1&amp;""""))/100),IF(Q2454=Dashboard!$L$1,M2454,M2454*GOOGLEFINANCE(""CURRENCY:""&amp;Q2454&amp;""""&amp;Dashboard!$"&amp;"L$1&amp;""""))),M2454))"),"")</f>
        <v/>
      </c>
      <c r="T2454" s="264" t="str">
        <f t="shared" si="4"/>
        <v/>
      </c>
      <c r="U2454" s="264" t="str">
        <f t="shared" si="5"/>
        <v/>
      </c>
      <c r="V2454" s="264" t="str">
        <f t="shared" si="6"/>
        <v/>
      </c>
      <c r="W2454" s="267" t="str">
        <f t="shared" si="8"/>
        <v/>
      </c>
      <c r="X2454" s="264" t="str">
        <f t="shared" si="7"/>
        <v/>
      </c>
    </row>
    <row r="2455" ht="15.75" customHeight="1">
      <c r="A2455" s="258"/>
      <c r="B2455" s="258"/>
      <c r="C2455" s="269"/>
      <c r="D2455" s="258"/>
      <c r="E2455" s="258"/>
      <c r="F2455" s="258"/>
      <c r="G2455" s="258"/>
      <c r="H2455" s="271"/>
      <c r="I2455" s="258"/>
      <c r="J2455" s="272"/>
      <c r="K2455" s="260"/>
      <c r="L2455" s="261"/>
      <c r="M2455" s="262" t="str">
        <f t="shared" si="1"/>
        <v/>
      </c>
      <c r="N2455" s="263" t="str">
        <f t="shared" si="2"/>
        <v/>
      </c>
      <c r="O2455" s="264" t="str">
        <f t="shared" si="3"/>
        <v/>
      </c>
      <c r="P2455" s="265" t="str">
        <f>IFERROR(__xludf.DUMMYFUNCTION("IF(ISBLANK(A2455),"""",IFERROR(IF(H2455=""Sell"",VLOOKUP(9^99,FILTER({ROW(P$2:P2454),P$2:P2454},D$2:D2454=D2455),2),(VLOOKUP(9^99,FILTER({ROW(P$2:P2454),P$2:P2454},D$2:D2454=D2455),2)*VLOOKUP(9^99,FILTER({ROW(O$2:O2454),O$2:O2454},D$2:D2454=D2455),2)-N245"&amp;"5)/O2455),J2455))"),"")</f>
        <v/>
      </c>
      <c r="Q2455" s="264" t="str">
        <f>IFERROR(__xludf.DUMMYFUNCTION("IFERROR(IF(F2455=""Crypto"",B2455,(IF(ISBLANK(D2455),"""",IF(D2455=""Cash"",B2455,IF(GOOGLEFINANCE(D2455,""CURRENCY"")=""GBX"",""GBP"",GOOGLEFINANCE(D2455,""CURRENCY"")))))),B2455)"),"")</f>
        <v/>
      </c>
      <c r="R2455" s="263" t="str">
        <f>IFERROR(__xludf.DUMMYFUNCTION("IF(ISBLANK(A2455),"""",IFERROR(IF(OR(Q2455=""GPB"",Q2455=""ZAR""),IF(Q2455=Dashboard!$L$1,K2455,(K2455*GOOGLEFINANCE(""CURRENCY:""&amp;Q2455&amp;""""&amp;Dashboard!$L$1&amp;""""))/100),IF(Q2455=Dashboard!$L$1,K2455,K2455*GOOGLEFINANCE(""CURRENCY:""&amp;Q2455&amp;""""&amp;Dashboard!$"&amp;"L$1&amp;""""))),K2455))"),"")</f>
        <v/>
      </c>
      <c r="S2455" s="266" t="str">
        <f>IFERROR(__xludf.DUMMYFUNCTION("IF(ISBLANK(A2455),"""",IFERROR(IF(OR(Q2455=""GPB"",Q2455=""ZAR""),IF(Q2455=Dashboard!$L$1,M2455,(M2455*GOOGLEFINANCE(""CURRENCY:""&amp;Q2455&amp;""""&amp;Dashboard!$L$1&amp;""""))/100),IF(Q2455=Dashboard!$L$1,M2455,M2455*GOOGLEFINANCE(""CURRENCY:""&amp;Q2455&amp;""""&amp;Dashboard!$"&amp;"L$1&amp;""""))),M2455))"),"")</f>
        <v/>
      </c>
      <c r="T2455" s="264" t="str">
        <f t="shared" si="4"/>
        <v/>
      </c>
      <c r="U2455" s="264" t="str">
        <f t="shared" si="5"/>
        <v/>
      </c>
      <c r="V2455" s="264" t="str">
        <f t="shared" si="6"/>
        <v/>
      </c>
      <c r="W2455" s="267" t="str">
        <f t="shared" si="8"/>
        <v/>
      </c>
      <c r="X2455" s="264" t="str">
        <f t="shared" si="7"/>
        <v/>
      </c>
    </row>
    <row r="2456" ht="15.75" customHeight="1">
      <c r="A2456" s="258"/>
      <c r="B2456" s="258"/>
      <c r="C2456" s="269"/>
      <c r="D2456" s="258"/>
      <c r="E2456" s="258"/>
      <c r="F2456" s="258"/>
      <c r="G2456" s="258"/>
      <c r="H2456" s="271"/>
      <c r="I2456" s="258"/>
      <c r="J2456" s="272"/>
      <c r="K2456" s="260"/>
      <c r="L2456" s="261"/>
      <c r="M2456" s="262" t="str">
        <f t="shared" si="1"/>
        <v/>
      </c>
      <c r="N2456" s="263" t="str">
        <f t="shared" si="2"/>
        <v/>
      </c>
      <c r="O2456" s="264" t="str">
        <f t="shared" si="3"/>
        <v/>
      </c>
      <c r="P2456" s="265" t="str">
        <f>IFERROR(__xludf.DUMMYFUNCTION("IF(ISBLANK(A2456),"""",IFERROR(IF(H2456=""Sell"",VLOOKUP(9^99,FILTER({ROW(P$2:P2455),P$2:P2455},D$2:D2455=D2456),2),(VLOOKUP(9^99,FILTER({ROW(P$2:P2455),P$2:P2455},D$2:D2455=D2456),2)*VLOOKUP(9^99,FILTER({ROW(O$2:O2455),O$2:O2455},D$2:D2455=D2456),2)-N245"&amp;"6)/O2456),J2456))"),"")</f>
        <v/>
      </c>
      <c r="Q2456" s="264" t="str">
        <f>IFERROR(__xludf.DUMMYFUNCTION("IFERROR(IF(F2456=""Crypto"",B2456,(IF(ISBLANK(D2456),"""",IF(D2456=""Cash"",B2456,IF(GOOGLEFINANCE(D2456,""CURRENCY"")=""GBX"",""GBP"",GOOGLEFINANCE(D2456,""CURRENCY"")))))),B2456)"),"")</f>
        <v/>
      </c>
      <c r="R2456" s="263" t="str">
        <f>IFERROR(__xludf.DUMMYFUNCTION("IF(ISBLANK(A2456),"""",IFERROR(IF(OR(Q2456=""GPB"",Q2456=""ZAR""),IF(Q2456=Dashboard!$L$1,K2456,(K2456*GOOGLEFINANCE(""CURRENCY:""&amp;Q2456&amp;""""&amp;Dashboard!$L$1&amp;""""))/100),IF(Q2456=Dashboard!$L$1,K2456,K2456*GOOGLEFINANCE(""CURRENCY:""&amp;Q2456&amp;""""&amp;Dashboard!$"&amp;"L$1&amp;""""))),K2456))"),"")</f>
        <v/>
      </c>
      <c r="S2456" s="266" t="str">
        <f>IFERROR(__xludf.DUMMYFUNCTION("IF(ISBLANK(A2456),"""",IFERROR(IF(OR(Q2456=""GPB"",Q2456=""ZAR""),IF(Q2456=Dashboard!$L$1,M2456,(M2456*GOOGLEFINANCE(""CURRENCY:""&amp;Q2456&amp;""""&amp;Dashboard!$L$1&amp;""""))/100),IF(Q2456=Dashboard!$L$1,M2456,M2456*GOOGLEFINANCE(""CURRENCY:""&amp;Q2456&amp;""""&amp;Dashboard!$"&amp;"L$1&amp;""""))),M2456))"),"")</f>
        <v/>
      </c>
      <c r="T2456" s="264" t="str">
        <f t="shared" si="4"/>
        <v/>
      </c>
      <c r="U2456" s="264" t="str">
        <f t="shared" si="5"/>
        <v/>
      </c>
      <c r="V2456" s="264" t="str">
        <f t="shared" si="6"/>
        <v/>
      </c>
      <c r="W2456" s="267" t="str">
        <f t="shared" si="8"/>
        <v/>
      </c>
      <c r="X2456" s="264" t="str">
        <f t="shared" si="7"/>
        <v/>
      </c>
    </row>
    <row r="2457" ht="15.75" customHeight="1">
      <c r="A2457" s="258"/>
      <c r="B2457" s="258"/>
      <c r="C2457" s="269"/>
      <c r="D2457" s="258"/>
      <c r="E2457" s="258"/>
      <c r="F2457" s="258"/>
      <c r="G2457" s="258"/>
      <c r="H2457" s="271"/>
      <c r="I2457" s="258"/>
      <c r="J2457" s="272"/>
      <c r="K2457" s="260"/>
      <c r="L2457" s="261"/>
      <c r="M2457" s="262" t="str">
        <f t="shared" si="1"/>
        <v/>
      </c>
      <c r="N2457" s="263" t="str">
        <f t="shared" si="2"/>
        <v/>
      </c>
      <c r="O2457" s="264" t="str">
        <f t="shared" si="3"/>
        <v/>
      </c>
      <c r="P2457" s="265" t="str">
        <f>IFERROR(__xludf.DUMMYFUNCTION("IF(ISBLANK(A2457),"""",IFERROR(IF(H2457=""Sell"",VLOOKUP(9^99,FILTER({ROW(P$2:P2456),P$2:P2456},D$2:D2456=D2457),2),(VLOOKUP(9^99,FILTER({ROW(P$2:P2456),P$2:P2456},D$2:D2456=D2457),2)*VLOOKUP(9^99,FILTER({ROW(O$2:O2456),O$2:O2456},D$2:D2456=D2457),2)-N245"&amp;"7)/O2457),J2457))"),"")</f>
        <v/>
      </c>
      <c r="Q2457" s="264" t="str">
        <f>IFERROR(__xludf.DUMMYFUNCTION("IFERROR(IF(F2457=""Crypto"",B2457,(IF(ISBLANK(D2457),"""",IF(D2457=""Cash"",B2457,IF(GOOGLEFINANCE(D2457,""CURRENCY"")=""GBX"",""GBP"",GOOGLEFINANCE(D2457,""CURRENCY"")))))),B2457)"),"")</f>
        <v/>
      </c>
      <c r="R2457" s="263" t="str">
        <f>IFERROR(__xludf.DUMMYFUNCTION("IF(ISBLANK(A2457),"""",IFERROR(IF(OR(Q2457=""GPB"",Q2457=""ZAR""),IF(Q2457=Dashboard!$L$1,K2457,(K2457*GOOGLEFINANCE(""CURRENCY:""&amp;Q2457&amp;""""&amp;Dashboard!$L$1&amp;""""))/100),IF(Q2457=Dashboard!$L$1,K2457,K2457*GOOGLEFINANCE(""CURRENCY:""&amp;Q2457&amp;""""&amp;Dashboard!$"&amp;"L$1&amp;""""))),K2457))"),"")</f>
        <v/>
      </c>
      <c r="S2457" s="266" t="str">
        <f>IFERROR(__xludf.DUMMYFUNCTION("IF(ISBLANK(A2457),"""",IFERROR(IF(OR(Q2457=""GPB"",Q2457=""ZAR""),IF(Q2457=Dashboard!$L$1,M2457,(M2457*GOOGLEFINANCE(""CURRENCY:""&amp;Q2457&amp;""""&amp;Dashboard!$L$1&amp;""""))/100),IF(Q2457=Dashboard!$L$1,M2457,M2457*GOOGLEFINANCE(""CURRENCY:""&amp;Q2457&amp;""""&amp;Dashboard!$"&amp;"L$1&amp;""""))),M2457))"),"")</f>
        <v/>
      </c>
      <c r="T2457" s="264" t="str">
        <f t="shared" si="4"/>
        <v/>
      </c>
      <c r="U2457" s="264" t="str">
        <f t="shared" si="5"/>
        <v/>
      </c>
      <c r="V2457" s="264" t="str">
        <f t="shared" si="6"/>
        <v/>
      </c>
      <c r="W2457" s="267" t="str">
        <f t="shared" si="8"/>
        <v/>
      </c>
      <c r="X2457" s="264" t="str">
        <f t="shared" si="7"/>
        <v/>
      </c>
    </row>
    <row r="2458" ht="15.75" customHeight="1">
      <c r="A2458" s="258"/>
      <c r="B2458" s="258"/>
      <c r="C2458" s="269"/>
      <c r="D2458" s="258"/>
      <c r="E2458" s="258"/>
      <c r="F2458" s="258"/>
      <c r="G2458" s="258"/>
      <c r="H2458" s="271"/>
      <c r="I2458" s="258"/>
      <c r="J2458" s="272"/>
      <c r="K2458" s="260"/>
      <c r="L2458" s="261"/>
      <c r="M2458" s="262" t="str">
        <f t="shared" si="1"/>
        <v/>
      </c>
      <c r="N2458" s="263" t="str">
        <f t="shared" si="2"/>
        <v/>
      </c>
      <c r="O2458" s="264" t="str">
        <f t="shared" si="3"/>
        <v/>
      </c>
      <c r="P2458" s="265" t="str">
        <f>IFERROR(__xludf.DUMMYFUNCTION("IF(ISBLANK(A2458),"""",IFERROR(IF(H2458=""Sell"",VLOOKUP(9^99,FILTER({ROW(P$2:P2457),P$2:P2457},D$2:D2457=D2458),2),(VLOOKUP(9^99,FILTER({ROW(P$2:P2457),P$2:P2457},D$2:D2457=D2458),2)*VLOOKUP(9^99,FILTER({ROW(O$2:O2457),O$2:O2457},D$2:D2457=D2458),2)-N245"&amp;"8)/O2458),J2458))"),"")</f>
        <v/>
      </c>
      <c r="Q2458" s="264" t="str">
        <f>IFERROR(__xludf.DUMMYFUNCTION("IFERROR(IF(F2458=""Crypto"",B2458,(IF(ISBLANK(D2458),"""",IF(D2458=""Cash"",B2458,IF(GOOGLEFINANCE(D2458,""CURRENCY"")=""GBX"",""GBP"",GOOGLEFINANCE(D2458,""CURRENCY"")))))),B2458)"),"")</f>
        <v/>
      </c>
      <c r="R2458" s="263" t="str">
        <f>IFERROR(__xludf.DUMMYFUNCTION("IF(ISBLANK(A2458),"""",IFERROR(IF(OR(Q2458=""GPB"",Q2458=""ZAR""),IF(Q2458=Dashboard!$L$1,K2458,(K2458*GOOGLEFINANCE(""CURRENCY:""&amp;Q2458&amp;""""&amp;Dashboard!$L$1&amp;""""))/100),IF(Q2458=Dashboard!$L$1,K2458,K2458*GOOGLEFINANCE(""CURRENCY:""&amp;Q2458&amp;""""&amp;Dashboard!$"&amp;"L$1&amp;""""))),K2458))"),"")</f>
        <v/>
      </c>
      <c r="S2458" s="266" t="str">
        <f>IFERROR(__xludf.DUMMYFUNCTION("IF(ISBLANK(A2458),"""",IFERROR(IF(OR(Q2458=""GPB"",Q2458=""ZAR""),IF(Q2458=Dashboard!$L$1,M2458,(M2458*GOOGLEFINANCE(""CURRENCY:""&amp;Q2458&amp;""""&amp;Dashboard!$L$1&amp;""""))/100),IF(Q2458=Dashboard!$L$1,M2458,M2458*GOOGLEFINANCE(""CURRENCY:""&amp;Q2458&amp;""""&amp;Dashboard!$"&amp;"L$1&amp;""""))),M2458))"),"")</f>
        <v/>
      </c>
      <c r="T2458" s="264" t="str">
        <f t="shared" si="4"/>
        <v/>
      </c>
      <c r="U2458" s="264" t="str">
        <f t="shared" si="5"/>
        <v/>
      </c>
      <c r="V2458" s="264" t="str">
        <f t="shared" si="6"/>
        <v/>
      </c>
      <c r="W2458" s="267" t="str">
        <f t="shared" si="8"/>
        <v/>
      </c>
      <c r="X2458" s="264" t="str">
        <f t="shared" si="7"/>
        <v/>
      </c>
    </row>
    <row r="2459" ht="15.75" customHeight="1">
      <c r="A2459" s="258"/>
      <c r="B2459" s="258"/>
      <c r="C2459" s="269"/>
      <c r="D2459" s="258"/>
      <c r="E2459" s="258"/>
      <c r="F2459" s="258"/>
      <c r="G2459" s="258"/>
      <c r="H2459" s="271"/>
      <c r="I2459" s="258"/>
      <c r="J2459" s="272"/>
      <c r="K2459" s="260"/>
      <c r="L2459" s="261"/>
      <c r="M2459" s="262" t="str">
        <f t="shared" si="1"/>
        <v/>
      </c>
      <c r="N2459" s="263" t="str">
        <f t="shared" si="2"/>
        <v/>
      </c>
      <c r="O2459" s="264" t="str">
        <f t="shared" si="3"/>
        <v/>
      </c>
      <c r="P2459" s="265" t="str">
        <f>IFERROR(__xludf.DUMMYFUNCTION("IF(ISBLANK(A2459),"""",IFERROR(IF(H2459=""Sell"",VLOOKUP(9^99,FILTER({ROW(P$2:P2458),P$2:P2458},D$2:D2458=D2459),2),(VLOOKUP(9^99,FILTER({ROW(P$2:P2458),P$2:P2458},D$2:D2458=D2459),2)*VLOOKUP(9^99,FILTER({ROW(O$2:O2458),O$2:O2458},D$2:D2458=D2459),2)-N245"&amp;"9)/O2459),J2459))"),"")</f>
        <v/>
      </c>
      <c r="Q2459" s="264" t="str">
        <f>IFERROR(__xludf.DUMMYFUNCTION("IFERROR(IF(F2459=""Crypto"",B2459,(IF(ISBLANK(D2459),"""",IF(D2459=""Cash"",B2459,IF(GOOGLEFINANCE(D2459,""CURRENCY"")=""GBX"",""GBP"",GOOGLEFINANCE(D2459,""CURRENCY"")))))),B2459)"),"")</f>
        <v/>
      </c>
      <c r="R2459" s="263" t="str">
        <f>IFERROR(__xludf.DUMMYFUNCTION("IF(ISBLANK(A2459),"""",IFERROR(IF(OR(Q2459=""GPB"",Q2459=""ZAR""),IF(Q2459=Dashboard!$L$1,K2459,(K2459*GOOGLEFINANCE(""CURRENCY:""&amp;Q2459&amp;""""&amp;Dashboard!$L$1&amp;""""))/100),IF(Q2459=Dashboard!$L$1,K2459,K2459*GOOGLEFINANCE(""CURRENCY:""&amp;Q2459&amp;""""&amp;Dashboard!$"&amp;"L$1&amp;""""))),K2459))"),"")</f>
        <v/>
      </c>
      <c r="S2459" s="266" t="str">
        <f>IFERROR(__xludf.DUMMYFUNCTION("IF(ISBLANK(A2459),"""",IFERROR(IF(OR(Q2459=""GPB"",Q2459=""ZAR""),IF(Q2459=Dashboard!$L$1,M2459,(M2459*GOOGLEFINANCE(""CURRENCY:""&amp;Q2459&amp;""""&amp;Dashboard!$L$1&amp;""""))/100),IF(Q2459=Dashboard!$L$1,M2459,M2459*GOOGLEFINANCE(""CURRENCY:""&amp;Q2459&amp;""""&amp;Dashboard!$"&amp;"L$1&amp;""""))),M2459))"),"")</f>
        <v/>
      </c>
      <c r="T2459" s="264" t="str">
        <f t="shared" si="4"/>
        <v/>
      </c>
      <c r="U2459" s="264" t="str">
        <f t="shared" si="5"/>
        <v/>
      </c>
      <c r="V2459" s="264" t="str">
        <f t="shared" si="6"/>
        <v/>
      </c>
      <c r="W2459" s="267" t="str">
        <f t="shared" si="8"/>
        <v/>
      </c>
      <c r="X2459" s="264" t="str">
        <f t="shared" si="7"/>
        <v/>
      </c>
    </row>
    <row r="2460" ht="15.75" customHeight="1">
      <c r="A2460" s="258"/>
      <c r="B2460" s="258"/>
      <c r="C2460" s="269"/>
      <c r="D2460" s="258"/>
      <c r="E2460" s="258"/>
      <c r="F2460" s="258"/>
      <c r="G2460" s="258"/>
      <c r="H2460" s="271"/>
      <c r="I2460" s="258"/>
      <c r="J2460" s="272"/>
      <c r="K2460" s="260"/>
      <c r="L2460" s="261"/>
      <c r="M2460" s="262" t="str">
        <f t="shared" si="1"/>
        <v/>
      </c>
      <c r="N2460" s="263" t="str">
        <f t="shared" si="2"/>
        <v/>
      </c>
      <c r="O2460" s="264" t="str">
        <f t="shared" si="3"/>
        <v/>
      </c>
      <c r="P2460" s="265" t="str">
        <f>IFERROR(__xludf.DUMMYFUNCTION("IF(ISBLANK(A2460),"""",IFERROR(IF(H2460=""Sell"",VLOOKUP(9^99,FILTER({ROW(P$2:P2459),P$2:P2459},D$2:D2459=D2460),2),(VLOOKUP(9^99,FILTER({ROW(P$2:P2459),P$2:P2459},D$2:D2459=D2460),2)*VLOOKUP(9^99,FILTER({ROW(O$2:O2459),O$2:O2459},D$2:D2459=D2460),2)-N246"&amp;"0)/O2460),J2460))"),"")</f>
        <v/>
      </c>
      <c r="Q2460" s="264" t="str">
        <f>IFERROR(__xludf.DUMMYFUNCTION("IFERROR(IF(F2460=""Crypto"",B2460,(IF(ISBLANK(D2460),"""",IF(D2460=""Cash"",B2460,IF(GOOGLEFINANCE(D2460,""CURRENCY"")=""GBX"",""GBP"",GOOGLEFINANCE(D2460,""CURRENCY"")))))),B2460)"),"")</f>
        <v/>
      </c>
      <c r="R2460" s="263" t="str">
        <f>IFERROR(__xludf.DUMMYFUNCTION("IF(ISBLANK(A2460),"""",IFERROR(IF(OR(Q2460=""GPB"",Q2460=""ZAR""),IF(Q2460=Dashboard!$L$1,K2460,(K2460*GOOGLEFINANCE(""CURRENCY:""&amp;Q2460&amp;""""&amp;Dashboard!$L$1&amp;""""))/100),IF(Q2460=Dashboard!$L$1,K2460,K2460*GOOGLEFINANCE(""CURRENCY:""&amp;Q2460&amp;""""&amp;Dashboard!$"&amp;"L$1&amp;""""))),K2460))"),"")</f>
        <v/>
      </c>
      <c r="S2460" s="266" t="str">
        <f>IFERROR(__xludf.DUMMYFUNCTION("IF(ISBLANK(A2460),"""",IFERROR(IF(OR(Q2460=""GPB"",Q2460=""ZAR""),IF(Q2460=Dashboard!$L$1,M2460,(M2460*GOOGLEFINANCE(""CURRENCY:""&amp;Q2460&amp;""""&amp;Dashboard!$L$1&amp;""""))/100),IF(Q2460=Dashboard!$L$1,M2460,M2460*GOOGLEFINANCE(""CURRENCY:""&amp;Q2460&amp;""""&amp;Dashboard!$"&amp;"L$1&amp;""""))),M2460))"),"")</f>
        <v/>
      </c>
      <c r="T2460" s="264" t="str">
        <f t="shared" si="4"/>
        <v/>
      </c>
      <c r="U2460" s="264" t="str">
        <f t="shared" si="5"/>
        <v/>
      </c>
      <c r="V2460" s="264" t="str">
        <f t="shared" si="6"/>
        <v/>
      </c>
      <c r="W2460" s="267" t="str">
        <f t="shared" si="8"/>
        <v/>
      </c>
      <c r="X2460" s="264" t="str">
        <f t="shared" si="7"/>
        <v/>
      </c>
    </row>
    <row r="2461" ht="15.75" customHeight="1">
      <c r="A2461" s="258"/>
      <c r="B2461" s="258"/>
      <c r="C2461" s="269"/>
      <c r="D2461" s="258"/>
      <c r="E2461" s="258"/>
      <c r="F2461" s="258"/>
      <c r="G2461" s="258"/>
      <c r="H2461" s="271"/>
      <c r="I2461" s="258"/>
      <c r="J2461" s="272"/>
      <c r="K2461" s="260"/>
      <c r="L2461" s="261"/>
      <c r="M2461" s="262" t="str">
        <f t="shared" si="1"/>
        <v/>
      </c>
      <c r="N2461" s="263" t="str">
        <f t="shared" si="2"/>
        <v/>
      </c>
      <c r="O2461" s="264" t="str">
        <f t="shared" si="3"/>
        <v/>
      </c>
      <c r="P2461" s="265" t="str">
        <f>IFERROR(__xludf.DUMMYFUNCTION("IF(ISBLANK(A2461),"""",IFERROR(IF(H2461=""Sell"",VLOOKUP(9^99,FILTER({ROW(P$2:P2460),P$2:P2460},D$2:D2460=D2461),2),(VLOOKUP(9^99,FILTER({ROW(P$2:P2460),P$2:P2460},D$2:D2460=D2461),2)*VLOOKUP(9^99,FILTER({ROW(O$2:O2460),O$2:O2460},D$2:D2460=D2461),2)-N246"&amp;"1)/O2461),J2461))"),"")</f>
        <v/>
      </c>
      <c r="Q2461" s="264" t="str">
        <f>IFERROR(__xludf.DUMMYFUNCTION("IFERROR(IF(F2461=""Crypto"",B2461,(IF(ISBLANK(D2461),"""",IF(D2461=""Cash"",B2461,IF(GOOGLEFINANCE(D2461,""CURRENCY"")=""GBX"",""GBP"",GOOGLEFINANCE(D2461,""CURRENCY"")))))),B2461)"),"")</f>
        <v/>
      </c>
      <c r="R2461" s="263" t="str">
        <f>IFERROR(__xludf.DUMMYFUNCTION("IF(ISBLANK(A2461),"""",IFERROR(IF(OR(Q2461=""GPB"",Q2461=""ZAR""),IF(Q2461=Dashboard!$L$1,K2461,(K2461*GOOGLEFINANCE(""CURRENCY:""&amp;Q2461&amp;""""&amp;Dashboard!$L$1&amp;""""))/100),IF(Q2461=Dashboard!$L$1,K2461,K2461*GOOGLEFINANCE(""CURRENCY:""&amp;Q2461&amp;""""&amp;Dashboard!$"&amp;"L$1&amp;""""))),K2461))"),"")</f>
        <v/>
      </c>
      <c r="S2461" s="266" t="str">
        <f>IFERROR(__xludf.DUMMYFUNCTION("IF(ISBLANK(A2461),"""",IFERROR(IF(OR(Q2461=""GPB"",Q2461=""ZAR""),IF(Q2461=Dashboard!$L$1,M2461,(M2461*GOOGLEFINANCE(""CURRENCY:""&amp;Q2461&amp;""""&amp;Dashboard!$L$1&amp;""""))/100),IF(Q2461=Dashboard!$L$1,M2461,M2461*GOOGLEFINANCE(""CURRENCY:""&amp;Q2461&amp;""""&amp;Dashboard!$"&amp;"L$1&amp;""""))),M2461))"),"")</f>
        <v/>
      </c>
      <c r="T2461" s="264" t="str">
        <f t="shared" si="4"/>
        <v/>
      </c>
      <c r="U2461" s="264" t="str">
        <f t="shared" si="5"/>
        <v/>
      </c>
      <c r="V2461" s="264" t="str">
        <f t="shared" si="6"/>
        <v/>
      </c>
      <c r="W2461" s="267" t="str">
        <f t="shared" si="8"/>
        <v/>
      </c>
      <c r="X2461" s="264" t="str">
        <f t="shared" si="7"/>
        <v/>
      </c>
    </row>
    <row r="2462" ht="15.75" customHeight="1">
      <c r="A2462" s="258"/>
      <c r="B2462" s="258"/>
      <c r="C2462" s="269"/>
      <c r="D2462" s="258"/>
      <c r="E2462" s="258"/>
      <c r="F2462" s="258"/>
      <c r="G2462" s="258"/>
      <c r="H2462" s="271"/>
      <c r="I2462" s="258"/>
      <c r="J2462" s="272"/>
      <c r="K2462" s="260"/>
      <c r="L2462" s="261"/>
      <c r="M2462" s="262" t="str">
        <f t="shared" si="1"/>
        <v/>
      </c>
      <c r="N2462" s="263" t="str">
        <f t="shared" si="2"/>
        <v/>
      </c>
      <c r="O2462" s="264" t="str">
        <f t="shared" si="3"/>
        <v/>
      </c>
      <c r="P2462" s="265" t="str">
        <f>IFERROR(__xludf.DUMMYFUNCTION("IF(ISBLANK(A2462),"""",IFERROR(IF(H2462=""Sell"",VLOOKUP(9^99,FILTER({ROW(P$2:P2461),P$2:P2461},D$2:D2461=D2462),2),(VLOOKUP(9^99,FILTER({ROW(P$2:P2461),P$2:P2461},D$2:D2461=D2462),2)*VLOOKUP(9^99,FILTER({ROW(O$2:O2461),O$2:O2461},D$2:D2461=D2462),2)-N246"&amp;"2)/O2462),J2462))"),"")</f>
        <v/>
      </c>
      <c r="Q2462" s="264" t="str">
        <f>IFERROR(__xludf.DUMMYFUNCTION("IFERROR(IF(F2462=""Crypto"",B2462,(IF(ISBLANK(D2462),"""",IF(D2462=""Cash"",B2462,IF(GOOGLEFINANCE(D2462,""CURRENCY"")=""GBX"",""GBP"",GOOGLEFINANCE(D2462,""CURRENCY"")))))),B2462)"),"")</f>
        <v/>
      </c>
      <c r="R2462" s="263" t="str">
        <f>IFERROR(__xludf.DUMMYFUNCTION("IF(ISBLANK(A2462),"""",IFERROR(IF(OR(Q2462=""GPB"",Q2462=""ZAR""),IF(Q2462=Dashboard!$L$1,K2462,(K2462*GOOGLEFINANCE(""CURRENCY:""&amp;Q2462&amp;""""&amp;Dashboard!$L$1&amp;""""))/100),IF(Q2462=Dashboard!$L$1,K2462,K2462*GOOGLEFINANCE(""CURRENCY:""&amp;Q2462&amp;""""&amp;Dashboard!$"&amp;"L$1&amp;""""))),K2462))"),"")</f>
        <v/>
      </c>
      <c r="S2462" s="266" t="str">
        <f>IFERROR(__xludf.DUMMYFUNCTION("IF(ISBLANK(A2462),"""",IFERROR(IF(OR(Q2462=""GPB"",Q2462=""ZAR""),IF(Q2462=Dashboard!$L$1,M2462,(M2462*GOOGLEFINANCE(""CURRENCY:""&amp;Q2462&amp;""""&amp;Dashboard!$L$1&amp;""""))/100),IF(Q2462=Dashboard!$L$1,M2462,M2462*GOOGLEFINANCE(""CURRENCY:""&amp;Q2462&amp;""""&amp;Dashboard!$"&amp;"L$1&amp;""""))),M2462))"),"")</f>
        <v/>
      </c>
      <c r="T2462" s="264" t="str">
        <f t="shared" si="4"/>
        <v/>
      </c>
      <c r="U2462" s="264" t="str">
        <f t="shared" si="5"/>
        <v/>
      </c>
      <c r="V2462" s="264" t="str">
        <f t="shared" si="6"/>
        <v/>
      </c>
      <c r="W2462" s="267" t="str">
        <f t="shared" si="8"/>
        <v/>
      </c>
      <c r="X2462" s="264" t="str">
        <f t="shared" si="7"/>
        <v/>
      </c>
    </row>
    <row r="2463" ht="15.75" customHeight="1">
      <c r="A2463" s="258"/>
      <c r="B2463" s="258"/>
      <c r="C2463" s="269"/>
      <c r="D2463" s="258"/>
      <c r="E2463" s="258"/>
      <c r="F2463" s="258"/>
      <c r="G2463" s="258"/>
      <c r="H2463" s="271"/>
      <c r="I2463" s="258"/>
      <c r="J2463" s="272"/>
      <c r="K2463" s="260"/>
      <c r="L2463" s="261"/>
      <c r="M2463" s="262" t="str">
        <f t="shared" si="1"/>
        <v/>
      </c>
      <c r="N2463" s="263" t="str">
        <f t="shared" si="2"/>
        <v/>
      </c>
      <c r="O2463" s="264" t="str">
        <f t="shared" si="3"/>
        <v/>
      </c>
      <c r="P2463" s="265" t="str">
        <f>IFERROR(__xludf.DUMMYFUNCTION("IF(ISBLANK(A2463),"""",IFERROR(IF(H2463=""Sell"",VLOOKUP(9^99,FILTER({ROW(P$2:P2462),P$2:P2462},D$2:D2462=D2463),2),(VLOOKUP(9^99,FILTER({ROW(P$2:P2462),P$2:P2462},D$2:D2462=D2463),2)*VLOOKUP(9^99,FILTER({ROW(O$2:O2462),O$2:O2462},D$2:D2462=D2463),2)-N246"&amp;"3)/O2463),J2463))"),"")</f>
        <v/>
      </c>
      <c r="Q2463" s="264" t="str">
        <f>IFERROR(__xludf.DUMMYFUNCTION("IFERROR(IF(F2463=""Crypto"",B2463,(IF(ISBLANK(D2463),"""",IF(D2463=""Cash"",B2463,IF(GOOGLEFINANCE(D2463,""CURRENCY"")=""GBX"",""GBP"",GOOGLEFINANCE(D2463,""CURRENCY"")))))),B2463)"),"")</f>
        <v/>
      </c>
      <c r="R2463" s="263" t="str">
        <f>IFERROR(__xludf.DUMMYFUNCTION("IF(ISBLANK(A2463),"""",IFERROR(IF(OR(Q2463=""GPB"",Q2463=""ZAR""),IF(Q2463=Dashboard!$L$1,K2463,(K2463*GOOGLEFINANCE(""CURRENCY:""&amp;Q2463&amp;""""&amp;Dashboard!$L$1&amp;""""))/100),IF(Q2463=Dashboard!$L$1,K2463,K2463*GOOGLEFINANCE(""CURRENCY:""&amp;Q2463&amp;""""&amp;Dashboard!$"&amp;"L$1&amp;""""))),K2463))"),"")</f>
        <v/>
      </c>
      <c r="S2463" s="266" t="str">
        <f>IFERROR(__xludf.DUMMYFUNCTION("IF(ISBLANK(A2463),"""",IFERROR(IF(OR(Q2463=""GPB"",Q2463=""ZAR""),IF(Q2463=Dashboard!$L$1,M2463,(M2463*GOOGLEFINANCE(""CURRENCY:""&amp;Q2463&amp;""""&amp;Dashboard!$L$1&amp;""""))/100),IF(Q2463=Dashboard!$L$1,M2463,M2463*GOOGLEFINANCE(""CURRENCY:""&amp;Q2463&amp;""""&amp;Dashboard!$"&amp;"L$1&amp;""""))),M2463))"),"")</f>
        <v/>
      </c>
      <c r="T2463" s="264" t="str">
        <f t="shared" si="4"/>
        <v/>
      </c>
      <c r="U2463" s="264" t="str">
        <f t="shared" si="5"/>
        <v/>
      </c>
      <c r="V2463" s="264" t="str">
        <f t="shared" si="6"/>
        <v/>
      </c>
      <c r="W2463" s="267" t="str">
        <f t="shared" si="8"/>
        <v/>
      </c>
      <c r="X2463" s="264" t="str">
        <f t="shared" si="7"/>
        <v/>
      </c>
    </row>
    <row r="2464" ht="15.75" customHeight="1">
      <c r="A2464" s="258"/>
      <c r="B2464" s="258"/>
      <c r="C2464" s="269"/>
      <c r="D2464" s="258"/>
      <c r="E2464" s="258"/>
      <c r="F2464" s="258"/>
      <c r="G2464" s="258"/>
      <c r="H2464" s="271"/>
      <c r="I2464" s="258"/>
      <c r="J2464" s="272"/>
      <c r="K2464" s="260"/>
      <c r="L2464" s="261"/>
      <c r="M2464" s="262" t="str">
        <f t="shared" si="1"/>
        <v/>
      </c>
      <c r="N2464" s="263" t="str">
        <f t="shared" si="2"/>
        <v/>
      </c>
      <c r="O2464" s="264" t="str">
        <f t="shared" si="3"/>
        <v/>
      </c>
      <c r="P2464" s="265" t="str">
        <f>IFERROR(__xludf.DUMMYFUNCTION("IF(ISBLANK(A2464),"""",IFERROR(IF(H2464=""Sell"",VLOOKUP(9^99,FILTER({ROW(P$2:P2463),P$2:P2463},D$2:D2463=D2464),2),(VLOOKUP(9^99,FILTER({ROW(P$2:P2463),P$2:P2463},D$2:D2463=D2464),2)*VLOOKUP(9^99,FILTER({ROW(O$2:O2463),O$2:O2463},D$2:D2463=D2464),2)-N246"&amp;"4)/O2464),J2464))"),"")</f>
        <v/>
      </c>
      <c r="Q2464" s="264" t="str">
        <f>IFERROR(__xludf.DUMMYFUNCTION("IFERROR(IF(F2464=""Crypto"",B2464,(IF(ISBLANK(D2464),"""",IF(D2464=""Cash"",B2464,IF(GOOGLEFINANCE(D2464,""CURRENCY"")=""GBX"",""GBP"",GOOGLEFINANCE(D2464,""CURRENCY"")))))),B2464)"),"")</f>
        <v/>
      </c>
      <c r="R2464" s="263" t="str">
        <f>IFERROR(__xludf.DUMMYFUNCTION("IF(ISBLANK(A2464),"""",IFERROR(IF(OR(Q2464=""GPB"",Q2464=""ZAR""),IF(Q2464=Dashboard!$L$1,K2464,(K2464*GOOGLEFINANCE(""CURRENCY:""&amp;Q2464&amp;""""&amp;Dashboard!$L$1&amp;""""))/100),IF(Q2464=Dashboard!$L$1,K2464,K2464*GOOGLEFINANCE(""CURRENCY:""&amp;Q2464&amp;""""&amp;Dashboard!$"&amp;"L$1&amp;""""))),K2464))"),"")</f>
        <v/>
      </c>
      <c r="S2464" s="266" t="str">
        <f>IFERROR(__xludf.DUMMYFUNCTION("IF(ISBLANK(A2464),"""",IFERROR(IF(OR(Q2464=""GPB"",Q2464=""ZAR""),IF(Q2464=Dashboard!$L$1,M2464,(M2464*GOOGLEFINANCE(""CURRENCY:""&amp;Q2464&amp;""""&amp;Dashboard!$L$1&amp;""""))/100),IF(Q2464=Dashboard!$L$1,M2464,M2464*GOOGLEFINANCE(""CURRENCY:""&amp;Q2464&amp;""""&amp;Dashboard!$"&amp;"L$1&amp;""""))),M2464))"),"")</f>
        <v/>
      </c>
      <c r="T2464" s="264" t="str">
        <f t="shared" si="4"/>
        <v/>
      </c>
      <c r="U2464" s="264" t="str">
        <f t="shared" si="5"/>
        <v/>
      </c>
      <c r="V2464" s="264" t="str">
        <f t="shared" si="6"/>
        <v/>
      </c>
      <c r="W2464" s="267" t="str">
        <f t="shared" si="8"/>
        <v/>
      </c>
      <c r="X2464" s="264" t="str">
        <f t="shared" si="7"/>
        <v/>
      </c>
    </row>
    <row r="2465" ht="15.75" customHeight="1">
      <c r="A2465" s="258"/>
      <c r="B2465" s="258"/>
      <c r="C2465" s="269"/>
      <c r="D2465" s="258"/>
      <c r="E2465" s="258"/>
      <c r="F2465" s="258"/>
      <c r="G2465" s="258"/>
      <c r="H2465" s="271"/>
      <c r="I2465" s="258"/>
      <c r="J2465" s="272"/>
      <c r="K2465" s="260"/>
      <c r="L2465" s="261"/>
      <c r="M2465" s="262" t="str">
        <f t="shared" si="1"/>
        <v/>
      </c>
      <c r="N2465" s="263" t="str">
        <f t="shared" si="2"/>
        <v/>
      </c>
      <c r="O2465" s="264" t="str">
        <f t="shared" si="3"/>
        <v/>
      </c>
      <c r="P2465" s="265" t="str">
        <f>IFERROR(__xludf.DUMMYFUNCTION("IF(ISBLANK(A2465),"""",IFERROR(IF(H2465=""Sell"",VLOOKUP(9^99,FILTER({ROW(P$2:P2464),P$2:P2464},D$2:D2464=D2465),2),(VLOOKUP(9^99,FILTER({ROW(P$2:P2464),P$2:P2464},D$2:D2464=D2465),2)*VLOOKUP(9^99,FILTER({ROW(O$2:O2464),O$2:O2464},D$2:D2464=D2465),2)-N246"&amp;"5)/O2465),J2465))"),"")</f>
        <v/>
      </c>
      <c r="Q2465" s="264" t="str">
        <f>IFERROR(__xludf.DUMMYFUNCTION("IFERROR(IF(F2465=""Crypto"",B2465,(IF(ISBLANK(D2465),"""",IF(D2465=""Cash"",B2465,IF(GOOGLEFINANCE(D2465,""CURRENCY"")=""GBX"",""GBP"",GOOGLEFINANCE(D2465,""CURRENCY"")))))),B2465)"),"")</f>
        <v/>
      </c>
      <c r="R2465" s="263" t="str">
        <f>IFERROR(__xludf.DUMMYFUNCTION("IF(ISBLANK(A2465),"""",IFERROR(IF(OR(Q2465=""GPB"",Q2465=""ZAR""),IF(Q2465=Dashboard!$L$1,K2465,(K2465*GOOGLEFINANCE(""CURRENCY:""&amp;Q2465&amp;""""&amp;Dashboard!$L$1&amp;""""))/100),IF(Q2465=Dashboard!$L$1,K2465,K2465*GOOGLEFINANCE(""CURRENCY:""&amp;Q2465&amp;""""&amp;Dashboard!$"&amp;"L$1&amp;""""))),K2465))"),"")</f>
        <v/>
      </c>
      <c r="S2465" s="266" t="str">
        <f>IFERROR(__xludf.DUMMYFUNCTION("IF(ISBLANK(A2465),"""",IFERROR(IF(OR(Q2465=""GPB"",Q2465=""ZAR""),IF(Q2465=Dashboard!$L$1,M2465,(M2465*GOOGLEFINANCE(""CURRENCY:""&amp;Q2465&amp;""""&amp;Dashboard!$L$1&amp;""""))/100),IF(Q2465=Dashboard!$L$1,M2465,M2465*GOOGLEFINANCE(""CURRENCY:""&amp;Q2465&amp;""""&amp;Dashboard!$"&amp;"L$1&amp;""""))),M2465))"),"")</f>
        <v/>
      </c>
      <c r="T2465" s="264" t="str">
        <f t="shared" si="4"/>
        <v/>
      </c>
      <c r="U2465" s="264" t="str">
        <f t="shared" si="5"/>
        <v/>
      </c>
      <c r="V2465" s="264" t="str">
        <f t="shared" si="6"/>
        <v/>
      </c>
      <c r="W2465" s="267" t="str">
        <f t="shared" si="8"/>
        <v/>
      </c>
      <c r="X2465" s="264" t="str">
        <f t="shared" si="7"/>
        <v/>
      </c>
    </row>
    <row r="2466" ht="15.75" customHeight="1">
      <c r="A2466" s="258"/>
      <c r="B2466" s="258"/>
      <c r="C2466" s="269"/>
      <c r="D2466" s="258"/>
      <c r="E2466" s="258"/>
      <c r="F2466" s="258"/>
      <c r="G2466" s="258"/>
      <c r="H2466" s="271"/>
      <c r="I2466" s="258"/>
      <c r="J2466" s="272"/>
      <c r="K2466" s="260"/>
      <c r="L2466" s="261"/>
      <c r="M2466" s="262" t="str">
        <f t="shared" si="1"/>
        <v/>
      </c>
      <c r="N2466" s="263" t="str">
        <f t="shared" si="2"/>
        <v/>
      </c>
      <c r="O2466" s="264" t="str">
        <f t="shared" si="3"/>
        <v/>
      </c>
      <c r="P2466" s="265" t="str">
        <f>IFERROR(__xludf.DUMMYFUNCTION("IF(ISBLANK(A2466),"""",IFERROR(IF(H2466=""Sell"",VLOOKUP(9^99,FILTER({ROW(P$2:P2465),P$2:P2465},D$2:D2465=D2466),2),(VLOOKUP(9^99,FILTER({ROW(P$2:P2465),P$2:P2465},D$2:D2465=D2466),2)*VLOOKUP(9^99,FILTER({ROW(O$2:O2465),O$2:O2465},D$2:D2465=D2466),2)-N246"&amp;"6)/O2466),J2466))"),"")</f>
        <v/>
      </c>
      <c r="Q2466" s="264" t="str">
        <f>IFERROR(__xludf.DUMMYFUNCTION("IFERROR(IF(F2466=""Crypto"",B2466,(IF(ISBLANK(D2466),"""",IF(D2466=""Cash"",B2466,IF(GOOGLEFINANCE(D2466,""CURRENCY"")=""GBX"",""GBP"",GOOGLEFINANCE(D2466,""CURRENCY"")))))),B2466)"),"")</f>
        <v/>
      </c>
      <c r="R2466" s="263" t="str">
        <f>IFERROR(__xludf.DUMMYFUNCTION("IF(ISBLANK(A2466),"""",IFERROR(IF(OR(Q2466=""GPB"",Q2466=""ZAR""),IF(Q2466=Dashboard!$L$1,K2466,(K2466*GOOGLEFINANCE(""CURRENCY:""&amp;Q2466&amp;""""&amp;Dashboard!$L$1&amp;""""))/100),IF(Q2466=Dashboard!$L$1,K2466,K2466*GOOGLEFINANCE(""CURRENCY:""&amp;Q2466&amp;""""&amp;Dashboard!$"&amp;"L$1&amp;""""))),K2466))"),"")</f>
        <v/>
      </c>
      <c r="S2466" s="266" t="str">
        <f>IFERROR(__xludf.DUMMYFUNCTION("IF(ISBLANK(A2466),"""",IFERROR(IF(OR(Q2466=""GPB"",Q2466=""ZAR""),IF(Q2466=Dashboard!$L$1,M2466,(M2466*GOOGLEFINANCE(""CURRENCY:""&amp;Q2466&amp;""""&amp;Dashboard!$L$1&amp;""""))/100),IF(Q2466=Dashboard!$L$1,M2466,M2466*GOOGLEFINANCE(""CURRENCY:""&amp;Q2466&amp;""""&amp;Dashboard!$"&amp;"L$1&amp;""""))),M2466))"),"")</f>
        <v/>
      </c>
      <c r="T2466" s="264" t="str">
        <f t="shared" si="4"/>
        <v/>
      </c>
      <c r="U2466" s="264" t="str">
        <f t="shared" si="5"/>
        <v/>
      </c>
      <c r="V2466" s="264" t="str">
        <f t="shared" si="6"/>
        <v/>
      </c>
      <c r="W2466" s="267" t="str">
        <f t="shared" si="8"/>
        <v/>
      </c>
      <c r="X2466" s="264" t="str">
        <f t="shared" si="7"/>
        <v/>
      </c>
    </row>
    <row r="2467" ht="15.75" customHeight="1">
      <c r="A2467" s="258"/>
      <c r="B2467" s="258"/>
      <c r="C2467" s="269"/>
      <c r="D2467" s="258"/>
      <c r="E2467" s="258"/>
      <c r="F2467" s="258"/>
      <c r="G2467" s="258"/>
      <c r="H2467" s="271"/>
      <c r="I2467" s="258"/>
      <c r="J2467" s="272"/>
      <c r="K2467" s="260"/>
      <c r="L2467" s="261"/>
      <c r="M2467" s="262" t="str">
        <f t="shared" si="1"/>
        <v/>
      </c>
      <c r="N2467" s="263" t="str">
        <f t="shared" si="2"/>
        <v/>
      </c>
      <c r="O2467" s="264" t="str">
        <f t="shared" si="3"/>
        <v/>
      </c>
      <c r="P2467" s="265" t="str">
        <f>IFERROR(__xludf.DUMMYFUNCTION("IF(ISBLANK(A2467),"""",IFERROR(IF(H2467=""Sell"",VLOOKUP(9^99,FILTER({ROW(P$2:P2466),P$2:P2466},D$2:D2466=D2467),2),(VLOOKUP(9^99,FILTER({ROW(P$2:P2466),P$2:P2466},D$2:D2466=D2467),2)*VLOOKUP(9^99,FILTER({ROW(O$2:O2466),O$2:O2466},D$2:D2466=D2467),2)-N246"&amp;"7)/O2467),J2467))"),"")</f>
        <v/>
      </c>
      <c r="Q2467" s="264" t="str">
        <f>IFERROR(__xludf.DUMMYFUNCTION("IFERROR(IF(F2467=""Crypto"",B2467,(IF(ISBLANK(D2467),"""",IF(D2467=""Cash"",B2467,IF(GOOGLEFINANCE(D2467,""CURRENCY"")=""GBX"",""GBP"",GOOGLEFINANCE(D2467,""CURRENCY"")))))),B2467)"),"")</f>
        <v/>
      </c>
      <c r="R2467" s="263" t="str">
        <f>IFERROR(__xludf.DUMMYFUNCTION("IF(ISBLANK(A2467),"""",IFERROR(IF(OR(Q2467=""GPB"",Q2467=""ZAR""),IF(Q2467=Dashboard!$L$1,K2467,(K2467*GOOGLEFINANCE(""CURRENCY:""&amp;Q2467&amp;""""&amp;Dashboard!$L$1&amp;""""))/100),IF(Q2467=Dashboard!$L$1,K2467,K2467*GOOGLEFINANCE(""CURRENCY:""&amp;Q2467&amp;""""&amp;Dashboard!$"&amp;"L$1&amp;""""))),K2467))"),"")</f>
        <v/>
      </c>
      <c r="S2467" s="266" t="str">
        <f>IFERROR(__xludf.DUMMYFUNCTION("IF(ISBLANK(A2467),"""",IFERROR(IF(OR(Q2467=""GPB"",Q2467=""ZAR""),IF(Q2467=Dashboard!$L$1,M2467,(M2467*GOOGLEFINANCE(""CURRENCY:""&amp;Q2467&amp;""""&amp;Dashboard!$L$1&amp;""""))/100),IF(Q2467=Dashboard!$L$1,M2467,M2467*GOOGLEFINANCE(""CURRENCY:""&amp;Q2467&amp;""""&amp;Dashboard!$"&amp;"L$1&amp;""""))),M2467))"),"")</f>
        <v/>
      </c>
      <c r="T2467" s="264" t="str">
        <f t="shared" si="4"/>
        <v/>
      </c>
      <c r="U2467" s="264" t="str">
        <f t="shared" si="5"/>
        <v/>
      </c>
      <c r="V2467" s="264" t="str">
        <f t="shared" si="6"/>
        <v/>
      </c>
      <c r="W2467" s="267" t="str">
        <f t="shared" si="8"/>
        <v/>
      </c>
      <c r="X2467" s="264" t="str">
        <f t="shared" si="7"/>
        <v/>
      </c>
    </row>
    <row r="2468" ht="15.75" customHeight="1">
      <c r="A2468" s="258"/>
      <c r="B2468" s="258"/>
      <c r="C2468" s="269"/>
      <c r="D2468" s="258"/>
      <c r="E2468" s="258"/>
      <c r="F2468" s="258"/>
      <c r="G2468" s="258"/>
      <c r="H2468" s="271"/>
      <c r="I2468" s="258"/>
      <c r="J2468" s="272"/>
      <c r="K2468" s="260"/>
      <c r="L2468" s="261"/>
      <c r="M2468" s="262" t="str">
        <f t="shared" si="1"/>
        <v/>
      </c>
      <c r="N2468" s="263" t="str">
        <f t="shared" si="2"/>
        <v/>
      </c>
      <c r="O2468" s="264" t="str">
        <f t="shared" si="3"/>
        <v/>
      </c>
      <c r="P2468" s="265" t="str">
        <f>IFERROR(__xludf.DUMMYFUNCTION("IF(ISBLANK(A2468),"""",IFERROR(IF(H2468=""Sell"",VLOOKUP(9^99,FILTER({ROW(P$2:P2467),P$2:P2467},D$2:D2467=D2468),2),(VLOOKUP(9^99,FILTER({ROW(P$2:P2467),P$2:P2467},D$2:D2467=D2468),2)*VLOOKUP(9^99,FILTER({ROW(O$2:O2467),O$2:O2467},D$2:D2467=D2468),2)-N246"&amp;"8)/O2468),J2468))"),"")</f>
        <v/>
      </c>
      <c r="Q2468" s="264" t="str">
        <f>IFERROR(__xludf.DUMMYFUNCTION("IFERROR(IF(F2468=""Crypto"",B2468,(IF(ISBLANK(D2468),"""",IF(D2468=""Cash"",B2468,IF(GOOGLEFINANCE(D2468,""CURRENCY"")=""GBX"",""GBP"",GOOGLEFINANCE(D2468,""CURRENCY"")))))),B2468)"),"")</f>
        <v/>
      </c>
      <c r="R2468" s="263" t="str">
        <f>IFERROR(__xludf.DUMMYFUNCTION("IF(ISBLANK(A2468),"""",IFERROR(IF(OR(Q2468=""GPB"",Q2468=""ZAR""),IF(Q2468=Dashboard!$L$1,K2468,(K2468*GOOGLEFINANCE(""CURRENCY:""&amp;Q2468&amp;""""&amp;Dashboard!$L$1&amp;""""))/100),IF(Q2468=Dashboard!$L$1,K2468,K2468*GOOGLEFINANCE(""CURRENCY:""&amp;Q2468&amp;""""&amp;Dashboard!$"&amp;"L$1&amp;""""))),K2468))"),"")</f>
        <v/>
      </c>
      <c r="S2468" s="266" t="str">
        <f>IFERROR(__xludf.DUMMYFUNCTION("IF(ISBLANK(A2468),"""",IFERROR(IF(OR(Q2468=""GPB"",Q2468=""ZAR""),IF(Q2468=Dashboard!$L$1,M2468,(M2468*GOOGLEFINANCE(""CURRENCY:""&amp;Q2468&amp;""""&amp;Dashboard!$L$1&amp;""""))/100),IF(Q2468=Dashboard!$L$1,M2468,M2468*GOOGLEFINANCE(""CURRENCY:""&amp;Q2468&amp;""""&amp;Dashboard!$"&amp;"L$1&amp;""""))),M2468))"),"")</f>
        <v/>
      </c>
      <c r="T2468" s="264" t="str">
        <f t="shared" si="4"/>
        <v/>
      </c>
      <c r="U2468" s="264" t="str">
        <f t="shared" si="5"/>
        <v/>
      </c>
      <c r="V2468" s="264" t="str">
        <f t="shared" si="6"/>
        <v/>
      </c>
      <c r="W2468" s="267" t="str">
        <f t="shared" si="8"/>
        <v/>
      </c>
      <c r="X2468" s="264" t="str">
        <f t="shared" si="7"/>
        <v/>
      </c>
    </row>
    <row r="2469" ht="15.75" customHeight="1">
      <c r="A2469" s="258"/>
      <c r="B2469" s="258"/>
      <c r="C2469" s="269"/>
      <c r="D2469" s="258"/>
      <c r="E2469" s="258"/>
      <c r="F2469" s="258"/>
      <c r="G2469" s="258"/>
      <c r="H2469" s="271"/>
      <c r="I2469" s="258"/>
      <c r="J2469" s="272"/>
      <c r="K2469" s="260"/>
      <c r="L2469" s="261"/>
      <c r="M2469" s="262" t="str">
        <f t="shared" si="1"/>
        <v/>
      </c>
      <c r="N2469" s="263" t="str">
        <f t="shared" si="2"/>
        <v/>
      </c>
      <c r="O2469" s="264" t="str">
        <f t="shared" si="3"/>
        <v/>
      </c>
      <c r="P2469" s="265" t="str">
        <f>IFERROR(__xludf.DUMMYFUNCTION("IF(ISBLANK(A2469),"""",IFERROR(IF(H2469=""Sell"",VLOOKUP(9^99,FILTER({ROW(P$2:P2468),P$2:P2468},D$2:D2468=D2469),2),(VLOOKUP(9^99,FILTER({ROW(P$2:P2468),P$2:P2468},D$2:D2468=D2469),2)*VLOOKUP(9^99,FILTER({ROW(O$2:O2468),O$2:O2468},D$2:D2468=D2469),2)-N246"&amp;"9)/O2469),J2469))"),"")</f>
        <v/>
      </c>
      <c r="Q2469" s="264" t="str">
        <f>IFERROR(__xludf.DUMMYFUNCTION("IFERROR(IF(F2469=""Crypto"",B2469,(IF(ISBLANK(D2469),"""",IF(D2469=""Cash"",B2469,IF(GOOGLEFINANCE(D2469,""CURRENCY"")=""GBX"",""GBP"",GOOGLEFINANCE(D2469,""CURRENCY"")))))),B2469)"),"")</f>
        <v/>
      </c>
      <c r="R2469" s="263" t="str">
        <f>IFERROR(__xludf.DUMMYFUNCTION("IF(ISBLANK(A2469),"""",IFERROR(IF(OR(Q2469=""GPB"",Q2469=""ZAR""),IF(Q2469=Dashboard!$L$1,K2469,(K2469*GOOGLEFINANCE(""CURRENCY:""&amp;Q2469&amp;""""&amp;Dashboard!$L$1&amp;""""))/100),IF(Q2469=Dashboard!$L$1,K2469,K2469*GOOGLEFINANCE(""CURRENCY:""&amp;Q2469&amp;""""&amp;Dashboard!$"&amp;"L$1&amp;""""))),K2469))"),"")</f>
        <v/>
      </c>
      <c r="S2469" s="266" t="str">
        <f>IFERROR(__xludf.DUMMYFUNCTION("IF(ISBLANK(A2469),"""",IFERROR(IF(OR(Q2469=""GPB"",Q2469=""ZAR""),IF(Q2469=Dashboard!$L$1,M2469,(M2469*GOOGLEFINANCE(""CURRENCY:""&amp;Q2469&amp;""""&amp;Dashboard!$L$1&amp;""""))/100),IF(Q2469=Dashboard!$L$1,M2469,M2469*GOOGLEFINANCE(""CURRENCY:""&amp;Q2469&amp;""""&amp;Dashboard!$"&amp;"L$1&amp;""""))),M2469))"),"")</f>
        <v/>
      </c>
      <c r="T2469" s="264" t="str">
        <f t="shared" si="4"/>
        <v/>
      </c>
      <c r="U2469" s="264" t="str">
        <f t="shared" si="5"/>
        <v/>
      </c>
      <c r="V2469" s="264" t="str">
        <f t="shared" si="6"/>
        <v/>
      </c>
      <c r="W2469" s="267" t="str">
        <f t="shared" si="8"/>
        <v/>
      </c>
      <c r="X2469" s="264" t="str">
        <f t="shared" si="7"/>
        <v/>
      </c>
    </row>
    <row r="2470" ht="15.75" customHeight="1">
      <c r="A2470" s="258"/>
      <c r="B2470" s="258"/>
      <c r="C2470" s="269"/>
      <c r="D2470" s="258"/>
      <c r="E2470" s="258"/>
      <c r="F2470" s="258"/>
      <c r="G2470" s="258"/>
      <c r="H2470" s="271"/>
      <c r="I2470" s="258"/>
      <c r="J2470" s="272"/>
      <c r="K2470" s="260"/>
      <c r="L2470" s="261"/>
      <c r="M2470" s="262" t="str">
        <f t="shared" si="1"/>
        <v/>
      </c>
      <c r="N2470" s="263" t="str">
        <f t="shared" si="2"/>
        <v/>
      </c>
      <c r="O2470" s="264" t="str">
        <f t="shared" si="3"/>
        <v/>
      </c>
      <c r="P2470" s="265" t="str">
        <f>IFERROR(__xludf.DUMMYFUNCTION("IF(ISBLANK(A2470),"""",IFERROR(IF(H2470=""Sell"",VLOOKUP(9^99,FILTER({ROW(P$2:P2469),P$2:P2469},D$2:D2469=D2470),2),(VLOOKUP(9^99,FILTER({ROW(P$2:P2469),P$2:P2469},D$2:D2469=D2470),2)*VLOOKUP(9^99,FILTER({ROW(O$2:O2469),O$2:O2469},D$2:D2469=D2470),2)-N247"&amp;"0)/O2470),J2470))"),"")</f>
        <v/>
      </c>
      <c r="Q2470" s="264" t="str">
        <f>IFERROR(__xludf.DUMMYFUNCTION("IFERROR(IF(F2470=""Crypto"",B2470,(IF(ISBLANK(D2470),"""",IF(D2470=""Cash"",B2470,IF(GOOGLEFINANCE(D2470,""CURRENCY"")=""GBX"",""GBP"",GOOGLEFINANCE(D2470,""CURRENCY"")))))),B2470)"),"")</f>
        <v/>
      </c>
      <c r="R2470" s="263" t="str">
        <f>IFERROR(__xludf.DUMMYFUNCTION("IF(ISBLANK(A2470),"""",IFERROR(IF(OR(Q2470=""GPB"",Q2470=""ZAR""),IF(Q2470=Dashboard!$L$1,K2470,(K2470*GOOGLEFINANCE(""CURRENCY:""&amp;Q2470&amp;""""&amp;Dashboard!$L$1&amp;""""))/100),IF(Q2470=Dashboard!$L$1,K2470,K2470*GOOGLEFINANCE(""CURRENCY:""&amp;Q2470&amp;""""&amp;Dashboard!$"&amp;"L$1&amp;""""))),K2470))"),"")</f>
        <v/>
      </c>
      <c r="S2470" s="266" t="str">
        <f>IFERROR(__xludf.DUMMYFUNCTION("IF(ISBLANK(A2470),"""",IFERROR(IF(OR(Q2470=""GPB"",Q2470=""ZAR""),IF(Q2470=Dashboard!$L$1,M2470,(M2470*GOOGLEFINANCE(""CURRENCY:""&amp;Q2470&amp;""""&amp;Dashboard!$L$1&amp;""""))/100),IF(Q2470=Dashboard!$L$1,M2470,M2470*GOOGLEFINANCE(""CURRENCY:""&amp;Q2470&amp;""""&amp;Dashboard!$"&amp;"L$1&amp;""""))),M2470))"),"")</f>
        <v/>
      </c>
      <c r="T2470" s="264" t="str">
        <f t="shared" si="4"/>
        <v/>
      </c>
      <c r="U2470" s="264" t="str">
        <f t="shared" si="5"/>
        <v/>
      </c>
      <c r="V2470" s="264" t="str">
        <f t="shared" si="6"/>
        <v/>
      </c>
      <c r="W2470" s="267" t="str">
        <f t="shared" si="8"/>
        <v/>
      </c>
      <c r="X2470" s="264" t="str">
        <f t="shared" si="7"/>
        <v/>
      </c>
    </row>
    <row r="2471" ht="15.75" customHeight="1">
      <c r="A2471" s="258"/>
      <c r="B2471" s="258"/>
      <c r="C2471" s="269"/>
      <c r="D2471" s="258"/>
      <c r="E2471" s="258"/>
      <c r="F2471" s="258"/>
      <c r="G2471" s="258"/>
      <c r="H2471" s="271"/>
      <c r="I2471" s="258"/>
      <c r="J2471" s="272"/>
      <c r="K2471" s="260"/>
      <c r="L2471" s="261"/>
      <c r="M2471" s="262" t="str">
        <f t="shared" si="1"/>
        <v/>
      </c>
      <c r="N2471" s="263" t="str">
        <f t="shared" si="2"/>
        <v/>
      </c>
      <c r="O2471" s="264" t="str">
        <f t="shared" si="3"/>
        <v/>
      </c>
      <c r="P2471" s="265" t="str">
        <f>IFERROR(__xludf.DUMMYFUNCTION("IF(ISBLANK(A2471),"""",IFERROR(IF(H2471=""Sell"",VLOOKUP(9^99,FILTER({ROW(P$2:P2470),P$2:P2470},D$2:D2470=D2471),2),(VLOOKUP(9^99,FILTER({ROW(P$2:P2470),P$2:P2470},D$2:D2470=D2471),2)*VLOOKUP(9^99,FILTER({ROW(O$2:O2470),O$2:O2470},D$2:D2470=D2471),2)-N247"&amp;"1)/O2471),J2471))"),"")</f>
        <v/>
      </c>
      <c r="Q2471" s="264" t="str">
        <f>IFERROR(__xludf.DUMMYFUNCTION("IFERROR(IF(F2471=""Crypto"",B2471,(IF(ISBLANK(D2471),"""",IF(D2471=""Cash"",B2471,IF(GOOGLEFINANCE(D2471,""CURRENCY"")=""GBX"",""GBP"",GOOGLEFINANCE(D2471,""CURRENCY"")))))),B2471)"),"")</f>
        <v/>
      </c>
      <c r="R2471" s="263" t="str">
        <f>IFERROR(__xludf.DUMMYFUNCTION("IF(ISBLANK(A2471),"""",IFERROR(IF(OR(Q2471=""GPB"",Q2471=""ZAR""),IF(Q2471=Dashboard!$L$1,K2471,(K2471*GOOGLEFINANCE(""CURRENCY:""&amp;Q2471&amp;""""&amp;Dashboard!$L$1&amp;""""))/100),IF(Q2471=Dashboard!$L$1,K2471,K2471*GOOGLEFINANCE(""CURRENCY:""&amp;Q2471&amp;""""&amp;Dashboard!$"&amp;"L$1&amp;""""))),K2471))"),"")</f>
        <v/>
      </c>
      <c r="S2471" s="266" t="str">
        <f>IFERROR(__xludf.DUMMYFUNCTION("IF(ISBLANK(A2471),"""",IFERROR(IF(OR(Q2471=""GPB"",Q2471=""ZAR""),IF(Q2471=Dashboard!$L$1,M2471,(M2471*GOOGLEFINANCE(""CURRENCY:""&amp;Q2471&amp;""""&amp;Dashboard!$L$1&amp;""""))/100),IF(Q2471=Dashboard!$L$1,M2471,M2471*GOOGLEFINANCE(""CURRENCY:""&amp;Q2471&amp;""""&amp;Dashboard!$"&amp;"L$1&amp;""""))),M2471))"),"")</f>
        <v/>
      </c>
      <c r="T2471" s="264" t="str">
        <f t="shared" si="4"/>
        <v/>
      </c>
      <c r="U2471" s="264" t="str">
        <f t="shared" si="5"/>
        <v/>
      </c>
      <c r="V2471" s="264" t="str">
        <f t="shared" si="6"/>
        <v/>
      </c>
      <c r="W2471" s="267" t="str">
        <f t="shared" si="8"/>
        <v/>
      </c>
      <c r="X2471" s="264" t="str">
        <f t="shared" si="7"/>
        <v/>
      </c>
    </row>
    <row r="2472" ht="15.75" customHeight="1">
      <c r="A2472" s="258"/>
      <c r="B2472" s="258"/>
      <c r="C2472" s="269"/>
      <c r="D2472" s="258"/>
      <c r="E2472" s="258"/>
      <c r="F2472" s="258"/>
      <c r="G2472" s="258"/>
      <c r="H2472" s="271"/>
      <c r="I2472" s="258"/>
      <c r="J2472" s="272"/>
      <c r="K2472" s="260"/>
      <c r="L2472" s="261"/>
      <c r="M2472" s="262" t="str">
        <f t="shared" si="1"/>
        <v/>
      </c>
      <c r="N2472" s="263" t="str">
        <f t="shared" si="2"/>
        <v/>
      </c>
      <c r="O2472" s="264" t="str">
        <f t="shared" si="3"/>
        <v/>
      </c>
      <c r="P2472" s="265" t="str">
        <f>IFERROR(__xludf.DUMMYFUNCTION("IF(ISBLANK(A2472),"""",IFERROR(IF(H2472=""Sell"",VLOOKUP(9^99,FILTER({ROW(P$2:P2471),P$2:P2471},D$2:D2471=D2472),2),(VLOOKUP(9^99,FILTER({ROW(P$2:P2471),P$2:P2471},D$2:D2471=D2472),2)*VLOOKUP(9^99,FILTER({ROW(O$2:O2471),O$2:O2471},D$2:D2471=D2472),2)-N247"&amp;"2)/O2472),J2472))"),"")</f>
        <v/>
      </c>
      <c r="Q2472" s="264" t="str">
        <f>IFERROR(__xludf.DUMMYFUNCTION("IFERROR(IF(F2472=""Crypto"",B2472,(IF(ISBLANK(D2472),"""",IF(D2472=""Cash"",B2472,IF(GOOGLEFINANCE(D2472,""CURRENCY"")=""GBX"",""GBP"",GOOGLEFINANCE(D2472,""CURRENCY"")))))),B2472)"),"")</f>
        <v/>
      </c>
      <c r="R2472" s="263" t="str">
        <f>IFERROR(__xludf.DUMMYFUNCTION("IF(ISBLANK(A2472),"""",IFERROR(IF(OR(Q2472=""GPB"",Q2472=""ZAR""),IF(Q2472=Dashboard!$L$1,K2472,(K2472*GOOGLEFINANCE(""CURRENCY:""&amp;Q2472&amp;""""&amp;Dashboard!$L$1&amp;""""))/100),IF(Q2472=Dashboard!$L$1,K2472,K2472*GOOGLEFINANCE(""CURRENCY:""&amp;Q2472&amp;""""&amp;Dashboard!$"&amp;"L$1&amp;""""))),K2472))"),"")</f>
        <v/>
      </c>
      <c r="S2472" s="266" t="str">
        <f>IFERROR(__xludf.DUMMYFUNCTION("IF(ISBLANK(A2472),"""",IFERROR(IF(OR(Q2472=""GPB"",Q2472=""ZAR""),IF(Q2472=Dashboard!$L$1,M2472,(M2472*GOOGLEFINANCE(""CURRENCY:""&amp;Q2472&amp;""""&amp;Dashboard!$L$1&amp;""""))/100),IF(Q2472=Dashboard!$L$1,M2472,M2472*GOOGLEFINANCE(""CURRENCY:""&amp;Q2472&amp;""""&amp;Dashboard!$"&amp;"L$1&amp;""""))),M2472))"),"")</f>
        <v/>
      </c>
      <c r="T2472" s="264" t="str">
        <f t="shared" si="4"/>
        <v/>
      </c>
      <c r="U2472" s="264" t="str">
        <f t="shared" si="5"/>
        <v/>
      </c>
      <c r="V2472" s="264" t="str">
        <f t="shared" si="6"/>
        <v/>
      </c>
      <c r="W2472" s="267" t="str">
        <f t="shared" si="8"/>
        <v/>
      </c>
      <c r="X2472" s="264" t="str">
        <f t="shared" si="7"/>
        <v/>
      </c>
    </row>
    <row r="2473" ht="15.75" customHeight="1">
      <c r="A2473" s="258"/>
      <c r="B2473" s="258"/>
      <c r="C2473" s="269"/>
      <c r="D2473" s="258"/>
      <c r="E2473" s="258"/>
      <c r="F2473" s="258"/>
      <c r="G2473" s="258"/>
      <c r="H2473" s="271"/>
      <c r="I2473" s="258"/>
      <c r="J2473" s="272"/>
      <c r="K2473" s="260"/>
      <c r="L2473" s="261"/>
      <c r="M2473" s="262" t="str">
        <f t="shared" si="1"/>
        <v/>
      </c>
      <c r="N2473" s="263" t="str">
        <f t="shared" si="2"/>
        <v/>
      </c>
      <c r="O2473" s="264" t="str">
        <f t="shared" si="3"/>
        <v/>
      </c>
      <c r="P2473" s="265" t="str">
        <f>IFERROR(__xludf.DUMMYFUNCTION("IF(ISBLANK(A2473),"""",IFERROR(IF(H2473=""Sell"",VLOOKUP(9^99,FILTER({ROW(P$2:P2472),P$2:P2472},D$2:D2472=D2473),2),(VLOOKUP(9^99,FILTER({ROW(P$2:P2472),P$2:P2472},D$2:D2472=D2473),2)*VLOOKUP(9^99,FILTER({ROW(O$2:O2472),O$2:O2472},D$2:D2472=D2473),2)-N247"&amp;"3)/O2473),J2473))"),"")</f>
        <v/>
      </c>
      <c r="Q2473" s="264" t="str">
        <f>IFERROR(__xludf.DUMMYFUNCTION("IFERROR(IF(F2473=""Crypto"",B2473,(IF(ISBLANK(D2473),"""",IF(D2473=""Cash"",B2473,IF(GOOGLEFINANCE(D2473,""CURRENCY"")=""GBX"",""GBP"",GOOGLEFINANCE(D2473,""CURRENCY"")))))),B2473)"),"")</f>
        <v/>
      </c>
      <c r="R2473" s="263" t="str">
        <f>IFERROR(__xludf.DUMMYFUNCTION("IF(ISBLANK(A2473),"""",IFERROR(IF(OR(Q2473=""GPB"",Q2473=""ZAR""),IF(Q2473=Dashboard!$L$1,K2473,(K2473*GOOGLEFINANCE(""CURRENCY:""&amp;Q2473&amp;""""&amp;Dashboard!$L$1&amp;""""))/100),IF(Q2473=Dashboard!$L$1,K2473,K2473*GOOGLEFINANCE(""CURRENCY:""&amp;Q2473&amp;""""&amp;Dashboard!$"&amp;"L$1&amp;""""))),K2473))"),"")</f>
        <v/>
      </c>
      <c r="S2473" s="266" t="str">
        <f>IFERROR(__xludf.DUMMYFUNCTION("IF(ISBLANK(A2473),"""",IFERROR(IF(OR(Q2473=""GPB"",Q2473=""ZAR""),IF(Q2473=Dashboard!$L$1,M2473,(M2473*GOOGLEFINANCE(""CURRENCY:""&amp;Q2473&amp;""""&amp;Dashboard!$L$1&amp;""""))/100),IF(Q2473=Dashboard!$L$1,M2473,M2473*GOOGLEFINANCE(""CURRENCY:""&amp;Q2473&amp;""""&amp;Dashboard!$"&amp;"L$1&amp;""""))),M2473))"),"")</f>
        <v/>
      </c>
      <c r="T2473" s="264" t="str">
        <f t="shared" si="4"/>
        <v/>
      </c>
      <c r="U2473" s="264" t="str">
        <f t="shared" si="5"/>
        <v/>
      </c>
      <c r="V2473" s="264" t="str">
        <f t="shared" si="6"/>
        <v/>
      </c>
      <c r="W2473" s="267" t="str">
        <f t="shared" si="8"/>
        <v/>
      </c>
      <c r="X2473" s="264" t="str">
        <f t="shared" si="7"/>
        <v/>
      </c>
    </row>
    <row r="2474" ht="15.75" customHeight="1">
      <c r="A2474" s="258"/>
      <c r="B2474" s="258"/>
      <c r="C2474" s="269"/>
      <c r="D2474" s="258"/>
      <c r="E2474" s="258"/>
      <c r="F2474" s="258"/>
      <c r="G2474" s="258"/>
      <c r="H2474" s="271"/>
      <c r="I2474" s="258"/>
      <c r="J2474" s="272"/>
      <c r="K2474" s="260"/>
      <c r="L2474" s="261"/>
      <c r="M2474" s="262" t="str">
        <f t="shared" si="1"/>
        <v/>
      </c>
      <c r="N2474" s="263" t="str">
        <f t="shared" si="2"/>
        <v/>
      </c>
      <c r="O2474" s="264" t="str">
        <f t="shared" si="3"/>
        <v/>
      </c>
      <c r="P2474" s="265" t="str">
        <f>IFERROR(__xludf.DUMMYFUNCTION("IF(ISBLANK(A2474),"""",IFERROR(IF(H2474=""Sell"",VLOOKUP(9^99,FILTER({ROW(P$2:P2473),P$2:P2473},D$2:D2473=D2474),2),(VLOOKUP(9^99,FILTER({ROW(P$2:P2473),P$2:P2473},D$2:D2473=D2474),2)*VLOOKUP(9^99,FILTER({ROW(O$2:O2473),O$2:O2473},D$2:D2473=D2474),2)-N247"&amp;"4)/O2474),J2474))"),"")</f>
        <v/>
      </c>
      <c r="Q2474" s="264" t="str">
        <f>IFERROR(__xludf.DUMMYFUNCTION("IFERROR(IF(F2474=""Crypto"",B2474,(IF(ISBLANK(D2474),"""",IF(D2474=""Cash"",B2474,IF(GOOGLEFINANCE(D2474,""CURRENCY"")=""GBX"",""GBP"",GOOGLEFINANCE(D2474,""CURRENCY"")))))),B2474)"),"")</f>
        <v/>
      </c>
      <c r="R2474" s="263" t="str">
        <f>IFERROR(__xludf.DUMMYFUNCTION("IF(ISBLANK(A2474),"""",IFERROR(IF(OR(Q2474=""GPB"",Q2474=""ZAR""),IF(Q2474=Dashboard!$L$1,K2474,(K2474*GOOGLEFINANCE(""CURRENCY:""&amp;Q2474&amp;""""&amp;Dashboard!$L$1&amp;""""))/100),IF(Q2474=Dashboard!$L$1,K2474,K2474*GOOGLEFINANCE(""CURRENCY:""&amp;Q2474&amp;""""&amp;Dashboard!$"&amp;"L$1&amp;""""))),K2474))"),"")</f>
        <v/>
      </c>
      <c r="S2474" s="266" t="str">
        <f>IFERROR(__xludf.DUMMYFUNCTION("IF(ISBLANK(A2474),"""",IFERROR(IF(OR(Q2474=""GPB"",Q2474=""ZAR""),IF(Q2474=Dashboard!$L$1,M2474,(M2474*GOOGLEFINANCE(""CURRENCY:""&amp;Q2474&amp;""""&amp;Dashboard!$L$1&amp;""""))/100),IF(Q2474=Dashboard!$L$1,M2474,M2474*GOOGLEFINANCE(""CURRENCY:""&amp;Q2474&amp;""""&amp;Dashboard!$"&amp;"L$1&amp;""""))),M2474))"),"")</f>
        <v/>
      </c>
      <c r="T2474" s="264" t="str">
        <f t="shared" si="4"/>
        <v/>
      </c>
      <c r="U2474" s="264" t="str">
        <f t="shared" si="5"/>
        <v/>
      </c>
      <c r="V2474" s="264" t="str">
        <f t="shared" si="6"/>
        <v/>
      </c>
      <c r="W2474" s="267" t="str">
        <f t="shared" si="8"/>
        <v/>
      </c>
      <c r="X2474" s="264" t="str">
        <f t="shared" si="7"/>
        <v/>
      </c>
    </row>
    <row r="2475" ht="15.75" customHeight="1">
      <c r="A2475" s="258"/>
      <c r="B2475" s="258"/>
      <c r="C2475" s="269"/>
      <c r="D2475" s="258"/>
      <c r="E2475" s="258"/>
      <c r="F2475" s="258"/>
      <c r="G2475" s="258"/>
      <c r="H2475" s="271"/>
      <c r="I2475" s="258"/>
      <c r="J2475" s="272"/>
      <c r="K2475" s="260"/>
      <c r="L2475" s="261"/>
      <c r="M2475" s="262" t="str">
        <f t="shared" si="1"/>
        <v/>
      </c>
      <c r="N2475" s="263" t="str">
        <f t="shared" si="2"/>
        <v/>
      </c>
      <c r="O2475" s="264" t="str">
        <f t="shared" si="3"/>
        <v/>
      </c>
      <c r="P2475" s="265" t="str">
        <f>IFERROR(__xludf.DUMMYFUNCTION("IF(ISBLANK(A2475),"""",IFERROR(IF(H2475=""Sell"",VLOOKUP(9^99,FILTER({ROW(P$2:P2474),P$2:P2474},D$2:D2474=D2475),2),(VLOOKUP(9^99,FILTER({ROW(P$2:P2474),P$2:P2474},D$2:D2474=D2475),2)*VLOOKUP(9^99,FILTER({ROW(O$2:O2474),O$2:O2474},D$2:D2474=D2475),2)-N247"&amp;"5)/O2475),J2475))"),"")</f>
        <v/>
      </c>
      <c r="Q2475" s="264" t="str">
        <f>IFERROR(__xludf.DUMMYFUNCTION("IFERROR(IF(F2475=""Crypto"",B2475,(IF(ISBLANK(D2475),"""",IF(D2475=""Cash"",B2475,IF(GOOGLEFINANCE(D2475,""CURRENCY"")=""GBX"",""GBP"",GOOGLEFINANCE(D2475,""CURRENCY"")))))),B2475)"),"")</f>
        <v/>
      </c>
      <c r="R2475" s="263" t="str">
        <f>IFERROR(__xludf.DUMMYFUNCTION("IF(ISBLANK(A2475),"""",IFERROR(IF(OR(Q2475=""GPB"",Q2475=""ZAR""),IF(Q2475=Dashboard!$L$1,K2475,(K2475*GOOGLEFINANCE(""CURRENCY:""&amp;Q2475&amp;""""&amp;Dashboard!$L$1&amp;""""))/100),IF(Q2475=Dashboard!$L$1,K2475,K2475*GOOGLEFINANCE(""CURRENCY:""&amp;Q2475&amp;""""&amp;Dashboard!$"&amp;"L$1&amp;""""))),K2475))"),"")</f>
        <v/>
      </c>
      <c r="S2475" s="266" t="str">
        <f>IFERROR(__xludf.DUMMYFUNCTION("IF(ISBLANK(A2475),"""",IFERROR(IF(OR(Q2475=""GPB"",Q2475=""ZAR""),IF(Q2475=Dashboard!$L$1,M2475,(M2475*GOOGLEFINANCE(""CURRENCY:""&amp;Q2475&amp;""""&amp;Dashboard!$L$1&amp;""""))/100),IF(Q2475=Dashboard!$L$1,M2475,M2475*GOOGLEFINANCE(""CURRENCY:""&amp;Q2475&amp;""""&amp;Dashboard!$"&amp;"L$1&amp;""""))),M2475))"),"")</f>
        <v/>
      </c>
      <c r="T2475" s="264" t="str">
        <f t="shared" si="4"/>
        <v/>
      </c>
      <c r="U2475" s="264" t="str">
        <f t="shared" si="5"/>
        <v/>
      </c>
      <c r="V2475" s="264" t="str">
        <f t="shared" si="6"/>
        <v/>
      </c>
      <c r="W2475" s="267" t="str">
        <f t="shared" si="8"/>
        <v/>
      </c>
      <c r="X2475" s="264" t="str">
        <f t="shared" si="7"/>
        <v/>
      </c>
    </row>
    <row r="2476" ht="15.75" customHeight="1">
      <c r="A2476" s="258"/>
      <c r="B2476" s="258"/>
      <c r="C2476" s="269"/>
      <c r="D2476" s="258"/>
      <c r="E2476" s="258"/>
      <c r="F2476" s="258"/>
      <c r="G2476" s="258"/>
      <c r="H2476" s="271"/>
      <c r="I2476" s="258"/>
      <c r="J2476" s="272"/>
      <c r="K2476" s="260"/>
      <c r="L2476" s="261"/>
      <c r="M2476" s="262" t="str">
        <f t="shared" si="1"/>
        <v/>
      </c>
      <c r="N2476" s="263" t="str">
        <f t="shared" si="2"/>
        <v/>
      </c>
      <c r="O2476" s="264" t="str">
        <f t="shared" si="3"/>
        <v/>
      </c>
      <c r="P2476" s="265" t="str">
        <f>IFERROR(__xludf.DUMMYFUNCTION("IF(ISBLANK(A2476),"""",IFERROR(IF(H2476=""Sell"",VLOOKUP(9^99,FILTER({ROW(P$2:P2475),P$2:P2475},D$2:D2475=D2476),2),(VLOOKUP(9^99,FILTER({ROW(P$2:P2475),P$2:P2475},D$2:D2475=D2476),2)*VLOOKUP(9^99,FILTER({ROW(O$2:O2475),O$2:O2475},D$2:D2475=D2476),2)-N247"&amp;"6)/O2476),J2476))"),"")</f>
        <v/>
      </c>
      <c r="Q2476" s="264" t="str">
        <f>IFERROR(__xludf.DUMMYFUNCTION("IFERROR(IF(F2476=""Crypto"",B2476,(IF(ISBLANK(D2476),"""",IF(D2476=""Cash"",B2476,IF(GOOGLEFINANCE(D2476,""CURRENCY"")=""GBX"",""GBP"",GOOGLEFINANCE(D2476,""CURRENCY"")))))),B2476)"),"")</f>
        <v/>
      </c>
      <c r="R2476" s="263" t="str">
        <f>IFERROR(__xludf.DUMMYFUNCTION("IF(ISBLANK(A2476),"""",IFERROR(IF(OR(Q2476=""GPB"",Q2476=""ZAR""),IF(Q2476=Dashboard!$L$1,K2476,(K2476*GOOGLEFINANCE(""CURRENCY:""&amp;Q2476&amp;""""&amp;Dashboard!$L$1&amp;""""))/100),IF(Q2476=Dashboard!$L$1,K2476,K2476*GOOGLEFINANCE(""CURRENCY:""&amp;Q2476&amp;""""&amp;Dashboard!$"&amp;"L$1&amp;""""))),K2476))"),"")</f>
        <v/>
      </c>
      <c r="S2476" s="266" t="str">
        <f>IFERROR(__xludf.DUMMYFUNCTION("IF(ISBLANK(A2476),"""",IFERROR(IF(OR(Q2476=""GPB"",Q2476=""ZAR""),IF(Q2476=Dashboard!$L$1,M2476,(M2476*GOOGLEFINANCE(""CURRENCY:""&amp;Q2476&amp;""""&amp;Dashboard!$L$1&amp;""""))/100),IF(Q2476=Dashboard!$L$1,M2476,M2476*GOOGLEFINANCE(""CURRENCY:""&amp;Q2476&amp;""""&amp;Dashboard!$"&amp;"L$1&amp;""""))),M2476))"),"")</f>
        <v/>
      </c>
      <c r="T2476" s="264" t="str">
        <f t="shared" si="4"/>
        <v/>
      </c>
      <c r="U2476" s="264" t="str">
        <f t="shared" si="5"/>
        <v/>
      </c>
      <c r="V2476" s="264" t="str">
        <f t="shared" si="6"/>
        <v/>
      </c>
      <c r="W2476" s="267" t="str">
        <f t="shared" si="8"/>
        <v/>
      </c>
      <c r="X2476" s="264" t="str">
        <f t="shared" si="7"/>
        <v/>
      </c>
    </row>
    <row r="2477" ht="15.75" customHeight="1">
      <c r="A2477" s="258"/>
      <c r="B2477" s="258"/>
      <c r="C2477" s="269"/>
      <c r="D2477" s="258"/>
      <c r="E2477" s="258"/>
      <c r="F2477" s="258"/>
      <c r="G2477" s="258"/>
      <c r="H2477" s="271"/>
      <c r="I2477" s="258"/>
      <c r="J2477" s="272"/>
      <c r="K2477" s="260"/>
      <c r="L2477" s="261"/>
      <c r="M2477" s="262" t="str">
        <f t="shared" si="1"/>
        <v/>
      </c>
      <c r="N2477" s="263" t="str">
        <f t="shared" si="2"/>
        <v/>
      </c>
      <c r="O2477" s="264" t="str">
        <f t="shared" si="3"/>
        <v/>
      </c>
      <c r="P2477" s="265" t="str">
        <f>IFERROR(__xludf.DUMMYFUNCTION("IF(ISBLANK(A2477),"""",IFERROR(IF(H2477=""Sell"",VLOOKUP(9^99,FILTER({ROW(P$2:P2476),P$2:P2476},D$2:D2476=D2477),2),(VLOOKUP(9^99,FILTER({ROW(P$2:P2476),P$2:P2476},D$2:D2476=D2477),2)*VLOOKUP(9^99,FILTER({ROW(O$2:O2476),O$2:O2476},D$2:D2476=D2477),2)-N247"&amp;"7)/O2477),J2477))"),"")</f>
        <v/>
      </c>
      <c r="Q2477" s="264" t="str">
        <f>IFERROR(__xludf.DUMMYFUNCTION("IFERROR(IF(F2477=""Crypto"",B2477,(IF(ISBLANK(D2477),"""",IF(D2477=""Cash"",B2477,IF(GOOGLEFINANCE(D2477,""CURRENCY"")=""GBX"",""GBP"",GOOGLEFINANCE(D2477,""CURRENCY"")))))),B2477)"),"")</f>
        <v/>
      </c>
      <c r="R2477" s="263" t="str">
        <f>IFERROR(__xludf.DUMMYFUNCTION("IF(ISBLANK(A2477),"""",IFERROR(IF(OR(Q2477=""GPB"",Q2477=""ZAR""),IF(Q2477=Dashboard!$L$1,K2477,(K2477*GOOGLEFINANCE(""CURRENCY:""&amp;Q2477&amp;""""&amp;Dashboard!$L$1&amp;""""))/100),IF(Q2477=Dashboard!$L$1,K2477,K2477*GOOGLEFINANCE(""CURRENCY:""&amp;Q2477&amp;""""&amp;Dashboard!$"&amp;"L$1&amp;""""))),K2477))"),"")</f>
        <v/>
      </c>
      <c r="S2477" s="266" t="str">
        <f>IFERROR(__xludf.DUMMYFUNCTION("IF(ISBLANK(A2477),"""",IFERROR(IF(OR(Q2477=""GPB"",Q2477=""ZAR""),IF(Q2477=Dashboard!$L$1,M2477,(M2477*GOOGLEFINANCE(""CURRENCY:""&amp;Q2477&amp;""""&amp;Dashboard!$L$1&amp;""""))/100),IF(Q2477=Dashboard!$L$1,M2477,M2477*GOOGLEFINANCE(""CURRENCY:""&amp;Q2477&amp;""""&amp;Dashboard!$"&amp;"L$1&amp;""""))),M2477))"),"")</f>
        <v/>
      </c>
      <c r="T2477" s="264" t="str">
        <f t="shared" si="4"/>
        <v/>
      </c>
      <c r="U2477" s="264" t="str">
        <f t="shared" si="5"/>
        <v/>
      </c>
      <c r="V2477" s="264" t="str">
        <f t="shared" si="6"/>
        <v/>
      </c>
      <c r="W2477" s="267" t="str">
        <f t="shared" si="8"/>
        <v/>
      </c>
      <c r="X2477" s="264" t="str">
        <f t="shared" si="7"/>
        <v/>
      </c>
    </row>
    <row r="2478" ht="15.75" customHeight="1">
      <c r="A2478" s="258"/>
      <c r="B2478" s="258"/>
      <c r="C2478" s="269"/>
      <c r="D2478" s="258"/>
      <c r="E2478" s="258"/>
      <c r="F2478" s="258"/>
      <c r="G2478" s="258"/>
      <c r="H2478" s="271"/>
      <c r="I2478" s="258"/>
      <c r="J2478" s="272"/>
      <c r="K2478" s="260"/>
      <c r="L2478" s="261"/>
      <c r="M2478" s="262" t="str">
        <f t="shared" si="1"/>
        <v/>
      </c>
      <c r="N2478" s="263" t="str">
        <f t="shared" si="2"/>
        <v/>
      </c>
      <c r="O2478" s="264" t="str">
        <f t="shared" si="3"/>
        <v/>
      </c>
      <c r="P2478" s="265" t="str">
        <f>IFERROR(__xludf.DUMMYFUNCTION("IF(ISBLANK(A2478),"""",IFERROR(IF(H2478=""Sell"",VLOOKUP(9^99,FILTER({ROW(P$2:P2477),P$2:P2477},D$2:D2477=D2478),2),(VLOOKUP(9^99,FILTER({ROW(P$2:P2477),P$2:P2477},D$2:D2477=D2478),2)*VLOOKUP(9^99,FILTER({ROW(O$2:O2477),O$2:O2477},D$2:D2477=D2478),2)-N247"&amp;"8)/O2478),J2478))"),"")</f>
        <v/>
      </c>
      <c r="Q2478" s="264" t="str">
        <f>IFERROR(__xludf.DUMMYFUNCTION("IFERROR(IF(F2478=""Crypto"",B2478,(IF(ISBLANK(D2478),"""",IF(D2478=""Cash"",B2478,IF(GOOGLEFINANCE(D2478,""CURRENCY"")=""GBX"",""GBP"",GOOGLEFINANCE(D2478,""CURRENCY"")))))),B2478)"),"")</f>
        <v/>
      </c>
      <c r="R2478" s="263" t="str">
        <f>IFERROR(__xludf.DUMMYFUNCTION("IF(ISBLANK(A2478),"""",IFERROR(IF(OR(Q2478=""GPB"",Q2478=""ZAR""),IF(Q2478=Dashboard!$L$1,K2478,(K2478*GOOGLEFINANCE(""CURRENCY:""&amp;Q2478&amp;""""&amp;Dashboard!$L$1&amp;""""))/100),IF(Q2478=Dashboard!$L$1,K2478,K2478*GOOGLEFINANCE(""CURRENCY:""&amp;Q2478&amp;""""&amp;Dashboard!$"&amp;"L$1&amp;""""))),K2478))"),"")</f>
        <v/>
      </c>
      <c r="S2478" s="266" t="str">
        <f>IFERROR(__xludf.DUMMYFUNCTION("IF(ISBLANK(A2478),"""",IFERROR(IF(OR(Q2478=""GPB"",Q2478=""ZAR""),IF(Q2478=Dashboard!$L$1,M2478,(M2478*GOOGLEFINANCE(""CURRENCY:""&amp;Q2478&amp;""""&amp;Dashboard!$L$1&amp;""""))/100),IF(Q2478=Dashboard!$L$1,M2478,M2478*GOOGLEFINANCE(""CURRENCY:""&amp;Q2478&amp;""""&amp;Dashboard!$"&amp;"L$1&amp;""""))),M2478))"),"")</f>
        <v/>
      </c>
      <c r="T2478" s="264" t="str">
        <f t="shared" si="4"/>
        <v/>
      </c>
      <c r="U2478" s="264" t="str">
        <f t="shared" si="5"/>
        <v/>
      </c>
      <c r="V2478" s="264" t="str">
        <f t="shared" si="6"/>
        <v/>
      </c>
      <c r="W2478" s="267" t="str">
        <f t="shared" si="8"/>
        <v/>
      </c>
      <c r="X2478" s="264" t="str">
        <f t="shared" si="7"/>
        <v/>
      </c>
    </row>
    <row r="2479" ht="15.75" customHeight="1">
      <c r="A2479" s="258"/>
      <c r="B2479" s="258"/>
      <c r="C2479" s="269"/>
      <c r="D2479" s="258"/>
      <c r="E2479" s="258"/>
      <c r="F2479" s="258"/>
      <c r="G2479" s="258"/>
      <c r="H2479" s="271"/>
      <c r="I2479" s="258"/>
      <c r="J2479" s="272"/>
      <c r="K2479" s="260"/>
      <c r="L2479" s="261"/>
      <c r="M2479" s="262" t="str">
        <f t="shared" si="1"/>
        <v/>
      </c>
      <c r="N2479" s="263" t="str">
        <f t="shared" si="2"/>
        <v/>
      </c>
      <c r="O2479" s="264" t="str">
        <f t="shared" si="3"/>
        <v/>
      </c>
      <c r="P2479" s="265" t="str">
        <f>IFERROR(__xludf.DUMMYFUNCTION("IF(ISBLANK(A2479),"""",IFERROR(IF(H2479=""Sell"",VLOOKUP(9^99,FILTER({ROW(P$2:P2478),P$2:P2478},D$2:D2478=D2479),2),(VLOOKUP(9^99,FILTER({ROW(P$2:P2478),P$2:P2478},D$2:D2478=D2479),2)*VLOOKUP(9^99,FILTER({ROW(O$2:O2478),O$2:O2478},D$2:D2478=D2479),2)-N247"&amp;"9)/O2479),J2479))"),"")</f>
        <v/>
      </c>
      <c r="Q2479" s="264" t="str">
        <f>IFERROR(__xludf.DUMMYFUNCTION("IFERROR(IF(F2479=""Crypto"",B2479,(IF(ISBLANK(D2479),"""",IF(D2479=""Cash"",B2479,IF(GOOGLEFINANCE(D2479,""CURRENCY"")=""GBX"",""GBP"",GOOGLEFINANCE(D2479,""CURRENCY"")))))),B2479)"),"")</f>
        <v/>
      </c>
      <c r="R2479" s="263" t="str">
        <f>IFERROR(__xludf.DUMMYFUNCTION("IF(ISBLANK(A2479),"""",IFERROR(IF(OR(Q2479=""GPB"",Q2479=""ZAR""),IF(Q2479=Dashboard!$L$1,K2479,(K2479*GOOGLEFINANCE(""CURRENCY:""&amp;Q2479&amp;""""&amp;Dashboard!$L$1&amp;""""))/100),IF(Q2479=Dashboard!$L$1,K2479,K2479*GOOGLEFINANCE(""CURRENCY:""&amp;Q2479&amp;""""&amp;Dashboard!$"&amp;"L$1&amp;""""))),K2479))"),"")</f>
        <v/>
      </c>
      <c r="S2479" s="266" t="str">
        <f>IFERROR(__xludf.DUMMYFUNCTION("IF(ISBLANK(A2479),"""",IFERROR(IF(OR(Q2479=""GPB"",Q2479=""ZAR""),IF(Q2479=Dashboard!$L$1,M2479,(M2479*GOOGLEFINANCE(""CURRENCY:""&amp;Q2479&amp;""""&amp;Dashboard!$L$1&amp;""""))/100),IF(Q2479=Dashboard!$L$1,M2479,M2479*GOOGLEFINANCE(""CURRENCY:""&amp;Q2479&amp;""""&amp;Dashboard!$"&amp;"L$1&amp;""""))),M2479))"),"")</f>
        <v/>
      </c>
      <c r="T2479" s="264" t="str">
        <f t="shared" si="4"/>
        <v/>
      </c>
      <c r="U2479" s="264" t="str">
        <f t="shared" si="5"/>
        <v/>
      </c>
      <c r="V2479" s="264" t="str">
        <f t="shared" si="6"/>
        <v/>
      </c>
      <c r="W2479" s="267" t="str">
        <f t="shared" si="8"/>
        <v/>
      </c>
      <c r="X2479" s="264" t="str">
        <f t="shared" si="7"/>
        <v/>
      </c>
    </row>
    <row r="2480" ht="15.75" customHeight="1">
      <c r="A2480" s="258"/>
      <c r="B2480" s="258"/>
      <c r="C2480" s="269"/>
      <c r="D2480" s="258"/>
      <c r="E2480" s="258"/>
      <c r="F2480" s="258"/>
      <c r="G2480" s="258"/>
      <c r="H2480" s="271"/>
      <c r="I2480" s="258"/>
      <c r="J2480" s="272"/>
      <c r="K2480" s="260"/>
      <c r="L2480" s="261"/>
      <c r="M2480" s="262" t="str">
        <f t="shared" si="1"/>
        <v/>
      </c>
      <c r="N2480" s="263" t="str">
        <f t="shared" si="2"/>
        <v/>
      </c>
      <c r="O2480" s="264" t="str">
        <f t="shared" si="3"/>
        <v/>
      </c>
      <c r="P2480" s="265" t="str">
        <f>IFERROR(__xludf.DUMMYFUNCTION("IF(ISBLANK(A2480),"""",IFERROR(IF(H2480=""Sell"",VLOOKUP(9^99,FILTER({ROW(P$2:P2479),P$2:P2479},D$2:D2479=D2480),2),(VLOOKUP(9^99,FILTER({ROW(P$2:P2479),P$2:P2479},D$2:D2479=D2480),2)*VLOOKUP(9^99,FILTER({ROW(O$2:O2479),O$2:O2479},D$2:D2479=D2480),2)-N248"&amp;"0)/O2480),J2480))"),"")</f>
        <v/>
      </c>
      <c r="Q2480" s="264" t="str">
        <f>IFERROR(__xludf.DUMMYFUNCTION("IFERROR(IF(F2480=""Crypto"",B2480,(IF(ISBLANK(D2480),"""",IF(D2480=""Cash"",B2480,IF(GOOGLEFINANCE(D2480,""CURRENCY"")=""GBX"",""GBP"",GOOGLEFINANCE(D2480,""CURRENCY"")))))),B2480)"),"")</f>
        <v/>
      </c>
      <c r="R2480" s="263" t="str">
        <f>IFERROR(__xludf.DUMMYFUNCTION("IF(ISBLANK(A2480),"""",IFERROR(IF(OR(Q2480=""GPB"",Q2480=""ZAR""),IF(Q2480=Dashboard!$L$1,K2480,(K2480*GOOGLEFINANCE(""CURRENCY:""&amp;Q2480&amp;""""&amp;Dashboard!$L$1&amp;""""))/100),IF(Q2480=Dashboard!$L$1,K2480,K2480*GOOGLEFINANCE(""CURRENCY:""&amp;Q2480&amp;""""&amp;Dashboard!$"&amp;"L$1&amp;""""))),K2480))"),"")</f>
        <v/>
      </c>
      <c r="S2480" s="266" t="str">
        <f>IFERROR(__xludf.DUMMYFUNCTION("IF(ISBLANK(A2480),"""",IFERROR(IF(OR(Q2480=""GPB"",Q2480=""ZAR""),IF(Q2480=Dashboard!$L$1,M2480,(M2480*GOOGLEFINANCE(""CURRENCY:""&amp;Q2480&amp;""""&amp;Dashboard!$L$1&amp;""""))/100),IF(Q2480=Dashboard!$L$1,M2480,M2480*GOOGLEFINANCE(""CURRENCY:""&amp;Q2480&amp;""""&amp;Dashboard!$"&amp;"L$1&amp;""""))),M2480))"),"")</f>
        <v/>
      </c>
      <c r="T2480" s="264" t="str">
        <f t="shared" si="4"/>
        <v/>
      </c>
      <c r="U2480" s="264" t="str">
        <f t="shared" si="5"/>
        <v/>
      </c>
      <c r="V2480" s="264" t="str">
        <f t="shared" si="6"/>
        <v/>
      </c>
      <c r="W2480" s="267" t="str">
        <f t="shared" si="8"/>
        <v/>
      </c>
      <c r="X2480" s="264" t="str">
        <f t="shared" si="7"/>
        <v/>
      </c>
    </row>
    <row r="2481" ht="15.75" customHeight="1">
      <c r="A2481" s="258"/>
      <c r="B2481" s="258"/>
      <c r="C2481" s="269"/>
      <c r="D2481" s="258"/>
      <c r="E2481" s="258"/>
      <c r="F2481" s="258"/>
      <c r="G2481" s="258"/>
      <c r="H2481" s="271"/>
      <c r="I2481" s="258"/>
      <c r="J2481" s="272"/>
      <c r="K2481" s="260"/>
      <c r="L2481" s="261"/>
      <c r="M2481" s="262" t="str">
        <f t="shared" si="1"/>
        <v/>
      </c>
      <c r="N2481" s="263" t="str">
        <f t="shared" si="2"/>
        <v/>
      </c>
      <c r="O2481" s="264" t="str">
        <f t="shared" si="3"/>
        <v/>
      </c>
      <c r="P2481" s="265" t="str">
        <f>IFERROR(__xludf.DUMMYFUNCTION("IF(ISBLANK(A2481),"""",IFERROR(IF(H2481=""Sell"",VLOOKUP(9^99,FILTER({ROW(P$2:P2480),P$2:P2480},D$2:D2480=D2481),2),(VLOOKUP(9^99,FILTER({ROW(P$2:P2480),P$2:P2480},D$2:D2480=D2481),2)*VLOOKUP(9^99,FILTER({ROW(O$2:O2480),O$2:O2480},D$2:D2480=D2481),2)-N248"&amp;"1)/O2481),J2481))"),"")</f>
        <v/>
      </c>
      <c r="Q2481" s="264" t="str">
        <f>IFERROR(__xludf.DUMMYFUNCTION("IFERROR(IF(F2481=""Crypto"",B2481,(IF(ISBLANK(D2481),"""",IF(D2481=""Cash"",B2481,IF(GOOGLEFINANCE(D2481,""CURRENCY"")=""GBX"",""GBP"",GOOGLEFINANCE(D2481,""CURRENCY"")))))),B2481)"),"")</f>
        <v/>
      </c>
      <c r="R2481" s="263" t="str">
        <f>IFERROR(__xludf.DUMMYFUNCTION("IF(ISBLANK(A2481),"""",IFERROR(IF(OR(Q2481=""GPB"",Q2481=""ZAR""),IF(Q2481=Dashboard!$L$1,K2481,(K2481*GOOGLEFINANCE(""CURRENCY:""&amp;Q2481&amp;""""&amp;Dashboard!$L$1&amp;""""))/100),IF(Q2481=Dashboard!$L$1,K2481,K2481*GOOGLEFINANCE(""CURRENCY:""&amp;Q2481&amp;""""&amp;Dashboard!$"&amp;"L$1&amp;""""))),K2481))"),"")</f>
        <v/>
      </c>
      <c r="S2481" s="266" t="str">
        <f>IFERROR(__xludf.DUMMYFUNCTION("IF(ISBLANK(A2481),"""",IFERROR(IF(OR(Q2481=""GPB"",Q2481=""ZAR""),IF(Q2481=Dashboard!$L$1,M2481,(M2481*GOOGLEFINANCE(""CURRENCY:""&amp;Q2481&amp;""""&amp;Dashboard!$L$1&amp;""""))/100),IF(Q2481=Dashboard!$L$1,M2481,M2481*GOOGLEFINANCE(""CURRENCY:""&amp;Q2481&amp;""""&amp;Dashboard!$"&amp;"L$1&amp;""""))),M2481))"),"")</f>
        <v/>
      </c>
      <c r="T2481" s="264" t="str">
        <f t="shared" si="4"/>
        <v/>
      </c>
      <c r="U2481" s="264" t="str">
        <f t="shared" si="5"/>
        <v/>
      </c>
      <c r="V2481" s="264" t="str">
        <f t="shared" si="6"/>
        <v/>
      </c>
      <c r="W2481" s="267" t="str">
        <f t="shared" si="8"/>
        <v/>
      </c>
      <c r="X2481" s="264" t="str">
        <f t="shared" si="7"/>
        <v/>
      </c>
    </row>
    <row r="2482" ht="15.75" customHeight="1">
      <c r="A2482" s="258"/>
      <c r="B2482" s="258"/>
      <c r="C2482" s="269"/>
      <c r="D2482" s="258"/>
      <c r="E2482" s="258"/>
      <c r="F2482" s="258"/>
      <c r="G2482" s="258"/>
      <c r="H2482" s="271"/>
      <c r="I2482" s="258"/>
      <c r="J2482" s="272"/>
      <c r="K2482" s="260"/>
      <c r="L2482" s="261"/>
      <c r="M2482" s="262" t="str">
        <f t="shared" si="1"/>
        <v/>
      </c>
      <c r="N2482" s="263" t="str">
        <f t="shared" si="2"/>
        <v/>
      </c>
      <c r="O2482" s="264" t="str">
        <f t="shared" si="3"/>
        <v/>
      </c>
      <c r="P2482" s="265" t="str">
        <f>IFERROR(__xludf.DUMMYFUNCTION("IF(ISBLANK(A2482),"""",IFERROR(IF(H2482=""Sell"",VLOOKUP(9^99,FILTER({ROW(P$2:P2481),P$2:P2481},D$2:D2481=D2482),2),(VLOOKUP(9^99,FILTER({ROW(P$2:P2481),P$2:P2481},D$2:D2481=D2482),2)*VLOOKUP(9^99,FILTER({ROW(O$2:O2481),O$2:O2481},D$2:D2481=D2482),2)-N248"&amp;"2)/O2482),J2482))"),"")</f>
        <v/>
      </c>
      <c r="Q2482" s="264" t="str">
        <f>IFERROR(__xludf.DUMMYFUNCTION("IFERROR(IF(F2482=""Crypto"",B2482,(IF(ISBLANK(D2482),"""",IF(D2482=""Cash"",B2482,IF(GOOGLEFINANCE(D2482,""CURRENCY"")=""GBX"",""GBP"",GOOGLEFINANCE(D2482,""CURRENCY"")))))),B2482)"),"")</f>
        <v/>
      </c>
      <c r="R2482" s="263" t="str">
        <f>IFERROR(__xludf.DUMMYFUNCTION("IF(ISBLANK(A2482),"""",IFERROR(IF(OR(Q2482=""GPB"",Q2482=""ZAR""),IF(Q2482=Dashboard!$L$1,K2482,(K2482*GOOGLEFINANCE(""CURRENCY:""&amp;Q2482&amp;""""&amp;Dashboard!$L$1&amp;""""))/100),IF(Q2482=Dashboard!$L$1,K2482,K2482*GOOGLEFINANCE(""CURRENCY:""&amp;Q2482&amp;""""&amp;Dashboard!$"&amp;"L$1&amp;""""))),K2482))"),"")</f>
        <v/>
      </c>
      <c r="S2482" s="266" t="str">
        <f>IFERROR(__xludf.DUMMYFUNCTION("IF(ISBLANK(A2482),"""",IFERROR(IF(OR(Q2482=""GPB"",Q2482=""ZAR""),IF(Q2482=Dashboard!$L$1,M2482,(M2482*GOOGLEFINANCE(""CURRENCY:""&amp;Q2482&amp;""""&amp;Dashboard!$L$1&amp;""""))/100),IF(Q2482=Dashboard!$L$1,M2482,M2482*GOOGLEFINANCE(""CURRENCY:""&amp;Q2482&amp;""""&amp;Dashboard!$"&amp;"L$1&amp;""""))),M2482))"),"")</f>
        <v/>
      </c>
      <c r="T2482" s="264" t="str">
        <f t="shared" si="4"/>
        <v/>
      </c>
      <c r="U2482" s="264" t="str">
        <f t="shared" si="5"/>
        <v/>
      </c>
      <c r="V2482" s="264" t="str">
        <f t="shared" si="6"/>
        <v/>
      </c>
      <c r="W2482" s="267" t="str">
        <f t="shared" si="8"/>
        <v/>
      </c>
      <c r="X2482" s="264" t="str">
        <f t="shared" si="7"/>
        <v/>
      </c>
    </row>
    <row r="2483" ht="15.75" customHeight="1">
      <c r="A2483" s="258"/>
      <c r="B2483" s="258"/>
      <c r="C2483" s="269"/>
      <c r="D2483" s="258"/>
      <c r="E2483" s="258"/>
      <c r="F2483" s="258"/>
      <c r="G2483" s="258"/>
      <c r="H2483" s="271"/>
      <c r="I2483" s="258"/>
      <c r="J2483" s="272"/>
      <c r="K2483" s="260"/>
      <c r="L2483" s="261"/>
      <c r="M2483" s="262" t="str">
        <f t="shared" si="1"/>
        <v/>
      </c>
      <c r="N2483" s="263" t="str">
        <f t="shared" si="2"/>
        <v/>
      </c>
      <c r="O2483" s="264" t="str">
        <f t="shared" si="3"/>
        <v/>
      </c>
      <c r="P2483" s="265" t="str">
        <f>IFERROR(__xludf.DUMMYFUNCTION("IF(ISBLANK(A2483),"""",IFERROR(IF(H2483=""Sell"",VLOOKUP(9^99,FILTER({ROW(P$2:P2482),P$2:P2482},D$2:D2482=D2483),2),(VLOOKUP(9^99,FILTER({ROW(P$2:P2482),P$2:P2482},D$2:D2482=D2483),2)*VLOOKUP(9^99,FILTER({ROW(O$2:O2482),O$2:O2482},D$2:D2482=D2483),2)-N248"&amp;"3)/O2483),J2483))"),"")</f>
        <v/>
      </c>
      <c r="Q2483" s="264" t="str">
        <f>IFERROR(__xludf.DUMMYFUNCTION("IFERROR(IF(F2483=""Crypto"",B2483,(IF(ISBLANK(D2483),"""",IF(D2483=""Cash"",B2483,IF(GOOGLEFINANCE(D2483,""CURRENCY"")=""GBX"",""GBP"",GOOGLEFINANCE(D2483,""CURRENCY"")))))),B2483)"),"")</f>
        <v/>
      </c>
      <c r="R2483" s="263" t="str">
        <f>IFERROR(__xludf.DUMMYFUNCTION("IF(ISBLANK(A2483),"""",IFERROR(IF(OR(Q2483=""GPB"",Q2483=""ZAR""),IF(Q2483=Dashboard!$L$1,K2483,(K2483*GOOGLEFINANCE(""CURRENCY:""&amp;Q2483&amp;""""&amp;Dashboard!$L$1&amp;""""))/100),IF(Q2483=Dashboard!$L$1,K2483,K2483*GOOGLEFINANCE(""CURRENCY:""&amp;Q2483&amp;""""&amp;Dashboard!$"&amp;"L$1&amp;""""))),K2483))"),"")</f>
        <v/>
      </c>
      <c r="S2483" s="266" t="str">
        <f>IFERROR(__xludf.DUMMYFUNCTION("IF(ISBLANK(A2483),"""",IFERROR(IF(OR(Q2483=""GPB"",Q2483=""ZAR""),IF(Q2483=Dashboard!$L$1,M2483,(M2483*GOOGLEFINANCE(""CURRENCY:""&amp;Q2483&amp;""""&amp;Dashboard!$L$1&amp;""""))/100),IF(Q2483=Dashboard!$L$1,M2483,M2483*GOOGLEFINANCE(""CURRENCY:""&amp;Q2483&amp;""""&amp;Dashboard!$"&amp;"L$1&amp;""""))),M2483))"),"")</f>
        <v/>
      </c>
      <c r="T2483" s="264" t="str">
        <f t="shared" si="4"/>
        <v/>
      </c>
      <c r="U2483" s="264" t="str">
        <f t="shared" si="5"/>
        <v/>
      </c>
      <c r="V2483" s="264" t="str">
        <f t="shared" si="6"/>
        <v/>
      </c>
      <c r="W2483" s="267" t="str">
        <f t="shared" si="8"/>
        <v/>
      </c>
      <c r="X2483" s="264" t="str">
        <f t="shared" si="7"/>
        <v/>
      </c>
    </row>
    <row r="2484" ht="15.75" customHeight="1">
      <c r="A2484" s="258"/>
      <c r="B2484" s="258"/>
      <c r="C2484" s="269"/>
      <c r="D2484" s="258"/>
      <c r="E2484" s="258"/>
      <c r="F2484" s="258"/>
      <c r="G2484" s="258"/>
      <c r="H2484" s="271"/>
      <c r="I2484" s="258"/>
      <c r="J2484" s="272"/>
      <c r="K2484" s="260"/>
      <c r="L2484" s="261"/>
      <c r="M2484" s="262" t="str">
        <f t="shared" si="1"/>
        <v/>
      </c>
      <c r="N2484" s="263" t="str">
        <f t="shared" si="2"/>
        <v/>
      </c>
      <c r="O2484" s="264" t="str">
        <f t="shared" si="3"/>
        <v/>
      </c>
      <c r="P2484" s="265" t="str">
        <f>IFERROR(__xludf.DUMMYFUNCTION("IF(ISBLANK(A2484),"""",IFERROR(IF(H2484=""Sell"",VLOOKUP(9^99,FILTER({ROW(P$2:P2483),P$2:P2483},D$2:D2483=D2484),2),(VLOOKUP(9^99,FILTER({ROW(P$2:P2483),P$2:P2483},D$2:D2483=D2484),2)*VLOOKUP(9^99,FILTER({ROW(O$2:O2483),O$2:O2483},D$2:D2483=D2484),2)-N248"&amp;"4)/O2484),J2484))"),"")</f>
        <v/>
      </c>
      <c r="Q2484" s="264" t="str">
        <f>IFERROR(__xludf.DUMMYFUNCTION("IFERROR(IF(F2484=""Crypto"",B2484,(IF(ISBLANK(D2484),"""",IF(D2484=""Cash"",B2484,IF(GOOGLEFINANCE(D2484,""CURRENCY"")=""GBX"",""GBP"",GOOGLEFINANCE(D2484,""CURRENCY"")))))),B2484)"),"")</f>
        <v/>
      </c>
      <c r="R2484" s="263" t="str">
        <f>IFERROR(__xludf.DUMMYFUNCTION("IF(ISBLANK(A2484),"""",IFERROR(IF(OR(Q2484=""GPB"",Q2484=""ZAR""),IF(Q2484=Dashboard!$L$1,K2484,(K2484*GOOGLEFINANCE(""CURRENCY:""&amp;Q2484&amp;""""&amp;Dashboard!$L$1&amp;""""))/100),IF(Q2484=Dashboard!$L$1,K2484,K2484*GOOGLEFINANCE(""CURRENCY:""&amp;Q2484&amp;""""&amp;Dashboard!$"&amp;"L$1&amp;""""))),K2484))"),"")</f>
        <v/>
      </c>
      <c r="S2484" s="266" t="str">
        <f>IFERROR(__xludf.DUMMYFUNCTION("IF(ISBLANK(A2484),"""",IFERROR(IF(OR(Q2484=""GPB"",Q2484=""ZAR""),IF(Q2484=Dashboard!$L$1,M2484,(M2484*GOOGLEFINANCE(""CURRENCY:""&amp;Q2484&amp;""""&amp;Dashboard!$L$1&amp;""""))/100),IF(Q2484=Dashboard!$L$1,M2484,M2484*GOOGLEFINANCE(""CURRENCY:""&amp;Q2484&amp;""""&amp;Dashboard!$"&amp;"L$1&amp;""""))),M2484))"),"")</f>
        <v/>
      </c>
      <c r="T2484" s="264" t="str">
        <f t="shared" si="4"/>
        <v/>
      </c>
      <c r="U2484" s="264" t="str">
        <f t="shared" si="5"/>
        <v/>
      </c>
      <c r="V2484" s="264" t="str">
        <f t="shared" si="6"/>
        <v/>
      </c>
      <c r="W2484" s="267" t="str">
        <f t="shared" si="8"/>
        <v/>
      </c>
      <c r="X2484" s="264" t="str">
        <f t="shared" si="7"/>
        <v/>
      </c>
    </row>
    <row r="2485" ht="15.75" customHeight="1">
      <c r="A2485" s="258"/>
      <c r="B2485" s="258"/>
      <c r="C2485" s="269"/>
      <c r="D2485" s="258"/>
      <c r="E2485" s="258"/>
      <c r="F2485" s="258"/>
      <c r="G2485" s="258"/>
      <c r="H2485" s="271"/>
      <c r="I2485" s="258"/>
      <c r="J2485" s="272"/>
      <c r="K2485" s="260"/>
      <c r="L2485" s="261"/>
      <c r="M2485" s="262" t="str">
        <f t="shared" si="1"/>
        <v/>
      </c>
      <c r="N2485" s="263" t="str">
        <f t="shared" si="2"/>
        <v/>
      </c>
      <c r="O2485" s="264" t="str">
        <f t="shared" si="3"/>
        <v/>
      </c>
      <c r="P2485" s="265" t="str">
        <f>IFERROR(__xludf.DUMMYFUNCTION("IF(ISBLANK(A2485),"""",IFERROR(IF(H2485=""Sell"",VLOOKUP(9^99,FILTER({ROW(P$2:P2484),P$2:P2484},D$2:D2484=D2485),2),(VLOOKUP(9^99,FILTER({ROW(P$2:P2484),P$2:P2484},D$2:D2484=D2485),2)*VLOOKUP(9^99,FILTER({ROW(O$2:O2484),O$2:O2484},D$2:D2484=D2485),2)-N248"&amp;"5)/O2485),J2485))"),"")</f>
        <v/>
      </c>
      <c r="Q2485" s="264" t="str">
        <f>IFERROR(__xludf.DUMMYFUNCTION("IFERROR(IF(F2485=""Crypto"",B2485,(IF(ISBLANK(D2485),"""",IF(D2485=""Cash"",B2485,IF(GOOGLEFINANCE(D2485,""CURRENCY"")=""GBX"",""GBP"",GOOGLEFINANCE(D2485,""CURRENCY"")))))),B2485)"),"")</f>
        <v/>
      </c>
      <c r="R2485" s="263" t="str">
        <f>IFERROR(__xludf.DUMMYFUNCTION("IF(ISBLANK(A2485),"""",IFERROR(IF(OR(Q2485=""GPB"",Q2485=""ZAR""),IF(Q2485=Dashboard!$L$1,K2485,(K2485*GOOGLEFINANCE(""CURRENCY:""&amp;Q2485&amp;""""&amp;Dashboard!$L$1&amp;""""))/100),IF(Q2485=Dashboard!$L$1,K2485,K2485*GOOGLEFINANCE(""CURRENCY:""&amp;Q2485&amp;""""&amp;Dashboard!$"&amp;"L$1&amp;""""))),K2485))"),"")</f>
        <v/>
      </c>
      <c r="S2485" s="266" t="str">
        <f>IFERROR(__xludf.DUMMYFUNCTION("IF(ISBLANK(A2485),"""",IFERROR(IF(OR(Q2485=""GPB"",Q2485=""ZAR""),IF(Q2485=Dashboard!$L$1,M2485,(M2485*GOOGLEFINANCE(""CURRENCY:""&amp;Q2485&amp;""""&amp;Dashboard!$L$1&amp;""""))/100),IF(Q2485=Dashboard!$L$1,M2485,M2485*GOOGLEFINANCE(""CURRENCY:""&amp;Q2485&amp;""""&amp;Dashboard!$"&amp;"L$1&amp;""""))),M2485))"),"")</f>
        <v/>
      </c>
      <c r="T2485" s="264" t="str">
        <f t="shared" si="4"/>
        <v/>
      </c>
      <c r="U2485" s="264" t="str">
        <f t="shared" si="5"/>
        <v/>
      </c>
      <c r="V2485" s="264" t="str">
        <f t="shared" si="6"/>
        <v/>
      </c>
      <c r="W2485" s="267" t="str">
        <f t="shared" si="8"/>
        <v/>
      </c>
      <c r="X2485" s="264" t="str">
        <f t="shared" si="7"/>
        <v/>
      </c>
    </row>
    <row r="2486" ht="15.75" customHeight="1">
      <c r="A2486" s="258"/>
      <c r="B2486" s="258"/>
      <c r="C2486" s="269"/>
      <c r="D2486" s="258"/>
      <c r="E2486" s="258"/>
      <c r="F2486" s="258"/>
      <c r="G2486" s="258"/>
      <c r="H2486" s="271"/>
      <c r="I2486" s="258"/>
      <c r="J2486" s="272"/>
      <c r="K2486" s="260"/>
      <c r="L2486" s="261"/>
      <c r="M2486" s="262" t="str">
        <f t="shared" si="1"/>
        <v/>
      </c>
      <c r="N2486" s="263" t="str">
        <f t="shared" si="2"/>
        <v/>
      </c>
      <c r="O2486" s="264" t="str">
        <f t="shared" si="3"/>
        <v/>
      </c>
      <c r="P2486" s="265" t="str">
        <f>IFERROR(__xludf.DUMMYFUNCTION("IF(ISBLANK(A2486),"""",IFERROR(IF(H2486=""Sell"",VLOOKUP(9^99,FILTER({ROW(P$2:P2485),P$2:P2485},D$2:D2485=D2486),2),(VLOOKUP(9^99,FILTER({ROW(P$2:P2485),P$2:P2485},D$2:D2485=D2486),2)*VLOOKUP(9^99,FILTER({ROW(O$2:O2485),O$2:O2485},D$2:D2485=D2486),2)-N248"&amp;"6)/O2486),J2486))"),"")</f>
        <v/>
      </c>
      <c r="Q2486" s="264" t="str">
        <f>IFERROR(__xludf.DUMMYFUNCTION("IFERROR(IF(F2486=""Crypto"",B2486,(IF(ISBLANK(D2486),"""",IF(D2486=""Cash"",B2486,IF(GOOGLEFINANCE(D2486,""CURRENCY"")=""GBX"",""GBP"",GOOGLEFINANCE(D2486,""CURRENCY"")))))),B2486)"),"")</f>
        <v/>
      </c>
      <c r="R2486" s="263" t="str">
        <f>IFERROR(__xludf.DUMMYFUNCTION("IF(ISBLANK(A2486),"""",IFERROR(IF(OR(Q2486=""GPB"",Q2486=""ZAR""),IF(Q2486=Dashboard!$L$1,K2486,(K2486*GOOGLEFINANCE(""CURRENCY:""&amp;Q2486&amp;""""&amp;Dashboard!$L$1&amp;""""))/100),IF(Q2486=Dashboard!$L$1,K2486,K2486*GOOGLEFINANCE(""CURRENCY:""&amp;Q2486&amp;""""&amp;Dashboard!$"&amp;"L$1&amp;""""))),K2486))"),"")</f>
        <v/>
      </c>
      <c r="S2486" s="266" t="str">
        <f>IFERROR(__xludf.DUMMYFUNCTION("IF(ISBLANK(A2486),"""",IFERROR(IF(OR(Q2486=""GPB"",Q2486=""ZAR""),IF(Q2486=Dashboard!$L$1,M2486,(M2486*GOOGLEFINANCE(""CURRENCY:""&amp;Q2486&amp;""""&amp;Dashboard!$L$1&amp;""""))/100),IF(Q2486=Dashboard!$L$1,M2486,M2486*GOOGLEFINANCE(""CURRENCY:""&amp;Q2486&amp;""""&amp;Dashboard!$"&amp;"L$1&amp;""""))),M2486))"),"")</f>
        <v/>
      </c>
      <c r="T2486" s="264" t="str">
        <f t="shared" si="4"/>
        <v/>
      </c>
      <c r="U2486" s="264" t="str">
        <f t="shared" si="5"/>
        <v/>
      </c>
      <c r="V2486" s="264" t="str">
        <f t="shared" si="6"/>
        <v/>
      </c>
      <c r="W2486" s="267" t="str">
        <f t="shared" si="8"/>
        <v/>
      </c>
      <c r="X2486" s="264" t="str">
        <f t="shared" si="7"/>
        <v/>
      </c>
    </row>
    <row r="2487" ht="15.75" customHeight="1">
      <c r="A2487" s="258"/>
      <c r="B2487" s="258"/>
      <c r="C2487" s="269"/>
      <c r="D2487" s="258"/>
      <c r="E2487" s="258"/>
      <c r="F2487" s="258"/>
      <c r="G2487" s="258"/>
      <c r="H2487" s="271"/>
      <c r="I2487" s="258"/>
      <c r="J2487" s="272"/>
      <c r="K2487" s="260"/>
      <c r="L2487" s="261"/>
      <c r="M2487" s="262" t="str">
        <f t="shared" si="1"/>
        <v/>
      </c>
      <c r="N2487" s="263" t="str">
        <f t="shared" si="2"/>
        <v/>
      </c>
      <c r="O2487" s="264" t="str">
        <f t="shared" si="3"/>
        <v/>
      </c>
      <c r="P2487" s="265" t="str">
        <f>IFERROR(__xludf.DUMMYFUNCTION("IF(ISBLANK(A2487),"""",IFERROR(IF(H2487=""Sell"",VLOOKUP(9^99,FILTER({ROW(P$2:P2486),P$2:P2486},D$2:D2486=D2487),2),(VLOOKUP(9^99,FILTER({ROW(P$2:P2486),P$2:P2486},D$2:D2486=D2487),2)*VLOOKUP(9^99,FILTER({ROW(O$2:O2486),O$2:O2486},D$2:D2486=D2487),2)-N248"&amp;"7)/O2487),J2487))"),"")</f>
        <v/>
      </c>
      <c r="Q2487" s="264" t="str">
        <f>IFERROR(__xludf.DUMMYFUNCTION("IFERROR(IF(F2487=""Crypto"",B2487,(IF(ISBLANK(D2487),"""",IF(D2487=""Cash"",B2487,IF(GOOGLEFINANCE(D2487,""CURRENCY"")=""GBX"",""GBP"",GOOGLEFINANCE(D2487,""CURRENCY"")))))),B2487)"),"")</f>
        <v/>
      </c>
      <c r="R2487" s="263" t="str">
        <f>IFERROR(__xludf.DUMMYFUNCTION("IF(ISBLANK(A2487),"""",IFERROR(IF(OR(Q2487=""GPB"",Q2487=""ZAR""),IF(Q2487=Dashboard!$L$1,K2487,(K2487*GOOGLEFINANCE(""CURRENCY:""&amp;Q2487&amp;""""&amp;Dashboard!$L$1&amp;""""))/100),IF(Q2487=Dashboard!$L$1,K2487,K2487*GOOGLEFINANCE(""CURRENCY:""&amp;Q2487&amp;""""&amp;Dashboard!$"&amp;"L$1&amp;""""))),K2487))"),"")</f>
        <v/>
      </c>
      <c r="S2487" s="266" t="str">
        <f>IFERROR(__xludf.DUMMYFUNCTION("IF(ISBLANK(A2487),"""",IFERROR(IF(OR(Q2487=""GPB"",Q2487=""ZAR""),IF(Q2487=Dashboard!$L$1,M2487,(M2487*GOOGLEFINANCE(""CURRENCY:""&amp;Q2487&amp;""""&amp;Dashboard!$L$1&amp;""""))/100),IF(Q2487=Dashboard!$L$1,M2487,M2487*GOOGLEFINANCE(""CURRENCY:""&amp;Q2487&amp;""""&amp;Dashboard!$"&amp;"L$1&amp;""""))),M2487))"),"")</f>
        <v/>
      </c>
      <c r="T2487" s="264" t="str">
        <f t="shared" si="4"/>
        <v/>
      </c>
      <c r="U2487" s="264" t="str">
        <f t="shared" si="5"/>
        <v/>
      </c>
      <c r="V2487" s="264" t="str">
        <f t="shared" si="6"/>
        <v/>
      </c>
      <c r="W2487" s="267" t="str">
        <f t="shared" si="8"/>
        <v/>
      </c>
      <c r="X2487" s="264" t="str">
        <f t="shared" si="7"/>
        <v/>
      </c>
    </row>
    <row r="2488" ht="15.75" customHeight="1">
      <c r="A2488" s="258"/>
      <c r="B2488" s="258"/>
      <c r="C2488" s="269"/>
      <c r="D2488" s="258"/>
      <c r="E2488" s="258"/>
      <c r="F2488" s="258"/>
      <c r="G2488" s="258"/>
      <c r="H2488" s="271"/>
      <c r="I2488" s="258"/>
      <c r="J2488" s="272"/>
      <c r="K2488" s="260"/>
      <c r="L2488" s="261"/>
      <c r="M2488" s="262" t="str">
        <f t="shared" si="1"/>
        <v/>
      </c>
      <c r="N2488" s="263" t="str">
        <f t="shared" si="2"/>
        <v/>
      </c>
      <c r="O2488" s="264" t="str">
        <f t="shared" si="3"/>
        <v/>
      </c>
      <c r="P2488" s="265" t="str">
        <f>IFERROR(__xludf.DUMMYFUNCTION("IF(ISBLANK(A2488),"""",IFERROR(IF(H2488=""Sell"",VLOOKUP(9^99,FILTER({ROW(P$2:P2487),P$2:P2487},D$2:D2487=D2488),2),(VLOOKUP(9^99,FILTER({ROW(P$2:P2487),P$2:P2487},D$2:D2487=D2488),2)*VLOOKUP(9^99,FILTER({ROW(O$2:O2487),O$2:O2487},D$2:D2487=D2488),2)-N248"&amp;"8)/O2488),J2488))"),"")</f>
        <v/>
      </c>
      <c r="Q2488" s="264" t="str">
        <f>IFERROR(__xludf.DUMMYFUNCTION("IFERROR(IF(F2488=""Crypto"",B2488,(IF(ISBLANK(D2488),"""",IF(D2488=""Cash"",B2488,IF(GOOGLEFINANCE(D2488,""CURRENCY"")=""GBX"",""GBP"",GOOGLEFINANCE(D2488,""CURRENCY"")))))),B2488)"),"")</f>
        <v/>
      </c>
      <c r="R2488" s="263" t="str">
        <f>IFERROR(__xludf.DUMMYFUNCTION("IF(ISBLANK(A2488),"""",IFERROR(IF(OR(Q2488=""GPB"",Q2488=""ZAR""),IF(Q2488=Dashboard!$L$1,K2488,(K2488*GOOGLEFINANCE(""CURRENCY:""&amp;Q2488&amp;""""&amp;Dashboard!$L$1&amp;""""))/100),IF(Q2488=Dashboard!$L$1,K2488,K2488*GOOGLEFINANCE(""CURRENCY:""&amp;Q2488&amp;""""&amp;Dashboard!$"&amp;"L$1&amp;""""))),K2488))"),"")</f>
        <v/>
      </c>
      <c r="S2488" s="266" t="str">
        <f>IFERROR(__xludf.DUMMYFUNCTION("IF(ISBLANK(A2488),"""",IFERROR(IF(OR(Q2488=""GPB"",Q2488=""ZAR""),IF(Q2488=Dashboard!$L$1,M2488,(M2488*GOOGLEFINANCE(""CURRENCY:""&amp;Q2488&amp;""""&amp;Dashboard!$L$1&amp;""""))/100),IF(Q2488=Dashboard!$L$1,M2488,M2488*GOOGLEFINANCE(""CURRENCY:""&amp;Q2488&amp;""""&amp;Dashboard!$"&amp;"L$1&amp;""""))),M2488))"),"")</f>
        <v/>
      </c>
      <c r="T2488" s="264" t="str">
        <f t="shared" si="4"/>
        <v/>
      </c>
      <c r="U2488" s="264" t="str">
        <f t="shared" si="5"/>
        <v/>
      </c>
      <c r="V2488" s="264" t="str">
        <f t="shared" si="6"/>
        <v/>
      </c>
      <c r="W2488" s="267" t="str">
        <f t="shared" si="8"/>
        <v/>
      </c>
      <c r="X2488" s="264" t="str">
        <f t="shared" si="7"/>
        <v/>
      </c>
    </row>
    <row r="2489" ht="15.75" customHeight="1">
      <c r="A2489" s="258"/>
      <c r="B2489" s="258"/>
      <c r="C2489" s="269"/>
      <c r="D2489" s="258"/>
      <c r="E2489" s="258"/>
      <c r="F2489" s="258"/>
      <c r="G2489" s="258"/>
      <c r="H2489" s="271"/>
      <c r="I2489" s="258"/>
      <c r="J2489" s="272"/>
      <c r="K2489" s="260"/>
      <c r="L2489" s="261"/>
      <c r="M2489" s="262" t="str">
        <f t="shared" si="1"/>
        <v/>
      </c>
      <c r="N2489" s="263" t="str">
        <f t="shared" si="2"/>
        <v/>
      </c>
      <c r="O2489" s="264" t="str">
        <f t="shared" si="3"/>
        <v/>
      </c>
      <c r="P2489" s="265" t="str">
        <f>IFERROR(__xludf.DUMMYFUNCTION("IF(ISBLANK(A2489),"""",IFERROR(IF(H2489=""Sell"",VLOOKUP(9^99,FILTER({ROW(P$2:P2488),P$2:P2488},D$2:D2488=D2489),2),(VLOOKUP(9^99,FILTER({ROW(P$2:P2488),P$2:P2488},D$2:D2488=D2489),2)*VLOOKUP(9^99,FILTER({ROW(O$2:O2488),O$2:O2488},D$2:D2488=D2489),2)-N248"&amp;"9)/O2489),J2489))"),"")</f>
        <v/>
      </c>
      <c r="Q2489" s="264" t="str">
        <f>IFERROR(__xludf.DUMMYFUNCTION("IFERROR(IF(F2489=""Crypto"",B2489,(IF(ISBLANK(D2489),"""",IF(D2489=""Cash"",B2489,IF(GOOGLEFINANCE(D2489,""CURRENCY"")=""GBX"",""GBP"",GOOGLEFINANCE(D2489,""CURRENCY"")))))),B2489)"),"")</f>
        <v/>
      </c>
      <c r="R2489" s="263" t="str">
        <f>IFERROR(__xludf.DUMMYFUNCTION("IF(ISBLANK(A2489),"""",IFERROR(IF(OR(Q2489=""GPB"",Q2489=""ZAR""),IF(Q2489=Dashboard!$L$1,K2489,(K2489*GOOGLEFINANCE(""CURRENCY:""&amp;Q2489&amp;""""&amp;Dashboard!$L$1&amp;""""))/100),IF(Q2489=Dashboard!$L$1,K2489,K2489*GOOGLEFINANCE(""CURRENCY:""&amp;Q2489&amp;""""&amp;Dashboard!$"&amp;"L$1&amp;""""))),K2489))"),"")</f>
        <v/>
      </c>
      <c r="S2489" s="266" t="str">
        <f>IFERROR(__xludf.DUMMYFUNCTION("IF(ISBLANK(A2489),"""",IFERROR(IF(OR(Q2489=""GPB"",Q2489=""ZAR""),IF(Q2489=Dashboard!$L$1,M2489,(M2489*GOOGLEFINANCE(""CURRENCY:""&amp;Q2489&amp;""""&amp;Dashboard!$L$1&amp;""""))/100),IF(Q2489=Dashboard!$L$1,M2489,M2489*GOOGLEFINANCE(""CURRENCY:""&amp;Q2489&amp;""""&amp;Dashboard!$"&amp;"L$1&amp;""""))),M2489))"),"")</f>
        <v/>
      </c>
      <c r="T2489" s="264" t="str">
        <f t="shared" si="4"/>
        <v/>
      </c>
      <c r="U2489" s="264" t="str">
        <f t="shared" si="5"/>
        <v/>
      </c>
      <c r="V2489" s="264" t="str">
        <f t="shared" si="6"/>
        <v/>
      </c>
      <c r="W2489" s="267" t="str">
        <f t="shared" si="8"/>
        <v/>
      </c>
      <c r="X2489" s="264" t="str">
        <f t="shared" si="7"/>
        <v/>
      </c>
    </row>
    <row r="2490" ht="15.75" customHeight="1">
      <c r="A2490" s="258"/>
      <c r="B2490" s="258"/>
      <c r="C2490" s="269"/>
      <c r="D2490" s="258"/>
      <c r="E2490" s="258"/>
      <c r="F2490" s="258"/>
      <c r="G2490" s="258"/>
      <c r="H2490" s="271"/>
      <c r="I2490" s="258"/>
      <c r="J2490" s="272"/>
      <c r="K2490" s="260"/>
      <c r="L2490" s="261"/>
      <c r="M2490" s="262" t="str">
        <f t="shared" si="1"/>
        <v/>
      </c>
      <c r="N2490" s="263" t="str">
        <f t="shared" si="2"/>
        <v/>
      </c>
      <c r="O2490" s="264" t="str">
        <f t="shared" si="3"/>
        <v/>
      </c>
      <c r="P2490" s="265" t="str">
        <f>IFERROR(__xludf.DUMMYFUNCTION("IF(ISBLANK(A2490),"""",IFERROR(IF(H2490=""Sell"",VLOOKUP(9^99,FILTER({ROW(P$2:P2489),P$2:P2489},D$2:D2489=D2490),2),(VLOOKUP(9^99,FILTER({ROW(P$2:P2489),P$2:P2489},D$2:D2489=D2490),2)*VLOOKUP(9^99,FILTER({ROW(O$2:O2489),O$2:O2489},D$2:D2489=D2490),2)-N249"&amp;"0)/O2490),J2490))"),"")</f>
        <v/>
      </c>
      <c r="Q2490" s="264" t="str">
        <f>IFERROR(__xludf.DUMMYFUNCTION("IFERROR(IF(F2490=""Crypto"",B2490,(IF(ISBLANK(D2490),"""",IF(D2490=""Cash"",B2490,IF(GOOGLEFINANCE(D2490,""CURRENCY"")=""GBX"",""GBP"",GOOGLEFINANCE(D2490,""CURRENCY"")))))),B2490)"),"")</f>
        <v/>
      </c>
      <c r="R2490" s="263" t="str">
        <f>IFERROR(__xludf.DUMMYFUNCTION("IF(ISBLANK(A2490),"""",IFERROR(IF(OR(Q2490=""GPB"",Q2490=""ZAR""),IF(Q2490=Dashboard!$L$1,K2490,(K2490*GOOGLEFINANCE(""CURRENCY:""&amp;Q2490&amp;""""&amp;Dashboard!$L$1&amp;""""))/100),IF(Q2490=Dashboard!$L$1,K2490,K2490*GOOGLEFINANCE(""CURRENCY:""&amp;Q2490&amp;""""&amp;Dashboard!$"&amp;"L$1&amp;""""))),K2490))"),"")</f>
        <v/>
      </c>
      <c r="S2490" s="266" t="str">
        <f>IFERROR(__xludf.DUMMYFUNCTION("IF(ISBLANK(A2490),"""",IFERROR(IF(OR(Q2490=""GPB"",Q2490=""ZAR""),IF(Q2490=Dashboard!$L$1,M2490,(M2490*GOOGLEFINANCE(""CURRENCY:""&amp;Q2490&amp;""""&amp;Dashboard!$L$1&amp;""""))/100),IF(Q2490=Dashboard!$L$1,M2490,M2490*GOOGLEFINANCE(""CURRENCY:""&amp;Q2490&amp;""""&amp;Dashboard!$"&amp;"L$1&amp;""""))),M2490))"),"")</f>
        <v/>
      </c>
      <c r="T2490" s="264" t="str">
        <f t="shared" si="4"/>
        <v/>
      </c>
      <c r="U2490" s="264" t="str">
        <f t="shared" si="5"/>
        <v/>
      </c>
      <c r="V2490" s="264" t="str">
        <f t="shared" si="6"/>
        <v/>
      </c>
      <c r="W2490" s="267" t="str">
        <f t="shared" si="8"/>
        <v/>
      </c>
      <c r="X2490" s="264" t="str">
        <f t="shared" si="7"/>
        <v/>
      </c>
    </row>
    <row r="2491" ht="15.75" customHeight="1">
      <c r="A2491" s="258"/>
      <c r="B2491" s="258"/>
      <c r="C2491" s="269"/>
      <c r="D2491" s="258"/>
      <c r="E2491" s="258"/>
      <c r="F2491" s="258"/>
      <c r="G2491" s="258"/>
      <c r="H2491" s="271"/>
      <c r="I2491" s="258"/>
      <c r="J2491" s="272"/>
      <c r="K2491" s="260"/>
      <c r="L2491" s="261"/>
      <c r="M2491" s="262" t="str">
        <f t="shared" si="1"/>
        <v/>
      </c>
      <c r="N2491" s="263" t="str">
        <f t="shared" si="2"/>
        <v/>
      </c>
      <c r="O2491" s="264" t="str">
        <f t="shared" si="3"/>
        <v/>
      </c>
      <c r="P2491" s="265" t="str">
        <f>IFERROR(__xludf.DUMMYFUNCTION("IF(ISBLANK(A2491),"""",IFERROR(IF(H2491=""Sell"",VLOOKUP(9^99,FILTER({ROW(P$2:P2490),P$2:P2490},D$2:D2490=D2491),2),(VLOOKUP(9^99,FILTER({ROW(P$2:P2490),P$2:P2490},D$2:D2490=D2491),2)*VLOOKUP(9^99,FILTER({ROW(O$2:O2490),O$2:O2490},D$2:D2490=D2491),2)-N249"&amp;"1)/O2491),J2491))"),"")</f>
        <v/>
      </c>
      <c r="Q2491" s="264" t="str">
        <f>IFERROR(__xludf.DUMMYFUNCTION("IFERROR(IF(F2491=""Crypto"",B2491,(IF(ISBLANK(D2491),"""",IF(D2491=""Cash"",B2491,IF(GOOGLEFINANCE(D2491,""CURRENCY"")=""GBX"",""GBP"",GOOGLEFINANCE(D2491,""CURRENCY"")))))),B2491)"),"")</f>
        <v/>
      </c>
      <c r="R2491" s="263" t="str">
        <f>IFERROR(__xludf.DUMMYFUNCTION("IF(ISBLANK(A2491),"""",IFERROR(IF(OR(Q2491=""GPB"",Q2491=""ZAR""),IF(Q2491=Dashboard!$L$1,K2491,(K2491*GOOGLEFINANCE(""CURRENCY:""&amp;Q2491&amp;""""&amp;Dashboard!$L$1&amp;""""))/100),IF(Q2491=Dashboard!$L$1,K2491,K2491*GOOGLEFINANCE(""CURRENCY:""&amp;Q2491&amp;""""&amp;Dashboard!$"&amp;"L$1&amp;""""))),K2491))"),"")</f>
        <v/>
      </c>
      <c r="S2491" s="266" t="str">
        <f>IFERROR(__xludf.DUMMYFUNCTION("IF(ISBLANK(A2491),"""",IFERROR(IF(OR(Q2491=""GPB"",Q2491=""ZAR""),IF(Q2491=Dashboard!$L$1,M2491,(M2491*GOOGLEFINANCE(""CURRENCY:""&amp;Q2491&amp;""""&amp;Dashboard!$L$1&amp;""""))/100),IF(Q2491=Dashboard!$L$1,M2491,M2491*GOOGLEFINANCE(""CURRENCY:""&amp;Q2491&amp;""""&amp;Dashboard!$"&amp;"L$1&amp;""""))),M2491))"),"")</f>
        <v/>
      </c>
      <c r="T2491" s="264" t="str">
        <f t="shared" si="4"/>
        <v/>
      </c>
      <c r="U2491" s="264" t="str">
        <f t="shared" si="5"/>
        <v/>
      </c>
      <c r="V2491" s="264" t="str">
        <f t="shared" si="6"/>
        <v/>
      </c>
      <c r="W2491" s="267" t="str">
        <f t="shared" si="8"/>
        <v/>
      </c>
      <c r="X2491" s="264" t="str">
        <f t="shared" si="7"/>
        <v/>
      </c>
    </row>
    <row r="2492" ht="15.75" customHeight="1">
      <c r="A2492" s="258"/>
      <c r="B2492" s="258"/>
      <c r="C2492" s="269"/>
      <c r="D2492" s="258"/>
      <c r="E2492" s="258"/>
      <c r="F2492" s="258"/>
      <c r="G2492" s="258"/>
      <c r="H2492" s="271"/>
      <c r="I2492" s="258"/>
      <c r="J2492" s="272"/>
      <c r="K2492" s="260"/>
      <c r="L2492" s="261"/>
      <c r="M2492" s="262" t="str">
        <f t="shared" si="1"/>
        <v/>
      </c>
      <c r="N2492" s="263" t="str">
        <f t="shared" si="2"/>
        <v/>
      </c>
      <c r="O2492" s="264" t="str">
        <f t="shared" si="3"/>
        <v/>
      </c>
      <c r="P2492" s="265" t="str">
        <f>IFERROR(__xludf.DUMMYFUNCTION("IF(ISBLANK(A2492),"""",IFERROR(IF(H2492=""Sell"",VLOOKUP(9^99,FILTER({ROW(P$2:P2491),P$2:P2491},D$2:D2491=D2492),2),(VLOOKUP(9^99,FILTER({ROW(P$2:P2491),P$2:P2491},D$2:D2491=D2492),2)*VLOOKUP(9^99,FILTER({ROW(O$2:O2491),O$2:O2491},D$2:D2491=D2492),2)-N249"&amp;"2)/O2492),J2492))"),"")</f>
        <v/>
      </c>
      <c r="Q2492" s="264" t="str">
        <f>IFERROR(__xludf.DUMMYFUNCTION("IFERROR(IF(F2492=""Crypto"",B2492,(IF(ISBLANK(D2492),"""",IF(D2492=""Cash"",B2492,IF(GOOGLEFINANCE(D2492,""CURRENCY"")=""GBX"",""GBP"",GOOGLEFINANCE(D2492,""CURRENCY"")))))),B2492)"),"")</f>
        <v/>
      </c>
      <c r="R2492" s="263" t="str">
        <f>IFERROR(__xludf.DUMMYFUNCTION("IF(ISBLANK(A2492),"""",IFERROR(IF(OR(Q2492=""GPB"",Q2492=""ZAR""),IF(Q2492=Dashboard!$L$1,K2492,(K2492*GOOGLEFINANCE(""CURRENCY:""&amp;Q2492&amp;""""&amp;Dashboard!$L$1&amp;""""))/100),IF(Q2492=Dashboard!$L$1,K2492,K2492*GOOGLEFINANCE(""CURRENCY:""&amp;Q2492&amp;""""&amp;Dashboard!$"&amp;"L$1&amp;""""))),K2492))"),"")</f>
        <v/>
      </c>
      <c r="S2492" s="266" t="str">
        <f>IFERROR(__xludf.DUMMYFUNCTION("IF(ISBLANK(A2492),"""",IFERROR(IF(OR(Q2492=""GPB"",Q2492=""ZAR""),IF(Q2492=Dashboard!$L$1,M2492,(M2492*GOOGLEFINANCE(""CURRENCY:""&amp;Q2492&amp;""""&amp;Dashboard!$L$1&amp;""""))/100),IF(Q2492=Dashboard!$L$1,M2492,M2492*GOOGLEFINANCE(""CURRENCY:""&amp;Q2492&amp;""""&amp;Dashboard!$"&amp;"L$1&amp;""""))),M2492))"),"")</f>
        <v/>
      </c>
      <c r="T2492" s="264" t="str">
        <f t="shared" si="4"/>
        <v/>
      </c>
      <c r="U2492" s="264" t="str">
        <f t="shared" si="5"/>
        <v/>
      </c>
      <c r="V2492" s="264" t="str">
        <f t="shared" si="6"/>
        <v/>
      </c>
      <c r="W2492" s="267" t="str">
        <f t="shared" si="8"/>
        <v/>
      </c>
      <c r="X2492" s="264" t="str">
        <f t="shared" si="7"/>
        <v/>
      </c>
    </row>
    <row r="2493" ht="15.75" customHeight="1">
      <c r="A2493" s="258"/>
      <c r="B2493" s="258"/>
      <c r="C2493" s="269"/>
      <c r="D2493" s="258"/>
      <c r="E2493" s="258"/>
      <c r="F2493" s="258"/>
      <c r="G2493" s="258"/>
      <c r="H2493" s="271"/>
      <c r="I2493" s="258"/>
      <c r="J2493" s="272"/>
      <c r="K2493" s="260"/>
      <c r="L2493" s="261"/>
      <c r="M2493" s="262" t="str">
        <f t="shared" si="1"/>
        <v/>
      </c>
      <c r="N2493" s="263" t="str">
        <f t="shared" si="2"/>
        <v/>
      </c>
      <c r="O2493" s="264" t="str">
        <f t="shared" si="3"/>
        <v/>
      </c>
      <c r="P2493" s="265" t="str">
        <f>IFERROR(__xludf.DUMMYFUNCTION("IF(ISBLANK(A2493),"""",IFERROR(IF(H2493=""Sell"",VLOOKUP(9^99,FILTER({ROW(P$2:P2492),P$2:P2492},D$2:D2492=D2493),2),(VLOOKUP(9^99,FILTER({ROW(P$2:P2492),P$2:P2492},D$2:D2492=D2493),2)*VLOOKUP(9^99,FILTER({ROW(O$2:O2492),O$2:O2492},D$2:D2492=D2493),2)-N249"&amp;"3)/O2493),J2493))"),"")</f>
        <v/>
      </c>
      <c r="Q2493" s="264" t="str">
        <f>IFERROR(__xludf.DUMMYFUNCTION("IFERROR(IF(F2493=""Crypto"",B2493,(IF(ISBLANK(D2493),"""",IF(D2493=""Cash"",B2493,IF(GOOGLEFINANCE(D2493,""CURRENCY"")=""GBX"",""GBP"",GOOGLEFINANCE(D2493,""CURRENCY"")))))),B2493)"),"")</f>
        <v/>
      </c>
      <c r="R2493" s="263" t="str">
        <f>IFERROR(__xludf.DUMMYFUNCTION("IF(ISBLANK(A2493),"""",IFERROR(IF(OR(Q2493=""GPB"",Q2493=""ZAR""),IF(Q2493=Dashboard!$L$1,K2493,(K2493*GOOGLEFINANCE(""CURRENCY:""&amp;Q2493&amp;""""&amp;Dashboard!$L$1&amp;""""))/100),IF(Q2493=Dashboard!$L$1,K2493,K2493*GOOGLEFINANCE(""CURRENCY:""&amp;Q2493&amp;""""&amp;Dashboard!$"&amp;"L$1&amp;""""))),K2493))"),"")</f>
        <v/>
      </c>
      <c r="S2493" s="266" t="str">
        <f>IFERROR(__xludf.DUMMYFUNCTION("IF(ISBLANK(A2493),"""",IFERROR(IF(OR(Q2493=""GPB"",Q2493=""ZAR""),IF(Q2493=Dashboard!$L$1,M2493,(M2493*GOOGLEFINANCE(""CURRENCY:""&amp;Q2493&amp;""""&amp;Dashboard!$L$1&amp;""""))/100),IF(Q2493=Dashboard!$L$1,M2493,M2493*GOOGLEFINANCE(""CURRENCY:""&amp;Q2493&amp;""""&amp;Dashboard!$"&amp;"L$1&amp;""""))),M2493))"),"")</f>
        <v/>
      </c>
      <c r="T2493" s="264" t="str">
        <f t="shared" si="4"/>
        <v/>
      </c>
      <c r="U2493" s="264" t="str">
        <f t="shared" si="5"/>
        <v/>
      </c>
      <c r="V2493" s="264" t="str">
        <f t="shared" si="6"/>
        <v/>
      </c>
      <c r="W2493" s="267" t="str">
        <f t="shared" si="8"/>
        <v/>
      </c>
      <c r="X2493" s="264" t="str">
        <f t="shared" si="7"/>
        <v/>
      </c>
    </row>
    <row r="2494" ht="15.75" customHeight="1">
      <c r="A2494" s="258"/>
      <c r="B2494" s="258"/>
      <c r="C2494" s="269"/>
      <c r="D2494" s="258"/>
      <c r="E2494" s="258"/>
      <c r="F2494" s="258"/>
      <c r="G2494" s="258"/>
      <c r="H2494" s="271"/>
      <c r="I2494" s="258"/>
      <c r="J2494" s="272"/>
      <c r="K2494" s="260"/>
      <c r="L2494" s="261"/>
      <c r="M2494" s="262" t="str">
        <f t="shared" si="1"/>
        <v/>
      </c>
      <c r="N2494" s="263" t="str">
        <f t="shared" si="2"/>
        <v/>
      </c>
      <c r="O2494" s="264" t="str">
        <f t="shared" si="3"/>
        <v/>
      </c>
      <c r="P2494" s="265" t="str">
        <f>IFERROR(__xludf.DUMMYFUNCTION("IF(ISBLANK(A2494),"""",IFERROR(IF(H2494=""Sell"",VLOOKUP(9^99,FILTER({ROW(P$2:P2493),P$2:P2493},D$2:D2493=D2494),2),(VLOOKUP(9^99,FILTER({ROW(P$2:P2493),P$2:P2493},D$2:D2493=D2494),2)*VLOOKUP(9^99,FILTER({ROW(O$2:O2493),O$2:O2493},D$2:D2493=D2494),2)-N249"&amp;"4)/O2494),J2494))"),"")</f>
        <v/>
      </c>
      <c r="Q2494" s="264" t="str">
        <f>IFERROR(__xludf.DUMMYFUNCTION("IFERROR(IF(F2494=""Crypto"",B2494,(IF(ISBLANK(D2494),"""",IF(D2494=""Cash"",B2494,IF(GOOGLEFINANCE(D2494,""CURRENCY"")=""GBX"",""GBP"",GOOGLEFINANCE(D2494,""CURRENCY"")))))),B2494)"),"")</f>
        <v/>
      </c>
      <c r="R2494" s="263" t="str">
        <f>IFERROR(__xludf.DUMMYFUNCTION("IF(ISBLANK(A2494),"""",IFERROR(IF(OR(Q2494=""GPB"",Q2494=""ZAR""),IF(Q2494=Dashboard!$L$1,K2494,(K2494*GOOGLEFINANCE(""CURRENCY:""&amp;Q2494&amp;""""&amp;Dashboard!$L$1&amp;""""))/100),IF(Q2494=Dashboard!$L$1,K2494,K2494*GOOGLEFINANCE(""CURRENCY:""&amp;Q2494&amp;""""&amp;Dashboard!$"&amp;"L$1&amp;""""))),K2494))"),"")</f>
        <v/>
      </c>
      <c r="S2494" s="266" t="str">
        <f>IFERROR(__xludf.DUMMYFUNCTION("IF(ISBLANK(A2494),"""",IFERROR(IF(OR(Q2494=""GPB"",Q2494=""ZAR""),IF(Q2494=Dashboard!$L$1,M2494,(M2494*GOOGLEFINANCE(""CURRENCY:""&amp;Q2494&amp;""""&amp;Dashboard!$L$1&amp;""""))/100),IF(Q2494=Dashboard!$L$1,M2494,M2494*GOOGLEFINANCE(""CURRENCY:""&amp;Q2494&amp;""""&amp;Dashboard!$"&amp;"L$1&amp;""""))),M2494))"),"")</f>
        <v/>
      </c>
      <c r="T2494" s="264" t="str">
        <f t="shared" si="4"/>
        <v/>
      </c>
      <c r="U2494" s="264" t="str">
        <f t="shared" si="5"/>
        <v/>
      </c>
      <c r="V2494" s="264" t="str">
        <f t="shared" si="6"/>
        <v/>
      </c>
      <c r="W2494" s="267" t="str">
        <f t="shared" si="8"/>
        <v/>
      </c>
      <c r="X2494" s="264" t="str">
        <f t="shared" si="7"/>
        <v/>
      </c>
    </row>
    <row r="2495" ht="15.75" customHeight="1">
      <c r="A2495" s="258"/>
      <c r="B2495" s="258"/>
      <c r="C2495" s="269"/>
      <c r="D2495" s="258"/>
      <c r="E2495" s="258"/>
      <c r="F2495" s="258"/>
      <c r="G2495" s="258"/>
      <c r="H2495" s="271"/>
      <c r="I2495" s="258"/>
      <c r="J2495" s="272"/>
      <c r="K2495" s="260"/>
      <c r="L2495" s="261"/>
      <c r="M2495" s="262" t="str">
        <f t="shared" si="1"/>
        <v/>
      </c>
      <c r="N2495" s="263" t="str">
        <f t="shared" si="2"/>
        <v/>
      </c>
      <c r="O2495" s="264" t="str">
        <f t="shared" si="3"/>
        <v/>
      </c>
      <c r="P2495" s="265" t="str">
        <f>IFERROR(__xludf.DUMMYFUNCTION("IF(ISBLANK(A2495),"""",IFERROR(IF(H2495=""Sell"",VLOOKUP(9^99,FILTER({ROW(P$2:P2494),P$2:P2494},D$2:D2494=D2495),2),(VLOOKUP(9^99,FILTER({ROW(P$2:P2494),P$2:P2494},D$2:D2494=D2495),2)*VLOOKUP(9^99,FILTER({ROW(O$2:O2494),O$2:O2494},D$2:D2494=D2495),2)-N249"&amp;"5)/O2495),J2495))"),"")</f>
        <v/>
      </c>
      <c r="Q2495" s="264" t="str">
        <f>IFERROR(__xludf.DUMMYFUNCTION("IFERROR(IF(F2495=""Crypto"",B2495,(IF(ISBLANK(D2495),"""",IF(D2495=""Cash"",B2495,IF(GOOGLEFINANCE(D2495,""CURRENCY"")=""GBX"",""GBP"",GOOGLEFINANCE(D2495,""CURRENCY"")))))),B2495)"),"")</f>
        <v/>
      </c>
      <c r="R2495" s="263" t="str">
        <f>IFERROR(__xludf.DUMMYFUNCTION("IF(ISBLANK(A2495),"""",IFERROR(IF(OR(Q2495=""GPB"",Q2495=""ZAR""),IF(Q2495=Dashboard!$L$1,K2495,(K2495*GOOGLEFINANCE(""CURRENCY:""&amp;Q2495&amp;""""&amp;Dashboard!$L$1&amp;""""))/100),IF(Q2495=Dashboard!$L$1,K2495,K2495*GOOGLEFINANCE(""CURRENCY:""&amp;Q2495&amp;""""&amp;Dashboard!$"&amp;"L$1&amp;""""))),K2495))"),"")</f>
        <v/>
      </c>
      <c r="S2495" s="266" t="str">
        <f>IFERROR(__xludf.DUMMYFUNCTION("IF(ISBLANK(A2495),"""",IFERROR(IF(OR(Q2495=""GPB"",Q2495=""ZAR""),IF(Q2495=Dashboard!$L$1,M2495,(M2495*GOOGLEFINANCE(""CURRENCY:""&amp;Q2495&amp;""""&amp;Dashboard!$L$1&amp;""""))/100),IF(Q2495=Dashboard!$L$1,M2495,M2495*GOOGLEFINANCE(""CURRENCY:""&amp;Q2495&amp;""""&amp;Dashboard!$"&amp;"L$1&amp;""""))),M2495))"),"")</f>
        <v/>
      </c>
      <c r="T2495" s="264" t="str">
        <f t="shared" si="4"/>
        <v/>
      </c>
      <c r="U2495" s="264" t="str">
        <f t="shared" si="5"/>
        <v/>
      </c>
      <c r="V2495" s="264" t="str">
        <f t="shared" si="6"/>
        <v/>
      </c>
      <c r="W2495" s="267" t="str">
        <f t="shared" si="8"/>
        <v/>
      </c>
      <c r="X2495" s="264" t="str">
        <f t="shared" si="7"/>
        <v/>
      </c>
    </row>
    <row r="2496" ht="15.75" customHeight="1">
      <c r="A2496" s="258"/>
      <c r="B2496" s="258"/>
      <c r="C2496" s="269"/>
      <c r="D2496" s="258"/>
      <c r="E2496" s="258"/>
      <c r="F2496" s="258"/>
      <c r="G2496" s="258"/>
      <c r="H2496" s="271"/>
      <c r="I2496" s="258"/>
      <c r="J2496" s="272"/>
      <c r="K2496" s="260"/>
      <c r="L2496" s="261"/>
      <c r="M2496" s="262" t="str">
        <f t="shared" si="1"/>
        <v/>
      </c>
      <c r="N2496" s="263" t="str">
        <f t="shared" si="2"/>
        <v/>
      </c>
      <c r="O2496" s="264" t="str">
        <f t="shared" si="3"/>
        <v/>
      </c>
      <c r="P2496" s="265" t="str">
        <f>IFERROR(__xludf.DUMMYFUNCTION("IF(ISBLANK(A2496),"""",IFERROR(IF(H2496=""Sell"",VLOOKUP(9^99,FILTER({ROW(P$2:P2495),P$2:P2495},D$2:D2495=D2496),2),(VLOOKUP(9^99,FILTER({ROW(P$2:P2495),P$2:P2495},D$2:D2495=D2496),2)*VLOOKUP(9^99,FILTER({ROW(O$2:O2495),O$2:O2495},D$2:D2495=D2496),2)-N249"&amp;"6)/O2496),J2496))"),"")</f>
        <v/>
      </c>
      <c r="Q2496" s="264" t="str">
        <f>IFERROR(__xludf.DUMMYFUNCTION("IFERROR(IF(F2496=""Crypto"",B2496,(IF(ISBLANK(D2496),"""",IF(D2496=""Cash"",B2496,IF(GOOGLEFINANCE(D2496,""CURRENCY"")=""GBX"",""GBP"",GOOGLEFINANCE(D2496,""CURRENCY"")))))),B2496)"),"")</f>
        <v/>
      </c>
      <c r="R2496" s="263" t="str">
        <f>IFERROR(__xludf.DUMMYFUNCTION("IF(ISBLANK(A2496),"""",IFERROR(IF(OR(Q2496=""GPB"",Q2496=""ZAR""),IF(Q2496=Dashboard!$L$1,K2496,(K2496*GOOGLEFINANCE(""CURRENCY:""&amp;Q2496&amp;""""&amp;Dashboard!$L$1&amp;""""))/100),IF(Q2496=Dashboard!$L$1,K2496,K2496*GOOGLEFINANCE(""CURRENCY:""&amp;Q2496&amp;""""&amp;Dashboard!$"&amp;"L$1&amp;""""))),K2496))"),"")</f>
        <v/>
      </c>
      <c r="S2496" s="266" t="str">
        <f>IFERROR(__xludf.DUMMYFUNCTION("IF(ISBLANK(A2496),"""",IFERROR(IF(OR(Q2496=""GPB"",Q2496=""ZAR""),IF(Q2496=Dashboard!$L$1,M2496,(M2496*GOOGLEFINANCE(""CURRENCY:""&amp;Q2496&amp;""""&amp;Dashboard!$L$1&amp;""""))/100),IF(Q2496=Dashboard!$L$1,M2496,M2496*GOOGLEFINANCE(""CURRENCY:""&amp;Q2496&amp;""""&amp;Dashboard!$"&amp;"L$1&amp;""""))),M2496))"),"")</f>
        <v/>
      </c>
      <c r="T2496" s="264" t="str">
        <f t="shared" si="4"/>
        <v/>
      </c>
      <c r="U2496" s="264" t="str">
        <f t="shared" si="5"/>
        <v/>
      </c>
      <c r="V2496" s="264" t="str">
        <f t="shared" si="6"/>
        <v/>
      </c>
      <c r="W2496" s="267" t="str">
        <f t="shared" si="8"/>
        <v/>
      </c>
      <c r="X2496" s="264" t="str">
        <f t="shared" si="7"/>
        <v/>
      </c>
    </row>
    <row r="2497" ht="15.75" customHeight="1">
      <c r="A2497" s="258"/>
      <c r="B2497" s="258"/>
      <c r="C2497" s="269"/>
      <c r="D2497" s="258"/>
      <c r="E2497" s="258"/>
      <c r="F2497" s="258"/>
      <c r="G2497" s="258"/>
      <c r="H2497" s="271"/>
      <c r="I2497" s="258"/>
      <c r="J2497" s="272"/>
      <c r="K2497" s="260"/>
      <c r="L2497" s="261"/>
      <c r="M2497" s="262" t="str">
        <f t="shared" si="1"/>
        <v/>
      </c>
      <c r="N2497" s="263" t="str">
        <f t="shared" si="2"/>
        <v/>
      </c>
      <c r="O2497" s="264" t="str">
        <f t="shared" si="3"/>
        <v/>
      </c>
      <c r="P2497" s="265" t="str">
        <f>IFERROR(__xludf.DUMMYFUNCTION("IF(ISBLANK(A2497),"""",IFERROR(IF(H2497=""Sell"",VLOOKUP(9^99,FILTER({ROW(P$2:P2496),P$2:P2496},D$2:D2496=D2497),2),(VLOOKUP(9^99,FILTER({ROW(P$2:P2496),P$2:P2496},D$2:D2496=D2497),2)*VLOOKUP(9^99,FILTER({ROW(O$2:O2496),O$2:O2496},D$2:D2496=D2497),2)-N249"&amp;"7)/O2497),J2497))"),"")</f>
        <v/>
      </c>
      <c r="Q2497" s="264" t="str">
        <f>IFERROR(__xludf.DUMMYFUNCTION("IFERROR(IF(F2497=""Crypto"",B2497,(IF(ISBLANK(D2497),"""",IF(D2497=""Cash"",B2497,IF(GOOGLEFINANCE(D2497,""CURRENCY"")=""GBX"",""GBP"",GOOGLEFINANCE(D2497,""CURRENCY"")))))),B2497)"),"")</f>
        <v/>
      </c>
      <c r="R2497" s="263" t="str">
        <f>IFERROR(__xludf.DUMMYFUNCTION("IF(ISBLANK(A2497),"""",IFERROR(IF(OR(Q2497=""GPB"",Q2497=""ZAR""),IF(Q2497=Dashboard!$L$1,K2497,(K2497*GOOGLEFINANCE(""CURRENCY:""&amp;Q2497&amp;""""&amp;Dashboard!$L$1&amp;""""))/100),IF(Q2497=Dashboard!$L$1,K2497,K2497*GOOGLEFINANCE(""CURRENCY:""&amp;Q2497&amp;""""&amp;Dashboard!$"&amp;"L$1&amp;""""))),K2497))"),"")</f>
        <v/>
      </c>
      <c r="S2497" s="266" t="str">
        <f>IFERROR(__xludf.DUMMYFUNCTION("IF(ISBLANK(A2497),"""",IFERROR(IF(OR(Q2497=""GPB"",Q2497=""ZAR""),IF(Q2497=Dashboard!$L$1,M2497,(M2497*GOOGLEFINANCE(""CURRENCY:""&amp;Q2497&amp;""""&amp;Dashboard!$L$1&amp;""""))/100),IF(Q2497=Dashboard!$L$1,M2497,M2497*GOOGLEFINANCE(""CURRENCY:""&amp;Q2497&amp;""""&amp;Dashboard!$"&amp;"L$1&amp;""""))),M2497))"),"")</f>
        <v/>
      </c>
      <c r="T2497" s="264" t="str">
        <f t="shared" si="4"/>
        <v/>
      </c>
      <c r="U2497" s="264" t="str">
        <f t="shared" si="5"/>
        <v/>
      </c>
      <c r="V2497" s="264" t="str">
        <f t="shared" si="6"/>
        <v/>
      </c>
      <c r="W2497" s="267" t="str">
        <f t="shared" si="8"/>
        <v/>
      </c>
      <c r="X2497" s="264" t="str">
        <f t="shared" si="7"/>
        <v/>
      </c>
    </row>
    <row r="2498" ht="15.75" customHeight="1">
      <c r="A2498" s="258"/>
      <c r="B2498" s="258"/>
      <c r="C2498" s="269"/>
      <c r="D2498" s="258"/>
      <c r="E2498" s="258"/>
      <c r="F2498" s="258"/>
      <c r="G2498" s="258"/>
      <c r="H2498" s="271"/>
      <c r="I2498" s="258"/>
      <c r="J2498" s="272"/>
      <c r="K2498" s="260"/>
      <c r="L2498" s="261"/>
      <c r="M2498" s="262" t="str">
        <f t="shared" si="1"/>
        <v/>
      </c>
      <c r="N2498" s="263" t="str">
        <f t="shared" si="2"/>
        <v/>
      </c>
      <c r="O2498" s="264" t="str">
        <f t="shared" si="3"/>
        <v/>
      </c>
      <c r="P2498" s="265" t="str">
        <f>IFERROR(__xludf.DUMMYFUNCTION("IF(ISBLANK(A2498),"""",IFERROR(IF(H2498=""Sell"",VLOOKUP(9^99,FILTER({ROW(P$2:P2497),P$2:P2497},D$2:D2497=D2498),2),(VLOOKUP(9^99,FILTER({ROW(P$2:P2497),P$2:P2497},D$2:D2497=D2498),2)*VLOOKUP(9^99,FILTER({ROW(O$2:O2497),O$2:O2497},D$2:D2497=D2498),2)-N249"&amp;"8)/O2498),J2498))"),"")</f>
        <v/>
      </c>
      <c r="Q2498" s="264" t="str">
        <f>IFERROR(__xludf.DUMMYFUNCTION("IFERROR(IF(F2498=""Crypto"",B2498,(IF(ISBLANK(D2498),"""",IF(D2498=""Cash"",B2498,IF(GOOGLEFINANCE(D2498,""CURRENCY"")=""GBX"",""GBP"",GOOGLEFINANCE(D2498,""CURRENCY"")))))),B2498)"),"")</f>
        <v/>
      </c>
      <c r="R2498" s="263" t="str">
        <f>IFERROR(__xludf.DUMMYFUNCTION("IF(ISBLANK(A2498),"""",IFERROR(IF(OR(Q2498=""GPB"",Q2498=""ZAR""),IF(Q2498=Dashboard!$L$1,K2498,(K2498*GOOGLEFINANCE(""CURRENCY:""&amp;Q2498&amp;""""&amp;Dashboard!$L$1&amp;""""))/100),IF(Q2498=Dashboard!$L$1,K2498,K2498*GOOGLEFINANCE(""CURRENCY:""&amp;Q2498&amp;""""&amp;Dashboard!$"&amp;"L$1&amp;""""))),K2498))"),"")</f>
        <v/>
      </c>
      <c r="S2498" s="266" t="str">
        <f>IFERROR(__xludf.DUMMYFUNCTION("IF(ISBLANK(A2498),"""",IFERROR(IF(OR(Q2498=""GPB"",Q2498=""ZAR""),IF(Q2498=Dashboard!$L$1,M2498,(M2498*GOOGLEFINANCE(""CURRENCY:""&amp;Q2498&amp;""""&amp;Dashboard!$L$1&amp;""""))/100),IF(Q2498=Dashboard!$L$1,M2498,M2498*GOOGLEFINANCE(""CURRENCY:""&amp;Q2498&amp;""""&amp;Dashboard!$"&amp;"L$1&amp;""""))),M2498))"),"")</f>
        <v/>
      </c>
      <c r="T2498" s="264" t="str">
        <f t="shared" si="4"/>
        <v/>
      </c>
      <c r="U2498" s="264" t="str">
        <f t="shared" si="5"/>
        <v/>
      </c>
      <c r="V2498" s="264" t="str">
        <f t="shared" si="6"/>
        <v/>
      </c>
      <c r="W2498" s="267" t="str">
        <f t="shared" si="8"/>
        <v/>
      </c>
      <c r="X2498" s="264" t="str">
        <f t="shared" si="7"/>
        <v/>
      </c>
    </row>
    <row r="2499" ht="15.75" customHeight="1">
      <c r="A2499" s="258"/>
      <c r="B2499" s="258"/>
      <c r="C2499" s="269"/>
      <c r="D2499" s="258"/>
      <c r="E2499" s="258"/>
      <c r="F2499" s="258"/>
      <c r="G2499" s="258"/>
      <c r="H2499" s="271"/>
      <c r="I2499" s="258"/>
      <c r="J2499" s="272"/>
      <c r="K2499" s="260"/>
      <c r="L2499" s="261"/>
      <c r="M2499" s="262" t="str">
        <f t="shared" si="1"/>
        <v/>
      </c>
      <c r="N2499" s="263" t="str">
        <f t="shared" si="2"/>
        <v/>
      </c>
      <c r="O2499" s="264" t="str">
        <f t="shared" si="3"/>
        <v/>
      </c>
      <c r="P2499" s="265" t="str">
        <f>IFERROR(__xludf.DUMMYFUNCTION("IF(ISBLANK(A2499),"""",IFERROR(IF(H2499=""Sell"",VLOOKUP(9^99,FILTER({ROW(P$2:P2498),P$2:P2498},D$2:D2498=D2499),2),(VLOOKUP(9^99,FILTER({ROW(P$2:P2498),P$2:P2498},D$2:D2498=D2499),2)*VLOOKUP(9^99,FILTER({ROW(O$2:O2498),O$2:O2498},D$2:D2498=D2499),2)-N249"&amp;"9)/O2499),J2499))"),"")</f>
        <v/>
      </c>
      <c r="Q2499" s="264" t="str">
        <f>IFERROR(__xludf.DUMMYFUNCTION("IFERROR(IF(F2499=""Crypto"",B2499,(IF(ISBLANK(D2499),"""",IF(D2499=""Cash"",B2499,IF(GOOGLEFINANCE(D2499,""CURRENCY"")=""GBX"",""GBP"",GOOGLEFINANCE(D2499,""CURRENCY"")))))),B2499)"),"")</f>
        <v/>
      </c>
      <c r="R2499" s="263" t="str">
        <f>IFERROR(__xludf.DUMMYFUNCTION("IF(ISBLANK(A2499),"""",IFERROR(IF(OR(Q2499=""GPB"",Q2499=""ZAR""),IF(Q2499=Dashboard!$L$1,K2499,(K2499*GOOGLEFINANCE(""CURRENCY:""&amp;Q2499&amp;""""&amp;Dashboard!$L$1&amp;""""))/100),IF(Q2499=Dashboard!$L$1,K2499,K2499*GOOGLEFINANCE(""CURRENCY:""&amp;Q2499&amp;""""&amp;Dashboard!$"&amp;"L$1&amp;""""))),K2499))"),"")</f>
        <v/>
      </c>
      <c r="S2499" s="266" t="str">
        <f>IFERROR(__xludf.DUMMYFUNCTION("IF(ISBLANK(A2499),"""",IFERROR(IF(OR(Q2499=""GPB"",Q2499=""ZAR""),IF(Q2499=Dashboard!$L$1,M2499,(M2499*GOOGLEFINANCE(""CURRENCY:""&amp;Q2499&amp;""""&amp;Dashboard!$L$1&amp;""""))/100),IF(Q2499=Dashboard!$L$1,M2499,M2499*GOOGLEFINANCE(""CURRENCY:""&amp;Q2499&amp;""""&amp;Dashboard!$"&amp;"L$1&amp;""""))),M2499))"),"")</f>
        <v/>
      </c>
      <c r="T2499" s="264" t="str">
        <f t="shared" si="4"/>
        <v/>
      </c>
      <c r="U2499" s="264" t="str">
        <f t="shared" si="5"/>
        <v/>
      </c>
      <c r="V2499" s="264" t="str">
        <f t="shared" si="6"/>
        <v/>
      </c>
      <c r="W2499" s="267" t="str">
        <f t="shared" si="8"/>
        <v/>
      </c>
      <c r="X2499" s="264" t="str">
        <f t="shared" si="7"/>
        <v/>
      </c>
    </row>
    <row r="2500" ht="15.75" customHeight="1">
      <c r="A2500" s="258"/>
      <c r="B2500" s="258"/>
      <c r="C2500" s="269"/>
      <c r="D2500" s="258"/>
      <c r="E2500" s="258"/>
      <c r="F2500" s="258"/>
      <c r="G2500" s="258"/>
      <c r="H2500" s="271"/>
      <c r="I2500" s="258"/>
      <c r="J2500" s="272"/>
      <c r="K2500" s="260"/>
      <c r="L2500" s="261"/>
      <c r="M2500" s="262" t="str">
        <f t="shared" si="1"/>
        <v/>
      </c>
      <c r="N2500" s="263" t="str">
        <f t="shared" si="2"/>
        <v/>
      </c>
      <c r="O2500" s="264" t="str">
        <f t="shared" si="3"/>
        <v/>
      </c>
      <c r="P2500" s="265" t="str">
        <f>IFERROR(__xludf.DUMMYFUNCTION("IF(ISBLANK(A2500),"""",IFERROR(IF(H2500=""Sell"",VLOOKUP(9^99,FILTER({ROW(P$2:P2499),P$2:P2499},D$2:D2499=D2500),2),(VLOOKUP(9^99,FILTER({ROW(P$2:P2499),P$2:P2499},D$2:D2499=D2500),2)*VLOOKUP(9^99,FILTER({ROW(O$2:O2499),O$2:O2499},D$2:D2499=D2500),2)-N250"&amp;"0)/O2500),J2500))"),"")</f>
        <v/>
      </c>
      <c r="Q2500" s="264" t="str">
        <f>IFERROR(__xludf.DUMMYFUNCTION("IFERROR(IF(F2500=""Crypto"",B2500,(IF(ISBLANK(D2500),"""",IF(D2500=""Cash"",B2500,IF(GOOGLEFINANCE(D2500,""CURRENCY"")=""GBX"",""GBP"",GOOGLEFINANCE(D2500,""CURRENCY"")))))),B2500)"),"")</f>
        <v/>
      </c>
      <c r="R2500" s="263" t="str">
        <f>IFERROR(__xludf.DUMMYFUNCTION("IF(ISBLANK(A2500),"""",IFERROR(IF(OR(Q2500=""GPB"",Q2500=""ZAR""),IF(Q2500=Dashboard!$L$1,K2500,(K2500*GOOGLEFINANCE(""CURRENCY:""&amp;Q2500&amp;""""&amp;Dashboard!$L$1&amp;""""))/100),IF(Q2500=Dashboard!$L$1,K2500,K2500*GOOGLEFINANCE(""CURRENCY:""&amp;Q2500&amp;""""&amp;Dashboard!$"&amp;"L$1&amp;""""))),K2500))"),"")</f>
        <v/>
      </c>
      <c r="S2500" s="266" t="str">
        <f>IFERROR(__xludf.DUMMYFUNCTION("IF(ISBLANK(A2500),"""",IFERROR(IF(OR(Q2500=""GPB"",Q2500=""ZAR""),IF(Q2500=Dashboard!$L$1,M2500,(M2500*GOOGLEFINANCE(""CURRENCY:""&amp;Q2500&amp;""""&amp;Dashboard!$L$1&amp;""""))/100),IF(Q2500=Dashboard!$L$1,M2500,M2500*GOOGLEFINANCE(""CURRENCY:""&amp;Q2500&amp;""""&amp;Dashboard!$"&amp;"L$1&amp;""""))),M2500))"),"")</f>
        <v/>
      </c>
      <c r="T2500" s="264" t="str">
        <f t="shared" si="4"/>
        <v/>
      </c>
      <c r="U2500" s="264" t="str">
        <f t="shared" si="5"/>
        <v/>
      </c>
      <c r="V2500" s="264" t="str">
        <f t="shared" si="6"/>
        <v/>
      </c>
      <c r="W2500" s="267" t="str">
        <f t="shared" si="8"/>
        <v/>
      </c>
      <c r="X2500" s="264" t="str">
        <f t="shared" si="7"/>
        <v/>
      </c>
    </row>
    <row r="2501" ht="15.75" customHeight="1">
      <c r="A2501" s="258"/>
      <c r="B2501" s="258"/>
      <c r="C2501" s="269"/>
      <c r="D2501" s="258"/>
      <c r="E2501" s="258"/>
      <c r="F2501" s="258"/>
      <c r="G2501" s="258"/>
      <c r="H2501" s="271"/>
      <c r="I2501" s="258"/>
      <c r="J2501" s="272"/>
      <c r="K2501" s="260"/>
      <c r="L2501" s="261"/>
      <c r="M2501" s="262" t="str">
        <f t="shared" si="1"/>
        <v/>
      </c>
      <c r="N2501" s="263" t="str">
        <f t="shared" si="2"/>
        <v/>
      </c>
      <c r="O2501" s="264" t="str">
        <f t="shared" si="3"/>
        <v/>
      </c>
      <c r="P2501" s="265" t="str">
        <f>IFERROR(__xludf.DUMMYFUNCTION("IF(ISBLANK(A2501),"""",IFERROR(IF(H2501=""Sell"",VLOOKUP(9^99,FILTER({ROW(P$2:P2500),P$2:P2500},D$2:D2500=D2501),2),(VLOOKUP(9^99,FILTER({ROW(P$2:P2500),P$2:P2500},D$2:D2500=D2501),2)*VLOOKUP(9^99,FILTER({ROW(O$2:O2500),O$2:O2500},D$2:D2500=D2501),2)-N250"&amp;"1)/O2501),J2501))"),"")</f>
        <v/>
      </c>
      <c r="Q2501" s="264" t="str">
        <f>IFERROR(__xludf.DUMMYFUNCTION("IFERROR(IF(F2501=""Crypto"",B2501,(IF(ISBLANK(D2501),"""",IF(D2501=""Cash"",B2501,IF(GOOGLEFINANCE(D2501,""CURRENCY"")=""GBX"",""GBP"",GOOGLEFINANCE(D2501,""CURRENCY"")))))),B2501)"),"")</f>
        <v/>
      </c>
      <c r="R2501" s="263" t="str">
        <f>IFERROR(__xludf.DUMMYFUNCTION("IF(ISBLANK(A2501),"""",IFERROR(IF(OR(Q2501=""GPB"",Q2501=""ZAR""),IF(Q2501=Dashboard!$L$1,K2501,(K2501*GOOGLEFINANCE(""CURRENCY:""&amp;Q2501&amp;""""&amp;Dashboard!$L$1&amp;""""))/100),IF(Q2501=Dashboard!$L$1,K2501,K2501*GOOGLEFINANCE(""CURRENCY:""&amp;Q2501&amp;""""&amp;Dashboard!$"&amp;"L$1&amp;""""))),K2501))"),"")</f>
        <v/>
      </c>
      <c r="S2501" s="266" t="str">
        <f>IFERROR(__xludf.DUMMYFUNCTION("IF(ISBLANK(A2501),"""",IFERROR(IF(OR(Q2501=""GPB"",Q2501=""ZAR""),IF(Q2501=Dashboard!$L$1,M2501,(M2501*GOOGLEFINANCE(""CURRENCY:""&amp;Q2501&amp;""""&amp;Dashboard!$L$1&amp;""""))/100),IF(Q2501=Dashboard!$L$1,M2501,M2501*GOOGLEFINANCE(""CURRENCY:""&amp;Q2501&amp;""""&amp;Dashboard!$"&amp;"L$1&amp;""""))),M2501))"),"")</f>
        <v/>
      </c>
      <c r="T2501" s="264" t="str">
        <f t="shared" si="4"/>
        <v/>
      </c>
      <c r="U2501" s="264" t="str">
        <f t="shared" si="5"/>
        <v/>
      </c>
      <c r="V2501" s="264" t="str">
        <f t="shared" si="6"/>
        <v/>
      </c>
      <c r="W2501" s="267" t="str">
        <f t="shared" si="8"/>
        <v/>
      </c>
      <c r="X2501" s="264" t="str">
        <f t="shared" si="7"/>
        <v/>
      </c>
    </row>
    <row r="2502" ht="15.75" customHeight="1">
      <c r="A2502" s="258"/>
      <c r="B2502" s="258"/>
      <c r="C2502" s="269"/>
      <c r="D2502" s="258"/>
      <c r="E2502" s="258"/>
      <c r="F2502" s="258"/>
      <c r="G2502" s="258"/>
      <c r="H2502" s="271"/>
      <c r="I2502" s="258"/>
      <c r="J2502" s="272"/>
      <c r="K2502" s="260"/>
      <c r="L2502" s="261"/>
      <c r="M2502" s="262" t="str">
        <f t="shared" si="1"/>
        <v/>
      </c>
      <c r="N2502" s="263" t="str">
        <f t="shared" si="2"/>
        <v/>
      </c>
      <c r="O2502" s="264" t="str">
        <f t="shared" si="3"/>
        <v/>
      </c>
      <c r="P2502" s="265" t="str">
        <f>IFERROR(__xludf.DUMMYFUNCTION("IF(ISBLANK(A2502),"""",IFERROR(IF(H2502=""Sell"",VLOOKUP(9^99,FILTER({ROW(P$2:P2501),P$2:P2501},D$2:D2501=D2502),2),(VLOOKUP(9^99,FILTER({ROW(P$2:P2501),P$2:P2501},D$2:D2501=D2502),2)*VLOOKUP(9^99,FILTER({ROW(O$2:O2501),O$2:O2501},D$2:D2501=D2502),2)-N250"&amp;"2)/O2502),J2502))"),"")</f>
        <v/>
      </c>
      <c r="Q2502" s="264" t="str">
        <f>IFERROR(__xludf.DUMMYFUNCTION("IFERROR(IF(F2502=""Crypto"",B2502,(IF(ISBLANK(D2502),"""",IF(D2502=""Cash"",B2502,IF(GOOGLEFINANCE(D2502,""CURRENCY"")=""GBX"",""GBP"",GOOGLEFINANCE(D2502,""CURRENCY"")))))),B2502)"),"")</f>
        <v/>
      </c>
      <c r="R2502" s="263" t="str">
        <f>IFERROR(__xludf.DUMMYFUNCTION("IF(ISBLANK(A2502),"""",IFERROR(IF(OR(Q2502=""GPB"",Q2502=""ZAR""),IF(Q2502=Dashboard!$L$1,K2502,(K2502*GOOGLEFINANCE(""CURRENCY:""&amp;Q2502&amp;""""&amp;Dashboard!$L$1&amp;""""))/100),IF(Q2502=Dashboard!$L$1,K2502,K2502*GOOGLEFINANCE(""CURRENCY:""&amp;Q2502&amp;""""&amp;Dashboard!$"&amp;"L$1&amp;""""))),K2502))"),"")</f>
        <v/>
      </c>
      <c r="S2502" s="266" t="str">
        <f>IFERROR(__xludf.DUMMYFUNCTION("IF(ISBLANK(A2502),"""",IFERROR(IF(OR(Q2502=""GPB"",Q2502=""ZAR""),IF(Q2502=Dashboard!$L$1,M2502,(M2502*GOOGLEFINANCE(""CURRENCY:""&amp;Q2502&amp;""""&amp;Dashboard!$L$1&amp;""""))/100),IF(Q2502=Dashboard!$L$1,M2502,M2502*GOOGLEFINANCE(""CURRENCY:""&amp;Q2502&amp;""""&amp;Dashboard!$"&amp;"L$1&amp;""""))),M2502))"),"")</f>
        <v/>
      </c>
      <c r="T2502" s="264" t="str">
        <f t="shared" si="4"/>
        <v/>
      </c>
      <c r="U2502" s="264" t="str">
        <f t="shared" si="5"/>
        <v/>
      </c>
      <c r="V2502" s="264" t="str">
        <f t="shared" si="6"/>
        <v/>
      </c>
      <c r="W2502" s="267" t="str">
        <f t="shared" si="8"/>
        <v/>
      </c>
      <c r="X2502" s="264" t="str">
        <f t="shared" si="7"/>
        <v/>
      </c>
    </row>
    <row r="2503" ht="15.75" customHeight="1">
      <c r="A2503" s="258"/>
      <c r="B2503" s="258"/>
      <c r="C2503" s="269"/>
      <c r="D2503" s="258"/>
      <c r="E2503" s="258"/>
      <c r="F2503" s="258"/>
      <c r="G2503" s="258"/>
      <c r="H2503" s="271"/>
      <c r="I2503" s="258"/>
      <c r="J2503" s="272"/>
      <c r="K2503" s="260"/>
      <c r="L2503" s="261"/>
      <c r="M2503" s="262" t="str">
        <f t="shared" si="1"/>
        <v/>
      </c>
      <c r="N2503" s="263" t="str">
        <f t="shared" si="2"/>
        <v/>
      </c>
      <c r="O2503" s="264" t="str">
        <f t="shared" si="3"/>
        <v/>
      </c>
      <c r="P2503" s="265" t="str">
        <f>IFERROR(__xludf.DUMMYFUNCTION("IF(ISBLANK(A2503),"""",IFERROR(IF(H2503=""Sell"",VLOOKUP(9^99,FILTER({ROW(P$2:P2502),P$2:P2502},D$2:D2502=D2503),2),(VLOOKUP(9^99,FILTER({ROW(P$2:P2502),P$2:P2502},D$2:D2502=D2503),2)*VLOOKUP(9^99,FILTER({ROW(O$2:O2502),O$2:O2502},D$2:D2502=D2503),2)-N250"&amp;"3)/O2503),J2503))"),"")</f>
        <v/>
      </c>
      <c r="Q2503" s="264" t="str">
        <f>IFERROR(__xludf.DUMMYFUNCTION("IFERROR(IF(F2503=""Crypto"",B2503,(IF(ISBLANK(D2503),"""",IF(D2503=""Cash"",B2503,IF(GOOGLEFINANCE(D2503,""CURRENCY"")=""GBX"",""GBP"",GOOGLEFINANCE(D2503,""CURRENCY"")))))),B2503)"),"")</f>
        <v/>
      </c>
      <c r="R2503" s="263" t="str">
        <f>IFERROR(__xludf.DUMMYFUNCTION("IF(ISBLANK(A2503),"""",IFERROR(IF(OR(Q2503=""GPB"",Q2503=""ZAR""),IF(Q2503=Dashboard!$L$1,K2503,(K2503*GOOGLEFINANCE(""CURRENCY:""&amp;Q2503&amp;""""&amp;Dashboard!$L$1&amp;""""))/100),IF(Q2503=Dashboard!$L$1,K2503,K2503*GOOGLEFINANCE(""CURRENCY:""&amp;Q2503&amp;""""&amp;Dashboard!$"&amp;"L$1&amp;""""))),K2503))"),"")</f>
        <v/>
      </c>
      <c r="S2503" s="266" t="str">
        <f>IFERROR(__xludf.DUMMYFUNCTION("IF(ISBLANK(A2503),"""",IFERROR(IF(OR(Q2503=""GPB"",Q2503=""ZAR""),IF(Q2503=Dashboard!$L$1,M2503,(M2503*GOOGLEFINANCE(""CURRENCY:""&amp;Q2503&amp;""""&amp;Dashboard!$L$1&amp;""""))/100),IF(Q2503=Dashboard!$L$1,M2503,M2503*GOOGLEFINANCE(""CURRENCY:""&amp;Q2503&amp;""""&amp;Dashboard!$"&amp;"L$1&amp;""""))),M2503))"),"")</f>
        <v/>
      </c>
      <c r="T2503" s="264" t="str">
        <f t="shared" si="4"/>
        <v/>
      </c>
      <c r="U2503" s="264" t="str">
        <f t="shared" si="5"/>
        <v/>
      </c>
      <c r="V2503" s="264" t="str">
        <f t="shared" si="6"/>
        <v/>
      </c>
      <c r="W2503" s="267" t="str">
        <f t="shared" si="8"/>
        <v/>
      </c>
      <c r="X2503" s="264" t="str">
        <f t="shared" si="7"/>
        <v/>
      </c>
    </row>
    <row r="2504" ht="15.75" customHeight="1">
      <c r="A2504" s="258"/>
      <c r="B2504" s="258"/>
      <c r="C2504" s="269"/>
      <c r="D2504" s="258"/>
      <c r="E2504" s="258"/>
      <c r="F2504" s="258"/>
      <c r="G2504" s="258"/>
      <c r="H2504" s="271"/>
      <c r="I2504" s="258"/>
      <c r="J2504" s="272"/>
      <c r="K2504" s="260"/>
      <c r="L2504" s="261"/>
      <c r="M2504" s="262" t="str">
        <f t="shared" si="1"/>
        <v/>
      </c>
      <c r="N2504" s="263" t="str">
        <f t="shared" si="2"/>
        <v/>
      </c>
      <c r="O2504" s="264" t="str">
        <f t="shared" si="3"/>
        <v/>
      </c>
      <c r="P2504" s="265" t="str">
        <f>IFERROR(__xludf.DUMMYFUNCTION("IF(ISBLANK(A2504),"""",IFERROR(IF(H2504=""Sell"",VLOOKUP(9^99,FILTER({ROW(P$2:P2503),P$2:P2503},D$2:D2503=D2504),2),(VLOOKUP(9^99,FILTER({ROW(P$2:P2503),P$2:P2503},D$2:D2503=D2504),2)*VLOOKUP(9^99,FILTER({ROW(O$2:O2503),O$2:O2503},D$2:D2503=D2504),2)-N250"&amp;"4)/O2504),J2504))"),"")</f>
        <v/>
      </c>
      <c r="Q2504" s="264" t="str">
        <f>IFERROR(__xludf.DUMMYFUNCTION("IFERROR(IF(F2504=""Crypto"",B2504,(IF(ISBLANK(D2504),"""",IF(D2504=""Cash"",B2504,IF(GOOGLEFINANCE(D2504,""CURRENCY"")=""GBX"",""GBP"",GOOGLEFINANCE(D2504,""CURRENCY"")))))),B2504)"),"")</f>
        <v/>
      </c>
      <c r="R2504" s="263" t="str">
        <f>IFERROR(__xludf.DUMMYFUNCTION("IF(ISBLANK(A2504),"""",IFERROR(IF(OR(Q2504=""GPB"",Q2504=""ZAR""),IF(Q2504=Dashboard!$L$1,K2504,(K2504*GOOGLEFINANCE(""CURRENCY:""&amp;Q2504&amp;""""&amp;Dashboard!$L$1&amp;""""))/100),IF(Q2504=Dashboard!$L$1,K2504,K2504*GOOGLEFINANCE(""CURRENCY:""&amp;Q2504&amp;""""&amp;Dashboard!$"&amp;"L$1&amp;""""))),K2504))"),"")</f>
        <v/>
      </c>
      <c r="S2504" s="266" t="str">
        <f>IFERROR(__xludf.DUMMYFUNCTION("IF(ISBLANK(A2504),"""",IFERROR(IF(OR(Q2504=""GPB"",Q2504=""ZAR""),IF(Q2504=Dashboard!$L$1,M2504,(M2504*GOOGLEFINANCE(""CURRENCY:""&amp;Q2504&amp;""""&amp;Dashboard!$L$1&amp;""""))/100),IF(Q2504=Dashboard!$L$1,M2504,M2504*GOOGLEFINANCE(""CURRENCY:""&amp;Q2504&amp;""""&amp;Dashboard!$"&amp;"L$1&amp;""""))),M2504))"),"")</f>
        <v/>
      </c>
      <c r="T2504" s="264" t="str">
        <f t="shared" si="4"/>
        <v/>
      </c>
      <c r="U2504" s="264" t="str">
        <f t="shared" si="5"/>
        <v/>
      </c>
      <c r="V2504" s="264" t="str">
        <f t="shared" si="6"/>
        <v/>
      </c>
      <c r="W2504" s="267" t="str">
        <f t="shared" si="8"/>
        <v/>
      </c>
      <c r="X2504" s="264" t="str">
        <f t="shared" si="7"/>
        <v/>
      </c>
    </row>
    <row r="2505" ht="15.75" customHeight="1">
      <c r="A2505" s="258"/>
      <c r="B2505" s="258"/>
      <c r="C2505" s="269"/>
      <c r="D2505" s="258"/>
      <c r="E2505" s="258"/>
      <c r="F2505" s="258"/>
      <c r="G2505" s="258"/>
      <c r="H2505" s="271"/>
      <c r="I2505" s="258"/>
      <c r="J2505" s="272"/>
      <c r="K2505" s="260"/>
      <c r="L2505" s="261"/>
      <c r="M2505" s="262" t="str">
        <f t="shared" si="1"/>
        <v/>
      </c>
      <c r="N2505" s="263" t="str">
        <f t="shared" si="2"/>
        <v/>
      </c>
      <c r="O2505" s="264" t="str">
        <f t="shared" si="3"/>
        <v/>
      </c>
      <c r="P2505" s="265" t="str">
        <f>IFERROR(__xludf.DUMMYFUNCTION("IF(ISBLANK(A2505),"""",IFERROR(IF(H2505=""Sell"",VLOOKUP(9^99,FILTER({ROW(P$2:P2504),P$2:P2504},D$2:D2504=D2505),2),(VLOOKUP(9^99,FILTER({ROW(P$2:P2504),P$2:P2504},D$2:D2504=D2505),2)*VLOOKUP(9^99,FILTER({ROW(O$2:O2504),O$2:O2504},D$2:D2504=D2505),2)-N250"&amp;"5)/O2505),J2505))"),"")</f>
        <v/>
      </c>
      <c r="Q2505" s="264" t="str">
        <f>IFERROR(__xludf.DUMMYFUNCTION("IFERROR(IF(F2505=""Crypto"",B2505,(IF(ISBLANK(D2505),"""",IF(D2505=""Cash"",B2505,IF(GOOGLEFINANCE(D2505,""CURRENCY"")=""GBX"",""GBP"",GOOGLEFINANCE(D2505,""CURRENCY"")))))),B2505)"),"")</f>
        <v/>
      </c>
      <c r="R2505" s="263" t="str">
        <f>IFERROR(__xludf.DUMMYFUNCTION("IF(ISBLANK(A2505),"""",IFERROR(IF(OR(Q2505=""GPB"",Q2505=""ZAR""),IF(Q2505=Dashboard!$L$1,K2505,(K2505*GOOGLEFINANCE(""CURRENCY:""&amp;Q2505&amp;""""&amp;Dashboard!$L$1&amp;""""))/100),IF(Q2505=Dashboard!$L$1,K2505,K2505*GOOGLEFINANCE(""CURRENCY:""&amp;Q2505&amp;""""&amp;Dashboard!$"&amp;"L$1&amp;""""))),K2505))"),"")</f>
        <v/>
      </c>
      <c r="S2505" s="266" t="str">
        <f>IFERROR(__xludf.DUMMYFUNCTION("IF(ISBLANK(A2505),"""",IFERROR(IF(OR(Q2505=""GPB"",Q2505=""ZAR""),IF(Q2505=Dashboard!$L$1,M2505,(M2505*GOOGLEFINANCE(""CURRENCY:""&amp;Q2505&amp;""""&amp;Dashboard!$L$1&amp;""""))/100),IF(Q2505=Dashboard!$L$1,M2505,M2505*GOOGLEFINANCE(""CURRENCY:""&amp;Q2505&amp;""""&amp;Dashboard!$"&amp;"L$1&amp;""""))),M2505))"),"")</f>
        <v/>
      </c>
      <c r="T2505" s="264" t="str">
        <f t="shared" si="4"/>
        <v/>
      </c>
      <c r="U2505" s="264" t="str">
        <f t="shared" si="5"/>
        <v/>
      </c>
      <c r="V2505" s="264" t="str">
        <f t="shared" si="6"/>
        <v/>
      </c>
      <c r="W2505" s="267" t="str">
        <f t="shared" si="8"/>
        <v/>
      </c>
      <c r="X2505" s="264" t="str">
        <f t="shared" si="7"/>
        <v/>
      </c>
    </row>
    <row r="2506" ht="15.75" customHeight="1">
      <c r="A2506" s="258"/>
      <c r="B2506" s="258"/>
      <c r="C2506" s="269"/>
      <c r="D2506" s="258"/>
      <c r="E2506" s="258"/>
      <c r="F2506" s="258"/>
      <c r="G2506" s="258"/>
      <c r="H2506" s="271"/>
      <c r="I2506" s="258"/>
      <c r="J2506" s="272"/>
      <c r="K2506" s="260"/>
      <c r="L2506" s="261"/>
      <c r="M2506" s="262" t="str">
        <f t="shared" si="1"/>
        <v/>
      </c>
      <c r="N2506" s="263" t="str">
        <f t="shared" si="2"/>
        <v/>
      </c>
      <c r="O2506" s="264" t="str">
        <f t="shared" si="3"/>
        <v/>
      </c>
      <c r="P2506" s="265" t="str">
        <f>IFERROR(__xludf.DUMMYFUNCTION("IF(ISBLANK(A2506),"""",IFERROR(IF(H2506=""Sell"",VLOOKUP(9^99,FILTER({ROW(P$2:P2505),P$2:P2505},D$2:D2505=D2506),2),(VLOOKUP(9^99,FILTER({ROW(P$2:P2505),P$2:P2505},D$2:D2505=D2506),2)*VLOOKUP(9^99,FILTER({ROW(O$2:O2505),O$2:O2505},D$2:D2505=D2506),2)-N250"&amp;"6)/O2506),J2506))"),"")</f>
        <v/>
      </c>
      <c r="Q2506" s="264" t="str">
        <f>IFERROR(__xludf.DUMMYFUNCTION("IFERROR(IF(F2506=""Crypto"",B2506,(IF(ISBLANK(D2506),"""",IF(D2506=""Cash"",B2506,IF(GOOGLEFINANCE(D2506,""CURRENCY"")=""GBX"",""GBP"",GOOGLEFINANCE(D2506,""CURRENCY"")))))),B2506)"),"")</f>
        <v/>
      </c>
      <c r="R2506" s="263" t="str">
        <f>IFERROR(__xludf.DUMMYFUNCTION("IF(ISBLANK(A2506),"""",IFERROR(IF(OR(Q2506=""GPB"",Q2506=""ZAR""),IF(Q2506=Dashboard!$L$1,K2506,(K2506*GOOGLEFINANCE(""CURRENCY:""&amp;Q2506&amp;""""&amp;Dashboard!$L$1&amp;""""))/100),IF(Q2506=Dashboard!$L$1,K2506,K2506*GOOGLEFINANCE(""CURRENCY:""&amp;Q2506&amp;""""&amp;Dashboard!$"&amp;"L$1&amp;""""))),K2506))"),"")</f>
        <v/>
      </c>
      <c r="S2506" s="266" t="str">
        <f>IFERROR(__xludf.DUMMYFUNCTION("IF(ISBLANK(A2506),"""",IFERROR(IF(OR(Q2506=""GPB"",Q2506=""ZAR""),IF(Q2506=Dashboard!$L$1,M2506,(M2506*GOOGLEFINANCE(""CURRENCY:""&amp;Q2506&amp;""""&amp;Dashboard!$L$1&amp;""""))/100),IF(Q2506=Dashboard!$L$1,M2506,M2506*GOOGLEFINANCE(""CURRENCY:""&amp;Q2506&amp;""""&amp;Dashboard!$"&amp;"L$1&amp;""""))),M2506))"),"")</f>
        <v/>
      </c>
      <c r="T2506" s="264" t="str">
        <f t="shared" si="4"/>
        <v/>
      </c>
      <c r="U2506" s="264" t="str">
        <f t="shared" si="5"/>
        <v/>
      </c>
      <c r="V2506" s="264" t="str">
        <f t="shared" si="6"/>
        <v/>
      </c>
      <c r="W2506" s="267" t="str">
        <f t="shared" si="8"/>
        <v/>
      </c>
      <c r="X2506" s="264" t="str">
        <f t="shared" si="7"/>
        <v/>
      </c>
    </row>
    <row r="2507" ht="15.75" customHeight="1">
      <c r="A2507" s="258"/>
      <c r="B2507" s="258"/>
      <c r="C2507" s="269"/>
      <c r="D2507" s="258"/>
      <c r="E2507" s="258"/>
      <c r="F2507" s="258"/>
      <c r="G2507" s="258"/>
      <c r="H2507" s="271"/>
      <c r="I2507" s="258"/>
      <c r="J2507" s="272"/>
      <c r="K2507" s="260"/>
      <c r="L2507" s="261"/>
      <c r="M2507" s="262" t="str">
        <f t="shared" si="1"/>
        <v/>
      </c>
      <c r="N2507" s="263" t="str">
        <f t="shared" si="2"/>
        <v/>
      </c>
      <c r="O2507" s="264" t="str">
        <f t="shared" si="3"/>
        <v/>
      </c>
      <c r="P2507" s="265" t="str">
        <f>IFERROR(__xludf.DUMMYFUNCTION("IF(ISBLANK(A2507),"""",IFERROR(IF(H2507=""Sell"",VLOOKUP(9^99,FILTER({ROW(P$2:P2506),P$2:P2506},D$2:D2506=D2507),2),(VLOOKUP(9^99,FILTER({ROW(P$2:P2506),P$2:P2506},D$2:D2506=D2507),2)*VLOOKUP(9^99,FILTER({ROW(O$2:O2506),O$2:O2506},D$2:D2506=D2507),2)-N250"&amp;"7)/O2507),J2507))"),"")</f>
        <v/>
      </c>
      <c r="Q2507" s="264" t="str">
        <f>IFERROR(__xludf.DUMMYFUNCTION("IFERROR(IF(F2507=""Crypto"",B2507,(IF(ISBLANK(D2507),"""",IF(D2507=""Cash"",B2507,IF(GOOGLEFINANCE(D2507,""CURRENCY"")=""GBX"",""GBP"",GOOGLEFINANCE(D2507,""CURRENCY"")))))),B2507)"),"")</f>
        <v/>
      </c>
      <c r="R2507" s="263" t="str">
        <f>IFERROR(__xludf.DUMMYFUNCTION("IF(ISBLANK(A2507),"""",IFERROR(IF(OR(Q2507=""GPB"",Q2507=""ZAR""),IF(Q2507=Dashboard!$L$1,K2507,(K2507*GOOGLEFINANCE(""CURRENCY:""&amp;Q2507&amp;""""&amp;Dashboard!$L$1&amp;""""))/100),IF(Q2507=Dashboard!$L$1,K2507,K2507*GOOGLEFINANCE(""CURRENCY:""&amp;Q2507&amp;""""&amp;Dashboard!$"&amp;"L$1&amp;""""))),K2507))"),"")</f>
        <v/>
      </c>
      <c r="S2507" s="266" t="str">
        <f>IFERROR(__xludf.DUMMYFUNCTION("IF(ISBLANK(A2507),"""",IFERROR(IF(OR(Q2507=""GPB"",Q2507=""ZAR""),IF(Q2507=Dashboard!$L$1,M2507,(M2507*GOOGLEFINANCE(""CURRENCY:""&amp;Q2507&amp;""""&amp;Dashboard!$L$1&amp;""""))/100),IF(Q2507=Dashboard!$L$1,M2507,M2507*GOOGLEFINANCE(""CURRENCY:""&amp;Q2507&amp;""""&amp;Dashboard!$"&amp;"L$1&amp;""""))),M2507))"),"")</f>
        <v/>
      </c>
      <c r="T2507" s="264" t="str">
        <f t="shared" si="4"/>
        <v/>
      </c>
      <c r="U2507" s="264" t="str">
        <f t="shared" si="5"/>
        <v/>
      </c>
      <c r="V2507" s="264" t="str">
        <f t="shared" si="6"/>
        <v/>
      </c>
      <c r="W2507" s="267" t="str">
        <f t="shared" si="8"/>
        <v/>
      </c>
      <c r="X2507" s="264" t="str">
        <f t="shared" si="7"/>
        <v/>
      </c>
    </row>
    <row r="2508" ht="15.75" customHeight="1">
      <c r="A2508" s="258"/>
      <c r="B2508" s="258"/>
      <c r="C2508" s="269"/>
      <c r="D2508" s="258"/>
      <c r="E2508" s="258"/>
      <c r="F2508" s="258"/>
      <c r="G2508" s="258"/>
      <c r="H2508" s="271"/>
      <c r="I2508" s="258"/>
      <c r="J2508" s="272"/>
      <c r="K2508" s="260"/>
      <c r="L2508" s="261"/>
      <c r="M2508" s="262" t="str">
        <f t="shared" si="1"/>
        <v/>
      </c>
      <c r="N2508" s="263" t="str">
        <f t="shared" si="2"/>
        <v/>
      </c>
      <c r="O2508" s="264" t="str">
        <f t="shared" si="3"/>
        <v/>
      </c>
      <c r="P2508" s="265" t="str">
        <f>IFERROR(__xludf.DUMMYFUNCTION("IF(ISBLANK(A2508),"""",IFERROR(IF(H2508=""Sell"",VLOOKUP(9^99,FILTER({ROW(P$2:P2507),P$2:P2507},D$2:D2507=D2508),2),(VLOOKUP(9^99,FILTER({ROW(P$2:P2507),P$2:P2507},D$2:D2507=D2508),2)*VLOOKUP(9^99,FILTER({ROW(O$2:O2507),O$2:O2507},D$2:D2507=D2508),2)-N250"&amp;"8)/O2508),J2508))"),"")</f>
        <v/>
      </c>
      <c r="Q2508" s="264" t="str">
        <f>IFERROR(__xludf.DUMMYFUNCTION("IFERROR(IF(F2508=""Crypto"",B2508,(IF(ISBLANK(D2508),"""",IF(D2508=""Cash"",B2508,IF(GOOGLEFINANCE(D2508,""CURRENCY"")=""GBX"",""GBP"",GOOGLEFINANCE(D2508,""CURRENCY"")))))),B2508)"),"")</f>
        <v/>
      </c>
      <c r="R2508" s="263" t="str">
        <f>IFERROR(__xludf.DUMMYFUNCTION("IF(ISBLANK(A2508),"""",IFERROR(IF(OR(Q2508=""GPB"",Q2508=""ZAR""),IF(Q2508=Dashboard!$L$1,K2508,(K2508*GOOGLEFINANCE(""CURRENCY:""&amp;Q2508&amp;""""&amp;Dashboard!$L$1&amp;""""))/100),IF(Q2508=Dashboard!$L$1,K2508,K2508*GOOGLEFINANCE(""CURRENCY:""&amp;Q2508&amp;""""&amp;Dashboard!$"&amp;"L$1&amp;""""))),K2508))"),"")</f>
        <v/>
      </c>
      <c r="S2508" s="266" t="str">
        <f>IFERROR(__xludf.DUMMYFUNCTION("IF(ISBLANK(A2508),"""",IFERROR(IF(OR(Q2508=""GPB"",Q2508=""ZAR""),IF(Q2508=Dashboard!$L$1,M2508,(M2508*GOOGLEFINANCE(""CURRENCY:""&amp;Q2508&amp;""""&amp;Dashboard!$L$1&amp;""""))/100),IF(Q2508=Dashboard!$L$1,M2508,M2508*GOOGLEFINANCE(""CURRENCY:""&amp;Q2508&amp;""""&amp;Dashboard!$"&amp;"L$1&amp;""""))),M2508))"),"")</f>
        <v/>
      </c>
      <c r="T2508" s="264" t="str">
        <f t="shared" si="4"/>
        <v/>
      </c>
      <c r="U2508" s="264" t="str">
        <f t="shared" si="5"/>
        <v/>
      </c>
      <c r="V2508" s="264" t="str">
        <f t="shared" si="6"/>
        <v/>
      </c>
      <c r="W2508" s="267" t="str">
        <f t="shared" si="8"/>
        <v/>
      </c>
      <c r="X2508" s="264" t="str">
        <f t="shared" si="7"/>
        <v/>
      </c>
    </row>
    <row r="2509" ht="15.75" customHeight="1">
      <c r="A2509" s="258"/>
      <c r="B2509" s="258"/>
      <c r="C2509" s="269"/>
      <c r="D2509" s="258"/>
      <c r="E2509" s="258"/>
      <c r="F2509" s="258"/>
      <c r="G2509" s="258"/>
      <c r="H2509" s="271"/>
      <c r="I2509" s="258"/>
      <c r="J2509" s="272"/>
      <c r="K2509" s="260"/>
      <c r="L2509" s="261"/>
      <c r="M2509" s="262" t="str">
        <f t="shared" si="1"/>
        <v/>
      </c>
      <c r="N2509" s="263" t="str">
        <f t="shared" si="2"/>
        <v/>
      </c>
      <c r="O2509" s="264" t="str">
        <f t="shared" si="3"/>
        <v/>
      </c>
      <c r="P2509" s="265" t="str">
        <f>IFERROR(__xludf.DUMMYFUNCTION("IF(ISBLANK(A2509),"""",IFERROR(IF(H2509=""Sell"",VLOOKUP(9^99,FILTER({ROW(P$2:P2508),P$2:P2508},D$2:D2508=D2509),2),(VLOOKUP(9^99,FILTER({ROW(P$2:P2508),P$2:P2508},D$2:D2508=D2509),2)*VLOOKUP(9^99,FILTER({ROW(O$2:O2508),O$2:O2508},D$2:D2508=D2509),2)-N250"&amp;"9)/O2509),J2509))"),"")</f>
        <v/>
      </c>
      <c r="Q2509" s="264" t="str">
        <f>IFERROR(__xludf.DUMMYFUNCTION("IFERROR(IF(F2509=""Crypto"",B2509,(IF(ISBLANK(D2509),"""",IF(D2509=""Cash"",B2509,IF(GOOGLEFINANCE(D2509,""CURRENCY"")=""GBX"",""GBP"",GOOGLEFINANCE(D2509,""CURRENCY"")))))),B2509)"),"")</f>
        <v/>
      </c>
      <c r="R2509" s="263" t="str">
        <f>IFERROR(__xludf.DUMMYFUNCTION("IF(ISBLANK(A2509),"""",IFERROR(IF(OR(Q2509=""GPB"",Q2509=""ZAR""),IF(Q2509=Dashboard!$L$1,K2509,(K2509*GOOGLEFINANCE(""CURRENCY:""&amp;Q2509&amp;""""&amp;Dashboard!$L$1&amp;""""))/100),IF(Q2509=Dashboard!$L$1,K2509,K2509*GOOGLEFINANCE(""CURRENCY:""&amp;Q2509&amp;""""&amp;Dashboard!$"&amp;"L$1&amp;""""))),K2509))"),"")</f>
        <v/>
      </c>
      <c r="S2509" s="266" t="str">
        <f>IFERROR(__xludf.DUMMYFUNCTION("IF(ISBLANK(A2509),"""",IFERROR(IF(OR(Q2509=""GPB"",Q2509=""ZAR""),IF(Q2509=Dashboard!$L$1,M2509,(M2509*GOOGLEFINANCE(""CURRENCY:""&amp;Q2509&amp;""""&amp;Dashboard!$L$1&amp;""""))/100),IF(Q2509=Dashboard!$L$1,M2509,M2509*GOOGLEFINANCE(""CURRENCY:""&amp;Q2509&amp;""""&amp;Dashboard!$"&amp;"L$1&amp;""""))),M2509))"),"")</f>
        <v/>
      </c>
      <c r="T2509" s="264" t="str">
        <f t="shared" si="4"/>
        <v/>
      </c>
      <c r="U2509" s="264" t="str">
        <f t="shared" si="5"/>
        <v/>
      </c>
      <c r="V2509" s="264" t="str">
        <f t="shared" si="6"/>
        <v/>
      </c>
      <c r="W2509" s="267" t="str">
        <f t="shared" si="8"/>
        <v/>
      </c>
      <c r="X2509" s="264" t="str">
        <f t="shared" si="7"/>
        <v/>
      </c>
    </row>
    <row r="2510" ht="15.75" customHeight="1">
      <c r="A2510" s="258"/>
      <c r="B2510" s="258"/>
      <c r="C2510" s="269"/>
      <c r="D2510" s="258"/>
      <c r="E2510" s="258"/>
      <c r="F2510" s="258"/>
      <c r="G2510" s="258"/>
      <c r="H2510" s="271"/>
      <c r="I2510" s="258"/>
      <c r="J2510" s="272"/>
      <c r="K2510" s="260"/>
      <c r="L2510" s="261"/>
      <c r="M2510" s="262" t="str">
        <f t="shared" si="1"/>
        <v/>
      </c>
      <c r="N2510" s="263" t="str">
        <f t="shared" si="2"/>
        <v/>
      </c>
      <c r="O2510" s="264" t="str">
        <f t="shared" si="3"/>
        <v/>
      </c>
      <c r="P2510" s="265" t="str">
        <f>IFERROR(__xludf.DUMMYFUNCTION("IF(ISBLANK(A2510),"""",IFERROR(IF(H2510=""Sell"",VLOOKUP(9^99,FILTER({ROW(P$2:P2509),P$2:P2509},D$2:D2509=D2510),2),(VLOOKUP(9^99,FILTER({ROW(P$2:P2509),P$2:P2509},D$2:D2509=D2510),2)*VLOOKUP(9^99,FILTER({ROW(O$2:O2509),O$2:O2509},D$2:D2509=D2510),2)-N251"&amp;"0)/O2510),J2510))"),"")</f>
        <v/>
      </c>
      <c r="Q2510" s="264" t="str">
        <f>IFERROR(__xludf.DUMMYFUNCTION("IFERROR(IF(F2510=""Crypto"",B2510,(IF(ISBLANK(D2510),"""",IF(D2510=""Cash"",B2510,IF(GOOGLEFINANCE(D2510,""CURRENCY"")=""GBX"",""GBP"",GOOGLEFINANCE(D2510,""CURRENCY"")))))),B2510)"),"")</f>
        <v/>
      </c>
      <c r="R2510" s="263" t="str">
        <f>IFERROR(__xludf.DUMMYFUNCTION("IF(ISBLANK(A2510),"""",IFERROR(IF(OR(Q2510=""GPB"",Q2510=""ZAR""),IF(Q2510=Dashboard!$L$1,K2510,(K2510*GOOGLEFINANCE(""CURRENCY:""&amp;Q2510&amp;""""&amp;Dashboard!$L$1&amp;""""))/100),IF(Q2510=Dashboard!$L$1,K2510,K2510*GOOGLEFINANCE(""CURRENCY:""&amp;Q2510&amp;""""&amp;Dashboard!$"&amp;"L$1&amp;""""))),K2510))"),"")</f>
        <v/>
      </c>
      <c r="S2510" s="266" t="str">
        <f>IFERROR(__xludf.DUMMYFUNCTION("IF(ISBLANK(A2510),"""",IFERROR(IF(OR(Q2510=""GPB"",Q2510=""ZAR""),IF(Q2510=Dashboard!$L$1,M2510,(M2510*GOOGLEFINANCE(""CURRENCY:""&amp;Q2510&amp;""""&amp;Dashboard!$L$1&amp;""""))/100),IF(Q2510=Dashboard!$L$1,M2510,M2510*GOOGLEFINANCE(""CURRENCY:""&amp;Q2510&amp;""""&amp;Dashboard!$"&amp;"L$1&amp;""""))),M2510))"),"")</f>
        <v/>
      </c>
      <c r="T2510" s="264" t="str">
        <f t="shared" si="4"/>
        <v/>
      </c>
      <c r="U2510" s="264" t="str">
        <f t="shared" si="5"/>
        <v/>
      </c>
      <c r="V2510" s="264" t="str">
        <f t="shared" si="6"/>
        <v/>
      </c>
      <c r="W2510" s="267" t="str">
        <f t="shared" si="8"/>
        <v/>
      </c>
      <c r="X2510" s="264" t="str">
        <f t="shared" si="7"/>
        <v/>
      </c>
    </row>
    <row r="2511" ht="15.75" customHeight="1">
      <c r="A2511" s="258"/>
      <c r="B2511" s="258"/>
      <c r="C2511" s="269"/>
      <c r="D2511" s="258"/>
      <c r="E2511" s="258"/>
      <c r="F2511" s="258"/>
      <c r="G2511" s="258"/>
      <c r="H2511" s="271"/>
      <c r="I2511" s="258"/>
      <c r="J2511" s="272"/>
      <c r="K2511" s="260"/>
      <c r="L2511" s="261"/>
      <c r="M2511" s="262" t="str">
        <f t="shared" si="1"/>
        <v/>
      </c>
      <c r="N2511" s="263" t="str">
        <f t="shared" si="2"/>
        <v/>
      </c>
      <c r="O2511" s="264" t="str">
        <f t="shared" si="3"/>
        <v/>
      </c>
      <c r="P2511" s="265" t="str">
        <f>IFERROR(__xludf.DUMMYFUNCTION("IF(ISBLANK(A2511),"""",IFERROR(IF(H2511=""Sell"",VLOOKUP(9^99,FILTER({ROW(P$2:P2510),P$2:P2510},D$2:D2510=D2511),2),(VLOOKUP(9^99,FILTER({ROW(P$2:P2510),P$2:P2510},D$2:D2510=D2511),2)*VLOOKUP(9^99,FILTER({ROW(O$2:O2510),O$2:O2510},D$2:D2510=D2511),2)-N251"&amp;"1)/O2511),J2511))"),"")</f>
        <v/>
      </c>
      <c r="Q2511" s="264" t="str">
        <f>IFERROR(__xludf.DUMMYFUNCTION("IFERROR(IF(F2511=""Crypto"",B2511,(IF(ISBLANK(D2511),"""",IF(D2511=""Cash"",B2511,IF(GOOGLEFINANCE(D2511,""CURRENCY"")=""GBX"",""GBP"",GOOGLEFINANCE(D2511,""CURRENCY"")))))),B2511)"),"")</f>
        <v/>
      </c>
      <c r="R2511" s="263" t="str">
        <f>IFERROR(__xludf.DUMMYFUNCTION("IF(ISBLANK(A2511),"""",IFERROR(IF(OR(Q2511=""GPB"",Q2511=""ZAR""),IF(Q2511=Dashboard!$L$1,K2511,(K2511*GOOGLEFINANCE(""CURRENCY:""&amp;Q2511&amp;""""&amp;Dashboard!$L$1&amp;""""))/100),IF(Q2511=Dashboard!$L$1,K2511,K2511*GOOGLEFINANCE(""CURRENCY:""&amp;Q2511&amp;""""&amp;Dashboard!$"&amp;"L$1&amp;""""))),K2511))"),"")</f>
        <v/>
      </c>
      <c r="S2511" s="266" t="str">
        <f>IFERROR(__xludf.DUMMYFUNCTION("IF(ISBLANK(A2511),"""",IFERROR(IF(OR(Q2511=""GPB"",Q2511=""ZAR""),IF(Q2511=Dashboard!$L$1,M2511,(M2511*GOOGLEFINANCE(""CURRENCY:""&amp;Q2511&amp;""""&amp;Dashboard!$L$1&amp;""""))/100),IF(Q2511=Dashboard!$L$1,M2511,M2511*GOOGLEFINANCE(""CURRENCY:""&amp;Q2511&amp;""""&amp;Dashboard!$"&amp;"L$1&amp;""""))),M2511))"),"")</f>
        <v/>
      </c>
      <c r="T2511" s="264" t="str">
        <f t="shared" si="4"/>
        <v/>
      </c>
      <c r="U2511" s="264" t="str">
        <f t="shared" si="5"/>
        <v/>
      </c>
      <c r="V2511" s="264" t="str">
        <f t="shared" si="6"/>
        <v/>
      </c>
      <c r="W2511" s="267" t="str">
        <f t="shared" si="8"/>
        <v/>
      </c>
      <c r="X2511" s="264" t="str">
        <f t="shared" si="7"/>
        <v/>
      </c>
    </row>
    <row r="2512" ht="15.75" customHeight="1">
      <c r="A2512" s="258"/>
      <c r="B2512" s="258"/>
      <c r="C2512" s="269"/>
      <c r="D2512" s="258"/>
      <c r="E2512" s="258"/>
      <c r="F2512" s="258"/>
      <c r="G2512" s="258"/>
      <c r="H2512" s="271"/>
      <c r="I2512" s="258"/>
      <c r="J2512" s="272"/>
      <c r="K2512" s="260"/>
      <c r="L2512" s="261"/>
      <c r="M2512" s="262" t="str">
        <f t="shared" si="1"/>
        <v/>
      </c>
      <c r="N2512" s="263" t="str">
        <f t="shared" si="2"/>
        <v/>
      </c>
      <c r="O2512" s="264" t="str">
        <f t="shared" si="3"/>
        <v/>
      </c>
      <c r="P2512" s="265" t="str">
        <f>IFERROR(__xludf.DUMMYFUNCTION("IF(ISBLANK(A2512),"""",IFERROR(IF(H2512=""Sell"",VLOOKUP(9^99,FILTER({ROW(P$2:P2511),P$2:P2511},D$2:D2511=D2512),2),(VLOOKUP(9^99,FILTER({ROW(P$2:P2511),P$2:P2511},D$2:D2511=D2512),2)*VLOOKUP(9^99,FILTER({ROW(O$2:O2511),O$2:O2511},D$2:D2511=D2512),2)-N251"&amp;"2)/O2512),J2512))"),"")</f>
        <v/>
      </c>
      <c r="Q2512" s="264" t="str">
        <f>IFERROR(__xludf.DUMMYFUNCTION("IFERROR(IF(F2512=""Crypto"",B2512,(IF(ISBLANK(D2512),"""",IF(D2512=""Cash"",B2512,IF(GOOGLEFINANCE(D2512,""CURRENCY"")=""GBX"",""GBP"",GOOGLEFINANCE(D2512,""CURRENCY"")))))),B2512)"),"")</f>
        <v/>
      </c>
      <c r="R2512" s="263" t="str">
        <f>IFERROR(__xludf.DUMMYFUNCTION("IF(ISBLANK(A2512),"""",IFERROR(IF(OR(Q2512=""GPB"",Q2512=""ZAR""),IF(Q2512=Dashboard!$L$1,K2512,(K2512*GOOGLEFINANCE(""CURRENCY:""&amp;Q2512&amp;""""&amp;Dashboard!$L$1&amp;""""))/100),IF(Q2512=Dashboard!$L$1,K2512,K2512*GOOGLEFINANCE(""CURRENCY:""&amp;Q2512&amp;""""&amp;Dashboard!$"&amp;"L$1&amp;""""))),K2512))"),"")</f>
        <v/>
      </c>
      <c r="S2512" s="266" t="str">
        <f>IFERROR(__xludf.DUMMYFUNCTION("IF(ISBLANK(A2512),"""",IFERROR(IF(OR(Q2512=""GPB"",Q2512=""ZAR""),IF(Q2512=Dashboard!$L$1,M2512,(M2512*GOOGLEFINANCE(""CURRENCY:""&amp;Q2512&amp;""""&amp;Dashboard!$L$1&amp;""""))/100),IF(Q2512=Dashboard!$L$1,M2512,M2512*GOOGLEFINANCE(""CURRENCY:""&amp;Q2512&amp;""""&amp;Dashboard!$"&amp;"L$1&amp;""""))),M2512))"),"")</f>
        <v/>
      </c>
      <c r="T2512" s="264" t="str">
        <f t="shared" si="4"/>
        <v/>
      </c>
      <c r="U2512" s="264" t="str">
        <f t="shared" si="5"/>
        <v/>
      </c>
      <c r="V2512" s="264" t="str">
        <f t="shared" si="6"/>
        <v/>
      </c>
      <c r="W2512" s="267" t="str">
        <f t="shared" si="8"/>
        <v/>
      </c>
      <c r="X2512" s="264" t="str">
        <f t="shared" si="7"/>
        <v/>
      </c>
    </row>
    <row r="2513" ht="15.75" customHeight="1">
      <c r="A2513" s="258"/>
      <c r="B2513" s="258"/>
      <c r="C2513" s="269"/>
      <c r="D2513" s="258"/>
      <c r="E2513" s="258"/>
      <c r="F2513" s="258"/>
      <c r="G2513" s="258"/>
      <c r="H2513" s="271"/>
      <c r="I2513" s="258"/>
      <c r="J2513" s="272"/>
      <c r="K2513" s="260"/>
      <c r="L2513" s="261"/>
      <c r="M2513" s="262" t="str">
        <f t="shared" si="1"/>
        <v/>
      </c>
      <c r="N2513" s="263" t="str">
        <f t="shared" si="2"/>
        <v/>
      </c>
      <c r="O2513" s="264" t="str">
        <f t="shared" si="3"/>
        <v/>
      </c>
      <c r="P2513" s="265" t="str">
        <f>IFERROR(__xludf.DUMMYFUNCTION("IF(ISBLANK(A2513),"""",IFERROR(IF(H2513=""Sell"",VLOOKUP(9^99,FILTER({ROW(P$2:P2512),P$2:P2512},D$2:D2512=D2513),2),(VLOOKUP(9^99,FILTER({ROW(P$2:P2512),P$2:P2512},D$2:D2512=D2513),2)*VLOOKUP(9^99,FILTER({ROW(O$2:O2512),O$2:O2512},D$2:D2512=D2513),2)-N251"&amp;"3)/O2513),J2513))"),"")</f>
        <v/>
      </c>
      <c r="Q2513" s="264" t="str">
        <f>IFERROR(__xludf.DUMMYFUNCTION("IFERROR(IF(F2513=""Crypto"",B2513,(IF(ISBLANK(D2513),"""",IF(D2513=""Cash"",B2513,IF(GOOGLEFINANCE(D2513,""CURRENCY"")=""GBX"",""GBP"",GOOGLEFINANCE(D2513,""CURRENCY"")))))),B2513)"),"")</f>
        <v/>
      </c>
      <c r="R2513" s="263" t="str">
        <f>IFERROR(__xludf.DUMMYFUNCTION("IF(ISBLANK(A2513),"""",IFERROR(IF(OR(Q2513=""GPB"",Q2513=""ZAR""),IF(Q2513=Dashboard!$L$1,K2513,(K2513*GOOGLEFINANCE(""CURRENCY:""&amp;Q2513&amp;""""&amp;Dashboard!$L$1&amp;""""))/100),IF(Q2513=Dashboard!$L$1,K2513,K2513*GOOGLEFINANCE(""CURRENCY:""&amp;Q2513&amp;""""&amp;Dashboard!$"&amp;"L$1&amp;""""))),K2513))"),"")</f>
        <v/>
      </c>
      <c r="S2513" s="266" t="str">
        <f>IFERROR(__xludf.DUMMYFUNCTION("IF(ISBLANK(A2513),"""",IFERROR(IF(OR(Q2513=""GPB"",Q2513=""ZAR""),IF(Q2513=Dashboard!$L$1,M2513,(M2513*GOOGLEFINANCE(""CURRENCY:""&amp;Q2513&amp;""""&amp;Dashboard!$L$1&amp;""""))/100),IF(Q2513=Dashboard!$L$1,M2513,M2513*GOOGLEFINANCE(""CURRENCY:""&amp;Q2513&amp;""""&amp;Dashboard!$"&amp;"L$1&amp;""""))),M2513))"),"")</f>
        <v/>
      </c>
      <c r="T2513" s="264" t="str">
        <f t="shared" si="4"/>
        <v/>
      </c>
      <c r="U2513" s="264" t="str">
        <f t="shared" si="5"/>
        <v/>
      </c>
      <c r="V2513" s="264" t="str">
        <f t="shared" si="6"/>
        <v/>
      </c>
      <c r="W2513" s="267" t="str">
        <f t="shared" si="8"/>
        <v/>
      </c>
      <c r="X2513" s="264" t="str">
        <f t="shared" si="7"/>
        <v/>
      </c>
    </row>
    <row r="2514" ht="15.75" customHeight="1">
      <c r="A2514" s="258"/>
      <c r="B2514" s="258"/>
      <c r="C2514" s="269"/>
      <c r="D2514" s="258"/>
      <c r="E2514" s="258"/>
      <c r="F2514" s="258"/>
      <c r="G2514" s="258"/>
      <c r="H2514" s="271"/>
      <c r="I2514" s="258"/>
      <c r="J2514" s="272"/>
      <c r="K2514" s="260"/>
      <c r="L2514" s="261"/>
      <c r="M2514" s="262" t="str">
        <f t="shared" si="1"/>
        <v/>
      </c>
      <c r="N2514" s="263" t="str">
        <f t="shared" si="2"/>
        <v/>
      </c>
      <c r="O2514" s="264" t="str">
        <f t="shared" si="3"/>
        <v/>
      </c>
      <c r="P2514" s="265" t="str">
        <f>IFERROR(__xludf.DUMMYFUNCTION("IF(ISBLANK(A2514),"""",IFERROR(IF(H2514=""Sell"",VLOOKUP(9^99,FILTER({ROW(P$2:P2513),P$2:P2513},D$2:D2513=D2514),2),(VLOOKUP(9^99,FILTER({ROW(P$2:P2513),P$2:P2513},D$2:D2513=D2514),2)*VLOOKUP(9^99,FILTER({ROW(O$2:O2513),O$2:O2513},D$2:D2513=D2514),2)-N251"&amp;"4)/O2514),J2514))"),"")</f>
        <v/>
      </c>
      <c r="Q2514" s="264" t="str">
        <f>IFERROR(__xludf.DUMMYFUNCTION("IFERROR(IF(F2514=""Crypto"",B2514,(IF(ISBLANK(D2514),"""",IF(D2514=""Cash"",B2514,IF(GOOGLEFINANCE(D2514,""CURRENCY"")=""GBX"",""GBP"",GOOGLEFINANCE(D2514,""CURRENCY"")))))),B2514)"),"")</f>
        <v/>
      </c>
      <c r="R2514" s="263" t="str">
        <f>IFERROR(__xludf.DUMMYFUNCTION("IF(ISBLANK(A2514),"""",IFERROR(IF(OR(Q2514=""GPB"",Q2514=""ZAR""),IF(Q2514=Dashboard!$L$1,K2514,(K2514*GOOGLEFINANCE(""CURRENCY:""&amp;Q2514&amp;""""&amp;Dashboard!$L$1&amp;""""))/100),IF(Q2514=Dashboard!$L$1,K2514,K2514*GOOGLEFINANCE(""CURRENCY:""&amp;Q2514&amp;""""&amp;Dashboard!$"&amp;"L$1&amp;""""))),K2514))"),"")</f>
        <v/>
      </c>
      <c r="S2514" s="266" t="str">
        <f>IFERROR(__xludf.DUMMYFUNCTION("IF(ISBLANK(A2514),"""",IFERROR(IF(OR(Q2514=""GPB"",Q2514=""ZAR""),IF(Q2514=Dashboard!$L$1,M2514,(M2514*GOOGLEFINANCE(""CURRENCY:""&amp;Q2514&amp;""""&amp;Dashboard!$L$1&amp;""""))/100),IF(Q2514=Dashboard!$L$1,M2514,M2514*GOOGLEFINANCE(""CURRENCY:""&amp;Q2514&amp;""""&amp;Dashboard!$"&amp;"L$1&amp;""""))),M2514))"),"")</f>
        <v/>
      </c>
      <c r="T2514" s="264" t="str">
        <f t="shared" si="4"/>
        <v/>
      </c>
      <c r="U2514" s="264" t="str">
        <f t="shared" si="5"/>
        <v/>
      </c>
      <c r="V2514" s="264" t="str">
        <f t="shared" si="6"/>
        <v/>
      </c>
      <c r="W2514" s="267" t="str">
        <f t="shared" si="8"/>
        <v/>
      </c>
      <c r="X2514" s="264" t="str">
        <f t="shared" si="7"/>
        <v/>
      </c>
    </row>
    <row r="2515" ht="15.75" customHeight="1">
      <c r="A2515" s="258"/>
      <c r="B2515" s="258"/>
      <c r="C2515" s="269"/>
      <c r="D2515" s="258"/>
      <c r="E2515" s="258"/>
      <c r="F2515" s="258"/>
      <c r="G2515" s="258"/>
      <c r="H2515" s="271"/>
      <c r="I2515" s="258"/>
      <c r="J2515" s="272"/>
      <c r="K2515" s="260"/>
      <c r="L2515" s="261"/>
      <c r="M2515" s="262" t="str">
        <f t="shared" si="1"/>
        <v/>
      </c>
      <c r="N2515" s="263" t="str">
        <f t="shared" si="2"/>
        <v/>
      </c>
      <c r="O2515" s="264" t="str">
        <f t="shared" si="3"/>
        <v/>
      </c>
      <c r="P2515" s="265" t="str">
        <f>IFERROR(__xludf.DUMMYFUNCTION("IF(ISBLANK(A2515),"""",IFERROR(IF(H2515=""Sell"",VLOOKUP(9^99,FILTER({ROW(P$2:P2514),P$2:P2514},D$2:D2514=D2515),2),(VLOOKUP(9^99,FILTER({ROW(P$2:P2514),P$2:P2514},D$2:D2514=D2515),2)*VLOOKUP(9^99,FILTER({ROW(O$2:O2514),O$2:O2514},D$2:D2514=D2515),2)-N251"&amp;"5)/O2515),J2515))"),"")</f>
        <v/>
      </c>
      <c r="Q2515" s="264" t="str">
        <f>IFERROR(__xludf.DUMMYFUNCTION("IFERROR(IF(F2515=""Crypto"",B2515,(IF(ISBLANK(D2515),"""",IF(D2515=""Cash"",B2515,IF(GOOGLEFINANCE(D2515,""CURRENCY"")=""GBX"",""GBP"",GOOGLEFINANCE(D2515,""CURRENCY"")))))),B2515)"),"")</f>
        <v/>
      </c>
      <c r="R2515" s="263" t="str">
        <f>IFERROR(__xludf.DUMMYFUNCTION("IF(ISBLANK(A2515),"""",IFERROR(IF(OR(Q2515=""GPB"",Q2515=""ZAR""),IF(Q2515=Dashboard!$L$1,K2515,(K2515*GOOGLEFINANCE(""CURRENCY:""&amp;Q2515&amp;""""&amp;Dashboard!$L$1&amp;""""))/100),IF(Q2515=Dashboard!$L$1,K2515,K2515*GOOGLEFINANCE(""CURRENCY:""&amp;Q2515&amp;""""&amp;Dashboard!$"&amp;"L$1&amp;""""))),K2515))"),"")</f>
        <v/>
      </c>
      <c r="S2515" s="266" t="str">
        <f>IFERROR(__xludf.DUMMYFUNCTION("IF(ISBLANK(A2515),"""",IFERROR(IF(OR(Q2515=""GPB"",Q2515=""ZAR""),IF(Q2515=Dashboard!$L$1,M2515,(M2515*GOOGLEFINANCE(""CURRENCY:""&amp;Q2515&amp;""""&amp;Dashboard!$L$1&amp;""""))/100),IF(Q2515=Dashboard!$L$1,M2515,M2515*GOOGLEFINANCE(""CURRENCY:""&amp;Q2515&amp;""""&amp;Dashboard!$"&amp;"L$1&amp;""""))),M2515))"),"")</f>
        <v/>
      </c>
      <c r="T2515" s="264" t="str">
        <f t="shared" si="4"/>
        <v/>
      </c>
      <c r="U2515" s="264" t="str">
        <f t="shared" si="5"/>
        <v/>
      </c>
      <c r="V2515" s="264" t="str">
        <f t="shared" si="6"/>
        <v/>
      </c>
      <c r="W2515" s="267" t="str">
        <f t="shared" si="8"/>
        <v/>
      </c>
      <c r="X2515" s="264" t="str">
        <f t="shared" si="7"/>
        <v/>
      </c>
    </row>
    <row r="2516" ht="15.75" customHeight="1">
      <c r="A2516" s="258"/>
      <c r="B2516" s="258"/>
      <c r="C2516" s="269"/>
      <c r="D2516" s="258"/>
      <c r="E2516" s="258"/>
      <c r="F2516" s="258"/>
      <c r="G2516" s="258"/>
      <c r="H2516" s="271"/>
      <c r="I2516" s="258"/>
      <c r="J2516" s="272"/>
      <c r="K2516" s="260"/>
      <c r="L2516" s="261"/>
      <c r="M2516" s="262" t="str">
        <f t="shared" si="1"/>
        <v/>
      </c>
      <c r="N2516" s="263" t="str">
        <f t="shared" si="2"/>
        <v/>
      </c>
      <c r="O2516" s="264" t="str">
        <f t="shared" si="3"/>
        <v/>
      </c>
      <c r="P2516" s="265" t="str">
        <f>IFERROR(__xludf.DUMMYFUNCTION("IF(ISBLANK(A2516),"""",IFERROR(IF(H2516=""Sell"",VLOOKUP(9^99,FILTER({ROW(P$2:P2515),P$2:P2515},D$2:D2515=D2516),2),(VLOOKUP(9^99,FILTER({ROW(P$2:P2515),P$2:P2515},D$2:D2515=D2516),2)*VLOOKUP(9^99,FILTER({ROW(O$2:O2515),O$2:O2515},D$2:D2515=D2516),2)-N251"&amp;"6)/O2516),J2516))"),"")</f>
        <v/>
      </c>
      <c r="Q2516" s="264" t="str">
        <f>IFERROR(__xludf.DUMMYFUNCTION("IFERROR(IF(F2516=""Crypto"",B2516,(IF(ISBLANK(D2516),"""",IF(D2516=""Cash"",B2516,IF(GOOGLEFINANCE(D2516,""CURRENCY"")=""GBX"",""GBP"",GOOGLEFINANCE(D2516,""CURRENCY"")))))),B2516)"),"")</f>
        <v/>
      </c>
      <c r="R2516" s="263" t="str">
        <f>IFERROR(__xludf.DUMMYFUNCTION("IF(ISBLANK(A2516),"""",IFERROR(IF(OR(Q2516=""GPB"",Q2516=""ZAR""),IF(Q2516=Dashboard!$L$1,K2516,(K2516*GOOGLEFINANCE(""CURRENCY:""&amp;Q2516&amp;""""&amp;Dashboard!$L$1&amp;""""))/100),IF(Q2516=Dashboard!$L$1,K2516,K2516*GOOGLEFINANCE(""CURRENCY:""&amp;Q2516&amp;""""&amp;Dashboard!$"&amp;"L$1&amp;""""))),K2516))"),"")</f>
        <v/>
      </c>
      <c r="S2516" s="266" t="str">
        <f>IFERROR(__xludf.DUMMYFUNCTION("IF(ISBLANK(A2516),"""",IFERROR(IF(OR(Q2516=""GPB"",Q2516=""ZAR""),IF(Q2516=Dashboard!$L$1,M2516,(M2516*GOOGLEFINANCE(""CURRENCY:""&amp;Q2516&amp;""""&amp;Dashboard!$L$1&amp;""""))/100),IF(Q2516=Dashboard!$L$1,M2516,M2516*GOOGLEFINANCE(""CURRENCY:""&amp;Q2516&amp;""""&amp;Dashboard!$"&amp;"L$1&amp;""""))),M2516))"),"")</f>
        <v/>
      </c>
      <c r="T2516" s="264" t="str">
        <f t="shared" si="4"/>
        <v/>
      </c>
      <c r="U2516" s="264" t="str">
        <f t="shared" si="5"/>
        <v/>
      </c>
      <c r="V2516" s="264" t="str">
        <f t="shared" si="6"/>
        <v/>
      </c>
      <c r="W2516" s="267" t="str">
        <f t="shared" si="8"/>
        <v/>
      </c>
      <c r="X2516" s="264" t="str">
        <f t="shared" si="7"/>
        <v/>
      </c>
    </row>
    <row r="2517" ht="15.75" customHeight="1">
      <c r="A2517" s="258"/>
      <c r="B2517" s="258"/>
      <c r="C2517" s="269"/>
      <c r="D2517" s="258"/>
      <c r="E2517" s="258"/>
      <c r="F2517" s="258"/>
      <c r="G2517" s="258"/>
      <c r="H2517" s="271"/>
      <c r="I2517" s="258"/>
      <c r="J2517" s="272"/>
      <c r="K2517" s="260"/>
      <c r="L2517" s="261"/>
      <c r="M2517" s="262" t="str">
        <f t="shared" si="1"/>
        <v/>
      </c>
      <c r="N2517" s="263" t="str">
        <f t="shared" si="2"/>
        <v/>
      </c>
      <c r="O2517" s="264" t="str">
        <f t="shared" si="3"/>
        <v/>
      </c>
      <c r="P2517" s="265" t="str">
        <f>IFERROR(__xludf.DUMMYFUNCTION("IF(ISBLANK(A2517),"""",IFERROR(IF(H2517=""Sell"",VLOOKUP(9^99,FILTER({ROW(P$2:P2516),P$2:P2516},D$2:D2516=D2517),2),(VLOOKUP(9^99,FILTER({ROW(P$2:P2516),P$2:P2516},D$2:D2516=D2517),2)*VLOOKUP(9^99,FILTER({ROW(O$2:O2516),O$2:O2516},D$2:D2516=D2517),2)-N251"&amp;"7)/O2517),J2517))"),"")</f>
        <v/>
      </c>
      <c r="Q2517" s="264" t="str">
        <f>IFERROR(__xludf.DUMMYFUNCTION("IFERROR(IF(F2517=""Crypto"",B2517,(IF(ISBLANK(D2517),"""",IF(D2517=""Cash"",B2517,IF(GOOGLEFINANCE(D2517,""CURRENCY"")=""GBX"",""GBP"",GOOGLEFINANCE(D2517,""CURRENCY"")))))),B2517)"),"")</f>
        <v/>
      </c>
      <c r="R2517" s="263" t="str">
        <f>IFERROR(__xludf.DUMMYFUNCTION("IF(ISBLANK(A2517),"""",IFERROR(IF(OR(Q2517=""GPB"",Q2517=""ZAR""),IF(Q2517=Dashboard!$L$1,K2517,(K2517*GOOGLEFINANCE(""CURRENCY:""&amp;Q2517&amp;""""&amp;Dashboard!$L$1&amp;""""))/100),IF(Q2517=Dashboard!$L$1,K2517,K2517*GOOGLEFINANCE(""CURRENCY:""&amp;Q2517&amp;""""&amp;Dashboard!$"&amp;"L$1&amp;""""))),K2517))"),"")</f>
        <v/>
      </c>
      <c r="S2517" s="266" t="str">
        <f>IFERROR(__xludf.DUMMYFUNCTION("IF(ISBLANK(A2517),"""",IFERROR(IF(OR(Q2517=""GPB"",Q2517=""ZAR""),IF(Q2517=Dashboard!$L$1,M2517,(M2517*GOOGLEFINANCE(""CURRENCY:""&amp;Q2517&amp;""""&amp;Dashboard!$L$1&amp;""""))/100),IF(Q2517=Dashboard!$L$1,M2517,M2517*GOOGLEFINANCE(""CURRENCY:""&amp;Q2517&amp;""""&amp;Dashboard!$"&amp;"L$1&amp;""""))),M2517))"),"")</f>
        <v/>
      </c>
      <c r="T2517" s="264" t="str">
        <f t="shared" si="4"/>
        <v/>
      </c>
      <c r="U2517" s="264" t="str">
        <f t="shared" si="5"/>
        <v/>
      </c>
      <c r="V2517" s="264" t="str">
        <f t="shared" si="6"/>
        <v/>
      </c>
      <c r="W2517" s="267" t="str">
        <f t="shared" si="8"/>
        <v/>
      </c>
      <c r="X2517" s="264" t="str">
        <f t="shared" si="7"/>
        <v/>
      </c>
    </row>
    <row r="2518" ht="15.75" customHeight="1">
      <c r="A2518" s="258"/>
      <c r="B2518" s="258"/>
      <c r="C2518" s="269"/>
      <c r="D2518" s="258"/>
      <c r="E2518" s="258"/>
      <c r="F2518" s="258"/>
      <c r="G2518" s="258"/>
      <c r="H2518" s="271"/>
      <c r="I2518" s="258"/>
      <c r="J2518" s="272"/>
      <c r="K2518" s="260"/>
      <c r="L2518" s="261"/>
      <c r="M2518" s="262" t="str">
        <f t="shared" si="1"/>
        <v/>
      </c>
      <c r="N2518" s="263" t="str">
        <f t="shared" si="2"/>
        <v/>
      </c>
      <c r="O2518" s="264" t="str">
        <f t="shared" si="3"/>
        <v/>
      </c>
      <c r="P2518" s="265" t="str">
        <f>IFERROR(__xludf.DUMMYFUNCTION("IF(ISBLANK(A2518),"""",IFERROR(IF(H2518=""Sell"",VLOOKUP(9^99,FILTER({ROW(P$2:P2517),P$2:P2517},D$2:D2517=D2518),2),(VLOOKUP(9^99,FILTER({ROW(P$2:P2517),P$2:P2517},D$2:D2517=D2518),2)*VLOOKUP(9^99,FILTER({ROW(O$2:O2517),O$2:O2517},D$2:D2517=D2518),2)-N251"&amp;"8)/O2518),J2518))"),"")</f>
        <v/>
      </c>
      <c r="Q2518" s="264" t="str">
        <f>IFERROR(__xludf.DUMMYFUNCTION("IFERROR(IF(F2518=""Crypto"",B2518,(IF(ISBLANK(D2518),"""",IF(D2518=""Cash"",B2518,IF(GOOGLEFINANCE(D2518,""CURRENCY"")=""GBX"",""GBP"",GOOGLEFINANCE(D2518,""CURRENCY"")))))),B2518)"),"")</f>
        <v/>
      </c>
      <c r="R2518" s="263" t="str">
        <f>IFERROR(__xludf.DUMMYFUNCTION("IF(ISBLANK(A2518),"""",IFERROR(IF(OR(Q2518=""GPB"",Q2518=""ZAR""),IF(Q2518=Dashboard!$L$1,K2518,(K2518*GOOGLEFINANCE(""CURRENCY:""&amp;Q2518&amp;""""&amp;Dashboard!$L$1&amp;""""))/100),IF(Q2518=Dashboard!$L$1,K2518,K2518*GOOGLEFINANCE(""CURRENCY:""&amp;Q2518&amp;""""&amp;Dashboard!$"&amp;"L$1&amp;""""))),K2518))"),"")</f>
        <v/>
      </c>
      <c r="S2518" s="266" t="str">
        <f>IFERROR(__xludf.DUMMYFUNCTION("IF(ISBLANK(A2518),"""",IFERROR(IF(OR(Q2518=""GPB"",Q2518=""ZAR""),IF(Q2518=Dashboard!$L$1,M2518,(M2518*GOOGLEFINANCE(""CURRENCY:""&amp;Q2518&amp;""""&amp;Dashboard!$L$1&amp;""""))/100),IF(Q2518=Dashboard!$L$1,M2518,M2518*GOOGLEFINANCE(""CURRENCY:""&amp;Q2518&amp;""""&amp;Dashboard!$"&amp;"L$1&amp;""""))),M2518))"),"")</f>
        <v/>
      </c>
      <c r="T2518" s="264" t="str">
        <f t="shared" si="4"/>
        <v/>
      </c>
      <c r="U2518" s="264" t="str">
        <f t="shared" si="5"/>
        <v/>
      </c>
      <c r="V2518" s="264" t="str">
        <f t="shared" si="6"/>
        <v/>
      </c>
      <c r="W2518" s="267" t="str">
        <f t="shared" si="8"/>
        <v/>
      </c>
      <c r="X2518" s="264" t="str">
        <f t="shared" si="7"/>
        <v/>
      </c>
    </row>
    <row r="2519" ht="15.75" customHeight="1">
      <c r="A2519" s="258"/>
      <c r="B2519" s="258"/>
      <c r="C2519" s="269"/>
      <c r="D2519" s="258"/>
      <c r="E2519" s="258"/>
      <c r="F2519" s="258"/>
      <c r="G2519" s="258"/>
      <c r="H2519" s="271"/>
      <c r="I2519" s="258"/>
      <c r="J2519" s="272"/>
      <c r="K2519" s="260"/>
      <c r="L2519" s="261"/>
      <c r="M2519" s="262" t="str">
        <f t="shared" si="1"/>
        <v/>
      </c>
      <c r="N2519" s="263" t="str">
        <f t="shared" si="2"/>
        <v/>
      </c>
      <c r="O2519" s="264" t="str">
        <f t="shared" si="3"/>
        <v/>
      </c>
      <c r="P2519" s="265" t="str">
        <f>IFERROR(__xludf.DUMMYFUNCTION("IF(ISBLANK(A2519),"""",IFERROR(IF(H2519=""Sell"",VLOOKUP(9^99,FILTER({ROW(P$2:P2518),P$2:P2518},D$2:D2518=D2519),2),(VLOOKUP(9^99,FILTER({ROW(P$2:P2518),P$2:P2518},D$2:D2518=D2519),2)*VLOOKUP(9^99,FILTER({ROW(O$2:O2518),O$2:O2518},D$2:D2518=D2519),2)-N251"&amp;"9)/O2519),J2519))"),"")</f>
        <v/>
      </c>
      <c r="Q2519" s="264" t="str">
        <f>IFERROR(__xludf.DUMMYFUNCTION("IFERROR(IF(F2519=""Crypto"",B2519,(IF(ISBLANK(D2519),"""",IF(D2519=""Cash"",B2519,IF(GOOGLEFINANCE(D2519,""CURRENCY"")=""GBX"",""GBP"",GOOGLEFINANCE(D2519,""CURRENCY"")))))),B2519)"),"")</f>
        <v/>
      </c>
      <c r="R2519" s="263" t="str">
        <f>IFERROR(__xludf.DUMMYFUNCTION("IF(ISBLANK(A2519),"""",IFERROR(IF(OR(Q2519=""GPB"",Q2519=""ZAR""),IF(Q2519=Dashboard!$L$1,K2519,(K2519*GOOGLEFINANCE(""CURRENCY:""&amp;Q2519&amp;""""&amp;Dashboard!$L$1&amp;""""))/100),IF(Q2519=Dashboard!$L$1,K2519,K2519*GOOGLEFINANCE(""CURRENCY:""&amp;Q2519&amp;""""&amp;Dashboard!$"&amp;"L$1&amp;""""))),K2519))"),"")</f>
        <v/>
      </c>
      <c r="S2519" s="266" t="str">
        <f>IFERROR(__xludf.DUMMYFUNCTION("IF(ISBLANK(A2519),"""",IFERROR(IF(OR(Q2519=""GPB"",Q2519=""ZAR""),IF(Q2519=Dashboard!$L$1,M2519,(M2519*GOOGLEFINANCE(""CURRENCY:""&amp;Q2519&amp;""""&amp;Dashboard!$L$1&amp;""""))/100),IF(Q2519=Dashboard!$L$1,M2519,M2519*GOOGLEFINANCE(""CURRENCY:""&amp;Q2519&amp;""""&amp;Dashboard!$"&amp;"L$1&amp;""""))),M2519))"),"")</f>
        <v/>
      </c>
      <c r="T2519" s="264" t="str">
        <f t="shared" si="4"/>
        <v/>
      </c>
      <c r="U2519" s="264" t="str">
        <f t="shared" si="5"/>
        <v/>
      </c>
      <c r="V2519" s="264" t="str">
        <f t="shared" si="6"/>
        <v/>
      </c>
      <c r="W2519" s="267" t="str">
        <f t="shared" si="8"/>
        <v/>
      </c>
      <c r="X2519" s="264" t="str">
        <f t="shared" si="7"/>
        <v/>
      </c>
    </row>
    <row r="2520" ht="15.75" customHeight="1">
      <c r="A2520" s="258"/>
      <c r="B2520" s="258"/>
      <c r="C2520" s="269"/>
      <c r="D2520" s="258"/>
      <c r="E2520" s="258"/>
      <c r="F2520" s="258"/>
      <c r="G2520" s="258"/>
      <c r="H2520" s="271"/>
      <c r="I2520" s="258"/>
      <c r="J2520" s="272"/>
      <c r="K2520" s="260"/>
      <c r="L2520" s="261"/>
      <c r="M2520" s="262" t="str">
        <f t="shared" si="1"/>
        <v/>
      </c>
      <c r="N2520" s="263" t="str">
        <f t="shared" si="2"/>
        <v/>
      </c>
      <c r="O2520" s="264" t="str">
        <f t="shared" si="3"/>
        <v/>
      </c>
      <c r="P2520" s="265" t="str">
        <f>IFERROR(__xludf.DUMMYFUNCTION("IF(ISBLANK(A2520),"""",IFERROR(IF(H2520=""Sell"",VLOOKUP(9^99,FILTER({ROW(P$2:P2519),P$2:P2519},D$2:D2519=D2520),2),(VLOOKUP(9^99,FILTER({ROW(P$2:P2519),P$2:P2519},D$2:D2519=D2520),2)*VLOOKUP(9^99,FILTER({ROW(O$2:O2519),O$2:O2519},D$2:D2519=D2520),2)-N252"&amp;"0)/O2520),J2520))"),"")</f>
        <v/>
      </c>
      <c r="Q2520" s="264" t="str">
        <f>IFERROR(__xludf.DUMMYFUNCTION("IFERROR(IF(F2520=""Crypto"",B2520,(IF(ISBLANK(D2520),"""",IF(D2520=""Cash"",B2520,IF(GOOGLEFINANCE(D2520,""CURRENCY"")=""GBX"",""GBP"",GOOGLEFINANCE(D2520,""CURRENCY"")))))),B2520)"),"")</f>
        <v/>
      </c>
      <c r="R2520" s="263" t="str">
        <f>IFERROR(__xludf.DUMMYFUNCTION("IF(ISBLANK(A2520),"""",IFERROR(IF(OR(Q2520=""GPB"",Q2520=""ZAR""),IF(Q2520=Dashboard!$L$1,K2520,(K2520*GOOGLEFINANCE(""CURRENCY:""&amp;Q2520&amp;""""&amp;Dashboard!$L$1&amp;""""))/100),IF(Q2520=Dashboard!$L$1,K2520,K2520*GOOGLEFINANCE(""CURRENCY:""&amp;Q2520&amp;""""&amp;Dashboard!$"&amp;"L$1&amp;""""))),K2520))"),"")</f>
        <v/>
      </c>
      <c r="S2520" s="266" t="str">
        <f>IFERROR(__xludf.DUMMYFUNCTION("IF(ISBLANK(A2520),"""",IFERROR(IF(OR(Q2520=""GPB"",Q2520=""ZAR""),IF(Q2520=Dashboard!$L$1,M2520,(M2520*GOOGLEFINANCE(""CURRENCY:""&amp;Q2520&amp;""""&amp;Dashboard!$L$1&amp;""""))/100),IF(Q2520=Dashboard!$L$1,M2520,M2520*GOOGLEFINANCE(""CURRENCY:""&amp;Q2520&amp;""""&amp;Dashboard!$"&amp;"L$1&amp;""""))),M2520))"),"")</f>
        <v/>
      </c>
      <c r="T2520" s="264" t="str">
        <f t="shared" si="4"/>
        <v/>
      </c>
      <c r="U2520" s="264" t="str">
        <f t="shared" si="5"/>
        <v/>
      </c>
      <c r="V2520" s="264" t="str">
        <f t="shared" si="6"/>
        <v/>
      </c>
      <c r="W2520" s="267" t="str">
        <f t="shared" si="8"/>
        <v/>
      </c>
      <c r="X2520" s="264" t="str">
        <f t="shared" si="7"/>
        <v/>
      </c>
    </row>
    <row r="2521" ht="15.75" customHeight="1">
      <c r="A2521" s="258"/>
      <c r="B2521" s="258"/>
      <c r="C2521" s="269"/>
      <c r="D2521" s="258"/>
      <c r="E2521" s="258"/>
      <c r="F2521" s="258"/>
      <c r="G2521" s="258"/>
      <c r="H2521" s="271"/>
      <c r="I2521" s="258"/>
      <c r="J2521" s="272"/>
      <c r="K2521" s="260"/>
      <c r="L2521" s="261"/>
      <c r="M2521" s="262" t="str">
        <f t="shared" si="1"/>
        <v/>
      </c>
      <c r="N2521" s="263" t="str">
        <f t="shared" si="2"/>
        <v/>
      </c>
      <c r="O2521" s="264" t="str">
        <f t="shared" si="3"/>
        <v/>
      </c>
      <c r="P2521" s="265" t="str">
        <f>IFERROR(__xludf.DUMMYFUNCTION("IF(ISBLANK(A2521),"""",IFERROR(IF(H2521=""Sell"",VLOOKUP(9^99,FILTER({ROW(P$2:P2520),P$2:P2520},D$2:D2520=D2521),2),(VLOOKUP(9^99,FILTER({ROW(P$2:P2520),P$2:P2520},D$2:D2520=D2521),2)*VLOOKUP(9^99,FILTER({ROW(O$2:O2520),O$2:O2520},D$2:D2520=D2521),2)-N252"&amp;"1)/O2521),J2521))"),"")</f>
        <v/>
      </c>
      <c r="Q2521" s="264" t="str">
        <f>IFERROR(__xludf.DUMMYFUNCTION("IFERROR(IF(F2521=""Crypto"",B2521,(IF(ISBLANK(D2521),"""",IF(D2521=""Cash"",B2521,IF(GOOGLEFINANCE(D2521,""CURRENCY"")=""GBX"",""GBP"",GOOGLEFINANCE(D2521,""CURRENCY"")))))),B2521)"),"")</f>
        <v/>
      </c>
      <c r="R2521" s="263" t="str">
        <f>IFERROR(__xludf.DUMMYFUNCTION("IF(ISBLANK(A2521),"""",IFERROR(IF(OR(Q2521=""GPB"",Q2521=""ZAR""),IF(Q2521=Dashboard!$L$1,K2521,(K2521*GOOGLEFINANCE(""CURRENCY:""&amp;Q2521&amp;""""&amp;Dashboard!$L$1&amp;""""))/100),IF(Q2521=Dashboard!$L$1,K2521,K2521*GOOGLEFINANCE(""CURRENCY:""&amp;Q2521&amp;""""&amp;Dashboard!$"&amp;"L$1&amp;""""))),K2521))"),"")</f>
        <v/>
      </c>
      <c r="S2521" s="266" t="str">
        <f>IFERROR(__xludf.DUMMYFUNCTION("IF(ISBLANK(A2521),"""",IFERROR(IF(OR(Q2521=""GPB"",Q2521=""ZAR""),IF(Q2521=Dashboard!$L$1,M2521,(M2521*GOOGLEFINANCE(""CURRENCY:""&amp;Q2521&amp;""""&amp;Dashboard!$L$1&amp;""""))/100),IF(Q2521=Dashboard!$L$1,M2521,M2521*GOOGLEFINANCE(""CURRENCY:""&amp;Q2521&amp;""""&amp;Dashboard!$"&amp;"L$1&amp;""""))),M2521))"),"")</f>
        <v/>
      </c>
      <c r="T2521" s="264" t="str">
        <f t="shared" si="4"/>
        <v/>
      </c>
      <c r="U2521" s="264" t="str">
        <f t="shared" si="5"/>
        <v/>
      </c>
      <c r="V2521" s="264" t="str">
        <f t="shared" si="6"/>
        <v/>
      </c>
      <c r="W2521" s="267" t="str">
        <f t="shared" si="8"/>
        <v/>
      </c>
      <c r="X2521" s="264" t="str">
        <f t="shared" si="7"/>
        <v/>
      </c>
    </row>
    <row r="2522" ht="15.75" customHeight="1">
      <c r="A2522" s="258"/>
      <c r="B2522" s="258"/>
      <c r="C2522" s="269"/>
      <c r="D2522" s="258"/>
      <c r="E2522" s="258"/>
      <c r="F2522" s="258"/>
      <c r="G2522" s="258"/>
      <c r="H2522" s="271"/>
      <c r="I2522" s="258"/>
      <c r="J2522" s="272"/>
      <c r="K2522" s="260"/>
      <c r="L2522" s="261"/>
      <c r="M2522" s="262" t="str">
        <f t="shared" si="1"/>
        <v/>
      </c>
      <c r="N2522" s="263" t="str">
        <f t="shared" si="2"/>
        <v/>
      </c>
      <c r="O2522" s="264" t="str">
        <f t="shared" si="3"/>
        <v/>
      </c>
      <c r="P2522" s="265" t="str">
        <f>IFERROR(__xludf.DUMMYFUNCTION("IF(ISBLANK(A2522),"""",IFERROR(IF(H2522=""Sell"",VLOOKUP(9^99,FILTER({ROW(P$2:P2521),P$2:P2521},D$2:D2521=D2522),2),(VLOOKUP(9^99,FILTER({ROW(P$2:P2521),P$2:P2521},D$2:D2521=D2522),2)*VLOOKUP(9^99,FILTER({ROW(O$2:O2521),O$2:O2521},D$2:D2521=D2522),2)-N252"&amp;"2)/O2522),J2522))"),"")</f>
        <v/>
      </c>
      <c r="Q2522" s="264" t="str">
        <f>IFERROR(__xludf.DUMMYFUNCTION("IFERROR(IF(F2522=""Crypto"",B2522,(IF(ISBLANK(D2522),"""",IF(D2522=""Cash"",B2522,IF(GOOGLEFINANCE(D2522,""CURRENCY"")=""GBX"",""GBP"",GOOGLEFINANCE(D2522,""CURRENCY"")))))),B2522)"),"")</f>
        <v/>
      </c>
      <c r="R2522" s="263" t="str">
        <f>IFERROR(__xludf.DUMMYFUNCTION("IF(ISBLANK(A2522),"""",IFERROR(IF(OR(Q2522=""GPB"",Q2522=""ZAR""),IF(Q2522=Dashboard!$L$1,K2522,(K2522*GOOGLEFINANCE(""CURRENCY:""&amp;Q2522&amp;""""&amp;Dashboard!$L$1&amp;""""))/100),IF(Q2522=Dashboard!$L$1,K2522,K2522*GOOGLEFINANCE(""CURRENCY:""&amp;Q2522&amp;""""&amp;Dashboard!$"&amp;"L$1&amp;""""))),K2522))"),"")</f>
        <v/>
      </c>
      <c r="S2522" s="266" t="str">
        <f>IFERROR(__xludf.DUMMYFUNCTION("IF(ISBLANK(A2522),"""",IFERROR(IF(OR(Q2522=""GPB"",Q2522=""ZAR""),IF(Q2522=Dashboard!$L$1,M2522,(M2522*GOOGLEFINANCE(""CURRENCY:""&amp;Q2522&amp;""""&amp;Dashboard!$L$1&amp;""""))/100),IF(Q2522=Dashboard!$L$1,M2522,M2522*GOOGLEFINANCE(""CURRENCY:""&amp;Q2522&amp;""""&amp;Dashboard!$"&amp;"L$1&amp;""""))),M2522))"),"")</f>
        <v/>
      </c>
      <c r="T2522" s="264" t="str">
        <f t="shared" si="4"/>
        <v/>
      </c>
      <c r="U2522" s="264" t="str">
        <f t="shared" si="5"/>
        <v/>
      </c>
      <c r="V2522" s="264" t="str">
        <f t="shared" si="6"/>
        <v/>
      </c>
      <c r="W2522" s="267" t="str">
        <f t="shared" si="8"/>
        <v/>
      </c>
      <c r="X2522" s="264" t="str">
        <f t="shared" si="7"/>
        <v/>
      </c>
    </row>
    <row r="2523" ht="15.75" customHeight="1">
      <c r="A2523" s="258"/>
      <c r="B2523" s="258"/>
      <c r="C2523" s="269"/>
      <c r="D2523" s="258"/>
      <c r="E2523" s="258"/>
      <c r="F2523" s="258"/>
      <c r="G2523" s="258"/>
      <c r="H2523" s="271"/>
      <c r="I2523" s="258"/>
      <c r="J2523" s="272"/>
      <c r="K2523" s="260"/>
      <c r="L2523" s="261"/>
      <c r="M2523" s="262" t="str">
        <f t="shared" si="1"/>
        <v/>
      </c>
      <c r="N2523" s="263" t="str">
        <f t="shared" si="2"/>
        <v/>
      </c>
      <c r="O2523" s="264" t="str">
        <f t="shared" si="3"/>
        <v/>
      </c>
      <c r="P2523" s="265" t="str">
        <f>IFERROR(__xludf.DUMMYFUNCTION("IF(ISBLANK(A2523),"""",IFERROR(IF(H2523=""Sell"",VLOOKUP(9^99,FILTER({ROW(P$2:P2522),P$2:P2522},D$2:D2522=D2523),2),(VLOOKUP(9^99,FILTER({ROW(P$2:P2522),P$2:P2522},D$2:D2522=D2523),2)*VLOOKUP(9^99,FILTER({ROW(O$2:O2522),O$2:O2522},D$2:D2522=D2523),2)-N252"&amp;"3)/O2523),J2523))"),"")</f>
        <v/>
      </c>
      <c r="Q2523" s="264" t="str">
        <f>IFERROR(__xludf.DUMMYFUNCTION("IFERROR(IF(F2523=""Crypto"",B2523,(IF(ISBLANK(D2523),"""",IF(D2523=""Cash"",B2523,IF(GOOGLEFINANCE(D2523,""CURRENCY"")=""GBX"",""GBP"",GOOGLEFINANCE(D2523,""CURRENCY"")))))),B2523)"),"")</f>
        <v/>
      </c>
      <c r="R2523" s="263" t="str">
        <f>IFERROR(__xludf.DUMMYFUNCTION("IF(ISBLANK(A2523),"""",IFERROR(IF(OR(Q2523=""GPB"",Q2523=""ZAR""),IF(Q2523=Dashboard!$L$1,K2523,(K2523*GOOGLEFINANCE(""CURRENCY:""&amp;Q2523&amp;""""&amp;Dashboard!$L$1&amp;""""))/100),IF(Q2523=Dashboard!$L$1,K2523,K2523*GOOGLEFINANCE(""CURRENCY:""&amp;Q2523&amp;""""&amp;Dashboard!$"&amp;"L$1&amp;""""))),K2523))"),"")</f>
        <v/>
      </c>
      <c r="S2523" s="266" t="str">
        <f>IFERROR(__xludf.DUMMYFUNCTION("IF(ISBLANK(A2523),"""",IFERROR(IF(OR(Q2523=""GPB"",Q2523=""ZAR""),IF(Q2523=Dashboard!$L$1,M2523,(M2523*GOOGLEFINANCE(""CURRENCY:""&amp;Q2523&amp;""""&amp;Dashboard!$L$1&amp;""""))/100),IF(Q2523=Dashboard!$L$1,M2523,M2523*GOOGLEFINANCE(""CURRENCY:""&amp;Q2523&amp;""""&amp;Dashboard!$"&amp;"L$1&amp;""""))),M2523))"),"")</f>
        <v/>
      </c>
      <c r="T2523" s="264" t="str">
        <f t="shared" si="4"/>
        <v/>
      </c>
      <c r="U2523" s="264" t="str">
        <f t="shared" si="5"/>
        <v/>
      </c>
      <c r="V2523" s="264" t="str">
        <f t="shared" si="6"/>
        <v/>
      </c>
      <c r="W2523" s="267" t="str">
        <f t="shared" si="8"/>
        <v/>
      </c>
      <c r="X2523" s="264" t="str">
        <f t="shared" si="7"/>
        <v/>
      </c>
    </row>
    <row r="2524" ht="15.75" customHeight="1">
      <c r="A2524" s="258"/>
      <c r="B2524" s="258"/>
      <c r="C2524" s="269"/>
      <c r="D2524" s="258"/>
      <c r="E2524" s="258"/>
      <c r="F2524" s="258"/>
      <c r="G2524" s="258"/>
      <c r="H2524" s="271"/>
      <c r="I2524" s="258"/>
      <c r="J2524" s="272"/>
      <c r="K2524" s="260"/>
      <c r="L2524" s="261"/>
      <c r="M2524" s="262" t="str">
        <f t="shared" si="1"/>
        <v/>
      </c>
      <c r="N2524" s="263" t="str">
        <f t="shared" si="2"/>
        <v/>
      </c>
      <c r="O2524" s="264" t="str">
        <f t="shared" si="3"/>
        <v/>
      </c>
      <c r="P2524" s="265" t="str">
        <f>IFERROR(__xludf.DUMMYFUNCTION("IF(ISBLANK(A2524),"""",IFERROR(IF(H2524=""Sell"",VLOOKUP(9^99,FILTER({ROW(P$2:P2523),P$2:P2523},D$2:D2523=D2524),2),(VLOOKUP(9^99,FILTER({ROW(P$2:P2523),P$2:P2523},D$2:D2523=D2524),2)*VLOOKUP(9^99,FILTER({ROW(O$2:O2523),O$2:O2523},D$2:D2523=D2524),2)-N252"&amp;"4)/O2524),J2524))"),"")</f>
        <v/>
      </c>
      <c r="Q2524" s="264" t="str">
        <f>IFERROR(__xludf.DUMMYFUNCTION("IFERROR(IF(F2524=""Crypto"",B2524,(IF(ISBLANK(D2524),"""",IF(D2524=""Cash"",B2524,IF(GOOGLEFINANCE(D2524,""CURRENCY"")=""GBX"",""GBP"",GOOGLEFINANCE(D2524,""CURRENCY"")))))),B2524)"),"")</f>
        <v/>
      </c>
      <c r="R2524" s="263" t="str">
        <f>IFERROR(__xludf.DUMMYFUNCTION("IF(ISBLANK(A2524),"""",IFERROR(IF(OR(Q2524=""GPB"",Q2524=""ZAR""),IF(Q2524=Dashboard!$L$1,K2524,(K2524*GOOGLEFINANCE(""CURRENCY:""&amp;Q2524&amp;""""&amp;Dashboard!$L$1&amp;""""))/100),IF(Q2524=Dashboard!$L$1,K2524,K2524*GOOGLEFINANCE(""CURRENCY:""&amp;Q2524&amp;""""&amp;Dashboard!$"&amp;"L$1&amp;""""))),K2524))"),"")</f>
        <v/>
      </c>
      <c r="S2524" s="266" t="str">
        <f>IFERROR(__xludf.DUMMYFUNCTION("IF(ISBLANK(A2524),"""",IFERROR(IF(OR(Q2524=""GPB"",Q2524=""ZAR""),IF(Q2524=Dashboard!$L$1,M2524,(M2524*GOOGLEFINANCE(""CURRENCY:""&amp;Q2524&amp;""""&amp;Dashboard!$L$1&amp;""""))/100),IF(Q2524=Dashboard!$L$1,M2524,M2524*GOOGLEFINANCE(""CURRENCY:""&amp;Q2524&amp;""""&amp;Dashboard!$"&amp;"L$1&amp;""""))),M2524))"),"")</f>
        <v/>
      </c>
      <c r="T2524" s="264" t="str">
        <f t="shared" si="4"/>
        <v/>
      </c>
      <c r="U2524" s="264" t="str">
        <f t="shared" si="5"/>
        <v/>
      </c>
      <c r="V2524" s="264" t="str">
        <f t="shared" si="6"/>
        <v/>
      </c>
      <c r="W2524" s="267" t="str">
        <f t="shared" si="8"/>
        <v/>
      </c>
      <c r="X2524" s="264" t="str">
        <f t="shared" si="7"/>
        <v/>
      </c>
    </row>
    <row r="2525" ht="15.75" customHeight="1">
      <c r="A2525" s="258"/>
      <c r="B2525" s="258"/>
      <c r="C2525" s="269"/>
      <c r="D2525" s="258"/>
      <c r="E2525" s="258"/>
      <c r="F2525" s="258"/>
      <c r="G2525" s="258"/>
      <c r="H2525" s="271"/>
      <c r="I2525" s="258"/>
      <c r="J2525" s="272"/>
      <c r="K2525" s="260"/>
      <c r="L2525" s="261"/>
      <c r="M2525" s="262" t="str">
        <f t="shared" si="1"/>
        <v/>
      </c>
      <c r="N2525" s="263" t="str">
        <f t="shared" si="2"/>
        <v/>
      </c>
      <c r="O2525" s="264" t="str">
        <f t="shared" si="3"/>
        <v/>
      </c>
      <c r="P2525" s="265" t="str">
        <f>IFERROR(__xludf.DUMMYFUNCTION("IF(ISBLANK(A2525),"""",IFERROR(IF(H2525=""Sell"",VLOOKUP(9^99,FILTER({ROW(P$2:P2524),P$2:P2524},D$2:D2524=D2525),2),(VLOOKUP(9^99,FILTER({ROW(P$2:P2524),P$2:P2524},D$2:D2524=D2525),2)*VLOOKUP(9^99,FILTER({ROW(O$2:O2524),O$2:O2524},D$2:D2524=D2525),2)-N252"&amp;"5)/O2525),J2525))"),"")</f>
        <v/>
      </c>
      <c r="Q2525" s="264" t="str">
        <f>IFERROR(__xludf.DUMMYFUNCTION("IFERROR(IF(F2525=""Crypto"",B2525,(IF(ISBLANK(D2525),"""",IF(D2525=""Cash"",B2525,IF(GOOGLEFINANCE(D2525,""CURRENCY"")=""GBX"",""GBP"",GOOGLEFINANCE(D2525,""CURRENCY"")))))),B2525)"),"")</f>
        <v/>
      </c>
      <c r="R2525" s="263" t="str">
        <f>IFERROR(__xludf.DUMMYFUNCTION("IF(ISBLANK(A2525),"""",IFERROR(IF(OR(Q2525=""GPB"",Q2525=""ZAR""),IF(Q2525=Dashboard!$L$1,K2525,(K2525*GOOGLEFINANCE(""CURRENCY:""&amp;Q2525&amp;""""&amp;Dashboard!$L$1&amp;""""))/100),IF(Q2525=Dashboard!$L$1,K2525,K2525*GOOGLEFINANCE(""CURRENCY:""&amp;Q2525&amp;""""&amp;Dashboard!$"&amp;"L$1&amp;""""))),K2525))"),"")</f>
        <v/>
      </c>
      <c r="S2525" s="266" t="str">
        <f>IFERROR(__xludf.DUMMYFUNCTION("IF(ISBLANK(A2525),"""",IFERROR(IF(OR(Q2525=""GPB"",Q2525=""ZAR""),IF(Q2525=Dashboard!$L$1,M2525,(M2525*GOOGLEFINANCE(""CURRENCY:""&amp;Q2525&amp;""""&amp;Dashboard!$L$1&amp;""""))/100),IF(Q2525=Dashboard!$L$1,M2525,M2525*GOOGLEFINANCE(""CURRENCY:""&amp;Q2525&amp;""""&amp;Dashboard!$"&amp;"L$1&amp;""""))),M2525))"),"")</f>
        <v/>
      </c>
      <c r="T2525" s="264" t="str">
        <f t="shared" si="4"/>
        <v/>
      </c>
      <c r="U2525" s="264" t="str">
        <f t="shared" si="5"/>
        <v/>
      </c>
      <c r="V2525" s="264" t="str">
        <f t="shared" si="6"/>
        <v/>
      </c>
      <c r="W2525" s="267" t="str">
        <f t="shared" si="8"/>
        <v/>
      </c>
      <c r="X2525" s="264" t="str">
        <f t="shared" si="7"/>
        <v/>
      </c>
    </row>
    <row r="2526" ht="15.75" customHeight="1">
      <c r="A2526" s="258"/>
      <c r="B2526" s="258"/>
      <c r="C2526" s="269"/>
      <c r="D2526" s="258"/>
      <c r="E2526" s="258"/>
      <c r="F2526" s="258"/>
      <c r="G2526" s="258"/>
      <c r="H2526" s="271"/>
      <c r="I2526" s="258"/>
      <c r="J2526" s="272"/>
      <c r="K2526" s="260"/>
      <c r="L2526" s="261"/>
      <c r="M2526" s="262" t="str">
        <f t="shared" si="1"/>
        <v/>
      </c>
      <c r="N2526" s="263" t="str">
        <f t="shared" si="2"/>
        <v/>
      </c>
      <c r="O2526" s="264" t="str">
        <f t="shared" si="3"/>
        <v/>
      </c>
      <c r="P2526" s="265" t="str">
        <f>IFERROR(__xludf.DUMMYFUNCTION("IF(ISBLANK(A2526),"""",IFERROR(IF(H2526=""Sell"",VLOOKUP(9^99,FILTER({ROW(P$2:P2525),P$2:P2525},D$2:D2525=D2526),2),(VLOOKUP(9^99,FILTER({ROW(P$2:P2525),P$2:P2525},D$2:D2525=D2526),2)*VLOOKUP(9^99,FILTER({ROW(O$2:O2525),O$2:O2525},D$2:D2525=D2526),2)-N252"&amp;"6)/O2526),J2526))"),"")</f>
        <v/>
      </c>
      <c r="Q2526" s="264" t="str">
        <f>IFERROR(__xludf.DUMMYFUNCTION("IFERROR(IF(F2526=""Crypto"",B2526,(IF(ISBLANK(D2526),"""",IF(D2526=""Cash"",B2526,IF(GOOGLEFINANCE(D2526,""CURRENCY"")=""GBX"",""GBP"",GOOGLEFINANCE(D2526,""CURRENCY"")))))),B2526)"),"")</f>
        <v/>
      </c>
      <c r="R2526" s="263" t="str">
        <f>IFERROR(__xludf.DUMMYFUNCTION("IF(ISBLANK(A2526),"""",IFERROR(IF(OR(Q2526=""GPB"",Q2526=""ZAR""),IF(Q2526=Dashboard!$L$1,K2526,(K2526*GOOGLEFINANCE(""CURRENCY:""&amp;Q2526&amp;""""&amp;Dashboard!$L$1&amp;""""))/100),IF(Q2526=Dashboard!$L$1,K2526,K2526*GOOGLEFINANCE(""CURRENCY:""&amp;Q2526&amp;""""&amp;Dashboard!$"&amp;"L$1&amp;""""))),K2526))"),"")</f>
        <v/>
      </c>
      <c r="S2526" s="266" t="str">
        <f>IFERROR(__xludf.DUMMYFUNCTION("IF(ISBLANK(A2526),"""",IFERROR(IF(OR(Q2526=""GPB"",Q2526=""ZAR""),IF(Q2526=Dashboard!$L$1,M2526,(M2526*GOOGLEFINANCE(""CURRENCY:""&amp;Q2526&amp;""""&amp;Dashboard!$L$1&amp;""""))/100),IF(Q2526=Dashboard!$L$1,M2526,M2526*GOOGLEFINANCE(""CURRENCY:""&amp;Q2526&amp;""""&amp;Dashboard!$"&amp;"L$1&amp;""""))),M2526))"),"")</f>
        <v/>
      </c>
      <c r="T2526" s="264" t="str">
        <f t="shared" si="4"/>
        <v/>
      </c>
      <c r="U2526" s="264" t="str">
        <f t="shared" si="5"/>
        <v/>
      </c>
      <c r="V2526" s="264" t="str">
        <f t="shared" si="6"/>
        <v/>
      </c>
      <c r="W2526" s="267" t="str">
        <f t="shared" si="8"/>
        <v/>
      </c>
      <c r="X2526" s="264" t="str">
        <f t="shared" si="7"/>
        <v/>
      </c>
    </row>
    <row r="2527" ht="15.75" customHeight="1">
      <c r="A2527" s="258"/>
      <c r="B2527" s="258"/>
      <c r="C2527" s="269"/>
      <c r="D2527" s="258"/>
      <c r="E2527" s="258"/>
      <c r="F2527" s="258"/>
      <c r="G2527" s="258"/>
      <c r="H2527" s="271"/>
      <c r="I2527" s="258"/>
      <c r="J2527" s="272"/>
      <c r="K2527" s="260"/>
      <c r="L2527" s="261"/>
      <c r="M2527" s="262" t="str">
        <f t="shared" si="1"/>
        <v/>
      </c>
      <c r="N2527" s="263" t="str">
        <f t="shared" si="2"/>
        <v/>
      </c>
      <c r="O2527" s="264" t="str">
        <f t="shared" si="3"/>
        <v/>
      </c>
      <c r="P2527" s="265" t="str">
        <f>IFERROR(__xludf.DUMMYFUNCTION("IF(ISBLANK(A2527),"""",IFERROR(IF(H2527=""Sell"",VLOOKUP(9^99,FILTER({ROW(P$2:P2526),P$2:P2526},D$2:D2526=D2527),2),(VLOOKUP(9^99,FILTER({ROW(P$2:P2526),P$2:P2526},D$2:D2526=D2527),2)*VLOOKUP(9^99,FILTER({ROW(O$2:O2526),O$2:O2526},D$2:D2526=D2527),2)-N252"&amp;"7)/O2527),J2527))"),"")</f>
        <v/>
      </c>
      <c r="Q2527" s="264" t="str">
        <f>IFERROR(__xludf.DUMMYFUNCTION("IFERROR(IF(F2527=""Crypto"",B2527,(IF(ISBLANK(D2527),"""",IF(D2527=""Cash"",B2527,IF(GOOGLEFINANCE(D2527,""CURRENCY"")=""GBX"",""GBP"",GOOGLEFINANCE(D2527,""CURRENCY"")))))),B2527)"),"")</f>
        <v/>
      </c>
      <c r="R2527" s="263" t="str">
        <f>IFERROR(__xludf.DUMMYFUNCTION("IF(ISBLANK(A2527),"""",IFERROR(IF(OR(Q2527=""GPB"",Q2527=""ZAR""),IF(Q2527=Dashboard!$L$1,K2527,(K2527*GOOGLEFINANCE(""CURRENCY:""&amp;Q2527&amp;""""&amp;Dashboard!$L$1&amp;""""))/100),IF(Q2527=Dashboard!$L$1,K2527,K2527*GOOGLEFINANCE(""CURRENCY:""&amp;Q2527&amp;""""&amp;Dashboard!$"&amp;"L$1&amp;""""))),K2527))"),"")</f>
        <v/>
      </c>
      <c r="S2527" s="266" t="str">
        <f>IFERROR(__xludf.DUMMYFUNCTION("IF(ISBLANK(A2527),"""",IFERROR(IF(OR(Q2527=""GPB"",Q2527=""ZAR""),IF(Q2527=Dashboard!$L$1,M2527,(M2527*GOOGLEFINANCE(""CURRENCY:""&amp;Q2527&amp;""""&amp;Dashboard!$L$1&amp;""""))/100),IF(Q2527=Dashboard!$L$1,M2527,M2527*GOOGLEFINANCE(""CURRENCY:""&amp;Q2527&amp;""""&amp;Dashboard!$"&amp;"L$1&amp;""""))),M2527))"),"")</f>
        <v/>
      </c>
      <c r="T2527" s="264" t="str">
        <f t="shared" si="4"/>
        <v/>
      </c>
      <c r="U2527" s="264" t="str">
        <f t="shared" si="5"/>
        <v/>
      </c>
      <c r="V2527" s="264" t="str">
        <f t="shared" si="6"/>
        <v/>
      </c>
      <c r="W2527" s="267" t="str">
        <f t="shared" si="8"/>
        <v/>
      </c>
      <c r="X2527" s="264" t="str">
        <f t="shared" si="7"/>
        <v/>
      </c>
    </row>
    <row r="2528" ht="15.75" customHeight="1">
      <c r="A2528" s="258"/>
      <c r="B2528" s="258"/>
      <c r="C2528" s="269"/>
      <c r="D2528" s="258"/>
      <c r="E2528" s="258"/>
      <c r="F2528" s="258"/>
      <c r="G2528" s="258"/>
      <c r="H2528" s="271"/>
      <c r="I2528" s="258"/>
      <c r="J2528" s="272"/>
      <c r="K2528" s="260"/>
      <c r="L2528" s="261"/>
      <c r="M2528" s="262" t="str">
        <f t="shared" si="1"/>
        <v/>
      </c>
      <c r="N2528" s="263" t="str">
        <f t="shared" si="2"/>
        <v/>
      </c>
      <c r="O2528" s="264" t="str">
        <f t="shared" si="3"/>
        <v/>
      </c>
      <c r="P2528" s="265" t="str">
        <f>IFERROR(__xludf.DUMMYFUNCTION("IF(ISBLANK(A2528),"""",IFERROR(IF(H2528=""Sell"",VLOOKUP(9^99,FILTER({ROW(P$2:P2527),P$2:P2527},D$2:D2527=D2528),2),(VLOOKUP(9^99,FILTER({ROW(P$2:P2527),P$2:P2527},D$2:D2527=D2528),2)*VLOOKUP(9^99,FILTER({ROW(O$2:O2527),O$2:O2527},D$2:D2527=D2528),2)-N252"&amp;"8)/O2528),J2528))"),"")</f>
        <v/>
      </c>
      <c r="Q2528" s="264" t="str">
        <f>IFERROR(__xludf.DUMMYFUNCTION("IFERROR(IF(F2528=""Crypto"",B2528,(IF(ISBLANK(D2528),"""",IF(D2528=""Cash"",B2528,IF(GOOGLEFINANCE(D2528,""CURRENCY"")=""GBX"",""GBP"",GOOGLEFINANCE(D2528,""CURRENCY"")))))),B2528)"),"")</f>
        <v/>
      </c>
      <c r="R2528" s="263" t="str">
        <f>IFERROR(__xludf.DUMMYFUNCTION("IF(ISBLANK(A2528),"""",IFERROR(IF(OR(Q2528=""GPB"",Q2528=""ZAR""),IF(Q2528=Dashboard!$L$1,K2528,(K2528*GOOGLEFINANCE(""CURRENCY:""&amp;Q2528&amp;""""&amp;Dashboard!$L$1&amp;""""))/100),IF(Q2528=Dashboard!$L$1,K2528,K2528*GOOGLEFINANCE(""CURRENCY:""&amp;Q2528&amp;""""&amp;Dashboard!$"&amp;"L$1&amp;""""))),K2528))"),"")</f>
        <v/>
      </c>
      <c r="S2528" s="266" t="str">
        <f>IFERROR(__xludf.DUMMYFUNCTION("IF(ISBLANK(A2528),"""",IFERROR(IF(OR(Q2528=""GPB"",Q2528=""ZAR""),IF(Q2528=Dashboard!$L$1,M2528,(M2528*GOOGLEFINANCE(""CURRENCY:""&amp;Q2528&amp;""""&amp;Dashboard!$L$1&amp;""""))/100),IF(Q2528=Dashboard!$L$1,M2528,M2528*GOOGLEFINANCE(""CURRENCY:""&amp;Q2528&amp;""""&amp;Dashboard!$"&amp;"L$1&amp;""""))),M2528))"),"")</f>
        <v/>
      </c>
      <c r="T2528" s="264" t="str">
        <f t="shared" si="4"/>
        <v/>
      </c>
      <c r="U2528" s="264" t="str">
        <f t="shared" si="5"/>
        <v/>
      </c>
      <c r="V2528" s="264" t="str">
        <f t="shared" si="6"/>
        <v/>
      </c>
      <c r="W2528" s="267" t="str">
        <f t="shared" si="8"/>
        <v/>
      </c>
      <c r="X2528" s="264" t="str">
        <f t="shared" si="7"/>
        <v/>
      </c>
    </row>
    <row r="2529" ht="15.75" customHeight="1">
      <c r="A2529" s="258"/>
      <c r="B2529" s="258"/>
      <c r="C2529" s="269"/>
      <c r="D2529" s="258"/>
      <c r="E2529" s="258"/>
      <c r="F2529" s="258"/>
      <c r="G2529" s="258"/>
      <c r="H2529" s="271"/>
      <c r="I2529" s="258"/>
      <c r="J2529" s="272"/>
      <c r="K2529" s="260"/>
      <c r="L2529" s="261"/>
      <c r="M2529" s="262" t="str">
        <f t="shared" si="1"/>
        <v/>
      </c>
      <c r="N2529" s="263" t="str">
        <f t="shared" si="2"/>
        <v/>
      </c>
      <c r="O2529" s="264" t="str">
        <f t="shared" si="3"/>
        <v/>
      </c>
      <c r="P2529" s="265" t="str">
        <f>IFERROR(__xludf.DUMMYFUNCTION("IF(ISBLANK(A2529),"""",IFERROR(IF(H2529=""Sell"",VLOOKUP(9^99,FILTER({ROW(P$2:P2528),P$2:P2528},D$2:D2528=D2529),2),(VLOOKUP(9^99,FILTER({ROW(P$2:P2528),P$2:P2528},D$2:D2528=D2529),2)*VLOOKUP(9^99,FILTER({ROW(O$2:O2528),O$2:O2528},D$2:D2528=D2529),2)-N252"&amp;"9)/O2529),J2529))"),"")</f>
        <v/>
      </c>
      <c r="Q2529" s="264" t="str">
        <f>IFERROR(__xludf.DUMMYFUNCTION("IFERROR(IF(F2529=""Crypto"",B2529,(IF(ISBLANK(D2529),"""",IF(D2529=""Cash"",B2529,IF(GOOGLEFINANCE(D2529,""CURRENCY"")=""GBX"",""GBP"",GOOGLEFINANCE(D2529,""CURRENCY"")))))),B2529)"),"")</f>
        <v/>
      </c>
      <c r="R2529" s="263" t="str">
        <f>IFERROR(__xludf.DUMMYFUNCTION("IF(ISBLANK(A2529),"""",IFERROR(IF(OR(Q2529=""GPB"",Q2529=""ZAR""),IF(Q2529=Dashboard!$L$1,K2529,(K2529*GOOGLEFINANCE(""CURRENCY:""&amp;Q2529&amp;""""&amp;Dashboard!$L$1&amp;""""))/100),IF(Q2529=Dashboard!$L$1,K2529,K2529*GOOGLEFINANCE(""CURRENCY:""&amp;Q2529&amp;""""&amp;Dashboard!$"&amp;"L$1&amp;""""))),K2529))"),"")</f>
        <v/>
      </c>
      <c r="S2529" s="266" t="str">
        <f>IFERROR(__xludf.DUMMYFUNCTION("IF(ISBLANK(A2529),"""",IFERROR(IF(OR(Q2529=""GPB"",Q2529=""ZAR""),IF(Q2529=Dashboard!$L$1,M2529,(M2529*GOOGLEFINANCE(""CURRENCY:""&amp;Q2529&amp;""""&amp;Dashboard!$L$1&amp;""""))/100),IF(Q2529=Dashboard!$L$1,M2529,M2529*GOOGLEFINANCE(""CURRENCY:""&amp;Q2529&amp;""""&amp;Dashboard!$"&amp;"L$1&amp;""""))),M2529))"),"")</f>
        <v/>
      </c>
      <c r="T2529" s="264" t="str">
        <f t="shared" si="4"/>
        <v/>
      </c>
      <c r="U2529" s="264" t="str">
        <f t="shared" si="5"/>
        <v/>
      </c>
      <c r="V2529" s="264" t="str">
        <f t="shared" si="6"/>
        <v/>
      </c>
      <c r="W2529" s="267" t="str">
        <f t="shared" si="8"/>
        <v/>
      </c>
      <c r="X2529" s="264" t="str">
        <f t="shared" si="7"/>
        <v/>
      </c>
    </row>
    <row r="2530" ht="15.75" customHeight="1">
      <c r="A2530" s="258"/>
      <c r="B2530" s="258"/>
      <c r="C2530" s="269"/>
      <c r="D2530" s="258"/>
      <c r="E2530" s="258"/>
      <c r="F2530" s="258"/>
      <c r="G2530" s="258"/>
      <c r="H2530" s="271"/>
      <c r="I2530" s="258"/>
      <c r="J2530" s="272"/>
      <c r="K2530" s="260"/>
      <c r="L2530" s="261"/>
      <c r="M2530" s="262" t="str">
        <f t="shared" si="1"/>
        <v/>
      </c>
      <c r="N2530" s="263" t="str">
        <f t="shared" si="2"/>
        <v/>
      </c>
      <c r="O2530" s="264" t="str">
        <f t="shared" si="3"/>
        <v/>
      </c>
      <c r="P2530" s="265" t="str">
        <f>IFERROR(__xludf.DUMMYFUNCTION("IF(ISBLANK(A2530),"""",IFERROR(IF(H2530=""Sell"",VLOOKUP(9^99,FILTER({ROW(P$2:P2529),P$2:P2529},D$2:D2529=D2530),2),(VLOOKUP(9^99,FILTER({ROW(P$2:P2529),P$2:P2529},D$2:D2529=D2530),2)*VLOOKUP(9^99,FILTER({ROW(O$2:O2529),O$2:O2529},D$2:D2529=D2530),2)-N253"&amp;"0)/O2530),J2530))"),"")</f>
        <v/>
      </c>
      <c r="Q2530" s="264" t="str">
        <f>IFERROR(__xludf.DUMMYFUNCTION("IFERROR(IF(F2530=""Crypto"",B2530,(IF(ISBLANK(D2530),"""",IF(D2530=""Cash"",B2530,IF(GOOGLEFINANCE(D2530,""CURRENCY"")=""GBX"",""GBP"",GOOGLEFINANCE(D2530,""CURRENCY"")))))),B2530)"),"")</f>
        <v/>
      </c>
      <c r="R2530" s="263" t="str">
        <f>IFERROR(__xludf.DUMMYFUNCTION("IF(ISBLANK(A2530),"""",IFERROR(IF(OR(Q2530=""GPB"",Q2530=""ZAR""),IF(Q2530=Dashboard!$L$1,K2530,(K2530*GOOGLEFINANCE(""CURRENCY:""&amp;Q2530&amp;""""&amp;Dashboard!$L$1&amp;""""))/100),IF(Q2530=Dashboard!$L$1,K2530,K2530*GOOGLEFINANCE(""CURRENCY:""&amp;Q2530&amp;""""&amp;Dashboard!$"&amp;"L$1&amp;""""))),K2530))"),"")</f>
        <v/>
      </c>
      <c r="S2530" s="266" t="str">
        <f>IFERROR(__xludf.DUMMYFUNCTION("IF(ISBLANK(A2530),"""",IFERROR(IF(OR(Q2530=""GPB"",Q2530=""ZAR""),IF(Q2530=Dashboard!$L$1,M2530,(M2530*GOOGLEFINANCE(""CURRENCY:""&amp;Q2530&amp;""""&amp;Dashboard!$L$1&amp;""""))/100),IF(Q2530=Dashboard!$L$1,M2530,M2530*GOOGLEFINANCE(""CURRENCY:""&amp;Q2530&amp;""""&amp;Dashboard!$"&amp;"L$1&amp;""""))),M2530))"),"")</f>
        <v/>
      </c>
      <c r="T2530" s="264" t="str">
        <f t="shared" si="4"/>
        <v/>
      </c>
      <c r="U2530" s="264" t="str">
        <f t="shared" si="5"/>
        <v/>
      </c>
      <c r="V2530" s="264" t="str">
        <f t="shared" si="6"/>
        <v/>
      </c>
      <c r="W2530" s="267" t="str">
        <f t="shared" si="8"/>
        <v/>
      </c>
      <c r="X2530" s="264" t="str">
        <f t="shared" si="7"/>
        <v/>
      </c>
    </row>
    <row r="2531" ht="15.75" customHeight="1">
      <c r="A2531" s="258"/>
      <c r="B2531" s="258"/>
      <c r="C2531" s="269"/>
      <c r="D2531" s="258"/>
      <c r="E2531" s="258"/>
      <c r="F2531" s="258"/>
      <c r="G2531" s="258"/>
      <c r="H2531" s="271"/>
      <c r="I2531" s="258"/>
      <c r="J2531" s="272"/>
      <c r="K2531" s="260"/>
      <c r="L2531" s="261"/>
      <c r="M2531" s="262" t="str">
        <f t="shared" si="1"/>
        <v/>
      </c>
      <c r="N2531" s="263" t="str">
        <f t="shared" si="2"/>
        <v/>
      </c>
      <c r="O2531" s="264" t="str">
        <f t="shared" si="3"/>
        <v/>
      </c>
      <c r="P2531" s="265" t="str">
        <f>IFERROR(__xludf.DUMMYFUNCTION("IF(ISBLANK(A2531),"""",IFERROR(IF(H2531=""Sell"",VLOOKUP(9^99,FILTER({ROW(P$2:P2530),P$2:P2530},D$2:D2530=D2531),2),(VLOOKUP(9^99,FILTER({ROW(P$2:P2530),P$2:P2530},D$2:D2530=D2531),2)*VLOOKUP(9^99,FILTER({ROW(O$2:O2530),O$2:O2530},D$2:D2530=D2531),2)-N253"&amp;"1)/O2531),J2531))"),"")</f>
        <v/>
      </c>
      <c r="Q2531" s="264" t="str">
        <f>IFERROR(__xludf.DUMMYFUNCTION("IFERROR(IF(F2531=""Crypto"",B2531,(IF(ISBLANK(D2531),"""",IF(D2531=""Cash"",B2531,IF(GOOGLEFINANCE(D2531,""CURRENCY"")=""GBX"",""GBP"",GOOGLEFINANCE(D2531,""CURRENCY"")))))),B2531)"),"")</f>
        <v/>
      </c>
      <c r="R2531" s="263" t="str">
        <f>IFERROR(__xludf.DUMMYFUNCTION("IF(ISBLANK(A2531),"""",IFERROR(IF(OR(Q2531=""GPB"",Q2531=""ZAR""),IF(Q2531=Dashboard!$L$1,K2531,(K2531*GOOGLEFINANCE(""CURRENCY:""&amp;Q2531&amp;""""&amp;Dashboard!$L$1&amp;""""))/100),IF(Q2531=Dashboard!$L$1,K2531,K2531*GOOGLEFINANCE(""CURRENCY:""&amp;Q2531&amp;""""&amp;Dashboard!$"&amp;"L$1&amp;""""))),K2531))"),"")</f>
        <v/>
      </c>
      <c r="S2531" s="266" t="str">
        <f>IFERROR(__xludf.DUMMYFUNCTION("IF(ISBLANK(A2531),"""",IFERROR(IF(OR(Q2531=""GPB"",Q2531=""ZAR""),IF(Q2531=Dashboard!$L$1,M2531,(M2531*GOOGLEFINANCE(""CURRENCY:""&amp;Q2531&amp;""""&amp;Dashboard!$L$1&amp;""""))/100),IF(Q2531=Dashboard!$L$1,M2531,M2531*GOOGLEFINANCE(""CURRENCY:""&amp;Q2531&amp;""""&amp;Dashboard!$"&amp;"L$1&amp;""""))),M2531))"),"")</f>
        <v/>
      </c>
      <c r="T2531" s="264" t="str">
        <f t="shared" si="4"/>
        <v/>
      </c>
      <c r="U2531" s="264" t="str">
        <f t="shared" si="5"/>
        <v/>
      </c>
      <c r="V2531" s="264" t="str">
        <f t="shared" si="6"/>
        <v/>
      </c>
      <c r="W2531" s="267" t="str">
        <f t="shared" si="8"/>
        <v/>
      </c>
      <c r="X2531" s="264" t="str">
        <f t="shared" si="7"/>
        <v/>
      </c>
    </row>
    <row r="2532" ht="15.75" customHeight="1">
      <c r="A2532" s="258"/>
      <c r="B2532" s="258"/>
      <c r="C2532" s="269"/>
      <c r="D2532" s="258"/>
      <c r="E2532" s="258"/>
      <c r="F2532" s="258"/>
      <c r="G2532" s="258"/>
      <c r="H2532" s="271"/>
      <c r="I2532" s="258"/>
      <c r="J2532" s="272"/>
      <c r="K2532" s="260"/>
      <c r="L2532" s="261"/>
      <c r="M2532" s="262" t="str">
        <f t="shared" si="1"/>
        <v/>
      </c>
      <c r="N2532" s="263" t="str">
        <f t="shared" si="2"/>
        <v/>
      </c>
      <c r="O2532" s="264" t="str">
        <f t="shared" si="3"/>
        <v/>
      </c>
      <c r="P2532" s="265" t="str">
        <f>IFERROR(__xludf.DUMMYFUNCTION("IF(ISBLANK(A2532),"""",IFERROR(IF(H2532=""Sell"",VLOOKUP(9^99,FILTER({ROW(P$2:P2531),P$2:P2531},D$2:D2531=D2532),2),(VLOOKUP(9^99,FILTER({ROW(P$2:P2531),P$2:P2531},D$2:D2531=D2532),2)*VLOOKUP(9^99,FILTER({ROW(O$2:O2531),O$2:O2531},D$2:D2531=D2532),2)-N253"&amp;"2)/O2532),J2532))"),"")</f>
        <v/>
      </c>
      <c r="Q2532" s="264" t="str">
        <f>IFERROR(__xludf.DUMMYFUNCTION("IFERROR(IF(F2532=""Crypto"",B2532,(IF(ISBLANK(D2532),"""",IF(D2532=""Cash"",B2532,IF(GOOGLEFINANCE(D2532,""CURRENCY"")=""GBX"",""GBP"",GOOGLEFINANCE(D2532,""CURRENCY"")))))),B2532)"),"")</f>
        <v/>
      </c>
      <c r="R2532" s="263" t="str">
        <f>IFERROR(__xludf.DUMMYFUNCTION("IF(ISBLANK(A2532),"""",IFERROR(IF(OR(Q2532=""GPB"",Q2532=""ZAR""),IF(Q2532=Dashboard!$L$1,K2532,(K2532*GOOGLEFINANCE(""CURRENCY:""&amp;Q2532&amp;""""&amp;Dashboard!$L$1&amp;""""))/100),IF(Q2532=Dashboard!$L$1,K2532,K2532*GOOGLEFINANCE(""CURRENCY:""&amp;Q2532&amp;""""&amp;Dashboard!$"&amp;"L$1&amp;""""))),K2532))"),"")</f>
        <v/>
      </c>
      <c r="S2532" s="266" t="str">
        <f>IFERROR(__xludf.DUMMYFUNCTION("IF(ISBLANK(A2532),"""",IFERROR(IF(OR(Q2532=""GPB"",Q2532=""ZAR""),IF(Q2532=Dashboard!$L$1,M2532,(M2532*GOOGLEFINANCE(""CURRENCY:""&amp;Q2532&amp;""""&amp;Dashboard!$L$1&amp;""""))/100),IF(Q2532=Dashboard!$L$1,M2532,M2532*GOOGLEFINANCE(""CURRENCY:""&amp;Q2532&amp;""""&amp;Dashboard!$"&amp;"L$1&amp;""""))),M2532))"),"")</f>
        <v/>
      </c>
      <c r="T2532" s="264" t="str">
        <f t="shared" si="4"/>
        <v/>
      </c>
      <c r="U2532" s="264" t="str">
        <f t="shared" si="5"/>
        <v/>
      </c>
      <c r="V2532" s="264" t="str">
        <f t="shared" si="6"/>
        <v/>
      </c>
      <c r="W2532" s="267" t="str">
        <f t="shared" si="8"/>
        <v/>
      </c>
      <c r="X2532" s="264" t="str">
        <f t="shared" si="7"/>
        <v/>
      </c>
    </row>
    <row r="2533" ht="15.75" customHeight="1">
      <c r="A2533" s="258"/>
      <c r="B2533" s="258"/>
      <c r="C2533" s="269"/>
      <c r="D2533" s="258"/>
      <c r="E2533" s="258"/>
      <c r="F2533" s="258"/>
      <c r="G2533" s="258"/>
      <c r="H2533" s="271"/>
      <c r="I2533" s="258"/>
      <c r="J2533" s="272"/>
      <c r="K2533" s="260"/>
      <c r="L2533" s="261"/>
      <c r="M2533" s="262" t="str">
        <f t="shared" si="1"/>
        <v/>
      </c>
      <c r="N2533" s="263" t="str">
        <f t="shared" si="2"/>
        <v/>
      </c>
      <c r="O2533" s="264" t="str">
        <f t="shared" si="3"/>
        <v/>
      </c>
      <c r="P2533" s="265" t="str">
        <f>IFERROR(__xludf.DUMMYFUNCTION("IF(ISBLANK(A2533),"""",IFERROR(IF(H2533=""Sell"",VLOOKUP(9^99,FILTER({ROW(P$2:P2532),P$2:P2532},D$2:D2532=D2533),2),(VLOOKUP(9^99,FILTER({ROW(P$2:P2532),P$2:P2532},D$2:D2532=D2533),2)*VLOOKUP(9^99,FILTER({ROW(O$2:O2532),O$2:O2532},D$2:D2532=D2533),2)-N253"&amp;"3)/O2533),J2533))"),"")</f>
        <v/>
      </c>
      <c r="Q2533" s="264" t="str">
        <f>IFERROR(__xludf.DUMMYFUNCTION("IFERROR(IF(F2533=""Crypto"",B2533,(IF(ISBLANK(D2533),"""",IF(D2533=""Cash"",B2533,IF(GOOGLEFINANCE(D2533,""CURRENCY"")=""GBX"",""GBP"",GOOGLEFINANCE(D2533,""CURRENCY"")))))),B2533)"),"")</f>
        <v/>
      </c>
      <c r="R2533" s="263" t="str">
        <f>IFERROR(__xludf.DUMMYFUNCTION("IF(ISBLANK(A2533),"""",IFERROR(IF(OR(Q2533=""GPB"",Q2533=""ZAR""),IF(Q2533=Dashboard!$L$1,K2533,(K2533*GOOGLEFINANCE(""CURRENCY:""&amp;Q2533&amp;""""&amp;Dashboard!$L$1&amp;""""))/100),IF(Q2533=Dashboard!$L$1,K2533,K2533*GOOGLEFINANCE(""CURRENCY:""&amp;Q2533&amp;""""&amp;Dashboard!$"&amp;"L$1&amp;""""))),K2533))"),"")</f>
        <v/>
      </c>
      <c r="S2533" s="266" t="str">
        <f>IFERROR(__xludf.DUMMYFUNCTION("IF(ISBLANK(A2533),"""",IFERROR(IF(OR(Q2533=""GPB"",Q2533=""ZAR""),IF(Q2533=Dashboard!$L$1,M2533,(M2533*GOOGLEFINANCE(""CURRENCY:""&amp;Q2533&amp;""""&amp;Dashboard!$L$1&amp;""""))/100),IF(Q2533=Dashboard!$L$1,M2533,M2533*GOOGLEFINANCE(""CURRENCY:""&amp;Q2533&amp;""""&amp;Dashboard!$"&amp;"L$1&amp;""""))),M2533))"),"")</f>
        <v/>
      </c>
      <c r="T2533" s="264" t="str">
        <f t="shared" si="4"/>
        <v/>
      </c>
      <c r="U2533" s="264" t="str">
        <f t="shared" si="5"/>
        <v/>
      </c>
      <c r="V2533" s="264" t="str">
        <f t="shared" si="6"/>
        <v/>
      </c>
      <c r="W2533" s="267" t="str">
        <f t="shared" si="8"/>
        <v/>
      </c>
      <c r="X2533" s="264" t="str">
        <f t="shared" si="7"/>
        <v/>
      </c>
    </row>
    <row r="2534" ht="15.75" customHeight="1">
      <c r="A2534" s="258"/>
      <c r="B2534" s="258"/>
      <c r="C2534" s="269"/>
      <c r="D2534" s="258"/>
      <c r="E2534" s="258"/>
      <c r="F2534" s="258"/>
      <c r="G2534" s="258"/>
      <c r="H2534" s="271"/>
      <c r="I2534" s="258"/>
      <c r="J2534" s="272"/>
      <c r="K2534" s="260"/>
      <c r="L2534" s="261"/>
      <c r="M2534" s="262" t="str">
        <f t="shared" si="1"/>
        <v/>
      </c>
      <c r="N2534" s="263" t="str">
        <f t="shared" si="2"/>
        <v/>
      </c>
      <c r="O2534" s="264" t="str">
        <f t="shared" si="3"/>
        <v/>
      </c>
      <c r="P2534" s="265" t="str">
        <f>IFERROR(__xludf.DUMMYFUNCTION("IF(ISBLANK(A2534),"""",IFERROR(IF(H2534=""Sell"",VLOOKUP(9^99,FILTER({ROW(P$2:P2533),P$2:P2533},D$2:D2533=D2534),2),(VLOOKUP(9^99,FILTER({ROW(P$2:P2533),P$2:P2533},D$2:D2533=D2534),2)*VLOOKUP(9^99,FILTER({ROW(O$2:O2533),O$2:O2533},D$2:D2533=D2534),2)-N253"&amp;"4)/O2534),J2534))"),"")</f>
        <v/>
      </c>
      <c r="Q2534" s="264" t="str">
        <f>IFERROR(__xludf.DUMMYFUNCTION("IFERROR(IF(F2534=""Crypto"",B2534,(IF(ISBLANK(D2534),"""",IF(D2534=""Cash"",B2534,IF(GOOGLEFINANCE(D2534,""CURRENCY"")=""GBX"",""GBP"",GOOGLEFINANCE(D2534,""CURRENCY"")))))),B2534)"),"")</f>
        <v/>
      </c>
      <c r="R2534" s="263" t="str">
        <f>IFERROR(__xludf.DUMMYFUNCTION("IF(ISBLANK(A2534),"""",IFERROR(IF(OR(Q2534=""GPB"",Q2534=""ZAR""),IF(Q2534=Dashboard!$L$1,K2534,(K2534*GOOGLEFINANCE(""CURRENCY:""&amp;Q2534&amp;""""&amp;Dashboard!$L$1&amp;""""))/100),IF(Q2534=Dashboard!$L$1,K2534,K2534*GOOGLEFINANCE(""CURRENCY:""&amp;Q2534&amp;""""&amp;Dashboard!$"&amp;"L$1&amp;""""))),K2534))"),"")</f>
        <v/>
      </c>
      <c r="S2534" s="266" t="str">
        <f>IFERROR(__xludf.DUMMYFUNCTION("IF(ISBLANK(A2534),"""",IFERROR(IF(OR(Q2534=""GPB"",Q2534=""ZAR""),IF(Q2534=Dashboard!$L$1,M2534,(M2534*GOOGLEFINANCE(""CURRENCY:""&amp;Q2534&amp;""""&amp;Dashboard!$L$1&amp;""""))/100),IF(Q2534=Dashboard!$L$1,M2534,M2534*GOOGLEFINANCE(""CURRENCY:""&amp;Q2534&amp;""""&amp;Dashboard!$"&amp;"L$1&amp;""""))),M2534))"),"")</f>
        <v/>
      </c>
      <c r="T2534" s="264" t="str">
        <f t="shared" si="4"/>
        <v/>
      </c>
      <c r="U2534" s="264" t="str">
        <f t="shared" si="5"/>
        <v/>
      </c>
      <c r="V2534" s="264" t="str">
        <f t="shared" si="6"/>
        <v/>
      </c>
      <c r="W2534" s="267" t="str">
        <f t="shared" si="8"/>
        <v/>
      </c>
      <c r="X2534" s="264" t="str">
        <f t="shared" si="7"/>
        <v/>
      </c>
    </row>
    <row r="2535" ht="15.75" customHeight="1">
      <c r="A2535" s="258"/>
      <c r="B2535" s="258"/>
      <c r="C2535" s="269"/>
      <c r="D2535" s="258"/>
      <c r="E2535" s="258"/>
      <c r="F2535" s="258"/>
      <c r="G2535" s="258"/>
      <c r="H2535" s="271"/>
      <c r="I2535" s="258"/>
      <c r="J2535" s="272"/>
      <c r="K2535" s="260"/>
      <c r="L2535" s="261"/>
      <c r="M2535" s="262" t="str">
        <f t="shared" si="1"/>
        <v/>
      </c>
      <c r="N2535" s="263" t="str">
        <f t="shared" si="2"/>
        <v/>
      </c>
      <c r="O2535" s="264" t="str">
        <f t="shared" si="3"/>
        <v/>
      </c>
      <c r="P2535" s="265" t="str">
        <f>IFERROR(__xludf.DUMMYFUNCTION("IF(ISBLANK(A2535),"""",IFERROR(IF(H2535=""Sell"",VLOOKUP(9^99,FILTER({ROW(P$2:P2534),P$2:P2534},D$2:D2534=D2535),2),(VLOOKUP(9^99,FILTER({ROW(P$2:P2534),P$2:P2534},D$2:D2534=D2535),2)*VLOOKUP(9^99,FILTER({ROW(O$2:O2534),O$2:O2534},D$2:D2534=D2535),2)-N253"&amp;"5)/O2535),J2535))"),"")</f>
        <v/>
      </c>
      <c r="Q2535" s="264" t="str">
        <f>IFERROR(__xludf.DUMMYFUNCTION("IFERROR(IF(F2535=""Crypto"",B2535,(IF(ISBLANK(D2535),"""",IF(D2535=""Cash"",B2535,IF(GOOGLEFINANCE(D2535,""CURRENCY"")=""GBX"",""GBP"",GOOGLEFINANCE(D2535,""CURRENCY"")))))),B2535)"),"")</f>
        <v/>
      </c>
      <c r="R2535" s="263" t="str">
        <f>IFERROR(__xludf.DUMMYFUNCTION("IF(ISBLANK(A2535),"""",IFERROR(IF(OR(Q2535=""GPB"",Q2535=""ZAR""),IF(Q2535=Dashboard!$L$1,K2535,(K2535*GOOGLEFINANCE(""CURRENCY:""&amp;Q2535&amp;""""&amp;Dashboard!$L$1&amp;""""))/100),IF(Q2535=Dashboard!$L$1,K2535,K2535*GOOGLEFINANCE(""CURRENCY:""&amp;Q2535&amp;""""&amp;Dashboard!$"&amp;"L$1&amp;""""))),K2535))"),"")</f>
        <v/>
      </c>
      <c r="S2535" s="266" t="str">
        <f>IFERROR(__xludf.DUMMYFUNCTION("IF(ISBLANK(A2535),"""",IFERROR(IF(OR(Q2535=""GPB"",Q2535=""ZAR""),IF(Q2535=Dashboard!$L$1,M2535,(M2535*GOOGLEFINANCE(""CURRENCY:""&amp;Q2535&amp;""""&amp;Dashboard!$L$1&amp;""""))/100),IF(Q2535=Dashboard!$L$1,M2535,M2535*GOOGLEFINANCE(""CURRENCY:""&amp;Q2535&amp;""""&amp;Dashboard!$"&amp;"L$1&amp;""""))),M2535))"),"")</f>
        <v/>
      </c>
      <c r="T2535" s="264" t="str">
        <f t="shared" si="4"/>
        <v/>
      </c>
      <c r="U2535" s="264" t="str">
        <f t="shared" si="5"/>
        <v/>
      </c>
      <c r="V2535" s="264" t="str">
        <f t="shared" si="6"/>
        <v/>
      </c>
      <c r="W2535" s="267" t="str">
        <f t="shared" si="8"/>
        <v/>
      </c>
      <c r="X2535" s="264" t="str">
        <f t="shared" si="7"/>
        <v/>
      </c>
    </row>
    <row r="2536" ht="15.75" customHeight="1">
      <c r="A2536" s="258"/>
      <c r="B2536" s="258"/>
      <c r="C2536" s="269"/>
      <c r="D2536" s="258"/>
      <c r="E2536" s="258"/>
      <c r="F2536" s="258"/>
      <c r="G2536" s="258"/>
      <c r="H2536" s="271"/>
      <c r="I2536" s="258"/>
      <c r="J2536" s="272"/>
      <c r="K2536" s="260"/>
      <c r="L2536" s="261"/>
      <c r="M2536" s="262" t="str">
        <f t="shared" si="1"/>
        <v/>
      </c>
      <c r="N2536" s="263" t="str">
        <f t="shared" si="2"/>
        <v/>
      </c>
      <c r="O2536" s="264" t="str">
        <f t="shared" si="3"/>
        <v/>
      </c>
      <c r="P2536" s="265" t="str">
        <f>IFERROR(__xludf.DUMMYFUNCTION("IF(ISBLANK(A2536),"""",IFERROR(IF(H2536=""Sell"",VLOOKUP(9^99,FILTER({ROW(P$2:P2535),P$2:P2535},D$2:D2535=D2536),2),(VLOOKUP(9^99,FILTER({ROW(P$2:P2535),P$2:P2535},D$2:D2535=D2536),2)*VLOOKUP(9^99,FILTER({ROW(O$2:O2535),O$2:O2535},D$2:D2535=D2536),2)-N253"&amp;"6)/O2536),J2536))"),"")</f>
        <v/>
      </c>
      <c r="Q2536" s="264" t="str">
        <f>IFERROR(__xludf.DUMMYFUNCTION("IFERROR(IF(F2536=""Crypto"",B2536,(IF(ISBLANK(D2536),"""",IF(D2536=""Cash"",B2536,IF(GOOGLEFINANCE(D2536,""CURRENCY"")=""GBX"",""GBP"",GOOGLEFINANCE(D2536,""CURRENCY"")))))),B2536)"),"")</f>
        <v/>
      </c>
      <c r="R2536" s="263" t="str">
        <f>IFERROR(__xludf.DUMMYFUNCTION("IF(ISBLANK(A2536),"""",IFERROR(IF(OR(Q2536=""GPB"",Q2536=""ZAR""),IF(Q2536=Dashboard!$L$1,K2536,(K2536*GOOGLEFINANCE(""CURRENCY:""&amp;Q2536&amp;""""&amp;Dashboard!$L$1&amp;""""))/100),IF(Q2536=Dashboard!$L$1,K2536,K2536*GOOGLEFINANCE(""CURRENCY:""&amp;Q2536&amp;""""&amp;Dashboard!$"&amp;"L$1&amp;""""))),K2536))"),"")</f>
        <v/>
      </c>
      <c r="S2536" s="266" t="str">
        <f>IFERROR(__xludf.DUMMYFUNCTION("IF(ISBLANK(A2536),"""",IFERROR(IF(OR(Q2536=""GPB"",Q2536=""ZAR""),IF(Q2536=Dashboard!$L$1,M2536,(M2536*GOOGLEFINANCE(""CURRENCY:""&amp;Q2536&amp;""""&amp;Dashboard!$L$1&amp;""""))/100),IF(Q2536=Dashboard!$L$1,M2536,M2536*GOOGLEFINANCE(""CURRENCY:""&amp;Q2536&amp;""""&amp;Dashboard!$"&amp;"L$1&amp;""""))),M2536))"),"")</f>
        <v/>
      </c>
      <c r="T2536" s="264" t="str">
        <f t="shared" si="4"/>
        <v/>
      </c>
      <c r="U2536" s="264" t="str">
        <f t="shared" si="5"/>
        <v/>
      </c>
      <c r="V2536" s="264" t="str">
        <f t="shared" si="6"/>
        <v/>
      </c>
      <c r="W2536" s="267" t="str">
        <f t="shared" si="8"/>
        <v/>
      </c>
      <c r="X2536" s="264" t="str">
        <f t="shared" si="7"/>
        <v/>
      </c>
    </row>
    <row r="2537" ht="15.75" customHeight="1">
      <c r="A2537" s="258"/>
      <c r="B2537" s="258"/>
      <c r="C2537" s="269"/>
      <c r="D2537" s="258"/>
      <c r="E2537" s="258"/>
      <c r="F2537" s="258"/>
      <c r="G2537" s="258"/>
      <c r="H2537" s="271"/>
      <c r="I2537" s="258"/>
      <c r="J2537" s="272"/>
      <c r="K2537" s="260"/>
      <c r="L2537" s="261"/>
      <c r="M2537" s="262" t="str">
        <f t="shared" si="1"/>
        <v/>
      </c>
      <c r="N2537" s="263" t="str">
        <f t="shared" si="2"/>
        <v/>
      </c>
      <c r="O2537" s="264" t="str">
        <f t="shared" si="3"/>
        <v/>
      </c>
      <c r="P2537" s="265" t="str">
        <f>IFERROR(__xludf.DUMMYFUNCTION("IF(ISBLANK(A2537),"""",IFERROR(IF(H2537=""Sell"",VLOOKUP(9^99,FILTER({ROW(P$2:P2536),P$2:P2536},D$2:D2536=D2537),2),(VLOOKUP(9^99,FILTER({ROW(P$2:P2536),P$2:P2536},D$2:D2536=D2537),2)*VLOOKUP(9^99,FILTER({ROW(O$2:O2536),O$2:O2536},D$2:D2536=D2537),2)-N253"&amp;"7)/O2537),J2537))"),"")</f>
        <v/>
      </c>
      <c r="Q2537" s="264" t="str">
        <f>IFERROR(__xludf.DUMMYFUNCTION("IFERROR(IF(F2537=""Crypto"",B2537,(IF(ISBLANK(D2537),"""",IF(D2537=""Cash"",B2537,IF(GOOGLEFINANCE(D2537,""CURRENCY"")=""GBX"",""GBP"",GOOGLEFINANCE(D2537,""CURRENCY"")))))),B2537)"),"")</f>
        <v/>
      </c>
      <c r="R2537" s="263" t="str">
        <f>IFERROR(__xludf.DUMMYFUNCTION("IF(ISBLANK(A2537),"""",IFERROR(IF(OR(Q2537=""GPB"",Q2537=""ZAR""),IF(Q2537=Dashboard!$L$1,K2537,(K2537*GOOGLEFINANCE(""CURRENCY:""&amp;Q2537&amp;""""&amp;Dashboard!$L$1&amp;""""))/100),IF(Q2537=Dashboard!$L$1,K2537,K2537*GOOGLEFINANCE(""CURRENCY:""&amp;Q2537&amp;""""&amp;Dashboard!$"&amp;"L$1&amp;""""))),K2537))"),"")</f>
        <v/>
      </c>
      <c r="S2537" s="266" t="str">
        <f>IFERROR(__xludf.DUMMYFUNCTION("IF(ISBLANK(A2537),"""",IFERROR(IF(OR(Q2537=""GPB"",Q2537=""ZAR""),IF(Q2537=Dashboard!$L$1,M2537,(M2537*GOOGLEFINANCE(""CURRENCY:""&amp;Q2537&amp;""""&amp;Dashboard!$L$1&amp;""""))/100),IF(Q2537=Dashboard!$L$1,M2537,M2537*GOOGLEFINANCE(""CURRENCY:""&amp;Q2537&amp;""""&amp;Dashboard!$"&amp;"L$1&amp;""""))),M2537))"),"")</f>
        <v/>
      </c>
      <c r="T2537" s="264" t="str">
        <f t="shared" si="4"/>
        <v/>
      </c>
      <c r="U2537" s="264" t="str">
        <f t="shared" si="5"/>
        <v/>
      </c>
      <c r="V2537" s="264" t="str">
        <f t="shared" si="6"/>
        <v/>
      </c>
      <c r="W2537" s="267" t="str">
        <f t="shared" si="8"/>
        <v/>
      </c>
      <c r="X2537" s="264" t="str">
        <f t="shared" si="7"/>
        <v/>
      </c>
    </row>
    <row r="2538" ht="15.75" customHeight="1">
      <c r="A2538" s="258"/>
      <c r="B2538" s="258"/>
      <c r="C2538" s="269"/>
      <c r="D2538" s="258"/>
      <c r="E2538" s="258"/>
      <c r="F2538" s="258"/>
      <c r="G2538" s="258"/>
      <c r="H2538" s="271"/>
      <c r="I2538" s="258"/>
      <c r="J2538" s="272"/>
      <c r="K2538" s="260"/>
      <c r="L2538" s="261"/>
      <c r="M2538" s="262" t="str">
        <f t="shared" si="1"/>
        <v/>
      </c>
      <c r="N2538" s="263" t="str">
        <f t="shared" si="2"/>
        <v/>
      </c>
      <c r="O2538" s="264" t="str">
        <f t="shared" si="3"/>
        <v/>
      </c>
      <c r="P2538" s="265" t="str">
        <f>IFERROR(__xludf.DUMMYFUNCTION("IF(ISBLANK(A2538),"""",IFERROR(IF(H2538=""Sell"",VLOOKUP(9^99,FILTER({ROW(P$2:P2537),P$2:P2537},D$2:D2537=D2538),2),(VLOOKUP(9^99,FILTER({ROW(P$2:P2537),P$2:P2537},D$2:D2537=D2538),2)*VLOOKUP(9^99,FILTER({ROW(O$2:O2537),O$2:O2537},D$2:D2537=D2538),2)-N253"&amp;"8)/O2538),J2538))"),"")</f>
        <v/>
      </c>
      <c r="Q2538" s="264" t="str">
        <f>IFERROR(__xludf.DUMMYFUNCTION("IFERROR(IF(F2538=""Crypto"",B2538,(IF(ISBLANK(D2538),"""",IF(D2538=""Cash"",B2538,IF(GOOGLEFINANCE(D2538,""CURRENCY"")=""GBX"",""GBP"",GOOGLEFINANCE(D2538,""CURRENCY"")))))),B2538)"),"")</f>
        <v/>
      </c>
      <c r="R2538" s="263" t="str">
        <f>IFERROR(__xludf.DUMMYFUNCTION("IF(ISBLANK(A2538),"""",IFERROR(IF(OR(Q2538=""GPB"",Q2538=""ZAR""),IF(Q2538=Dashboard!$L$1,K2538,(K2538*GOOGLEFINANCE(""CURRENCY:""&amp;Q2538&amp;""""&amp;Dashboard!$L$1&amp;""""))/100),IF(Q2538=Dashboard!$L$1,K2538,K2538*GOOGLEFINANCE(""CURRENCY:""&amp;Q2538&amp;""""&amp;Dashboard!$"&amp;"L$1&amp;""""))),K2538))"),"")</f>
        <v/>
      </c>
      <c r="S2538" s="266" t="str">
        <f>IFERROR(__xludf.DUMMYFUNCTION("IF(ISBLANK(A2538),"""",IFERROR(IF(OR(Q2538=""GPB"",Q2538=""ZAR""),IF(Q2538=Dashboard!$L$1,M2538,(M2538*GOOGLEFINANCE(""CURRENCY:""&amp;Q2538&amp;""""&amp;Dashboard!$L$1&amp;""""))/100),IF(Q2538=Dashboard!$L$1,M2538,M2538*GOOGLEFINANCE(""CURRENCY:""&amp;Q2538&amp;""""&amp;Dashboard!$"&amp;"L$1&amp;""""))),M2538))"),"")</f>
        <v/>
      </c>
      <c r="T2538" s="264" t="str">
        <f t="shared" si="4"/>
        <v/>
      </c>
      <c r="U2538" s="264" t="str">
        <f t="shared" si="5"/>
        <v/>
      </c>
      <c r="V2538" s="264" t="str">
        <f t="shared" si="6"/>
        <v/>
      </c>
      <c r="W2538" s="267" t="str">
        <f t="shared" si="8"/>
        <v/>
      </c>
      <c r="X2538" s="264" t="str">
        <f t="shared" si="7"/>
        <v/>
      </c>
    </row>
    <row r="2539" ht="15.75" customHeight="1">
      <c r="A2539" s="258"/>
      <c r="B2539" s="258"/>
      <c r="C2539" s="269"/>
      <c r="D2539" s="258"/>
      <c r="E2539" s="258"/>
      <c r="F2539" s="258"/>
      <c r="G2539" s="258"/>
      <c r="H2539" s="271"/>
      <c r="I2539" s="258"/>
      <c r="J2539" s="272"/>
      <c r="K2539" s="260"/>
      <c r="L2539" s="261"/>
      <c r="M2539" s="262" t="str">
        <f t="shared" si="1"/>
        <v/>
      </c>
      <c r="N2539" s="263" t="str">
        <f t="shared" si="2"/>
        <v/>
      </c>
      <c r="O2539" s="264" t="str">
        <f t="shared" si="3"/>
        <v/>
      </c>
      <c r="P2539" s="265" t="str">
        <f>IFERROR(__xludf.DUMMYFUNCTION("IF(ISBLANK(A2539),"""",IFERROR(IF(H2539=""Sell"",VLOOKUP(9^99,FILTER({ROW(P$2:P2538),P$2:P2538},D$2:D2538=D2539),2),(VLOOKUP(9^99,FILTER({ROW(P$2:P2538),P$2:P2538},D$2:D2538=D2539),2)*VLOOKUP(9^99,FILTER({ROW(O$2:O2538),O$2:O2538},D$2:D2538=D2539),2)-N253"&amp;"9)/O2539),J2539))"),"")</f>
        <v/>
      </c>
      <c r="Q2539" s="264" t="str">
        <f>IFERROR(__xludf.DUMMYFUNCTION("IFERROR(IF(F2539=""Crypto"",B2539,(IF(ISBLANK(D2539),"""",IF(D2539=""Cash"",B2539,IF(GOOGLEFINANCE(D2539,""CURRENCY"")=""GBX"",""GBP"",GOOGLEFINANCE(D2539,""CURRENCY"")))))),B2539)"),"")</f>
        <v/>
      </c>
      <c r="R2539" s="263" t="str">
        <f>IFERROR(__xludf.DUMMYFUNCTION("IF(ISBLANK(A2539),"""",IFERROR(IF(OR(Q2539=""GPB"",Q2539=""ZAR""),IF(Q2539=Dashboard!$L$1,K2539,(K2539*GOOGLEFINANCE(""CURRENCY:""&amp;Q2539&amp;""""&amp;Dashboard!$L$1&amp;""""))/100),IF(Q2539=Dashboard!$L$1,K2539,K2539*GOOGLEFINANCE(""CURRENCY:""&amp;Q2539&amp;""""&amp;Dashboard!$"&amp;"L$1&amp;""""))),K2539))"),"")</f>
        <v/>
      </c>
      <c r="S2539" s="266" t="str">
        <f>IFERROR(__xludf.DUMMYFUNCTION("IF(ISBLANK(A2539),"""",IFERROR(IF(OR(Q2539=""GPB"",Q2539=""ZAR""),IF(Q2539=Dashboard!$L$1,M2539,(M2539*GOOGLEFINANCE(""CURRENCY:""&amp;Q2539&amp;""""&amp;Dashboard!$L$1&amp;""""))/100),IF(Q2539=Dashboard!$L$1,M2539,M2539*GOOGLEFINANCE(""CURRENCY:""&amp;Q2539&amp;""""&amp;Dashboard!$"&amp;"L$1&amp;""""))),M2539))"),"")</f>
        <v/>
      </c>
      <c r="T2539" s="264" t="str">
        <f t="shared" si="4"/>
        <v/>
      </c>
      <c r="U2539" s="264" t="str">
        <f t="shared" si="5"/>
        <v/>
      </c>
      <c r="V2539" s="264" t="str">
        <f t="shared" si="6"/>
        <v/>
      </c>
      <c r="W2539" s="267" t="str">
        <f t="shared" si="8"/>
        <v/>
      </c>
      <c r="X2539" s="264" t="str">
        <f t="shared" si="7"/>
        <v/>
      </c>
    </row>
    <row r="2540" ht="15.75" customHeight="1">
      <c r="A2540" s="258"/>
      <c r="B2540" s="258"/>
      <c r="C2540" s="269"/>
      <c r="D2540" s="258"/>
      <c r="E2540" s="258"/>
      <c r="F2540" s="258"/>
      <c r="G2540" s="258"/>
      <c r="H2540" s="271"/>
      <c r="I2540" s="258"/>
      <c r="J2540" s="272"/>
      <c r="K2540" s="260"/>
      <c r="L2540" s="261"/>
      <c r="M2540" s="262" t="str">
        <f t="shared" si="1"/>
        <v/>
      </c>
      <c r="N2540" s="263" t="str">
        <f t="shared" si="2"/>
        <v/>
      </c>
      <c r="O2540" s="264" t="str">
        <f t="shared" si="3"/>
        <v/>
      </c>
      <c r="P2540" s="265" t="str">
        <f>IFERROR(__xludf.DUMMYFUNCTION("IF(ISBLANK(A2540),"""",IFERROR(IF(H2540=""Sell"",VLOOKUP(9^99,FILTER({ROW(P$2:P2539),P$2:P2539},D$2:D2539=D2540),2),(VLOOKUP(9^99,FILTER({ROW(P$2:P2539),P$2:P2539},D$2:D2539=D2540),2)*VLOOKUP(9^99,FILTER({ROW(O$2:O2539),O$2:O2539},D$2:D2539=D2540),2)-N254"&amp;"0)/O2540),J2540))"),"")</f>
        <v/>
      </c>
      <c r="Q2540" s="264" t="str">
        <f>IFERROR(__xludf.DUMMYFUNCTION("IFERROR(IF(F2540=""Crypto"",B2540,(IF(ISBLANK(D2540),"""",IF(D2540=""Cash"",B2540,IF(GOOGLEFINANCE(D2540,""CURRENCY"")=""GBX"",""GBP"",GOOGLEFINANCE(D2540,""CURRENCY"")))))),B2540)"),"")</f>
        <v/>
      </c>
      <c r="R2540" s="263" t="str">
        <f>IFERROR(__xludf.DUMMYFUNCTION("IF(ISBLANK(A2540),"""",IFERROR(IF(OR(Q2540=""GPB"",Q2540=""ZAR""),IF(Q2540=Dashboard!$L$1,K2540,(K2540*GOOGLEFINANCE(""CURRENCY:""&amp;Q2540&amp;""""&amp;Dashboard!$L$1&amp;""""))/100),IF(Q2540=Dashboard!$L$1,K2540,K2540*GOOGLEFINANCE(""CURRENCY:""&amp;Q2540&amp;""""&amp;Dashboard!$"&amp;"L$1&amp;""""))),K2540))"),"")</f>
        <v/>
      </c>
      <c r="S2540" s="266" t="str">
        <f>IFERROR(__xludf.DUMMYFUNCTION("IF(ISBLANK(A2540),"""",IFERROR(IF(OR(Q2540=""GPB"",Q2540=""ZAR""),IF(Q2540=Dashboard!$L$1,M2540,(M2540*GOOGLEFINANCE(""CURRENCY:""&amp;Q2540&amp;""""&amp;Dashboard!$L$1&amp;""""))/100),IF(Q2540=Dashboard!$L$1,M2540,M2540*GOOGLEFINANCE(""CURRENCY:""&amp;Q2540&amp;""""&amp;Dashboard!$"&amp;"L$1&amp;""""))),M2540))"),"")</f>
        <v/>
      </c>
      <c r="T2540" s="264" t="str">
        <f t="shared" si="4"/>
        <v/>
      </c>
      <c r="U2540" s="264" t="str">
        <f t="shared" si="5"/>
        <v/>
      </c>
      <c r="V2540" s="264" t="str">
        <f t="shared" si="6"/>
        <v/>
      </c>
      <c r="W2540" s="267" t="str">
        <f t="shared" si="8"/>
        <v/>
      </c>
      <c r="X2540" s="264" t="str">
        <f t="shared" si="7"/>
        <v/>
      </c>
    </row>
    <row r="2541" ht="15.75" customHeight="1">
      <c r="A2541" s="258"/>
      <c r="B2541" s="258"/>
      <c r="C2541" s="269"/>
      <c r="D2541" s="258"/>
      <c r="E2541" s="258"/>
      <c r="F2541" s="258"/>
      <c r="G2541" s="258"/>
      <c r="H2541" s="271"/>
      <c r="I2541" s="258"/>
      <c r="J2541" s="272"/>
      <c r="K2541" s="260"/>
      <c r="L2541" s="261"/>
      <c r="M2541" s="262" t="str">
        <f t="shared" si="1"/>
        <v/>
      </c>
      <c r="N2541" s="263" t="str">
        <f t="shared" si="2"/>
        <v/>
      </c>
      <c r="O2541" s="264" t="str">
        <f t="shared" si="3"/>
        <v/>
      </c>
      <c r="P2541" s="265" t="str">
        <f>IFERROR(__xludf.DUMMYFUNCTION("IF(ISBLANK(A2541),"""",IFERROR(IF(H2541=""Sell"",VLOOKUP(9^99,FILTER({ROW(P$2:P2540),P$2:P2540},D$2:D2540=D2541),2),(VLOOKUP(9^99,FILTER({ROW(P$2:P2540),P$2:P2540},D$2:D2540=D2541),2)*VLOOKUP(9^99,FILTER({ROW(O$2:O2540),O$2:O2540},D$2:D2540=D2541),2)-N254"&amp;"1)/O2541),J2541))"),"")</f>
        <v/>
      </c>
      <c r="Q2541" s="264" t="str">
        <f>IFERROR(__xludf.DUMMYFUNCTION("IFERROR(IF(F2541=""Crypto"",B2541,(IF(ISBLANK(D2541),"""",IF(D2541=""Cash"",B2541,IF(GOOGLEFINANCE(D2541,""CURRENCY"")=""GBX"",""GBP"",GOOGLEFINANCE(D2541,""CURRENCY"")))))),B2541)"),"")</f>
        <v/>
      </c>
      <c r="R2541" s="263" t="str">
        <f>IFERROR(__xludf.DUMMYFUNCTION("IF(ISBLANK(A2541),"""",IFERROR(IF(OR(Q2541=""GPB"",Q2541=""ZAR""),IF(Q2541=Dashboard!$L$1,K2541,(K2541*GOOGLEFINANCE(""CURRENCY:""&amp;Q2541&amp;""""&amp;Dashboard!$L$1&amp;""""))/100),IF(Q2541=Dashboard!$L$1,K2541,K2541*GOOGLEFINANCE(""CURRENCY:""&amp;Q2541&amp;""""&amp;Dashboard!$"&amp;"L$1&amp;""""))),K2541))"),"")</f>
        <v/>
      </c>
      <c r="S2541" s="266" t="str">
        <f>IFERROR(__xludf.DUMMYFUNCTION("IF(ISBLANK(A2541),"""",IFERROR(IF(OR(Q2541=""GPB"",Q2541=""ZAR""),IF(Q2541=Dashboard!$L$1,M2541,(M2541*GOOGLEFINANCE(""CURRENCY:""&amp;Q2541&amp;""""&amp;Dashboard!$L$1&amp;""""))/100),IF(Q2541=Dashboard!$L$1,M2541,M2541*GOOGLEFINANCE(""CURRENCY:""&amp;Q2541&amp;""""&amp;Dashboard!$"&amp;"L$1&amp;""""))),M2541))"),"")</f>
        <v/>
      </c>
      <c r="T2541" s="264" t="str">
        <f t="shared" si="4"/>
        <v/>
      </c>
      <c r="U2541" s="264" t="str">
        <f t="shared" si="5"/>
        <v/>
      </c>
      <c r="V2541" s="264" t="str">
        <f t="shared" si="6"/>
        <v/>
      </c>
      <c r="W2541" s="267" t="str">
        <f t="shared" si="8"/>
        <v/>
      </c>
      <c r="X2541" s="264" t="str">
        <f t="shared" si="7"/>
        <v/>
      </c>
    </row>
    <row r="2542" ht="15.75" customHeight="1">
      <c r="A2542" s="258"/>
      <c r="B2542" s="258"/>
      <c r="C2542" s="269"/>
      <c r="D2542" s="258"/>
      <c r="E2542" s="258"/>
      <c r="F2542" s="258"/>
      <c r="G2542" s="258"/>
      <c r="H2542" s="271"/>
      <c r="I2542" s="258"/>
      <c r="J2542" s="272"/>
      <c r="K2542" s="260"/>
      <c r="L2542" s="261"/>
      <c r="M2542" s="262" t="str">
        <f t="shared" si="1"/>
        <v/>
      </c>
      <c r="N2542" s="263" t="str">
        <f t="shared" si="2"/>
        <v/>
      </c>
      <c r="O2542" s="264" t="str">
        <f t="shared" si="3"/>
        <v/>
      </c>
      <c r="P2542" s="265" t="str">
        <f>IFERROR(__xludf.DUMMYFUNCTION("IF(ISBLANK(A2542),"""",IFERROR(IF(H2542=""Sell"",VLOOKUP(9^99,FILTER({ROW(P$2:P2541),P$2:P2541},D$2:D2541=D2542),2),(VLOOKUP(9^99,FILTER({ROW(P$2:P2541),P$2:P2541},D$2:D2541=D2542),2)*VLOOKUP(9^99,FILTER({ROW(O$2:O2541),O$2:O2541},D$2:D2541=D2542),2)-N254"&amp;"2)/O2542),J2542))"),"")</f>
        <v/>
      </c>
      <c r="Q2542" s="264" t="str">
        <f>IFERROR(__xludf.DUMMYFUNCTION("IFERROR(IF(F2542=""Crypto"",B2542,(IF(ISBLANK(D2542),"""",IF(D2542=""Cash"",B2542,IF(GOOGLEFINANCE(D2542,""CURRENCY"")=""GBX"",""GBP"",GOOGLEFINANCE(D2542,""CURRENCY"")))))),B2542)"),"")</f>
        <v/>
      </c>
      <c r="R2542" s="263" t="str">
        <f>IFERROR(__xludf.DUMMYFUNCTION("IF(ISBLANK(A2542),"""",IFERROR(IF(OR(Q2542=""GPB"",Q2542=""ZAR""),IF(Q2542=Dashboard!$L$1,K2542,(K2542*GOOGLEFINANCE(""CURRENCY:""&amp;Q2542&amp;""""&amp;Dashboard!$L$1&amp;""""))/100),IF(Q2542=Dashboard!$L$1,K2542,K2542*GOOGLEFINANCE(""CURRENCY:""&amp;Q2542&amp;""""&amp;Dashboard!$"&amp;"L$1&amp;""""))),K2542))"),"")</f>
        <v/>
      </c>
      <c r="S2542" s="266" t="str">
        <f>IFERROR(__xludf.DUMMYFUNCTION("IF(ISBLANK(A2542),"""",IFERROR(IF(OR(Q2542=""GPB"",Q2542=""ZAR""),IF(Q2542=Dashboard!$L$1,M2542,(M2542*GOOGLEFINANCE(""CURRENCY:""&amp;Q2542&amp;""""&amp;Dashboard!$L$1&amp;""""))/100),IF(Q2542=Dashboard!$L$1,M2542,M2542*GOOGLEFINANCE(""CURRENCY:""&amp;Q2542&amp;""""&amp;Dashboard!$"&amp;"L$1&amp;""""))),M2542))"),"")</f>
        <v/>
      </c>
      <c r="T2542" s="264" t="str">
        <f t="shared" si="4"/>
        <v/>
      </c>
      <c r="U2542" s="264" t="str">
        <f t="shared" si="5"/>
        <v/>
      </c>
      <c r="V2542" s="264" t="str">
        <f t="shared" si="6"/>
        <v/>
      </c>
      <c r="W2542" s="267" t="str">
        <f t="shared" si="8"/>
        <v/>
      </c>
      <c r="X2542" s="264" t="str">
        <f t="shared" si="7"/>
        <v/>
      </c>
    </row>
    <row r="2543" ht="15.75" customHeight="1">
      <c r="A2543" s="258"/>
      <c r="B2543" s="258"/>
      <c r="C2543" s="269"/>
      <c r="D2543" s="258"/>
      <c r="E2543" s="258"/>
      <c r="F2543" s="258"/>
      <c r="G2543" s="258"/>
      <c r="H2543" s="271"/>
      <c r="I2543" s="258"/>
      <c r="J2543" s="272"/>
      <c r="K2543" s="260"/>
      <c r="L2543" s="261"/>
      <c r="M2543" s="262" t="str">
        <f t="shared" si="1"/>
        <v/>
      </c>
      <c r="N2543" s="263" t="str">
        <f t="shared" si="2"/>
        <v/>
      </c>
      <c r="O2543" s="264" t="str">
        <f t="shared" si="3"/>
        <v/>
      </c>
      <c r="P2543" s="265" t="str">
        <f>IFERROR(__xludf.DUMMYFUNCTION("IF(ISBLANK(A2543),"""",IFERROR(IF(H2543=""Sell"",VLOOKUP(9^99,FILTER({ROW(P$2:P2542),P$2:P2542},D$2:D2542=D2543),2),(VLOOKUP(9^99,FILTER({ROW(P$2:P2542),P$2:P2542},D$2:D2542=D2543),2)*VLOOKUP(9^99,FILTER({ROW(O$2:O2542),O$2:O2542},D$2:D2542=D2543),2)-N254"&amp;"3)/O2543),J2543))"),"")</f>
        <v/>
      </c>
      <c r="Q2543" s="264" t="str">
        <f>IFERROR(__xludf.DUMMYFUNCTION("IFERROR(IF(F2543=""Crypto"",B2543,(IF(ISBLANK(D2543),"""",IF(D2543=""Cash"",B2543,IF(GOOGLEFINANCE(D2543,""CURRENCY"")=""GBX"",""GBP"",GOOGLEFINANCE(D2543,""CURRENCY"")))))),B2543)"),"")</f>
        <v/>
      </c>
      <c r="R2543" s="263" t="str">
        <f>IFERROR(__xludf.DUMMYFUNCTION("IF(ISBLANK(A2543),"""",IFERROR(IF(OR(Q2543=""GPB"",Q2543=""ZAR""),IF(Q2543=Dashboard!$L$1,K2543,(K2543*GOOGLEFINANCE(""CURRENCY:""&amp;Q2543&amp;""""&amp;Dashboard!$L$1&amp;""""))/100),IF(Q2543=Dashboard!$L$1,K2543,K2543*GOOGLEFINANCE(""CURRENCY:""&amp;Q2543&amp;""""&amp;Dashboard!$"&amp;"L$1&amp;""""))),K2543))"),"")</f>
        <v/>
      </c>
      <c r="S2543" s="266" t="str">
        <f>IFERROR(__xludf.DUMMYFUNCTION("IF(ISBLANK(A2543),"""",IFERROR(IF(OR(Q2543=""GPB"",Q2543=""ZAR""),IF(Q2543=Dashboard!$L$1,M2543,(M2543*GOOGLEFINANCE(""CURRENCY:""&amp;Q2543&amp;""""&amp;Dashboard!$L$1&amp;""""))/100),IF(Q2543=Dashboard!$L$1,M2543,M2543*GOOGLEFINANCE(""CURRENCY:""&amp;Q2543&amp;""""&amp;Dashboard!$"&amp;"L$1&amp;""""))),M2543))"),"")</f>
        <v/>
      </c>
      <c r="T2543" s="264" t="str">
        <f t="shared" si="4"/>
        <v/>
      </c>
      <c r="U2543" s="264" t="str">
        <f t="shared" si="5"/>
        <v/>
      </c>
      <c r="V2543" s="264" t="str">
        <f t="shared" si="6"/>
        <v/>
      </c>
      <c r="W2543" s="267" t="str">
        <f t="shared" si="8"/>
        <v/>
      </c>
      <c r="X2543" s="264" t="str">
        <f t="shared" si="7"/>
        <v/>
      </c>
    </row>
    <row r="2544" ht="15.75" customHeight="1">
      <c r="A2544" s="258"/>
      <c r="B2544" s="258"/>
      <c r="C2544" s="269"/>
      <c r="D2544" s="258"/>
      <c r="E2544" s="258"/>
      <c r="F2544" s="258"/>
      <c r="G2544" s="258"/>
      <c r="H2544" s="271"/>
      <c r="I2544" s="258"/>
      <c r="J2544" s="272"/>
      <c r="K2544" s="260"/>
      <c r="L2544" s="261"/>
      <c r="M2544" s="262" t="str">
        <f t="shared" si="1"/>
        <v/>
      </c>
      <c r="N2544" s="263" t="str">
        <f t="shared" si="2"/>
        <v/>
      </c>
      <c r="O2544" s="264" t="str">
        <f t="shared" si="3"/>
        <v/>
      </c>
      <c r="P2544" s="265" t="str">
        <f>IFERROR(__xludf.DUMMYFUNCTION("IF(ISBLANK(A2544),"""",IFERROR(IF(H2544=""Sell"",VLOOKUP(9^99,FILTER({ROW(P$2:P2543),P$2:P2543},D$2:D2543=D2544),2),(VLOOKUP(9^99,FILTER({ROW(P$2:P2543),P$2:P2543},D$2:D2543=D2544),2)*VLOOKUP(9^99,FILTER({ROW(O$2:O2543),O$2:O2543},D$2:D2543=D2544),2)-N254"&amp;"4)/O2544),J2544))"),"")</f>
        <v/>
      </c>
      <c r="Q2544" s="264" t="str">
        <f>IFERROR(__xludf.DUMMYFUNCTION("IFERROR(IF(F2544=""Crypto"",B2544,(IF(ISBLANK(D2544),"""",IF(D2544=""Cash"",B2544,IF(GOOGLEFINANCE(D2544,""CURRENCY"")=""GBX"",""GBP"",GOOGLEFINANCE(D2544,""CURRENCY"")))))),B2544)"),"")</f>
        <v/>
      </c>
      <c r="R2544" s="263" t="str">
        <f>IFERROR(__xludf.DUMMYFUNCTION("IF(ISBLANK(A2544),"""",IFERROR(IF(OR(Q2544=""GPB"",Q2544=""ZAR""),IF(Q2544=Dashboard!$L$1,K2544,(K2544*GOOGLEFINANCE(""CURRENCY:""&amp;Q2544&amp;""""&amp;Dashboard!$L$1&amp;""""))/100),IF(Q2544=Dashboard!$L$1,K2544,K2544*GOOGLEFINANCE(""CURRENCY:""&amp;Q2544&amp;""""&amp;Dashboard!$"&amp;"L$1&amp;""""))),K2544))"),"")</f>
        <v/>
      </c>
      <c r="S2544" s="266" t="str">
        <f>IFERROR(__xludf.DUMMYFUNCTION("IF(ISBLANK(A2544),"""",IFERROR(IF(OR(Q2544=""GPB"",Q2544=""ZAR""),IF(Q2544=Dashboard!$L$1,M2544,(M2544*GOOGLEFINANCE(""CURRENCY:""&amp;Q2544&amp;""""&amp;Dashboard!$L$1&amp;""""))/100),IF(Q2544=Dashboard!$L$1,M2544,M2544*GOOGLEFINANCE(""CURRENCY:""&amp;Q2544&amp;""""&amp;Dashboard!$"&amp;"L$1&amp;""""))),M2544))"),"")</f>
        <v/>
      </c>
      <c r="T2544" s="264" t="str">
        <f t="shared" si="4"/>
        <v/>
      </c>
      <c r="U2544" s="264" t="str">
        <f t="shared" si="5"/>
        <v/>
      </c>
      <c r="V2544" s="264" t="str">
        <f t="shared" si="6"/>
        <v/>
      </c>
      <c r="W2544" s="267" t="str">
        <f t="shared" si="8"/>
        <v/>
      </c>
      <c r="X2544" s="264" t="str">
        <f t="shared" si="7"/>
        <v/>
      </c>
    </row>
    <row r="2545" ht="15.75" customHeight="1">
      <c r="A2545" s="258"/>
      <c r="B2545" s="258"/>
      <c r="C2545" s="269"/>
      <c r="D2545" s="258"/>
      <c r="E2545" s="258"/>
      <c r="F2545" s="258"/>
      <c r="G2545" s="258"/>
      <c r="H2545" s="271"/>
      <c r="I2545" s="258"/>
      <c r="J2545" s="272"/>
      <c r="K2545" s="260"/>
      <c r="L2545" s="261"/>
      <c r="M2545" s="262" t="str">
        <f t="shared" si="1"/>
        <v/>
      </c>
      <c r="N2545" s="263" t="str">
        <f t="shared" si="2"/>
        <v/>
      </c>
      <c r="O2545" s="264" t="str">
        <f t="shared" si="3"/>
        <v/>
      </c>
      <c r="P2545" s="265" t="str">
        <f>IFERROR(__xludf.DUMMYFUNCTION("IF(ISBLANK(A2545),"""",IFERROR(IF(H2545=""Sell"",VLOOKUP(9^99,FILTER({ROW(P$2:P2544),P$2:P2544},D$2:D2544=D2545),2),(VLOOKUP(9^99,FILTER({ROW(P$2:P2544),P$2:P2544},D$2:D2544=D2545),2)*VLOOKUP(9^99,FILTER({ROW(O$2:O2544),O$2:O2544},D$2:D2544=D2545),2)-N254"&amp;"5)/O2545),J2545))"),"")</f>
        <v/>
      </c>
      <c r="Q2545" s="264" t="str">
        <f>IFERROR(__xludf.DUMMYFUNCTION("IFERROR(IF(F2545=""Crypto"",B2545,(IF(ISBLANK(D2545),"""",IF(D2545=""Cash"",B2545,IF(GOOGLEFINANCE(D2545,""CURRENCY"")=""GBX"",""GBP"",GOOGLEFINANCE(D2545,""CURRENCY"")))))),B2545)"),"")</f>
        <v/>
      </c>
      <c r="R2545" s="263" t="str">
        <f>IFERROR(__xludf.DUMMYFUNCTION("IF(ISBLANK(A2545),"""",IFERROR(IF(OR(Q2545=""GPB"",Q2545=""ZAR""),IF(Q2545=Dashboard!$L$1,K2545,(K2545*GOOGLEFINANCE(""CURRENCY:""&amp;Q2545&amp;""""&amp;Dashboard!$L$1&amp;""""))/100),IF(Q2545=Dashboard!$L$1,K2545,K2545*GOOGLEFINANCE(""CURRENCY:""&amp;Q2545&amp;""""&amp;Dashboard!$"&amp;"L$1&amp;""""))),K2545))"),"")</f>
        <v/>
      </c>
      <c r="S2545" s="266" t="str">
        <f>IFERROR(__xludf.DUMMYFUNCTION("IF(ISBLANK(A2545),"""",IFERROR(IF(OR(Q2545=""GPB"",Q2545=""ZAR""),IF(Q2545=Dashboard!$L$1,M2545,(M2545*GOOGLEFINANCE(""CURRENCY:""&amp;Q2545&amp;""""&amp;Dashboard!$L$1&amp;""""))/100),IF(Q2545=Dashboard!$L$1,M2545,M2545*GOOGLEFINANCE(""CURRENCY:""&amp;Q2545&amp;""""&amp;Dashboard!$"&amp;"L$1&amp;""""))),M2545))"),"")</f>
        <v/>
      </c>
      <c r="T2545" s="264" t="str">
        <f t="shared" si="4"/>
        <v/>
      </c>
      <c r="U2545" s="264" t="str">
        <f t="shared" si="5"/>
        <v/>
      </c>
      <c r="V2545" s="264" t="str">
        <f t="shared" si="6"/>
        <v/>
      </c>
      <c r="W2545" s="267" t="str">
        <f t="shared" si="8"/>
        <v/>
      </c>
      <c r="X2545" s="264" t="str">
        <f t="shared" si="7"/>
        <v/>
      </c>
    </row>
    <row r="2546" ht="15.75" customHeight="1">
      <c r="A2546" s="258"/>
      <c r="B2546" s="258"/>
      <c r="C2546" s="269"/>
      <c r="D2546" s="258"/>
      <c r="E2546" s="258"/>
      <c r="F2546" s="258"/>
      <c r="G2546" s="258"/>
      <c r="H2546" s="271"/>
      <c r="I2546" s="258"/>
      <c r="J2546" s="272"/>
      <c r="K2546" s="260"/>
      <c r="L2546" s="261"/>
      <c r="M2546" s="262" t="str">
        <f t="shared" si="1"/>
        <v/>
      </c>
      <c r="N2546" s="263" t="str">
        <f t="shared" si="2"/>
        <v/>
      </c>
      <c r="O2546" s="264" t="str">
        <f t="shared" si="3"/>
        <v/>
      </c>
      <c r="P2546" s="265" t="str">
        <f>IFERROR(__xludf.DUMMYFUNCTION("IF(ISBLANK(A2546),"""",IFERROR(IF(H2546=""Sell"",VLOOKUP(9^99,FILTER({ROW(P$2:P2545),P$2:P2545},D$2:D2545=D2546),2),(VLOOKUP(9^99,FILTER({ROW(P$2:P2545),P$2:P2545},D$2:D2545=D2546),2)*VLOOKUP(9^99,FILTER({ROW(O$2:O2545),O$2:O2545},D$2:D2545=D2546),2)-N254"&amp;"6)/O2546),J2546))"),"")</f>
        <v/>
      </c>
      <c r="Q2546" s="264" t="str">
        <f>IFERROR(__xludf.DUMMYFUNCTION("IFERROR(IF(F2546=""Crypto"",B2546,(IF(ISBLANK(D2546),"""",IF(D2546=""Cash"",B2546,IF(GOOGLEFINANCE(D2546,""CURRENCY"")=""GBX"",""GBP"",GOOGLEFINANCE(D2546,""CURRENCY"")))))),B2546)"),"")</f>
        <v/>
      </c>
      <c r="R2546" s="263" t="str">
        <f>IFERROR(__xludf.DUMMYFUNCTION("IF(ISBLANK(A2546),"""",IFERROR(IF(OR(Q2546=""GPB"",Q2546=""ZAR""),IF(Q2546=Dashboard!$L$1,K2546,(K2546*GOOGLEFINANCE(""CURRENCY:""&amp;Q2546&amp;""""&amp;Dashboard!$L$1&amp;""""))/100),IF(Q2546=Dashboard!$L$1,K2546,K2546*GOOGLEFINANCE(""CURRENCY:""&amp;Q2546&amp;""""&amp;Dashboard!$"&amp;"L$1&amp;""""))),K2546))"),"")</f>
        <v/>
      </c>
      <c r="S2546" s="266" t="str">
        <f>IFERROR(__xludf.DUMMYFUNCTION("IF(ISBLANK(A2546),"""",IFERROR(IF(OR(Q2546=""GPB"",Q2546=""ZAR""),IF(Q2546=Dashboard!$L$1,M2546,(M2546*GOOGLEFINANCE(""CURRENCY:""&amp;Q2546&amp;""""&amp;Dashboard!$L$1&amp;""""))/100),IF(Q2546=Dashboard!$L$1,M2546,M2546*GOOGLEFINANCE(""CURRENCY:""&amp;Q2546&amp;""""&amp;Dashboard!$"&amp;"L$1&amp;""""))),M2546))"),"")</f>
        <v/>
      </c>
      <c r="T2546" s="264" t="str">
        <f t="shared" si="4"/>
        <v/>
      </c>
      <c r="U2546" s="264" t="str">
        <f t="shared" si="5"/>
        <v/>
      </c>
      <c r="V2546" s="264" t="str">
        <f t="shared" si="6"/>
        <v/>
      </c>
      <c r="W2546" s="267" t="str">
        <f t="shared" si="8"/>
        <v/>
      </c>
      <c r="X2546" s="264" t="str">
        <f t="shared" si="7"/>
        <v/>
      </c>
    </row>
    <row r="2547" ht="15.75" customHeight="1">
      <c r="A2547" s="258"/>
      <c r="B2547" s="258"/>
      <c r="C2547" s="269"/>
      <c r="D2547" s="258"/>
      <c r="E2547" s="258"/>
      <c r="F2547" s="258"/>
      <c r="G2547" s="258"/>
      <c r="H2547" s="271"/>
      <c r="I2547" s="258"/>
      <c r="J2547" s="272"/>
      <c r="K2547" s="260"/>
      <c r="L2547" s="261"/>
      <c r="M2547" s="262" t="str">
        <f t="shared" si="1"/>
        <v/>
      </c>
      <c r="N2547" s="263" t="str">
        <f t="shared" si="2"/>
        <v/>
      </c>
      <c r="O2547" s="264" t="str">
        <f t="shared" si="3"/>
        <v/>
      </c>
      <c r="P2547" s="265" t="str">
        <f>IFERROR(__xludf.DUMMYFUNCTION("IF(ISBLANK(A2547),"""",IFERROR(IF(H2547=""Sell"",VLOOKUP(9^99,FILTER({ROW(P$2:P2546),P$2:P2546},D$2:D2546=D2547),2),(VLOOKUP(9^99,FILTER({ROW(P$2:P2546),P$2:P2546},D$2:D2546=D2547),2)*VLOOKUP(9^99,FILTER({ROW(O$2:O2546),O$2:O2546},D$2:D2546=D2547),2)-N254"&amp;"7)/O2547),J2547))"),"")</f>
        <v/>
      </c>
      <c r="Q2547" s="264" t="str">
        <f>IFERROR(__xludf.DUMMYFUNCTION("IFERROR(IF(F2547=""Crypto"",B2547,(IF(ISBLANK(D2547),"""",IF(D2547=""Cash"",B2547,IF(GOOGLEFINANCE(D2547,""CURRENCY"")=""GBX"",""GBP"",GOOGLEFINANCE(D2547,""CURRENCY"")))))),B2547)"),"")</f>
        <v/>
      </c>
      <c r="R2547" s="263" t="str">
        <f>IFERROR(__xludf.DUMMYFUNCTION("IF(ISBLANK(A2547),"""",IFERROR(IF(OR(Q2547=""GPB"",Q2547=""ZAR""),IF(Q2547=Dashboard!$L$1,K2547,(K2547*GOOGLEFINANCE(""CURRENCY:""&amp;Q2547&amp;""""&amp;Dashboard!$L$1&amp;""""))/100),IF(Q2547=Dashboard!$L$1,K2547,K2547*GOOGLEFINANCE(""CURRENCY:""&amp;Q2547&amp;""""&amp;Dashboard!$"&amp;"L$1&amp;""""))),K2547))"),"")</f>
        <v/>
      </c>
      <c r="S2547" s="266" t="str">
        <f>IFERROR(__xludf.DUMMYFUNCTION("IF(ISBLANK(A2547),"""",IFERROR(IF(OR(Q2547=""GPB"",Q2547=""ZAR""),IF(Q2547=Dashboard!$L$1,M2547,(M2547*GOOGLEFINANCE(""CURRENCY:""&amp;Q2547&amp;""""&amp;Dashboard!$L$1&amp;""""))/100),IF(Q2547=Dashboard!$L$1,M2547,M2547*GOOGLEFINANCE(""CURRENCY:""&amp;Q2547&amp;""""&amp;Dashboard!$"&amp;"L$1&amp;""""))),M2547))"),"")</f>
        <v/>
      </c>
      <c r="T2547" s="264" t="str">
        <f t="shared" si="4"/>
        <v/>
      </c>
      <c r="U2547" s="264" t="str">
        <f t="shared" si="5"/>
        <v/>
      </c>
      <c r="V2547" s="264" t="str">
        <f t="shared" si="6"/>
        <v/>
      </c>
      <c r="W2547" s="267" t="str">
        <f t="shared" si="8"/>
        <v/>
      </c>
      <c r="X2547" s="264" t="str">
        <f t="shared" si="7"/>
        <v/>
      </c>
    </row>
    <row r="2548" ht="15.75" customHeight="1">
      <c r="A2548" s="258"/>
      <c r="B2548" s="258"/>
      <c r="C2548" s="269"/>
      <c r="D2548" s="258"/>
      <c r="E2548" s="258"/>
      <c r="F2548" s="258"/>
      <c r="G2548" s="258"/>
      <c r="H2548" s="271"/>
      <c r="I2548" s="258"/>
      <c r="J2548" s="272"/>
      <c r="K2548" s="260"/>
      <c r="L2548" s="261"/>
      <c r="M2548" s="262" t="str">
        <f t="shared" si="1"/>
        <v/>
      </c>
      <c r="N2548" s="263" t="str">
        <f t="shared" si="2"/>
        <v/>
      </c>
      <c r="O2548" s="264" t="str">
        <f t="shared" si="3"/>
        <v/>
      </c>
      <c r="P2548" s="265" t="str">
        <f>IFERROR(__xludf.DUMMYFUNCTION("IF(ISBLANK(A2548),"""",IFERROR(IF(H2548=""Sell"",VLOOKUP(9^99,FILTER({ROW(P$2:P2547),P$2:P2547},D$2:D2547=D2548),2),(VLOOKUP(9^99,FILTER({ROW(P$2:P2547),P$2:P2547},D$2:D2547=D2548),2)*VLOOKUP(9^99,FILTER({ROW(O$2:O2547),O$2:O2547},D$2:D2547=D2548),2)-N254"&amp;"8)/O2548),J2548))"),"")</f>
        <v/>
      </c>
      <c r="Q2548" s="264" t="str">
        <f>IFERROR(__xludf.DUMMYFUNCTION("IFERROR(IF(F2548=""Crypto"",B2548,(IF(ISBLANK(D2548),"""",IF(D2548=""Cash"",B2548,IF(GOOGLEFINANCE(D2548,""CURRENCY"")=""GBX"",""GBP"",GOOGLEFINANCE(D2548,""CURRENCY"")))))),B2548)"),"")</f>
        <v/>
      </c>
      <c r="R2548" s="263" t="str">
        <f>IFERROR(__xludf.DUMMYFUNCTION("IF(ISBLANK(A2548),"""",IFERROR(IF(OR(Q2548=""GPB"",Q2548=""ZAR""),IF(Q2548=Dashboard!$L$1,K2548,(K2548*GOOGLEFINANCE(""CURRENCY:""&amp;Q2548&amp;""""&amp;Dashboard!$L$1&amp;""""))/100),IF(Q2548=Dashboard!$L$1,K2548,K2548*GOOGLEFINANCE(""CURRENCY:""&amp;Q2548&amp;""""&amp;Dashboard!$"&amp;"L$1&amp;""""))),K2548))"),"")</f>
        <v/>
      </c>
      <c r="S2548" s="266" t="str">
        <f>IFERROR(__xludf.DUMMYFUNCTION("IF(ISBLANK(A2548),"""",IFERROR(IF(OR(Q2548=""GPB"",Q2548=""ZAR""),IF(Q2548=Dashboard!$L$1,M2548,(M2548*GOOGLEFINANCE(""CURRENCY:""&amp;Q2548&amp;""""&amp;Dashboard!$L$1&amp;""""))/100),IF(Q2548=Dashboard!$L$1,M2548,M2548*GOOGLEFINANCE(""CURRENCY:""&amp;Q2548&amp;""""&amp;Dashboard!$"&amp;"L$1&amp;""""))),M2548))"),"")</f>
        <v/>
      </c>
      <c r="T2548" s="264" t="str">
        <f t="shared" si="4"/>
        <v/>
      </c>
      <c r="U2548" s="264" t="str">
        <f t="shared" si="5"/>
        <v/>
      </c>
      <c r="V2548" s="264" t="str">
        <f t="shared" si="6"/>
        <v/>
      </c>
      <c r="W2548" s="267" t="str">
        <f t="shared" si="8"/>
        <v/>
      </c>
      <c r="X2548" s="264" t="str">
        <f t="shared" si="7"/>
        <v/>
      </c>
    </row>
    <row r="2549" ht="15.75" customHeight="1">
      <c r="A2549" s="258"/>
      <c r="B2549" s="258"/>
      <c r="C2549" s="269"/>
      <c r="D2549" s="258"/>
      <c r="E2549" s="258"/>
      <c r="F2549" s="258"/>
      <c r="G2549" s="258"/>
      <c r="H2549" s="271"/>
      <c r="I2549" s="258"/>
      <c r="J2549" s="272"/>
      <c r="K2549" s="260"/>
      <c r="L2549" s="261"/>
      <c r="M2549" s="262" t="str">
        <f t="shared" si="1"/>
        <v/>
      </c>
      <c r="N2549" s="263" t="str">
        <f t="shared" si="2"/>
        <v/>
      </c>
      <c r="O2549" s="264" t="str">
        <f t="shared" si="3"/>
        <v/>
      </c>
      <c r="P2549" s="265" t="str">
        <f>IFERROR(__xludf.DUMMYFUNCTION("IF(ISBLANK(A2549),"""",IFERROR(IF(H2549=""Sell"",VLOOKUP(9^99,FILTER({ROW(P$2:P2548),P$2:P2548},D$2:D2548=D2549),2),(VLOOKUP(9^99,FILTER({ROW(P$2:P2548),P$2:P2548},D$2:D2548=D2549),2)*VLOOKUP(9^99,FILTER({ROW(O$2:O2548),O$2:O2548},D$2:D2548=D2549),2)-N254"&amp;"9)/O2549),J2549))"),"")</f>
        <v/>
      </c>
      <c r="Q2549" s="264" t="str">
        <f>IFERROR(__xludf.DUMMYFUNCTION("IFERROR(IF(F2549=""Crypto"",B2549,(IF(ISBLANK(D2549),"""",IF(D2549=""Cash"",B2549,IF(GOOGLEFINANCE(D2549,""CURRENCY"")=""GBX"",""GBP"",GOOGLEFINANCE(D2549,""CURRENCY"")))))),B2549)"),"")</f>
        <v/>
      </c>
      <c r="R2549" s="263" t="str">
        <f>IFERROR(__xludf.DUMMYFUNCTION("IF(ISBLANK(A2549),"""",IFERROR(IF(OR(Q2549=""GPB"",Q2549=""ZAR""),IF(Q2549=Dashboard!$L$1,K2549,(K2549*GOOGLEFINANCE(""CURRENCY:""&amp;Q2549&amp;""""&amp;Dashboard!$L$1&amp;""""))/100),IF(Q2549=Dashboard!$L$1,K2549,K2549*GOOGLEFINANCE(""CURRENCY:""&amp;Q2549&amp;""""&amp;Dashboard!$"&amp;"L$1&amp;""""))),K2549))"),"")</f>
        <v/>
      </c>
      <c r="S2549" s="266" t="str">
        <f>IFERROR(__xludf.DUMMYFUNCTION("IF(ISBLANK(A2549),"""",IFERROR(IF(OR(Q2549=""GPB"",Q2549=""ZAR""),IF(Q2549=Dashboard!$L$1,M2549,(M2549*GOOGLEFINANCE(""CURRENCY:""&amp;Q2549&amp;""""&amp;Dashboard!$L$1&amp;""""))/100),IF(Q2549=Dashboard!$L$1,M2549,M2549*GOOGLEFINANCE(""CURRENCY:""&amp;Q2549&amp;""""&amp;Dashboard!$"&amp;"L$1&amp;""""))),M2549))"),"")</f>
        <v/>
      </c>
      <c r="T2549" s="264" t="str">
        <f t="shared" si="4"/>
        <v/>
      </c>
      <c r="U2549" s="264" t="str">
        <f t="shared" si="5"/>
        <v/>
      </c>
      <c r="V2549" s="264" t="str">
        <f t="shared" si="6"/>
        <v/>
      </c>
      <c r="W2549" s="267" t="str">
        <f t="shared" si="8"/>
        <v/>
      </c>
      <c r="X2549" s="264" t="str">
        <f t="shared" si="7"/>
        <v/>
      </c>
    </row>
    <row r="2550" ht="15.75" customHeight="1">
      <c r="A2550" s="258"/>
      <c r="B2550" s="258"/>
      <c r="C2550" s="269"/>
      <c r="D2550" s="258"/>
      <c r="E2550" s="258"/>
      <c r="F2550" s="258"/>
      <c r="G2550" s="258"/>
      <c r="H2550" s="271"/>
      <c r="I2550" s="258"/>
      <c r="J2550" s="272"/>
      <c r="K2550" s="260"/>
      <c r="L2550" s="261"/>
      <c r="M2550" s="262" t="str">
        <f t="shared" si="1"/>
        <v/>
      </c>
      <c r="N2550" s="263" t="str">
        <f t="shared" si="2"/>
        <v/>
      </c>
      <c r="O2550" s="264" t="str">
        <f t="shared" si="3"/>
        <v/>
      </c>
      <c r="P2550" s="265" t="str">
        <f>IFERROR(__xludf.DUMMYFUNCTION("IF(ISBLANK(A2550),"""",IFERROR(IF(H2550=""Sell"",VLOOKUP(9^99,FILTER({ROW(P$2:P2549),P$2:P2549},D$2:D2549=D2550),2),(VLOOKUP(9^99,FILTER({ROW(P$2:P2549),P$2:P2549},D$2:D2549=D2550),2)*VLOOKUP(9^99,FILTER({ROW(O$2:O2549),O$2:O2549},D$2:D2549=D2550),2)-N255"&amp;"0)/O2550),J2550))"),"")</f>
        <v/>
      </c>
      <c r="Q2550" s="264" t="str">
        <f>IFERROR(__xludf.DUMMYFUNCTION("IFERROR(IF(F2550=""Crypto"",B2550,(IF(ISBLANK(D2550),"""",IF(D2550=""Cash"",B2550,IF(GOOGLEFINANCE(D2550,""CURRENCY"")=""GBX"",""GBP"",GOOGLEFINANCE(D2550,""CURRENCY"")))))),B2550)"),"")</f>
        <v/>
      </c>
      <c r="R2550" s="263" t="str">
        <f>IFERROR(__xludf.DUMMYFUNCTION("IF(ISBLANK(A2550),"""",IFERROR(IF(OR(Q2550=""GPB"",Q2550=""ZAR""),IF(Q2550=Dashboard!$L$1,K2550,(K2550*GOOGLEFINANCE(""CURRENCY:""&amp;Q2550&amp;""""&amp;Dashboard!$L$1&amp;""""))/100),IF(Q2550=Dashboard!$L$1,K2550,K2550*GOOGLEFINANCE(""CURRENCY:""&amp;Q2550&amp;""""&amp;Dashboard!$"&amp;"L$1&amp;""""))),K2550))"),"")</f>
        <v/>
      </c>
      <c r="S2550" s="266" t="str">
        <f>IFERROR(__xludf.DUMMYFUNCTION("IF(ISBLANK(A2550),"""",IFERROR(IF(OR(Q2550=""GPB"",Q2550=""ZAR""),IF(Q2550=Dashboard!$L$1,M2550,(M2550*GOOGLEFINANCE(""CURRENCY:""&amp;Q2550&amp;""""&amp;Dashboard!$L$1&amp;""""))/100),IF(Q2550=Dashboard!$L$1,M2550,M2550*GOOGLEFINANCE(""CURRENCY:""&amp;Q2550&amp;""""&amp;Dashboard!$"&amp;"L$1&amp;""""))),M2550))"),"")</f>
        <v/>
      </c>
      <c r="T2550" s="264" t="str">
        <f t="shared" si="4"/>
        <v/>
      </c>
      <c r="U2550" s="264" t="str">
        <f t="shared" si="5"/>
        <v/>
      </c>
      <c r="V2550" s="264" t="str">
        <f t="shared" si="6"/>
        <v/>
      </c>
      <c r="W2550" s="267" t="str">
        <f t="shared" si="8"/>
        <v/>
      </c>
      <c r="X2550" s="264" t="str">
        <f t="shared" si="7"/>
        <v/>
      </c>
    </row>
    <row r="2551" ht="15.75" customHeight="1">
      <c r="A2551" s="258"/>
      <c r="B2551" s="258"/>
      <c r="C2551" s="269"/>
      <c r="D2551" s="258"/>
      <c r="E2551" s="258"/>
      <c r="F2551" s="258"/>
      <c r="G2551" s="258"/>
      <c r="H2551" s="271"/>
      <c r="I2551" s="258"/>
      <c r="J2551" s="272"/>
      <c r="K2551" s="260"/>
      <c r="L2551" s="261"/>
      <c r="M2551" s="262" t="str">
        <f t="shared" si="1"/>
        <v/>
      </c>
      <c r="N2551" s="263" t="str">
        <f t="shared" si="2"/>
        <v/>
      </c>
      <c r="O2551" s="264" t="str">
        <f t="shared" si="3"/>
        <v/>
      </c>
      <c r="P2551" s="265" t="str">
        <f>IFERROR(__xludf.DUMMYFUNCTION("IF(ISBLANK(A2551),"""",IFERROR(IF(H2551=""Sell"",VLOOKUP(9^99,FILTER({ROW(P$2:P2550),P$2:P2550},D$2:D2550=D2551),2),(VLOOKUP(9^99,FILTER({ROW(P$2:P2550),P$2:P2550},D$2:D2550=D2551),2)*VLOOKUP(9^99,FILTER({ROW(O$2:O2550),O$2:O2550},D$2:D2550=D2551),2)-N255"&amp;"1)/O2551),J2551))"),"")</f>
        <v/>
      </c>
      <c r="Q2551" s="264" t="str">
        <f>IFERROR(__xludf.DUMMYFUNCTION("IFERROR(IF(F2551=""Crypto"",B2551,(IF(ISBLANK(D2551),"""",IF(D2551=""Cash"",B2551,IF(GOOGLEFINANCE(D2551,""CURRENCY"")=""GBX"",""GBP"",GOOGLEFINANCE(D2551,""CURRENCY"")))))),B2551)"),"")</f>
        <v/>
      </c>
      <c r="R2551" s="263" t="str">
        <f>IFERROR(__xludf.DUMMYFUNCTION("IF(ISBLANK(A2551),"""",IFERROR(IF(OR(Q2551=""GPB"",Q2551=""ZAR""),IF(Q2551=Dashboard!$L$1,K2551,(K2551*GOOGLEFINANCE(""CURRENCY:""&amp;Q2551&amp;""""&amp;Dashboard!$L$1&amp;""""))/100),IF(Q2551=Dashboard!$L$1,K2551,K2551*GOOGLEFINANCE(""CURRENCY:""&amp;Q2551&amp;""""&amp;Dashboard!$"&amp;"L$1&amp;""""))),K2551))"),"")</f>
        <v/>
      </c>
      <c r="S2551" s="266" t="str">
        <f>IFERROR(__xludf.DUMMYFUNCTION("IF(ISBLANK(A2551),"""",IFERROR(IF(OR(Q2551=""GPB"",Q2551=""ZAR""),IF(Q2551=Dashboard!$L$1,M2551,(M2551*GOOGLEFINANCE(""CURRENCY:""&amp;Q2551&amp;""""&amp;Dashboard!$L$1&amp;""""))/100),IF(Q2551=Dashboard!$L$1,M2551,M2551*GOOGLEFINANCE(""CURRENCY:""&amp;Q2551&amp;""""&amp;Dashboard!$"&amp;"L$1&amp;""""))),M2551))"),"")</f>
        <v/>
      </c>
      <c r="T2551" s="264" t="str">
        <f t="shared" si="4"/>
        <v/>
      </c>
      <c r="U2551" s="264" t="str">
        <f t="shared" si="5"/>
        <v/>
      </c>
      <c r="V2551" s="264" t="str">
        <f t="shared" si="6"/>
        <v/>
      </c>
      <c r="W2551" s="267" t="str">
        <f t="shared" si="8"/>
        <v/>
      </c>
      <c r="X2551" s="264" t="str">
        <f t="shared" si="7"/>
        <v/>
      </c>
    </row>
    <row r="2552" ht="15.75" customHeight="1">
      <c r="A2552" s="258"/>
      <c r="B2552" s="258"/>
      <c r="C2552" s="269"/>
      <c r="D2552" s="258"/>
      <c r="E2552" s="258"/>
      <c r="F2552" s="258"/>
      <c r="G2552" s="258"/>
      <c r="H2552" s="271"/>
      <c r="I2552" s="258"/>
      <c r="J2552" s="272"/>
      <c r="K2552" s="260"/>
      <c r="L2552" s="261"/>
      <c r="M2552" s="262" t="str">
        <f t="shared" si="1"/>
        <v/>
      </c>
      <c r="N2552" s="263" t="str">
        <f t="shared" si="2"/>
        <v/>
      </c>
      <c r="O2552" s="264" t="str">
        <f t="shared" si="3"/>
        <v/>
      </c>
      <c r="P2552" s="265" t="str">
        <f>IFERROR(__xludf.DUMMYFUNCTION("IF(ISBLANK(A2552),"""",IFERROR(IF(H2552=""Sell"",VLOOKUP(9^99,FILTER({ROW(P$2:P2551),P$2:P2551},D$2:D2551=D2552),2),(VLOOKUP(9^99,FILTER({ROW(P$2:P2551),P$2:P2551},D$2:D2551=D2552),2)*VLOOKUP(9^99,FILTER({ROW(O$2:O2551),O$2:O2551},D$2:D2551=D2552),2)-N255"&amp;"2)/O2552),J2552))"),"")</f>
        <v/>
      </c>
      <c r="Q2552" s="264" t="str">
        <f>IFERROR(__xludf.DUMMYFUNCTION("IFERROR(IF(F2552=""Crypto"",B2552,(IF(ISBLANK(D2552),"""",IF(D2552=""Cash"",B2552,IF(GOOGLEFINANCE(D2552,""CURRENCY"")=""GBX"",""GBP"",GOOGLEFINANCE(D2552,""CURRENCY"")))))),B2552)"),"")</f>
        <v/>
      </c>
      <c r="R2552" s="263" t="str">
        <f>IFERROR(__xludf.DUMMYFUNCTION("IF(ISBLANK(A2552),"""",IFERROR(IF(OR(Q2552=""GPB"",Q2552=""ZAR""),IF(Q2552=Dashboard!$L$1,K2552,(K2552*GOOGLEFINANCE(""CURRENCY:""&amp;Q2552&amp;""""&amp;Dashboard!$L$1&amp;""""))/100),IF(Q2552=Dashboard!$L$1,K2552,K2552*GOOGLEFINANCE(""CURRENCY:""&amp;Q2552&amp;""""&amp;Dashboard!$"&amp;"L$1&amp;""""))),K2552))"),"")</f>
        <v/>
      </c>
      <c r="S2552" s="266" t="str">
        <f>IFERROR(__xludf.DUMMYFUNCTION("IF(ISBLANK(A2552),"""",IFERROR(IF(OR(Q2552=""GPB"",Q2552=""ZAR""),IF(Q2552=Dashboard!$L$1,M2552,(M2552*GOOGLEFINANCE(""CURRENCY:""&amp;Q2552&amp;""""&amp;Dashboard!$L$1&amp;""""))/100),IF(Q2552=Dashboard!$L$1,M2552,M2552*GOOGLEFINANCE(""CURRENCY:""&amp;Q2552&amp;""""&amp;Dashboard!$"&amp;"L$1&amp;""""))),M2552))"),"")</f>
        <v/>
      </c>
      <c r="T2552" s="264" t="str">
        <f t="shared" si="4"/>
        <v/>
      </c>
      <c r="U2552" s="264" t="str">
        <f t="shared" si="5"/>
        <v/>
      </c>
      <c r="V2552" s="264" t="str">
        <f t="shared" si="6"/>
        <v/>
      </c>
      <c r="W2552" s="267" t="str">
        <f t="shared" si="8"/>
        <v/>
      </c>
      <c r="X2552" s="264" t="str">
        <f t="shared" si="7"/>
        <v/>
      </c>
    </row>
    <row r="2553" ht="15.75" customHeight="1">
      <c r="A2553" s="258"/>
      <c r="B2553" s="258"/>
      <c r="C2553" s="269"/>
      <c r="D2553" s="258"/>
      <c r="E2553" s="258"/>
      <c r="F2553" s="258"/>
      <c r="G2553" s="258"/>
      <c r="H2553" s="271"/>
      <c r="I2553" s="258"/>
      <c r="J2553" s="272"/>
      <c r="K2553" s="260"/>
      <c r="L2553" s="261"/>
      <c r="M2553" s="262" t="str">
        <f t="shared" si="1"/>
        <v/>
      </c>
      <c r="N2553" s="263" t="str">
        <f t="shared" si="2"/>
        <v/>
      </c>
      <c r="O2553" s="264" t="str">
        <f t="shared" si="3"/>
        <v/>
      </c>
      <c r="P2553" s="265" t="str">
        <f>IFERROR(__xludf.DUMMYFUNCTION("IF(ISBLANK(A2553),"""",IFERROR(IF(H2553=""Sell"",VLOOKUP(9^99,FILTER({ROW(P$2:P2552),P$2:P2552},D$2:D2552=D2553),2),(VLOOKUP(9^99,FILTER({ROW(P$2:P2552),P$2:P2552},D$2:D2552=D2553),2)*VLOOKUP(9^99,FILTER({ROW(O$2:O2552),O$2:O2552},D$2:D2552=D2553),2)-N255"&amp;"3)/O2553),J2553))"),"")</f>
        <v/>
      </c>
      <c r="Q2553" s="264" t="str">
        <f>IFERROR(__xludf.DUMMYFUNCTION("IFERROR(IF(F2553=""Crypto"",B2553,(IF(ISBLANK(D2553),"""",IF(D2553=""Cash"",B2553,IF(GOOGLEFINANCE(D2553,""CURRENCY"")=""GBX"",""GBP"",GOOGLEFINANCE(D2553,""CURRENCY"")))))),B2553)"),"")</f>
        <v/>
      </c>
      <c r="R2553" s="263" t="str">
        <f>IFERROR(__xludf.DUMMYFUNCTION("IF(ISBLANK(A2553),"""",IFERROR(IF(OR(Q2553=""GPB"",Q2553=""ZAR""),IF(Q2553=Dashboard!$L$1,K2553,(K2553*GOOGLEFINANCE(""CURRENCY:""&amp;Q2553&amp;""""&amp;Dashboard!$L$1&amp;""""))/100),IF(Q2553=Dashboard!$L$1,K2553,K2553*GOOGLEFINANCE(""CURRENCY:""&amp;Q2553&amp;""""&amp;Dashboard!$"&amp;"L$1&amp;""""))),K2553))"),"")</f>
        <v/>
      </c>
      <c r="S2553" s="266" t="str">
        <f>IFERROR(__xludf.DUMMYFUNCTION("IF(ISBLANK(A2553),"""",IFERROR(IF(OR(Q2553=""GPB"",Q2553=""ZAR""),IF(Q2553=Dashboard!$L$1,M2553,(M2553*GOOGLEFINANCE(""CURRENCY:""&amp;Q2553&amp;""""&amp;Dashboard!$L$1&amp;""""))/100),IF(Q2553=Dashboard!$L$1,M2553,M2553*GOOGLEFINANCE(""CURRENCY:""&amp;Q2553&amp;""""&amp;Dashboard!$"&amp;"L$1&amp;""""))),M2553))"),"")</f>
        <v/>
      </c>
      <c r="T2553" s="264" t="str">
        <f t="shared" si="4"/>
        <v/>
      </c>
      <c r="U2553" s="264" t="str">
        <f t="shared" si="5"/>
        <v/>
      </c>
      <c r="V2553" s="264" t="str">
        <f t="shared" si="6"/>
        <v/>
      </c>
      <c r="W2553" s="267" t="str">
        <f t="shared" si="8"/>
        <v/>
      </c>
      <c r="X2553" s="264" t="str">
        <f t="shared" si="7"/>
        <v/>
      </c>
    </row>
    <row r="2554" ht="15.75" customHeight="1">
      <c r="A2554" s="258"/>
      <c r="B2554" s="258"/>
      <c r="C2554" s="269"/>
      <c r="D2554" s="258"/>
      <c r="E2554" s="258"/>
      <c r="F2554" s="258"/>
      <c r="G2554" s="258"/>
      <c r="H2554" s="271"/>
      <c r="I2554" s="258"/>
      <c r="J2554" s="272"/>
      <c r="K2554" s="260"/>
      <c r="L2554" s="261"/>
      <c r="M2554" s="262" t="str">
        <f t="shared" si="1"/>
        <v/>
      </c>
      <c r="N2554" s="263" t="str">
        <f t="shared" si="2"/>
        <v/>
      </c>
      <c r="O2554" s="264" t="str">
        <f t="shared" si="3"/>
        <v/>
      </c>
      <c r="P2554" s="265" t="str">
        <f>IFERROR(__xludf.DUMMYFUNCTION("IF(ISBLANK(A2554),"""",IFERROR(IF(H2554=""Sell"",VLOOKUP(9^99,FILTER({ROW(P$2:P2553),P$2:P2553},D$2:D2553=D2554),2),(VLOOKUP(9^99,FILTER({ROW(P$2:P2553),P$2:P2553},D$2:D2553=D2554),2)*VLOOKUP(9^99,FILTER({ROW(O$2:O2553),O$2:O2553},D$2:D2553=D2554),2)-N255"&amp;"4)/O2554),J2554))"),"")</f>
        <v/>
      </c>
      <c r="Q2554" s="264" t="str">
        <f>IFERROR(__xludf.DUMMYFUNCTION("IFERROR(IF(F2554=""Crypto"",B2554,(IF(ISBLANK(D2554),"""",IF(D2554=""Cash"",B2554,IF(GOOGLEFINANCE(D2554,""CURRENCY"")=""GBX"",""GBP"",GOOGLEFINANCE(D2554,""CURRENCY"")))))),B2554)"),"")</f>
        <v/>
      </c>
      <c r="R2554" s="263" t="str">
        <f>IFERROR(__xludf.DUMMYFUNCTION("IF(ISBLANK(A2554),"""",IFERROR(IF(OR(Q2554=""GPB"",Q2554=""ZAR""),IF(Q2554=Dashboard!$L$1,K2554,(K2554*GOOGLEFINANCE(""CURRENCY:""&amp;Q2554&amp;""""&amp;Dashboard!$L$1&amp;""""))/100),IF(Q2554=Dashboard!$L$1,K2554,K2554*GOOGLEFINANCE(""CURRENCY:""&amp;Q2554&amp;""""&amp;Dashboard!$"&amp;"L$1&amp;""""))),K2554))"),"")</f>
        <v/>
      </c>
      <c r="S2554" s="266" t="str">
        <f>IFERROR(__xludf.DUMMYFUNCTION("IF(ISBLANK(A2554),"""",IFERROR(IF(OR(Q2554=""GPB"",Q2554=""ZAR""),IF(Q2554=Dashboard!$L$1,M2554,(M2554*GOOGLEFINANCE(""CURRENCY:""&amp;Q2554&amp;""""&amp;Dashboard!$L$1&amp;""""))/100),IF(Q2554=Dashboard!$L$1,M2554,M2554*GOOGLEFINANCE(""CURRENCY:""&amp;Q2554&amp;""""&amp;Dashboard!$"&amp;"L$1&amp;""""))),M2554))"),"")</f>
        <v/>
      </c>
      <c r="T2554" s="264" t="str">
        <f t="shared" si="4"/>
        <v/>
      </c>
      <c r="U2554" s="264" t="str">
        <f t="shared" si="5"/>
        <v/>
      </c>
      <c r="V2554" s="264" t="str">
        <f t="shared" si="6"/>
        <v/>
      </c>
      <c r="W2554" s="267" t="str">
        <f t="shared" si="8"/>
        <v/>
      </c>
      <c r="X2554" s="264" t="str">
        <f t="shared" si="7"/>
        <v/>
      </c>
    </row>
    <row r="2555" ht="15.75" customHeight="1">
      <c r="A2555" s="258"/>
      <c r="B2555" s="258"/>
      <c r="C2555" s="269"/>
      <c r="D2555" s="258"/>
      <c r="E2555" s="258"/>
      <c r="F2555" s="258"/>
      <c r="G2555" s="258"/>
      <c r="H2555" s="271"/>
      <c r="I2555" s="258"/>
      <c r="J2555" s="272"/>
      <c r="K2555" s="260"/>
      <c r="L2555" s="261"/>
      <c r="M2555" s="262" t="str">
        <f t="shared" si="1"/>
        <v/>
      </c>
      <c r="N2555" s="263" t="str">
        <f t="shared" si="2"/>
        <v/>
      </c>
      <c r="O2555" s="264" t="str">
        <f t="shared" si="3"/>
        <v/>
      </c>
      <c r="P2555" s="265" t="str">
        <f>IFERROR(__xludf.DUMMYFUNCTION("IF(ISBLANK(A2555),"""",IFERROR(IF(H2555=""Sell"",VLOOKUP(9^99,FILTER({ROW(P$2:P2554),P$2:P2554},D$2:D2554=D2555),2),(VLOOKUP(9^99,FILTER({ROW(P$2:P2554),P$2:P2554},D$2:D2554=D2555),2)*VLOOKUP(9^99,FILTER({ROW(O$2:O2554),O$2:O2554},D$2:D2554=D2555),2)-N255"&amp;"5)/O2555),J2555))"),"")</f>
        <v/>
      </c>
      <c r="Q2555" s="264" t="str">
        <f>IFERROR(__xludf.DUMMYFUNCTION("IFERROR(IF(F2555=""Crypto"",B2555,(IF(ISBLANK(D2555),"""",IF(D2555=""Cash"",B2555,IF(GOOGLEFINANCE(D2555,""CURRENCY"")=""GBX"",""GBP"",GOOGLEFINANCE(D2555,""CURRENCY"")))))),B2555)"),"")</f>
        <v/>
      </c>
      <c r="R2555" s="263" t="str">
        <f>IFERROR(__xludf.DUMMYFUNCTION("IF(ISBLANK(A2555),"""",IFERROR(IF(OR(Q2555=""GPB"",Q2555=""ZAR""),IF(Q2555=Dashboard!$L$1,K2555,(K2555*GOOGLEFINANCE(""CURRENCY:""&amp;Q2555&amp;""""&amp;Dashboard!$L$1&amp;""""))/100),IF(Q2555=Dashboard!$L$1,K2555,K2555*GOOGLEFINANCE(""CURRENCY:""&amp;Q2555&amp;""""&amp;Dashboard!$"&amp;"L$1&amp;""""))),K2555))"),"")</f>
        <v/>
      </c>
      <c r="S2555" s="266" t="str">
        <f>IFERROR(__xludf.DUMMYFUNCTION("IF(ISBLANK(A2555),"""",IFERROR(IF(OR(Q2555=""GPB"",Q2555=""ZAR""),IF(Q2555=Dashboard!$L$1,M2555,(M2555*GOOGLEFINANCE(""CURRENCY:""&amp;Q2555&amp;""""&amp;Dashboard!$L$1&amp;""""))/100),IF(Q2555=Dashboard!$L$1,M2555,M2555*GOOGLEFINANCE(""CURRENCY:""&amp;Q2555&amp;""""&amp;Dashboard!$"&amp;"L$1&amp;""""))),M2555))"),"")</f>
        <v/>
      </c>
      <c r="T2555" s="264" t="str">
        <f t="shared" si="4"/>
        <v/>
      </c>
      <c r="U2555" s="264" t="str">
        <f t="shared" si="5"/>
        <v/>
      </c>
      <c r="V2555" s="264" t="str">
        <f t="shared" si="6"/>
        <v/>
      </c>
      <c r="W2555" s="267" t="str">
        <f t="shared" si="8"/>
        <v/>
      </c>
      <c r="X2555" s="264" t="str">
        <f t="shared" si="7"/>
        <v/>
      </c>
    </row>
    <row r="2556" ht="15.75" customHeight="1">
      <c r="A2556" s="258"/>
      <c r="B2556" s="258"/>
      <c r="C2556" s="269"/>
      <c r="D2556" s="258"/>
      <c r="E2556" s="258"/>
      <c r="F2556" s="258"/>
      <c r="G2556" s="258"/>
      <c r="H2556" s="271"/>
      <c r="I2556" s="258"/>
      <c r="J2556" s="272"/>
      <c r="K2556" s="260"/>
      <c r="L2556" s="261"/>
      <c r="M2556" s="262" t="str">
        <f t="shared" si="1"/>
        <v/>
      </c>
      <c r="N2556" s="263" t="str">
        <f t="shared" si="2"/>
        <v/>
      </c>
      <c r="O2556" s="264" t="str">
        <f t="shared" si="3"/>
        <v/>
      </c>
      <c r="P2556" s="265" t="str">
        <f>IFERROR(__xludf.DUMMYFUNCTION("IF(ISBLANK(A2556),"""",IFERROR(IF(H2556=""Sell"",VLOOKUP(9^99,FILTER({ROW(P$2:P2555),P$2:P2555},D$2:D2555=D2556),2),(VLOOKUP(9^99,FILTER({ROW(P$2:P2555),P$2:P2555},D$2:D2555=D2556),2)*VLOOKUP(9^99,FILTER({ROW(O$2:O2555),O$2:O2555},D$2:D2555=D2556),2)-N255"&amp;"6)/O2556),J2556))"),"")</f>
        <v/>
      </c>
      <c r="Q2556" s="264" t="str">
        <f>IFERROR(__xludf.DUMMYFUNCTION("IFERROR(IF(F2556=""Crypto"",B2556,(IF(ISBLANK(D2556),"""",IF(D2556=""Cash"",B2556,IF(GOOGLEFINANCE(D2556,""CURRENCY"")=""GBX"",""GBP"",GOOGLEFINANCE(D2556,""CURRENCY"")))))),B2556)"),"")</f>
        <v/>
      </c>
      <c r="R2556" s="263" t="str">
        <f>IFERROR(__xludf.DUMMYFUNCTION("IF(ISBLANK(A2556),"""",IFERROR(IF(OR(Q2556=""GPB"",Q2556=""ZAR""),IF(Q2556=Dashboard!$L$1,K2556,(K2556*GOOGLEFINANCE(""CURRENCY:""&amp;Q2556&amp;""""&amp;Dashboard!$L$1&amp;""""))/100),IF(Q2556=Dashboard!$L$1,K2556,K2556*GOOGLEFINANCE(""CURRENCY:""&amp;Q2556&amp;""""&amp;Dashboard!$"&amp;"L$1&amp;""""))),K2556))"),"")</f>
        <v/>
      </c>
      <c r="S2556" s="266" t="str">
        <f>IFERROR(__xludf.DUMMYFUNCTION("IF(ISBLANK(A2556),"""",IFERROR(IF(OR(Q2556=""GPB"",Q2556=""ZAR""),IF(Q2556=Dashboard!$L$1,M2556,(M2556*GOOGLEFINANCE(""CURRENCY:""&amp;Q2556&amp;""""&amp;Dashboard!$L$1&amp;""""))/100),IF(Q2556=Dashboard!$L$1,M2556,M2556*GOOGLEFINANCE(""CURRENCY:""&amp;Q2556&amp;""""&amp;Dashboard!$"&amp;"L$1&amp;""""))),M2556))"),"")</f>
        <v/>
      </c>
      <c r="T2556" s="264" t="str">
        <f t="shared" si="4"/>
        <v/>
      </c>
      <c r="U2556" s="264" t="str">
        <f t="shared" si="5"/>
        <v/>
      </c>
      <c r="V2556" s="264" t="str">
        <f t="shared" si="6"/>
        <v/>
      </c>
      <c r="W2556" s="267" t="str">
        <f t="shared" si="8"/>
        <v/>
      </c>
      <c r="X2556" s="264" t="str">
        <f t="shared" si="7"/>
        <v/>
      </c>
    </row>
    <row r="2557" ht="15.75" customHeight="1">
      <c r="A2557" s="258"/>
      <c r="B2557" s="258"/>
      <c r="C2557" s="269"/>
      <c r="D2557" s="258"/>
      <c r="E2557" s="258"/>
      <c r="F2557" s="258"/>
      <c r="G2557" s="258"/>
      <c r="H2557" s="271"/>
      <c r="I2557" s="258"/>
      <c r="J2557" s="272"/>
      <c r="K2557" s="260"/>
      <c r="L2557" s="261"/>
      <c r="M2557" s="262" t="str">
        <f t="shared" si="1"/>
        <v/>
      </c>
      <c r="N2557" s="263" t="str">
        <f t="shared" si="2"/>
        <v/>
      </c>
      <c r="O2557" s="264" t="str">
        <f t="shared" si="3"/>
        <v/>
      </c>
      <c r="P2557" s="265" t="str">
        <f>IFERROR(__xludf.DUMMYFUNCTION("IF(ISBLANK(A2557),"""",IFERROR(IF(H2557=""Sell"",VLOOKUP(9^99,FILTER({ROW(P$2:P2556),P$2:P2556},D$2:D2556=D2557),2),(VLOOKUP(9^99,FILTER({ROW(P$2:P2556),P$2:P2556},D$2:D2556=D2557),2)*VLOOKUP(9^99,FILTER({ROW(O$2:O2556),O$2:O2556},D$2:D2556=D2557),2)-N255"&amp;"7)/O2557),J2557))"),"")</f>
        <v/>
      </c>
      <c r="Q2557" s="264" t="str">
        <f>IFERROR(__xludf.DUMMYFUNCTION("IFERROR(IF(F2557=""Crypto"",B2557,(IF(ISBLANK(D2557),"""",IF(D2557=""Cash"",B2557,IF(GOOGLEFINANCE(D2557,""CURRENCY"")=""GBX"",""GBP"",GOOGLEFINANCE(D2557,""CURRENCY"")))))),B2557)"),"")</f>
        <v/>
      </c>
      <c r="R2557" s="263" t="str">
        <f>IFERROR(__xludf.DUMMYFUNCTION("IF(ISBLANK(A2557),"""",IFERROR(IF(OR(Q2557=""GPB"",Q2557=""ZAR""),IF(Q2557=Dashboard!$L$1,K2557,(K2557*GOOGLEFINANCE(""CURRENCY:""&amp;Q2557&amp;""""&amp;Dashboard!$L$1&amp;""""))/100),IF(Q2557=Dashboard!$L$1,K2557,K2557*GOOGLEFINANCE(""CURRENCY:""&amp;Q2557&amp;""""&amp;Dashboard!$"&amp;"L$1&amp;""""))),K2557))"),"")</f>
        <v/>
      </c>
      <c r="S2557" s="266" t="str">
        <f>IFERROR(__xludf.DUMMYFUNCTION("IF(ISBLANK(A2557),"""",IFERROR(IF(OR(Q2557=""GPB"",Q2557=""ZAR""),IF(Q2557=Dashboard!$L$1,M2557,(M2557*GOOGLEFINANCE(""CURRENCY:""&amp;Q2557&amp;""""&amp;Dashboard!$L$1&amp;""""))/100),IF(Q2557=Dashboard!$L$1,M2557,M2557*GOOGLEFINANCE(""CURRENCY:""&amp;Q2557&amp;""""&amp;Dashboard!$"&amp;"L$1&amp;""""))),M2557))"),"")</f>
        <v/>
      </c>
      <c r="T2557" s="264" t="str">
        <f t="shared" si="4"/>
        <v/>
      </c>
      <c r="U2557" s="264" t="str">
        <f t="shared" si="5"/>
        <v/>
      </c>
      <c r="V2557" s="264" t="str">
        <f t="shared" si="6"/>
        <v/>
      </c>
      <c r="W2557" s="267" t="str">
        <f t="shared" si="8"/>
        <v/>
      </c>
      <c r="X2557" s="264" t="str">
        <f t="shared" si="7"/>
        <v/>
      </c>
    </row>
    <row r="2558" ht="15.75" customHeight="1">
      <c r="A2558" s="258"/>
      <c r="B2558" s="258"/>
      <c r="C2558" s="269"/>
      <c r="D2558" s="258"/>
      <c r="E2558" s="258"/>
      <c r="F2558" s="258"/>
      <c r="G2558" s="258"/>
      <c r="H2558" s="271"/>
      <c r="I2558" s="258"/>
      <c r="J2558" s="272"/>
      <c r="K2558" s="260"/>
      <c r="L2558" s="261"/>
      <c r="M2558" s="262" t="str">
        <f t="shared" si="1"/>
        <v/>
      </c>
      <c r="N2558" s="263" t="str">
        <f t="shared" si="2"/>
        <v/>
      </c>
      <c r="O2558" s="264" t="str">
        <f t="shared" si="3"/>
        <v/>
      </c>
      <c r="P2558" s="265" t="str">
        <f>IFERROR(__xludf.DUMMYFUNCTION("IF(ISBLANK(A2558),"""",IFERROR(IF(H2558=""Sell"",VLOOKUP(9^99,FILTER({ROW(P$2:P2557),P$2:P2557},D$2:D2557=D2558),2),(VLOOKUP(9^99,FILTER({ROW(P$2:P2557),P$2:P2557},D$2:D2557=D2558),2)*VLOOKUP(9^99,FILTER({ROW(O$2:O2557),O$2:O2557},D$2:D2557=D2558),2)-N255"&amp;"8)/O2558),J2558))"),"")</f>
        <v/>
      </c>
      <c r="Q2558" s="264" t="str">
        <f>IFERROR(__xludf.DUMMYFUNCTION("IFERROR(IF(F2558=""Crypto"",B2558,(IF(ISBLANK(D2558),"""",IF(D2558=""Cash"",B2558,IF(GOOGLEFINANCE(D2558,""CURRENCY"")=""GBX"",""GBP"",GOOGLEFINANCE(D2558,""CURRENCY"")))))),B2558)"),"")</f>
        <v/>
      </c>
      <c r="R2558" s="263" t="str">
        <f>IFERROR(__xludf.DUMMYFUNCTION("IF(ISBLANK(A2558),"""",IFERROR(IF(OR(Q2558=""GPB"",Q2558=""ZAR""),IF(Q2558=Dashboard!$L$1,K2558,(K2558*GOOGLEFINANCE(""CURRENCY:""&amp;Q2558&amp;""""&amp;Dashboard!$L$1&amp;""""))/100),IF(Q2558=Dashboard!$L$1,K2558,K2558*GOOGLEFINANCE(""CURRENCY:""&amp;Q2558&amp;""""&amp;Dashboard!$"&amp;"L$1&amp;""""))),K2558))"),"")</f>
        <v/>
      </c>
      <c r="S2558" s="266" t="str">
        <f>IFERROR(__xludf.DUMMYFUNCTION("IF(ISBLANK(A2558),"""",IFERROR(IF(OR(Q2558=""GPB"",Q2558=""ZAR""),IF(Q2558=Dashboard!$L$1,M2558,(M2558*GOOGLEFINANCE(""CURRENCY:""&amp;Q2558&amp;""""&amp;Dashboard!$L$1&amp;""""))/100),IF(Q2558=Dashboard!$L$1,M2558,M2558*GOOGLEFINANCE(""CURRENCY:""&amp;Q2558&amp;""""&amp;Dashboard!$"&amp;"L$1&amp;""""))),M2558))"),"")</f>
        <v/>
      </c>
      <c r="T2558" s="264" t="str">
        <f t="shared" si="4"/>
        <v/>
      </c>
      <c r="U2558" s="264" t="str">
        <f t="shared" si="5"/>
        <v/>
      </c>
      <c r="V2558" s="264" t="str">
        <f t="shared" si="6"/>
        <v/>
      </c>
      <c r="W2558" s="267" t="str">
        <f t="shared" si="8"/>
        <v/>
      </c>
      <c r="X2558" s="264" t="str">
        <f t="shared" si="7"/>
        <v/>
      </c>
    </row>
    <row r="2559" ht="15.75" customHeight="1">
      <c r="A2559" s="258"/>
      <c r="B2559" s="258"/>
      <c r="C2559" s="269"/>
      <c r="D2559" s="258"/>
      <c r="E2559" s="258"/>
      <c r="F2559" s="258"/>
      <c r="G2559" s="258"/>
      <c r="H2559" s="271"/>
      <c r="I2559" s="258"/>
      <c r="J2559" s="272"/>
      <c r="K2559" s="260"/>
      <c r="L2559" s="261"/>
      <c r="M2559" s="262" t="str">
        <f t="shared" si="1"/>
        <v/>
      </c>
      <c r="N2559" s="263" t="str">
        <f t="shared" si="2"/>
        <v/>
      </c>
      <c r="O2559" s="264" t="str">
        <f t="shared" si="3"/>
        <v/>
      </c>
      <c r="P2559" s="265" t="str">
        <f>IFERROR(__xludf.DUMMYFUNCTION("IF(ISBLANK(A2559),"""",IFERROR(IF(H2559=""Sell"",VLOOKUP(9^99,FILTER({ROW(P$2:P2558),P$2:P2558},D$2:D2558=D2559),2),(VLOOKUP(9^99,FILTER({ROW(P$2:P2558),P$2:P2558},D$2:D2558=D2559),2)*VLOOKUP(9^99,FILTER({ROW(O$2:O2558),O$2:O2558},D$2:D2558=D2559),2)-N255"&amp;"9)/O2559),J2559))"),"")</f>
        <v/>
      </c>
      <c r="Q2559" s="264" t="str">
        <f>IFERROR(__xludf.DUMMYFUNCTION("IFERROR(IF(F2559=""Crypto"",B2559,(IF(ISBLANK(D2559),"""",IF(D2559=""Cash"",B2559,IF(GOOGLEFINANCE(D2559,""CURRENCY"")=""GBX"",""GBP"",GOOGLEFINANCE(D2559,""CURRENCY"")))))),B2559)"),"")</f>
        <v/>
      </c>
      <c r="R2559" s="263" t="str">
        <f>IFERROR(__xludf.DUMMYFUNCTION("IF(ISBLANK(A2559),"""",IFERROR(IF(OR(Q2559=""GPB"",Q2559=""ZAR""),IF(Q2559=Dashboard!$L$1,K2559,(K2559*GOOGLEFINANCE(""CURRENCY:""&amp;Q2559&amp;""""&amp;Dashboard!$L$1&amp;""""))/100),IF(Q2559=Dashboard!$L$1,K2559,K2559*GOOGLEFINANCE(""CURRENCY:""&amp;Q2559&amp;""""&amp;Dashboard!$"&amp;"L$1&amp;""""))),K2559))"),"")</f>
        <v/>
      </c>
      <c r="S2559" s="266" t="str">
        <f>IFERROR(__xludf.DUMMYFUNCTION("IF(ISBLANK(A2559),"""",IFERROR(IF(OR(Q2559=""GPB"",Q2559=""ZAR""),IF(Q2559=Dashboard!$L$1,M2559,(M2559*GOOGLEFINANCE(""CURRENCY:""&amp;Q2559&amp;""""&amp;Dashboard!$L$1&amp;""""))/100),IF(Q2559=Dashboard!$L$1,M2559,M2559*GOOGLEFINANCE(""CURRENCY:""&amp;Q2559&amp;""""&amp;Dashboard!$"&amp;"L$1&amp;""""))),M2559))"),"")</f>
        <v/>
      </c>
      <c r="T2559" s="264" t="str">
        <f t="shared" si="4"/>
        <v/>
      </c>
      <c r="U2559" s="264" t="str">
        <f t="shared" si="5"/>
        <v/>
      </c>
      <c r="V2559" s="264" t="str">
        <f t="shared" si="6"/>
        <v/>
      </c>
      <c r="W2559" s="267" t="str">
        <f t="shared" si="8"/>
        <v/>
      </c>
      <c r="X2559" s="264" t="str">
        <f t="shared" si="7"/>
        <v/>
      </c>
    </row>
    <row r="2560" ht="15.75" customHeight="1">
      <c r="A2560" s="258"/>
      <c r="B2560" s="258"/>
      <c r="C2560" s="269"/>
      <c r="D2560" s="258"/>
      <c r="E2560" s="258"/>
      <c r="F2560" s="258"/>
      <c r="G2560" s="258"/>
      <c r="H2560" s="271"/>
      <c r="I2560" s="258"/>
      <c r="J2560" s="272"/>
      <c r="K2560" s="260"/>
      <c r="L2560" s="261"/>
      <c r="M2560" s="262" t="str">
        <f t="shared" si="1"/>
        <v/>
      </c>
      <c r="N2560" s="263" t="str">
        <f t="shared" si="2"/>
        <v/>
      </c>
      <c r="O2560" s="264" t="str">
        <f t="shared" si="3"/>
        <v/>
      </c>
      <c r="P2560" s="265" t="str">
        <f>IFERROR(__xludf.DUMMYFUNCTION("IF(ISBLANK(A2560),"""",IFERROR(IF(H2560=""Sell"",VLOOKUP(9^99,FILTER({ROW(P$2:P2559),P$2:P2559},D$2:D2559=D2560),2),(VLOOKUP(9^99,FILTER({ROW(P$2:P2559),P$2:P2559},D$2:D2559=D2560),2)*VLOOKUP(9^99,FILTER({ROW(O$2:O2559),O$2:O2559},D$2:D2559=D2560),2)-N256"&amp;"0)/O2560),J2560))"),"")</f>
        <v/>
      </c>
      <c r="Q2560" s="264" t="str">
        <f>IFERROR(__xludf.DUMMYFUNCTION("IFERROR(IF(F2560=""Crypto"",B2560,(IF(ISBLANK(D2560),"""",IF(D2560=""Cash"",B2560,IF(GOOGLEFINANCE(D2560,""CURRENCY"")=""GBX"",""GBP"",GOOGLEFINANCE(D2560,""CURRENCY"")))))),B2560)"),"")</f>
        <v/>
      </c>
      <c r="R2560" s="263" t="str">
        <f>IFERROR(__xludf.DUMMYFUNCTION("IF(ISBLANK(A2560),"""",IFERROR(IF(OR(Q2560=""GPB"",Q2560=""ZAR""),IF(Q2560=Dashboard!$L$1,K2560,(K2560*GOOGLEFINANCE(""CURRENCY:""&amp;Q2560&amp;""""&amp;Dashboard!$L$1&amp;""""))/100),IF(Q2560=Dashboard!$L$1,K2560,K2560*GOOGLEFINANCE(""CURRENCY:""&amp;Q2560&amp;""""&amp;Dashboard!$"&amp;"L$1&amp;""""))),K2560))"),"")</f>
        <v/>
      </c>
      <c r="S2560" s="266" t="str">
        <f>IFERROR(__xludf.DUMMYFUNCTION("IF(ISBLANK(A2560),"""",IFERROR(IF(OR(Q2560=""GPB"",Q2560=""ZAR""),IF(Q2560=Dashboard!$L$1,M2560,(M2560*GOOGLEFINANCE(""CURRENCY:""&amp;Q2560&amp;""""&amp;Dashboard!$L$1&amp;""""))/100),IF(Q2560=Dashboard!$L$1,M2560,M2560*GOOGLEFINANCE(""CURRENCY:""&amp;Q2560&amp;""""&amp;Dashboard!$"&amp;"L$1&amp;""""))),M2560))"),"")</f>
        <v/>
      </c>
      <c r="T2560" s="264" t="str">
        <f t="shared" si="4"/>
        <v/>
      </c>
      <c r="U2560" s="264" t="str">
        <f t="shared" si="5"/>
        <v/>
      </c>
      <c r="V2560" s="264" t="str">
        <f t="shared" si="6"/>
        <v/>
      </c>
      <c r="W2560" s="267" t="str">
        <f t="shared" si="8"/>
        <v/>
      </c>
      <c r="X2560" s="264" t="str">
        <f t="shared" si="7"/>
        <v/>
      </c>
    </row>
    <row r="2561" ht="15.75" customHeight="1">
      <c r="A2561" s="258"/>
      <c r="B2561" s="258"/>
      <c r="C2561" s="269"/>
      <c r="D2561" s="258"/>
      <c r="E2561" s="258"/>
      <c r="F2561" s="258"/>
      <c r="G2561" s="258"/>
      <c r="H2561" s="271"/>
      <c r="I2561" s="258"/>
      <c r="J2561" s="272"/>
      <c r="K2561" s="260"/>
      <c r="L2561" s="261"/>
      <c r="M2561" s="262" t="str">
        <f t="shared" si="1"/>
        <v/>
      </c>
      <c r="N2561" s="263" t="str">
        <f t="shared" si="2"/>
        <v/>
      </c>
      <c r="O2561" s="264" t="str">
        <f t="shared" si="3"/>
        <v/>
      </c>
      <c r="P2561" s="265" t="str">
        <f>IFERROR(__xludf.DUMMYFUNCTION("IF(ISBLANK(A2561),"""",IFERROR(IF(H2561=""Sell"",VLOOKUP(9^99,FILTER({ROW(P$2:P2560),P$2:P2560},D$2:D2560=D2561),2),(VLOOKUP(9^99,FILTER({ROW(P$2:P2560),P$2:P2560},D$2:D2560=D2561),2)*VLOOKUP(9^99,FILTER({ROW(O$2:O2560),O$2:O2560},D$2:D2560=D2561),2)-N256"&amp;"1)/O2561),J2561))"),"")</f>
        <v/>
      </c>
      <c r="Q2561" s="264" t="str">
        <f>IFERROR(__xludf.DUMMYFUNCTION("IFERROR(IF(F2561=""Crypto"",B2561,(IF(ISBLANK(D2561),"""",IF(D2561=""Cash"",B2561,IF(GOOGLEFINANCE(D2561,""CURRENCY"")=""GBX"",""GBP"",GOOGLEFINANCE(D2561,""CURRENCY"")))))),B2561)"),"")</f>
        <v/>
      </c>
      <c r="R2561" s="263" t="str">
        <f>IFERROR(__xludf.DUMMYFUNCTION("IF(ISBLANK(A2561),"""",IFERROR(IF(OR(Q2561=""GPB"",Q2561=""ZAR""),IF(Q2561=Dashboard!$L$1,K2561,(K2561*GOOGLEFINANCE(""CURRENCY:""&amp;Q2561&amp;""""&amp;Dashboard!$L$1&amp;""""))/100),IF(Q2561=Dashboard!$L$1,K2561,K2561*GOOGLEFINANCE(""CURRENCY:""&amp;Q2561&amp;""""&amp;Dashboard!$"&amp;"L$1&amp;""""))),K2561))"),"")</f>
        <v/>
      </c>
      <c r="S2561" s="266" t="str">
        <f>IFERROR(__xludf.DUMMYFUNCTION("IF(ISBLANK(A2561),"""",IFERROR(IF(OR(Q2561=""GPB"",Q2561=""ZAR""),IF(Q2561=Dashboard!$L$1,M2561,(M2561*GOOGLEFINANCE(""CURRENCY:""&amp;Q2561&amp;""""&amp;Dashboard!$L$1&amp;""""))/100),IF(Q2561=Dashboard!$L$1,M2561,M2561*GOOGLEFINANCE(""CURRENCY:""&amp;Q2561&amp;""""&amp;Dashboard!$"&amp;"L$1&amp;""""))),M2561))"),"")</f>
        <v/>
      </c>
      <c r="T2561" s="264" t="str">
        <f t="shared" si="4"/>
        <v/>
      </c>
      <c r="U2561" s="264" t="str">
        <f t="shared" si="5"/>
        <v/>
      </c>
      <c r="V2561" s="264" t="str">
        <f t="shared" si="6"/>
        <v/>
      </c>
      <c r="W2561" s="267" t="str">
        <f t="shared" si="8"/>
        <v/>
      </c>
      <c r="X2561" s="264" t="str">
        <f t="shared" si="7"/>
        <v/>
      </c>
    </row>
    <row r="2562" ht="15.75" customHeight="1">
      <c r="A2562" s="258"/>
      <c r="B2562" s="258"/>
      <c r="C2562" s="269"/>
      <c r="D2562" s="258"/>
      <c r="E2562" s="258"/>
      <c r="F2562" s="258"/>
      <c r="G2562" s="258"/>
      <c r="H2562" s="271"/>
      <c r="I2562" s="258"/>
      <c r="J2562" s="272"/>
      <c r="K2562" s="260"/>
      <c r="L2562" s="261"/>
      <c r="M2562" s="262" t="str">
        <f t="shared" si="1"/>
        <v/>
      </c>
      <c r="N2562" s="263" t="str">
        <f t="shared" si="2"/>
        <v/>
      </c>
      <c r="O2562" s="264" t="str">
        <f t="shared" si="3"/>
        <v/>
      </c>
      <c r="P2562" s="265" t="str">
        <f>IFERROR(__xludf.DUMMYFUNCTION("IF(ISBLANK(A2562),"""",IFERROR(IF(H2562=""Sell"",VLOOKUP(9^99,FILTER({ROW(P$2:P2561),P$2:P2561},D$2:D2561=D2562),2),(VLOOKUP(9^99,FILTER({ROW(P$2:P2561),P$2:P2561},D$2:D2561=D2562),2)*VLOOKUP(9^99,FILTER({ROW(O$2:O2561),O$2:O2561},D$2:D2561=D2562),2)-N256"&amp;"2)/O2562),J2562))"),"")</f>
        <v/>
      </c>
      <c r="Q2562" s="264" t="str">
        <f>IFERROR(__xludf.DUMMYFUNCTION("IFERROR(IF(F2562=""Crypto"",B2562,(IF(ISBLANK(D2562),"""",IF(D2562=""Cash"",B2562,IF(GOOGLEFINANCE(D2562,""CURRENCY"")=""GBX"",""GBP"",GOOGLEFINANCE(D2562,""CURRENCY"")))))),B2562)"),"")</f>
        <v/>
      </c>
      <c r="R2562" s="263" t="str">
        <f>IFERROR(__xludf.DUMMYFUNCTION("IF(ISBLANK(A2562),"""",IFERROR(IF(OR(Q2562=""GPB"",Q2562=""ZAR""),IF(Q2562=Dashboard!$L$1,K2562,(K2562*GOOGLEFINANCE(""CURRENCY:""&amp;Q2562&amp;""""&amp;Dashboard!$L$1&amp;""""))/100),IF(Q2562=Dashboard!$L$1,K2562,K2562*GOOGLEFINANCE(""CURRENCY:""&amp;Q2562&amp;""""&amp;Dashboard!$"&amp;"L$1&amp;""""))),K2562))"),"")</f>
        <v/>
      </c>
      <c r="S2562" s="266" t="str">
        <f>IFERROR(__xludf.DUMMYFUNCTION("IF(ISBLANK(A2562),"""",IFERROR(IF(OR(Q2562=""GPB"",Q2562=""ZAR""),IF(Q2562=Dashboard!$L$1,M2562,(M2562*GOOGLEFINANCE(""CURRENCY:""&amp;Q2562&amp;""""&amp;Dashboard!$L$1&amp;""""))/100),IF(Q2562=Dashboard!$L$1,M2562,M2562*GOOGLEFINANCE(""CURRENCY:""&amp;Q2562&amp;""""&amp;Dashboard!$"&amp;"L$1&amp;""""))),M2562))"),"")</f>
        <v/>
      </c>
      <c r="T2562" s="264" t="str">
        <f t="shared" si="4"/>
        <v/>
      </c>
      <c r="U2562" s="264" t="str">
        <f t="shared" si="5"/>
        <v/>
      </c>
      <c r="V2562" s="264" t="str">
        <f t="shared" si="6"/>
        <v/>
      </c>
      <c r="W2562" s="267" t="str">
        <f t="shared" si="8"/>
        <v/>
      </c>
      <c r="X2562" s="264" t="str">
        <f t="shared" si="7"/>
        <v/>
      </c>
    </row>
    <row r="2563" ht="15.75" customHeight="1">
      <c r="A2563" s="258"/>
      <c r="B2563" s="258"/>
      <c r="C2563" s="269"/>
      <c r="D2563" s="258"/>
      <c r="E2563" s="258"/>
      <c r="F2563" s="258"/>
      <c r="G2563" s="258"/>
      <c r="H2563" s="271"/>
      <c r="I2563" s="258"/>
      <c r="J2563" s="272"/>
      <c r="K2563" s="260"/>
      <c r="L2563" s="261"/>
      <c r="M2563" s="262" t="str">
        <f t="shared" si="1"/>
        <v/>
      </c>
      <c r="N2563" s="263" t="str">
        <f t="shared" si="2"/>
        <v/>
      </c>
      <c r="O2563" s="264" t="str">
        <f t="shared" si="3"/>
        <v/>
      </c>
      <c r="P2563" s="265" t="str">
        <f>IFERROR(__xludf.DUMMYFUNCTION("IF(ISBLANK(A2563),"""",IFERROR(IF(H2563=""Sell"",VLOOKUP(9^99,FILTER({ROW(P$2:P2562),P$2:P2562},D$2:D2562=D2563),2),(VLOOKUP(9^99,FILTER({ROW(P$2:P2562),P$2:P2562},D$2:D2562=D2563),2)*VLOOKUP(9^99,FILTER({ROW(O$2:O2562),O$2:O2562},D$2:D2562=D2563),2)-N256"&amp;"3)/O2563),J2563))"),"")</f>
        <v/>
      </c>
      <c r="Q2563" s="264" t="str">
        <f>IFERROR(__xludf.DUMMYFUNCTION("IFERROR(IF(F2563=""Crypto"",B2563,(IF(ISBLANK(D2563),"""",IF(D2563=""Cash"",B2563,IF(GOOGLEFINANCE(D2563,""CURRENCY"")=""GBX"",""GBP"",GOOGLEFINANCE(D2563,""CURRENCY"")))))),B2563)"),"")</f>
        <v/>
      </c>
      <c r="R2563" s="263" t="str">
        <f>IFERROR(__xludf.DUMMYFUNCTION("IF(ISBLANK(A2563),"""",IFERROR(IF(OR(Q2563=""GPB"",Q2563=""ZAR""),IF(Q2563=Dashboard!$L$1,K2563,(K2563*GOOGLEFINANCE(""CURRENCY:""&amp;Q2563&amp;""""&amp;Dashboard!$L$1&amp;""""))/100),IF(Q2563=Dashboard!$L$1,K2563,K2563*GOOGLEFINANCE(""CURRENCY:""&amp;Q2563&amp;""""&amp;Dashboard!$"&amp;"L$1&amp;""""))),K2563))"),"")</f>
        <v/>
      </c>
      <c r="S2563" s="266" t="str">
        <f>IFERROR(__xludf.DUMMYFUNCTION("IF(ISBLANK(A2563),"""",IFERROR(IF(OR(Q2563=""GPB"",Q2563=""ZAR""),IF(Q2563=Dashboard!$L$1,M2563,(M2563*GOOGLEFINANCE(""CURRENCY:""&amp;Q2563&amp;""""&amp;Dashboard!$L$1&amp;""""))/100),IF(Q2563=Dashboard!$L$1,M2563,M2563*GOOGLEFINANCE(""CURRENCY:""&amp;Q2563&amp;""""&amp;Dashboard!$"&amp;"L$1&amp;""""))),M2563))"),"")</f>
        <v/>
      </c>
      <c r="T2563" s="264" t="str">
        <f t="shared" si="4"/>
        <v/>
      </c>
      <c r="U2563" s="264" t="str">
        <f t="shared" si="5"/>
        <v/>
      </c>
      <c r="V2563" s="264" t="str">
        <f t="shared" si="6"/>
        <v/>
      </c>
      <c r="W2563" s="267" t="str">
        <f t="shared" si="8"/>
        <v/>
      </c>
      <c r="X2563" s="264" t="str">
        <f t="shared" si="7"/>
        <v/>
      </c>
    </row>
    <row r="2564" ht="15.75" customHeight="1">
      <c r="A2564" s="258"/>
      <c r="B2564" s="258"/>
      <c r="C2564" s="269"/>
      <c r="D2564" s="258"/>
      <c r="E2564" s="258"/>
      <c r="F2564" s="258"/>
      <c r="G2564" s="258"/>
      <c r="H2564" s="271"/>
      <c r="I2564" s="258"/>
      <c r="J2564" s="272"/>
      <c r="K2564" s="260"/>
      <c r="L2564" s="261"/>
      <c r="M2564" s="262" t="str">
        <f t="shared" si="1"/>
        <v/>
      </c>
      <c r="N2564" s="263" t="str">
        <f t="shared" si="2"/>
        <v/>
      </c>
      <c r="O2564" s="264" t="str">
        <f t="shared" si="3"/>
        <v/>
      </c>
      <c r="P2564" s="265" t="str">
        <f>IFERROR(__xludf.DUMMYFUNCTION("IF(ISBLANK(A2564),"""",IFERROR(IF(H2564=""Sell"",VLOOKUP(9^99,FILTER({ROW(P$2:P2563),P$2:P2563},D$2:D2563=D2564),2),(VLOOKUP(9^99,FILTER({ROW(P$2:P2563),P$2:P2563},D$2:D2563=D2564),2)*VLOOKUP(9^99,FILTER({ROW(O$2:O2563),O$2:O2563},D$2:D2563=D2564),2)-N256"&amp;"4)/O2564),J2564))"),"")</f>
        <v/>
      </c>
      <c r="Q2564" s="264" t="str">
        <f>IFERROR(__xludf.DUMMYFUNCTION("IFERROR(IF(F2564=""Crypto"",B2564,(IF(ISBLANK(D2564),"""",IF(D2564=""Cash"",B2564,IF(GOOGLEFINANCE(D2564,""CURRENCY"")=""GBX"",""GBP"",GOOGLEFINANCE(D2564,""CURRENCY"")))))),B2564)"),"")</f>
        <v/>
      </c>
      <c r="R2564" s="263" t="str">
        <f>IFERROR(__xludf.DUMMYFUNCTION("IF(ISBLANK(A2564),"""",IFERROR(IF(OR(Q2564=""GPB"",Q2564=""ZAR""),IF(Q2564=Dashboard!$L$1,K2564,(K2564*GOOGLEFINANCE(""CURRENCY:""&amp;Q2564&amp;""""&amp;Dashboard!$L$1&amp;""""))/100),IF(Q2564=Dashboard!$L$1,K2564,K2564*GOOGLEFINANCE(""CURRENCY:""&amp;Q2564&amp;""""&amp;Dashboard!$"&amp;"L$1&amp;""""))),K2564))"),"")</f>
        <v/>
      </c>
      <c r="S2564" s="266" t="str">
        <f>IFERROR(__xludf.DUMMYFUNCTION("IF(ISBLANK(A2564),"""",IFERROR(IF(OR(Q2564=""GPB"",Q2564=""ZAR""),IF(Q2564=Dashboard!$L$1,M2564,(M2564*GOOGLEFINANCE(""CURRENCY:""&amp;Q2564&amp;""""&amp;Dashboard!$L$1&amp;""""))/100),IF(Q2564=Dashboard!$L$1,M2564,M2564*GOOGLEFINANCE(""CURRENCY:""&amp;Q2564&amp;""""&amp;Dashboard!$"&amp;"L$1&amp;""""))),M2564))"),"")</f>
        <v/>
      </c>
      <c r="T2564" s="264" t="str">
        <f t="shared" si="4"/>
        <v/>
      </c>
      <c r="U2564" s="264" t="str">
        <f t="shared" si="5"/>
        <v/>
      </c>
      <c r="V2564" s="264" t="str">
        <f t="shared" si="6"/>
        <v/>
      </c>
      <c r="W2564" s="267" t="str">
        <f t="shared" si="8"/>
        <v/>
      </c>
      <c r="X2564" s="264" t="str">
        <f t="shared" si="7"/>
        <v/>
      </c>
    </row>
    <row r="2565" ht="15.75" customHeight="1">
      <c r="A2565" s="258"/>
      <c r="B2565" s="258"/>
      <c r="C2565" s="269"/>
      <c r="D2565" s="258"/>
      <c r="E2565" s="258"/>
      <c r="F2565" s="258"/>
      <c r="G2565" s="258"/>
      <c r="H2565" s="271"/>
      <c r="I2565" s="258"/>
      <c r="J2565" s="272"/>
      <c r="K2565" s="260"/>
      <c r="L2565" s="261"/>
      <c r="M2565" s="262" t="str">
        <f t="shared" si="1"/>
        <v/>
      </c>
      <c r="N2565" s="263" t="str">
        <f t="shared" si="2"/>
        <v/>
      </c>
      <c r="O2565" s="264" t="str">
        <f t="shared" si="3"/>
        <v/>
      </c>
      <c r="P2565" s="265" t="str">
        <f>IFERROR(__xludf.DUMMYFUNCTION("IF(ISBLANK(A2565),"""",IFERROR(IF(H2565=""Sell"",VLOOKUP(9^99,FILTER({ROW(P$2:P2564),P$2:P2564},D$2:D2564=D2565),2),(VLOOKUP(9^99,FILTER({ROW(P$2:P2564),P$2:P2564},D$2:D2564=D2565),2)*VLOOKUP(9^99,FILTER({ROW(O$2:O2564),O$2:O2564},D$2:D2564=D2565),2)-N256"&amp;"5)/O2565),J2565))"),"")</f>
        <v/>
      </c>
      <c r="Q2565" s="264" t="str">
        <f>IFERROR(__xludf.DUMMYFUNCTION("IFERROR(IF(F2565=""Crypto"",B2565,(IF(ISBLANK(D2565),"""",IF(D2565=""Cash"",B2565,IF(GOOGLEFINANCE(D2565,""CURRENCY"")=""GBX"",""GBP"",GOOGLEFINANCE(D2565,""CURRENCY"")))))),B2565)"),"")</f>
        <v/>
      </c>
      <c r="R2565" s="263" t="str">
        <f>IFERROR(__xludf.DUMMYFUNCTION("IF(ISBLANK(A2565),"""",IFERROR(IF(OR(Q2565=""GPB"",Q2565=""ZAR""),IF(Q2565=Dashboard!$L$1,K2565,(K2565*GOOGLEFINANCE(""CURRENCY:""&amp;Q2565&amp;""""&amp;Dashboard!$L$1&amp;""""))/100),IF(Q2565=Dashboard!$L$1,K2565,K2565*GOOGLEFINANCE(""CURRENCY:""&amp;Q2565&amp;""""&amp;Dashboard!$"&amp;"L$1&amp;""""))),K2565))"),"")</f>
        <v/>
      </c>
      <c r="S2565" s="266" t="str">
        <f>IFERROR(__xludf.DUMMYFUNCTION("IF(ISBLANK(A2565),"""",IFERROR(IF(OR(Q2565=""GPB"",Q2565=""ZAR""),IF(Q2565=Dashboard!$L$1,M2565,(M2565*GOOGLEFINANCE(""CURRENCY:""&amp;Q2565&amp;""""&amp;Dashboard!$L$1&amp;""""))/100),IF(Q2565=Dashboard!$L$1,M2565,M2565*GOOGLEFINANCE(""CURRENCY:""&amp;Q2565&amp;""""&amp;Dashboard!$"&amp;"L$1&amp;""""))),M2565))"),"")</f>
        <v/>
      </c>
      <c r="T2565" s="264" t="str">
        <f t="shared" si="4"/>
        <v/>
      </c>
      <c r="U2565" s="264" t="str">
        <f t="shared" si="5"/>
        <v/>
      </c>
      <c r="V2565" s="264" t="str">
        <f t="shared" si="6"/>
        <v/>
      </c>
      <c r="W2565" s="267" t="str">
        <f t="shared" si="8"/>
        <v/>
      </c>
      <c r="X2565" s="264" t="str">
        <f t="shared" si="7"/>
        <v/>
      </c>
    </row>
    <row r="2566" ht="15.75" customHeight="1">
      <c r="A2566" s="258"/>
      <c r="B2566" s="258"/>
      <c r="C2566" s="269"/>
      <c r="D2566" s="258"/>
      <c r="E2566" s="258"/>
      <c r="F2566" s="258"/>
      <c r="G2566" s="258"/>
      <c r="H2566" s="271"/>
      <c r="I2566" s="258"/>
      <c r="J2566" s="272"/>
      <c r="K2566" s="260"/>
      <c r="L2566" s="261"/>
      <c r="M2566" s="262" t="str">
        <f t="shared" si="1"/>
        <v/>
      </c>
      <c r="N2566" s="263" t="str">
        <f t="shared" si="2"/>
        <v/>
      </c>
      <c r="O2566" s="264" t="str">
        <f t="shared" si="3"/>
        <v/>
      </c>
      <c r="P2566" s="265" t="str">
        <f>IFERROR(__xludf.DUMMYFUNCTION("IF(ISBLANK(A2566),"""",IFERROR(IF(H2566=""Sell"",VLOOKUP(9^99,FILTER({ROW(P$2:P2565),P$2:P2565},D$2:D2565=D2566),2),(VLOOKUP(9^99,FILTER({ROW(P$2:P2565),P$2:P2565},D$2:D2565=D2566),2)*VLOOKUP(9^99,FILTER({ROW(O$2:O2565),O$2:O2565},D$2:D2565=D2566),2)-N256"&amp;"6)/O2566),J2566))"),"")</f>
        <v/>
      </c>
      <c r="Q2566" s="264" t="str">
        <f>IFERROR(__xludf.DUMMYFUNCTION("IFERROR(IF(F2566=""Crypto"",B2566,(IF(ISBLANK(D2566),"""",IF(D2566=""Cash"",B2566,IF(GOOGLEFINANCE(D2566,""CURRENCY"")=""GBX"",""GBP"",GOOGLEFINANCE(D2566,""CURRENCY"")))))),B2566)"),"")</f>
        <v/>
      </c>
      <c r="R2566" s="263" t="str">
        <f>IFERROR(__xludf.DUMMYFUNCTION("IF(ISBLANK(A2566),"""",IFERROR(IF(OR(Q2566=""GPB"",Q2566=""ZAR""),IF(Q2566=Dashboard!$L$1,K2566,(K2566*GOOGLEFINANCE(""CURRENCY:""&amp;Q2566&amp;""""&amp;Dashboard!$L$1&amp;""""))/100),IF(Q2566=Dashboard!$L$1,K2566,K2566*GOOGLEFINANCE(""CURRENCY:""&amp;Q2566&amp;""""&amp;Dashboard!$"&amp;"L$1&amp;""""))),K2566))"),"")</f>
        <v/>
      </c>
      <c r="S2566" s="266" t="str">
        <f>IFERROR(__xludf.DUMMYFUNCTION("IF(ISBLANK(A2566),"""",IFERROR(IF(OR(Q2566=""GPB"",Q2566=""ZAR""),IF(Q2566=Dashboard!$L$1,M2566,(M2566*GOOGLEFINANCE(""CURRENCY:""&amp;Q2566&amp;""""&amp;Dashboard!$L$1&amp;""""))/100),IF(Q2566=Dashboard!$L$1,M2566,M2566*GOOGLEFINANCE(""CURRENCY:""&amp;Q2566&amp;""""&amp;Dashboard!$"&amp;"L$1&amp;""""))),M2566))"),"")</f>
        <v/>
      </c>
      <c r="T2566" s="264" t="str">
        <f t="shared" si="4"/>
        <v/>
      </c>
      <c r="U2566" s="264" t="str">
        <f t="shared" si="5"/>
        <v/>
      </c>
      <c r="V2566" s="264" t="str">
        <f t="shared" si="6"/>
        <v/>
      </c>
      <c r="W2566" s="267" t="str">
        <f t="shared" si="8"/>
        <v/>
      </c>
      <c r="X2566" s="264" t="str">
        <f t="shared" si="7"/>
        <v/>
      </c>
    </row>
    <row r="2567" ht="15.75" customHeight="1">
      <c r="A2567" s="258"/>
      <c r="B2567" s="258"/>
      <c r="C2567" s="269"/>
      <c r="D2567" s="258"/>
      <c r="E2567" s="258"/>
      <c r="F2567" s="258"/>
      <c r="G2567" s="258"/>
      <c r="H2567" s="271"/>
      <c r="I2567" s="258"/>
      <c r="J2567" s="272"/>
      <c r="K2567" s="260"/>
      <c r="L2567" s="261"/>
      <c r="M2567" s="262" t="str">
        <f t="shared" si="1"/>
        <v/>
      </c>
      <c r="N2567" s="263" t="str">
        <f t="shared" si="2"/>
        <v/>
      </c>
      <c r="O2567" s="264" t="str">
        <f t="shared" si="3"/>
        <v/>
      </c>
      <c r="P2567" s="265" t="str">
        <f>IFERROR(__xludf.DUMMYFUNCTION("IF(ISBLANK(A2567),"""",IFERROR(IF(H2567=""Sell"",VLOOKUP(9^99,FILTER({ROW(P$2:P2566),P$2:P2566},D$2:D2566=D2567),2),(VLOOKUP(9^99,FILTER({ROW(P$2:P2566),P$2:P2566},D$2:D2566=D2567),2)*VLOOKUP(9^99,FILTER({ROW(O$2:O2566),O$2:O2566},D$2:D2566=D2567),2)-N256"&amp;"7)/O2567),J2567))"),"")</f>
        <v/>
      </c>
      <c r="Q2567" s="264" t="str">
        <f>IFERROR(__xludf.DUMMYFUNCTION("IFERROR(IF(F2567=""Crypto"",B2567,(IF(ISBLANK(D2567),"""",IF(D2567=""Cash"",B2567,IF(GOOGLEFINANCE(D2567,""CURRENCY"")=""GBX"",""GBP"",GOOGLEFINANCE(D2567,""CURRENCY"")))))),B2567)"),"")</f>
        <v/>
      </c>
      <c r="R2567" s="263" t="str">
        <f>IFERROR(__xludf.DUMMYFUNCTION("IF(ISBLANK(A2567),"""",IFERROR(IF(OR(Q2567=""GPB"",Q2567=""ZAR""),IF(Q2567=Dashboard!$L$1,K2567,(K2567*GOOGLEFINANCE(""CURRENCY:""&amp;Q2567&amp;""""&amp;Dashboard!$L$1&amp;""""))/100),IF(Q2567=Dashboard!$L$1,K2567,K2567*GOOGLEFINANCE(""CURRENCY:""&amp;Q2567&amp;""""&amp;Dashboard!$"&amp;"L$1&amp;""""))),K2567))"),"")</f>
        <v/>
      </c>
      <c r="S2567" s="266" t="str">
        <f>IFERROR(__xludf.DUMMYFUNCTION("IF(ISBLANK(A2567),"""",IFERROR(IF(OR(Q2567=""GPB"",Q2567=""ZAR""),IF(Q2567=Dashboard!$L$1,M2567,(M2567*GOOGLEFINANCE(""CURRENCY:""&amp;Q2567&amp;""""&amp;Dashboard!$L$1&amp;""""))/100),IF(Q2567=Dashboard!$L$1,M2567,M2567*GOOGLEFINANCE(""CURRENCY:""&amp;Q2567&amp;""""&amp;Dashboard!$"&amp;"L$1&amp;""""))),M2567))"),"")</f>
        <v/>
      </c>
      <c r="T2567" s="264" t="str">
        <f t="shared" si="4"/>
        <v/>
      </c>
      <c r="U2567" s="264" t="str">
        <f t="shared" si="5"/>
        <v/>
      </c>
      <c r="V2567" s="264" t="str">
        <f t="shared" si="6"/>
        <v/>
      </c>
      <c r="W2567" s="267" t="str">
        <f t="shared" si="8"/>
        <v/>
      </c>
      <c r="X2567" s="264" t="str">
        <f t="shared" si="7"/>
        <v/>
      </c>
    </row>
    <row r="2568" ht="15.75" customHeight="1">
      <c r="A2568" s="258"/>
      <c r="B2568" s="258"/>
      <c r="C2568" s="269"/>
      <c r="D2568" s="258"/>
      <c r="E2568" s="258"/>
      <c r="F2568" s="258"/>
      <c r="G2568" s="258"/>
      <c r="H2568" s="271"/>
      <c r="I2568" s="258"/>
      <c r="J2568" s="272"/>
      <c r="K2568" s="260"/>
      <c r="L2568" s="261"/>
      <c r="M2568" s="262" t="str">
        <f t="shared" si="1"/>
        <v/>
      </c>
      <c r="N2568" s="263" t="str">
        <f t="shared" si="2"/>
        <v/>
      </c>
      <c r="O2568" s="264" t="str">
        <f t="shared" si="3"/>
        <v/>
      </c>
      <c r="P2568" s="265" t="str">
        <f>IFERROR(__xludf.DUMMYFUNCTION("IF(ISBLANK(A2568),"""",IFERROR(IF(H2568=""Sell"",VLOOKUP(9^99,FILTER({ROW(P$2:P2567),P$2:P2567},D$2:D2567=D2568),2),(VLOOKUP(9^99,FILTER({ROW(P$2:P2567),P$2:P2567},D$2:D2567=D2568),2)*VLOOKUP(9^99,FILTER({ROW(O$2:O2567),O$2:O2567},D$2:D2567=D2568),2)-N256"&amp;"8)/O2568),J2568))"),"")</f>
        <v/>
      </c>
      <c r="Q2568" s="264" t="str">
        <f>IFERROR(__xludf.DUMMYFUNCTION("IFERROR(IF(F2568=""Crypto"",B2568,(IF(ISBLANK(D2568),"""",IF(D2568=""Cash"",B2568,IF(GOOGLEFINANCE(D2568,""CURRENCY"")=""GBX"",""GBP"",GOOGLEFINANCE(D2568,""CURRENCY"")))))),B2568)"),"")</f>
        <v/>
      </c>
      <c r="R2568" s="263" t="str">
        <f>IFERROR(__xludf.DUMMYFUNCTION("IF(ISBLANK(A2568),"""",IFERROR(IF(OR(Q2568=""GPB"",Q2568=""ZAR""),IF(Q2568=Dashboard!$L$1,K2568,(K2568*GOOGLEFINANCE(""CURRENCY:""&amp;Q2568&amp;""""&amp;Dashboard!$L$1&amp;""""))/100),IF(Q2568=Dashboard!$L$1,K2568,K2568*GOOGLEFINANCE(""CURRENCY:""&amp;Q2568&amp;""""&amp;Dashboard!$"&amp;"L$1&amp;""""))),K2568))"),"")</f>
        <v/>
      </c>
      <c r="S2568" s="266" t="str">
        <f>IFERROR(__xludf.DUMMYFUNCTION("IF(ISBLANK(A2568),"""",IFERROR(IF(OR(Q2568=""GPB"",Q2568=""ZAR""),IF(Q2568=Dashboard!$L$1,M2568,(M2568*GOOGLEFINANCE(""CURRENCY:""&amp;Q2568&amp;""""&amp;Dashboard!$L$1&amp;""""))/100),IF(Q2568=Dashboard!$L$1,M2568,M2568*GOOGLEFINANCE(""CURRENCY:""&amp;Q2568&amp;""""&amp;Dashboard!$"&amp;"L$1&amp;""""))),M2568))"),"")</f>
        <v/>
      </c>
      <c r="T2568" s="264" t="str">
        <f t="shared" si="4"/>
        <v/>
      </c>
      <c r="U2568" s="264" t="str">
        <f t="shared" si="5"/>
        <v/>
      </c>
      <c r="V2568" s="264" t="str">
        <f t="shared" si="6"/>
        <v/>
      </c>
      <c r="W2568" s="267" t="str">
        <f t="shared" si="8"/>
        <v/>
      </c>
      <c r="X2568" s="264" t="str">
        <f t="shared" si="7"/>
        <v/>
      </c>
    </row>
    <row r="2569" ht="15.75" customHeight="1">
      <c r="A2569" s="258"/>
      <c r="B2569" s="258"/>
      <c r="C2569" s="269"/>
      <c r="D2569" s="258"/>
      <c r="E2569" s="258"/>
      <c r="F2569" s="258"/>
      <c r="G2569" s="258"/>
      <c r="H2569" s="271"/>
      <c r="I2569" s="258"/>
      <c r="J2569" s="272"/>
      <c r="K2569" s="260"/>
      <c r="L2569" s="261"/>
      <c r="M2569" s="262" t="str">
        <f t="shared" si="1"/>
        <v/>
      </c>
      <c r="N2569" s="263" t="str">
        <f t="shared" si="2"/>
        <v/>
      </c>
      <c r="O2569" s="264" t="str">
        <f t="shared" si="3"/>
        <v/>
      </c>
      <c r="P2569" s="265" t="str">
        <f>IFERROR(__xludf.DUMMYFUNCTION("IF(ISBLANK(A2569),"""",IFERROR(IF(H2569=""Sell"",VLOOKUP(9^99,FILTER({ROW(P$2:P2568),P$2:P2568},D$2:D2568=D2569),2),(VLOOKUP(9^99,FILTER({ROW(P$2:P2568),P$2:P2568},D$2:D2568=D2569),2)*VLOOKUP(9^99,FILTER({ROW(O$2:O2568),O$2:O2568},D$2:D2568=D2569),2)-N256"&amp;"9)/O2569),J2569))"),"")</f>
        <v/>
      </c>
      <c r="Q2569" s="264" t="str">
        <f>IFERROR(__xludf.DUMMYFUNCTION("IFERROR(IF(F2569=""Crypto"",B2569,(IF(ISBLANK(D2569),"""",IF(D2569=""Cash"",B2569,IF(GOOGLEFINANCE(D2569,""CURRENCY"")=""GBX"",""GBP"",GOOGLEFINANCE(D2569,""CURRENCY"")))))),B2569)"),"")</f>
        <v/>
      </c>
      <c r="R2569" s="263" t="str">
        <f>IFERROR(__xludf.DUMMYFUNCTION("IF(ISBLANK(A2569),"""",IFERROR(IF(OR(Q2569=""GPB"",Q2569=""ZAR""),IF(Q2569=Dashboard!$L$1,K2569,(K2569*GOOGLEFINANCE(""CURRENCY:""&amp;Q2569&amp;""""&amp;Dashboard!$L$1&amp;""""))/100),IF(Q2569=Dashboard!$L$1,K2569,K2569*GOOGLEFINANCE(""CURRENCY:""&amp;Q2569&amp;""""&amp;Dashboard!$"&amp;"L$1&amp;""""))),K2569))"),"")</f>
        <v/>
      </c>
      <c r="S2569" s="266" t="str">
        <f>IFERROR(__xludf.DUMMYFUNCTION("IF(ISBLANK(A2569),"""",IFERROR(IF(OR(Q2569=""GPB"",Q2569=""ZAR""),IF(Q2569=Dashboard!$L$1,M2569,(M2569*GOOGLEFINANCE(""CURRENCY:""&amp;Q2569&amp;""""&amp;Dashboard!$L$1&amp;""""))/100),IF(Q2569=Dashboard!$L$1,M2569,M2569*GOOGLEFINANCE(""CURRENCY:""&amp;Q2569&amp;""""&amp;Dashboard!$"&amp;"L$1&amp;""""))),M2569))"),"")</f>
        <v/>
      </c>
      <c r="T2569" s="264" t="str">
        <f t="shared" si="4"/>
        <v/>
      </c>
      <c r="U2569" s="264" t="str">
        <f t="shared" si="5"/>
        <v/>
      </c>
      <c r="V2569" s="264" t="str">
        <f t="shared" si="6"/>
        <v/>
      </c>
      <c r="W2569" s="267" t="str">
        <f t="shared" si="8"/>
        <v/>
      </c>
      <c r="X2569" s="264" t="str">
        <f t="shared" si="7"/>
        <v/>
      </c>
    </row>
    <row r="2570" ht="15.75" customHeight="1">
      <c r="A2570" s="258"/>
      <c r="B2570" s="258"/>
      <c r="C2570" s="269"/>
      <c r="D2570" s="258"/>
      <c r="E2570" s="258"/>
      <c r="F2570" s="258"/>
      <c r="G2570" s="258"/>
      <c r="H2570" s="271"/>
      <c r="I2570" s="258"/>
      <c r="J2570" s="272"/>
      <c r="K2570" s="260"/>
      <c r="L2570" s="261"/>
      <c r="M2570" s="262" t="str">
        <f t="shared" si="1"/>
        <v/>
      </c>
      <c r="N2570" s="263" t="str">
        <f t="shared" si="2"/>
        <v/>
      </c>
      <c r="O2570" s="264" t="str">
        <f t="shared" si="3"/>
        <v/>
      </c>
      <c r="P2570" s="265" t="str">
        <f>IFERROR(__xludf.DUMMYFUNCTION("IF(ISBLANK(A2570),"""",IFERROR(IF(H2570=""Sell"",VLOOKUP(9^99,FILTER({ROW(P$2:P2569),P$2:P2569},D$2:D2569=D2570),2),(VLOOKUP(9^99,FILTER({ROW(P$2:P2569),P$2:P2569},D$2:D2569=D2570),2)*VLOOKUP(9^99,FILTER({ROW(O$2:O2569),O$2:O2569},D$2:D2569=D2570),2)-N257"&amp;"0)/O2570),J2570))"),"")</f>
        <v/>
      </c>
      <c r="Q2570" s="264" t="str">
        <f>IFERROR(__xludf.DUMMYFUNCTION("IFERROR(IF(F2570=""Crypto"",B2570,(IF(ISBLANK(D2570),"""",IF(D2570=""Cash"",B2570,IF(GOOGLEFINANCE(D2570,""CURRENCY"")=""GBX"",""GBP"",GOOGLEFINANCE(D2570,""CURRENCY"")))))),B2570)"),"")</f>
        <v/>
      </c>
      <c r="R2570" s="263" t="str">
        <f>IFERROR(__xludf.DUMMYFUNCTION("IF(ISBLANK(A2570),"""",IFERROR(IF(OR(Q2570=""GPB"",Q2570=""ZAR""),IF(Q2570=Dashboard!$L$1,K2570,(K2570*GOOGLEFINANCE(""CURRENCY:""&amp;Q2570&amp;""""&amp;Dashboard!$L$1&amp;""""))/100),IF(Q2570=Dashboard!$L$1,K2570,K2570*GOOGLEFINANCE(""CURRENCY:""&amp;Q2570&amp;""""&amp;Dashboard!$"&amp;"L$1&amp;""""))),K2570))"),"")</f>
        <v/>
      </c>
      <c r="S2570" s="266" t="str">
        <f>IFERROR(__xludf.DUMMYFUNCTION("IF(ISBLANK(A2570),"""",IFERROR(IF(OR(Q2570=""GPB"",Q2570=""ZAR""),IF(Q2570=Dashboard!$L$1,M2570,(M2570*GOOGLEFINANCE(""CURRENCY:""&amp;Q2570&amp;""""&amp;Dashboard!$L$1&amp;""""))/100),IF(Q2570=Dashboard!$L$1,M2570,M2570*GOOGLEFINANCE(""CURRENCY:""&amp;Q2570&amp;""""&amp;Dashboard!$"&amp;"L$1&amp;""""))),M2570))"),"")</f>
        <v/>
      </c>
      <c r="T2570" s="264" t="str">
        <f t="shared" si="4"/>
        <v/>
      </c>
      <c r="U2570" s="264" t="str">
        <f t="shared" si="5"/>
        <v/>
      </c>
      <c r="V2570" s="264" t="str">
        <f t="shared" si="6"/>
        <v/>
      </c>
      <c r="W2570" s="267" t="str">
        <f t="shared" si="8"/>
        <v/>
      </c>
      <c r="X2570" s="264" t="str">
        <f t="shared" si="7"/>
        <v/>
      </c>
    </row>
    <row r="2571" ht="15.75" customHeight="1">
      <c r="A2571" s="258"/>
      <c r="B2571" s="258"/>
      <c r="C2571" s="269"/>
      <c r="D2571" s="258"/>
      <c r="E2571" s="258"/>
      <c r="F2571" s="258"/>
      <c r="G2571" s="258"/>
      <c r="H2571" s="271"/>
      <c r="I2571" s="258"/>
      <c r="J2571" s="272"/>
      <c r="K2571" s="260"/>
      <c r="L2571" s="261"/>
      <c r="M2571" s="262" t="str">
        <f t="shared" si="1"/>
        <v/>
      </c>
      <c r="N2571" s="263" t="str">
        <f t="shared" si="2"/>
        <v/>
      </c>
      <c r="O2571" s="264" t="str">
        <f t="shared" si="3"/>
        <v/>
      </c>
      <c r="P2571" s="265" t="str">
        <f>IFERROR(__xludf.DUMMYFUNCTION("IF(ISBLANK(A2571),"""",IFERROR(IF(H2571=""Sell"",VLOOKUP(9^99,FILTER({ROW(P$2:P2570),P$2:P2570},D$2:D2570=D2571),2),(VLOOKUP(9^99,FILTER({ROW(P$2:P2570),P$2:P2570},D$2:D2570=D2571),2)*VLOOKUP(9^99,FILTER({ROW(O$2:O2570),O$2:O2570},D$2:D2570=D2571),2)-N257"&amp;"1)/O2571),J2571))"),"")</f>
        <v/>
      </c>
      <c r="Q2571" s="264" t="str">
        <f>IFERROR(__xludf.DUMMYFUNCTION("IFERROR(IF(F2571=""Crypto"",B2571,(IF(ISBLANK(D2571),"""",IF(D2571=""Cash"",B2571,IF(GOOGLEFINANCE(D2571,""CURRENCY"")=""GBX"",""GBP"",GOOGLEFINANCE(D2571,""CURRENCY"")))))),B2571)"),"")</f>
        <v/>
      </c>
      <c r="R2571" s="263" t="str">
        <f>IFERROR(__xludf.DUMMYFUNCTION("IF(ISBLANK(A2571),"""",IFERROR(IF(OR(Q2571=""GPB"",Q2571=""ZAR""),IF(Q2571=Dashboard!$L$1,K2571,(K2571*GOOGLEFINANCE(""CURRENCY:""&amp;Q2571&amp;""""&amp;Dashboard!$L$1&amp;""""))/100),IF(Q2571=Dashboard!$L$1,K2571,K2571*GOOGLEFINANCE(""CURRENCY:""&amp;Q2571&amp;""""&amp;Dashboard!$"&amp;"L$1&amp;""""))),K2571))"),"")</f>
        <v/>
      </c>
      <c r="S2571" s="266" t="str">
        <f>IFERROR(__xludf.DUMMYFUNCTION("IF(ISBLANK(A2571),"""",IFERROR(IF(OR(Q2571=""GPB"",Q2571=""ZAR""),IF(Q2571=Dashboard!$L$1,M2571,(M2571*GOOGLEFINANCE(""CURRENCY:""&amp;Q2571&amp;""""&amp;Dashboard!$L$1&amp;""""))/100),IF(Q2571=Dashboard!$L$1,M2571,M2571*GOOGLEFINANCE(""CURRENCY:""&amp;Q2571&amp;""""&amp;Dashboard!$"&amp;"L$1&amp;""""))),M2571))"),"")</f>
        <v/>
      </c>
      <c r="T2571" s="264" t="str">
        <f t="shared" si="4"/>
        <v/>
      </c>
      <c r="U2571" s="264" t="str">
        <f t="shared" si="5"/>
        <v/>
      </c>
      <c r="V2571" s="264" t="str">
        <f t="shared" si="6"/>
        <v/>
      </c>
      <c r="W2571" s="267" t="str">
        <f t="shared" si="8"/>
        <v/>
      </c>
      <c r="X2571" s="264" t="str">
        <f t="shared" si="7"/>
        <v/>
      </c>
    </row>
    <row r="2572" ht="15.75" customHeight="1">
      <c r="A2572" s="258"/>
      <c r="B2572" s="258"/>
      <c r="C2572" s="269"/>
      <c r="D2572" s="258"/>
      <c r="E2572" s="258"/>
      <c r="F2572" s="258"/>
      <c r="G2572" s="258"/>
      <c r="H2572" s="271"/>
      <c r="I2572" s="258"/>
      <c r="J2572" s="272"/>
      <c r="K2572" s="260"/>
      <c r="L2572" s="261"/>
      <c r="M2572" s="262" t="str">
        <f t="shared" si="1"/>
        <v/>
      </c>
      <c r="N2572" s="263" t="str">
        <f t="shared" si="2"/>
        <v/>
      </c>
      <c r="O2572" s="264" t="str">
        <f t="shared" si="3"/>
        <v/>
      </c>
      <c r="P2572" s="265" t="str">
        <f>IFERROR(__xludf.DUMMYFUNCTION("IF(ISBLANK(A2572),"""",IFERROR(IF(H2572=""Sell"",VLOOKUP(9^99,FILTER({ROW(P$2:P2571),P$2:P2571},D$2:D2571=D2572),2),(VLOOKUP(9^99,FILTER({ROW(P$2:P2571),P$2:P2571},D$2:D2571=D2572),2)*VLOOKUP(9^99,FILTER({ROW(O$2:O2571),O$2:O2571},D$2:D2571=D2572),2)-N257"&amp;"2)/O2572),J2572))"),"")</f>
        <v/>
      </c>
      <c r="Q2572" s="264" t="str">
        <f>IFERROR(__xludf.DUMMYFUNCTION("IFERROR(IF(F2572=""Crypto"",B2572,(IF(ISBLANK(D2572),"""",IF(D2572=""Cash"",B2572,IF(GOOGLEFINANCE(D2572,""CURRENCY"")=""GBX"",""GBP"",GOOGLEFINANCE(D2572,""CURRENCY"")))))),B2572)"),"")</f>
        <v/>
      </c>
      <c r="R2572" s="263" t="str">
        <f>IFERROR(__xludf.DUMMYFUNCTION("IF(ISBLANK(A2572),"""",IFERROR(IF(OR(Q2572=""GPB"",Q2572=""ZAR""),IF(Q2572=Dashboard!$L$1,K2572,(K2572*GOOGLEFINANCE(""CURRENCY:""&amp;Q2572&amp;""""&amp;Dashboard!$L$1&amp;""""))/100),IF(Q2572=Dashboard!$L$1,K2572,K2572*GOOGLEFINANCE(""CURRENCY:""&amp;Q2572&amp;""""&amp;Dashboard!$"&amp;"L$1&amp;""""))),K2572))"),"")</f>
        <v/>
      </c>
      <c r="S2572" s="266" t="str">
        <f>IFERROR(__xludf.DUMMYFUNCTION("IF(ISBLANK(A2572),"""",IFERROR(IF(OR(Q2572=""GPB"",Q2572=""ZAR""),IF(Q2572=Dashboard!$L$1,M2572,(M2572*GOOGLEFINANCE(""CURRENCY:""&amp;Q2572&amp;""""&amp;Dashboard!$L$1&amp;""""))/100),IF(Q2572=Dashboard!$L$1,M2572,M2572*GOOGLEFINANCE(""CURRENCY:""&amp;Q2572&amp;""""&amp;Dashboard!$"&amp;"L$1&amp;""""))),M2572))"),"")</f>
        <v/>
      </c>
      <c r="T2572" s="264" t="str">
        <f t="shared" si="4"/>
        <v/>
      </c>
      <c r="U2572" s="264" t="str">
        <f t="shared" si="5"/>
        <v/>
      </c>
      <c r="V2572" s="264" t="str">
        <f t="shared" si="6"/>
        <v/>
      </c>
      <c r="W2572" s="267" t="str">
        <f t="shared" si="8"/>
        <v/>
      </c>
      <c r="X2572" s="264" t="str">
        <f t="shared" si="7"/>
        <v/>
      </c>
    </row>
    <row r="2573" ht="15.75" customHeight="1">
      <c r="A2573" s="258"/>
      <c r="B2573" s="258"/>
      <c r="C2573" s="269"/>
      <c r="D2573" s="258"/>
      <c r="E2573" s="258"/>
      <c r="F2573" s="258"/>
      <c r="G2573" s="258"/>
      <c r="H2573" s="271"/>
      <c r="I2573" s="258"/>
      <c r="J2573" s="272"/>
      <c r="K2573" s="260"/>
      <c r="L2573" s="261"/>
      <c r="M2573" s="262" t="str">
        <f t="shared" si="1"/>
        <v/>
      </c>
      <c r="N2573" s="263" t="str">
        <f t="shared" si="2"/>
        <v/>
      </c>
      <c r="O2573" s="264" t="str">
        <f t="shared" si="3"/>
        <v/>
      </c>
      <c r="P2573" s="265" t="str">
        <f>IFERROR(__xludf.DUMMYFUNCTION("IF(ISBLANK(A2573),"""",IFERROR(IF(H2573=""Sell"",VLOOKUP(9^99,FILTER({ROW(P$2:P2572),P$2:P2572},D$2:D2572=D2573),2),(VLOOKUP(9^99,FILTER({ROW(P$2:P2572),P$2:P2572},D$2:D2572=D2573),2)*VLOOKUP(9^99,FILTER({ROW(O$2:O2572),O$2:O2572},D$2:D2572=D2573),2)-N257"&amp;"3)/O2573),J2573))"),"")</f>
        <v/>
      </c>
      <c r="Q2573" s="264" t="str">
        <f>IFERROR(__xludf.DUMMYFUNCTION("IFERROR(IF(F2573=""Crypto"",B2573,(IF(ISBLANK(D2573),"""",IF(D2573=""Cash"",B2573,IF(GOOGLEFINANCE(D2573,""CURRENCY"")=""GBX"",""GBP"",GOOGLEFINANCE(D2573,""CURRENCY"")))))),B2573)"),"")</f>
        <v/>
      </c>
      <c r="R2573" s="263" t="str">
        <f>IFERROR(__xludf.DUMMYFUNCTION("IF(ISBLANK(A2573),"""",IFERROR(IF(OR(Q2573=""GPB"",Q2573=""ZAR""),IF(Q2573=Dashboard!$L$1,K2573,(K2573*GOOGLEFINANCE(""CURRENCY:""&amp;Q2573&amp;""""&amp;Dashboard!$L$1&amp;""""))/100),IF(Q2573=Dashboard!$L$1,K2573,K2573*GOOGLEFINANCE(""CURRENCY:""&amp;Q2573&amp;""""&amp;Dashboard!$"&amp;"L$1&amp;""""))),K2573))"),"")</f>
        <v/>
      </c>
      <c r="S2573" s="266" t="str">
        <f>IFERROR(__xludf.DUMMYFUNCTION("IF(ISBLANK(A2573),"""",IFERROR(IF(OR(Q2573=""GPB"",Q2573=""ZAR""),IF(Q2573=Dashboard!$L$1,M2573,(M2573*GOOGLEFINANCE(""CURRENCY:""&amp;Q2573&amp;""""&amp;Dashboard!$L$1&amp;""""))/100),IF(Q2573=Dashboard!$L$1,M2573,M2573*GOOGLEFINANCE(""CURRENCY:""&amp;Q2573&amp;""""&amp;Dashboard!$"&amp;"L$1&amp;""""))),M2573))"),"")</f>
        <v/>
      </c>
      <c r="T2573" s="264" t="str">
        <f t="shared" si="4"/>
        <v/>
      </c>
      <c r="U2573" s="264" t="str">
        <f t="shared" si="5"/>
        <v/>
      </c>
      <c r="V2573" s="264" t="str">
        <f t="shared" si="6"/>
        <v/>
      </c>
      <c r="W2573" s="267" t="str">
        <f t="shared" si="8"/>
        <v/>
      </c>
      <c r="X2573" s="264" t="str">
        <f t="shared" si="7"/>
        <v/>
      </c>
    </row>
    <row r="2574" ht="15.75" customHeight="1">
      <c r="A2574" s="258"/>
      <c r="B2574" s="258"/>
      <c r="C2574" s="269"/>
      <c r="D2574" s="258"/>
      <c r="E2574" s="258"/>
      <c r="F2574" s="258"/>
      <c r="G2574" s="258"/>
      <c r="H2574" s="271"/>
      <c r="I2574" s="258"/>
      <c r="J2574" s="272"/>
      <c r="K2574" s="260"/>
      <c r="L2574" s="261"/>
      <c r="M2574" s="262" t="str">
        <f t="shared" si="1"/>
        <v/>
      </c>
      <c r="N2574" s="263" t="str">
        <f t="shared" si="2"/>
        <v/>
      </c>
      <c r="O2574" s="264" t="str">
        <f t="shared" si="3"/>
        <v/>
      </c>
      <c r="P2574" s="265" t="str">
        <f>IFERROR(__xludf.DUMMYFUNCTION("IF(ISBLANK(A2574),"""",IFERROR(IF(H2574=""Sell"",VLOOKUP(9^99,FILTER({ROW(P$2:P2573),P$2:P2573},D$2:D2573=D2574),2),(VLOOKUP(9^99,FILTER({ROW(P$2:P2573),P$2:P2573},D$2:D2573=D2574),2)*VLOOKUP(9^99,FILTER({ROW(O$2:O2573),O$2:O2573},D$2:D2573=D2574),2)-N257"&amp;"4)/O2574),J2574))"),"")</f>
        <v/>
      </c>
      <c r="Q2574" s="264" t="str">
        <f>IFERROR(__xludf.DUMMYFUNCTION("IFERROR(IF(F2574=""Crypto"",B2574,(IF(ISBLANK(D2574),"""",IF(D2574=""Cash"",B2574,IF(GOOGLEFINANCE(D2574,""CURRENCY"")=""GBX"",""GBP"",GOOGLEFINANCE(D2574,""CURRENCY"")))))),B2574)"),"")</f>
        <v/>
      </c>
      <c r="R2574" s="263" t="str">
        <f>IFERROR(__xludf.DUMMYFUNCTION("IF(ISBLANK(A2574),"""",IFERROR(IF(OR(Q2574=""GPB"",Q2574=""ZAR""),IF(Q2574=Dashboard!$L$1,K2574,(K2574*GOOGLEFINANCE(""CURRENCY:""&amp;Q2574&amp;""""&amp;Dashboard!$L$1&amp;""""))/100),IF(Q2574=Dashboard!$L$1,K2574,K2574*GOOGLEFINANCE(""CURRENCY:""&amp;Q2574&amp;""""&amp;Dashboard!$"&amp;"L$1&amp;""""))),K2574))"),"")</f>
        <v/>
      </c>
      <c r="S2574" s="266" t="str">
        <f>IFERROR(__xludf.DUMMYFUNCTION("IF(ISBLANK(A2574),"""",IFERROR(IF(OR(Q2574=""GPB"",Q2574=""ZAR""),IF(Q2574=Dashboard!$L$1,M2574,(M2574*GOOGLEFINANCE(""CURRENCY:""&amp;Q2574&amp;""""&amp;Dashboard!$L$1&amp;""""))/100),IF(Q2574=Dashboard!$L$1,M2574,M2574*GOOGLEFINANCE(""CURRENCY:""&amp;Q2574&amp;""""&amp;Dashboard!$"&amp;"L$1&amp;""""))),M2574))"),"")</f>
        <v/>
      </c>
      <c r="T2574" s="264" t="str">
        <f t="shared" si="4"/>
        <v/>
      </c>
      <c r="U2574" s="264" t="str">
        <f t="shared" si="5"/>
        <v/>
      </c>
      <c r="V2574" s="264" t="str">
        <f t="shared" si="6"/>
        <v/>
      </c>
      <c r="W2574" s="267" t="str">
        <f t="shared" si="8"/>
        <v/>
      </c>
      <c r="X2574" s="264" t="str">
        <f t="shared" si="7"/>
        <v/>
      </c>
    </row>
    <row r="2575" ht="15.75" customHeight="1">
      <c r="A2575" s="258"/>
      <c r="B2575" s="258"/>
      <c r="C2575" s="269"/>
      <c r="D2575" s="258"/>
      <c r="E2575" s="258"/>
      <c r="F2575" s="258"/>
      <c r="G2575" s="258"/>
      <c r="H2575" s="271"/>
      <c r="I2575" s="258"/>
      <c r="J2575" s="272"/>
      <c r="K2575" s="260"/>
      <c r="L2575" s="261"/>
      <c r="M2575" s="262" t="str">
        <f t="shared" si="1"/>
        <v/>
      </c>
      <c r="N2575" s="263" t="str">
        <f t="shared" si="2"/>
        <v/>
      </c>
      <c r="O2575" s="264" t="str">
        <f t="shared" si="3"/>
        <v/>
      </c>
      <c r="P2575" s="265" t="str">
        <f>IFERROR(__xludf.DUMMYFUNCTION("IF(ISBLANK(A2575),"""",IFERROR(IF(H2575=""Sell"",VLOOKUP(9^99,FILTER({ROW(P$2:P2574),P$2:P2574},D$2:D2574=D2575),2),(VLOOKUP(9^99,FILTER({ROW(P$2:P2574),P$2:P2574},D$2:D2574=D2575),2)*VLOOKUP(9^99,FILTER({ROW(O$2:O2574),O$2:O2574},D$2:D2574=D2575),2)-N257"&amp;"5)/O2575),J2575))"),"")</f>
        <v/>
      </c>
      <c r="Q2575" s="264" t="str">
        <f>IFERROR(__xludf.DUMMYFUNCTION("IFERROR(IF(F2575=""Crypto"",B2575,(IF(ISBLANK(D2575),"""",IF(D2575=""Cash"",B2575,IF(GOOGLEFINANCE(D2575,""CURRENCY"")=""GBX"",""GBP"",GOOGLEFINANCE(D2575,""CURRENCY"")))))),B2575)"),"")</f>
        <v/>
      </c>
      <c r="R2575" s="263" t="str">
        <f>IFERROR(__xludf.DUMMYFUNCTION("IF(ISBLANK(A2575),"""",IFERROR(IF(OR(Q2575=""GPB"",Q2575=""ZAR""),IF(Q2575=Dashboard!$L$1,K2575,(K2575*GOOGLEFINANCE(""CURRENCY:""&amp;Q2575&amp;""""&amp;Dashboard!$L$1&amp;""""))/100),IF(Q2575=Dashboard!$L$1,K2575,K2575*GOOGLEFINANCE(""CURRENCY:""&amp;Q2575&amp;""""&amp;Dashboard!$"&amp;"L$1&amp;""""))),K2575))"),"")</f>
        <v/>
      </c>
      <c r="S2575" s="266" t="str">
        <f>IFERROR(__xludf.DUMMYFUNCTION("IF(ISBLANK(A2575),"""",IFERROR(IF(OR(Q2575=""GPB"",Q2575=""ZAR""),IF(Q2575=Dashboard!$L$1,M2575,(M2575*GOOGLEFINANCE(""CURRENCY:""&amp;Q2575&amp;""""&amp;Dashboard!$L$1&amp;""""))/100),IF(Q2575=Dashboard!$L$1,M2575,M2575*GOOGLEFINANCE(""CURRENCY:""&amp;Q2575&amp;""""&amp;Dashboard!$"&amp;"L$1&amp;""""))),M2575))"),"")</f>
        <v/>
      </c>
      <c r="T2575" s="264" t="str">
        <f t="shared" si="4"/>
        <v/>
      </c>
      <c r="U2575" s="264" t="str">
        <f t="shared" si="5"/>
        <v/>
      </c>
      <c r="V2575" s="264" t="str">
        <f t="shared" si="6"/>
        <v/>
      </c>
      <c r="W2575" s="267" t="str">
        <f t="shared" si="8"/>
        <v/>
      </c>
      <c r="X2575" s="264" t="str">
        <f t="shared" si="7"/>
        <v/>
      </c>
    </row>
    <row r="2576" ht="15.75" customHeight="1">
      <c r="A2576" s="258"/>
      <c r="B2576" s="258"/>
      <c r="C2576" s="269"/>
      <c r="D2576" s="258"/>
      <c r="E2576" s="258"/>
      <c r="F2576" s="258"/>
      <c r="G2576" s="258"/>
      <c r="H2576" s="271"/>
      <c r="I2576" s="258"/>
      <c r="J2576" s="272"/>
      <c r="K2576" s="260"/>
      <c r="L2576" s="261"/>
      <c r="M2576" s="262" t="str">
        <f t="shared" si="1"/>
        <v/>
      </c>
      <c r="N2576" s="263" t="str">
        <f t="shared" si="2"/>
        <v/>
      </c>
      <c r="O2576" s="264" t="str">
        <f t="shared" si="3"/>
        <v/>
      </c>
      <c r="P2576" s="265" t="str">
        <f>IFERROR(__xludf.DUMMYFUNCTION("IF(ISBLANK(A2576),"""",IFERROR(IF(H2576=""Sell"",VLOOKUP(9^99,FILTER({ROW(P$2:P2575),P$2:P2575},D$2:D2575=D2576),2),(VLOOKUP(9^99,FILTER({ROW(P$2:P2575),P$2:P2575},D$2:D2575=D2576),2)*VLOOKUP(9^99,FILTER({ROW(O$2:O2575),O$2:O2575},D$2:D2575=D2576),2)-N257"&amp;"6)/O2576),J2576))"),"")</f>
        <v/>
      </c>
      <c r="Q2576" s="264" t="str">
        <f>IFERROR(__xludf.DUMMYFUNCTION("IFERROR(IF(F2576=""Crypto"",B2576,(IF(ISBLANK(D2576),"""",IF(D2576=""Cash"",B2576,IF(GOOGLEFINANCE(D2576,""CURRENCY"")=""GBX"",""GBP"",GOOGLEFINANCE(D2576,""CURRENCY"")))))),B2576)"),"")</f>
        <v/>
      </c>
      <c r="R2576" s="263" t="str">
        <f>IFERROR(__xludf.DUMMYFUNCTION("IF(ISBLANK(A2576),"""",IFERROR(IF(OR(Q2576=""GPB"",Q2576=""ZAR""),IF(Q2576=Dashboard!$L$1,K2576,(K2576*GOOGLEFINANCE(""CURRENCY:""&amp;Q2576&amp;""""&amp;Dashboard!$L$1&amp;""""))/100),IF(Q2576=Dashboard!$L$1,K2576,K2576*GOOGLEFINANCE(""CURRENCY:""&amp;Q2576&amp;""""&amp;Dashboard!$"&amp;"L$1&amp;""""))),K2576))"),"")</f>
        <v/>
      </c>
      <c r="S2576" s="266" t="str">
        <f>IFERROR(__xludf.DUMMYFUNCTION("IF(ISBLANK(A2576),"""",IFERROR(IF(OR(Q2576=""GPB"",Q2576=""ZAR""),IF(Q2576=Dashboard!$L$1,M2576,(M2576*GOOGLEFINANCE(""CURRENCY:""&amp;Q2576&amp;""""&amp;Dashboard!$L$1&amp;""""))/100),IF(Q2576=Dashboard!$L$1,M2576,M2576*GOOGLEFINANCE(""CURRENCY:""&amp;Q2576&amp;""""&amp;Dashboard!$"&amp;"L$1&amp;""""))),M2576))"),"")</f>
        <v/>
      </c>
      <c r="T2576" s="264" t="str">
        <f t="shared" si="4"/>
        <v/>
      </c>
      <c r="U2576" s="264" t="str">
        <f t="shared" si="5"/>
        <v/>
      </c>
      <c r="V2576" s="264" t="str">
        <f t="shared" si="6"/>
        <v/>
      </c>
      <c r="W2576" s="267" t="str">
        <f t="shared" si="8"/>
        <v/>
      </c>
      <c r="X2576" s="264" t="str">
        <f t="shared" si="7"/>
        <v/>
      </c>
    </row>
    <row r="2577" ht="15.75" customHeight="1">
      <c r="A2577" s="258"/>
      <c r="B2577" s="258"/>
      <c r="C2577" s="269"/>
      <c r="D2577" s="258"/>
      <c r="E2577" s="258"/>
      <c r="F2577" s="258"/>
      <c r="G2577" s="258"/>
      <c r="H2577" s="271"/>
      <c r="I2577" s="258"/>
      <c r="J2577" s="272"/>
      <c r="K2577" s="260"/>
      <c r="L2577" s="261"/>
      <c r="M2577" s="262" t="str">
        <f t="shared" si="1"/>
        <v/>
      </c>
      <c r="N2577" s="263" t="str">
        <f t="shared" si="2"/>
        <v/>
      </c>
      <c r="O2577" s="264" t="str">
        <f t="shared" si="3"/>
        <v/>
      </c>
      <c r="P2577" s="265" t="str">
        <f>IFERROR(__xludf.DUMMYFUNCTION("IF(ISBLANK(A2577),"""",IFERROR(IF(H2577=""Sell"",VLOOKUP(9^99,FILTER({ROW(P$2:P2576),P$2:P2576},D$2:D2576=D2577),2),(VLOOKUP(9^99,FILTER({ROW(P$2:P2576),P$2:P2576},D$2:D2576=D2577),2)*VLOOKUP(9^99,FILTER({ROW(O$2:O2576),O$2:O2576},D$2:D2576=D2577),2)-N257"&amp;"7)/O2577),J2577))"),"")</f>
        <v/>
      </c>
      <c r="Q2577" s="264" t="str">
        <f>IFERROR(__xludf.DUMMYFUNCTION("IFERROR(IF(F2577=""Crypto"",B2577,(IF(ISBLANK(D2577),"""",IF(D2577=""Cash"",B2577,IF(GOOGLEFINANCE(D2577,""CURRENCY"")=""GBX"",""GBP"",GOOGLEFINANCE(D2577,""CURRENCY"")))))),B2577)"),"")</f>
        <v/>
      </c>
      <c r="R2577" s="263" t="str">
        <f>IFERROR(__xludf.DUMMYFUNCTION("IF(ISBLANK(A2577),"""",IFERROR(IF(OR(Q2577=""GPB"",Q2577=""ZAR""),IF(Q2577=Dashboard!$L$1,K2577,(K2577*GOOGLEFINANCE(""CURRENCY:""&amp;Q2577&amp;""""&amp;Dashboard!$L$1&amp;""""))/100),IF(Q2577=Dashboard!$L$1,K2577,K2577*GOOGLEFINANCE(""CURRENCY:""&amp;Q2577&amp;""""&amp;Dashboard!$"&amp;"L$1&amp;""""))),K2577))"),"")</f>
        <v/>
      </c>
      <c r="S2577" s="266" t="str">
        <f>IFERROR(__xludf.DUMMYFUNCTION("IF(ISBLANK(A2577),"""",IFERROR(IF(OR(Q2577=""GPB"",Q2577=""ZAR""),IF(Q2577=Dashboard!$L$1,M2577,(M2577*GOOGLEFINANCE(""CURRENCY:""&amp;Q2577&amp;""""&amp;Dashboard!$L$1&amp;""""))/100),IF(Q2577=Dashboard!$L$1,M2577,M2577*GOOGLEFINANCE(""CURRENCY:""&amp;Q2577&amp;""""&amp;Dashboard!$"&amp;"L$1&amp;""""))),M2577))"),"")</f>
        <v/>
      </c>
      <c r="T2577" s="264" t="str">
        <f t="shared" si="4"/>
        <v/>
      </c>
      <c r="U2577" s="264" t="str">
        <f t="shared" si="5"/>
        <v/>
      </c>
      <c r="V2577" s="264" t="str">
        <f t="shared" si="6"/>
        <v/>
      </c>
      <c r="W2577" s="267" t="str">
        <f t="shared" si="8"/>
        <v/>
      </c>
      <c r="X2577" s="264" t="str">
        <f t="shared" si="7"/>
        <v/>
      </c>
    </row>
    <row r="2578" ht="15.75" customHeight="1">
      <c r="A2578" s="258"/>
      <c r="B2578" s="258"/>
      <c r="C2578" s="269"/>
      <c r="D2578" s="258"/>
      <c r="E2578" s="258"/>
      <c r="F2578" s="258"/>
      <c r="G2578" s="258"/>
      <c r="H2578" s="271"/>
      <c r="I2578" s="258"/>
      <c r="J2578" s="272"/>
      <c r="K2578" s="260"/>
      <c r="L2578" s="261"/>
      <c r="M2578" s="262" t="str">
        <f t="shared" si="1"/>
        <v/>
      </c>
      <c r="N2578" s="263" t="str">
        <f t="shared" si="2"/>
        <v/>
      </c>
      <c r="O2578" s="264" t="str">
        <f t="shared" si="3"/>
        <v/>
      </c>
      <c r="P2578" s="265" t="str">
        <f>IFERROR(__xludf.DUMMYFUNCTION("IF(ISBLANK(A2578),"""",IFERROR(IF(H2578=""Sell"",VLOOKUP(9^99,FILTER({ROW(P$2:P2577),P$2:P2577},D$2:D2577=D2578),2),(VLOOKUP(9^99,FILTER({ROW(P$2:P2577),P$2:P2577},D$2:D2577=D2578),2)*VLOOKUP(9^99,FILTER({ROW(O$2:O2577),O$2:O2577},D$2:D2577=D2578),2)-N257"&amp;"8)/O2578),J2578))"),"")</f>
        <v/>
      </c>
      <c r="Q2578" s="264" t="str">
        <f>IFERROR(__xludf.DUMMYFUNCTION("IFERROR(IF(F2578=""Crypto"",B2578,(IF(ISBLANK(D2578),"""",IF(D2578=""Cash"",B2578,IF(GOOGLEFINANCE(D2578,""CURRENCY"")=""GBX"",""GBP"",GOOGLEFINANCE(D2578,""CURRENCY"")))))),B2578)"),"")</f>
        <v/>
      </c>
      <c r="R2578" s="263" t="str">
        <f>IFERROR(__xludf.DUMMYFUNCTION("IF(ISBLANK(A2578),"""",IFERROR(IF(OR(Q2578=""GPB"",Q2578=""ZAR""),IF(Q2578=Dashboard!$L$1,K2578,(K2578*GOOGLEFINANCE(""CURRENCY:""&amp;Q2578&amp;""""&amp;Dashboard!$L$1&amp;""""))/100),IF(Q2578=Dashboard!$L$1,K2578,K2578*GOOGLEFINANCE(""CURRENCY:""&amp;Q2578&amp;""""&amp;Dashboard!$"&amp;"L$1&amp;""""))),K2578))"),"")</f>
        <v/>
      </c>
      <c r="S2578" s="266" t="str">
        <f>IFERROR(__xludf.DUMMYFUNCTION("IF(ISBLANK(A2578),"""",IFERROR(IF(OR(Q2578=""GPB"",Q2578=""ZAR""),IF(Q2578=Dashboard!$L$1,M2578,(M2578*GOOGLEFINANCE(""CURRENCY:""&amp;Q2578&amp;""""&amp;Dashboard!$L$1&amp;""""))/100),IF(Q2578=Dashboard!$L$1,M2578,M2578*GOOGLEFINANCE(""CURRENCY:""&amp;Q2578&amp;""""&amp;Dashboard!$"&amp;"L$1&amp;""""))),M2578))"),"")</f>
        <v/>
      </c>
      <c r="T2578" s="264" t="str">
        <f t="shared" si="4"/>
        <v/>
      </c>
      <c r="U2578" s="264" t="str">
        <f t="shared" si="5"/>
        <v/>
      </c>
      <c r="V2578" s="264" t="str">
        <f t="shared" si="6"/>
        <v/>
      </c>
      <c r="W2578" s="267" t="str">
        <f t="shared" si="8"/>
        <v/>
      </c>
      <c r="X2578" s="264" t="str">
        <f t="shared" si="7"/>
        <v/>
      </c>
    </row>
    <row r="2579" ht="15.75" customHeight="1">
      <c r="A2579" s="258"/>
      <c r="B2579" s="258"/>
      <c r="C2579" s="269"/>
      <c r="D2579" s="258"/>
      <c r="E2579" s="258"/>
      <c r="F2579" s="258"/>
      <c r="G2579" s="258"/>
      <c r="H2579" s="271"/>
      <c r="I2579" s="258"/>
      <c r="J2579" s="272"/>
      <c r="K2579" s="260"/>
      <c r="L2579" s="261"/>
      <c r="M2579" s="262" t="str">
        <f t="shared" si="1"/>
        <v/>
      </c>
      <c r="N2579" s="263" t="str">
        <f t="shared" si="2"/>
        <v/>
      </c>
      <c r="O2579" s="264" t="str">
        <f t="shared" si="3"/>
        <v/>
      </c>
      <c r="P2579" s="265" t="str">
        <f>IFERROR(__xludf.DUMMYFUNCTION("IF(ISBLANK(A2579),"""",IFERROR(IF(H2579=""Sell"",VLOOKUP(9^99,FILTER({ROW(P$2:P2578),P$2:P2578},D$2:D2578=D2579),2),(VLOOKUP(9^99,FILTER({ROW(P$2:P2578),P$2:P2578},D$2:D2578=D2579),2)*VLOOKUP(9^99,FILTER({ROW(O$2:O2578),O$2:O2578},D$2:D2578=D2579),2)-N257"&amp;"9)/O2579),J2579))"),"")</f>
        <v/>
      </c>
      <c r="Q2579" s="264" t="str">
        <f>IFERROR(__xludf.DUMMYFUNCTION("IFERROR(IF(F2579=""Crypto"",B2579,(IF(ISBLANK(D2579),"""",IF(D2579=""Cash"",B2579,IF(GOOGLEFINANCE(D2579,""CURRENCY"")=""GBX"",""GBP"",GOOGLEFINANCE(D2579,""CURRENCY"")))))),B2579)"),"")</f>
        <v/>
      </c>
      <c r="R2579" s="263" t="str">
        <f>IFERROR(__xludf.DUMMYFUNCTION("IF(ISBLANK(A2579),"""",IFERROR(IF(OR(Q2579=""GPB"",Q2579=""ZAR""),IF(Q2579=Dashboard!$L$1,K2579,(K2579*GOOGLEFINANCE(""CURRENCY:""&amp;Q2579&amp;""""&amp;Dashboard!$L$1&amp;""""))/100),IF(Q2579=Dashboard!$L$1,K2579,K2579*GOOGLEFINANCE(""CURRENCY:""&amp;Q2579&amp;""""&amp;Dashboard!$"&amp;"L$1&amp;""""))),K2579))"),"")</f>
        <v/>
      </c>
      <c r="S2579" s="266" t="str">
        <f>IFERROR(__xludf.DUMMYFUNCTION("IF(ISBLANK(A2579),"""",IFERROR(IF(OR(Q2579=""GPB"",Q2579=""ZAR""),IF(Q2579=Dashboard!$L$1,M2579,(M2579*GOOGLEFINANCE(""CURRENCY:""&amp;Q2579&amp;""""&amp;Dashboard!$L$1&amp;""""))/100),IF(Q2579=Dashboard!$L$1,M2579,M2579*GOOGLEFINANCE(""CURRENCY:""&amp;Q2579&amp;""""&amp;Dashboard!$"&amp;"L$1&amp;""""))),M2579))"),"")</f>
        <v/>
      </c>
      <c r="T2579" s="264" t="str">
        <f t="shared" si="4"/>
        <v/>
      </c>
      <c r="U2579" s="264" t="str">
        <f t="shared" si="5"/>
        <v/>
      </c>
      <c r="V2579" s="264" t="str">
        <f t="shared" si="6"/>
        <v/>
      </c>
      <c r="W2579" s="267" t="str">
        <f t="shared" si="8"/>
        <v/>
      </c>
      <c r="X2579" s="264" t="str">
        <f t="shared" si="7"/>
        <v/>
      </c>
    </row>
    <row r="2580" ht="15.75" customHeight="1">
      <c r="A2580" s="258"/>
      <c r="B2580" s="258"/>
      <c r="C2580" s="269"/>
      <c r="D2580" s="258"/>
      <c r="E2580" s="258"/>
      <c r="F2580" s="258"/>
      <c r="G2580" s="258"/>
      <c r="H2580" s="271"/>
      <c r="I2580" s="258"/>
      <c r="J2580" s="272"/>
      <c r="K2580" s="260"/>
      <c r="L2580" s="261"/>
      <c r="M2580" s="262" t="str">
        <f t="shared" si="1"/>
        <v/>
      </c>
      <c r="N2580" s="263" t="str">
        <f t="shared" si="2"/>
        <v/>
      </c>
      <c r="O2580" s="264" t="str">
        <f t="shared" si="3"/>
        <v/>
      </c>
      <c r="P2580" s="265" t="str">
        <f>IFERROR(__xludf.DUMMYFUNCTION("IF(ISBLANK(A2580),"""",IFERROR(IF(H2580=""Sell"",VLOOKUP(9^99,FILTER({ROW(P$2:P2579),P$2:P2579},D$2:D2579=D2580),2),(VLOOKUP(9^99,FILTER({ROW(P$2:P2579),P$2:P2579},D$2:D2579=D2580),2)*VLOOKUP(9^99,FILTER({ROW(O$2:O2579),O$2:O2579},D$2:D2579=D2580),2)-N258"&amp;"0)/O2580),J2580))"),"")</f>
        <v/>
      </c>
      <c r="Q2580" s="264" t="str">
        <f>IFERROR(__xludf.DUMMYFUNCTION("IFERROR(IF(F2580=""Crypto"",B2580,(IF(ISBLANK(D2580),"""",IF(D2580=""Cash"",B2580,IF(GOOGLEFINANCE(D2580,""CURRENCY"")=""GBX"",""GBP"",GOOGLEFINANCE(D2580,""CURRENCY"")))))),B2580)"),"")</f>
        <v/>
      </c>
      <c r="R2580" s="263" t="str">
        <f>IFERROR(__xludf.DUMMYFUNCTION("IF(ISBLANK(A2580),"""",IFERROR(IF(OR(Q2580=""GPB"",Q2580=""ZAR""),IF(Q2580=Dashboard!$L$1,K2580,(K2580*GOOGLEFINANCE(""CURRENCY:""&amp;Q2580&amp;""""&amp;Dashboard!$L$1&amp;""""))/100),IF(Q2580=Dashboard!$L$1,K2580,K2580*GOOGLEFINANCE(""CURRENCY:""&amp;Q2580&amp;""""&amp;Dashboard!$"&amp;"L$1&amp;""""))),K2580))"),"")</f>
        <v/>
      </c>
      <c r="S2580" s="266" t="str">
        <f>IFERROR(__xludf.DUMMYFUNCTION("IF(ISBLANK(A2580),"""",IFERROR(IF(OR(Q2580=""GPB"",Q2580=""ZAR""),IF(Q2580=Dashboard!$L$1,M2580,(M2580*GOOGLEFINANCE(""CURRENCY:""&amp;Q2580&amp;""""&amp;Dashboard!$L$1&amp;""""))/100),IF(Q2580=Dashboard!$L$1,M2580,M2580*GOOGLEFINANCE(""CURRENCY:""&amp;Q2580&amp;""""&amp;Dashboard!$"&amp;"L$1&amp;""""))),M2580))"),"")</f>
        <v/>
      </c>
      <c r="T2580" s="264" t="str">
        <f t="shared" si="4"/>
        <v/>
      </c>
      <c r="U2580" s="264" t="str">
        <f t="shared" si="5"/>
        <v/>
      </c>
      <c r="V2580" s="264" t="str">
        <f t="shared" si="6"/>
        <v/>
      </c>
      <c r="W2580" s="267" t="str">
        <f t="shared" si="8"/>
        <v/>
      </c>
      <c r="X2580" s="264" t="str">
        <f t="shared" si="7"/>
        <v/>
      </c>
    </row>
    <row r="2581" ht="15.75" customHeight="1">
      <c r="A2581" s="258"/>
      <c r="B2581" s="258"/>
      <c r="C2581" s="269"/>
      <c r="D2581" s="258"/>
      <c r="E2581" s="258"/>
      <c r="F2581" s="258"/>
      <c r="G2581" s="258"/>
      <c r="H2581" s="271"/>
      <c r="I2581" s="258"/>
      <c r="J2581" s="272"/>
      <c r="K2581" s="260"/>
      <c r="L2581" s="261"/>
      <c r="M2581" s="262" t="str">
        <f t="shared" si="1"/>
        <v/>
      </c>
      <c r="N2581" s="263" t="str">
        <f t="shared" si="2"/>
        <v/>
      </c>
      <c r="O2581" s="264" t="str">
        <f t="shared" si="3"/>
        <v/>
      </c>
      <c r="P2581" s="265" t="str">
        <f>IFERROR(__xludf.DUMMYFUNCTION("IF(ISBLANK(A2581),"""",IFERROR(IF(H2581=""Sell"",VLOOKUP(9^99,FILTER({ROW(P$2:P2580),P$2:P2580},D$2:D2580=D2581),2),(VLOOKUP(9^99,FILTER({ROW(P$2:P2580),P$2:P2580},D$2:D2580=D2581),2)*VLOOKUP(9^99,FILTER({ROW(O$2:O2580),O$2:O2580},D$2:D2580=D2581),2)-N258"&amp;"1)/O2581),J2581))"),"")</f>
        <v/>
      </c>
      <c r="Q2581" s="264" t="str">
        <f>IFERROR(__xludf.DUMMYFUNCTION("IFERROR(IF(F2581=""Crypto"",B2581,(IF(ISBLANK(D2581),"""",IF(D2581=""Cash"",B2581,IF(GOOGLEFINANCE(D2581,""CURRENCY"")=""GBX"",""GBP"",GOOGLEFINANCE(D2581,""CURRENCY"")))))),B2581)"),"")</f>
        <v/>
      </c>
      <c r="R2581" s="263" t="str">
        <f>IFERROR(__xludf.DUMMYFUNCTION("IF(ISBLANK(A2581),"""",IFERROR(IF(OR(Q2581=""GPB"",Q2581=""ZAR""),IF(Q2581=Dashboard!$L$1,K2581,(K2581*GOOGLEFINANCE(""CURRENCY:""&amp;Q2581&amp;""""&amp;Dashboard!$L$1&amp;""""))/100),IF(Q2581=Dashboard!$L$1,K2581,K2581*GOOGLEFINANCE(""CURRENCY:""&amp;Q2581&amp;""""&amp;Dashboard!$"&amp;"L$1&amp;""""))),K2581))"),"")</f>
        <v/>
      </c>
      <c r="S2581" s="266" t="str">
        <f>IFERROR(__xludf.DUMMYFUNCTION("IF(ISBLANK(A2581),"""",IFERROR(IF(OR(Q2581=""GPB"",Q2581=""ZAR""),IF(Q2581=Dashboard!$L$1,M2581,(M2581*GOOGLEFINANCE(""CURRENCY:""&amp;Q2581&amp;""""&amp;Dashboard!$L$1&amp;""""))/100),IF(Q2581=Dashboard!$L$1,M2581,M2581*GOOGLEFINANCE(""CURRENCY:""&amp;Q2581&amp;""""&amp;Dashboard!$"&amp;"L$1&amp;""""))),M2581))"),"")</f>
        <v/>
      </c>
      <c r="T2581" s="264" t="str">
        <f t="shared" si="4"/>
        <v/>
      </c>
      <c r="U2581" s="264" t="str">
        <f t="shared" si="5"/>
        <v/>
      </c>
      <c r="V2581" s="264" t="str">
        <f t="shared" si="6"/>
        <v/>
      </c>
      <c r="W2581" s="267" t="str">
        <f t="shared" si="8"/>
        <v/>
      </c>
      <c r="X2581" s="264" t="str">
        <f t="shared" si="7"/>
        <v/>
      </c>
    </row>
    <row r="2582" ht="15.75" customHeight="1">
      <c r="A2582" s="258"/>
      <c r="B2582" s="258"/>
      <c r="C2582" s="269"/>
      <c r="D2582" s="258"/>
      <c r="E2582" s="258"/>
      <c r="F2582" s="258"/>
      <c r="G2582" s="258"/>
      <c r="H2582" s="271"/>
      <c r="I2582" s="258"/>
      <c r="J2582" s="272"/>
      <c r="K2582" s="260"/>
      <c r="L2582" s="261"/>
      <c r="M2582" s="262" t="str">
        <f t="shared" si="1"/>
        <v/>
      </c>
      <c r="N2582" s="263" t="str">
        <f t="shared" si="2"/>
        <v/>
      </c>
      <c r="O2582" s="264" t="str">
        <f t="shared" si="3"/>
        <v/>
      </c>
      <c r="P2582" s="265" t="str">
        <f>IFERROR(__xludf.DUMMYFUNCTION("IF(ISBLANK(A2582),"""",IFERROR(IF(H2582=""Sell"",VLOOKUP(9^99,FILTER({ROW(P$2:P2581),P$2:P2581},D$2:D2581=D2582),2),(VLOOKUP(9^99,FILTER({ROW(P$2:P2581),P$2:P2581},D$2:D2581=D2582),2)*VLOOKUP(9^99,FILTER({ROW(O$2:O2581),O$2:O2581},D$2:D2581=D2582),2)-N258"&amp;"2)/O2582),J2582))"),"")</f>
        <v/>
      </c>
      <c r="Q2582" s="264" t="str">
        <f>IFERROR(__xludf.DUMMYFUNCTION("IFERROR(IF(F2582=""Crypto"",B2582,(IF(ISBLANK(D2582),"""",IF(D2582=""Cash"",B2582,IF(GOOGLEFINANCE(D2582,""CURRENCY"")=""GBX"",""GBP"",GOOGLEFINANCE(D2582,""CURRENCY"")))))),B2582)"),"")</f>
        <v/>
      </c>
      <c r="R2582" s="263" t="str">
        <f>IFERROR(__xludf.DUMMYFUNCTION("IF(ISBLANK(A2582),"""",IFERROR(IF(OR(Q2582=""GPB"",Q2582=""ZAR""),IF(Q2582=Dashboard!$L$1,K2582,(K2582*GOOGLEFINANCE(""CURRENCY:""&amp;Q2582&amp;""""&amp;Dashboard!$L$1&amp;""""))/100),IF(Q2582=Dashboard!$L$1,K2582,K2582*GOOGLEFINANCE(""CURRENCY:""&amp;Q2582&amp;""""&amp;Dashboard!$"&amp;"L$1&amp;""""))),K2582))"),"")</f>
        <v/>
      </c>
      <c r="S2582" s="266" t="str">
        <f>IFERROR(__xludf.DUMMYFUNCTION("IF(ISBLANK(A2582),"""",IFERROR(IF(OR(Q2582=""GPB"",Q2582=""ZAR""),IF(Q2582=Dashboard!$L$1,M2582,(M2582*GOOGLEFINANCE(""CURRENCY:""&amp;Q2582&amp;""""&amp;Dashboard!$L$1&amp;""""))/100),IF(Q2582=Dashboard!$L$1,M2582,M2582*GOOGLEFINANCE(""CURRENCY:""&amp;Q2582&amp;""""&amp;Dashboard!$"&amp;"L$1&amp;""""))),M2582))"),"")</f>
        <v/>
      </c>
      <c r="T2582" s="264" t="str">
        <f t="shared" si="4"/>
        <v/>
      </c>
      <c r="U2582" s="264" t="str">
        <f t="shared" si="5"/>
        <v/>
      </c>
      <c r="V2582" s="264" t="str">
        <f t="shared" si="6"/>
        <v/>
      </c>
      <c r="W2582" s="267" t="str">
        <f t="shared" si="8"/>
        <v/>
      </c>
      <c r="X2582" s="264" t="str">
        <f t="shared" si="7"/>
        <v/>
      </c>
    </row>
    <row r="2583" ht="15.75" customHeight="1">
      <c r="A2583" s="258"/>
      <c r="B2583" s="258"/>
      <c r="C2583" s="269"/>
      <c r="D2583" s="258"/>
      <c r="E2583" s="258"/>
      <c r="F2583" s="258"/>
      <c r="G2583" s="258"/>
      <c r="H2583" s="271"/>
      <c r="I2583" s="258"/>
      <c r="J2583" s="272"/>
      <c r="K2583" s="260"/>
      <c r="L2583" s="261"/>
      <c r="M2583" s="262" t="str">
        <f t="shared" si="1"/>
        <v/>
      </c>
      <c r="N2583" s="263" t="str">
        <f t="shared" si="2"/>
        <v/>
      </c>
      <c r="O2583" s="264" t="str">
        <f t="shared" si="3"/>
        <v/>
      </c>
      <c r="P2583" s="265" t="str">
        <f>IFERROR(__xludf.DUMMYFUNCTION("IF(ISBLANK(A2583),"""",IFERROR(IF(H2583=""Sell"",VLOOKUP(9^99,FILTER({ROW(P$2:P2582),P$2:P2582},D$2:D2582=D2583),2),(VLOOKUP(9^99,FILTER({ROW(P$2:P2582),P$2:P2582},D$2:D2582=D2583),2)*VLOOKUP(9^99,FILTER({ROW(O$2:O2582),O$2:O2582},D$2:D2582=D2583),2)-N258"&amp;"3)/O2583),J2583))"),"")</f>
        <v/>
      </c>
      <c r="Q2583" s="264" t="str">
        <f>IFERROR(__xludf.DUMMYFUNCTION("IFERROR(IF(F2583=""Crypto"",B2583,(IF(ISBLANK(D2583),"""",IF(D2583=""Cash"",B2583,IF(GOOGLEFINANCE(D2583,""CURRENCY"")=""GBX"",""GBP"",GOOGLEFINANCE(D2583,""CURRENCY"")))))),B2583)"),"")</f>
        <v/>
      </c>
      <c r="R2583" s="263" t="str">
        <f>IFERROR(__xludf.DUMMYFUNCTION("IF(ISBLANK(A2583),"""",IFERROR(IF(OR(Q2583=""GPB"",Q2583=""ZAR""),IF(Q2583=Dashboard!$L$1,K2583,(K2583*GOOGLEFINANCE(""CURRENCY:""&amp;Q2583&amp;""""&amp;Dashboard!$L$1&amp;""""))/100),IF(Q2583=Dashboard!$L$1,K2583,K2583*GOOGLEFINANCE(""CURRENCY:""&amp;Q2583&amp;""""&amp;Dashboard!$"&amp;"L$1&amp;""""))),K2583))"),"")</f>
        <v/>
      </c>
      <c r="S2583" s="266" t="str">
        <f>IFERROR(__xludf.DUMMYFUNCTION("IF(ISBLANK(A2583),"""",IFERROR(IF(OR(Q2583=""GPB"",Q2583=""ZAR""),IF(Q2583=Dashboard!$L$1,M2583,(M2583*GOOGLEFINANCE(""CURRENCY:""&amp;Q2583&amp;""""&amp;Dashboard!$L$1&amp;""""))/100),IF(Q2583=Dashboard!$L$1,M2583,M2583*GOOGLEFINANCE(""CURRENCY:""&amp;Q2583&amp;""""&amp;Dashboard!$"&amp;"L$1&amp;""""))),M2583))"),"")</f>
        <v/>
      </c>
      <c r="T2583" s="264" t="str">
        <f t="shared" si="4"/>
        <v/>
      </c>
      <c r="U2583" s="264" t="str">
        <f t="shared" si="5"/>
        <v/>
      </c>
      <c r="V2583" s="264" t="str">
        <f t="shared" si="6"/>
        <v/>
      </c>
      <c r="W2583" s="267" t="str">
        <f t="shared" si="8"/>
        <v/>
      </c>
      <c r="X2583" s="264" t="str">
        <f t="shared" si="7"/>
        <v/>
      </c>
    </row>
    <row r="2584" ht="15.75" customHeight="1">
      <c r="A2584" s="258"/>
      <c r="B2584" s="258"/>
      <c r="C2584" s="269"/>
      <c r="D2584" s="258"/>
      <c r="E2584" s="258"/>
      <c r="F2584" s="258"/>
      <c r="G2584" s="258"/>
      <c r="H2584" s="271"/>
      <c r="I2584" s="258"/>
      <c r="J2584" s="272"/>
      <c r="K2584" s="260"/>
      <c r="L2584" s="261"/>
      <c r="M2584" s="262" t="str">
        <f t="shared" si="1"/>
        <v/>
      </c>
      <c r="N2584" s="263" t="str">
        <f t="shared" si="2"/>
        <v/>
      </c>
      <c r="O2584" s="264" t="str">
        <f t="shared" si="3"/>
        <v/>
      </c>
      <c r="P2584" s="265" t="str">
        <f>IFERROR(__xludf.DUMMYFUNCTION("IF(ISBLANK(A2584),"""",IFERROR(IF(H2584=""Sell"",VLOOKUP(9^99,FILTER({ROW(P$2:P2583),P$2:P2583},D$2:D2583=D2584),2),(VLOOKUP(9^99,FILTER({ROW(P$2:P2583),P$2:P2583},D$2:D2583=D2584),2)*VLOOKUP(9^99,FILTER({ROW(O$2:O2583),O$2:O2583},D$2:D2583=D2584),2)-N258"&amp;"4)/O2584),J2584))"),"")</f>
        <v/>
      </c>
      <c r="Q2584" s="264" t="str">
        <f>IFERROR(__xludf.DUMMYFUNCTION("IFERROR(IF(F2584=""Crypto"",B2584,(IF(ISBLANK(D2584),"""",IF(D2584=""Cash"",B2584,IF(GOOGLEFINANCE(D2584,""CURRENCY"")=""GBX"",""GBP"",GOOGLEFINANCE(D2584,""CURRENCY"")))))),B2584)"),"")</f>
        <v/>
      </c>
      <c r="R2584" s="263" t="str">
        <f>IFERROR(__xludf.DUMMYFUNCTION("IF(ISBLANK(A2584),"""",IFERROR(IF(OR(Q2584=""GPB"",Q2584=""ZAR""),IF(Q2584=Dashboard!$L$1,K2584,(K2584*GOOGLEFINANCE(""CURRENCY:""&amp;Q2584&amp;""""&amp;Dashboard!$L$1&amp;""""))/100),IF(Q2584=Dashboard!$L$1,K2584,K2584*GOOGLEFINANCE(""CURRENCY:""&amp;Q2584&amp;""""&amp;Dashboard!$"&amp;"L$1&amp;""""))),K2584))"),"")</f>
        <v/>
      </c>
      <c r="S2584" s="266" t="str">
        <f>IFERROR(__xludf.DUMMYFUNCTION("IF(ISBLANK(A2584),"""",IFERROR(IF(OR(Q2584=""GPB"",Q2584=""ZAR""),IF(Q2584=Dashboard!$L$1,M2584,(M2584*GOOGLEFINANCE(""CURRENCY:""&amp;Q2584&amp;""""&amp;Dashboard!$L$1&amp;""""))/100),IF(Q2584=Dashboard!$L$1,M2584,M2584*GOOGLEFINANCE(""CURRENCY:""&amp;Q2584&amp;""""&amp;Dashboard!$"&amp;"L$1&amp;""""))),M2584))"),"")</f>
        <v/>
      </c>
      <c r="T2584" s="264" t="str">
        <f t="shared" si="4"/>
        <v/>
      </c>
      <c r="U2584" s="264" t="str">
        <f t="shared" si="5"/>
        <v/>
      </c>
      <c r="V2584" s="264" t="str">
        <f t="shared" si="6"/>
        <v/>
      </c>
      <c r="W2584" s="267" t="str">
        <f t="shared" si="8"/>
        <v/>
      </c>
      <c r="X2584" s="264" t="str">
        <f t="shared" si="7"/>
        <v/>
      </c>
    </row>
    <row r="2585" ht="15.75" customHeight="1">
      <c r="A2585" s="258"/>
      <c r="B2585" s="258"/>
      <c r="C2585" s="269"/>
      <c r="D2585" s="258"/>
      <c r="E2585" s="258"/>
      <c r="F2585" s="258"/>
      <c r="G2585" s="258"/>
      <c r="H2585" s="271"/>
      <c r="I2585" s="258"/>
      <c r="J2585" s="272"/>
      <c r="K2585" s="260"/>
      <c r="L2585" s="261"/>
      <c r="M2585" s="262" t="str">
        <f t="shared" si="1"/>
        <v/>
      </c>
      <c r="N2585" s="263" t="str">
        <f t="shared" si="2"/>
        <v/>
      </c>
      <c r="O2585" s="264" t="str">
        <f t="shared" si="3"/>
        <v/>
      </c>
      <c r="P2585" s="265" t="str">
        <f>IFERROR(__xludf.DUMMYFUNCTION("IF(ISBLANK(A2585),"""",IFERROR(IF(H2585=""Sell"",VLOOKUP(9^99,FILTER({ROW(P$2:P2584),P$2:P2584},D$2:D2584=D2585),2),(VLOOKUP(9^99,FILTER({ROW(P$2:P2584),P$2:P2584},D$2:D2584=D2585),2)*VLOOKUP(9^99,FILTER({ROW(O$2:O2584),O$2:O2584},D$2:D2584=D2585),2)-N258"&amp;"5)/O2585),J2585))"),"")</f>
        <v/>
      </c>
      <c r="Q2585" s="264" t="str">
        <f>IFERROR(__xludf.DUMMYFUNCTION("IFERROR(IF(F2585=""Crypto"",B2585,(IF(ISBLANK(D2585),"""",IF(D2585=""Cash"",B2585,IF(GOOGLEFINANCE(D2585,""CURRENCY"")=""GBX"",""GBP"",GOOGLEFINANCE(D2585,""CURRENCY"")))))),B2585)"),"")</f>
        <v/>
      </c>
      <c r="R2585" s="263" t="str">
        <f>IFERROR(__xludf.DUMMYFUNCTION("IF(ISBLANK(A2585),"""",IFERROR(IF(OR(Q2585=""GPB"",Q2585=""ZAR""),IF(Q2585=Dashboard!$L$1,K2585,(K2585*GOOGLEFINANCE(""CURRENCY:""&amp;Q2585&amp;""""&amp;Dashboard!$L$1&amp;""""))/100),IF(Q2585=Dashboard!$L$1,K2585,K2585*GOOGLEFINANCE(""CURRENCY:""&amp;Q2585&amp;""""&amp;Dashboard!$"&amp;"L$1&amp;""""))),K2585))"),"")</f>
        <v/>
      </c>
      <c r="S2585" s="266" t="str">
        <f>IFERROR(__xludf.DUMMYFUNCTION("IF(ISBLANK(A2585),"""",IFERROR(IF(OR(Q2585=""GPB"",Q2585=""ZAR""),IF(Q2585=Dashboard!$L$1,M2585,(M2585*GOOGLEFINANCE(""CURRENCY:""&amp;Q2585&amp;""""&amp;Dashboard!$L$1&amp;""""))/100),IF(Q2585=Dashboard!$L$1,M2585,M2585*GOOGLEFINANCE(""CURRENCY:""&amp;Q2585&amp;""""&amp;Dashboard!$"&amp;"L$1&amp;""""))),M2585))"),"")</f>
        <v/>
      </c>
      <c r="T2585" s="264" t="str">
        <f t="shared" si="4"/>
        <v/>
      </c>
      <c r="U2585" s="264" t="str">
        <f t="shared" si="5"/>
        <v/>
      </c>
      <c r="V2585" s="264" t="str">
        <f t="shared" si="6"/>
        <v/>
      </c>
      <c r="W2585" s="267" t="str">
        <f t="shared" si="8"/>
        <v/>
      </c>
      <c r="X2585" s="264" t="str">
        <f t="shared" si="7"/>
        <v/>
      </c>
    </row>
    <row r="2586" ht="15.75" customHeight="1">
      <c r="A2586" s="258"/>
      <c r="B2586" s="258"/>
      <c r="C2586" s="269"/>
      <c r="D2586" s="258"/>
      <c r="E2586" s="258"/>
      <c r="F2586" s="258"/>
      <c r="G2586" s="258"/>
      <c r="H2586" s="271"/>
      <c r="I2586" s="258"/>
      <c r="J2586" s="272"/>
      <c r="K2586" s="260"/>
      <c r="L2586" s="261"/>
      <c r="M2586" s="262" t="str">
        <f t="shared" si="1"/>
        <v/>
      </c>
      <c r="N2586" s="263" t="str">
        <f t="shared" si="2"/>
        <v/>
      </c>
      <c r="O2586" s="264" t="str">
        <f t="shared" si="3"/>
        <v/>
      </c>
      <c r="P2586" s="265" t="str">
        <f>IFERROR(__xludf.DUMMYFUNCTION("IF(ISBLANK(A2586),"""",IFERROR(IF(H2586=""Sell"",VLOOKUP(9^99,FILTER({ROW(P$2:P2585),P$2:P2585},D$2:D2585=D2586),2),(VLOOKUP(9^99,FILTER({ROW(P$2:P2585),P$2:P2585},D$2:D2585=D2586),2)*VLOOKUP(9^99,FILTER({ROW(O$2:O2585),O$2:O2585},D$2:D2585=D2586),2)-N258"&amp;"6)/O2586),J2586))"),"")</f>
        <v/>
      </c>
      <c r="Q2586" s="264" t="str">
        <f>IFERROR(__xludf.DUMMYFUNCTION("IFERROR(IF(F2586=""Crypto"",B2586,(IF(ISBLANK(D2586),"""",IF(D2586=""Cash"",B2586,IF(GOOGLEFINANCE(D2586,""CURRENCY"")=""GBX"",""GBP"",GOOGLEFINANCE(D2586,""CURRENCY"")))))),B2586)"),"")</f>
        <v/>
      </c>
      <c r="R2586" s="263" t="str">
        <f>IFERROR(__xludf.DUMMYFUNCTION("IF(ISBLANK(A2586),"""",IFERROR(IF(OR(Q2586=""GPB"",Q2586=""ZAR""),IF(Q2586=Dashboard!$L$1,K2586,(K2586*GOOGLEFINANCE(""CURRENCY:""&amp;Q2586&amp;""""&amp;Dashboard!$L$1&amp;""""))/100),IF(Q2586=Dashboard!$L$1,K2586,K2586*GOOGLEFINANCE(""CURRENCY:""&amp;Q2586&amp;""""&amp;Dashboard!$"&amp;"L$1&amp;""""))),K2586))"),"")</f>
        <v/>
      </c>
      <c r="S2586" s="266" t="str">
        <f>IFERROR(__xludf.DUMMYFUNCTION("IF(ISBLANK(A2586),"""",IFERROR(IF(OR(Q2586=""GPB"",Q2586=""ZAR""),IF(Q2586=Dashboard!$L$1,M2586,(M2586*GOOGLEFINANCE(""CURRENCY:""&amp;Q2586&amp;""""&amp;Dashboard!$L$1&amp;""""))/100),IF(Q2586=Dashboard!$L$1,M2586,M2586*GOOGLEFINANCE(""CURRENCY:""&amp;Q2586&amp;""""&amp;Dashboard!$"&amp;"L$1&amp;""""))),M2586))"),"")</f>
        <v/>
      </c>
      <c r="T2586" s="264" t="str">
        <f t="shared" si="4"/>
        <v/>
      </c>
      <c r="U2586" s="264" t="str">
        <f t="shared" si="5"/>
        <v/>
      </c>
      <c r="V2586" s="264" t="str">
        <f t="shared" si="6"/>
        <v/>
      </c>
      <c r="W2586" s="267" t="str">
        <f t="shared" si="8"/>
        <v/>
      </c>
      <c r="X2586" s="264" t="str">
        <f t="shared" si="7"/>
        <v/>
      </c>
    </row>
    <row r="2587" ht="15.75" customHeight="1">
      <c r="A2587" s="258"/>
      <c r="B2587" s="258"/>
      <c r="C2587" s="269"/>
      <c r="D2587" s="258"/>
      <c r="E2587" s="258"/>
      <c r="F2587" s="258"/>
      <c r="G2587" s="258"/>
      <c r="H2587" s="271"/>
      <c r="I2587" s="258"/>
      <c r="J2587" s="272"/>
      <c r="K2587" s="260"/>
      <c r="L2587" s="261"/>
      <c r="M2587" s="262" t="str">
        <f t="shared" si="1"/>
        <v/>
      </c>
      <c r="N2587" s="263" t="str">
        <f t="shared" si="2"/>
        <v/>
      </c>
      <c r="O2587" s="264" t="str">
        <f t="shared" si="3"/>
        <v/>
      </c>
      <c r="P2587" s="265" t="str">
        <f>IFERROR(__xludf.DUMMYFUNCTION("IF(ISBLANK(A2587),"""",IFERROR(IF(H2587=""Sell"",VLOOKUP(9^99,FILTER({ROW(P$2:P2586),P$2:P2586},D$2:D2586=D2587),2),(VLOOKUP(9^99,FILTER({ROW(P$2:P2586),P$2:P2586},D$2:D2586=D2587),2)*VLOOKUP(9^99,FILTER({ROW(O$2:O2586),O$2:O2586},D$2:D2586=D2587),2)-N258"&amp;"7)/O2587),J2587))"),"")</f>
        <v/>
      </c>
      <c r="Q2587" s="264" t="str">
        <f>IFERROR(__xludf.DUMMYFUNCTION("IFERROR(IF(F2587=""Crypto"",B2587,(IF(ISBLANK(D2587),"""",IF(D2587=""Cash"",B2587,IF(GOOGLEFINANCE(D2587,""CURRENCY"")=""GBX"",""GBP"",GOOGLEFINANCE(D2587,""CURRENCY"")))))),B2587)"),"")</f>
        <v/>
      </c>
      <c r="R2587" s="263" t="str">
        <f>IFERROR(__xludf.DUMMYFUNCTION("IF(ISBLANK(A2587),"""",IFERROR(IF(OR(Q2587=""GPB"",Q2587=""ZAR""),IF(Q2587=Dashboard!$L$1,K2587,(K2587*GOOGLEFINANCE(""CURRENCY:""&amp;Q2587&amp;""""&amp;Dashboard!$L$1&amp;""""))/100),IF(Q2587=Dashboard!$L$1,K2587,K2587*GOOGLEFINANCE(""CURRENCY:""&amp;Q2587&amp;""""&amp;Dashboard!$"&amp;"L$1&amp;""""))),K2587))"),"")</f>
        <v/>
      </c>
      <c r="S2587" s="266" t="str">
        <f>IFERROR(__xludf.DUMMYFUNCTION("IF(ISBLANK(A2587),"""",IFERROR(IF(OR(Q2587=""GPB"",Q2587=""ZAR""),IF(Q2587=Dashboard!$L$1,M2587,(M2587*GOOGLEFINANCE(""CURRENCY:""&amp;Q2587&amp;""""&amp;Dashboard!$L$1&amp;""""))/100),IF(Q2587=Dashboard!$L$1,M2587,M2587*GOOGLEFINANCE(""CURRENCY:""&amp;Q2587&amp;""""&amp;Dashboard!$"&amp;"L$1&amp;""""))),M2587))"),"")</f>
        <v/>
      </c>
      <c r="T2587" s="264" t="str">
        <f t="shared" si="4"/>
        <v/>
      </c>
      <c r="U2587" s="264" t="str">
        <f t="shared" si="5"/>
        <v/>
      </c>
      <c r="V2587" s="264" t="str">
        <f t="shared" si="6"/>
        <v/>
      </c>
      <c r="W2587" s="267" t="str">
        <f t="shared" si="8"/>
        <v/>
      </c>
      <c r="X2587" s="264" t="str">
        <f t="shared" si="7"/>
        <v/>
      </c>
    </row>
    <row r="2588" ht="15.75" customHeight="1">
      <c r="A2588" s="258"/>
      <c r="B2588" s="258"/>
      <c r="C2588" s="269"/>
      <c r="D2588" s="258"/>
      <c r="E2588" s="258"/>
      <c r="F2588" s="258"/>
      <c r="G2588" s="258"/>
      <c r="H2588" s="271"/>
      <c r="I2588" s="258"/>
      <c r="J2588" s="272"/>
      <c r="K2588" s="260"/>
      <c r="L2588" s="261"/>
      <c r="M2588" s="262" t="str">
        <f t="shared" si="1"/>
        <v/>
      </c>
      <c r="N2588" s="263" t="str">
        <f t="shared" si="2"/>
        <v/>
      </c>
      <c r="O2588" s="264" t="str">
        <f t="shared" si="3"/>
        <v/>
      </c>
      <c r="P2588" s="265" t="str">
        <f>IFERROR(__xludf.DUMMYFUNCTION("IF(ISBLANK(A2588),"""",IFERROR(IF(H2588=""Sell"",VLOOKUP(9^99,FILTER({ROW(P$2:P2587),P$2:P2587},D$2:D2587=D2588),2),(VLOOKUP(9^99,FILTER({ROW(P$2:P2587),P$2:P2587},D$2:D2587=D2588),2)*VLOOKUP(9^99,FILTER({ROW(O$2:O2587),O$2:O2587},D$2:D2587=D2588),2)-N258"&amp;"8)/O2588),J2588))"),"")</f>
        <v/>
      </c>
      <c r="Q2588" s="264" t="str">
        <f>IFERROR(__xludf.DUMMYFUNCTION("IFERROR(IF(F2588=""Crypto"",B2588,(IF(ISBLANK(D2588),"""",IF(D2588=""Cash"",B2588,IF(GOOGLEFINANCE(D2588,""CURRENCY"")=""GBX"",""GBP"",GOOGLEFINANCE(D2588,""CURRENCY"")))))),B2588)"),"")</f>
        <v/>
      </c>
      <c r="R2588" s="263" t="str">
        <f>IFERROR(__xludf.DUMMYFUNCTION("IF(ISBLANK(A2588),"""",IFERROR(IF(OR(Q2588=""GPB"",Q2588=""ZAR""),IF(Q2588=Dashboard!$L$1,K2588,(K2588*GOOGLEFINANCE(""CURRENCY:""&amp;Q2588&amp;""""&amp;Dashboard!$L$1&amp;""""))/100),IF(Q2588=Dashboard!$L$1,K2588,K2588*GOOGLEFINANCE(""CURRENCY:""&amp;Q2588&amp;""""&amp;Dashboard!$"&amp;"L$1&amp;""""))),K2588))"),"")</f>
        <v/>
      </c>
      <c r="S2588" s="266" t="str">
        <f>IFERROR(__xludf.DUMMYFUNCTION("IF(ISBLANK(A2588),"""",IFERROR(IF(OR(Q2588=""GPB"",Q2588=""ZAR""),IF(Q2588=Dashboard!$L$1,M2588,(M2588*GOOGLEFINANCE(""CURRENCY:""&amp;Q2588&amp;""""&amp;Dashboard!$L$1&amp;""""))/100),IF(Q2588=Dashboard!$L$1,M2588,M2588*GOOGLEFINANCE(""CURRENCY:""&amp;Q2588&amp;""""&amp;Dashboard!$"&amp;"L$1&amp;""""))),M2588))"),"")</f>
        <v/>
      </c>
      <c r="T2588" s="264" t="str">
        <f t="shared" si="4"/>
        <v/>
      </c>
      <c r="U2588" s="264" t="str">
        <f t="shared" si="5"/>
        <v/>
      </c>
      <c r="V2588" s="264" t="str">
        <f t="shared" si="6"/>
        <v/>
      </c>
      <c r="W2588" s="267" t="str">
        <f t="shared" si="8"/>
        <v/>
      </c>
      <c r="X2588" s="264" t="str">
        <f t="shared" si="7"/>
        <v/>
      </c>
    </row>
    <row r="2589" ht="15.75" customHeight="1">
      <c r="A2589" s="258"/>
      <c r="B2589" s="258"/>
      <c r="C2589" s="269"/>
      <c r="D2589" s="258"/>
      <c r="E2589" s="258"/>
      <c r="F2589" s="258"/>
      <c r="G2589" s="258"/>
      <c r="H2589" s="271"/>
      <c r="I2589" s="258"/>
      <c r="J2589" s="272"/>
      <c r="K2589" s="260"/>
      <c r="L2589" s="261"/>
      <c r="M2589" s="262" t="str">
        <f t="shared" si="1"/>
        <v/>
      </c>
      <c r="N2589" s="263" t="str">
        <f t="shared" si="2"/>
        <v/>
      </c>
      <c r="O2589" s="264" t="str">
        <f t="shared" si="3"/>
        <v/>
      </c>
      <c r="P2589" s="265" t="str">
        <f>IFERROR(__xludf.DUMMYFUNCTION("IF(ISBLANK(A2589),"""",IFERROR(IF(H2589=""Sell"",VLOOKUP(9^99,FILTER({ROW(P$2:P2588),P$2:P2588},D$2:D2588=D2589),2),(VLOOKUP(9^99,FILTER({ROW(P$2:P2588),P$2:P2588},D$2:D2588=D2589),2)*VLOOKUP(9^99,FILTER({ROW(O$2:O2588),O$2:O2588},D$2:D2588=D2589),2)-N258"&amp;"9)/O2589),J2589))"),"")</f>
        <v/>
      </c>
      <c r="Q2589" s="264" t="str">
        <f>IFERROR(__xludf.DUMMYFUNCTION("IFERROR(IF(F2589=""Crypto"",B2589,(IF(ISBLANK(D2589),"""",IF(D2589=""Cash"",B2589,IF(GOOGLEFINANCE(D2589,""CURRENCY"")=""GBX"",""GBP"",GOOGLEFINANCE(D2589,""CURRENCY"")))))),B2589)"),"")</f>
        <v/>
      </c>
      <c r="R2589" s="263" t="str">
        <f>IFERROR(__xludf.DUMMYFUNCTION("IF(ISBLANK(A2589),"""",IFERROR(IF(OR(Q2589=""GPB"",Q2589=""ZAR""),IF(Q2589=Dashboard!$L$1,K2589,(K2589*GOOGLEFINANCE(""CURRENCY:""&amp;Q2589&amp;""""&amp;Dashboard!$L$1&amp;""""))/100),IF(Q2589=Dashboard!$L$1,K2589,K2589*GOOGLEFINANCE(""CURRENCY:""&amp;Q2589&amp;""""&amp;Dashboard!$"&amp;"L$1&amp;""""))),K2589))"),"")</f>
        <v/>
      </c>
      <c r="S2589" s="266" t="str">
        <f>IFERROR(__xludf.DUMMYFUNCTION("IF(ISBLANK(A2589),"""",IFERROR(IF(OR(Q2589=""GPB"",Q2589=""ZAR""),IF(Q2589=Dashboard!$L$1,M2589,(M2589*GOOGLEFINANCE(""CURRENCY:""&amp;Q2589&amp;""""&amp;Dashboard!$L$1&amp;""""))/100),IF(Q2589=Dashboard!$L$1,M2589,M2589*GOOGLEFINANCE(""CURRENCY:""&amp;Q2589&amp;""""&amp;Dashboard!$"&amp;"L$1&amp;""""))),M2589))"),"")</f>
        <v/>
      </c>
      <c r="T2589" s="264" t="str">
        <f t="shared" si="4"/>
        <v/>
      </c>
      <c r="U2589" s="264" t="str">
        <f t="shared" si="5"/>
        <v/>
      </c>
      <c r="V2589" s="264" t="str">
        <f t="shared" si="6"/>
        <v/>
      </c>
      <c r="W2589" s="267" t="str">
        <f t="shared" si="8"/>
        <v/>
      </c>
      <c r="X2589" s="264" t="str">
        <f t="shared" si="7"/>
        <v/>
      </c>
    </row>
    <row r="2590" ht="15.75" customHeight="1">
      <c r="A2590" s="258"/>
      <c r="B2590" s="258"/>
      <c r="C2590" s="269"/>
      <c r="D2590" s="258"/>
      <c r="E2590" s="258"/>
      <c r="F2590" s="258"/>
      <c r="G2590" s="258"/>
      <c r="H2590" s="271"/>
      <c r="I2590" s="258"/>
      <c r="J2590" s="272"/>
      <c r="K2590" s="260"/>
      <c r="L2590" s="261"/>
      <c r="M2590" s="262" t="str">
        <f t="shared" si="1"/>
        <v/>
      </c>
      <c r="N2590" s="263" t="str">
        <f t="shared" si="2"/>
        <v/>
      </c>
      <c r="O2590" s="264" t="str">
        <f t="shared" si="3"/>
        <v/>
      </c>
      <c r="P2590" s="265" t="str">
        <f>IFERROR(__xludf.DUMMYFUNCTION("IF(ISBLANK(A2590),"""",IFERROR(IF(H2590=""Sell"",VLOOKUP(9^99,FILTER({ROW(P$2:P2589),P$2:P2589},D$2:D2589=D2590),2),(VLOOKUP(9^99,FILTER({ROW(P$2:P2589),P$2:P2589},D$2:D2589=D2590),2)*VLOOKUP(9^99,FILTER({ROW(O$2:O2589),O$2:O2589},D$2:D2589=D2590),2)-N259"&amp;"0)/O2590),J2590))"),"")</f>
        <v/>
      </c>
      <c r="Q2590" s="264" t="str">
        <f>IFERROR(__xludf.DUMMYFUNCTION("IFERROR(IF(F2590=""Crypto"",B2590,(IF(ISBLANK(D2590),"""",IF(D2590=""Cash"",B2590,IF(GOOGLEFINANCE(D2590,""CURRENCY"")=""GBX"",""GBP"",GOOGLEFINANCE(D2590,""CURRENCY"")))))),B2590)"),"")</f>
        <v/>
      </c>
      <c r="R2590" s="263" t="str">
        <f>IFERROR(__xludf.DUMMYFUNCTION("IF(ISBLANK(A2590),"""",IFERROR(IF(OR(Q2590=""GPB"",Q2590=""ZAR""),IF(Q2590=Dashboard!$L$1,K2590,(K2590*GOOGLEFINANCE(""CURRENCY:""&amp;Q2590&amp;""""&amp;Dashboard!$L$1&amp;""""))/100),IF(Q2590=Dashboard!$L$1,K2590,K2590*GOOGLEFINANCE(""CURRENCY:""&amp;Q2590&amp;""""&amp;Dashboard!$"&amp;"L$1&amp;""""))),K2590))"),"")</f>
        <v/>
      </c>
      <c r="S2590" s="266" t="str">
        <f>IFERROR(__xludf.DUMMYFUNCTION("IF(ISBLANK(A2590),"""",IFERROR(IF(OR(Q2590=""GPB"",Q2590=""ZAR""),IF(Q2590=Dashboard!$L$1,M2590,(M2590*GOOGLEFINANCE(""CURRENCY:""&amp;Q2590&amp;""""&amp;Dashboard!$L$1&amp;""""))/100),IF(Q2590=Dashboard!$L$1,M2590,M2590*GOOGLEFINANCE(""CURRENCY:""&amp;Q2590&amp;""""&amp;Dashboard!$"&amp;"L$1&amp;""""))),M2590))"),"")</f>
        <v/>
      </c>
      <c r="T2590" s="264" t="str">
        <f t="shared" si="4"/>
        <v/>
      </c>
      <c r="U2590" s="264" t="str">
        <f t="shared" si="5"/>
        <v/>
      </c>
      <c r="V2590" s="264" t="str">
        <f t="shared" si="6"/>
        <v/>
      </c>
      <c r="W2590" s="267" t="str">
        <f t="shared" si="8"/>
        <v/>
      </c>
      <c r="X2590" s="264" t="str">
        <f t="shared" si="7"/>
        <v/>
      </c>
    </row>
    <row r="2591" ht="15.75" customHeight="1">
      <c r="A2591" s="258"/>
      <c r="B2591" s="258"/>
      <c r="C2591" s="269"/>
      <c r="D2591" s="258"/>
      <c r="E2591" s="258"/>
      <c r="F2591" s="258"/>
      <c r="G2591" s="258"/>
      <c r="H2591" s="271"/>
      <c r="I2591" s="258"/>
      <c r="J2591" s="272"/>
      <c r="K2591" s="260"/>
      <c r="L2591" s="261"/>
      <c r="M2591" s="262" t="str">
        <f t="shared" si="1"/>
        <v/>
      </c>
      <c r="N2591" s="263" t="str">
        <f t="shared" si="2"/>
        <v/>
      </c>
      <c r="O2591" s="264" t="str">
        <f t="shared" si="3"/>
        <v/>
      </c>
      <c r="P2591" s="265" t="str">
        <f>IFERROR(__xludf.DUMMYFUNCTION("IF(ISBLANK(A2591),"""",IFERROR(IF(H2591=""Sell"",VLOOKUP(9^99,FILTER({ROW(P$2:P2590),P$2:P2590},D$2:D2590=D2591),2),(VLOOKUP(9^99,FILTER({ROW(P$2:P2590),P$2:P2590},D$2:D2590=D2591),2)*VLOOKUP(9^99,FILTER({ROW(O$2:O2590),O$2:O2590},D$2:D2590=D2591),2)-N259"&amp;"1)/O2591),J2591))"),"")</f>
        <v/>
      </c>
      <c r="Q2591" s="264" t="str">
        <f>IFERROR(__xludf.DUMMYFUNCTION("IFERROR(IF(F2591=""Crypto"",B2591,(IF(ISBLANK(D2591),"""",IF(D2591=""Cash"",B2591,IF(GOOGLEFINANCE(D2591,""CURRENCY"")=""GBX"",""GBP"",GOOGLEFINANCE(D2591,""CURRENCY"")))))),B2591)"),"")</f>
        <v/>
      </c>
      <c r="R2591" s="263" t="str">
        <f>IFERROR(__xludf.DUMMYFUNCTION("IF(ISBLANK(A2591),"""",IFERROR(IF(OR(Q2591=""GPB"",Q2591=""ZAR""),IF(Q2591=Dashboard!$L$1,K2591,(K2591*GOOGLEFINANCE(""CURRENCY:""&amp;Q2591&amp;""""&amp;Dashboard!$L$1&amp;""""))/100),IF(Q2591=Dashboard!$L$1,K2591,K2591*GOOGLEFINANCE(""CURRENCY:""&amp;Q2591&amp;""""&amp;Dashboard!$"&amp;"L$1&amp;""""))),K2591))"),"")</f>
        <v/>
      </c>
      <c r="S2591" s="266" t="str">
        <f>IFERROR(__xludf.DUMMYFUNCTION("IF(ISBLANK(A2591),"""",IFERROR(IF(OR(Q2591=""GPB"",Q2591=""ZAR""),IF(Q2591=Dashboard!$L$1,M2591,(M2591*GOOGLEFINANCE(""CURRENCY:""&amp;Q2591&amp;""""&amp;Dashboard!$L$1&amp;""""))/100),IF(Q2591=Dashboard!$L$1,M2591,M2591*GOOGLEFINANCE(""CURRENCY:""&amp;Q2591&amp;""""&amp;Dashboard!$"&amp;"L$1&amp;""""))),M2591))"),"")</f>
        <v/>
      </c>
      <c r="T2591" s="264" t="str">
        <f t="shared" si="4"/>
        <v/>
      </c>
      <c r="U2591" s="264" t="str">
        <f t="shared" si="5"/>
        <v/>
      </c>
      <c r="V2591" s="264" t="str">
        <f t="shared" si="6"/>
        <v/>
      </c>
      <c r="W2591" s="267" t="str">
        <f t="shared" si="8"/>
        <v/>
      </c>
      <c r="X2591" s="264" t="str">
        <f t="shared" si="7"/>
        <v/>
      </c>
    </row>
    <row r="2592" ht="15.75" customHeight="1">
      <c r="A2592" s="258"/>
      <c r="B2592" s="258"/>
      <c r="C2592" s="269"/>
      <c r="D2592" s="258"/>
      <c r="E2592" s="258"/>
      <c r="F2592" s="258"/>
      <c r="G2592" s="258"/>
      <c r="H2592" s="271"/>
      <c r="I2592" s="258"/>
      <c r="J2592" s="272"/>
      <c r="K2592" s="260"/>
      <c r="L2592" s="261"/>
      <c r="M2592" s="262" t="str">
        <f t="shared" si="1"/>
        <v/>
      </c>
      <c r="N2592" s="263" t="str">
        <f t="shared" si="2"/>
        <v/>
      </c>
      <c r="O2592" s="264" t="str">
        <f t="shared" si="3"/>
        <v/>
      </c>
      <c r="P2592" s="265" t="str">
        <f>IFERROR(__xludf.DUMMYFUNCTION("IF(ISBLANK(A2592),"""",IFERROR(IF(H2592=""Sell"",VLOOKUP(9^99,FILTER({ROW(P$2:P2591),P$2:P2591},D$2:D2591=D2592),2),(VLOOKUP(9^99,FILTER({ROW(P$2:P2591),P$2:P2591},D$2:D2591=D2592),2)*VLOOKUP(9^99,FILTER({ROW(O$2:O2591),O$2:O2591},D$2:D2591=D2592),2)-N259"&amp;"2)/O2592),J2592))"),"")</f>
        <v/>
      </c>
      <c r="Q2592" s="264" t="str">
        <f>IFERROR(__xludf.DUMMYFUNCTION("IFERROR(IF(F2592=""Crypto"",B2592,(IF(ISBLANK(D2592),"""",IF(D2592=""Cash"",B2592,IF(GOOGLEFINANCE(D2592,""CURRENCY"")=""GBX"",""GBP"",GOOGLEFINANCE(D2592,""CURRENCY"")))))),B2592)"),"")</f>
        <v/>
      </c>
      <c r="R2592" s="263" t="str">
        <f>IFERROR(__xludf.DUMMYFUNCTION("IF(ISBLANK(A2592),"""",IFERROR(IF(OR(Q2592=""GPB"",Q2592=""ZAR""),IF(Q2592=Dashboard!$L$1,K2592,(K2592*GOOGLEFINANCE(""CURRENCY:""&amp;Q2592&amp;""""&amp;Dashboard!$L$1&amp;""""))/100),IF(Q2592=Dashboard!$L$1,K2592,K2592*GOOGLEFINANCE(""CURRENCY:""&amp;Q2592&amp;""""&amp;Dashboard!$"&amp;"L$1&amp;""""))),K2592))"),"")</f>
        <v/>
      </c>
      <c r="S2592" s="266" t="str">
        <f>IFERROR(__xludf.DUMMYFUNCTION("IF(ISBLANK(A2592),"""",IFERROR(IF(OR(Q2592=""GPB"",Q2592=""ZAR""),IF(Q2592=Dashboard!$L$1,M2592,(M2592*GOOGLEFINANCE(""CURRENCY:""&amp;Q2592&amp;""""&amp;Dashboard!$L$1&amp;""""))/100),IF(Q2592=Dashboard!$L$1,M2592,M2592*GOOGLEFINANCE(""CURRENCY:""&amp;Q2592&amp;""""&amp;Dashboard!$"&amp;"L$1&amp;""""))),M2592))"),"")</f>
        <v/>
      </c>
      <c r="T2592" s="264" t="str">
        <f t="shared" si="4"/>
        <v/>
      </c>
      <c r="U2592" s="264" t="str">
        <f t="shared" si="5"/>
        <v/>
      </c>
      <c r="V2592" s="264" t="str">
        <f t="shared" si="6"/>
        <v/>
      </c>
      <c r="W2592" s="267" t="str">
        <f t="shared" si="8"/>
        <v/>
      </c>
      <c r="X2592" s="264" t="str">
        <f t="shared" si="7"/>
        <v/>
      </c>
    </row>
    <row r="2593" ht="15.75" customHeight="1">
      <c r="A2593" s="258"/>
      <c r="B2593" s="258"/>
      <c r="C2593" s="269"/>
      <c r="D2593" s="258"/>
      <c r="E2593" s="258"/>
      <c r="F2593" s="258"/>
      <c r="G2593" s="258"/>
      <c r="H2593" s="271"/>
      <c r="I2593" s="258"/>
      <c r="J2593" s="272"/>
      <c r="K2593" s="260"/>
      <c r="L2593" s="261"/>
      <c r="M2593" s="262" t="str">
        <f t="shared" si="1"/>
        <v/>
      </c>
      <c r="N2593" s="263" t="str">
        <f t="shared" si="2"/>
        <v/>
      </c>
      <c r="O2593" s="264" t="str">
        <f t="shared" si="3"/>
        <v/>
      </c>
      <c r="P2593" s="265" t="str">
        <f>IFERROR(__xludf.DUMMYFUNCTION("IF(ISBLANK(A2593),"""",IFERROR(IF(H2593=""Sell"",VLOOKUP(9^99,FILTER({ROW(P$2:P2592),P$2:P2592},D$2:D2592=D2593),2),(VLOOKUP(9^99,FILTER({ROW(P$2:P2592),P$2:P2592},D$2:D2592=D2593),2)*VLOOKUP(9^99,FILTER({ROW(O$2:O2592),O$2:O2592},D$2:D2592=D2593),2)-N259"&amp;"3)/O2593),J2593))"),"")</f>
        <v/>
      </c>
      <c r="Q2593" s="264" t="str">
        <f>IFERROR(__xludf.DUMMYFUNCTION("IFERROR(IF(F2593=""Crypto"",B2593,(IF(ISBLANK(D2593),"""",IF(D2593=""Cash"",B2593,IF(GOOGLEFINANCE(D2593,""CURRENCY"")=""GBX"",""GBP"",GOOGLEFINANCE(D2593,""CURRENCY"")))))),B2593)"),"")</f>
        <v/>
      </c>
      <c r="R2593" s="263" t="str">
        <f>IFERROR(__xludf.DUMMYFUNCTION("IF(ISBLANK(A2593),"""",IFERROR(IF(OR(Q2593=""GPB"",Q2593=""ZAR""),IF(Q2593=Dashboard!$L$1,K2593,(K2593*GOOGLEFINANCE(""CURRENCY:""&amp;Q2593&amp;""""&amp;Dashboard!$L$1&amp;""""))/100),IF(Q2593=Dashboard!$L$1,K2593,K2593*GOOGLEFINANCE(""CURRENCY:""&amp;Q2593&amp;""""&amp;Dashboard!$"&amp;"L$1&amp;""""))),K2593))"),"")</f>
        <v/>
      </c>
      <c r="S2593" s="266" t="str">
        <f>IFERROR(__xludf.DUMMYFUNCTION("IF(ISBLANK(A2593),"""",IFERROR(IF(OR(Q2593=""GPB"",Q2593=""ZAR""),IF(Q2593=Dashboard!$L$1,M2593,(M2593*GOOGLEFINANCE(""CURRENCY:""&amp;Q2593&amp;""""&amp;Dashboard!$L$1&amp;""""))/100),IF(Q2593=Dashboard!$L$1,M2593,M2593*GOOGLEFINANCE(""CURRENCY:""&amp;Q2593&amp;""""&amp;Dashboard!$"&amp;"L$1&amp;""""))),M2593))"),"")</f>
        <v/>
      </c>
      <c r="T2593" s="264" t="str">
        <f t="shared" si="4"/>
        <v/>
      </c>
      <c r="U2593" s="264" t="str">
        <f t="shared" si="5"/>
        <v/>
      </c>
      <c r="V2593" s="264" t="str">
        <f t="shared" si="6"/>
        <v/>
      </c>
      <c r="W2593" s="267" t="str">
        <f t="shared" si="8"/>
        <v/>
      </c>
      <c r="X2593" s="264" t="str">
        <f t="shared" si="7"/>
        <v/>
      </c>
    </row>
    <row r="2594" ht="15.75" customHeight="1">
      <c r="A2594" s="258"/>
      <c r="B2594" s="258"/>
      <c r="C2594" s="269"/>
      <c r="D2594" s="258"/>
      <c r="E2594" s="258"/>
      <c r="F2594" s="258"/>
      <c r="G2594" s="258"/>
      <c r="H2594" s="271"/>
      <c r="I2594" s="258"/>
      <c r="J2594" s="272"/>
      <c r="K2594" s="260"/>
      <c r="L2594" s="261"/>
      <c r="M2594" s="262" t="str">
        <f t="shared" si="1"/>
        <v/>
      </c>
      <c r="N2594" s="263" t="str">
        <f t="shared" si="2"/>
        <v/>
      </c>
      <c r="O2594" s="264" t="str">
        <f t="shared" si="3"/>
        <v/>
      </c>
      <c r="P2594" s="265" t="str">
        <f>IFERROR(__xludf.DUMMYFUNCTION("IF(ISBLANK(A2594),"""",IFERROR(IF(H2594=""Sell"",VLOOKUP(9^99,FILTER({ROW(P$2:P2593),P$2:P2593},D$2:D2593=D2594),2),(VLOOKUP(9^99,FILTER({ROW(P$2:P2593),P$2:P2593},D$2:D2593=D2594),2)*VLOOKUP(9^99,FILTER({ROW(O$2:O2593),O$2:O2593},D$2:D2593=D2594),2)-N259"&amp;"4)/O2594),J2594))"),"")</f>
        <v/>
      </c>
      <c r="Q2594" s="264" t="str">
        <f>IFERROR(__xludf.DUMMYFUNCTION("IFERROR(IF(F2594=""Crypto"",B2594,(IF(ISBLANK(D2594),"""",IF(D2594=""Cash"",B2594,IF(GOOGLEFINANCE(D2594,""CURRENCY"")=""GBX"",""GBP"",GOOGLEFINANCE(D2594,""CURRENCY"")))))),B2594)"),"")</f>
        <v/>
      </c>
      <c r="R2594" s="263" t="str">
        <f>IFERROR(__xludf.DUMMYFUNCTION("IF(ISBLANK(A2594),"""",IFERROR(IF(OR(Q2594=""GPB"",Q2594=""ZAR""),IF(Q2594=Dashboard!$L$1,K2594,(K2594*GOOGLEFINANCE(""CURRENCY:""&amp;Q2594&amp;""""&amp;Dashboard!$L$1&amp;""""))/100),IF(Q2594=Dashboard!$L$1,K2594,K2594*GOOGLEFINANCE(""CURRENCY:""&amp;Q2594&amp;""""&amp;Dashboard!$"&amp;"L$1&amp;""""))),K2594))"),"")</f>
        <v/>
      </c>
      <c r="S2594" s="266" t="str">
        <f>IFERROR(__xludf.DUMMYFUNCTION("IF(ISBLANK(A2594),"""",IFERROR(IF(OR(Q2594=""GPB"",Q2594=""ZAR""),IF(Q2594=Dashboard!$L$1,M2594,(M2594*GOOGLEFINANCE(""CURRENCY:""&amp;Q2594&amp;""""&amp;Dashboard!$L$1&amp;""""))/100),IF(Q2594=Dashboard!$L$1,M2594,M2594*GOOGLEFINANCE(""CURRENCY:""&amp;Q2594&amp;""""&amp;Dashboard!$"&amp;"L$1&amp;""""))),M2594))"),"")</f>
        <v/>
      </c>
      <c r="T2594" s="264" t="str">
        <f t="shared" si="4"/>
        <v/>
      </c>
      <c r="U2594" s="264" t="str">
        <f t="shared" si="5"/>
        <v/>
      </c>
      <c r="V2594" s="264" t="str">
        <f t="shared" si="6"/>
        <v/>
      </c>
      <c r="W2594" s="267" t="str">
        <f t="shared" si="8"/>
        <v/>
      </c>
      <c r="X2594" s="264" t="str">
        <f t="shared" si="7"/>
        <v/>
      </c>
    </row>
    <row r="2595" ht="15.75" customHeight="1">
      <c r="A2595" s="258"/>
      <c r="B2595" s="258"/>
      <c r="C2595" s="269"/>
      <c r="D2595" s="258"/>
      <c r="E2595" s="258"/>
      <c r="F2595" s="258"/>
      <c r="G2595" s="258"/>
      <c r="H2595" s="271"/>
      <c r="I2595" s="258"/>
      <c r="J2595" s="272"/>
      <c r="K2595" s="260"/>
      <c r="L2595" s="261"/>
      <c r="M2595" s="262" t="str">
        <f t="shared" si="1"/>
        <v/>
      </c>
      <c r="N2595" s="263" t="str">
        <f t="shared" si="2"/>
        <v/>
      </c>
      <c r="O2595" s="264" t="str">
        <f t="shared" si="3"/>
        <v/>
      </c>
      <c r="P2595" s="265" t="str">
        <f>IFERROR(__xludf.DUMMYFUNCTION("IF(ISBLANK(A2595),"""",IFERROR(IF(H2595=""Sell"",VLOOKUP(9^99,FILTER({ROW(P$2:P2594),P$2:P2594},D$2:D2594=D2595),2),(VLOOKUP(9^99,FILTER({ROW(P$2:P2594),P$2:P2594},D$2:D2594=D2595),2)*VLOOKUP(9^99,FILTER({ROW(O$2:O2594),O$2:O2594},D$2:D2594=D2595),2)-N259"&amp;"5)/O2595),J2595))"),"")</f>
        <v/>
      </c>
      <c r="Q2595" s="264" t="str">
        <f>IFERROR(__xludf.DUMMYFUNCTION("IFERROR(IF(F2595=""Crypto"",B2595,(IF(ISBLANK(D2595),"""",IF(D2595=""Cash"",B2595,IF(GOOGLEFINANCE(D2595,""CURRENCY"")=""GBX"",""GBP"",GOOGLEFINANCE(D2595,""CURRENCY"")))))),B2595)"),"")</f>
        <v/>
      </c>
      <c r="R2595" s="263" t="str">
        <f>IFERROR(__xludf.DUMMYFUNCTION("IF(ISBLANK(A2595),"""",IFERROR(IF(OR(Q2595=""GPB"",Q2595=""ZAR""),IF(Q2595=Dashboard!$L$1,K2595,(K2595*GOOGLEFINANCE(""CURRENCY:""&amp;Q2595&amp;""""&amp;Dashboard!$L$1&amp;""""))/100),IF(Q2595=Dashboard!$L$1,K2595,K2595*GOOGLEFINANCE(""CURRENCY:""&amp;Q2595&amp;""""&amp;Dashboard!$"&amp;"L$1&amp;""""))),K2595))"),"")</f>
        <v/>
      </c>
      <c r="S2595" s="266" t="str">
        <f>IFERROR(__xludf.DUMMYFUNCTION("IF(ISBLANK(A2595),"""",IFERROR(IF(OR(Q2595=""GPB"",Q2595=""ZAR""),IF(Q2595=Dashboard!$L$1,M2595,(M2595*GOOGLEFINANCE(""CURRENCY:""&amp;Q2595&amp;""""&amp;Dashboard!$L$1&amp;""""))/100),IF(Q2595=Dashboard!$L$1,M2595,M2595*GOOGLEFINANCE(""CURRENCY:""&amp;Q2595&amp;""""&amp;Dashboard!$"&amp;"L$1&amp;""""))),M2595))"),"")</f>
        <v/>
      </c>
      <c r="T2595" s="264" t="str">
        <f t="shared" si="4"/>
        <v/>
      </c>
      <c r="U2595" s="264" t="str">
        <f t="shared" si="5"/>
        <v/>
      </c>
      <c r="V2595" s="264" t="str">
        <f t="shared" si="6"/>
        <v/>
      </c>
      <c r="W2595" s="267" t="str">
        <f t="shared" si="8"/>
        <v/>
      </c>
      <c r="X2595" s="264" t="str">
        <f t="shared" si="7"/>
        <v/>
      </c>
    </row>
    <row r="2596" ht="15.75" customHeight="1">
      <c r="A2596" s="258"/>
      <c r="B2596" s="258"/>
      <c r="C2596" s="269"/>
      <c r="D2596" s="258"/>
      <c r="E2596" s="258"/>
      <c r="F2596" s="258"/>
      <c r="G2596" s="258"/>
      <c r="H2596" s="271"/>
      <c r="I2596" s="258"/>
      <c r="J2596" s="272"/>
      <c r="K2596" s="260"/>
      <c r="L2596" s="261"/>
      <c r="M2596" s="262" t="str">
        <f t="shared" si="1"/>
        <v/>
      </c>
      <c r="N2596" s="263" t="str">
        <f t="shared" si="2"/>
        <v/>
      </c>
      <c r="O2596" s="264" t="str">
        <f t="shared" si="3"/>
        <v/>
      </c>
      <c r="P2596" s="265" t="str">
        <f>IFERROR(__xludf.DUMMYFUNCTION("IF(ISBLANK(A2596),"""",IFERROR(IF(H2596=""Sell"",VLOOKUP(9^99,FILTER({ROW(P$2:P2595),P$2:P2595},D$2:D2595=D2596),2),(VLOOKUP(9^99,FILTER({ROW(P$2:P2595),P$2:P2595},D$2:D2595=D2596),2)*VLOOKUP(9^99,FILTER({ROW(O$2:O2595),O$2:O2595},D$2:D2595=D2596),2)-N259"&amp;"6)/O2596),J2596))"),"")</f>
        <v/>
      </c>
      <c r="Q2596" s="264" t="str">
        <f>IFERROR(__xludf.DUMMYFUNCTION("IFERROR(IF(F2596=""Crypto"",B2596,(IF(ISBLANK(D2596),"""",IF(D2596=""Cash"",B2596,IF(GOOGLEFINANCE(D2596,""CURRENCY"")=""GBX"",""GBP"",GOOGLEFINANCE(D2596,""CURRENCY"")))))),B2596)"),"")</f>
        <v/>
      </c>
      <c r="R2596" s="263" t="str">
        <f>IFERROR(__xludf.DUMMYFUNCTION("IF(ISBLANK(A2596),"""",IFERROR(IF(OR(Q2596=""GPB"",Q2596=""ZAR""),IF(Q2596=Dashboard!$L$1,K2596,(K2596*GOOGLEFINANCE(""CURRENCY:""&amp;Q2596&amp;""""&amp;Dashboard!$L$1&amp;""""))/100),IF(Q2596=Dashboard!$L$1,K2596,K2596*GOOGLEFINANCE(""CURRENCY:""&amp;Q2596&amp;""""&amp;Dashboard!$"&amp;"L$1&amp;""""))),K2596))"),"")</f>
        <v/>
      </c>
      <c r="S2596" s="266" t="str">
        <f>IFERROR(__xludf.DUMMYFUNCTION("IF(ISBLANK(A2596),"""",IFERROR(IF(OR(Q2596=""GPB"",Q2596=""ZAR""),IF(Q2596=Dashboard!$L$1,M2596,(M2596*GOOGLEFINANCE(""CURRENCY:""&amp;Q2596&amp;""""&amp;Dashboard!$L$1&amp;""""))/100),IF(Q2596=Dashboard!$L$1,M2596,M2596*GOOGLEFINANCE(""CURRENCY:""&amp;Q2596&amp;""""&amp;Dashboard!$"&amp;"L$1&amp;""""))),M2596))"),"")</f>
        <v/>
      </c>
      <c r="T2596" s="264" t="str">
        <f t="shared" si="4"/>
        <v/>
      </c>
      <c r="U2596" s="264" t="str">
        <f t="shared" si="5"/>
        <v/>
      </c>
      <c r="V2596" s="264" t="str">
        <f t="shared" si="6"/>
        <v/>
      </c>
      <c r="W2596" s="267" t="str">
        <f t="shared" si="8"/>
        <v/>
      </c>
      <c r="X2596" s="264" t="str">
        <f t="shared" si="7"/>
        <v/>
      </c>
    </row>
    <row r="2597" ht="15.75" customHeight="1">
      <c r="A2597" s="258"/>
      <c r="B2597" s="258"/>
      <c r="C2597" s="269"/>
      <c r="D2597" s="258"/>
      <c r="E2597" s="258"/>
      <c r="F2597" s="258"/>
      <c r="G2597" s="258"/>
      <c r="H2597" s="271"/>
      <c r="I2597" s="258"/>
      <c r="J2597" s="272"/>
      <c r="K2597" s="260"/>
      <c r="L2597" s="261"/>
      <c r="M2597" s="262" t="str">
        <f t="shared" si="1"/>
        <v/>
      </c>
      <c r="N2597" s="263" t="str">
        <f t="shared" si="2"/>
        <v/>
      </c>
      <c r="O2597" s="264" t="str">
        <f t="shared" si="3"/>
        <v/>
      </c>
      <c r="P2597" s="265" t="str">
        <f>IFERROR(__xludf.DUMMYFUNCTION("IF(ISBLANK(A2597),"""",IFERROR(IF(H2597=""Sell"",VLOOKUP(9^99,FILTER({ROW(P$2:P2596),P$2:P2596},D$2:D2596=D2597),2),(VLOOKUP(9^99,FILTER({ROW(P$2:P2596),P$2:P2596},D$2:D2596=D2597),2)*VLOOKUP(9^99,FILTER({ROW(O$2:O2596),O$2:O2596},D$2:D2596=D2597),2)-N259"&amp;"7)/O2597),J2597))"),"")</f>
        <v/>
      </c>
      <c r="Q2597" s="264" t="str">
        <f>IFERROR(__xludf.DUMMYFUNCTION("IFERROR(IF(F2597=""Crypto"",B2597,(IF(ISBLANK(D2597),"""",IF(D2597=""Cash"",B2597,IF(GOOGLEFINANCE(D2597,""CURRENCY"")=""GBX"",""GBP"",GOOGLEFINANCE(D2597,""CURRENCY"")))))),B2597)"),"")</f>
        <v/>
      </c>
      <c r="R2597" s="263" t="str">
        <f>IFERROR(__xludf.DUMMYFUNCTION("IF(ISBLANK(A2597),"""",IFERROR(IF(OR(Q2597=""GPB"",Q2597=""ZAR""),IF(Q2597=Dashboard!$L$1,K2597,(K2597*GOOGLEFINANCE(""CURRENCY:""&amp;Q2597&amp;""""&amp;Dashboard!$L$1&amp;""""))/100),IF(Q2597=Dashboard!$L$1,K2597,K2597*GOOGLEFINANCE(""CURRENCY:""&amp;Q2597&amp;""""&amp;Dashboard!$"&amp;"L$1&amp;""""))),K2597))"),"")</f>
        <v/>
      </c>
      <c r="S2597" s="266" t="str">
        <f>IFERROR(__xludf.DUMMYFUNCTION("IF(ISBLANK(A2597),"""",IFERROR(IF(OR(Q2597=""GPB"",Q2597=""ZAR""),IF(Q2597=Dashboard!$L$1,M2597,(M2597*GOOGLEFINANCE(""CURRENCY:""&amp;Q2597&amp;""""&amp;Dashboard!$L$1&amp;""""))/100),IF(Q2597=Dashboard!$L$1,M2597,M2597*GOOGLEFINANCE(""CURRENCY:""&amp;Q2597&amp;""""&amp;Dashboard!$"&amp;"L$1&amp;""""))),M2597))"),"")</f>
        <v/>
      </c>
      <c r="T2597" s="264" t="str">
        <f t="shared" si="4"/>
        <v/>
      </c>
      <c r="U2597" s="264" t="str">
        <f t="shared" si="5"/>
        <v/>
      </c>
      <c r="V2597" s="264" t="str">
        <f t="shared" si="6"/>
        <v/>
      </c>
      <c r="W2597" s="267" t="str">
        <f t="shared" si="8"/>
        <v/>
      </c>
      <c r="X2597" s="264" t="str">
        <f t="shared" si="7"/>
        <v/>
      </c>
    </row>
    <row r="2598" ht="15.75" customHeight="1">
      <c r="A2598" s="258"/>
      <c r="B2598" s="258"/>
      <c r="C2598" s="269"/>
      <c r="D2598" s="258"/>
      <c r="E2598" s="258"/>
      <c r="F2598" s="258"/>
      <c r="G2598" s="258"/>
      <c r="H2598" s="271"/>
      <c r="I2598" s="258"/>
      <c r="J2598" s="272"/>
      <c r="K2598" s="260"/>
      <c r="L2598" s="261"/>
      <c r="M2598" s="262" t="str">
        <f t="shared" si="1"/>
        <v/>
      </c>
      <c r="N2598" s="263" t="str">
        <f t="shared" si="2"/>
        <v/>
      </c>
      <c r="O2598" s="264" t="str">
        <f t="shared" si="3"/>
        <v/>
      </c>
      <c r="P2598" s="265" t="str">
        <f>IFERROR(__xludf.DUMMYFUNCTION("IF(ISBLANK(A2598),"""",IFERROR(IF(H2598=""Sell"",VLOOKUP(9^99,FILTER({ROW(P$2:P2597),P$2:P2597},D$2:D2597=D2598),2),(VLOOKUP(9^99,FILTER({ROW(P$2:P2597),P$2:P2597},D$2:D2597=D2598),2)*VLOOKUP(9^99,FILTER({ROW(O$2:O2597),O$2:O2597},D$2:D2597=D2598),2)-N259"&amp;"8)/O2598),J2598))"),"")</f>
        <v/>
      </c>
      <c r="Q2598" s="264" t="str">
        <f>IFERROR(__xludf.DUMMYFUNCTION("IFERROR(IF(F2598=""Crypto"",B2598,(IF(ISBLANK(D2598),"""",IF(D2598=""Cash"",B2598,IF(GOOGLEFINANCE(D2598,""CURRENCY"")=""GBX"",""GBP"",GOOGLEFINANCE(D2598,""CURRENCY"")))))),B2598)"),"")</f>
        <v/>
      </c>
      <c r="R2598" s="263" t="str">
        <f>IFERROR(__xludf.DUMMYFUNCTION("IF(ISBLANK(A2598),"""",IFERROR(IF(OR(Q2598=""GPB"",Q2598=""ZAR""),IF(Q2598=Dashboard!$L$1,K2598,(K2598*GOOGLEFINANCE(""CURRENCY:""&amp;Q2598&amp;""""&amp;Dashboard!$L$1&amp;""""))/100),IF(Q2598=Dashboard!$L$1,K2598,K2598*GOOGLEFINANCE(""CURRENCY:""&amp;Q2598&amp;""""&amp;Dashboard!$"&amp;"L$1&amp;""""))),K2598))"),"")</f>
        <v/>
      </c>
      <c r="S2598" s="266" t="str">
        <f>IFERROR(__xludf.DUMMYFUNCTION("IF(ISBLANK(A2598),"""",IFERROR(IF(OR(Q2598=""GPB"",Q2598=""ZAR""),IF(Q2598=Dashboard!$L$1,M2598,(M2598*GOOGLEFINANCE(""CURRENCY:""&amp;Q2598&amp;""""&amp;Dashboard!$L$1&amp;""""))/100),IF(Q2598=Dashboard!$L$1,M2598,M2598*GOOGLEFINANCE(""CURRENCY:""&amp;Q2598&amp;""""&amp;Dashboard!$"&amp;"L$1&amp;""""))),M2598))"),"")</f>
        <v/>
      </c>
      <c r="T2598" s="264" t="str">
        <f t="shared" si="4"/>
        <v/>
      </c>
      <c r="U2598" s="264" t="str">
        <f t="shared" si="5"/>
        <v/>
      </c>
      <c r="V2598" s="264" t="str">
        <f t="shared" si="6"/>
        <v/>
      </c>
      <c r="W2598" s="267" t="str">
        <f t="shared" si="8"/>
        <v/>
      </c>
      <c r="X2598" s="264" t="str">
        <f t="shared" si="7"/>
        <v/>
      </c>
    </row>
    <row r="2599" ht="15.75" customHeight="1">
      <c r="A2599" s="258"/>
      <c r="B2599" s="258"/>
      <c r="C2599" s="269"/>
      <c r="D2599" s="258"/>
      <c r="E2599" s="258"/>
      <c r="F2599" s="258"/>
      <c r="G2599" s="258"/>
      <c r="H2599" s="271"/>
      <c r="I2599" s="258"/>
      <c r="J2599" s="272"/>
      <c r="K2599" s="260"/>
      <c r="L2599" s="261"/>
      <c r="M2599" s="262" t="str">
        <f t="shared" si="1"/>
        <v/>
      </c>
      <c r="N2599" s="263" t="str">
        <f t="shared" si="2"/>
        <v/>
      </c>
      <c r="O2599" s="264" t="str">
        <f t="shared" si="3"/>
        <v/>
      </c>
      <c r="P2599" s="265" t="str">
        <f>IFERROR(__xludf.DUMMYFUNCTION("IF(ISBLANK(A2599),"""",IFERROR(IF(H2599=""Sell"",VLOOKUP(9^99,FILTER({ROW(P$2:P2598),P$2:P2598},D$2:D2598=D2599),2),(VLOOKUP(9^99,FILTER({ROW(P$2:P2598),P$2:P2598},D$2:D2598=D2599),2)*VLOOKUP(9^99,FILTER({ROW(O$2:O2598),O$2:O2598},D$2:D2598=D2599),2)-N259"&amp;"9)/O2599),J2599))"),"")</f>
        <v/>
      </c>
      <c r="Q2599" s="264" t="str">
        <f>IFERROR(__xludf.DUMMYFUNCTION("IFERROR(IF(F2599=""Crypto"",B2599,(IF(ISBLANK(D2599),"""",IF(D2599=""Cash"",B2599,IF(GOOGLEFINANCE(D2599,""CURRENCY"")=""GBX"",""GBP"",GOOGLEFINANCE(D2599,""CURRENCY"")))))),B2599)"),"")</f>
        <v/>
      </c>
      <c r="R2599" s="263" t="str">
        <f>IFERROR(__xludf.DUMMYFUNCTION("IF(ISBLANK(A2599),"""",IFERROR(IF(OR(Q2599=""GPB"",Q2599=""ZAR""),IF(Q2599=Dashboard!$L$1,K2599,(K2599*GOOGLEFINANCE(""CURRENCY:""&amp;Q2599&amp;""""&amp;Dashboard!$L$1&amp;""""))/100),IF(Q2599=Dashboard!$L$1,K2599,K2599*GOOGLEFINANCE(""CURRENCY:""&amp;Q2599&amp;""""&amp;Dashboard!$"&amp;"L$1&amp;""""))),K2599))"),"")</f>
        <v/>
      </c>
      <c r="S2599" s="266" t="str">
        <f>IFERROR(__xludf.DUMMYFUNCTION("IF(ISBLANK(A2599),"""",IFERROR(IF(OR(Q2599=""GPB"",Q2599=""ZAR""),IF(Q2599=Dashboard!$L$1,M2599,(M2599*GOOGLEFINANCE(""CURRENCY:""&amp;Q2599&amp;""""&amp;Dashboard!$L$1&amp;""""))/100),IF(Q2599=Dashboard!$L$1,M2599,M2599*GOOGLEFINANCE(""CURRENCY:""&amp;Q2599&amp;""""&amp;Dashboard!$"&amp;"L$1&amp;""""))),M2599))"),"")</f>
        <v/>
      </c>
      <c r="T2599" s="264" t="str">
        <f t="shared" si="4"/>
        <v/>
      </c>
      <c r="U2599" s="264" t="str">
        <f t="shared" si="5"/>
        <v/>
      </c>
      <c r="V2599" s="264" t="str">
        <f t="shared" si="6"/>
        <v/>
      </c>
      <c r="W2599" s="267" t="str">
        <f t="shared" si="8"/>
        <v/>
      </c>
      <c r="X2599" s="264" t="str">
        <f t="shared" si="7"/>
        <v/>
      </c>
    </row>
    <row r="2600" ht="15.75" customHeight="1">
      <c r="A2600" s="258"/>
      <c r="B2600" s="258"/>
      <c r="C2600" s="269"/>
      <c r="D2600" s="258"/>
      <c r="E2600" s="258"/>
      <c r="F2600" s="258"/>
      <c r="G2600" s="258"/>
      <c r="H2600" s="271"/>
      <c r="I2600" s="258"/>
      <c r="J2600" s="272"/>
      <c r="K2600" s="260"/>
      <c r="L2600" s="261"/>
      <c r="M2600" s="262" t="str">
        <f t="shared" si="1"/>
        <v/>
      </c>
      <c r="N2600" s="263" t="str">
        <f t="shared" si="2"/>
        <v/>
      </c>
      <c r="O2600" s="264" t="str">
        <f t="shared" si="3"/>
        <v/>
      </c>
      <c r="P2600" s="265" t="str">
        <f>IFERROR(__xludf.DUMMYFUNCTION("IF(ISBLANK(A2600),"""",IFERROR(IF(H2600=""Sell"",VLOOKUP(9^99,FILTER({ROW(P$2:P2599),P$2:P2599},D$2:D2599=D2600),2),(VLOOKUP(9^99,FILTER({ROW(P$2:P2599),P$2:P2599},D$2:D2599=D2600),2)*VLOOKUP(9^99,FILTER({ROW(O$2:O2599),O$2:O2599},D$2:D2599=D2600),2)-N260"&amp;"0)/O2600),J2600))"),"")</f>
        <v/>
      </c>
      <c r="Q2600" s="264" t="str">
        <f>IFERROR(__xludf.DUMMYFUNCTION("IFERROR(IF(F2600=""Crypto"",B2600,(IF(ISBLANK(D2600),"""",IF(D2600=""Cash"",B2600,IF(GOOGLEFINANCE(D2600,""CURRENCY"")=""GBX"",""GBP"",GOOGLEFINANCE(D2600,""CURRENCY"")))))),B2600)"),"")</f>
        <v/>
      </c>
      <c r="R2600" s="263" t="str">
        <f>IFERROR(__xludf.DUMMYFUNCTION("IF(ISBLANK(A2600),"""",IFERROR(IF(OR(Q2600=""GPB"",Q2600=""ZAR""),IF(Q2600=Dashboard!$L$1,K2600,(K2600*GOOGLEFINANCE(""CURRENCY:""&amp;Q2600&amp;""""&amp;Dashboard!$L$1&amp;""""))/100),IF(Q2600=Dashboard!$L$1,K2600,K2600*GOOGLEFINANCE(""CURRENCY:""&amp;Q2600&amp;""""&amp;Dashboard!$"&amp;"L$1&amp;""""))),K2600))"),"")</f>
        <v/>
      </c>
      <c r="S2600" s="266" t="str">
        <f>IFERROR(__xludf.DUMMYFUNCTION("IF(ISBLANK(A2600),"""",IFERROR(IF(OR(Q2600=""GPB"",Q2600=""ZAR""),IF(Q2600=Dashboard!$L$1,M2600,(M2600*GOOGLEFINANCE(""CURRENCY:""&amp;Q2600&amp;""""&amp;Dashboard!$L$1&amp;""""))/100),IF(Q2600=Dashboard!$L$1,M2600,M2600*GOOGLEFINANCE(""CURRENCY:""&amp;Q2600&amp;""""&amp;Dashboard!$"&amp;"L$1&amp;""""))),M2600))"),"")</f>
        <v/>
      </c>
      <c r="T2600" s="264" t="str">
        <f t="shared" si="4"/>
        <v/>
      </c>
      <c r="U2600" s="264" t="str">
        <f t="shared" si="5"/>
        <v/>
      </c>
      <c r="V2600" s="264" t="str">
        <f t="shared" si="6"/>
        <v/>
      </c>
      <c r="W2600" s="267" t="str">
        <f t="shared" si="8"/>
        <v/>
      </c>
      <c r="X2600" s="264" t="str">
        <f t="shared" si="7"/>
        <v/>
      </c>
    </row>
    <row r="2601" ht="15.75" customHeight="1">
      <c r="A2601" s="258"/>
      <c r="B2601" s="258"/>
      <c r="C2601" s="269"/>
      <c r="D2601" s="258"/>
      <c r="E2601" s="258"/>
      <c r="F2601" s="258"/>
      <c r="G2601" s="258"/>
      <c r="H2601" s="271"/>
      <c r="I2601" s="258"/>
      <c r="J2601" s="272"/>
      <c r="K2601" s="260"/>
      <c r="L2601" s="261"/>
      <c r="M2601" s="262" t="str">
        <f t="shared" si="1"/>
        <v/>
      </c>
      <c r="N2601" s="263" t="str">
        <f t="shared" si="2"/>
        <v/>
      </c>
      <c r="O2601" s="264" t="str">
        <f t="shared" si="3"/>
        <v/>
      </c>
      <c r="P2601" s="265" t="str">
        <f>IFERROR(__xludf.DUMMYFUNCTION("IF(ISBLANK(A2601),"""",IFERROR(IF(H2601=""Sell"",VLOOKUP(9^99,FILTER({ROW(P$2:P2600),P$2:P2600},D$2:D2600=D2601),2),(VLOOKUP(9^99,FILTER({ROW(P$2:P2600),P$2:P2600},D$2:D2600=D2601),2)*VLOOKUP(9^99,FILTER({ROW(O$2:O2600),O$2:O2600},D$2:D2600=D2601),2)-N260"&amp;"1)/O2601),J2601))"),"")</f>
        <v/>
      </c>
      <c r="Q2601" s="264" t="str">
        <f>IFERROR(__xludf.DUMMYFUNCTION("IFERROR(IF(F2601=""Crypto"",B2601,(IF(ISBLANK(D2601),"""",IF(D2601=""Cash"",B2601,IF(GOOGLEFINANCE(D2601,""CURRENCY"")=""GBX"",""GBP"",GOOGLEFINANCE(D2601,""CURRENCY"")))))),B2601)"),"")</f>
        <v/>
      </c>
      <c r="R2601" s="263" t="str">
        <f>IFERROR(__xludf.DUMMYFUNCTION("IF(ISBLANK(A2601),"""",IFERROR(IF(OR(Q2601=""GPB"",Q2601=""ZAR""),IF(Q2601=Dashboard!$L$1,K2601,(K2601*GOOGLEFINANCE(""CURRENCY:""&amp;Q2601&amp;""""&amp;Dashboard!$L$1&amp;""""))/100),IF(Q2601=Dashboard!$L$1,K2601,K2601*GOOGLEFINANCE(""CURRENCY:""&amp;Q2601&amp;""""&amp;Dashboard!$"&amp;"L$1&amp;""""))),K2601))"),"")</f>
        <v/>
      </c>
      <c r="S2601" s="266" t="str">
        <f>IFERROR(__xludf.DUMMYFUNCTION("IF(ISBLANK(A2601),"""",IFERROR(IF(OR(Q2601=""GPB"",Q2601=""ZAR""),IF(Q2601=Dashboard!$L$1,M2601,(M2601*GOOGLEFINANCE(""CURRENCY:""&amp;Q2601&amp;""""&amp;Dashboard!$L$1&amp;""""))/100),IF(Q2601=Dashboard!$L$1,M2601,M2601*GOOGLEFINANCE(""CURRENCY:""&amp;Q2601&amp;""""&amp;Dashboard!$"&amp;"L$1&amp;""""))),M2601))"),"")</f>
        <v/>
      </c>
      <c r="T2601" s="264" t="str">
        <f t="shared" si="4"/>
        <v/>
      </c>
      <c r="U2601" s="264" t="str">
        <f t="shared" si="5"/>
        <v/>
      </c>
      <c r="V2601" s="264" t="str">
        <f t="shared" si="6"/>
        <v/>
      </c>
      <c r="W2601" s="267" t="str">
        <f t="shared" si="8"/>
        <v/>
      </c>
      <c r="X2601" s="264" t="str">
        <f t="shared" si="7"/>
        <v/>
      </c>
    </row>
    <row r="2602" ht="15.75" customHeight="1">
      <c r="A2602" s="258"/>
      <c r="B2602" s="258"/>
      <c r="C2602" s="269"/>
      <c r="D2602" s="258"/>
      <c r="E2602" s="258"/>
      <c r="F2602" s="258"/>
      <c r="G2602" s="258"/>
      <c r="H2602" s="271"/>
      <c r="I2602" s="258"/>
      <c r="J2602" s="272"/>
      <c r="K2602" s="260"/>
      <c r="L2602" s="261"/>
      <c r="M2602" s="262" t="str">
        <f t="shared" si="1"/>
        <v/>
      </c>
      <c r="N2602" s="263" t="str">
        <f t="shared" si="2"/>
        <v/>
      </c>
      <c r="O2602" s="264" t="str">
        <f t="shared" si="3"/>
        <v/>
      </c>
      <c r="P2602" s="265" t="str">
        <f>IFERROR(__xludf.DUMMYFUNCTION("IF(ISBLANK(A2602),"""",IFERROR(IF(H2602=""Sell"",VLOOKUP(9^99,FILTER({ROW(P$2:P2601),P$2:P2601},D$2:D2601=D2602),2),(VLOOKUP(9^99,FILTER({ROW(P$2:P2601),P$2:P2601},D$2:D2601=D2602),2)*VLOOKUP(9^99,FILTER({ROW(O$2:O2601),O$2:O2601},D$2:D2601=D2602),2)-N260"&amp;"2)/O2602),J2602))"),"")</f>
        <v/>
      </c>
      <c r="Q2602" s="264" t="str">
        <f>IFERROR(__xludf.DUMMYFUNCTION("IFERROR(IF(F2602=""Crypto"",B2602,(IF(ISBLANK(D2602),"""",IF(D2602=""Cash"",B2602,IF(GOOGLEFINANCE(D2602,""CURRENCY"")=""GBX"",""GBP"",GOOGLEFINANCE(D2602,""CURRENCY"")))))),B2602)"),"")</f>
        <v/>
      </c>
      <c r="R2602" s="263" t="str">
        <f>IFERROR(__xludf.DUMMYFUNCTION("IF(ISBLANK(A2602),"""",IFERROR(IF(OR(Q2602=""GPB"",Q2602=""ZAR""),IF(Q2602=Dashboard!$L$1,K2602,(K2602*GOOGLEFINANCE(""CURRENCY:""&amp;Q2602&amp;""""&amp;Dashboard!$L$1&amp;""""))/100),IF(Q2602=Dashboard!$L$1,K2602,K2602*GOOGLEFINANCE(""CURRENCY:""&amp;Q2602&amp;""""&amp;Dashboard!$"&amp;"L$1&amp;""""))),K2602))"),"")</f>
        <v/>
      </c>
      <c r="S2602" s="266" t="str">
        <f>IFERROR(__xludf.DUMMYFUNCTION("IF(ISBLANK(A2602),"""",IFERROR(IF(OR(Q2602=""GPB"",Q2602=""ZAR""),IF(Q2602=Dashboard!$L$1,M2602,(M2602*GOOGLEFINANCE(""CURRENCY:""&amp;Q2602&amp;""""&amp;Dashboard!$L$1&amp;""""))/100),IF(Q2602=Dashboard!$L$1,M2602,M2602*GOOGLEFINANCE(""CURRENCY:""&amp;Q2602&amp;""""&amp;Dashboard!$"&amp;"L$1&amp;""""))),M2602))"),"")</f>
        <v/>
      </c>
      <c r="T2602" s="264" t="str">
        <f t="shared" si="4"/>
        <v/>
      </c>
      <c r="U2602" s="264" t="str">
        <f t="shared" si="5"/>
        <v/>
      </c>
      <c r="V2602" s="264" t="str">
        <f t="shared" si="6"/>
        <v/>
      </c>
      <c r="W2602" s="267" t="str">
        <f t="shared" si="8"/>
        <v/>
      </c>
      <c r="X2602" s="264" t="str">
        <f t="shared" si="7"/>
        <v/>
      </c>
    </row>
    <row r="2603" ht="15.75" customHeight="1">
      <c r="A2603" s="258"/>
      <c r="B2603" s="258"/>
      <c r="C2603" s="269"/>
      <c r="D2603" s="258"/>
      <c r="E2603" s="258"/>
      <c r="F2603" s="258"/>
      <c r="G2603" s="258"/>
      <c r="H2603" s="271"/>
      <c r="I2603" s="258"/>
      <c r="J2603" s="272"/>
      <c r="K2603" s="260"/>
      <c r="L2603" s="261"/>
      <c r="M2603" s="262" t="str">
        <f t="shared" si="1"/>
        <v/>
      </c>
      <c r="N2603" s="263" t="str">
        <f t="shared" si="2"/>
        <v/>
      </c>
      <c r="O2603" s="264" t="str">
        <f t="shared" si="3"/>
        <v/>
      </c>
      <c r="P2603" s="265" t="str">
        <f>IFERROR(__xludf.DUMMYFUNCTION("IF(ISBLANK(A2603),"""",IFERROR(IF(H2603=""Sell"",VLOOKUP(9^99,FILTER({ROW(P$2:P2602),P$2:P2602},D$2:D2602=D2603),2),(VLOOKUP(9^99,FILTER({ROW(P$2:P2602),P$2:P2602},D$2:D2602=D2603),2)*VLOOKUP(9^99,FILTER({ROW(O$2:O2602),O$2:O2602},D$2:D2602=D2603),2)-N260"&amp;"3)/O2603),J2603))"),"")</f>
        <v/>
      </c>
      <c r="Q2603" s="264" t="str">
        <f>IFERROR(__xludf.DUMMYFUNCTION("IFERROR(IF(F2603=""Crypto"",B2603,(IF(ISBLANK(D2603),"""",IF(D2603=""Cash"",B2603,IF(GOOGLEFINANCE(D2603,""CURRENCY"")=""GBX"",""GBP"",GOOGLEFINANCE(D2603,""CURRENCY"")))))),B2603)"),"")</f>
        <v/>
      </c>
      <c r="R2603" s="263" t="str">
        <f>IFERROR(__xludf.DUMMYFUNCTION("IF(ISBLANK(A2603),"""",IFERROR(IF(OR(Q2603=""GPB"",Q2603=""ZAR""),IF(Q2603=Dashboard!$L$1,K2603,(K2603*GOOGLEFINANCE(""CURRENCY:""&amp;Q2603&amp;""""&amp;Dashboard!$L$1&amp;""""))/100),IF(Q2603=Dashboard!$L$1,K2603,K2603*GOOGLEFINANCE(""CURRENCY:""&amp;Q2603&amp;""""&amp;Dashboard!$"&amp;"L$1&amp;""""))),K2603))"),"")</f>
        <v/>
      </c>
      <c r="S2603" s="266" t="str">
        <f>IFERROR(__xludf.DUMMYFUNCTION("IF(ISBLANK(A2603),"""",IFERROR(IF(OR(Q2603=""GPB"",Q2603=""ZAR""),IF(Q2603=Dashboard!$L$1,M2603,(M2603*GOOGLEFINANCE(""CURRENCY:""&amp;Q2603&amp;""""&amp;Dashboard!$L$1&amp;""""))/100),IF(Q2603=Dashboard!$L$1,M2603,M2603*GOOGLEFINANCE(""CURRENCY:""&amp;Q2603&amp;""""&amp;Dashboard!$"&amp;"L$1&amp;""""))),M2603))"),"")</f>
        <v/>
      </c>
      <c r="T2603" s="264" t="str">
        <f t="shared" si="4"/>
        <v/>
      </c>
      <c r="U2603" s="264" t="str">
        <f t="shared" si="5"/>
        <v/>
      </c>
      <c r="V2603" s="264" t="str">
        <f t="shared" si="6"/>
        <v/>
      </c>
      <c r="W2603" s="267" t="str">
        <f t="shared" si="8"/>
        <v/>
      </c>
      <c r="X2603" s="264" t="str">
        <f t="shared" si="7"/>
        <v/>
      </c>
    </row>
    <row r="2604" ht="15.75" customHeight="1">
      <c r="A2604" s="258"/>
      <c r="B2604" s="258"/>
      <c r="C2604" s="269"/>
      <c r="D2604" s="258"/>
      <c r="E2604" s="258"/>
      <c r="F2604" s="258"/>
      <c r="G2604" s="258"/>
      <c r="H2604" s="271"/>
      <c r="I2604" s="258"/>
      <c r="J2604" s="272"/>
      <c r="K2604" s="260"/>
      <c r="L2604" s="261"/>
      <c r="M2604" s="262" t="str">
        <f t="shared" si="1"/>
        <v/>
      </c>
      <c r="N2604" s="263" t="str">
        <f t="shared" si="2"/>
        <v/>
      </c>
      <c r="O2604" s="264" t="str">
        <f t="shared" si="3"/>
        <v/>
      </c>
      <c r="P2604" s="265" t="str">
        <f>IFERROR(__xludf.DUMMYFUNCTION("IF(ISBLANK(A2604),"""",IFERROR(IF(H2604=""Sell"",VLOOKUP(9^99,FILTER({ROW(P$2:P2603),P$2:P2603},D$2:D2603=D2604),2),(VLOOKUP(9^99,FILTER({ROW(P$2:P2603),P$2:P2603},D$2:D2603=D2604),2)*VLOOKUP(9^99,FILTER({ROW(O$2:O2603),O$2:O2603},D$2:D2603=D2604),2)-N260"&amp;"4)/O2604),J2604))"),"")</f>
        <v/>
      </c>
      <c r="Q2604" s="264" t="str">
        <f>IFERROR(__xludf.DUMMYFUNCTION("IFERROR(IF(F2604=""Crypto"",B2604,(IF(ISBLANK(D2604),"""",IF(D2604=""Cash"",B2604,IF(GOOGLEFINANCE(D2604,""CURRENCY"")=""GBX"",""GBP"",GOOGLEFINANCE(D2604,""CURRENCY"")))))),B2604)"),"")</f>
        <v/>
      </c>
      <c r="R2604" s="263" t="str">
        <f>IFERROR(__xludf.DUMMYFUNCTION("IF(ISBLANK(A2604),"""",IFERROR(IF(OR(Q2604=""GPB"",Q2604=""ZAR""),IF(Q2604=Dashboard!$L$1,K2604,(K2604*GOOGLEFINANCE(""CURRENCY:""&amp;Q2604&amp;""""&amp;Dashboard!$L$1&amp;""""))/100),IF(Q2604=Dashboard!$L$1,K2604,K2604*GOOGLEFINANCE(""CURRENCY:""&amp;Q2604&amp;""""&amp;Dashboard!$"&amp;"L$1&amp;""""))),K2604))"),"")</f>
        <v/>
      </c>
      <c r="S2604" s="266" t="str">
        <f>IFERROR(__xludf.DUMMYFUNCTION("IF(ISBLANK(A2604),"""",IFERROR(IF(OR(Q2604=""GPB"",Q2604=""ZAR""),IF(Q2604=Dashboard!$L$1,M2604,(M2604*GOOGLEFINANCE(""CURRENCY:""&amp;Q2604&amp;""""&amp;Dashboard!$L$1&amp;""""))/100),IF(Q2604=Dashboard!$L$1,M2604,M2604*GOOGLEFINANCE(""CURRENCY:""&amp;Q2604&amp;""""&amp;Dashboard!$"&amp;"L$1&amp;""""))),M2604))"),"")</f>
        <v/>
      </c>
      <c r="T2604" s="264" t="str">
        <f t="shared" si="4"/>
        <v/>
      </c>
      <c r="U2604" s="264" t="str">
        <f t="shared" si="5"/>
        <v/>
      </c>
      <c r="V2604" s="264" t="str">
        <f t="shared" si="6"/>
        <v/>
      </c>
      <c r="W2604" s="267" t="str">
        <f t="shared" si="8"/>
        <v/>
      </c>
      <c r="X2604" s="264" t="str">
        <f t="shared" si="7"/>
        <v/>
      </c>
    </row>
    <row r="2605" ht="15.75" customHeight="1">
      <c r="A2605" s="258"/>
      <c r="B2605" s="258"/>
      <c r="C2605" s="269"/>
      <c r="D2605" s="258"/>
      <c r="E2605" s="258"/>
      <c r="F2605" s="258"/>
      <c r="G2605" s="258"/>
      <c r="H2605" s="271"/>
      <c r="I2605" s="258"/>
      <c r="J2605" s="272"/>
      <c r="K2605" s="260"/>
      <c r="L2605" s="261"/>
      <c r="M2605" s="262" t="str">
        <f t="shared" si="1"/>
        <v/>
      </c>
      <c r="N2605" s="263" t="str">
        <f t="shared" si="2"/>
        <v/>
      </c>
      <c r="O2605" s="264" t="str">
        <f t="shared" si="3"/>
        <v/>
      </c>
      <c r="P2605" s="265" t="str">
        <f>IFERROR(__xludf.DUMMYFUNCTION("IF(ISBLANK(A2605),"""",IFERROR(IF(H2605=""Sell"",VLOOKUP(9^99,FILTER({ROW(P$2:P2604),P$2:P2604},D$2:D2604=D2605),2),(VLOOKUP(9^99,FILTER({ROW(P$2:P2604),P$2:P2604},D$2:D2604=D2605),2)*VLOOKUP(9^99,FILTER({ROW(O$2:O2604),O$2:O2604},D$2:D2604=D2605),2)-N260"&amp;"5)/O2605),J2605))"),"")</f>
        <v/>
      </c>
      <c r="Q2605" s="264" t="str">
        <f>IFERROR(__xludf.DUMMYFUNCTION("IFERROR(IF(F2605=""Crypto"",B2605,(IF(ISBLANK(D2605),"""",IF(D2605=""Cash"",B2605,IF(GOOGLEFINANCE(D2605,""CURRENCY"")=""GBX"",""GBP"",GOOGLEFINANCE(D2605,""CURRENCY"")))))),B2605)"),"")</f>
        <v/>
      </c>
      <c r="R2605" s="263" t="str">
        <f>IFERROR(__xludf.DUMMYFUNCTION("IF(ISBLANK(A2605),"""",IFERROR(IF(OR(Q2605=""GPB"",Q2605=""ZAR""),IF(Q2605=Dashboard!$L$1,K2605,(K2605*GOOGLEFINANCE(""CURRENCY:""&amp;Q2605&amp;""""&amp;Dashboard!$L$1&amp;""""))/100),IF(Q2605=Dashboard!$L$1,K2605,K2605*GOOGLEFINANCE(""CURRENCY:""&amp;Q2605&amp;""""&amp;Dashboard!$"&amp;"L$1&amp;""""))),K2605))"),"")</f>
        <v/>
      </c>
      <c r="S2605" s="266" t="str">
        <f>IFERROR(__xludf.DUMMYFUNCTION("IF(ISBLANK(A2605),"""",IFERROR(IF(OR(Q2605=""GPB"",Q2605=""ZAR""),IF(Q2605=Dashboard!$L$1,M2605,(M2605*GOOGLEFINANCE(""CURRENCY:""&amp;Q2605&amp;""""&amp;Dashboard!$L$1&amp;""""))/100),IF(Q2605=Dashboard!$L$1,M2605,M2605*GOOGLEFINANCE(""CURRENCY:""&amp;Q2605&amp;""""&amp;Dashboard!$"&amp;"L$1&amp;""""))),M2605))"),"")</f>
        <v/>
      </c>
      <c r="T2605" s="264" t="str">
        <f t="shared" si="4"/>
        <v/>
      </c>
      <c r="U2605" s="264" t="str">
        <f t="shared" si="5"/>
        <v/>
      </c>
      <c r="V2605" s="264" t="str">
        <f t="shared" si="6"/>
        <v/>
      </c>
      <c r="W2605" s="267" t="str">
        <f t="shared" si="8"/>
        <v/>
      </c>
      <c r="X2605" s="264" t="str">
        <f t="shared" si="7"/>
        <v/>
      </c>
    </row>
    <row r="2606" ht="15.75" customHeight="1">
      <c r="A2606" s="258"/>
      <c r="B2606" s="258"/>
      <c r="C2606" s="269"/>
      <c r="D2606" s="258"/>
      <c r="E2606" s="258"/>
      <c r="F2606" s="258"/>
      <c r="G2606" s="258"/>
      <c r="H2606" s="271"/>
      <c r="I2606" s="258"/>
      <c r="J2606" s="272"/>
      <c r="K2606" s="260"/>
      <c r="L2606" s="261"/>
      <c r="M2606" s="262" t="str">
        <f t="shared" si="1"/>
        <v/>
      </c>
      <c r="N2606" s="263" t="str">
        <f t="shared" si="2"/>
        <v/>
      </c>
      <c r="O2606" s="264" t="str">
        <f t="shared" si="3"/>
        <v/>
      </c>
      <c r="P2606" s="265" t="str">
        <f>IFERROR(__xludf.DUMMYFUNCTION("IF(ISBLANK(A2606),"""",IFERROR(IF(H2606=""Sell"",VLOOKUP(9^99,FILTER({ROW(P$2:P2605),P$2:P2605},D$2:D2605=D2606),2),(VLOOKUP(9^99,FILTER({ROW(P$2:P2605),P$2:P2605},D$2:D2605=D2606),2)*VLOOKUP(9^99,FILTER({ROW(O$2:O2605),O$2:O2605},D$2:D2605=D2606),2)-N260"&amp;"6)/O2606),J2606))"),"")</f>
        <v/>
      </c>
      <c r="Q2606" s="264" t="str">
        <f>IFERROR(__xludf.DUMMYFUNCTION("IFERROR(IF(F2606=""Crypto"",B2606,(IF(ISBLANK(D2606),"""",IF(D2606=""Cash"",B2606,IF(GOOGLEFINANCE(D2606,""CURRENCY"")=""GBX"",""GBP"",GOOGLEFINANCE(D2606,""CURRENCY"")))))),B2606)"),"")</f>
        <v/>
      </c>
      <c r="R2606" s="263" t="str">
        <f>IFERROR(__xludf.DUMMYFUNCTION("IF(ISBLANK(A2606),"""",IFERROR(IF(OR(Q2606=""GPB"",Q2606=""ZAR""),IF(Q2606=Dashboard!$L$1,K2606,(K2606*GOOGLEFINANCE(""CURRENCY:""&amp;Q2606&amp;""""&amp;Dashboard!$L$1&amp;""""))/100),IF(Q2606=Dashboard!$L$1,K2606,K2606*GOOGLEFINANCE(""CURRENCY:""&amp;Q2606&amp;""""&amp;Dashboard!$"&amp;"L$1&amp;""""))),K2606))"),"")</f>
        <v/>
      </c>
      <c r="S2606" s="266" t="str">
        <f>IFERROR(__xludf.DUMMYFUNCTION("IF(ISBLANK(A2606),"""",IFERROR(IF(OR(Q2606=""GPB"",Q2606=""ZAR""),IF(Q2606=Dashboard!$L$1,M2606,(M2606*GOOGLEFINANCE(""CURRENCY:""&amp;Q2606&amp;""""&amp;Dashboard!$L$1&amp;""""))/100),IF(Q2606=Dashboard!$L$1,M2606,M2606*GOOGLEFINANCE(""CURRENCY:""&amp;Q2606&amp;""""&amp;Dashboard!$"&amp;"L$1&amp;""""))),M2606))"),"")</f>
        <v/>
      </c>
      <c r="T2606" s="264" t="str">
        <f t="shared" si="4"/>
        <v/>
      </c>
      <c r="U2606" s="264" t="str">
        <f t="shared" si="5"/>
        <v/>
      </c>
      <c r="V2606" s="264" t="str">
        <f t="shared" si="6"/>
        <v/>
      </c>
      <c r="W2606" s="267" t="str">
        <f t="shared" si="8"/>
        <v/>
      </c>
      <c r="X2606" s="264" t="str">
        <f t="shared" si="7"/>
        <v/>
      </c>
    </row>
    <row r="2607" ht="15.75" customHeight="1">
      <c r="A2607" s="258"/>
      <c r="B2607" s="258"/>
      <c r="C2607" s="269"/>
      <c r="D2607" s="258"/>
      <c r="E2607" s="258"/>
      <c r="F2607" s="258"/>
      <c r="G2607" s="258"/>
      <c r="H2607" s="271"/>
      <c r="I2607" s="258"/>
      <c r="J2607" s="272"/>
      <c r="K2607" s="260"/>
      <c r="L2607" s="261"/>
      <c r="M2607" s="262" t="str">
        <f t="shared" si="1"/>
        <v/>
      </c>
      <c r="N2607" s="263" t="str">
        <f t="shared" si="2"/>
        <v/>
      </c>
      <c r="O2607" s="264" t="str">
        <f t="shared" si="3"/>
        <v/>
      </c>
      <c r="P2607" s="265" t="str">
        <f>IFERROR(__xludf.DUMMYFUNCTION("IF(ISBLANK(A2607),"""",IFERROR(IF(H2607=""Sell"",VLOOKUP(9^99,FILTER({ROW(P$2:P2606),P$2:P2606},D$2:D2606=D2607),2),(VLOOKUP(9^99,FILTER({ROW(P$2:P2606),P$2:P2606},D$2:D2606=D2607),2)*VLOOKUP(9^99,FILTER({ROW(O$2:O2606),O$2:O2606},D$2:D2606=D2607),2)-N260"&amp;"7)/O2607),J2607))"),"")</f>
        <v/>
      </c>
      <c r="Q2607" s="264" t="str">
        <f>IFERROR(__xludf.DUMMYFUNCTION("IFERROR(IF(F2607=""Crypto"",B2607,(IF(ISBLANK(D2607),"""",IF(D2607=""Cash"",B2607,IF(GOOGLEFINANCE(D2607,""CURRENCY"")=""GBX"",""GBP"",GOOGLEFINANCE(D2607,""CURRENCY"")))))),B2607)"),"")</f>
        <v/>
      </c>
      <c r="R2607" s="263" t="str">
        <f>IFERROR(__xludf.DUMMYFUNCTION("IF(ISBLANK(A2607),"""",IFERROR(IF(OR(Q2607=""GPB"",Q2607=""ZAR""),IF(Q2607=Dashboard!$L$1,K2607,(K2607*GOOGLEFINANCE(""CURRENCY:""&amp;Q2607&amp;""""&amp;Dashboard!$L$1&amp;""""))/100),IF(Q2607=Dashboard!$L$1,K2607,K2607*GOOGLEFINANCE(""CURRENCY:""&amp;Q2607&amp;""""&amp;Dashboard!$"&amp;"L$1&amp;""""))),K2607))"),"")</f>
        <v/>
      </c>
      <c r="S2607" s="266" t="str">
        <f>IFERROR(__xludf.DUMMYFUNCTION("IF(ISBLANK(A2607),"""",IFERROR(IF(OR(Q2607=""GPB"",Q2607=""ZAR""),IF(Q2607=Dashboard!$L$1,M2607,(M2607*GOOGLEFINANCE(""CURRENCY:""&amp;Q2607&amp;""""&amp;Dashboard!$L$1&amp;""""))/100),IF(Q2607=Dashboard!$L$1,M2607,M2607*GOOGLEFINANCE(""CURRENCY:""&amp;Q2607&amp;""""&amp;Dashboard!$"&amp;"L$1&amp;""""))),M2607))"),"")</f>
        <v/>
      </c>
      <c r="T2607" s="264" t="str">
        <f t="shared" si="4"/>
        <v/>
      </c>
      <c r="U2607" s="264" t="str">
        <f t="shared" si="5"/>
        <v/>
      </c>
      <c r="V2607" s="264" t="str">
        <f t="shared" si="6"/>
        <v/>
      </c>
      <c r="W2607" s="267" t="str">
        <f t="shared" si="8"/>
        <v/>
      </c>
      <c r="X2607" s="264" t="str">
        <f t="shared" si="7"/>
        <v/>
      </c>
    </row>
    <row r="2608" ht="15.75" customHeight="1">
      <c r="A2608" s="258"/>
      <c r="B2608" s="258"/>
      <c r="C2608" s="269"/>
      <c r="D2608" s="258"/>
      <c r="E2608" s="258"/>
      <c r="F2608" s="258"/>
      <c r="G2608" s="258"/>
      <c r="H2608" s="271"/>
      <c r="I2608" s="258"/>
      <c r="J2608" s="272"/>
      <c r="K2608" s="260"/>
      <c r="L2608" s="261"/>
      <c r="M2608" s="262" t="str">
        <f t="shared" si="1"/>
        <v/>
      </c>
      <c r="N2608" s="263" t="str">
        <f t="shared" si="2"/>
        <v/>
      </c>
      <c r="O2608" s="264" t="str">
        <f t="shared" si="3"/>
        <v/>
      </c>
      <c r="P2608" s="265" t="str">
        <f>IFERROR(__xludf.DUMMYFUNCTION("IF(ISBLANK(A2608),"""",IFERROR(IF(H2608=""Sell"",VLOOKUP(9^99,FILTER({ROW(P$2:P2607),P$2:P2607},D$2:D2607=D2608),2),(VLOOKUP(9^99,FILTER({ROW(P$2:P2607),P$2:P2607},D$2:D2607=D2608),2)*VLOOKUP(9^99,FILTER({ROW(O$2:O2607),O$2:O2607},D$2:D2607=D2608),2)-N260"&amp;"8)/O2608),J2608))"),"")</f>
        <v/>
      </c>
      <c r="Q2608" s="264" t="str">
        <f>IFERROR(__xludf.DUMMYFUNCTION("IFERROR(IF(F2608=""Crypto"",B2608,(IF(ISBLANK(D2608),"""",IF(D2608=""Cash"",B2608,IF(GOOGLEFINANCE(D2608,""CURRENCY"")=""GBX"",""GBP"",GOOGLEFINANCE(D2608,""CURRENCY"")))))),B2608)"),"")</f>
        <v/>
      </c>
      <c r="R2608" s="263" t="str">
        <f>IFERROR(__xludf.DUMMYFUNCTION("IF(ISBLANK(A2608),"""",IFERROR(IF(OR(Q2608=""GPB"",Q2608=""ZAR""),IF(Q2608=Dashboard!$L$1,K2608,(K2608*GOOGLEFINANCE(""CURRENCY:""&amp;Q2608&amp;""""&amp;Dashboard!$L$1&amp;""""))/100),IF(Q2608=Dashboard!$L$1,K2608,K2608*GOOGLEFINANCE(""CURRENCY:""&amp;Q2608&amp;""""&amp;Dashboard!$"&amp;"L$1&amp;""""))),K2608))"),"")</f>
        <v/>
      </c>
      <c r="S2608" s="266" t="str">
        <f>IFERROR(__xludf.DUMMYFUNCTION("IF(ISBLANK(A2608),"""",IFERROR(IF(OR(Q2608=""GPB"",Q2608=""ZAR""),IF(Q2608=Dashboard!$L$1,M2608,(M2608*GOOGLEFINANCE(""CURRENCY:""&amp;Q2608&amp;""""&amp;Dashboard!$L$1&amp;""""))/100),IF(Q2608=Dashboard!$L$1,M2608,M2608*GOOGLEFINANCE(""CURRENCY:""&amp;Q2608&amp;""""&amp;Dashboard!$"&amp;"L$1&amp;""""))),M2608))"),"")</f>
        <v/>
      </c>
      <c r="T2608" s="264" t="str">
        <f t="shared" si="4"/>
        <v/>
      </c>
      <c r="U2608" s="264" t="str">
        <f t="shared" si="5"/>
        <v/>
      </c>
      <c r="V2608" s="264" t="str">
        <f t="shared" si="6"/>
        <v/>
      </c>
      <c r="W2608" s="267" t="str">
        <f t="shared" si="8"/>
        <v/>
      </c>
      <c r="X2608" s="264" t="str">
        <f t="shared" si="7"/>
        <v/>
      </c>
    </row>
    <row r="2609" ht="15.75" customHeight="1">
      <c r="A2609" s="258"/>
      <c r="B2609" s="258"/>
      <c r="C2609" s="269"/>
      <c r="D2609" s="258"/>
      <c r="E2609" s="258"/>
      <c r="F2609" s="258"/>
      <c r="G2609" s="258"/>
      <c r="H2609" s="271"/>
      <c r="I2609" s="258"/>
      <c r="J2609" s="272"/>
      <c r="K2609" s="260"/>
      <c r="L2609" s="261"/>
      <c r="M2609" s="262" t="str">
        <f t="shared" si="1"/>
        <v/>
      </c>
      <c r="N2609" s="263" t="str">
        <f t="shared" si="2"/>
        <v/>
      </c>
      <c r="O2609" s="264" t="str">
        <f t="shared" si="3"/>
        <v/>
      </c>
      <c r="P2609" s="265" t="str">
        <f>IFERROR(__xludf.DUMMYFUNCTION("IF(ISBLANK(A2609),"""",IFERROR(IF(H2609=""Sell"",VLOOKUP(9^99,FILTER({ROW(P$2:P2608),P$2:P2608},D$2:D2608=D2609),2),(VLOOKUP(9^99,FILTER({ROW(P$2:P2608),P$2:P2608},D$2:D2608=D2609),2)*VLOOKUP(9^99,FILTER({ROW(O$2:O2608),O$2:O2608},D$2:D2608=D2609),2)-N260"&amp;"9)/O2609),J2609))"),"")</f>
        <v/>
      </c>
      <c r="Q2609" s="264" t="str">
        <f>IFERROR(__xludf.DUMMYFUNCTION("IFERROR(IF(F2609=""Crypto"",B2609,(IF(ISBLANK(D2609),"""",IF(D2609=""Cash"",B2609,IF(GOOGLEFINANCE(D2609,""CURRENCY"")=""GBX"",""GBP"",GOOGLEFINANCE(D2609,""CURRENCY"")))))),B2609)"),"")</f>
        <v/>
      </c>
      <c r="R2609" s="263" t="str">
        <f>IFERROR(__xludf.DUMMYFUNCTION("IF(ISBLANK(A2609),"""",IFERROR(IF(OR(Q2609=""GPB"",Q2609=""ZAR""),IF(Q2609=Dashboard!$L$1,K2609,(K2609*GOOGLEFINANCE(""CURRENCY:""&amp;Q2609&amp;""""&amp;Dashboard!$L$1&amp;""""))/100),IF(Q2609=Dashboard!$L$1,K2609,K2609*GOOGLEFINANCE(""CURRENCY:""&amp;Q2609&amp;""""&amp;Dashboard!$"&amp;"L$1&amp;""""))),K2609))"),"")</f>
        <v/>
      </c>
      <c r="S2609" s="266" t="str">
        <f>IFERROR(__xludf.DUMMYFUNCTION("IF(ISBLANK(A2609),"""",IFERROR(IF(OR(Q2609=""GPB"",Q2609=""ZAR""),IF(Q2609=Dashboard!$L$1,M2609,(M2609*GOOGLEFINANCE(""CURRENCY:""&amp;Q2609&amp;""""&amp;Dashboard!$L$1&amp;""""))/100),IF(Q2609=Dashboard!$L$1,M2609,M2609*GOOGLEFINANCE(""CURRENCY:""&amp;Q2609&amp;""""&amp;Dashboard!$"&amp;"L$1&amp;""""))),M2609))"),"")</f>
        <v/>
      </c>
      <c r="T2609" s="264" t="str">
        <f t="shared" si="4"/>
        <v/>
      </c>
      <c r="U2609" s="264" t="str">
        <f t="shared" si="5"/>
        <v/>
      </c>
      <c r="V2609" s="264" t="str">
        <f t="shared" si="6"/>
        <v/>
      </c>
      <c r="W2609" s="267" t="str">
        <f t="shared" si="8"/>
        <v/>
      </c>
      <c r="X2609" s="264" t="str">
        <f t="shared" si="7"/>
        <v/>
      </c>
    </row>
    <row r="2610" ht="15.75" customHeight="1">
      <c r="A2610" s="258"/>
      <c r="B2610" s="258"/>
      <c r="C2610" s="269"/>
      <c r="D2610" s="258"/>
      <c r="E2610" s="258"/>
      <c r="F2610" s="258"/>
      <c r="G2610" s="258"/>
      <c r="H2610" s="271"/>
      <c r="I2610" s="258"/>
      <c r="J2610" s="272"/>
      <c r="K2610" s="260"/>
      <c r="L2610" s="261"/>
      <c r="M2610" s="262" t="str">
        <f t="shared" si="1"/>
        <v/>
      </c>
      <c r="N2610" s="263" t="str">
        <f t="shared" si="2"/>
        <v/>
      </c>
      <c r="O2610" s="264" t="str">
        <f t="shared" si="3"/>
        <v/>
      </c>
      <c r="P2610" s="265" t="str">
        <f>IFERROR(__xludf.DUMMYFUNCTION("IF(ISBLANK(A2610),"""",IFERROR(IF(H2610=""Sell"",VLOOKUP(9^99,FILTER({ROW(P$2:P2609),P$2:P2609},D$2:D2609=D2610),2),(VLOOKUP(9^99,FILTER({ROW(P$2:P2609),P$2:P2609},D$2:D2609=D2610),2)*VLOOKUP(9^99,FILTER({ROW(O$2:O2609),O$2:O2609},D$2:D2609=D2610),2)-N261"&amp;"0)/O2610),J2610))"),"")</f>
        <v/>
      </c>
      <c r="Q2610" s="264" t="str">
        <f>IFERROR(__xludf.DUMMYFUNCTION("IFERROR(IF(F2610=""Crypto"",B2610,(IF(ISBLANK(D2610),"""",IF(D2610=""Cash"",B2610,IF(GOOGLEFINANCE(D2610,""CURRENCY"")=""GBX"",""GBP"",GOOGLEFINANCE(D2610,""CURRENCY"")))))),B2610)"),"")</f>
        <v/>
      </c>
      <c r="R2610" s="263" t="str">
        <f>IFERROR(__xludf.DUMMYFUNCTION("IF(ISBLANK(A2610),"""",IFERROR(IF(OR(Q2610=""GPB"",Q2610=""ZAR""),IF(Q2610=Dashboard!$L$1,K2610,(K2610*GOOGLEFINANCE(""CURRENCY:""&amp;Q2610&amp;""""&amp;Dashboard!$L$1&amp;""""))/100),IF(Q2610=Dashboard!$L$1,K2610,K2610*GOOGLEFINANCE(""CURRENCY:""&amp;Q2610&amp;""""&amp;Dashboard!$"&amp;"L$1&amp;""""))),K2610))"),"")</f>
        <v/>
      </c>
      <c r="S2610" s="266" t="str">
        <f>IFERROR(__xludf.DUMMYFUNCTION("IF(ISBLANK(A2610),"""",IFERROR(IF(OR(Q2610=""GPB"",Q2610=""ZAR""),IF(Q2610=Dashboard!$L$1,M2610,(M2610*GOOGLEFINANCE(""CURRENCY:""&amp;Q2610&amp;""""&amp;Dashboard!$L$1&amp;""""))/100),IF(Q2610=Dashboard!$L$1,M2610,M2610*GOOGLEFINANCE(""CURRENCY:""&amp;Q2610&amp;""""&amp;Dashboard!$"&amp;"L$1&amp;""""))),M2610))"),"")</f>
        <v/>
      </c>
      <c r="T2610" s="264" t="str">
        <f t="shared" si="4"/>
        <v/>
      </c>
      <c r="U2610" s="264" t="str">
        <f t="shared" si="5"/>
        <v/>
      </c>
      <c r="V2610" s="264" t="str">
        <f t="shared" si="6"/>
        <v/>
      </c>
      <c r="W2610" s="267" t="str">
        <f t="shared" si="8"/>
        <v/>
      </c>
      <c r="X2610" s="264" t="str">
        <f t="shared" si="7"/>
        <v/>
      </c>
    </row>
    <row r="2611" ht="15.75" customHeight="1">
      <c r="A2611" s="258"/>
      <c r="B2611" s="258"/>
      <c r="C2611" s="269"/>
      <c r="D2611" s="258"/>
      <c r="E2611" s="258"/>
      <c r="F2611" s="258"/>
      <c r="G2611" s="258"/>
      <c r="H2611" s="271"/>
      <c r="I2611" s="258"/>
      <c r="J2611" s="272"/>
      <c r="K2611" s="260"/>
      <c r="L2611" s="261"/>
      <c r="M2611" s="262" t="str">
        <f t="shared" si="1"/>
        <v/>
      </c>
      <c r="N2611" s="263" t="str">
        <f t="shared" si="2"/>
        <v/>
      </c>
      <c r="O2611" s="264" t="str">
        <f t="shared" si="3"/>
        <v/>
      </c>
      <c r="P2611" s="265" t="str">
        <f>IFERROR(__xludf.DUMMYFUNCTION("IF(ISBLANK(A2611),"""",IFERROR(IF(H2611=""Sell"",VLOOKUP(9^99,FILTER({ROW(P$2:P2610),P$2:P2610},D$2:D2610=D2611),2),(VLOOKUP(9^99,FILTER({ROW(P$2:P2610),P$2:P2610},D$2:D2610=D2611),2)*VLOOKUP(9^99,FILTER({ROW(O$2:O2610),O$2:O2610},D$2:D2610=D2611),2)-N261"&amp;"1)/O2611),J2611))"),"")</f>
        <v/>
      </c>
      <c r="Q2611" s="264" t="str">
        <f>IFERROR(__xludf.DUMMYFUNCTION("IFERROR(IF(F2611=""Crypto"",B2611,(IF(ISBLANK(D2611),"""",IF(D2611=""Cash"",B2611,IF(GOOGLEFINANCE(D2611,""CURRENCY"")=""GBX"",""GBP"",GOOGLEFINANCE(D2611,""CURRENCY"")))))),B2611)"),"")</f>
        <v/>
      </c>
      <c r="R2611" s="263" t="str">
        <f>IFERROR(__xludf.DUMMYFUNCTION("IF(ISBLANK(A2611),"""",IFERROR(IF(OR(Q2611=""GPB"",Q2611=""ZAR""),IF(Q2611=Dashboard!$L$1,K2611,(K2611*GOOGLEFINANCE(""CURRENCY:""&amp;Q2611&amp;""""&amp;Dashboard!$L$1&amp;""""))/100),IF(Q2611=Dashboard!$L$1,K2611,K2611*GOOGLEFINANCE(""CURRENCY:""&amp;Q2611&amp;""""&amp;Dashboard!$"&amp;"L$1&amp;""""))),K2611))"),"")</f>
        <v/>
      </c>
      <c r="S2611" s="266" t="str">
        <f>IFERROR(__xludf.DUMMYFUNCTION("IF(ISBLANK(A2611),"""",IFERROR(IF(OR(Q2611=""GPB"",Q2611=""ZAR""),IF(Q2611=Dashboard!$L$1,M2611,(M2611*GOOGLEFINANCE(""CURRENCY:""&amp;Q2611&amp;""""&amp;Dashboard!$L$1&amp;""""))/100),IF(Q2611=Dashboard!$L$1,M2611,M2611*GOOGLEFINANCE(""CURRENCY:""&amp;Q2611&amp;""""&amp;Dashboard!$"&amp;"L$1&amp;""""))),M2611))"),"")</f>
        <v/>
      </c>
      <c r="T2611" s="264" t="str">
        <f t="shared" si="4"/>
        <v/>
      </c>
      <c r="U2611" s="264" t="str">
        <f t="shared" si="5"/>
        <v/>
      </c>
      <c r="V2611" s="264" t="str">
        <f t="shared" si="6"/>
        <v/>
      </c>
      <c r="W2611" s="267" t="str">
        <f t="shared" si="8"/>
        <v/>
      </c>
      <c r="X2611" s="264" t="str">
        <f t="shared" si="7"/>
        <v/>
      </c>
    </row>
    <row r="2612" ht="15.75" customHeight="1">
      <c r="A2612" s="258"/>
      <c r="B2612" s="258"/>
      <c r="C2612" s="269"/>
      <c r="D2612" s="258"/>
      <c r="E2612" s="258"/>
      <c r="F2612" s="258"/>
      <c r="G2612" s="258"/>
      <c r="H2612" s="271"/>
      <c r="I2612" s="258"/>
      <c r="J2612" s="272"/>
      <c r="K2612" s="260"/>
      <c r="L2612" s="261"/>
      <c r="M2612" s="262" t="str">
        <f t="shared" si="1"/>
        <v/>
      </c>
      <c r="N2612" s="263" t="str">
        <f t="shared" si="2"/>
        <v/>
      </c>
      <c r="O2612" s="264" t="str">
        <f t="shared" si="3"/>
        <v/>
      </c>
      <c r="P2612" s="265" t="str">
        <f>IFERROR(__xludf.DUMMYFUNCTION("IF(ISBLANK(A2612),"""",IFERROR(IF(H2612=""Sell"",VLOOKUP(9^99,FILTER({ROW(P$2:P2611),P$2:P2611},D$2:D2611=D2612),2),(VLOOKUP(9^99,FILTER({ROW(P$2:P2611),P$2:P2611},D$2:D2611=D2612),2)*VLOOKUP(9^99,FILTER({ROW(O$2:O2611),O$2:O2611},D$2:D2611=D2612),2)-N261"&amp;"2)/O2612),J2612))"),"")</f>
        <v/>
      </c>
      <c r="Q2612" s="264" t="str">
        <f>IFERROR(__xludf.DUMMYFUNCTION("IFERROR(IF(F2612=""Crypto"",B2612,(IF(ISBLANK(D2612),"""",IF(D2612=""Cash"",B2612,IF(GOOGLEFINANCE(D2612,""CURRENCY"")=""GBX"",""GBP"",GOOGLEFINANCE(D2612,""CURRENCY"")))))),B2612)"),"")</f>
        <v/>
      </c>
      <c r="R2612" s="263" t="str">
        <f>IFERROR(__xludf.DUMMYFUNCTION("IF(ISBLANK(A2612),"""",IFERROR(IF(OR(Q2612=""GPB"",Q2612=""ZAR""),IF(Q2612=Dashboard!$L$1,K2612,(K2612*GOOGLEFINANCE(""CURRENCY:""&amp;Q2612&amp;""""&amp;Dashboard!$L$1&amp;""""))/100),IF(Q2612=Dashboard!$L$1,K2612,K2612*GOOGLEFINANCE(""CURRENCY:""&amp;Q2612&amp;""""&amp;Dashboard!$"&amp;"L$1&amp;""""))),K2612))"),"")</f>
        <v/>
      </c>
      <c r="S2612" s="266" t="str">
        <f>IFERROR(__xludf.DUMMYFUNCTION("IF(ISBLANK(A2612),"""",IFERROR(IF(OR(Q2612=""GPB"",Q2612=""ZAR""),IF(Q2612=Dashboard!$L$1,M2612,(M2612*GOOGLEFINANCE(""CURRENCY:""&amp;Q2612&amp;""""&amp;Dashboard!$L$1&amp;""""))/100),IF(Q2612=Dashboard!$L$1,M2612,M2612*GOOGLEFINANCE(""CURRENCY:""&amp;Q2612&amp;""""&amp;Dashboard!$"&amp;"L$1&amp;""""))),M2612))"),"")</f>
        <v/>
      </c>
      <c r="T2612" s="264" t="str">
        <f t="shared" si="4"/>
        <v/>
      </c>
      <c r="U2612" s="264" t="str">
        <f t="shared" si="5"/>
        <v/>
      </c>
      <c r="V2612" s="264" t="str">
        <f t="shared" si="6"/>
        <v/>
      </c>
      <c r="W2612" s="267" t="str">
        <f t="shared" si="8"/>
        <v/>
      </c>
      <c r="X2612" s="264" t="str">
        <f t="shared" si="7"/>
        <v/>
      </c>
    </row>
    <row r="2613" ht="15.75" customHeight="1">
      <c r="A2613" s="258"/>
      <c r="B2613" s="258"/>
      <c r="C2613" s="269"/>
      <c r="D2613" s="258"/>
      <c r="E2613" s="258"/>
      <c r="F2613" s="258"/>
      <c r="G2613" s="258"/>
      <c r="H2613" s="271"/>
      <c r="I2613" s="258"/>
      <c r="J2613" s="272"/>
      <c r="K2613" s="260"/>
      <c r="L2613" s="261"/>
      <c r="M2613" s="262" t="str">
        <f t="shared" si="1"/>
        <v/>
      </c>
      <c r="N2613" s="263" t="str">
        <f t="shared" si="2"/>
        <v/>
      </c>
      <c r="O2613" s="264" t="str">
        <f t="shared" si="3"/>
        <v/>
      </c>
      <c r="P2613" s="265" t="str">
        <f>IFERROR(__xludf.DUMMYFUNCTION("IF(ISBLANK(A2613),"""",IFERROR(IF(H2613=""Sell"",VLOOKUP(9^99,FILTER({ROW(P$2:P2612),P$2:P2612},D$2:D2612=D2613),2),(VLOOKUP(9^99,FILTER({ROW(P$2:P2612),P$2:P2612},D$2:D2612=D2613),2)*VLOOKUP(9^99,FILTER({ROW(O$2:O2612),O$2:O2612},D$2:D2612=D2613),2)-N261"&amp;"3)/O2613),J2613))"),"")</f>
        <v/>
      </c>
      <c r="Q2613" s="264" t="str">
        <f>IFERROR(__xludf.DUMMYFUNCTION("IFERROR(IF(F2613=""Crypto"",B2613,(IF(ISBLANK(D2613),"""",IF(D2613=""Cash"",B2613,IF(GOOGLEFINANCE(D2613,""CURRENCY"")=""GBX"",""GBP"",GOOGLEFINANCE(D2613,""CURRENCY"")))))),B2613)"),"")</f>
        <v/>
      </c>
      <c r="R2613" s="263" t="str">
        <f>IFERROR(__xludf.DUMMYFUNCTION("IF(ISBLANK(A2613),"""",IFERROR(IF(OR(Q2613=""GPB"",Q2613=""ZAR""),IF(Q2613=Dashboard!$L$1,K2613,(K2613*GOOGLEFINANCE(""CURRENCY:""&amp;Q2613&amp;""""&amp;Dashboard!$L$1&amp;""""))/100),IF(Q2613=Dashboard!$L$1,K2613,K2613*GOOGLEFINANCE(""CURRENCY:""&amp;Q2613&amp;""""&amp;Dashboard!$"&amp;"L$1&amp;""""))),K2613))"),"")</f>
        <v/>
      </c>
      <c r="S2613" s="266" t="str">
        <f>IFERROR(__xludf.DUMMYFUNCTION("IF(ISBLANK(A2613),"""",IFERROR(IF(OR(Q2613=""GPB"",Q2613=""ZAR""),IF(Q2613=Dashboard!$L$1,M2613,(M2613*GOOGLEFINANCE(""CURRENCY:""&amp;Q2613&amp;""""&amp;Dashboard!$L$1&amp;""""))/100),IF(Q2613=Dashboard!$L$1,M2613,M2613*GOOGLEFINANCE(""CURRENCY:""&amp;Q2613&amp;""""&amp;Dashboard!$"&amp;"L$1&amp;""""))),M2613))"),"")</f>
        <v/>
      </c>
      <c r="T2613" s="264" t="str">
        <f t="shared" si="4"/>
        <v/>
      </c>
      <c r="U2613" s="264" t="str">
        <f t="shared" si="5"/>
        <v/>
      </c>
      <c r="V2613" s="264" t="str">
        <f t="shared" si="6"/>
        <v/>
      </c>
      <c r="W2613" s="267" t="str">
        <f t="shared" si="8"/>
        <v/>
      </c>
      <c r="X2613" s="264" t="str">
        <f t="shared" si="7"/>
        <v/>
      </c>
    </row>
    <row r="2614" ht="15.75" customHeight="1">
      <c r="A2614" s="258"/>
      <c r="B2614" s="258"/>
      <c r="C2614" s="269"/>
      <c r="D2614" s="258"/>
      <c r="E2614" s="258"/>
      <c r="F2614" s="258"/>
      <c r="G2614" s="258"/>
      <c r="H2614" s="271"/>
      <c r="I2614" s="258"/>
      <c r="J2614" s="272"/>
      <c r="K2614" s="260"/>
      <c r="L2614" s="261"/>
      <c r="M2614" s="262" t="str">
        <f t="shared" si="1"/>
        <v/>
      </c>
      <c r="N2614" s="263" t="str">
        <f t="shared" si="2"/>
        <v/>
      </c>
      <c r="O2614" s="264" t="str">
        <f t="shared" si="3"/>
        <v/>
      </c>
      <c r="P2614" s="265" t="str">
        <f>IFERROR(__xludf.DUMMYFUNCTION("IF(ISBLANK(A2614),"""",IFERROR(IF(H2614=""Sell"",VLOOKUP(9^99,FILTER({ROW(P$2:P2613),P$2:P2613},D$2:D2613=D2614),2),(VLOOKUP(9^99,FILTER({ROW(P$2:P2613),P$2:P2613},D$2:D2613=D2614),2)*VLOOKUP(9^99,FILTER({ROW(O$2:O2613),O$2:O2613},D$2:D2613=D2614),2)-N261"&amp;"4)/O2614),J2614))"),"")</f>
        <v/>
      </c>
      <c r="Q2614" s="264" t="str">
        <f>IFERROR(__xludf.DUMMYFUNCTION("IFERROR(IF(F2614=""Crypto"",B2614,(IF(ISBLANK(D2614),"""",IF(D2614=""Cash"",B2614,IF(GOOGLEFINANCE(D2614,""CURRENCY"")=""GBX"",""GBP"",GOOGLEFINANCE(D2614,""CURRENCY"")))))),B2614)"),"")</f>
        <v/>
      </c>
      <c r="R2614" s="263" t="str">
        <f>IFERROR(__xludf.DUMMYFUNCTION("IF(ISBLANK(A2614),"""",IFERROR(IF(OR(Q2614=""GPB"",Q2614=""ZAR""),IF(Q2614=Dashboard!$L$1,K2614,(K2614*GOOGLEFINANCE(""CURRENCY:""&amp;Q2614&amp;""""&amp;Dashboard!$L$1&amp;""""))/100),IF(Q2614=Dashboard!$L$1,K2614,K2614*GOOGLEFINANCE(""CURRENCY:""&amp;Q2614&amp;""""&amp;Dashboard!$"&amp;"L$1&amp;""""))),K2614))"),"")</f>
        <v/>
      </c>
      <c r="S2614" s="266" t="str">
        <f>IFERROR(__xludf.DUMMYFUNCTION("IF(ISBLANK(A2614),"""",IFERROR(IF(OR(Q2614=""GPB"",Q2614=""ZAR""),IF(Q2614=Dashboard!$L$1,M2614,(M2614*GOOGLEFINANCE(""CURRENCY:""&amp;Q2614&amp;""""&amp;Dashboard!$L$1&amp;""""))/100),IF(Q2614=Dashboard!$L$1,M2614,M2614*GOOGLEFINANCE(""CURRENCY:""&amp;Q2614&amp;""""&amp;Dashboard!$"&amp;"L$1&amp;""""))),M2614))"),"")</f>
        <v/>
      </c>
      <c r="T2614" s="264" t="str">
        <f t="shared" si="4"/>
        <v/>
      </c>
      <c r="U2614" s="264" t="str">
        <f t="shared" si="5"/>
        <v/>
      </c>
      <c r="V2614" s="264" t="str">
        <f t="shared" si="6"/>
        <v/>
      </c>
      <c r="W2614" s="267" t="str">
        <f t="shared" si="8"/>
        <v/>
      </c>
      <c r="X2614" s="264" t="str">
        <f t="shared" si="7"/>
        <v/>
      </c>
    </row>
    <row r="2615" ht="15.75" customHeight="1">
      <c r="A2615" s="258"/>
      <c r="B2615" s="258"/>
      <c r="C2615" s="269"/>
      <c r="D2615" s="258"/>
      <c r="E2615" s="258"/>
      <c r="F2615" s="258"/>
      <c r="G2615" s="258"/>
      <c r="H2615" s="271"/>
      <c r="I2615" s="258"/>
      <c r="J2615" s="272"/>
      <c r="K2615" s="260"/>
      <c r="L2615" s="261"/>
      <c r="M2615" s="262" t="str">
        <f t="shared" si="1"/>
        <v/>
      </c>
      <c r="N2615" s="263" t="str">
        <f t="shared" si="2"/>
        <v/>
      </c>
      <c r="O2615" s="264" t="str">
        <f t="shared" si="3"/>
        <v/>
      </c>
      <c r="P2615" s="265" t="str">
        <f>IFERROR(__xludf.DUMMYFUNCTION("IF(ISBLANK(A2615),"""",IFERROR(IF(H2615=""Sell"",VLOOKUP(9^99,FILTER({ROW(P$2:P2614),P$2:P2614},D$2:D2614=D2615),2),(VLOOKUP(9^99,FILTER({ROW(P$2:P2614),P$2:P2614},D$2:D2614=D2615),2)*VLOOKUP(9^99,FILTER({ROW(O$2:O2614),O$2:O2614},D$2:D2614=D2615),2)-N261"&amp;"5)/O2615),J2615))"),"")</f>
        <v/>
      </c>
      <c r="Q2615" s="264" t="str">
        <f>IFERROR(__xludf.DUMMYFUNCTION("IFERROR(IF(F2615=""Crypto"",B2615,(IF(ISBLANK(D2615),"""",IF(D2615=""Cash"",B2615,IF(GOOGLEFINANCE(D2615,""CURRENCY"")=""GBX"",""GBP"",GOOGLEFINANCE(D2615,""CURRENCY"")))))),B2615)"),"")</f>
        <v/>
      </c>
      <c r="R2615" s="263" t="str">
        <f>IFERROR(__xludf.DUMMYFUNCTION("IF(ISBLANK(A2615),"""",IFERROR(IF(OR(Q2615=""GPB"",Q2615=""ZAR""),IF(Q2615=Dashboard!$L$1,K2615,(K2615*GOOGLEFINANCE(""CURRENCY:""&amp;Q2615&amp;""""&amp;Dashboard!$L$1&amp;""""))/100),IF(Q2615=Dashboard!$L$1,K2615,K2615*GOOGLEFINANCE(""CURRENCY:""&amp;Q2615&amp;""""&amp;Dashboard!$"&amp;"L$1&amp;""""))),K2615))"),"")</f>
        <v/>
      </c>
      <c r="S2615" s="266" t="str">
        <f>IFERROR(__xludf.DUMMYFUNCTION("IF(ISBLANK(A2615),"""",IFERROR(IF(OR(Q2615=""GPB"",Q2615=""ZAR""),IF(Q2615=Dashboard!$L$1,M2615,(M2615*GOOGLEFINANCE(""CURRENCY:""&amp;Q2615&amp;""""&amp;Dashboard!$L$1&amp;""""))/100),IF(Q2615=Dashboard!$L$1,M2615,M2615*GOOGLEFINANCE(""CURRENCY:""&amp;Q2615&amp;""""&amp;Dashboard!$"&amp;"L$1&amp;""""))),M2615))"),"")</f>
        <v/>
      </c>
      <c r="T2615" s="264" t="str">
        <f t="shared" si="4"/>
        <v/>
      </c>
      <c r="U2615" s="264" t="str">
        <f t="shared" si="5"/>
        <v/>
      </c>
      <c r="V2615" s="264" t="str">
        <f t="shared" si="6"/>
        <v/>
      </c>
      <c r="W2615" s="267" t="str">
        <f t="shared" si="8"/>
        <v/>
      </c>
      <c r="X2615" s="264" t="str">
        <f t="shared" si="7"/>
        <v/>
      </c>
    </row>
    <row r="2616" ht="15.75" customHeight="1">
      <c r="A2616" s="258"/>
      <c r="B2616" s="258"/>
      <c r="C2616" s="269"/>
      <c r="D2616" s="258"/>
      <c r="E2616" s="258"/>
      <c r="F2616" s="258"/>
      <c r="G2616" s="258"/>
      <c r="H2616" s="271"/>
      <c r="I2616" s="258"/>
      <c r="J2616" s="272"/>
      <c r="K2616" s="260"/>
      <c r="L2616" s="261"/>
      <c r="M2616" s="262" t="str">
        <f t="shared" si="1"/>
        <v/>
      </c>
      <c r="N2616" s="263" t="str">
        <f t="shared" si="2"/>
        <v/>
      </c>
      <c r="O2616" s="264" t="str">
        <f t="shared" si="3"/>
        <v/>
      </c>
      <c r="P2616" s="265" t="str">
        <f>IFERROR(__xludf.DUMMYFUNCTION("IF(ISBLANK(A2616),"""",IFERROR(IF(H2616=""Sell"",VLOOKUP(9^99,FILTER({ROW(P$2:P2615),P$2:P2615},D$2:D2615=D2616),2),(VLOOKUP(9^99,FILTER({ROW(P$2:P2615),P$2:P2615},D$2:D2615=D2616),2)*VLOOKUP(9^99,FILTER({ROW(O$2:O2615),O$2:O2615},D$2:D2615=D2616),2)-N261"&amp;"6)/O2616),J2616))"),"")</f>
        <v/>
      </c>
      <c r="Q2616" s="264" t="str">
        <f>IFERROR(__xludf.DUMMYFUNCTION("IFERROR(IF(F2616=""Crypto"",B2616,(IF(ISBLANK(D2616),"""",IF(D2616=""Cash"",B2616,IF(GOOGLEFINANCE(D2616,""CURRENCY"")=""GBX"",""GBP"",GOOGLEFINANCE(D2616,""CURRENCY"")))))),B2616)"),"")</f>
        <v/>
      </c>
      <c r="R2616" s="263" t="str">
        <f>IFERROR(__xludf.DUMMYFUNCTION("IF(ISBLANK(A2616),"""",IFERROR(IF(OR(Q2616=""GPB"",Q2616=""ZAR""),IF(Q2616=Dashboard!$L$1,K2616,(K2616*GOOGLEFINANCE(""CURRENCY:""&amp;Q2616&amp;""""&amp;Dashboard!$L$1&amp;""""))/100),IF(Q2616=Dashboard!$L$1,K2616,K2616*GOOGLEFINANCE(""CURRENCY:""&amp;Q2616&amp;""""&amp;Dashboard!$"&amp;"L$1&amp;""""))),K2616))"),"")</f>
        <v/>
      </c>
      <c r="S2616" s="266" t="str">
        <f>IFERROR(__xludf.DUMMYFUNCTION("IF(ISBLANK(A2616),"""",IFERROR(IF(OR(Q2616=""GPB"",Q2616=""ZAR""),IF(Q2616=Dashboard!$L$1,M2616,(M2616*GOOGLEFINANCE(""CURRENCY:""&amp;Q2616&amp;""""&amp;Dashboard!$L$1&amp;""""))/100),IF(Q2616=Dashboard!$L$1,M2616,M2616*GOOGLEFINANCE(""CURRENCY:""&amp;Q2616&amp;""""&amp;Dashboard!$"&amp;"L$1&amp;""""))),M2616))"),"")</f>
        <v/>
      </c>
      <c r="T2616" s="264" t="str">
        <f t="shared" si="4"/>
        <v/>
      </c>
      <c r="U2616" s="264" t="str">
        <f t="shared" si="5"/>
        <v/>
      </c>
      <c r="V2616" s="264" t="str">
        <f t="shared" si="6"/>
        <v/>
      </c>
      <c r="W2616" s="267" t="str">
        <f t="shared" si="8"/>
        <v/>
      </c>
      <c r="X2616" s="264" t="str">
        <f t="shared" si="7"/>
        <v/>
      </c>
    </row>
    <row r="2617" ht="15.75" customHeight="1">
      <c r="A2617" s="258"/>
      <c r="B2617" s="258"/>
      <c r="C2617" s="269"/>
      <c r="D2617" s="258"/>
      <c r="E2617" s="258"/>
      <c r="F2617" s="258"/>
      <c r="G2617" s="258"/>
      <c r="H2617" s="271"/>
      <c r="I2617" s="258"/>
      <c r="J2617" s="272"/>
      <c r="K2617" s="260"/>
      <c r="L2617" s="261"/>
      <c r="M2617" s="262" t="str">
        <f t="shared" si="1"/>
        <v/>
      </c>
      <c r="N2617" s="263" t="str">
        <f t="shared" si="2"/>
        <v/>
      </c>
      <c r="O2617" s="264" t="str">
        <f t="shared" si="3"/>
        <v/>
      </c>
      <c r="P2617" s="265" t="str">
        <f>IFERROR(__xludf.DUMMYFUNCTION("IF(ISBLANK(A2617),"""",IFERROR(IF(H2617=""Sell"",VLOOKUP(9^99,FILTER({ROW(P$2:P2616),P$2:P2616},D$2:D2616=D2617),2),(VLOOKUP(9^99,FILTER({ROW(P$2:P2616),P$2:P2616},D$2:D2616=D2617),2)*VLOOKUP(9^99,FILTER({ROW(O$2:O2616),O$2:O2616},D$2:D2616=D2617),2)-N261"&amp;"7)/O2617),J2617))"),"")</f>
        <v/>
      </c>
      <c r="Q2617" s="264" t="str">
        <f>IFERROR(__xludf.DUMMYFUNCTION("IFERROR(IF(F2617=""Crypto"",B2617,(IF(ISBLANK(D2617),"""",IF(D2617=""Cash"",B2617,IF(GOOGLEFINANCE(D2617,""CURRENCY"")=""GBX"",""GBP"",GOOGLEFINANCE(D2617,""CURRENCY"")))))),B2617)"),"")</f>
        <v/>
      </c>
      <c r="R2617" s="263" t="str">
        <f>IFERROR(__xludf.DUMMYFUNCTION("IF(ISBLANK(A2617),"""",IFERROR(IF(OR(Q2617=""GPB"",Q2617=""ZAR""),IF(Q2617=Dashboard!$L$1,K2617,(K2617*GOOGLEFINANCE(""CURRENCY:""&amp;Q2617&amp;""""&amp;Dashboard!$L$1&amp;""""))/100),IF(Q2617=Dashboard!$L$1,K2617,K2617*GOOGLEFINANCE(""CURRENCY:""&amp;Q2617&amp;""""&amp;Dashboard!$"&amp;"L$1&amp;""""))),K2617))"),"")</f>
        <v/>
      </c>
      <c r="S2617" s="266" t="str">
        <f>IFERROR(__xludf.DUMMYFUNCTION("IF(ISBLANK(A2617),"""",IFERROR(IF(OR(Q2617=""GPB"",Q2617=""ZAR""),IF(Q2617=Dashboard!$L$1,M2617,(M2617*GOOGLEFINANCE(""CURRENCY:""&amp;Q2617&amp;""""&amp;Dashboard!$L$1&amp;""""))/100),IF(Q2617=Dashboard!$L$1,M2617,M2617*GOOGLEFINANCE(""CURRENCY:""&amp;Q2617&amp;""""&amp;Dashboard!$"&amp;"L$1&amp;""""))),M2617))"),"")</f>
        <v/>
      </c>
      <c r="T2617" s="264" t="str">
        <f t="shared" si="4"/>
        <v/>
      </c>
      <c r="U2617" s="264" t="str">
        <f t="shared" si="5"/>
        <v/>
      </c>
      <c r="V2617" s="264" t="str">
        <f t="shared" si="6"/>
        <v/>
      </c>
      <c r="W2617" s="267" t="str">
        <f t="shared" si="8"/>
        <v/>
      </c>
      <c r="X2617" s="264" t="str">
        <f t="shared" si="7"/>
        <v/>
      </c>
    </row>
    <row r="2618" ht="15.75" customHeight="1">
      <c r="A2618" s="258"/>
      <c r="B2618" s="258"/>
      <c r="C2618" s="269"/>
      <c r="D2618" s="258"/>
      <c r="E2618" s="258"/>
      <c r="F2618" s="258"/>
      <c r="G2618" s="258"/>
      <c r="H2618" s="271"/>
      <c r="I2618" s="258"/>
      <c r="J2618" s="272"/>
      <c r="K2618" s="260"/>
      <c r="L2618" s="261"/>
      <c r="M2618" s="262" t="str">
        <f t="shared" si="1"/>
        <v/>
      </c>
      <c r="N2618" s="263" t="str">
        <f t="shared" si="2"/>
        <v/>
      </c>
      <c r="O2618" s="264" t="str">
        <f t="shared" si="3"/>
        <v/>
      </c>
      <c r="P2618" s="265" t="str">
        <f>IFERROR(__xludf.DUMMYFUNCTION("IF(ISBLANK(A2618),"""",IFERROR(IF(H2618=""Sell"",VLOOKUP(9^99,FILTER({ROW(P$2:P2617),P$2:P2617},D$2:D2617=D2618),2),(VLOOKUP(9^99,FILTER({ROW(P$2:P2617),P$2:P2617},D$2:D2617=D2618),2)*VLOOKUP(9^99,FILTER({ROW(O$2:O2617),O$2:O2617},D$2:D2617=D2618),2)-N261"&amp;"8)/O2618),J2618))"),"")</f>
        <v/>
      </c>
      <c r="Q2618" s="264" t="str">
        <f>IFERROR(__xludf.DUMMYFUNCTION("IFERROR(IF(F2618=""Crypto"",B2618,(IF(ISBLANK(D2618),"""",IF(D2618=""Cash"",B2618,IF(GOOGLEFINANCE(D2618,""CURRENCY"")=""GBX"",""GBP"",GOOGLEFINANCE(D2618,""CURRENCY"")))))),B2618)"),"")</f>
        <v/>
      </c>
      <c r="R2618" s="263" t="str">
        <f>IFERROR(__xludf.DUMMYFUNCTION("IF(ISBLANK(A2618),"""",IFERROR(IF(OR(Q2618=""GPB"",Q2618=""ZAR""),IF(Q2618=Dashboard!$L$1,K2618,(K2618*GOOGLEFINANCE(""CURRENCY:""&amp;Q2618&amp;""""&amp;Dashboard!$L$1&amp;""""))/100),IF(Q2618=Dashboard!$L$1,K2618,K2618*GOOGLEFINANCE(""CURRENCY:""&amp;Q2618&amp;""""&amp;Dashboard!$"&amp;"L$1&amp;""""))),K2618))"),"")</f>
        <v/>
      </c>
      <c r="S2618" s="266" t="str">
        <f>IFERROR(__xludf.DUMMYFUNCTION("IF(ISBLANK(A2618),"""",IFERROR(IF(OR(Q2618=""GPB"",Q2618=""ZAR""),IF(Q2618=Dashboard!$L$1,M2618,(M2618*GOOGLEFINANCE(""CURRENCY:""&amp;Q2618&amp;""""&amp;Dashboard!$L$1&amp;""""))/100),IF(Q2618=Dashboard!$L$1,M2618,M2618*GOOGLEFINANCE(""CURRENCY:""&amp;Q2618&amp;""""&amp;Dashboard!$"&amp;"L$1&amp;""""))),M2618))"),"")</f>
        <v/>
      </c>
      <c r="T2618" s="264" t="str">
        <f t="shared" si="4"/>
        <v/>
      </c>
      <c r="U2618" s="264" t="str">
        <f t="shared" si="5"/>
        <v/>
      </c>
      <c r="V2618" s="264" t="str">
        <f t="shared" si="6"/>
        <v/>
      </c>
      <c r="W2618" s="267" t="str">
        <f t="shared" si="8"/>
        <v/>
      </c>
      <c r="X2618" s="264" t="str">
        <f t="shared" si="7"/>
        <v/>
      </c>
    </row>
    <row r="2619" ht="15.75" customHeight="1">
      <c r="A2619" s="258"/>
      <c r="B2619" s="258"/>
      <c r="C2619" s="269"/>
      <c r="D2619" s="258"/>
      <c r="E2619" s="258"/>
      <c r="F2619" s="258"/>
      <c r="G2619" s="258"/>
      <c r="H2619" s="271"/>
      <c r="I2619" s="258"/>
      <c r="J2619" s="272"/>
      <c r="K2619" s="260"/>
      <c r="L2619" s="261"/>
      <c r="M2619" s="262" t="str">
        <f t="shared" si="1"/>
        <v/>
      </c>
      <c r="N2619" s="263" t="str">
        <f t="shared" si="2"/>
        <v/>
      </c>
      <c r="O2619" s="264" t="str">
        <f t="shared" si="3"/>
        <v/>
      </c>
      <c r="P2619" s="265" t="str">
        <f>IFERROR(__xludf.DUMMYFUNCTION("IF(ISBLANK(A2619),"""",IFERROR(IF(H2619=""Sell"",VLOOKUP(9^99,FILTER({ROW(P$2:P2618),P$2:P2618},D$2:D2618=D2619),2),(VLOOKUP(9^99,FILTER({ROW(P$2:P2618),P$2:P2618},D$2:D2618=D2619),2)*VLOOKUP(9^99,FILTER({ROW(O$2:O2618),O$2:O2618},D$2:D2618=D2619),2)-N261"&amp;"9)/O2619),J2619))"),"")</f>
        <v/>
      </c>
      <c r="Q2619" s="264" t="str">
        <f>IFERROR(__xludf.DUMMYFUNCTION("IFERROR(IF(F2619=""Crypto"",B2619,(IF(ISBLANK(D2619),"""",IF(D2619=""Cash"",B2619,IF(GOOGLEFINANCE(D2619,""CURRENCY"")=""GBX"",""GBP"",GOOGLEFINANCE(D2619,""CURRENCY"")))))),B2619)"),"")</f>
        <v/>
      </c>
      <c r="R2619" s="263" t="str">
        <f>IFERROR(__xludf.DUMMYFUNCTION("IF(ISBLANK(A2619),"""",IFERROR(IF(OR(Q2619=""GPB"",Q2619=""ZAR""),IF(Q2619=Dashboard!$L$1,K2619,(K2619*GOOGLEFINANCE(""CURRENCY:""&amp;Q2619&amp;""""&amp;Dashboard!$L$1&amp;""""))/100),IF(Q2619=Dashboard!$L$1,K2619,K2619*GOOGLEFINANCE(""CURRENCY:""&amp;Q2619&amp;""""&amp;Dashboard!$"&amp;"L$1&amp;""""))),K2619))"),"")</f>
        <v/>
      </c>
      <c r="S2619" s="266" t="str">
        <f>IFERROR(__xludf.DUMMYFUNCTION("IF(ISBLANK(A2619),"""",IFERROR(IF(OR(Q2619=""GPB"",Q2619=""ZAR""),IF(Q2619=Dashboard!$L$1,M2619,(M2619*GOOGLEFINANCE(""CURRENCY:""&amp;Q2619&amp;""""&amp;Dashboard!$L$1&amp;""""))/100),IF(Q2619=Dashboard!$L$1,M2619,M2619*GOOGLEFINANCE(""CURRENCY:""&amp;Q2619&amp;""""&amp;Dashboard!$"&amp;"L$1&amp;""""))),M2619))"),"")</f>
        <v/>
      </c>
      <c r="T2619" s="264" t="str">
        <f t="shared" si="4"/>
        <v/>
      </c>
      <c r="U2619" s="264" t="str">
        <f t="shared" si="5"/>
        <v/>
      </c>
      <c r="V2619" s="264" t="str">
        <f t="shared" si="6"/>
        <v/>
      </c>
      <c r="W2619" s="267" t="str">
        <f t="shared" si="8"/>
        <v/>
      </c>
      <c r="X2619" s="264" t="str">
        <f t="shared" si="7"/>
        <v/>
      </c>
    </row>
    <row r="2620" ht="15.75" customHeight="1">
      <c r="A2620" s="258"/>
      <c r="B2620" s="258"/>
      <c r="C2620" s="269"/>
      <c r="D2620" s="258"/>
      <c r="E2620" s="258"/>
      <c r="F2620" s="258"/>
      <c r="G2620" s="258"/>
      <c r="H2620" s="271"/>
      <c r="I2620" s="258"/>
      <c r="J2620" s="272"/>
      <c r="K2620" s="260"/>
      <c r="L2620" s="261"/>
      <c r="M2620" s="262" t="str">
        <f t="shared" si="1"/>
        <v/>
      </c>
      <c r="N2620" s="263" t="str">
        <f t="shared" si="2"/>
        <v/>
      </c>
      <c r="O2620" s="264" t="str">
        <f t="shared" si="3"/>
        <v/>
      </c>
      <c r="P2620" s="265" t="str">
        <f>IFERROR(__xludf.DUMMYFUNCTION("IF(ISBLANK(A2620),"""",IFERROR(IF(H2620=""Sell"",VLOOKUP(9^99,FILTER({ROW(P$2:P2619),P$2:P2619},D$2:D2619=D2620),2),(VLOOKUP(9^99,FILTER({ROW(P$2:P2619),P$2:P2619},D$2:D2619=D2620),2)*VLOOKUP(9^99,FILTER({ROW(O$2:O2619),O$2:O2619},D$2:D2619=D2620),2)-N262"&amp;"0)/O2620),J2620))"),"")</f>
        <v/>
      </c>
      <c r="Q2620" s="264" t="str">
        <f>IFERROR(__xludf.DUMMYFUNCTION("IFERROR(IF(F2620=""Crypto"",B2620,(IF(ISBLANK(D2620),"""",IF(D2620=""Cash"",B2620,IF(GOOGLEFINANCE(D2620,""CURRENCY"")=""GBX"",""GBP"",GOOGLEFINANCE(D2620,""CURRENCY"")))))),B2620)"),"")</f>
        <v/>
      </c>
      <c r="R2620" s="263" t="str">
        <f>IFERROR(__xludf.DUMMYFUNCTION("IF(ISBLANK(A2620),"""",IFERROR(IF(OR(Q2620=""GPB"",Q2620=""ZAR""),IF(Q2620=Dashboard!$L$1,K2620,(K2620*GOOGLEFINANCE(""CURRENCY:""&amp;Q2620&amp;""""&amp;Dashboard!$L$1&amp;""""))/100),IF(Q2620=Dashboard!$L$1,K2620,K2620*GOOGLEFINANCE(""CURRENCY:""&amp;Q2620&amp;""""&amp;Dashboard!$"&amp;"L$1&amp;""""))),K2620))"),"")</f>
        <v/>
      </c>
      <c r="S2620" s="266" t="str">
        <f>IFERROR(__xludf.DUMMYFUNCTION("IF(ISBLANK(A2620),"""",IFERROR(IF(OR(Q2620=""GPB"",Q2620=""ZAR""),IF(Q2620=Dashboard!$L$1,M2620,(M2620*GOOGLEFINANCE(""CURRENCY:""&amp;Q2620&amp;""""&amp;Dashboard!$L$1&amp;""""))/100),IF(Q2620=Dashboard!$L$1,M2620,M2620*GOOGLEFINANCE(""CURRENCY:""&amp;Q2620&amp;""""&amp;Dashboard!$"&amp;"L$1&amp;""""))),M2620))"),"")</f>
        <v/>
      </c>
      <c r="T2620" s="264" t="str">
        <f t="shared" si="4"/>
        <v/>
      </c>
      <c r="U2620" s="264" t="str">
        <f t="shared" si="5"/>
        <v/>
      </c>
      <c r="V2620" s="264" t="str">
        <f t="shared" si="6"/>
        <v/>
      </c>
      <c r="W2620" s="267" t="str">
        <f t="shared" si="8"/>
        <v/>
      </c>
      <c r="X2620" s="264" t="str">
        <f t="shared" si="7"/>
        <v/>
      </c>
    </row>
    <row r="2621" ht="15.75" customHeight="1">
      <c r="A2621" s="258"/>
      <c r="B2621" s="258"/>
      <c r="C2621" s="269"/>
      <c r="D2621" s="258"/>
      <c r="E2621" s="258"/>
      <c r="F2621" s="258"/>
      <c r="G2621" s="258"/>
      <c r="H2621" s="271"/>
      <c r="I2621" s="258"/>
      <c r="J2621" s="272"/>
      <c r="K2621" s="260"/>
      <c r="L2621" s="261"/>
      <c r="M2621" s="262" t="str">
        <f t="shared" si="1"/>
        <v/>
      </c>
      <c r="N2621" s="263" t="str">
        <f t="shared" si="2"/>
        <v/>
      </c>
      <c r="O2621" s="264" t="str">
        <f t="shared" si="3"/>
        <v/>
      </c>
      <c r="P2621" s="265" t="str">
        <f>IFERROR(__xludf.DUMMYFUNCTION("IF(ISBLANK(A2621),"""",IFERROR(IF(H2621=""Sell"",VLOOKUP(9^99,FILTER({ROW(P$2:P2620),P$2:P2620},D$2:D2620=D2621),2),(VLOOKUP(9^99,FILTER({ROW(P$2:P2620),P$2:P2620},D$2:D2620=D2621),2)*VLOOKUP(9^99,FILTER({ROW(O$2:O2620),O$2:O2620},D$2:D2620=D2621),2)-N262"&amp;"1)/O2621),J2621))"),"")</f>
        <v/>
      </c>
      <c r="Q2621" s="264" t="str">
        <f>IFERROR(__xludf.DUMMYFUNCTION("IFERROR(IF(F2621=""Crypto"",B2621,(IF(ISBLANK(D2621),"""",IF(D2621=""Cash"",B2621,IF(GOOGLEFINANCE(D2621,""CURRENCY"")=""GBX"",""GBP"",GOOGLEFINANCE(D2621,""CURRENCY"")))))),B2621)"),"")</f>
        <v/>
      </c>
      <c r="R2621" s="263" t="str">
        <f>IFERROR(__xludf.DUMMYFUNCTION("IF(ISBLANK(A2621),"""",IFERROR(IF(OR(Q2621=""GPB"",Q2621=""ZAR""),IF(Q2621=Dashboard!$L$1,K2621,(K2621*GOOGLEFINANCE(""CURRENCY:""&amp;Q2621&amp;""""&amp;Dashboard!$L$1&amp;""""))/100),IF(Q2621=Dashboard!$L$1,K2621,K2621*GOOGLEFINANCE(""CURRENCY:""&amp;Q2621&amp;""""&amp;Dashboard!$"&amp;"L$1&amp;""""))),K2621))"),"")</f>
        <v/>
      </c>
      <c r="S2621" s="266" t="str">
        <f>IFERROR(__xludf.DUMMYFUNCTION("IF(ISBLANK(A2621),"""",IFERROR(IF(OR(Q2621=""GPB"",Q2621=""ZAR""),IF(Q2621=Dashboard!$L$1,M2621,(M2621*GOOGLEFINANCE(""CURRENCY:""&amp;Q2621&amp;""""&amp;Dashboard!$L$1&amp;""""))/100),IF(Q2621=Dashboard!$L$1,M2621,M2621*GOOGLEFINANCE(""CURRENCY:""&amp;Q2621&amp;""""&amp;Dashboard!$"&amp;"L$1&amp;""""))),M2621))"),"")</f>
        <v/>
      </c>
      <c r="T2621" s="264" t="str">
        <f t="shared" si="4"/>
        <v/>
      </c>
      <c r="U2621" s="264" t="str">
        <f t="shared" si="5"/>
        <v/>
      </c>
      <c r="V2621" s="264" t="str">
        <f t="shared" si="6"/>
        <v/>
      </c>
      <c r="W2621" s="267" t="str">
        <f t="shared" si="8"/>
        <v/>
      </c>
      <c r="X2621" s="264" t="str">
        <f t="shared" si="7"/>
        <v/>
      </c>
    </row>
    <row r="2622" ht="15.75" customHeight="1">
      <c r="A2622" s="258"/>
      <c r="B2622" s="258"/>
      <c r="C2622" s="269"/>
      <c r="D2622" s="258"/>
      <c r="E2622" s="258"/>
      <c r="F2622" s="258"/>
      <c r="G2622" s="258"/>
      <c r="H2622" s="271"/>
      <c r="I2622" s="258"/>
      <c r="J2622" s="272"/>
      <c r="K2622" s="260"/>
      <c r="L2622" s="261"/>
      <c r="M2622" s="262" t="str">
        <f t="shared" si="1"/>
        <v/>
      </c>
      <c r="N2622" s="263" t="str">
        <f t="shared" si="2"/>
        <v/>
      </c>
      <c r="O2622" s="264" t="str">
        <f t="shared" si="3"/>
        <v/>
      </c>
      <c r="P2622" s="265" t="str">
        <f>IFERROR(__xludf.DUMMYFUNCTION("IF(ISBLANK(A2622),"""",IFERROR(IF(H2622=""Sell"",VLOOKUP(9^99,FILTER({ROW(P$2:P2621),P$2:P2621},D$2:D2621=D2622),2),(VLOOKUP(9^99,FILTER({ROW(P$2:P2621),P$2:P2621},D$2:D2621=D2622),2)*VLOOKUP(9^99,FILTER({ROW(O$2:O2621),O$2:O2621},D$2:D2621=D2622),2)-N262"&amp;"2)/O2622),J2622))"),"")</f>
        <v/>
      </c>
      <c r="Q2622" s="264" t="str">
        <f>IFERROR(__xludf.DUMMYFUNCTION("IFERROR(IF(F2622=""Crypto"",B2622,(IF(ISBLANK(D2622),"""",IF(D2622=""Cash"",B2622,IF(GOOGLEFINANCE(D2622,""CURRENCY"")=""GBX"",""GBP"",GOOGLEFINANCE(D2622,""CURRENCY"")))))),B2622)"),"")</f>
        <v/>
      </c>
      <c r="R2622" s="263" t="str">
        <f>IFERROR(__xludf.DUMMYFUNCTION("IF(ISBLANK(A2622),"""",IFERROR(IF(OR(Q2622=""GPB"",Q2622=""ZAR""),IF(Q2622=Dashboard!$L$1,K2622,(K2622*GOOGLEFINANCE(""CURRENCY:""&amp;Q2622&amp;""""&amp;Dashboard!$L$1&amp;""""))/100),IF(Q2622=Dashboard!$L$1,K2622,K2622*GOOGLEFINANCE(""CURRENCY:""&amp;Q2622&amp;""""&amp;Dashboard!$"&amp;"L$1&amp;""""))),K2622))"),"")</f>
        <v/>
      </c>
      <c r="S2622" s="266" t="str">
        <f>IFERROR(__xludf.DUMMYFUNCTION("IF(ISBLANK(A2622),"""",IFERROR(IF(OR(Q2622=""GPB"",Q2622=""ZAR""),IF(Q2622=Dashboard!$L$1,M2622,(M2622*GOOGLEFINANCE(""CURRENCY:""&amp;Q2622&amp;""""&amp;Dashboard!$L$1&amp;""""))/100),IF(Q2622=Dashboard!$L$1,M2622,M2622*GOOGLEFINANCE(""CURRENCY:""&amp;Q2622&amp;""""&amp;Dashboard!$"&amp;"L$1&amp;""""))),M2622))"),"")</f>
        <v/>
      </c>
      <c r="T2622" s="264" t="str">
        <f t="shared" si="4"/>
        <v/>
      </c>
      <c r="U2622" s="264" t="str">
        <f t="shared" si="5"/>
        <v/>
      </c>
      <c r="V2622" s="264" t="str">
        <f t="shared" si="6"/>
        <v/>
      </c>
      <c r="W2622" s="267" t="str">
        <f t="shared" si="8"/>
        <v/>
      </c>
      <c r="X2622" s="264" t="str">
        <f t="shared" si="7"/>
        <v/>
      </c>
    </row>
    <row r="2623" ht="15.75" customHeight="1">
      <c r="A2623" s="258"/>
      <c r="B2623" s="258"/>
      <c r="C2623" s="269"/>
      <c r="D2623" s="258"/>
      <c r="E2623" s="258"/>
      <c r="F2623" s="258"/>
      <c r="G2623" s="258"/>
      <c r="H2623" s="271"/>
      <c r="I2623" s="258"/>
      <c r="J2623" s="272"/>
      <c r="K2623" s="260"/>
      <c r="L2623" s="261"/>
      <c r="M2623" s="262" t="str">
        <f t="shared" si="1"/>
        <v/>
      </c>
      <c r="N2623" s="263" t="str">
        <f t="shared" si="2"/>
        <v/>
      </c>
      <c r="O2623" s="264" t="str">
        <f t="shared" si="3"/>
        <v/>
      </c>
      <c r="P2623" s="265" t="str">
        <f>IFERROR(__xludf.DUMMYFUNCTION("IF(ISBLANK(A2623),"""",IFERROR(IF(H2623=""Sell"",VLOOKUP(9^99,FILTER({ROW(P$2:P2622),P$2:P2622},D$2:D2622=D2623),2),(VLOOKUP(9^99,FILTER({ROW(P$2:P2622),P$2:P2622},D$2:D2622=D2623),2)*VLOOKUP(9^99,FILTER({ROW(O$2:O2622),O$2:O2622},D$2:D2622=D2623),2)-N262"&amp;"3)/O2623),J2623))"),"")</f>
        <v/>
      </c>
      <c r="Q2623" s="264" t="str">
        <f>IFERROR(__xludf.DUMMYFUNCTION("IFERROR(IF(F2623=""Crypto"",B2623,(IF(ISBLANK(D2623),"""",IF(D2623=""Cash"",B2623,IF(GOOGLEFINANCE(D2623,""CURRENCY"")=""GBX"",""GBP"",GOOGLEFINANCE(D2623,""CURRENCY"")))))),B2623)"),"")</f>
        <v/>
      </c>
      <c r="R2623" s="263" t="str">
        <f>IFERROR(__xludf.DUMMYFUNCTION("IF(ISBLANK(A2623),"""",IFERROR(IF(OR(Q2623=""GPB"",Q2623=""ZAR""),IF(Q2623=Dashboard!$L$1,K2623,(K2623*GOOGLEFINANCE(""CURRENCY:""&amp;Q2623&amp;""""&amp;Dashboard!$L$1&amp;""""))/100),IF(Q2623=Dashboard!$L$1,K2623,K2623*GOOGLEFINANCE(""CURRENCY:""&amp;Q2623&amp;""""&amp;Dashboard!$"&amp;"L$1&amp;""""))),K2623))"),"")</f>
        <v/>
      </c>
      <c r="S2623" s="266" t="str">
        <f>IFERROR(__xludf.DUMMYFUNCTION("IF(ISBLANK(A2623),"""",IFERROR(IF(OR(Q2623=""GPB"",Q2623=""ZAR""),IF(Q2623=Dashboard!$L$1,M2623,(M2623*GOOGLEFINANCE(""CURRENCY:""&amp;Q2623&amp;""""&amp;Dashboard!$L$1&amp;""""))/100),IF(Q2623=Dashboard!$L$1,M2623,M2623*GOOGLEFINANCE(""CURRENCY:""&amp;Q2623&amp;""""&amp;Dashboard!$"&amp;"L$1&amp;""""))),M2623))"),"")</f>
        <v/>
      </c>
      <c r="T2623" s="264" t="str">
        <f t="shared" si="4"/>
        <v/>
      </c>
      <c r="U2623" s="264" t="str">
        <f t="shared" si="5"/>
        <v/>
      </c>
      <c r="V2623" s="264" t="str">
        <f t="shared" si="6"/>
        <v/>
      </c>
      <c r="W2623" s="267" t="str">
        <f t="shared" si="8"/>
        <v/>
      </c>
      <c r="X2623" s="264" t="str">
        <f t="shared" si="7"/>
        <v/>
      </c>
    </row>
    <row r="2624" ht="15.75" customHeight="1">
      <c r="A2624" s="258"/>
      <c r="B2624" s="258"/>
      <c r="C2624" s="269"/>
      <c r="D2624" s="258"/>
      <c r="E2624" s="258"/>
      <c r="F2624" s="258"/>
      <c r="G2624" s="258"/>
      <c r="H2624" s="271"/>
      <c r="I2624" s="258"/>
      <c r="J2624" s="272"/>
      <c r="K2624" s="260"/>
      <c r="L2624" s="261"/>
      <c r="M2624" s="262" t="str">
        <f t="shared" si="1"/>
        <v/>
      </c>
      <c r="N2624" s="263" t="str">
        <f t="shared" si="2"/>
        <v/>
      </c>
      <c r="O2624" s="264" t="str">
        <f t="shared" si="3"/>
        <v/>
      </c>
      <c r="P2624" s="265" t="str">
        <f>IFERROR(__xludf.DUMMYFUNCTION("IF(ISBLANK(A2624),"""",IFERROR(IF(H2624=""Sell"",VLOOKUP(9^99,FILTER({ROW(P$2:P2623),P$2:P2623},D$2:D2623=D2624),2),(VLOOKUP(9^99,FILTER({ROW(P$2:P2623),P$2:P2623},D$2:D2623=D2624),2)*VLOOKUP(9^99,FILTER({ROW(O$2:O2623),O$2:O2623},D$2:D2623=D2624),2)-N262"&amp;"4)/O2624),J2624))"),"")</f>
        <v/>
      </c>
      <c r="Q2624" s="264" t="str">
        <f>IFERROR(__xludf.DUMMYFUNCTION("IFERROR(IF(F2624=""Crypto"",B2624,(IF(ISBLANK(D2624),"""",IF(D2624=""Cash"",B2624,IF(GOOGLEFINANCE(D2624,""CURRENCY"")=""GBX"",""GBP"",GOOGLEFINANCE(D2624,""CURRENCY"")))))),B2624)"),"")</f>
        <v/>
      </c>
      <c r="R2624" s="263" t="str">
        <f>IFERROR(__xludf.DUMMYFUNCTION("IF(ISBLANK(A2624),"""",IFERROR(IF(OR(Q2624=""GPB"",Q2624=""ZAR""),IF(Q2624=Dashboard!$L$1,K2624,(K2624*GOOGLEFINANCE(""CURRENCY:""&amp;Q2624&amp;""""&amp;Dashboard!$L$1&amp;""""))/100),IF(Q2624=Dashboard!$L$1,K2624,K2624*GOOGLEFINANCE(""CURRENCY:""&amp;Q2624&amp;""""&amp;Dashboard!$"&amp;"L$1&amp;""""))),K2624))"),"")</f>
        <v/>
      </c>
      <c r="S2624" s="266" t="str">
        <f>IFERROR(__xludf.DUMMYFUNCTION("IF(ISBLANK(A2624),"""",IFERROR(IF(OR(Q2624=""GPB"",Q2624=""ZAR""),IF(Q2624=Dashboard!$L$1,M2624,(M2624*GOOGLEFINANCE(""CURRENCY:""&amp;Q2624&amp;""""&amp;Dashboard!$L$1&amp;""""))/100),IF(Q2624=Dashboard!$L$1,M2624,M2624*GOOGLEFINANCE(""CURRENCY:""&amp;Q2624&amp;""""&amp;Dashboard!$"&amp;"L$1&amp;""""))),M2624))"),"")</f>
        <v/>
      </c>
      <c r="T2624" s="264" t="str">
        <f t="shared" si="4"/>
        <v/>
      </c>
      <c r="U2624" s="264" t="str">
        <f t="shared" si="5"/>
        <v/>
      </c>
      <c r="V2624" s="264" t="str">
        <f t="shared" si="6"/>
        <v/>
      </c>
      <c r="W2624" s="267" t="str">
        <f t="shared" si="8"/>
        <v/>
      </c>
      <c r="X2624" s="264" t="str">
        <f t="shared" si="7"/>
        <v/>
      </c>
    </row>
    <row r="2625" ht="15.75" customHeight="1">
      <c r="A2625" s="258"/>
      <c r="B2625" s="258"/>
      <c r="C2625" s="269"/>
      <c r="D2625" s="258"/>
      <c r="E2625" s="258"/>
      <c r="F2625" s="258"/>
      <c r="G2625" s="258"/>
      <c r="H2625" s="271"/>
      <c r="I2625" s="258"/>
      <c r="J2625" s="272"/>
      <c r="K2625" s="260"/>
      <c r="L2625" s="261"/>
      <c r="M2625" s="262" t="str">
        <f t="shared" si="1"/>
        <v/>
      </c>
      <c r="N2625" s="263" t="str">
        <f t="shared" si="2"/>
        <v/>
      </c>
      <c r="O2625" s="264" t="str">
        <f t="shared" si="3"/>
        <v/>
      </c>
      <c r="P2625" s="265" t="str">
        <f>IFERROR(__xludf.DUMMYFUNCTION("IF(ISBLANK(A2625),"""",IFERROR(IF(H2625=""Sell"",VLOOKUP(9^99,FILTER({ROW(P$2:P2624),P$2:P2624},D$2:D2624=D2625),2),(VLOOKUP(9^99,FILTER({ROW(P$2:P2624),P$2:P2624},D$2:D2624=D2625),2)*VLOOKUP(9^99,FILTER({ROW(O$2:O2624),O$2:O2624},D$2:D2624=D2625),2)-N262"&amp;"5)/O2625),J2625))"),"")</f>
        <v/>
      </c>
      <c r="Q2625" s="264" t="str">
        <f>IFERROR(__xludf.DUMMYFUNCTION("IFERROR(IF(F2625=""Crypto"",B2625,(IF(ISBLANK(D2625),"""",IF(D2625=""Cash"",B2625,IF(GOOGLEFINANCE(D2625,""CURRENCY"")=""GBX"",""GBP"",GOOGLEFINANCE(D2625,""CURRENCY"")))))),B2625)"),"")</f>
        <v/>
      </c>
      <c r="R2625" s="263" t="str">
        <f>IFERROR(__xludf.DUMMYFUNCTION("IF(ISBLANK(A2625),"""",IFERROR(IF(OR(Q2625=""GPB"",Q2625=""ZAR""),IF(Q2625=Dashboard!$L$1,K2625,(K2625*GOOGLEFINANCE(""CURRENCY:""&amp;Q2625&amp;""""&amp;Dashboard!$L$1&amp;""""))/100),IF(Q2625=Dashboard!$L$1,K2625,K2625*GOOGLEFINANCE(""CURRENCY:""&amp;Q2625&amp;""""&amp;Dashboard!$"&amp;"L$1&amp;""""))),K2625))"),"")</f>
        <v/>
      </c>
      <c r="S2625" s="266" t="str">
        <f>IFERROR(__xludf.DUMMYFUNCTION("IF(ISBLANK(A2625),"""",IFERROR(IF(OR(Q2625=""GPB"",Q2625=""ZAR""),IF(Q2625=Dashboard!$L$1,M2625,(M2625*GOOGLEFINANCE(""CURRENCY:""&amp;Q2625&amp;""""&amp;Dashboard!$L$1&amp;""""))/100),IF(Q2625=Dashboard!$L$1,M2625,M2625*GOOGLEFINANCE(""CURRENCY:""&amp;Q2625&amp;""""&amp;Dashboard!$"&amp;"L$1&amp;""""))),M2625))"),"")</f>
        <v/>
      </c>
      <c r="T2625" s="264" t="str">
        <f t="shared" si="4"/>
        <v/>
      </c>
      <c r="U2625" s="264" t="str">
        <f t="shared" si="5"/>
        <v/>
      </c>
      <c r="V2625" s="264" t="str">
        <f t="shared" si="6"/>
        <v/>
      </c>
      <c r="W2625" s="267" t="str">
        <f t="shared" si="8"/>
        <v/>
      </c>
      <c r="X2625" s="264" t="str">
        <f t="shared" si="7"/>
        <v/>
      </c>
    </row>
    <row r="2626" ht="15.75" customHeight="1">
      <c r="A2626" s="258"/>
      <c r="B2626" s="258"/>
      <c r="C2626" s="269"/>
      <c r="D2626" s="258"/>
      <c r="E2626" s="258"/>
      <c r="F2626" s="258"/>
      <c r="G2626" s="258"/>
      <c r="H2626" s="271"/>
      <c r="I2626" s="258"/>
      <c r="J2626" s="272"/>
      <c r="K2626" s="260"/>
      <c r="L2626" s="261"/>
      <c r="M2626" s="262" t="str">
        <f t="shared" si="1"/>
        <v/>
      </c>
      <c r="N2626" s="263" t="str">
        <f t="shared" si="2"/>
        <v/>
      </c>
      <c r="O2626" s="264" t="str">
        <f t="shared" si="3"/>
        <v/>
      </c>
      <c r="P2626" s="265" t="str">
        <f>IFERROR(__xludf.DUMMYFUNCTION("IF(ISBLANK(A2626),"""",IFERROR(IF(H2626=""Sell"",VLOOKUP(9^99,FILTER({ROW(P$2:P2625),P$2:P2625},D$2:D2625=D2626),2),(VLOOKUP(9^99,FILTER({ROW(P$2:P2625),P$2:P2625},D$2:D2625=D2626),2)*VLOOKUP(9^99,FILTER({ROW(O$2:O2625),O$2:O2625},D$2:D2625=D2626),2)-N262"&amp;"6)/O2626),J2626))"),"")</f>
        <v/>
      </c>
      <c r="Q2626" s="264" t="str">
        <f>IFERROR(__xludf.DUMMYFUNCTION("IFERROR(IF(F2626=""Crypto"",B2626,(IF(ISBLANK(D2626),"""",IF(D2626=""Cash"",B2626,IF(GOOGLEFINANCE(D2626,""CURRENCY"")=""GBX"",""GBP"",GOOGLEFINANCE(D2626,""CURRENCY"")))))),B2626)"),"")</f>
        <v/>
      </c>
      <c r="R2626" s="263" t="str">
        <f>IFERROR(__xludf.DUMMYFUNCTION("IF(ISBLANK(A2626),"""",IFERROR(IF(OR(Q2626=""GPB"",Q2626=""ZAR""),IF(Q2626=Dashboard!$L$1,K2626,(K2626*GOOGLEFINANCE(""CURRENCY:""&amp;Q2626&amp;""""&amp;Dashboard!$L$1&amp;""""))/100),IF(Q2626=Dashboard!$L$1,K2626,K2626*GOOGLEFINANCE(""CURRENCY:""&amp;Q2626&amp;""""&amp;Dashboard!$"&amp;"L$1&amp;""""))),K2626))"),"")</f>
        <v/>
      </c>
      <c r="S2626" s="266" t="str">
        <f>IFERROR(__xludf.DUMMYFUNCTION("IF(ISBLANK(A2626),"""",IFERROR(IF(OR(Q2626=""GPB"",Q2626=""ZAR""),IF(Q2626=Dashboard!$L$1,M2626,(M2626*GOOGLEFINANCE(""CURRENCY:""&amp;Q2626&amp;""""&amp;Dashboard!$L$1&amp;""""))/100),IF(Q2626=Dashboard!$L$1,M2626,M2626*GOOGLEFINANCE(""CURRENCY:""&amp;Q2626&amp;""""&amp;Dashboard!$"&amp;"L$1&amp;""""))),M2626))"),"")</f>
        <v/>
      </c>
      <c r="T2626" s="264" t="str">
        <f t="shared" si="4"/>
        <v/>
      </c>
      <c r="U2626" s="264" t="str">
        <f t="shared" si="5"/>
        <v/>
      </c>
      <c r="V2626" s="264" t="str">
        <f t="shared" si="6"/>
        <v/>
      </c>
      <c r="W2626" s="267" t="str">
        <f t="shared" si="8"/>
        <v/>
      </c>
      <c r="X2626" s="264" t="str">
        <f t="shared" si="7"/>
        <v/>
      </c>
    </row>
    <row r="2627" ht="15.75" customHeight="1">
      <c r="A2627" s="258"/>
      <c r="B2627" s="258"/>
      <c r="C2627" s="269"/>
      <c r="D2627" s="258"/>
      <c r="E2627" s="258"/>
      <c r="F2627" s="258"/>
      <c r="G2627" s="258"/>
      <c r="H2627" s="271"/>
      <c r="I2627" s="258"/>
      <c r="J2627" s="272"/>
      <c r="K2627" s="260"/>
      <c r="L2627" s="261"/>
      <c r="M2627" s="262" t="str">
        <f t="shared" si="1"/>
        <v/>
      </c>
      <c r="N2627" s="263" t="str">
        <f t="shared" si="2"/>
        <v/>
      </c>
      <c r="O2627" s="264" t="str">
        <f t="shared" si="3"/>
        <v/>
      </c>
      <c r="P2627" s="265" t="str">
        <f>IFERROR(__xludf.DUMMYFUNCTION("IF(ISBLANK(A2627),"""",IFERROR(IF(H2627=""Sell"",VLOOKUP(9^99,FILTER({ROW(P$2:P2626),P$2:P2626},D$2:D2626=D2627),2),(VLOOKUP(9^99,FILTER({ROW(P$2:P2626),P$2:P2626},D$2:D2626=D2627),2)*VLOOKUP(9^99,FILTER({ROW(O$2:O2626),O$2:O2626},D$2:D2626=D2627),2)-N262"&amp;"7)/O2627),J2627))"),"")</f>
        <v/>
      </c>
      <c r="Q2627" s="264" t="str">
        <f>IFERROR(__xludf.DUMMYFUNCTION("IFERROR(IF(F2627=""Crypto"",B2627,(IF(ISBLANK(D2627),"""",IF(D2627=""Cash"",B2627,IF(GOOGLEFINANCE(D2627,""CURRENCY"")=""GBX"",""GBP"",GOOGLEFINANCE(D2627,""CURRENCY"")))))),B2627)"),"")</f>
        <v/>
      </c>
      <c r="R2627" s="263" t="str">
        <f>IFERROR(__xludf.DUMMYFUNCTION("IF(ISBLANK(A2627),"""",IFERROR(IF(OR(Q2627=""GPB"",Q2627=""ZAR""),IF(Q2627=Dashboard!$L$1,K2627,(K2627*GOOGLEFINANCE(""CURRENCY:""&amp;Q2627&amp;""""&amp;Dashboard!$L$1&amp;""""))/100),IF(Q2627=Dashboard!$L$1,K2627,K2627*GOOGLEFINANCE(""CURRENCY:""&amp;Q2627&amp;""""&amp;Dashboard!$"&amp;"L$1&amp;""""))),K2627))"),"")</f>
        <v/>
      </c>
      <c r="S2627" s="266" t="str">
        <f>IFERROR(__xludf.DUMMYFUNCTION("IF(ISBLANK(A2627),"""",IFERROR(IF(OR(Q2627=""GPB"",Q2627=""ZAR""),IF(Q2627=Dashboard!$L$1,M2627,(M2627*GOOGLEFINANCE(""CURRENCY:""&amp;Q2627&amp;""""&amp;Dashboard!$L$1&amp;""""))/100),IF(Q2627=Dashboard!$L$1,M2627,M2627*GOOGLEFINANCE(""CURRENCY:""&amp;Q2627&amp;""""&amp;Dashboard!$"&amp;"L$1&amp;""""))),M2627))"),"")</f>
        <v/>
      </c>
      <c r="T2627" s="264" t="str">
        <f t="shared" si="4"/>
        <v/>
      </c>
      <c r="U2627" s="264" t="str">
        <f t="shared" si="5"/>
        <v/>
      </c>
      <c r="V2627" s="264" t="str">
        <f t="shared" si="6"/>
        <v/>
      </c>
      <c r="W2627" s="267" t="str">
        <f t="shared" si="8"/>
        <v/>
      </c>
      <c r="X2627" s="264" t="str">
        <f t="shared" si="7"/>
        <v/>
      </c>
    </row>
    <row r="2628" ht="15.75" customHeight="1">
      <c r="A2628" s="258"/>
      <c r="B2628" s="258"/>
      <c r="C2628" s="269"/>
      <c r="D2628" s="258"/>
      <c r="E2628" s="258"/>
      <c r="F2628" s="258"/>
      <c r="G2628" s="258"/>
      <c r="H2628" s="271"/>
      <c r="I2628" s="258"/>
      <c r="J2628" s="272"/>
      <c r="K2628" s="260"/>
      <c r="L2628" s="261"/>
      <c r="M2628" s="262" t="str">
        <f t="shared" si="1"/>
        <v/>
      </c>
      <c r="N2628" s="263" t="str">
        <f t="shared" si="2"/>
        <v/>
      </c>
      <c r="O2628" s="264" t="str">
        <f t="shared" si="3"/>
        <v/>
      </c>
      <c r="P2628" s="265" t="str">
        <f>IFERROR(__xludf.DUMMYFUNCTION("IF(ISBLANK(A2628),"""",IFERROR(IF(H2628=""Sell"",VLOOKUP(9^99,FILTER({ROW(P$2:P2627),P$2:P2627},D$2:D2627=D2628),2),(VLOOKUP(9^99,FILTER({ROW(P$2:P2627),P$2:P2627},D$2:D2627=D2628),2)*VLOOKUP(9^99,FILTER({ROW(O$2:O2627),O$2:O2627},D$2:D2627=D2628),2)-N262"&amp;"8)/O2628),J2628))"),"")</f>
        <v/>
      </c>
      <c r="Q2628" s="264" t="str">
        <f>IFERROR(__xludf.DUMMYFUNCTION("IFERROR(IF(F2628=""Crypto"",B2628,(IF(ISBLANK(D2628),"""",IF(D2628=""Cash"",B2628,IF(GOOGLEFINANCE(D2628,""CURRENCY"")=""GBX"",""GBP"",GOOGLEFINANCE(D2628,""CURRENCY"")))))),B2628)"),"")</f>
        <v/>
      </c>
      <c r="R2628" s="263" t="str">
        <f>IFERROR(__xludf.DUMMYFUNCTION("IF(ISBLANK(A2628),"""",IFERROR(IF(OR(Q2628=""GPB"",Q2628=""ZAR""),IF(Q2628=Dashboard!$L$1,K2628,(K2628*GOOGLEFINANCE(""CURRENCY:""&amp;Q2628&amp;""""&amp;Dashboard!$L$1&amp;""""))/100),IF(Q2628=Dashboard!$L$1,K2628,K2628*GOOGLEFINANCE(""CURRENCY:""&amp;Q2628&amp;""""&amp;Dashboard!$"&amp;"L$1&amp;""""))),K2628))"),"")</f>
        <v/>
      </c>
      <c r="S2628" s="266" t="str">
        <f>IFERROR(__xludf.DUMMYFUNCTION("IF(ISBLANK(A2628),"""",IFERROR(IF(OR(Q2628=""GPB"",Q2628=""ZAR""),IF(Q2628=Dashboard!$L$1,M2628,(M2628*GOOGLEFINANCE(""CURRENCY:""&amp;Q2628&amp;""""&amp;Dashboard!$L$1&amp;""""))/100),IF(Q2628=Dashboard!$L$1,M2628,M2628*GOOGLEFINANCE(""CURRENCY:""&amp;Q2628&amp;""""&amp;Dashboard!$"&amp;"L$1&amp;""""))),M2628))"),"")</f>
        <v/>
      </c>
      <c r="T2628" s="264" t="str">
        <f t="shared" si="4"/>
        <v/>
      </c>
      <c r="U2628" s="264" t="str">
        <f t="shared" si="5"/>
        <v/>
      </c>
      <c r="V2628" s="264" t="str">
        <f t="shared" si="6"/>
        <v/>
      </c>
      <c r="W2628" s="267" t="str">
        <f t="shared" si="8"/>
        <v/>
      </c>
      <c r="X2628" s="264" t="str">
        <f t="shared" si="7"/>
        <v/>
      </c>
    </row>
    <row r="2629" ht="15.75" customHeight="1">
      <c r="A2629" s="258"/>
      <c r="B2629" s="258"/>
      <c r="C2629" s="269"/>
      <c r="D2629" s="258"/>
      <c r="E2629" s="258"/>
      <c r="F2629" s="258"/>
      <c r="G2629" s="258"/>
      <c r="H2629" s="271"/>
      <c r="I2629" s="258"/>
      <c r="J2629" s="272"/>
      <c r="K2629" s="260"/>
      <c r="L2629" s="261"/>
      <c r="M2629" s="262" t="str">
        <f t="shared" si="1"/>
        <v/>
      </c>
      <c r="N2629" s="263" t="str">
        <f t="shared" si="2"/>
        <v/>
      </c>
      <c r="O2629" s="264" t="str">
        <f t="shared" si="3"/>
        <v/>
      </c>
      <c r="P2629" s="265" t="str">
        <f>IFERROR(__xludf.DUMMYFUNCTION("IF(ISBLANK(A2629),"""",IFERROR(IF(H2629=""Sell"",VLOOKUP(9^99,FILTER({ROW(P$2:P2628),P$2:P2628},D$2:D2628=D2629),2),(VLOOKUP(9^99,FILTER({ROW(P$2:P2628),P$2:P2628},D$2:D2628=D2629),2)*VLOOKUP(9^99,FILTER({ROW(O$2:O2628),O$2:O2628},D$2:D2628=D2629),2)-N262"&amp;"9)/O2629),J2629))"),"")</f>
        <v/>
      </c>
      <c r="Q2629" s="264" t="str">
        <f>IFERROR(__xludf.DUMMYFUNCTION("IFERROR(IF(F2629=""Crypto"",B2629,(IF(ISBLANK(D2629),"""",IF(D2629=""Cash"",B2629,IF(GOOGLEFINANCE(D2629,""CURRENCY"")=""GBX"",""GBP"",GOOGLEFINANCE(D2629,""CURRENCY"")))))),B2629)"),"")</f>
        <v/>
      </c>
      <c r="R2629" s="263" t="str">
        <f>IFERROR(__xludf.DUMMYFUNCTION("IF(ISBLANK(A2629),"""",IFERROR(IF(OR(Q2629=""GPB"",Q2629=""ZAR""),IF(Q2629=Dashboard!$L$1,K2629,(K2629*GOOGLEFINANCE(""CURRENCY:""&amp;Q2629&amp;""""&amp;Dashboard!$L$1&amp;""""))/100),IF(Q2629=Dashboard!$L$1,K2629,K2629*GOOGLEFINANCE(""CURRENCY:""&amp;Q2629&amp;""""&amp;Dashboard!$"&amp;"L$1&amp;""""))),K2629))"),"")</f>
        <v/>
      </c>
      <c r="S2629" s="266" t="str">
        <f>IFERROR(__xludf.DUMMYFUNCTION("IF(ISBLANK(A2629),"""",IFERROR(IF(OR(Q2629=""GPB"",Q2629=""ZAR""),IF(Q2629=Dashboard!$L$1,M2629,(M2629*GOOGLEFINANCE(""CURRENCY:""&amp;Q2629&amp;""""&amp;Dashboard!$L$1&amp;""""))/100),IF(Q2629=Dashboard!$L$1,M2629,M2629*GOOGLEFINANCE(""CURRENCY:""&amp;Q2629&amp;""""&amp;Dashboard!$"&amp;"L$1&amp;""""))),M2629))"),"")</f>
        <v/>
      </c>
      <c r="T2629" s="264" t="str">
        <f t="shared" si="4"/>
        <v/>
      </c>
      <c r="U2629" s="264" t="str">
        <f t="shared" si="5"/>
        <v/>
      </c>
      <c r="V2629" s="264" t="str">
        <f t="shared" si="6"/>
        <v/>
      </c>
      <c r="W2629" s="267" t="str">
        <f t="shared" si="8"/>
        <v/>
      </c>
      <c r="X2629" s="264" t="str">
        <f t="shared" si="7"/>
        <v/>
      </c>
    </row>
    <row r="2630" ht="15.75" customHeight="1">
      <c r="A2630" s="258"/>
      <c r="B2630" s="258"/>
      <c r="C2630" s="269"/>
      <c r="D2630" s="258"/>
      <c r="E2630" s="258"/>
      <c r="F2630" s="258"/>
      <c r="G2630" s="258"/>
      <c r="H2630" s="271"/>
      <c r="I2630" s="258"/>
      <c r="J2630" s="272"/>
      <c r="K2630" s="260"/>
      <c r="L2630" s="261"/>
      <c r="M2630" s="262" t="str">
        <f t="shared" si="1"/>
        <v/>
      </c>
      <c r="N2630" s="263" t="str">
        <f t="shared" si="2"/>
        <v/>
      </c>
      <c r="O2630" s="264" t="str">
        <f t="shared" si="3"/>
        <v/>
      </c>
      <c r="P2630" s="265" t="str">
        <f>IFERROR(__xludf.DUMMYFUNCTION("IF(ISBLANK(A2630),"""",IFERROR(IF(H2630=""Sell"",VLOOKUP(9^99,FILTER({ROW(P$2:P2629),P$2:P2629},D$2:D2629=D2630),2),(VLOOKUP(9^99,FILTER({ROW(P$2:P2629),P$2:P2629},D$2:D2629=D2630),2)*VLOOKUP(9^99,FILTER({ROW(O$2:O2629),O$2:O2629},D$2:D2629=D2630),2)-N263"&amp;"0)/O2630),J2630))"),"")</f>
        <v/>
      </c>
      <c r="Q2630" s="264" t="str">
        <f>IFERROR(__xludf.DUMMYFUNCTION("IFERROR(IF(F2630=""Crypto"",B2630,(IF(ISBLANK(D2630),"""",IF(D2630=""Cash"",B2630,IF(GOOGLEFINANCE(D2630,""CURRENCY"")=""GBX"",""GBP"",GOOGLEFINANCE(D2630,""CURRENCY"")))))),B2630)"),"")</f>
        <v/>
      </c>
      <c r="R2630" s="263" t="str">
        <f>IFERROR(__xludf.DUMMYFUNCTION("IF(ISBLANK(A2630),"""",IFERROR(IF(OR(Q2630=""GPB"",Q2630=""ZAR""),IF(Q2630=Dashboard!$L$1,K2630,(K2630*GOOGLEFINANCE(""CURRENCY:""&amp;Q2630&amp;""""&amp;Dashboard!$L$1&amp;""""))/100),IF(Q2630=Dashboard!$L$1,K2630,K2630*GOOGLEFINANCE(""CURRENCY:""&amp;Q2630&amp;""""&amp;Dashboard!$"&amp;"L$1&amp;""""))),K2630))"),"")</f>
        <v/>
      </c>
      <c r="S2630" s="266" t="str">
        <f>IFERROR(__xludf.DUMMYFUNCTION("IF(ISBLANK(A2630),"""",IFERROR(IF(OR(Q2630=""GPB"",Q2630=""ZAR""),IF(Q2630=Dashboard!$L$1,M2630,(M2630*GOOGLEFINANCE(""CURRENCY:""&amp;Q2630&amp;""""&amp;Dashboard!$L$1&amp;""""))/100),IF(Q2630=Dashboard!$L$1,M2630,M2630*GOOGLEFINANCE(""CURRENCY:""&amp;Q2630&amp;""""&amp;Dashboard!$"&amp;"L$1&amp;""""))),M2630))"),"")</f>
        <v/>
      </c>
      <c r="T2630" s="264" t="str">
        <f t="shared" si="4"/>
        <v/>
      </c>
      <c r="U2630" s="264" t="str">
        <f t="shared" si="5"/>
        <v/>
      </c>
      <c r="V2630" s="264" t="str">
        <f t="shared" si="6"/>
        <v/>
      </c>
      <c r="W2630" s="267" t="str">
        <f t="shared" si="8"/>
        <v/>
      </c>
      <c r="X2630" s="264" t="str">
        <f t="shared" si="7"/>
        <v/>
      </c>
    </row>
    <row r="2631" ht="15.75" customHeight="1">
      <c r="A2631" s="258"/>
      <c r="B2631" s="258"/>
      <c r="C2631" s="269"/>
      <c r="D2631" s="258"/>
      <c r="E2631" s="258"/>
      <c r="F2631" s="258"/>
      <c r="G2631" s="258"/>
      <c r="H2631" s="271"/>
      <c r="I2631" s="258"/>
      <c r="J2631" s="272"/>
      <c r="K2631" s="260"/>
      <c r="L2631" s="261"/>
      <c r="M2631" s="262" t="str">
        <f t="shared" si="1"/>
        <v/>
      </c>
      <c r="N2631" s="263" t="str">
        <f t="shared" si="2"/>
        <v/>
      </c>
      <c r="O2631" s="264" t="str">
        <f t="shared" si="3"/>
        <v/>
      </c>
      <c r="P2631" s="265" t="str">
        <f>IFERROR(__xludf.DUMMYFUNCTION("IF(ISBLANK(A2631),"""",IFERROR(IF(H2631=""Sell"",VLOOKUP(9^99,FILTER({ROW(P$2:P2630),P$2:P2630},D$2:D2630=D2631),2),(VLOOKUP(9^99,FILTER({ROW(P$2:P2630),P$2:P2630},D$2:D2630=D2631),2)*VLOOKUP(9^99,FILTER({ROW(O$2:O2630),O$2:O2630},D$2:D2630=D2631),2)-N263"&amp;"1)/O2631),J2631))"),"")</f>
        <v/>
      </c>
      <c r="Q2631" s="264" t="str">
        <f>IFERROR(__xludf.DUMMYFUNCTION("IFERROR(IF(F2631=""Crypto"",B2631,(IF(ISBLANK(D2631),"""",IF(D2631=""Cash"",B2631,IF(GOOGLEFINANCE(D2631,""CURRENCY"")=""GBX"",""GBP"",GOOGLEFINANCE(D2631,""CURRENCY"")))))),B2631)"),"")</f>
        <v/>
      </c>
      <c r="R2631" s="263" t="str">
        <f>IFERROR(__xludf.DUMMYFUNCTION("IF(ISBLANK(A2631),"""",IFERROR(IF(OR(Q2631=""GPB"",Q2631=""ZAR""),IF(Q2631=Dashboard!$L$1,K2631,(K2631*GOOGLEFINANCE(""CURRENCY:""&amp;Q2631&amp;""""&amp;Dashboard!$L$1&amp;""""))/100),IF(Q2631=Dashboard!$L$1,K2631,K2631*GOOGLEFINANCE(""CURRENCY:""&amp;Q2631&amp;""""&amp;Dashboard!$"&amp;"L$1&amp;""""))),K2631))"),"")</f>
        <v/>
      </c>
      <c r="S2631" s="266" t="str">
        <f>IFERROR(__xludf.DUMMYFUNCTION("IF(ISBLANK(A2631),"""",IFERROR(IF(OR(Q2631=""GPB"",Q2631=""ZAR""),IF(Q2631=Dashboard!$L$1,M2631,(M2631*GOOGLEFINANCE(""CURRENCY:""&amp;Q2631&amp;""""&amp;Dashboard!$L$1&amp;""""))/100),IF(Q2631=Dashboard!$L$1,M2631,M2631*GOOGLEFINANCE(""CURRENCY:""&amp;Q2631&amp;""""&amp;Dashboard!$"&amp;"L$1&amp;""""))),M2631))"),"")</f>
        <v/>
      </c>
      <c r="T2631" s="264" t="str">
        <f t="shared" si="4"/>
        <v/>
      </c>
      <c r="U2631" s="264" t="str">
        <f t="shared" si="5"/>
        <v/>
      </c>
      <c r="V2631" s="264" t="str">
        <f t="shared" si="6"/>
        <v/>
      </c>
      <c r="W2631" s="267" t="str">
        <f t="shared" si="8"/>
        <v/>
      </c>
      <c r="X2631" s="264" t="str">
        <f t="shared" si="7"/>
        <v/>
      </c>
    </row>
    <row r="2632" ht="15.75" customHeight="1">
      <c r="A2632" s="258"/>
      <c r="B2632" s="258"/>
      <c r="C2632" s="269"/>
      <c r="D2632" s="258"/>
      <c r="E2632" s="258"/>
      <c r="F2632" s="258"/>
      <c r="G2632" s="258"/>
      <c r="H2632" s="271"/>
      <c r="I2632" s="258"/>
      <c r="J2632" s="272"/>
      <c r="K2632" s="260"/>
      <c r="L2632" s="261"/>
      <c r="M2632" s="262" t="str">
        <f t="shared" si="1"/>
        <v/>
      </c>
      <c r="N2632" s="263" t="str">
        <f t="shared" si="2"/>
        <v/>
      </c>
      <c r="O2632" s="264" t="str">
        <f t="shared" si="3"/>
        <v/>
      </c>
      <c r="P2632" s="265" t="str">
        <f>IFERROR(__xludf.DUMMYFUNCTION("IF(ISBLANK(A2632),"""",IFERROR(IF(H2632=""Sell"",VLOOKUP(9^99,FILTER({ROW(P$2:P2631),P$2:P2631},D$2:D2631=D2632),2),(VLOOKUP(9^99,FILTER({ROW(P$2:P2631),P$2:P2631},D$2:D2631=D2632),2)*VLOOKUP(9^99,FILTER({ROW(O$2:O2631),O$2:O2631},D$2:D2631=D2632),2)-N263"&amp;"2)/O2632),J2632))"),"")</f>
        <v/>
      </c>
      <c r="Q2632" s="264" t="str">
        <f>IFERROR(__xludf.DUMMYFUNCTION("IFERROR(IF(F2632=""Crypto"",B2632,(IF(ISBLANK(D2632),"""",IF(D2632=""Cash"",B2632,IF(GOOGLEFINANCE(D2632,""CURRENCY"")=""GBX"",""GBP"",GOOGLEFINANCE(D2632,""CURRENCY"")))))),B2632)"),"")</f>
        <v/>
      </c>
      <c r="R2632" s="263" t="str">
        <f>IFERROR(__xludf.DUMMYFUNCTION("IF(ISBLANK(A2632),"""",IFERROR(IF(OR(Q2632=""GPB"",Q2632=""ZAR""),IF(Q2632=Dashboard!$L$1,K2632,(K2632*GOOGLEFINANCE(""CURRENCY:""&amp;Q2632&amp;""""&amp;Dashboard!$L$1&amp;""""))/100),IF(Q2632=Dashboard!$L$1,K2632,K2632*GOOGLEFINANCE(""CURRENCY:""&amp;Q2632&amp;""""&amp;Dashboard!$"&amp;"L$1&amp;""""))),K2632))"),"")</f>
        <v/>
      </c>
      <c r="S2632" s="266" t="str">
        <f>IFERROR(__xludf.DUMMYFUNCTION("IF(ISBLANK(A2632),"""",IFERROR(IF(OR(Q2632=""GPB"",Q2632=""ZAR""),IF(Q2632=Dashboard!$L$1,M2632,(M2632*GOOGLEFINANCE(""CURRENCY:""&amp;Q2632&amp;""""&amp;Dashboard!$L$1&amp;""""))/100),IF(Q2632=Dashboard!$L$1,M2632,M2632*GOOGLEFINANCE(""CURRENCY:""&amp;Q2632&amp;""""&amp;Dashboard!$"&amp;"L$1&amp;""""))),M2632))"),"")</f>
        <v/>
      </c>
      <c r="T2632" s="264" t="str">
        <f t="shared" si="4"/>
        <v/>
      </c>
      <c r="U2632" s="264" t="str">
        <f t="shared" si="5"/>
        <v/>
      </c>
      <c r="V2632" s="264" t="str">
        <f t="shared" si="6"/>
        <v/>
      </c>
      <c r="W2632" s="267" t="str">
        <f t="shared" si="8"/>
        <v/>
      </c>
      <c r="X2632" s="264" t="str">
        <f t="shared" si="7"/>
        <v/>
      </c>
    </row>
    <row r="2633" ht="15.75" customHeight="1">
      <c r="A2633" s="258"/>
      <c r="B2633" s="258"/>
      <c r="C2633" s="269"/>
      <c r="D2633" s="258"/>
      <c r="E2633" s="258"/>
      <c r="F2633" s="258"/>
      <c r="G2633" s="258"/>
      <c r="H2633" s="271"/>
      <c r="I2633" s="258"/>
      <c r="J2633" s="272"/>
      <c r="K2633" s="260"/>
      <c r="L2633" s="261"/>
      <c r="M2633" s="262" t="str">
        <f t="shared" si="1"/>
        <v/>
      </c>
      <c r="N2633" s="263" t="str">
        <f t="shared" si="2"/>
        <v/>
      </c>
      <c r="O2633" s="264" t="str">
        <f t="shared" si="3"/>
        <v/>
      </c>
      <c r="P2633" s="265" t="str">
        <f>IFERROR(__xludf.DUMMYFUNCTION("IF(ISBLANK(A2633),"""",IFERROR(IF(H2633=""Sell"",VLOOKUP(9^99,FILTER({ROW(P$2:P2632),P$2:P2632},D$2:D2632=D2633),2),(VLOOKUP(9^99,FILTER({ROW(P$2:P2632),P$2:P2632},D$2:D2632=D2633),2)*VLOOKUP(9^99,FILTER({ROW(O$2:O2632),O$2:O2632},D$2:D2632=D2633),2)-N263"&amp;"3)/O2633),J2633))"),"")</f>
        <v/>
      </c>
      <c r="Q2633" s="264" t="str">
        <f>IFERROR(__xludf.DUMMYFUNCTION("IFERROR(IF(F2633=""Crypto"",B2633,(IF(ISBLANK(D2633),"""",IF(D2633=""Cash"",B2633,IF(GOOGLEFINANCE(D2633,""CURRENCY"")=""GBX"",""GBP"",GOOGLEFINANCE(D2633,""CURRENCY"")))))),B2633)"),"")</f>
        <v/>
      </c>
      <c r="R2633" s="263" t="str">
        <f>IFERROR(__xludf.DUMMYFUNCTION("IF(ISBLANK(A2633),"""",IFERROR(IF(OR(Q2633=""GPB"",Q2633=""ZAR""),IF(Q2633=Dashboard!$L$1,K2633,(K2633*GOOGLEFINANCE(""CURRENCY:""&amp;Q2633&amp;""""&amp;Dashboard!$L$1&amp;""""))/100),IF(Q2633=Dashboard!$L$1,K2633,K2633*GOOGLEFINANCE(""CURRENCY:""&amp;Q2633&amp;""""&amp;Dashboard!$"&amp;"L$1&amp;""""))),K2633))"),"")</f>
        <v/>
      </c>
      <c r="S2633" s="266" t="str">
        <f>IFERROR(__xludf.DUMMYFUNCTION("IF(ISBLANK(A2633),"""",IFERROR(IF(OR(Q2633=""GPB"",Q2633=""ZAR""),IF(Q2633=Dashboard!$L$1,M2633,(M2633*GOOGLEFINANCE(""CURRENCY:""&amp;Q2633&amp;""""&amp;Dashboard!$L$1&amp;""""))/100),IF(Q2633=Dashboard!$L$1,M2633,M2633*GOOGLEFINANCE(""CURRENCY:""&amp;Q2633&amp;""""&amp;Dashboard!$"&amp;"L$1&amp;""""))),M2633))"),"")</f>
        <v/>
      </c>
      <c r="T2633" s="264" t="str">
        <f t="shared" si="4"/>
        <v/>
      </c>
      <c r="U2633" s="264" t="str">
        <f t="shared" si="5"/>
        <v/>
      </c>
      <c r="V2633" s="264" t="str">
        <f t="shared" si="6"/>
        <v/>
      </c>
      <c r="W2633" s="267" t="str">
        <f t="shared" si="8"/>
        <v/>
      </c>
      <c r="X2633" s="264" t="str">
        <f t="shared" si="7"/>
        <v/>
      </c>
    </row>
    <row r="2634" ht="15.75" customHeight="1">
      <c r="A2634" s="258"/>
      <c r="B2634" s="258"/>
      <c r="C2634" s="269"/>
      <c r="D2634" s="258"/>
      <c r="E2634" s="258"/>
      <c r="F2634" s="258"/>
      <c r="G2634" s="258"/>
      <c r="H2634" s="271"/>
      <c r="I2634" s="258"/>
      <c r="J2634" s="272"/>
      <c r="K2634" s="260"/>
      <c r="L2634" s="261"/>
      <c r="M2634" s="262" t="str">
        <f t="shared" si="1"/>
        <v/>
      </c>
      <c r="N2634" s="263" t="str">
        <f t="shared" si="2"/>
        <v/>
      </c>
      <c r="O2634" s="264" t="str">
        <f t="shared" si="3"/>
        <v/>
      </c>
      <c r="P2634" s="265" t="str">
        <f>IFERROR(__xludf.DUMMYFUNCTION("IF(ISBLANK(A2634),"""",IFERROR(IF(H2634=""Sell"",VLOOKUP(9^99,FILTER({ROW(P$2:P2633),P$2:P2633},D$2:D2633=D2634),2),(VLOOKUP(9^99,FILTER({ROW(P$2:P2633),P$2:P2633},D$2:D2633=D2634),2)*VLOOKUP(9^99,FILTER({ROW(O$2:O2633),O$2:O2633},D$2:D2633=D2634),2)-N263"&amp;"4)/O2634),J2634))"),"")</f>
        <v/>
      </c>
      <c r="Q2634" s="264" t="str">
        <f>IFERROR(__xludf.DUMMYFUNCTION("IFERROR(IF(F2634=""Crypto"",B2634,(IF(ISBLANK(D2634),"""",IF(D2634=""Cash"",B2634,IF(GOOGLEFINANCE(D2634,""CURRENCY"")=""GBX"",""GBP"",GOOGLEFINANCE(D2634,""CURRENCY"")))))),B2634)"),"")</f>
        <v/>
      </c>
      <c r="R2634" s="263" t="str">
        <f>IFERROR(__xludf.DUMMYFUNCTION("IF(ISBLANK(A2634),"""",IFERROR(IF(OR(Q2634=""GPB"",Q2634=""ZAR""),IF(Q2634=Dashboard!$L$1,K2634,(K2634*GOOGLEFINANCE(""CURRENCY:""&amp;Q2634&amp;""""&amp;Dashboard!$L$1&amp;""""))/100),IF(Q2634=Dashboard!$L$1,K2634,K2634*GOOGLEFINANCE(""CURRENCY:""&amp;Q2634&amp;""""&amp;Dashboard!$"&amp;"L$1&amp;""""))),K2634))"),"")</f>
        <v/>
      </c>
      <c r="S2634" s="266" t="str">
        <f>IFERROR(__xludf.DUMMYFUNCTION("IF(ISBLANK(A2634),"""",IFERROR(IF(OR(Q2634=""GPB"",Q2634=""ZAR""),IF(Q2634=Dashboard!$L$1,M2634,(M2634*GOOGLEFINANCE(""CURRENCY:""&amp;Q2634&amp;""""&amp;Dashboard!$L$1&amp;""""))/100),IF(Q2634=Dashboard!$L$1,M2634,M2634*GOOGLEFINANCE(""CURRENCY:""&amp;Q2634&amp;""""&amp;Dashboard!$"&amp;"L$1&amp;""""))),M2634))"),"")</f>
        <v/>
      </c>
      <c r="T2634" s="264" t="str">
        <f t="shared" si="4"/>
        <v/>
      </c>
      <c r="U2634" s="264" t="str">
        <f t="shared" si="5"/>
        <v/>
      </c>
      <c r="V2634" s="264" t="str">
        <f t="shared" si="6"/>
        <v/>
      </c>
      <c r="W2634" s="267" t="str">
        <f t="shared" si="8"/>
        <v/>
      </c>
      <c r="X2634" s="264" t="str">
        <f t="shared" si="7"/>
        <v/>
      </c>
    </row>
    <row r="2635" ht="15.75" customHeight="1">
      <c r="A2635" s="258"/>
      <c r="B2635" s="258"/>
      <c r="C2635" s="269"/>
      <c r="D2635" s="258"/>
      <c r="E2635" s="258"/>
      <c r="F2635" s="258"/>
      <c r="G2635" s="258"/>
      <c r="H2635" s="271"/>
      <c r="I2635" s="258"/>
      <c r="J2635" s="272"/>
      <c r="K2635" s="260"/>
      <c r="L2635" s="261"/>
      <c r="M2635" s="262" t="str">
        <f t="shared" si="1"/>
        <v/>
      </c>
      <c r="N2635" s="263" t="str">
        <f t="shared" si="2"/>
        <v/>
      </c>
      <c r="O2635" s="264" t="str">
        <f t="shared" si="3"/>
        <v/>
      </c>
      <c r="P2635" s="265" t="str">
        <f>IFERROR(__xludf.DUMMYFUNCTION("IF(ISBLANK(A2635),"""",IFERROR(IF(H2635=""Sell"",VLOOKUP(9^99,FILTER({ROW(P$2:P2634),P$2:P2634},D$2:D2634=D2635),2),(VLOOKUP(9^99,FILTER({ROW(P$2:P2634),P$2:P2634},D$2:D2634=D2635),2)*VLOOKUP(9^99,FILTER({ROW(O$2:O2634),O$2:O2634},D$2:D2634=D2635),2)-N263"&amp;"5)/O2635),J2635))"),"")</f>
        <v/>
      </c>
      <c r="Q2635" s="264" t="str">
        <f>IFERROR(__xludf.DUMMYFUNCTION("IFERROR(IF(F2635=""Crypto"",B2635,(IF(ISBLANK(D2635),"""",IF(D2635=""Cash"",B2635,IF(GOOGLEFINANCE(D2635,""CURRENCY"")=""GBX"",""GBP"",GOOGLEFINANCE(D2635,""CURRENCY"")))))),B2635)"),"")</f>
        <v/>
      </c>
      <c r="R2635" s="263" t="str">
        <f>IFERROR(__xludf.DUMMYFUNCTION("IF(ISBLANK(A2635),"""",IFERROR(IF(OR(Q2635=""GPB"",Q2635=""ZAR""),IF(Q2635=Dashboard!$L$1,K2635,(K2635*GOOGLEFINANCE(""CURRENCY:""&amp;Q2635&amp;""""&amp;Dashboard!$L$1&amp;""""))/100),IF(Q2635=Dashboard!$L$1,K2635,K2635*GOOGLEFINANCE(""CURRENCY:""&amp;Q2635&amp;""""&amp;Dashboard!$"&amp;"L$1&amp;""""))),K2635))"),"")</f>
        <v/>
      </c>
      <c r="S2635" s="266" t="str">
        <f>IFERROR(__xludf.DUMMYFUNCTION("IF(ISBLANK(A2635),"""",IFERROR(IF(OR(Q2635=""GPB"",Q2635=""ZAR""),IF(Q2635=Dashboard!$L$1,M2635,(M2635*GOOGLEFINANCE(""CURRENCY:""&amp;Q2635&amp;""""&amp;Dashboard!$L$1&amp;""""))/100),IF(Q2635=Dashboard!$L$1,M2635,M2635*GOOGLEFINANCE(""CURRENCY:""&amp;Q2635&amp;""""&amp;Dashboard!$"&amp;"L$1&amp;""""))),M2635))"),"")</f>
        <v/>
      </c>
      <c r="T2635" s="264" t="str">
        <f t="shared" si="4"/>
        <v/>
      </c>
      <c r="U2635" s="264" t="str">
        <f t="shared" si="5"/>
        <v/>
      </c>
      <c r="V2635" s="264" t="str">
        <f t="shared" si="6"/>
        <v/>
      </c>
      <c r="W2635" s="267" t="str">
        <f t="shared" si="8"/>
        <v/>
      </c>
      <c r="X2635" s="264" t="str">
        <f t="shared" si="7"/>
        <v/>
      </c>
    </row>
    <row r="2636" ht="15.75" customHeight="1">
      <c r="A2636" s="258"/>
      <c r="B2636" s="258"/>
      <c r="C2636" s="269"/>
      <c r="D2636" s="258"/>
      <c r="E2636" s="258"/>
      <c r="F2636" s="258"/>
      <c r="G2636" s="258"/>
      <c r="H2636" s="271"/>
      <c r="I2636" s="258"/>
      <c r="J2636" s="272"/>
      <c r="K2636" s="260"/>
      <c r="L2636" s="261"/>
      <c r="M2636" s="262" t="str">
        <f t="shared" si="1"/>
        <v/>
      </c>
      <c r="N2636" s="263" t="str">
        <f t="shared" si="2"/>
        <v/>
      </c>
      <c r="O2636" s="264" t="str">
        <f t="shared" si="3"/>
        <v/>
      </c>
      <c r="P2636" s="265" t="str">
        <f>IFERROR(__xludf.DUMMYFUNCTION("IF(ISBLANK(A2636),"""",IFERROR(IF(H2636=""Sell"",VLOOKUP(9^99,FILTER({ROW(P$2:P2635),P$2:P2635},D$2:D2635=D2636),2),(VLOOKUP(9^99,FILTER({ROW(P$2:P2635),P$2:P2635},D$2:D2635=D2636),2)*VLOOKUP(9^99,FILTER({ROW(O$2:O2635),O$2:O2635},D$2:D2635=D2636),2)-N263"&amp;"6)/O2636),J2636))"),"")</f>
        <v/>
      </c>
      <c r="Q2636" s="264" t="str">
        <f>IFERROR(__xludf.DUMMYFUNCTION("IFERROR(IF(F2636=""Crypto"",B2636,(IF(ISBLANK(D2636),"""",IF(D2636=""Cash"",B2636,IF(GOOGLEFINANCE(D2636,""CURRENCY"")=""GBX"",""GBP"",GOOGLEFINANCE(D2636,""CURRENCY"")))))),B2636)"),"")</f>
        <v/>
      </c>
      <c r="R2636" s="263" t="str">
        <f>IFERROR(__xludf.DUMMYFUNCTION("IF(ISBLANK(A2636),"""",IFERROR(IF(OR(Q2636=""GPB"",Q2636=""ZAR""),IF(Q2636=Dashboard!$L$1,K2636,(K2636*GOOGLEFINANCE(""CURRENCY:""&amp;Q2636&amp;""""&amp;Dashboard!$L$1&amp;""""))/100),IF(Q2636=Dashboard!$L$1,K2636,K2636*GOOGLEFINANCE(""CURRENCY:""&amp;Q2636&amp;""""&amp;Dashboard!$"&amp;"L$1&amp;""""))),K2636))"),"")</f>
        <v/>
      </c>
      <c r="S2636" s="266" t="str">
        <f>IFERROR(__xludf.DUMMYFUNCTION("IF(ISBLANK(A2636),"""",IFERROR(IF(OR(Q2636=""GPB"",Q2636=""ZAR""),IF(Q2636=Dashboard!$L$1,M2636,(M2636*GOOGLEFINANCE(""CURRENCY:""&amp;Q2636&amp;""""&amp;Dashboard!$L$1&amp;""""))/100),IF(Q2636=Dashboard!$L$1,M2636,M2636*GOOGLEFINANCE(""CURRENCY:""&amp;Q2636&amp;""""&amp;Dashboard!$"&amp;"L$1&amp;""""))),M2636))"),"")</f>
        <v/>
      </c>
      <c r="T2636" s="264" t="str">
        <f t="shared" si="4"/>
        <v/>
      </c>
      <c r="U2636" s="264" t="str">
        <f t="shared" si="5"/>
        <v/>
      </c>
      <c r="V2636" s="264" t="str">
        <f t="shared" si="6"/>
        <v/>
      </c>
      <c r="W2636" s="267" t="str">
        <f t="shared" si="8"/>
        <v/>
      </c>
      <c r="X2636" s="264" t="str">
        <f t="shared" si="7"/>
        <v/>
      </c>
    </row>
    <row r="2637" ht="15.75" customHeight="1">
      <c r="A2637" s="258"/>
      <c r="B2637" s="258"/>
      <c r="C2637" s="269"/>
      <c r="D2637" s="258"/>
      <c r="E2637" s="258"/>
      <c r="F2637" s="258"/>
      <c r="G2637" s="258"/>
      <c r="H2637" s="271"/>
      <c r="I2637" s="258"/>
      <c r="J2637" s="272"/>
      <c r="K2637" s="260"/>
      <c r="L2637" s="261"/>
      <c r="M2637" s="262" t="str">
        <f t="shared" si="1"/>
        <v/>
      </c>
      <c r="N2637" s="263" t="str">
        <f t="shared" si="2"/>
        <v/>
      </c>
      <c r="O2637" s="264" t="str">
        <f t="shared" si="3"/>
        <v/>
      </c>
      <c r="P2637" s="265" t="str">
        <f>IFERROR(__xludf.DUMMYFUNCTION("IF(ISBLANK(A2637),"""",IFERROR(IF(H2637=""Sell"",VLOOKUP(9^99,FILTER({ROW(P$2:P2636),P$2:P2636},D$2:D2636=D2637),2),(VLOOKUP(9^99,FILTER({ROW(P$2:P2636),P$2:P2636},D$2:D2636=D2637),2)*VLOOKUP(9^99,FILTER({ROW(O$2:O2636),O$2:O2636},D$2:D2636=D2637),2)-N263"&amp;"7)/O2637),J2637))"),"")</f>
        <v/>
      </c>
      <c r="Q2637" s="264" t="str">
        <f>IFERROR(__xludf.DUMMYFUNCTION("IFERROR(IF(F2637=""Crypto"",B2637,(IF(ISBLANK(D2637),"""",IF(D2637=""Cash"",B2637,IF(GOOGLEFINANCE(D2637,""CURRENCY"")=""GBX"",""GBP"",GOOGLEFINANCE(D2637,""CURRENCY"")))))),B2637)"),"")</f>
        <v/>
      </c>
      <c r="R2637" s="263" t="str">
        <f>IFERROR(__xludf.DUMMYFUNCTION("IF(ISBLANK(A2637),"""",IFERROR(IF(OR(Q2637=""GPB"",Q2637=""ZAR""),IF(Q2637=Dashboard!$L$1,K2637,(K2637*GOOGLEFINANCE(""CURRENCY:""&amp;Q2637&amp;""""&amp;Dashboard!$L$1&amp;""""))/100),IF(Q2637=Dashboard!$L$1,K2637,K2637*GOOGLEFINANCE(""CURRENCY:""&amp;Q2637&amp;""""&amp;Dashboard!$"&amp;"L$1&amp;""""))),K2637))"),"")</f>
        <v/>
      </c>
      <c r="S2637" s="266" t="str">
        <f>IFERROR(__xludf.DUMMYFUNCTION("IF(ISBLANK(A2637),"""",IFERROR(IF(OR(Q2637=""GPB"",Q2637=""ZAR""),IF(Q2637=Dashboard!$L$1,M2637,(M2637*GOOGLEFINANCE(""CURRENCY:""&amp;Q2637&amp;""""&amp;Dashboard!$L$1&amp;""""))/100),IF(Q2637=Dashboard!$L$1,M2637,M2637*GOOGLEFINANCE(""CURRENCY:""&amp;Q2637&amp;""""&amp;Dashboard!$"&amp;"L$1&amp;""""))),M2637))"),"")</f>
        <v/>
      </c>
      <c r="T2637" s="264" t="str">
        <f t="shared" si="4"/>
        <v/>
      </c>
      <c r="U2637" s="264" t="str">
        <f t="shared" si="5"/>
        <v/>
      </c>
      <c r="V2637" s="264" t="str">
        <f t="shared" si="6"/>
        <v/>
      </c>
      <c r="W2637" s="267" t="str">
        <f t="shared" si="8"/>
        <v/>
      </c>
      <c r="X2637" s="264" t="str">
        <f t="shared" si="7"/>
        <v/>
      </c>
    </row>
    <row r="2638" ht="15.75" customHeight="1">
      <c r="A2638" s="258"/>
      <c r="B2638" s="258"/>
      <c r="C2638" s="269"/>
      <c r="D2638" s="258"/>
      <c r="E2638" s="258"/>
      <c r="F2638" s="258"/>
      <c r="G2638" s="258"/>
      <c r="H2638" s="271"/>
      <c r="I2638" s="258"/>
      <c r="J2638" s="272"/>
      <c r="K2638" s="260"/>
      <c r="L2638" s="261"/>
      <c r="M2638" s="262" t="str">
        <f t="shared" si="1"/>
        <v/>
      </c>
      <c r="N2638" s="263" t="str">
        <f t="shared" si="2"/>
        <v/>
      </c>
      <c r="O2638" s="264" t="str">
        <f t="shared" si="3"/>
        <v/>
      </c>
      <c r="P2638" s="265" t="str">
        <f>IFERROR(__xludf.DUMMYFUNCTION("IF(ISBLANK(A2638),"""",IFERROR(IF(H2638=""Sell"",VLOOKUP(9^99,FILTER({ROW(P$2:P2637),P$2:P2637},D$2:D2637=D2638),2),(VLOOKUP(9^99,FILTER({ROW(P$2:P2637),P$2:P2637},D$2:D2637=D2638),2)*VLOOKUP(9^99,FILTER({ROW(O$2:O2637),O$2:O2637},D$2:D2637=D2638),2)-N263"&amp;"8)/O2638),J2638))"),"")</f>
        <v/>
      </c>
      <c r="Q2638" s="264" t="str">
        <f>IFERROR(__xludf.DUMMYFUNCTION("IFERROR(IF(F2638=""Crypto"",B2638,(IF(ISBLANK(D2638),"""",IF(D2638=""Cash"",B2638,IF(GOOGLEFINANCE(D2638,""CURRENCY"")=""GBX"",""GBP"",GOOGLEFINANCE(D2638,""CURRENCY"")))))),B2638)"),"")</f>
        <v/>
      </c>
      <c r="R2638" s="263" t="str">
        <f>IFERROR(__xludf.DUMMYFUNCTION("IF(ISBLANK(A2638),"""",IFERROR(IF(OR(Q2638=""GPB"",Q2638=""ZAR""),IF(Q2638=Dashboard!$L$1,K2638,(K2638*GOOGLEFINANCE(""CURRENCY:""&amp;Q2638&amp;""""&amp;Dashboard!$L$1&amp;""""))/100),IF(Q2638=Dashboard!$L$1,K2638,K2638*GOOGLEFINANCE(""CURRENCY:""&amp;Q2638&amp;""""&amp;Dashboard!$"&amp;"L$1&amp;""""))),K2638))"),"")</f>
        <v/>
      </c>
      <c r="S2638" s="266" t="str">
        <f>IFERROR(__xludf.DUMMYFUNCTION("IF(ISBLANK(A2638),"""",IFERROR(IF(OR(Q2638=""GPB"",Q2638=""ZAR""),IF(Q2638=Dashboard!$L$1,M2638,(M2638*GOOGLEFINANCE(""CURRENCY:""&amp;Q2638&amp;""""&amp;Dashboard!$L$1&amp;""""))/100),IF(Q2638=Dashboard!$L$1,M2638,M2638*GOOGLEFINANCE(""CURRENCY:""&amp;Q2638&amp;""""&amp;Dashboard!$"&amp;"L$1&amp;""""))),M2638))"),"")</f>
        <v/>
      </c>
      <c r="T2638" s="264" t="str">
        <f t="shared" si="4"/>
        <v/>
      </c>
      <c r="U2638" s="264" t="str">
        <f t="shared" si="5"/>
        <v/>
      </c>
      <c r="V2638" s="264" t="str">
        <f t="shared" si="6"/>
        <v/>
      </c>
      <c r="W2638" s="267" t="str">
        <f t="shared" si="8"/>
        <v/>
      </c>
      <c r="X2638" s="264" t="str">
        <f t="shared" si="7"/>
        <v/>
      </c>
    </row>
    <row r="2639" ht="15.75" customHeight="1">
      <c r="A2639" s="258"/>
      <c r="B2639" s="258"/>
      <c r="C2639" s="269"/>
      <c r="D2639" s="258"/>
      <c r="E2639" s="258"/>
      <c r="F2639" s="258"/>
      <c r="G2639" s="258"/>
      <c r="H2639" s="271"/>
      <c r="I2639" s="258"/>
      <c r="J2639" s="272"/>
      <c r="K2639" s="260"/>
      <c r="L2639" s="261"/>
      <c r="M2639" s="262" t="str">
        <f t="shared" si="1"/>
        <v/>
      </c>
      <c r="N2639" s="263" t="str">
        <f t="shared" si="2"/>
        <v/>
      </c>
      <c r="O2639" s="264" t="str">
        <f t="shared" si="3"/>
        <v/>
      </c>
      <c r="P2639" s="265" t="str">
        <f>IFERROR(__xludf.DUMMYFUNCTION("IF(ISBLANK(A2639),"""",IFERROR(IF(H2639=""Sell"",VLOOKUP(9^99,FILTER({ROW(P$2:P2638),P$2:P2638},D$2:D2638=D2639),2),(VLOOKUP(9^99,FILTER({ROW(P$2:P2638),P$2:P2638},D$2:D2638=D2639),2)*VLOOKUP(9^99,FILTER({ROW(O$2:O2638),O$2:O2638},D$2:D2638=D2639),2)-N263"&amp;"9)/O2639),J2639))"),"")</f>
        <v/>
      </c>
      <c r="Q2639" s="264" t="str">
        <f>IFERROR(__xludf.DUMMYFUNCTION("IFERROR(IF(F2639=""Crypto"",B2639,(IF(ISBLANK(D2639),"""",IF(D2639=""Cash"",B2639,IF(GOOGLEFINANCE(D2639,""CURRENCY"")=""GBX"",""GBP"",GOOGLEFINANCE(D2639,""CURRENCY"")))))),B2639)"),"")</f>
        <v/>
      </c>
      <c r="R2639" s="263" t="str">
        <f>IFERROR(__xludf.DUMMYFUNCTION("IF(ISBLANK(A2639),"""",IFERROR(IF(OR(Q2639=""GPB"",Q2639=""ZAR""),IF(Q2639=Dashboard!$L$1,K2639,(K2639*GOOGLEFINANCE(""CURRENCY:""&amp;Q2639&amp;""""&amp;Dashboard!$L$1&amp;""""))/100),IF(Q2639=Dashboard!$L$1,K2639,K2639*GOOGLEFINANCE(""CURRENCY:""&amp;Q2639&amp;""""&amp;Dashboard!$"&amp;"L$1&amp;""""))),K2639))"),"")</f>
        <v/>
      </c>
      <c r="S2639" s="266" t="str">
        <f>IFERROR(__xludf.DUMMYFUNCTION("IF(ISBLANK(A2639),"""",IFERROR(IF(OR(Q2639=""GPB"",Q2639=""ZAR""),IF(Q2639=Dashboard!$L$1,M2639,(M2639*GOOGLEFINANCE(""CURRENCY:""&amp;Q2639&amp;""""&amp;Dashboard!$L$1&amp;""""))/100),IF(Q2639=Dashboard!$L$1,M2639,M2639*GOOGLEFINANCE(""CURRENCY:""&amp;Q2639&amp;""""&amp;Dashboard!$"&amp;"L$1&amp;""""))),M2639))"),"")</f>
        <v/>
      </c>
      <c r="T2639" s="264" t="str">
        <f t="shared" si="4"/>
        <v/>
      </c>
      <c r="U2639" s="264" t="str">
        <f t="shared" si="5"/>
        <v/>
      </c>
      <c r="V2639" s="264" t="str">
        <f t="shared" si="6"/>
        <v/>
      </c>
      <c r="W2639" s="267" t="str">
        <f t="shared" si="8"/>
        <v/>
      </c>
      <c r="X2639" s="264" t="str">
        <f t="shared" si="7"/>
        <v/>
      </c>
    </row>
    <row r="2640" ht="15.75" customHeight="1">
      <c r="A2640" s="258"/>
      <c r="B2640" s="258"/>
      <c r="C2640" s="269"/>
      <c r="D2640" s="258"/>
      <c r="E2640" s="258"/>
      <c r="F2640" s="258"/>
      <c r="G2640" s="258"/>
      <c r="H2640" s="271"/>
      <c r="I2640" s="258"/>
      <c r="J2640" s="272"/>
      <c r="K2640" s="260"/>
      <c r="L2640" s="261"/>
      <c r="M2640" s="262" t="str">
        <f t="shared" si="1"/>
        <v/>
      </c>
      <c r="N2640" s="263" t="str">
        <f t="shared" si="2"/>
        <v/>
      </c>
      <c r="O2640" s="264" t="str">
        <f t="shared" si="3"/>
        <v/>
      </c>
      <c r="P2640" s="265" t="str">
        <f>IFERROR(__xludf.DUMMYFUNCTION("IF(ISBLANK(A2640),"""",IFERROR(IF(H2640=""Sell"",VLOOKUP(9^99,FILTER({ROW(P$2:P2639),P$2:P2639},D$2:D2639=D2640),2),(VLOOKUP(9^99,FILTER({ROW(P$2:P2639),P$2:P2639},D$2:D2639=D2640),2)*VLOOKUP(9^99,FILTER({ROW(O$2:O2639),O$2:O2639},D$2:D2639=D2640),2)-N264"&amp;"0)/O2640),J2640))"),"")</f>
        <v/>
      </c>
      <c r="Q2640" s="264" t="str">
        <f>IFERROR(__xludf.DUMMYFUNCTION("IFERROR(IF(F2640=""Crypto"",B2640,(IF(ISBLANK(D2640),"""",IF(D2640=""Cash"",B2640,IF(GOOGLEFINANCE(D2640,""CURRENCY"")=""GBX"",""GBP"",GOOGLEFINANCE(D2640,""CURRENCY"")))))),B2640)"),"")</f>
        <v/>
      </c>
      <c r="R2640" s="263" t="str">
        <f>IFERROR(__xludf.DUMMYFUNCTION("IF(ISBLANK(A2640),"""",IFERROR(IF(OR(Q2640=""GPB"",Q2640=""ZAR""),IF(Q2640=Dashboard!$L$1,K2640,(K2640*GOOGLEFINANCE(""CURRENCY:""&amp;Q2640&amp;""""&amp;Dashboard!$L$1&amp;""""))/100),IF(Q2640=Dashboard!$L$1,K2640,K2640*GOOGLEFINANCE(""CURRENCY:""&amp;Q2640&amp;""""&amp;Dashboard!$"&amp;"L$1&amp;""""))),K2640))"),"")</f>
        <v/>
      </c>
      <c r="S2640" s="266" t="str">
        <f>IFERROR(__xludf.DUMMYFUNCTION("IF(ISBLANK(A2640),"""",IFERROR(IF(OR(Q2640=""GPB"",Q2640=""ZAR""),IF(Q2640=Dashboard!$L$1,M2640,(M2640*GOOGLEFINANCE(""CURRENCY:""&amp;Q2640&amp;""""&amp;Dashboard!$L$1&amp;""""))/100),IF(Q2640=Dashboard!$L$1,M2640,M2640*GOOGLEFINANCE(""CURRENCY:""&amp;Q2640&amp;""""&amp;Dashboard!$"&amp;"L$1&amp;""""))),M2640))"),"")</f>
        <v/>
      </c>
      <c r="T2640" s="264" t="str">
        <f t="shared" si="4"/>
        <v/>
      </c>
      <c r="U2640" s="264" t="str">
        <f t="shared" si="5"/>
        <v/>
      </c>
      <c r="V2640" s="264" t="str">
        <f t="shared" si="6"/>
        <v/>
      </c>
      <c r="W2640" s="267" t="str">
        <f t="shared" si="8"/>
        <v/>
      </c>
      <c r="X2640" s="264" t="str">
        <f t="shared" si="7"/>
        <v/>
      </c>
    </row>
    <row r="2641" ht="15.75" customHeight="1">
      <c r="A2641" s="258"/>
      <c r="B2641" s="258"/>
      <c r="C2641" s="269"/>
      <c r="D2641" s="258"/>
      <c r="E2641" s="258"/>
      <c r="F2641" s="258"/>
      <c r="G2641" s="258"/>
      <c r="H2641" s="271"/>
      <c r="I2641" s="258"/>
      <c r="J2641" s="272"/>
      <c r="K2641" s="260"/>
      <c r="L2641" s="261"/>
      <c r="M2641" s="262" t="str">
        <f t="shared" si="1"/>
        <v/>
      </c>
      <c r="N2641" s="263" t="str">
        <f t="shared" si="2"/>
        <v/>
      </c>
      <c r="O2641" s="264" t="str">
        <f t="shared" si="3"/>
        <v/>
      </c>
      <c r="P2641" s="265" t="str">
        <f>IFERROR(__xludf.DUMMYFUNCTION("IF(ISBLANK(A2641),"""",IFERROR(IF(H2641=""Sell"",VLOOKUP(9^99,FILTER({ROW(P$2:P2640),P$2:P2640},D$2:D2640=D2641),2),(VLOOKUP(9^99,FILTER({ROW(P$2:P2640),P$2:P2640},D$2:D2640=D2641),2)*VLOOKUP(9^99,FILTER({ROW(O$2:O2640),O$2:O2640},D$2:D2640=D2641),2)-N264"&amp;"1)/O2641),J2641))"),"")</f>
        <v/>
      </c>
      <c r="Q2641" s="264" t="str">
        <f>IFERROR(__xludf.DUMMYFUNCTION("IFERROR(IF(F2641=""Crypto"",B2641,(IF(ISBLANK(D2641),"""",IF(D2641=""Cash"",B2641,IF(GOOGLEFINANCE(D2641,""CURRENCY"")=""GBX"",""GBP"",GOOGLEFINANCE(D2641,""CURRENCY"")))))),B2641)"),"")</f>
        <v/>
      </c>
      <c r="R2641" s="263" t="str">
        <f>IFERROR(__xludf.DUMMYFUNCTION("IF(ISBLANK(A2641),"""",IFERROR(IF(OR(Q2641=""GPB"",Q2641=""ZAR""),IF(Q2641=Dashboard!$L$1,K2641,(K2641*GOOGLEFINANCE(""CURRENCY:""&amp;Q2641&amp;""""&amp;Dashboard!$L$1&amp;""""))/100),IF(Q2641=Dashboard!$L$1,K2641,K2641*GOOGLEFINANCE(""CURRENCY:""&amp;Q2641&amp;""""&amp;Dashboard!$"&amp;"L$1&amp;""""))),K2641))"),"")</f>
        <v/>
      </c>
      <c r="S2641" s="266" t="str">
        <f>IFERROR(__xludf.DUMMYFUNCTION("IF(ISBLANK(A2641),"""",IFERROR(IF(OR(Q2641=""GPB"",Q2641=""ZAR""),IF(Q2641=Dashboard!$L$1,M2641,(M2641*GOOGLEFINANCE(""CURRENCY:""&amp;Q2641&amp;""""&amp;Dashboard!$L$1&amp;""""))/100),IF(Q2641=Dashboard!$L$1,M2641,M2641*GOOGLEFINANCE(""CURRENCY:""&amp;Q2641&amp;""""&amp;Dashboard!$"&amp;"L$1&amp;""""))),M2641))"),"")</f>
        <v/>
      </c>
      <c r="T2641" s="264" t="str">
        <f t="shared" si="4"/>
        <v/>
      </c>
      <c r="U2641" s="264" t="str">
        <f t="shared" si="5"/>
        <v/>
      </c>
      <c r="V2641" s="264" t="str">
        <f t="shared" si="6"/>
        <v/>
      </c>
      <c r="W2641" s="267" t="str">
        <f t="shared" si="8"/>
        <v/>
      </c>
      <c r="X2641" s="264" t="str">
        <f t="shared" si="7"/>
        <v/>
      </c>
    </row>
    <row r="2642" ht="15.75" customHeight="1">
      <c r="A2642" s="258"/>
      <c r="B2642" s="258"/>
      <c r="C2642" s="269"/>
      <c r="D2642" s="258"/>
      <c r="E2642" s="258"/>
      <c r="F2642" s="258"/>
      <c r="G2642" s="258"/>
      <c r="H2642" s="271"/>
      <c r="I2642" s="258"/>
      <c r="J2642" s="272"/>
      <c r="K2642" s="260"/>
      <c r="L2642" s="261"/>
      <c r="M2642" s="262" t="str">
        <f t="shared" si="1"/>
        <v/>
      </c>
      <c r="N2642" s="263" t="str">
        <f t="shared" si="2"/>
        <v/>
      </c>
      <c r="O2642" s="264" t="str">
        <f t="shared" si="3"/>
        <v/>
      </c>
      <c r="P2642" s="265" t="str">
        <f>IFERROR(__xludf.DUMMYFUNCTION("IF(ISBLANK(A2642),"""",IFERROR(IF(H2642=""Sell"",VLOOKUP(9^99,FILTER({ROW(P$2:P2641),P$2:P2641},D$2:D2641=D2642),2),(VLOOKUP(9^99,FILTER({ROW(P$2:P2641),P$2:P2641},D$2:D2641=D2642),2)*VLOOKUP(9^99,FILTER({ROW(O$2:O2641),O$2:O2641},D$2:D2641=D2642),2)-N264"&amp;"2)/O2642),J2642))"),"")</f>
        <v/>
      </c>
      <c r="Q2642" s="264" t="str">
        <f>IFERROR(__xludf.DUMMYFUNCTION("IFERROR(IF(F2642=""Crypto"",B2642,(IF(ISBLANK(D2642),"""",IF(D2642=""Cash"",B2642,IF(GOOGLEFINANCE(D2642,""CURRENCY"")=""GBX"",""GBP"",GOOGLEFINANCE(D2642,""CURRENCY"")))))),B2642)"),"")</f>
        <v/>
      </c>
      <c r="R2642" s="263" t="str">
        <f>IFERROR(__xludf.DUMMYFUNCTION("IF(ISBLANK(A2642),"""",IFERROR(IF(OR(Q2642=""GPB"",Q2642=""ZAR""),IF(Q2642=Dashboard!$L$1,K2642,(K2642*GOOGLEFINANCE(""CURRENCY:""&amp;Q2642&amp;""""&amp;Dashboard!$L$1&amp;""""))/100),IF(Q2642=Dashboard!$L$1,K2642,K2642*GOOGLEFINANCE(""CURRENCY:""&amp;Q2642&amp;""""&amp;Dashboard!$"&amp;"L$1&amp;""""))),K2642))"),"")</f>
        <v/>
      </c>
      <c r="S2642" s="266" t="str">
        <f>IFERROR(__xludf.DUMMYFUNCTION("IF(ISBLANK(A2642),"""",IFERROR(IF(OR(Q2642=""GPB"",Q2642=""ZAR""),IF(Q2642=Dashboard!$L$1,M2642,(M2642*GOOGLEFINANCE(""CURRENCY:""&amp;Q2642&amp;""""&amp;Dashboard!$L$1&amp;""""))/100),IF(Q2642=Dashboard!$L$1,M2642,M2642*GOOGLEFINANCE(""CURRENCY:""&amp;Q2642&amp;""""&amp;Dashboard!$"&amp;"L$1&amp;""""))),M2642))"),"")</f>
        <v/>
      </c>
      <c r="T2642" s="264" t="str">
        <f t="shared" si="4"/>
        <v/>
      </c>
      <c r="U2642" s="264" t="str">
        <f t="shared" si="5"/>
        <v/>
      </c>
      <c r="V2642" s="264" t="str">
        <f t="shared" si="6"/>
        <v/>
      </c>
      <c r="W2642" s="267" t="str">
        <f t="shared" si="8"/>
        <v/>
      </c>
      <c r="X2642" s="264" t="str">
        <f t="shared" si="7"/>
        <v/>
      </c>
    </row>
    <row r="2643" ht="15.75" customHeight="1">
      <c r="A2643" s="258"/>
      <c r="B2643" s="258"/>
      <c r="C2643" s="269"/>
      <c r="D2643" s="258"/>
      <c r="E2643" s="258"/>
      <c r="F2643" s="258"/>
      <c r="G2643" s="258"/>
      <c r="H2643" s="271"/>
      <c r="I2643" s="258"/>
      <c r="J2643" s="272"/>
      <c r="K2643" s="260"/>
      <c r="L2643" s="261"/>
      <c r="M2643" s="262" t="str">
        <f t="shared" si="1"/>
        <v/>
      </c>
      <c r="N2643" s="263" t="str">
        <f t="shared" si="2"/>
        <v/>
      </c>
      <c r="O2643" s="264" t="str">
        <f t="shared" si="3"/>
        <v/>
      </c>
      <c r="P2643" s="265" t="str">
        <f>IFERROR(__xludf.DUMMYFUNCTION("IF(ISBLANK(A2643),"""",IFERROR(IF(H2643=""Sell"",VLOOKUP(9^99,FILTER({ROW(P$2:P2642),P$2:P2642},D$2:D2642=D2643),2),(VLOOKUP(9^99,FILTER({ROW(P$2:P2642),P$2:P2642},D$2:D2642=D2643),2)*VLOOKUP(9^99,FILTER({ROW(O$2:O2642),O$2:O2642},D$2:D2642=D2643),2)-N264"&amp;"3)/O2643),J2643))"),"")</f>
        <v/>
      </c>
      <c r="Q2643" s="264" t="str">
        <f>IFERROR(__xludf.DUMMYFUNCTION("IFERROR(IF(F2643=""Crypto"",B2643,(IF(ISBLANK(D2643),"""",IF(D2643=""Cash"",B2643,IF(GOOGLEFINANCE(D2643,""CURRENCY"")=""GBX"",""GBP"",GOOGLEFINANCE(D2643,""CURRENCY"")))))),B2643)"),"")</f>
        <v/>
      </c>
      <c r="R2643" s="263" t="str">
        <f>IFERROR(__xludf.DUMMYFUNCTION("IF(ISBLANK(A2643),"""",IFERROR(IF(OR(Q2643=""GPB"",Q2643=""ZAR""),IF(Q2643=Dashboard!$L$1,K2643,(K2643*GOOGLEFINANCE(""CURRENCY:""&amp;Q2643&amp;""""&amp;Dashboard!$L$1&amp;""""))/100),IF(Q2643=Dashboard!$L$1,K2643,K2643*GOOGLEFINANCE(""CURRENCY:""&amp;Q2643&amp;""""&amp;Dashboard!$"&amp;"L$1&amp;""""))),K2643))"),"")</f>
        <v/>
      </c>
      <c r="S2643" s="266" t="str">
        <f>IFERROR(__xludf.DUMMYFUNCTION("IF(ISBLANK(A2643),"""",IFERROR(IF(OR(Q2643=""GPB"",Q2643=""ZAR""),IF(Q2643=Dashboard!$L$1,M2643,(M2643*GOOGLEFINANCE(""CURRENCY:""&amp;Q2643&amp;""""&amp;Dashboard!$L$1&amp;""""))/100),IF(Q2643=Dashboard!$L$1,M2643,M2643*GOOGLEFINANCE(""CURRENCY:""&amp;Q2643&amp;""""&amp;Dashboard!$"&amp;"L$1&amp;""""))),M2643))"),"")</f>
        <v/>
      </c>
      <c r="T2643" s="264" t="str">
        <f t="shared" si="4"/>
        <v/>
      </c>
      <c r="U2643" s="264" t="str">
        <f t="shared" si="5"/>
        <v/>
      </c>
      <c r="V2643" s="264" t="str">
        <f t="shared" si="6"/>
        <v/>
      </c>
      <c r="W2643" s="267" t="str">
        <f t="shared" si="8"/>
        <v/>
      </c>
      <c r="X2643" s="264" t="str">
        <f t="shared" si="7"/>
        <v/>
      </c>
    </row>
    <row r="2644" ht="15.75" customHeight="1">
      <c r="A2644" s="258"/>
      <c r="B2644" s="258"/>
      <c r="C2644" s="269"/>
      <c r="D2644" s="258"/>
      <c r="E2644" s="258"/>
      <c r="F2644" s="258"/>
      <c r="G2644" s="258"/>
      <c r="H2644" s="271"/>
      <c r="I2644" s="258"/>
      <c r="J2644" s="272"/>
      <c r="K2644" s="260"/>
      <c r="L2644" s="261"/>
      <c r="M2644" s="262" t="str">
        <f t="shared" si="1"/>
        <v/>
      </c>
      <c r="N2644" s="263" t="str">
        <f t="shared" si="2"/>
        <v/>
      </c>
      <c r="O2644" s="264" t="str">
        <f t="shared" si="3"/>
        <v/>
      </c>
      <c r="P2644" s="265" t="str">
        <f>IFERROR(__xludf.DUMMYFUNCTION("IF(ISBLANK(A2644),"""",IFERROR(IF(H2644=""Sell"",VLOOKUP(9^99,FILTER({ROW(P$2:P2643),P$2:P2643},D$2:D2643=D2644),2),(VLOOKUP(9^99,FILTER({ROW(P$2:P2643),P$2:P2643},D$2:D2643=D2644),2)*VLOOKUP(9^99,FILTER({ROW(O$2:O2643),O$2:O2643},D$2:D2643=D2644),2)-N264"&amp;"4)/O2644),J2644))"),"")</f>
        <v/>
      </c>
      <c r="Q2644" s="264" t="str">
        <f>IFERROR(__xludf.DUMMYFUNCTION("IFERROR(IF(F2644=""Crypto"",B2644,(IF(ISBLANK(D2644),"""",IF(D2644=""Cash"",B2644,IF(GOOGLEFINANCE(D2644,""CURRENCY"")=""GBX"",""GBP"",GOOGLEFINANCE(D2644,""CURRENCY"")))))),B2644)"),"")</f>
        <v/>
      </c>
      <c r="R2644" s="263" t="str">
        <f>IFERROR(__xludf.DUMMYFUNCTION("IF(ISBLANK(A2644),"""",IFERROR(IF(OR(Q2644=""GPB"",Q2644=""ZAR""),IF(Q2644=Dashboard!$L$1,K2644,(K2644*GOOGLEFINANCE(""CURRENCY:""&amp;Q2644&amp;""""&amp;Dashboard!$L$1&amp;""""))/100),IF(Q2644=Dashboard!$L$1,K2644,K2644*GOOGLEFINANCE(""CURRENCY:""&amp;Q2644&amp;""""&amp;Dashboard!$"&amp;"L$1&amp;""""))),K2644))"),"")</f>
        <v/>
      </c>
      <c r="S2644" s="266" t="str">
        <f>IFERROR(__xludf.DUMMYFUNCTION("IF(ISBLANK(A2644),"""",IFERROR(IF(OR(Q2644=""GPB"",Q2644=""ZAR""),IF(Q2644=Dashboard!$L$1,M2644,(M2644*GOOGLEFINANCE(""CURRENCY:""&amp;Q2644&amp;""""&amp;Dashboard!$L$1&amp;""""))/100),IF(Q2644=Dashboard!$L$1,M2644,M2644*GOOGLEFINANCE(""CURRENCY:""&amp;Q2644&amp;""""&amp;Dashboard!$"&amp;"L$1&amp;""""))),M2644))"),"")</f>
        <v/>
      </c>
      <c r="T2644" s="264" t="str">
        <f t="shared" si="4"/>
        <v/>
      </c>
      <c r="U2644" s="264" t="str">
        <f t="shared" si="5"/>
        <v/>
      </c>
      <c r="V2644" s="264" t="str">
        <f t="shared" si="6"/>
        <v/>
      </c>
      <c r="W2644" s="267" t="str">
        <f t="shared" si="8"/>
        <v/>
      </c>
      <c r="X2644" s="264" t="str">
        <f t="shared" si="7"/>
        <v/>
      </c>
    </row>
    <row r="2645" ht="15.75" customHeight="1">
      <c r="A2645" s="258"/>
      <c r="B2645" s="258"/>
      <c r="C2645" s="269"/>
      <c r="D2645" s="258"/>
      <c r="E2645" s="258"/>
      <c r="F2645" s="258"/>
      <c r="G2645" s="258"/>
      <c r="H2645" s="271"/>
      <c r="I2645" s="258"/>
      <c r="J2645" s="272"/>
      <c r="K2645" s="260"/>
      <c r="L2645" s="261"/>
      <c r="M2645" s="262" t="str">
        <f t="shared" si="1"/>
        <v/>
      </c>
      <c r="N2645" s="263" t="str">
        <f t="shared" si="2"/>
        <v/>
      </c>
      <c r="O2645" s="264" t="str">
        <f t="shared" si="3"/>
        <v/>
      </c>
      <c r="P2645" s="265" t="str">
        <f>IFERROR(__xludf.DUMMYFUNCTION("IF(ISBLANK(A2645),"""",IFERROR(IF(H2645=""Sell"",VLOOKUP(9^99,FILTER({ROW(P$2:P2644),P$2:P2644},D$2:D2644=D2645),2),(VLOOKUP(9^99,FILTER({ROW(P$2:P2644),P$2:P2644},D$2:D2644=D2645),2)*VLOOKUP(9^99,FILTER({ROW(O$2:O2644),O$2:O2644},D$2:D2644=D2645),2)-N264"&amp;"5)/O2645),J2645))"),"")</f>
        <v/>
      </c>
      <c r="Q2645" s="264" t="str">
        <f>IFERROR(__xludf.DUMMYFUNCTION("IFERROR(IF(F2645=""Crypto"",B2645,(IF(ISBLANK(D2645),"""",IF(D2645=""Cash"",B2645,IF(GOOGLEFINANCE(D2645,""CURRENCY"")=""GBX"",""GBP"",GOOGLEFINANCE(D2645,""CURRENCY"")))))),B2645)"),"")</f>
        <v/>
      </c>
      <c r="R2645" s="263" t="str">
        <f>IFERROR(__xludf.DUMMYFUNCTION("IF(ISBLANK(A2645),"""",IFERROR(IF(OR(Q2645=""GPB"",Q2645=""ZAR""),IF(Q2645=Dashboard!$L$1,K2645,(K2645*GOOGLEFINANCE(""CURRENCY:""&amp;Q2645&amp;""""&amp;Dashboard!$L$1&amp;""""))/100),IF(Q2645=Dashboard!$L$1,K2645,K2645*GOOGLEFINANCE(""CURRENCY:""&amp;Q2645&amp;""""&amp;Dashboard!$"&amp;"L$1&amp;""""))),K2645))"),"")</f>
        <v/>
      </c>
      <c r="S2645" s="266" t="str">
        <f>IFERROR(__xludf.DUMMYFUNCTION("IF(ISBLANK(A2645),"""",IFERROR(IF(OR(Q2645=""GPB"",Q2645=""ZAR""),IF(Q2645=Dashboard!$L$1,M2645,(M2645*GOOGLEFINANCE(""CURRENCY:""&amp;Q2645&amp;""""&amp;Dashboard!$L$1&amp;""""))/100),IF(Q2645=Dashboard!$L$1,M2645,M2645*GOOGLEFINANCE(""CURRENCY:""&amp;Q2645&amp;""""&amp;Dashboard!$"&amp;"L$1&amp;""""))),M2645))"),"")</f>
        <v/>
      </c>
      <c r="T2645" s="264" t="str">
        <f t="shared" si="4"/>
        <v/>
      </c>
      <c r="U2645" s="264" t="str">
        <f t="shared" si="5"/>
        <v/>
      </c>
      <c r="V2645" s="264" t="str">
        <f t="shared" si="6"/>
        <v/>
      </c>
      <c r="W2645" s="267" t="str">
        <f t="shared" si="8"/>
        <v/>
      </c>
      <c r="X2645" s="264" t="str">
        <f t="shared" si="7"/>
        <v/>
      </c>
    </row>
    <row r="2646" ht="15.75" customHeight="1">
      <c r="A2646" s="258"/>
      <c r="B2646" s="258"/>
      <c r="C2646" s="269"/>
      <c r="D2646" s="258"/>
      <c r="E2646" s="258"/>
      <c r="F2646" s="258"/>
      <c r="G2646" s="258"/>
      <c r="H2646" s="271"/>
      <c r="I2646" s="258"/>
      <c r="J2646" s="272"/>
      <c r="K2646" s="260"/>
      <c r="L2646" s="261"/>
      <c r="M2646" s="262" t="str">
        <f t="shared" si="1"/>
        <v/>
      </c>
      <c r="N2646" s="263" t="str">
        <f t="shared" si="2"/>
        <v/>
      </c>
      <c r="O2646" s="264" t="str">
        <f t="shared" si="3"/>
        <v/>
      </c>
      <c r="P2646" s="265" t="str">
        <f>IFERROR(__xludf.DUMMYFUNCTION("IF(ISBLANK(A2646),"""",IFERROR(IF(H2646=""Sell"",VLOOKUP(9^99,FILTER({ROW(P$2:P2645),P$2:P2645},D$2:D2645=D2646),2),(VLOOKUP(9^99,FILTER({ROW(P$2:P2645),P$2:P2645},D$2:D2645=D2646),2)*VLOOKUP(9^99,FILTER({ROW(O$2:O2645),O$2:O2645},D$2:D2645=D2646),2)-N264"&amp;"6)/O2646),J2646))"),"")</f>
        <v/>
      </c>
      <c r="Q2646" s="264" t="str">
        <f>IFERROR(__xludf.DUMMYFUNCTION("IFERROR(IF(F2646=""Crypto"",B2646,(IF(ISBLANK(D2646),"""",IF(D2646=""Cash"",B2646,IF(GOOGLEFINANCE(D2646,""CURRENCY"")=""GBX"",""GBP"",GOOGLEFINANCE(D2646,""CURRENCY"")))))),B2646)"),"")</f>
        <v/>
      </c>
      <c r="R2646" s="263" t="str">
        <f>IFERROR(__xludf.DUMMYFUNCTION("IF(ISBLANK(A2646),"""",IFERROR(IF(OR(Q2646=""GPB"",Q2646=""ZAR""),IF(Q2646=Dashboard!$L$1,K2646,(K2646*GOOGLEFINANCE(""CURRENCY:""&amp;Q2646&amp;""""&amp;Dashboard!$L$1&amp;""""))/100),IF(Q2646=Dashboard!$L$1,K2646,K2646*GOOGLEFINANCE(""CURRENCY:""&amp;Q2646&amp;""""&amp;Dashboard!$"&amp;"L$1&amp;""""))),K2646))"),"")</f>
        <v/>
      </c>
      <c r="S2646" s="266" t="str">
        <f>IFERROR(__xludf.DUMMYFUNCTION("IF(ISBLANK(A2646),"""",IFERROR(IF(OR(Q2646=""GPB"",Q2646=""ZAR""),IF(Q2646=Dashboard!$L$1,M2646,(M2646*GOOGLEFINANCE(""CURRENCY:""&amp;Q2646&amp;""""&amp;Dashboard!$L$1&amp;""""))/100),IF(Q2646=Dashboard!$L$1,M2646,M2646*GOOGLEFINANCE(""CURRENCY:""&amp;Q2646&amp;""""&amp;Dashboard!$"&amp;"L$1&amp;""""))),M2646))"),"")</f>
        <v/>
      </c>
      <c r="T2646" s="264" t="str">
        <f t="shared" si="4"/>
        <v/>
      </c>
      <c r="U2646" s="264" t="str">
        <f t="shared" si="5"/>
        <v/>
      </c>
      <c r="V2646" s="264" t="str">
        <f t="shared" si="6"/>
        <v/>
      </c>
      <c r="W2646" s="267" t="str">
        <f t="shared" si="8"/>
        <v/>
      </c>
      <c r="X2646" s="264" t="str">
        <f t="shared" si="7"/>
        <v/>
      </c>
    </row>
    <row r="2647" ht="15.75" customHeight="1">
      <c r="A2647" s="258"/>
      <c r="B2647" s="258"/>
      <c r="C2647" s="269"/>
      <c r="D2647" s="258"/>
      <c r="E2647" s="258"/>
      <c r="F2647" s="258"/>
      <c r="G2647" s="258"/>
      <c r="H2647" s="271"/>
      <c r="I2647" s="258"/>
      <c r="J2647" s="272"/>
      <c r="K2647" s="260"/>
      <c r="L2647" s="261"/>
      <c r="M2647" s="262" t="str">
        <f t="shared" si="1"/>
        <v/>
      </c>
      <c r="N2647" s="263" t="str">
        <f t="shared" si="2"/>
        <v/>
      </c>
      <c r="O2647" s="264" t="str">
        <f t="shared" si="3"/>
        <v/>
      </c>
      <c r="P2647" s="265" t="str">
        <f>IFERROR(__xludf.DUMMYFUNCTION("IF(ISBLANK(A2647),"""",IFERROR(IF(H2647=""Sell"",VLOOKUP(9^99,FILTER({ROW(P$2:P2646),P$2:P2646},D$2:D2646=D2647),2),(VLOOKUP(9^99,FILTER({ROW(P$2:P2646),P$2:P2646},D$2:D2646=D2647),2)*VLOOKUP(9^99,FILTER({ROW(O$2:O2646),O$2:O2646},D$2:D2646=D2647),2)-N264"&amp;"7)/O2647),J2647))"),"")</f>
        <v/>
      </c>
      <c r="Q2647" s="264" t="str">
        <f>IFERROR(__xludf.DUMMYFUNCTION("IFERROR(IF(F2647=""Crypto"",B2647,(IF(ISBLANK(D2647),"""",IF(D2647=""Cash"",B2647,IF(GOOGLEFINANCE(D2647,""CURRENCY"")=""GBX"",""GBP"",GOOGLEFINANCE(D2647,""CURRENCY"")))))),B2647)"),"")</f>
        <v/>
      </c>
      <c r="R2647" s="263" t="str">
        <f>IFERROR(__xludf.DUMMYFUNCTION("IF(ISBLANK(A2647),"""",IFERROR(IF(OR(Q2647=""GPB"",Q2647=""ZAR""),IF(Q2647=Dashboard!$L$1,K2647,(K2647*GOOGLEFINANCE(""CURRENCY:""&amp;Q2647&amp;""""&amp;Dashboard!$L$1&amp;""""))/100),IF(Q2647=Dashboard!$L$1,K2647,K2647*GOOGLEFINANCE(""CURRENCY:""&amp;Q2647&amp;""""&amp;Dashboard!$"&amp;"L$1&amp;""""))),K2647))"),"")</f>
        <v/>
      </c>
      <c r="S2647" s="266" t="str">
        <f>IFERROR(__xludf.DUMMYFUNCTION("IF(ISBLANK(A2647),"""",IFERROR(IF(OR(Q2647=""GPB"",Q2647=""ZAR""),IF(Q2647=Dashboard!$L$1,M2647,(M2647*GOOGLEFINANCE(""CURRENCY:""&amp;Q2647&amp;""""&amp;Dashboard!$L$1&amp;""""))/100),IF(Q2647=Dashboard!$L$1,M2647,M2647*GOOGLEFINANCE(""CURRENCY:""&amp;Q2647&amp;""""&amp;Dashboard!$"&amp;"L$1&amp;""""))),M2647))"),"")</f>
        <v/>
      </c>
      <c r="T2647" s="264" t="str">
        <f t="shared" si="4"/>
        <v/>
      </c>
      <c r="U2647" s="264" t="str">
        <f t="shared" si="5"/>
        <v/>
      </c>
      <c r="V2647" s="264" t="str">
        <f t="shared" si="6"/>
        <v/>
      </c>
      <c r="W2647" s="267" t="str">
        <f t="shared" si="8"/>
        <v/>
      </c>
      <c r="X2647" s="264" t="str">
        <f t="shared" si="7"/>
        <v/>
      </c>
    </row>
    <row r="2648" ht="15.75" customHeight="1">
      <c r="A2648" s="258"/>
      <c r="B2648" s="258"/>
      <c r="C2648" s="269"/>
      <c r="D2648" s="258"/>
      <c r="E2648" s="258"/>
      <c r="F2648" s="258"/>
      <c r="G2648" s="258"/>
      <c r="H2648" s="271"/>
      <c r="I2648" s="258"/>
      <c r="J2648" s="272"/>
      <c r="K2648" s="260"/>
      <c r="L2648" s="261"/>
      <c r="M2648" s="262" t="str">
        <f t="shared" si="1"/>
        <v/>
      </c>
      <c r="N2648" s="263" t="str">
        <f t="shared" si="2"/>
        <v/>
      </c>
      <c r="O2648" s="264" t="str">
        <f t="shared" si="3"/>
        <v/>
      </c>
      <c r="P2648" s="265" t="str">
        <f>IFERROR(__xludf.DUMMYFUNCTION("IF(ISBLANK(A2648),"""",IFERROR(IF(H2648=""Sell"",VLOOKUP(9^99,FILTER({ROW(P$2:P2647),P$2:P2647},D$2:D2647=D2648),2),(VLOOKUP(9^99,FILTER({ROW(P$2:P2647),P$2:P2647},D$2:D2647=D2648),2)*VLOOKUP(9^99,FILTER({ROW(O$2:O2647),O$2:O2647},D$2:D2647=D2648),2)-N264"&amp;"8)/O2648),J2648))"),"")</f>
        <v/>
      </c>
      <c r="Q2648" s="264" t="str">
        <f>IFERROR(__xludf.DUMMYFUNCTION("IFERROR(IF(F2648=""Crypto"",B2648,(IF(ISBLANK(D2648),"""",IF(D2648=""Cash"",B2648,IF(GOOGLEFINANCE(D2648,""CURRENCY"")=""GBX"",""GBP"",GOOGLEFINANCE(D2648,""CURRENCY"")))))),B2648)"),"")</f>
        <v/>
      </c>
      <c r="R2648" s="263" t="str">
        <f>IFERROR(__xludf.DUMMYFUNCTION("IF(ISBLANK(A2648),"""",IFERROR(IF(OR(Q2648=""GPB"",Q2648=""ZAR""),IF(Q2648=Dashboard!$L$1,K2648,(K2648*GOOGLEFINANCE(""CURRENCY:""&amp;Q2648&amp;""""&amp;Dashboard!$L$1&amp;""""))/100),IF(Q2648=Dashboard!$L$1,K2648,K2648*GOOGLEFINANCE(""CURRENCY:""&amp;Q2648&amp;""""&amp;Dashboard!$"&amp;"L$1&amp;""""))),K2648))"),"")</f>
        <v/>
      </c>
      <c r="S2648" s="266" t="str">
        <f>IFERROR(__xludf.DUMMYFUNCTION("IF(ISBLANK(A2648),"""",IFERROR(IF(OR(Q2648=""GPB"",Q2648=""ZAR""),IF(Q2648=Dashboard!$L$1,M2648,(M2648*GOOGLEFINANCE(""CURRENCY:""&amp;Q2648&amp;""""&amp;Dashboard!$L$1&amp;""""))/100),IF(Q2648=Dashboard!$L$1,M2648,M2648*GOOGLEFINANCE(""CURRENCY:""&amp;Q2648&amp;""""&amp;Dashboard!$"&amp;"L$1&amp;""""))),M2648))"),"")</f>
        <v/>
      </c>
      <c r="T2648" s="264" t="str">
        <f t="shared" si="4"/>
        <v/>
      </c>
      <c r="U2648" s="264" t="str">
        <f t="shared" si="5"/>
        <v/>
      </c>
      <c r="V2648" s="264" t="str">
        <f t="shared" si="6"/>
        <v/>
      </c>
      <c r="W2648" s="267" t="str">
        <f t="shared" si="8"/>
        <v/>
      </c>
      <c r="X2648" s="264" t="str">
        <f t="shared" si="7"/>
        <v/>
      </c>
    </row>
    <row r="2649" ht="15.75" customHeight="1">
      <c r="A2649" s="258"/>
      <c r="B2649" s="258"/>
      <c r="C2649" s="269"/>
      <c r="D2649" s="258"/>
      <c r="E2649" s="258"/>
      <c r="F2649" s="258"/>
      <c r="G2649" s="258"/>
      <c r="H2649" s="271"/>
      <c r="I2649" s="258"/>
      <c r="J2649" s="272"/>
      <c r="K2649" s="260"/>
      <c r="L2649" s="261"/>
      <c r="M2649" s="262" t="str">
        <f t="shared" si="1"/>
        <v/>
      </c>
      <c r="N2649" s="263" t="str">
        <f t="shared" si="2"/>
        <v/>
      </c>
      <c r="O2649" s="264" t="str">
        <f t="shared" si="3"/>
        <v/>
      </c>
      <c r="P2649" s="265" t="str">
        <f>IFERROR(__xludf.DUMMYFUNCTION("IF(ISBLANK(A2649),"""",IFERROR(IF(H2649=""Sell"",VLOOKUP(9^99,FILTER({ROW(P$2:P2648),P$2:P2648},D$2:D2648=D2649),2),(VLOOKUP(9^99,FILTER({ROW(P$2:P2648),P$2:P2648},D$2:D2648=D2649),2)*VLOOKUP(9^99,FILTER({ROW(O$2:O2648),O$2:O2648},D$2:D2648=D2649),2)-N264"&amp;"9)/O2649),J2649))"),"")</f>
        <v/>
      </c>
      <c r="Q2649" s="264" t="str">
        <f>IFERROR(__xludf.DUMMYFUNCTION("IFERROR(IF(F2649=""Crypto"",B2649,(IF(ISBLANK(D2649),"""",IF(D2649=""Cash"",B2649,IF(GOOGLEFINANCE(D2649,""CURRENCY"")=""GBX"",""GBP"",GOOGLEFINANCE(D2649,""CURRENCY"")))))),B2649)"),"")</f>
        <v/>
      </c>
      <c r="R2649" s="263" t="str">
        <f>IFERROR(__xludf.DUMMYFUNCTION("IF(ISBLANK(A2649),"""",IFERROR(IF(OR(Q2649=""GPB"",Q2649=""ZAR""),IF(Q2649=Dashboard!$L$1,K2649,(K2649*GOOGLEFINANCE(""CURRENCY:""&amp;Q2649&amp;""""&amp;Dashboard!$L$1&amp;""""))/100),IF(Q2649=Dashboard!$L$1,K2649,K2649*GOOGLEFINANCE(""CURRENCY:""&amp;Q2649&amp;""""&amp;Dashboard!$"&amp;"L$1&amp;""""))),K2649))"),"")</f>
        <v/>
      </c>
      <c r="S2649" s="266" t="str">
        <f>IFERROR(__xludf.DUMMYFUNCTION("IF(ISBLANK(A2649),"""",IFERROR(IF(OR(Q2649=""GPB"",Q2649=""ZAR""),IF(Q2649=Dashboard!$L$1,M2649,(M2649*GOOGLEFINANCE(""CURRENCY:""&amp;Q2649&amp;""""&amp;Dashboard!$L$1&amp;""""))/100),IF(Q2649=Dashboard!$L$1,M2649,M2649*GOOGLEFINANCE(""CURRENCY:""&amp;Q2649&amp;""""&amp;Dashboard!$"&amp;"L$1&amp;""""))),M2649))"),"")</f>
        <v/>
      </c>
      <c r="T2649" s="264" t="str">
        <f t="shared" si="4"/>
        <v/>
      </c>
      <c r="U2649" s="264" t="str">
        <f t="shared" si="5"/>
        <v/>
      </c>
      <c r="V2649" s="264" t="str">
        <f t="shared" si="6"/>
        <v/>
      </c>
      <c r="W2649" s="267" t="str">
        <f t="shared" si="8"/>
        <v/>
      </c>
      <c r="X2649" s="264" t="str">
        <f t="shared" si="7"/>
        <v/>
      </c>
    </row>
    <row r="2650" ht="15.75" customHeight="1">
      <c r="A2650" s="258"/>
      <c r="B2650" s="258"/>
      <c r="C2650" s="269"/>
      <c r="D2650" s="258"/>
      <c r="E2650" s="258"/>
      <c r="F2650" s="258"/>
      <c r="G2650" s="258"/>
      <c r="H2650" s="271"/>
      <c r="I2650" s="258"/>
      <c r="J2650" s="272"/>
      <c r="K2650" s="260"/>
      <c r="L2650" s="261"/>
      <c r="M2650" s="262" t="str">
        <f t="shared" si="1"/>
        <v/>
      </c>
      <c r="N2650" s="263" t="str">
        <f t="shared" si="2"/>
        <v/>
      </c>
      <c r="O2650" s="264" t="str">
        <f t="shared" si="3"/>
        <v/>
      </c>
      <c r="P2650" s="265" t="str">
        <f>IFERROR(__xludf.DUMMYFUNCTION("IF(ISBLANK(A2650),"""",IFERROR(IF(H2650=""Sell"",VLOOKUP(9^99,FILTER({ROW(P$2:P2649),P$2:P2649},D$2:D2649=D2650),2),(VLOOKUP(9^99,FILTER({ROW(P$2:P2649),P$2:P2649},D$2:D2649=D2650),2)*VLOOKUP(9^99,FILTER({ROW(O$2:O2649),O$2:O2649},D$2:D2649=D2650),2)-N265"&amp;"0)/O2650),J2650))"),"")</f>
        <v/>
      </c>
      <c r="Q2650" s="264" t="str">
        <f>IFERROR(__xludf.DUMMYFUNCTION("IFERROR(IF(F2650=""Crypto"",B2650,(IF(ISBLANK(D2650),"""",IF(D2650=""Cash"",B2650,IF(GOOGLEFINANCE(D2650,""CURRENCY"")=""GBX"",""GBP"",GOOGLEFINANCE(D2650,""CURRENCY"")))))),B2650)"),"")</f>
        <v/>
      </c>
      <c r="R2650" s="263" t="str">
        <f>IFERROR(__xludf.DUMMYFUNCTION("IF(ISBLANK(A2650),"""",IFERROR(IF(OR(Q2650=""GPB"",Q2650=""ZAR""),IF(Q2650=Dashboard!$L$1,K2650,(K2650*GOOGLEFINANCE(""CURRENCY:""&amp;Q2650&amp;""""&amp;Dashboard!$L$1&amp;""""))/100),IF(Q2650=Dashboard!$L$1,K2650,K2650*GOOGLEFINANCE(""CURRENCY:""&amp;Q2650&amp;""""&amp;Dashboard!$"&amp;"L$1&amp;""""))),K2650))"),"")</f>
        <v/>
      </c>
      <c r="S2650" s="266" t="str">
        <f>IFERROR(__xludf.DUMMYFUNCTION("IF(ISBLANK(A2650),"""",IFERROR(IF(OR(Q2650=""GPB"",Q2650=""ZAR""),IF(Q2650=Dashboard!$L$1,M2650,(M2650*GOOGLEFINANCE(""CURRENCY:""&amp;Q2650&amp;""""&amp;Dashboard!$L$1&amp;""""))/100),IF(Q2650=Dashboard!$L$1,M2650,M2650*GOOGLEFINANCE(""CURRENCY:""&amp;Q2650&amp;""""&amp;Dashboard!$"&amp;"L$1&amp;""""))),M2650))"),"")</f>
        <v/>
      </c>
      <c r="T2650" s="264" t="str">
        <f t="shared" si="4"/>
        <v/>
      </c>
      <c r="U2650" s="264" t="str">
        <f t="shared" si="5"/>
        <v/>
      </c>
      <c r="V2650" s="264" t="str">
        <f t="shared" si="6"/>
        <v/>
      </c>
      <c r="W2650" s="267" t="str">
        <f t="shared" si="8"/>
        <v/>
      </c>
      <c r="X2650" s="264" t="str">
        <f t="shared" si="7"/>
        <v/>
      </c>
    </row>
    <row r="2651" ht="15.75" customHeight="1">
      <c r="A2651" s="258"/>
      <c r="B2651" s="258"/>
      <c r="C2651" s="269"/>
      <c r="D2651" s="258"/>
      <c r="E2651" s="258"/>
      <c r="F2651" s="258"/>
      <c r="G2651" s="258"/>
      <c r="H2651" s="271"/>
      <c r="I2651" s="258"/>
      <c r="J2651" s="272"/>
      <c r="K2651" s="260"/>
      <c r="L2651" s="261"/>
      <c r="M2651" s="262" t="str">
        <f t="shared" si="1"/>
        <v/>
      </c>
      <c r="N2651" s="263" t="str">
        <f t="shared" si="2"/>
        <v/>
      </c>
      <c r="O2651" s="264" t="str">
        <f t="shared" si="3"/>
        <v/>
      </c>
      <c r="P2651" s="265" t="str">
        <f>IFERROR(__xludf.DUMMYFUNCTION("IF(ISBLANK(A2651),"""",IFERROR(IF(H2651=""Sell"",VLOOKUP(9^99,FILTER({ROW(P$2:P2650),P$2:P2650},D$2:D2650=D2651),2),(VLOOKUP(9^99,FILTER({ROW(P$2:P2650),P$2:P2650},D$2:D2650=D2651),2)*VLOOKUP(9^99,FILTER({ROW(O$2:O2650),O$2:O2650},D$2:D2650=D2651),2)-N265"&amp;"1)/O2651),J2651))"),"")</f>
        <v/>
      </c>
      <c r="Q2651" s="264" t="str">
        <f>IFERROR(__xludf.DUMMYFUNCTION("IFERROR(IF(F2651=""Crypto"",B2651,(IF(ISBLANK(D2651),"""",IF(D2651=""Cash"",B2651,IF(GOOGLEFINANCE(D2651,""CURRENCY"")=""GBX"",""GBP"",GOOGLEFINANCE(D2651,""CURRENCY"")))))),B2651)"),"")</f>
        <v/>
      </c>
      <c r="R2651" s="263" t="str">
        <f>IFERROR(__xludf.DUMMYFUNCTION("IF(ISBLANK(A2651),"""",IFERROR(IF(OR(Q2651=""GPB"",Q2651=""ZAR""),IF(Q2651=Dashboard!$L$1,K2651,(K2651*GOOGLEFINANCE(""CURRENCY:""&amp;Q2651&amp;""""&amp;Dashboard!$L$1&amp;""""))/100),IF(Q2651=Dashboard!$L$1,K2651,K2651*GOOGLEFINANCE(""CURRENCY:""&amp;Q2651&amp;""""&amp;Dashboard!$"&amp;"L$1&amp;""""))),K2651))"),"")</f>
        <v/>
      </c>
      <c r="S2651" s="266" t="str">
        <f>IFERROR(__xludf.DUMMYFUNCTION("IF(ISBLANK(A2651),"""",IFERROR(IF(OR(Q2651=""GPB"",Q2651=""ZAR""),IF(Q2651=Dashboard!$L$1,M2651,(M2651*GOOGLEFINANCE(""CURRENCY:""&amp;Q2651&amp;""""&amp;Dashboard!$L$1&amp;""""))/100),IF(Q2651=Dashboard!$L$1,M2651,M2651*GOOGLEFINANCE(""CURRENCY:""&amp;Q2651&amp;""""&amp;Dashboard!$"&amp;"L$1&amp;""""))),M2651))"),"")</f>
        <v/>
      </c>
      <c r="T2651" s="264" t="str">
        <f t="shared" si="4"/>
        <v/>
      </c>
      <c r="U2651" s="264" t="str">
        <f t="shared" si="5"/>
        <v/>
      </c>
      <c r="V2651" s="264" t="str">
        <f t="shared" si="6"/>
        <v/>
      </c>
      <c r="W2651" s="267" t="str">
        <f t="shared" si="8"/>
        <v/>
      </c>
      <c r="X2651" s="264" t="str">
        <f t="shared" si="7"/>
        <v/>
      </c>
    </row>
    <row r="2652" ht="15.75" customHeight="1">
      <c r="A2652" s="258"/>
      <c r="B2652" s="258"/>
      <c r="C2652" s="269"/>
      <c r="D2652" s="258"/>
      <c r="E2652" s="258"/>
      <c r="F2652" s="258"/>
      <c r="G2652" s="258"/>
      <c r="H2652" s="271"/>
      <c r="I2652" s="258"/>
      <c r="J2652" s="272"/>
      <c r="K2652" s="260"/>
      <c r="L2652" s="261"/>
      <c r="M2652" s="262" t="str">
        <f t="shared" si="1"/>
        <v/>
      </c>
      <c r="N2652" s="263" t="str">
        <f t="shared" si="2"/>
        <v/>
      </c>
      <c r="O2652" s="264" t="str">
        <f t="shared" si="3"/>
        <v/>
      </c>
      <c r="P2652" s="265" t="str">
        <f>IFERROR(__xludf.DUMMYFUNCTION("IF(ISBLANK(A2652),"""",IFERROR(IF(H2652=""Sell"",VLOOKUP(9^99,FILTER({ROW(P$2:P2651),P$2:P2651},D$2:D2651=D2652),2),(VLOOKUP(9^99,FILTER({ROW(P$2:P2651),P$2:P2651},D$2:D2651=D2652),2)*VLOOKUP(9^99,FILTER({ROW(O$2:O2651),O$2:O2651},D$2:D2651=D2652),2)-N265"&amp;"2)/O2652),J2652))"),"")</f>
        <v/>
      </c>
      <c r="Q2652" s="264" t="str">
        <f>IFERROR(__xludf.DUMMYFUNCTION("IFERROR(IF(F2652=""Crypto"",B2652,(IF(ISBLANK(D2652),"""",IF(D2652=""Cash"",B2652,IF(GOOGLEFINANCE(D2652,""CURRENCY"")=""GBX"",""GBP"",GOOGLEFINANCE(D2652,""CURRENCY"")))))),B2652)"),"")</f>
        <v/>
      </c>
      <c r="R2652" s="263" t="str">
        <f>IFERROR(__xludf.DUMMYFUNCTION("IF(ISBLANK(A2652),"""",IFERROR(IF(OR(Q2652=""GPB"",Q2652=""ZAR""),IF(Q2652=Dashboard!$L$1,K2652,(K2652*GOOGLEFINANCE(""CURRENCY:""&amp;Q2652&amp;""""&amp;Dashboard!$L$1&amp;""""))/100),IF(Q2652=Dashboard!$L$1,K2652,K2652*GOOGLEFINANCE(""CURRENCY:""&amp;Q2652&amp;""""&amp;Dashboard!$"&amp;"L$1&amp;""""))),K2652))"),"")</f>
        <v/>
      </c>
      <c r="S2652" s="266" t="str">
        <f>IFERROR(__xludf.DUMMYFUNCTION("IF(ISBLANK(A2652),"""",IFERROR(IF(OR(Q2652=""GPB"",Q2652=""ZAR""),IF(Q2652=Dashboard!$L$1,M2652,(M2652*GOOGLEFINANCE(""CURRENCY:""&amp;Q2652&amp;""""&amp;Dashboard!$L$1&amp;""""))/100),IF(Q2652=Dashboard!$L$1,M2652,M2652*GOOGLEFINANCE(""CURRENCY:""&amp;Q2652&amp;""""&amp;Dashboard!$"&amp;"L$1&amp;""""))),M2652))"),"")</f>
        <v/>
      </c>
      <c r="T2652" s="264" t="str">
        <f t="shared" si="4"/>
        <v/>
      </c>
      <c r="U2652" s="264" t="str">
        <f t="shared" si="5"/>
        <v/>
      </c>
      <c r="V2652" s="264" t="str">
        <f t="shared" si="6"/>
        <v/>
      </c>
      <c r="W2652" s="267" t="str">
        <f t="shared" si="8"/>
        <v/>
      </c>
      <c r="X2652" s="264" t="str">
        <f t="shared" si="7"/>
        <v/>
      </c>
    </row>
    <row r="2653" ht="15.75" customHeight="1">
      <c r="A2653" s="258"/>
      <c r="B2653" s="258"/>
      <c r="C2653" s="269"/>
      <c r="D2653" s="258"/>
      <c r="E2653" s="258"/>
      <c r="F2653" s="258"/>
      <c r="G2653" s="258"/>
      <c r="H2653" s="271"/>
      <c r="I2653" s="258"/>
      <c r="J2653" s="272"/>
      <c r="K2653" s="260"/>
      <c r="L2653" s="261"/>
      <c r="M2653" s="262" t="str">
        <f t="shared" si="1"/>
        <v/>
      </c>
      <c r="N2653" s="263" t="str">
        <f t="shared" si="2"/>
        <v/>
      </c>
      <c r="O2653" s="264" t="str">
        <f t="shared" si="3"/>
        <v/>
      </c>
      <c r="P2653" s="265" t="str">
        <f>IFERROR(__xludf.DUMMYFUNCTION("IF(ISBLANK(A2653),"""",IFERROR(IF(H2653=""Sell"",VLOOKUP(9^99,FILTER({ROW(P$2:P2652),P$2:P2652},D$2:D2652=D2653),2),(VLOOKUP(9^99,FILTER({ROW(P$2:P2652),P$2:P2652},D$2:D2652=D2653),2)*VLOOKUP(9^99,FILTER({ROW(O$2:O2652),O$2:O2652},D$2:D2652=D2653),2)-N265"&amp;"3)/O2653),J2653))"),"")</f>
        <v/>
      </c>
      <c r="Q2653" s="264" t="str">
        <f>IFERROR(__xludf.DUMMYFUNCTION("IFERROR(IF(F2653=""Crypto"",B2653,(IF(ISBLANK(D2653),"""",IF(D2653=""Cash"",B2653,IF(GOOGLEFINANCE(D2653,""CURRENCY"")=""GBX"",""GBP"",GOOGLEFINANCE(D2653,""CURRENCY"")))))),B2653)"),"")</f>
        <v/>
      </c>
      <c r="R2653" s="263" t="str">
        <f>IFERROR(__xludf.DUMMYFUNCTION("IF(ISBLANK(A2653),"""",IFERROR(IF(OR(Q2653=""GPB"",Q2653=""ZAR""),IF(Q2653=Dashboard!$L$1,K2653,(K2653*GOOGLEFINANCE(""CURRENCY:""&amp;Q2653&amp;""""&amp;Dashboard!$L$1&amp;""""))/100),IF(Q2653=Dashboard!$L$1,K2653,K2653*GOOGLEFINANCE(""CURRENCY:""&amp;Q2653&amp;""""&amp;Dashboard!$"&amp;"L$1&amp;""""))),K2653))"),"")</f>
        <v/>
      </c>
      <c r="S2653" s="266" t="str">
        <f>IFERROR(__xludf.DUMMYFUNCTION("IF(ISBLANK(A2653),"""",IFERROR(IF(OR(Q2653=""GPB"",Q2653=""ZAR""),IF(Q2653=Dashboard!$L$1,M2653,(M2653*GOOGLEFINANCE(""CURRENCY:""&amp;Q2653&amp;""""&amp;Dashboard!$L$1&amp;""""))/100),IF(Q2653=Dashboard!$L$1,M2653,M2653*GOOGLEFINANCE(""CURRENCY:""&amp;Q2653&amp;""""&amp;Dashboard!$"&amp;"L$1&amp;""""))),M2653))"),"")</f>
        <v/>
      </c>
      <c r="T2653" s="264" t="str">
        <f t="shared" si="4"/>
        <v/>
      </c>
      <c r="U2653" s="264" t="str">
        <f t="shared" si="5"/>
        <v/>
      </c>
      <c r="V2653" s="264" t="str">
        <f t="shared" si="6"/>
        <v/>
      </c>
      <c r="W2653" s="267" t="str">
        <f t="shared" si="8"/>
        <v/>
      </c>
      <c r="X2653" s="264" t="str">
        <f t="shared" si="7"/>
        <v/>
      </c>
    </row>
    <row r="2654" ht="15.75" customHeight="1">
      <c r="A2654" s="258"/>
      <c r="B2654" s="258"/>
      <c r="C2654" s="269"/>
      <c r="D2654" s="258"/>
      <c r="E2654" s="258"/>
      <c r="F2654" s="258"/>
      <c r="G2654" s="258"/>
      <c r="H2654" s="271"/>
      <c r="I2654" s="258"/>
      <c r="J2654" s="272"/>
      <c r="K2654" s="260"/>
      <c r="L2654" s="261"/>
      <c r="M2654" s="262" t="str">
        <f t="shared" si="1"/>
        <v/>
      </c>
      <c r="N2654" s="263" t="str">
        <f t="shared" si="2"/>
        <v/>
      </c>
      <c r="O2654" s="264" t="str">
        <f t="shared" si="3"/>
        <v/>
      </c>
      <c r="P2654" s="265" t="str">
        <f>IFERROR(__xludf.DUMMYFUNCTION("IF(ISBLANK(A2654),"""",IFERROR(IF(H2654=""Sell"",VLOOKUP(9^99,FILTER({ROW(P$2:P2653),P$2:P2653},D$2:D2653=D2654),2),(VLOOKUP(9^99,FILTER({ROW(P$2:P2653),P$2:P2653},D$2:D2653=D2654),2)*VLOOKUP(9^99,FILTER({ROW(O$2:O2653),O$2:O2653},D$2:D2653=D2654),2)-N265"&amp;"4)/O2654),J2654))"),"")</f>
        <v/>
      </c>
      <c r="Q2654" s="264" t="str">
        <f>IFERROR(__xludf.DUMMYFUNCTION("IFERROR(IF(F2654=""Crypto"",B2654,(IF(ISBLANK(D2654),"""",IF(D2654=""Cash"",B2654,IF(GOOGLEFINANCE(D2654,""CURRENCY"")=""GBX"",""GBP"",GOOGLEFINANCE(D2654,""CURRENCY"")))))),B2654)"),"")</f>
        <v/>
      </c>
      <c r="R2654" s="263" t="str">
        <f>IFERROR(__xludf.DUMMYFUNCTION("IF(ISBLANK(A2654),"""",IFERROR(IF(OR(Q2654=""GPB"",Q2654=""ZAR""),IF(Q2654=Dashboard!$L$1,K2654,(K2654*GOOGLEFINANCE(""CURRENCY:""&amp;Q2654&amp;""""&amp;Dashboard!$L$1&amp;""""))/100),IF(Q2654=Dashboard!$L$1,K2654,K2654*GOOGLEFINANCE(""CURRENCY:""&amp;Q2654&amp;""""&amp;Dashboard!$"&amp;"L$1&amp;""""))),K2654))"),"")</f>
        <v/>
      </c>
      <c r="S2654" s="266" t="str">
        <f>IFERROR(__xludf.DUMMYFUNCTION("IF(ISBLANK(A2654),"""",IFERROR(IF(OR(Q2654=""GPB"",Q2654=""ZAR""),IF(Q2654=Dashboard!$L$1,M2654,(M2654*GOOGLEFINANCE(""CURRENCY:""&amp;Q2654&amp;""""&amp;Dashboard!$L$1&amp;""""))/100),IF(Q2654=Dashboard!$L$1,M2654,M2654*GOOGLEFINANCE(""CURRENCY:""&amp;Q2654&amp;""""&amp;Dashboard!$"&amp;"L$1&amp;""""))),M2654))"),"")</f>
        <v/>
      </c>
      <c r="T2654" s="264" t="str">
        <f t="shared" si="4"/>
        <v/>
      </c>
      <c r="U2654" s="264" t="str">
        <f t="shared" si="5"/>
        <v/>
      </c>
      <c r="V2654" s="264" t="str">
        <f t="shared" si="6"/>
        <v/>
      </c>
      <c r="W2654" s="267" t="str">
        <f t="shared" si="8"/>
        <v/>
      </c>
      <c r="X2654" s="264" t="str">
        <f t="shared" si="7"/>
        <v/>
      </c>
    </row>
    <row r="2655" ht="15.75" customHeight="1">
      <c r="A2655" s="258"/>
      <c r="B2655" s="258"/>
      <c r="C2655" s="269"/>
      <c r="D2655" s="258"/>
      <c r="E2655" s="258"/>
      <c r="F2655" s="258"/>
      <c r="G2655" s="258"/>
      <c r="H2655" s="271"/>
      <c r="I2655" s="258"/>
      <c r="J2655" s="272"/>
      <c r="K2655" s="260"/>
      <c r="L2655" s="261"/>
      <c r="M2655" s="262" t="str">
        <f t="shared" si="1"/>
        <v/>
      </c>
      <c r="N2655" s="263" t="str">
        <f t="shared" si="2"/>
        <v/>
      </c>
      <c r="O2655" s="264" t="str">
        <f t="shared" si="3"/>
        <v/>
      </c>
      <c r="P2655" s="265" t="str">
        <f>IFERROR(__xludf.DUMMYFUNCTION("IF(ISBLANK(A2655),"""",IFERROR(IF(H2655=""Sell"",VLOOKUP(9^99,FILTER({ROW(P$2:P2654),P$2:P2654},D$2:D2654=D2655),2),(VLOOKUP(9^99,FILTER({ROW(P$2:P2654),P$2:P2654},D$2:D2654=D2655),2)*VLOOKUP(9^99,FILTER({ROW(O$2:O2654),O$2:O2654},D$2:D2654=D2655),2)-N265"&amp;"5)/O2655),J2655))"),"")</f>
        <v/>
      </c>
      <c r="Q2655" s="264" t="str">
        <f>IFERROR(__xludf.DUMMYFUNCTION("IFERROR(IF(F2655=""Crypto"",B2655,(IF(ISBLANK(D2655),"""",IF(D2655=""Cash"",B2655,IF(GOOGLEFINANCE(D2655,""CURRENCY"")=""GBX"",""GBP"",GOOGLEFINANCE(D2655,""CURRENCY"")))))),B2655)"),"")</f>
        <v/>
      </c>
      <c r="R2655" s="263" t="str">
        <f>IFERROR(__xludf.DUMMYFUNCTION("IF(ISBLANK(A2655),"""",IFERROR(IF(OR(Q2655=""GPB"",Q2655=""ZAR""),IF(Q2655=Dashboard!$L$1,K2655,(K2655*GOOGLEFINANCE(""CURRENCY:""&amp;Q2655&amp;""""&amp;Dashboard!$L$1&amp;""""))/100),IF(Q2655=Dashboard!$L$1,K2655,K2655*GOOGLEFINANCE(""CURRENCY:""&amp;Q2655&amp;""""&amp;Dashboard!$"&amp;"L$1&amp;""""))),K2655))"),"")</f>
        <v/>
      </c>
      <c r="S2655" s="266" t="str">
        <f>IFERROR(__xludf.DUMMYFUNCTION("IF(ISBLANK(A2655),"""",IFERROR(IF(OR(Q2655=""GPB"",Q2655=""ZAR""),IF(Q2655=Dashboard!$L$1,M2655,(M2655*GOOGLEFINANCE(""CURRENCY:""&amp;Q2655&amp;""""&amp;Dashboard!$L$1&amp;""""))/100),IF(Q2655=Dashboard!$L$1,M2655,M2655*GOOGLEFINANCE(""CURRENCY:""&amp;Q2655&amp;""""&amp;Dashboard!$"&amp;"L$1&amp;""""))),M2655))"),"")</f>
        <v/>
      </c>
      <c r="T2655" s="264" t="str">
        <f t="shared" si="4"/>
        <v/>
      </c>
      <c r="U2655" s="264" t="str">
        <f t="shared" si="5"/>
        <v/>
      </c>
      <c r="V2655" s="264" t="str">
        <f t="shared" si="6"/>
        <v/>
      </c>
      <c r="W2655" s="267" t="str">
        <f t="shared" si="8"/>
        <v/>
      </c>
      <c r="X2655" s="264" t="str">
        <f t="shared" si="7"/>
        <v/>
      </c>
    </row>
    <row r="2656" ht="15.75" customHeight="1">
      <c r="A2656" s="258"/>
      <c r="B2656" s="258"/>
      <c r="C2656" s="269"/>
      <c r="D2656" s="258"/>
      <c r="E2656" s="258"/>
      <c r="F2656" s="258"/>
      <c r="G2656" s="258"/>
      <c r="H2656" s="271"/>
      <c r="I2656" s="258"/>
      <c r="J2656" s="272"/>
      <c r="K2656" s="260"/>
      <c r="L2656" s="261"/>
      <c r="M2656" s="262" t="str">
        <f t="shared" si="1"/>
        <v/>
      </c>
      <c r="N2656" s="263" t="str">
        <f t="shared" si="2"/>
        <v/>
      </c>
      <c r="O2656" s="264" t="str">
        <f t="shared" si="3"/>
        <v/>
      </c>
      <c r="P2656" s="265" t="str">
        <f>IFERROR(__xludf.DUMMYFUNCTION("IF(ISBLANK(A2656),"""",IFERROR(IF(H2656=""Sell"",VLOOKUP(9^99,FILTER({ROW(P$2:P2655),P$2:P2655},D$2:D2655=D2656),2),(VLOOKUP(9^99,FILTER({ROW(P$2:P2655),P$2:P2655},D$2:D2655=D2656),2)*VLOOKUP(9^99,FILTER({ROW(O$2:O2655),O$2:O2655},D$2:D2655=D2656),2)-N265"&amp;"6)/O2656),J2656))"),"")</f>
        <v/>
      </c>
      <c r="Q2656" s="264" t="str">
        <f>IFERROR(__xludf.DUMMYFUNCTION("IFERROR(IF(F2656=""Crypto"",B2656,(IF(ISBLANK(D2656),"""",IF(D2656=""Cash"",B2656,IF(GOOGLEFINANCE(D2656,""CURRENCY"")=""GBX"",""GBP"",GOOGLEFINANCE(D2656,""CURRENCY"")))))),B2656)"),"")</f>
        <v/>
      </c>
      <c r="R2656" s="263" t="str">
        <f>IFERROR(__xludf.DUMMYFUNCTION("IF(ISBLANK(A2656),"""",IFERROR(IF(OR(Q2656=""GPB"",Q2656=""ZAR""),IF(Q2656=Dashboard!$L$1,K2656,(K2656*GOOGLEFINANCE(""CURRENCY:""&amp;Q2656&amp;""""&amp;Dashboard!$L$1&amp;""""))/100),IF(Q2656=Dashboard!$L$1,K2656,K2656*GOOGLEFINANCE(""CURRENCY:""&amp;Q2656&amp;""""&amp;Dashboard!$"&amp;"L$1&amp;""""))),K2656))"),"")</f>
        <v/>
      </c>
      <c r="S2656" s="266" t="str">
        <f>IFERROR(__xludf.DUMMYFUNCTION("IF(ISBLANK(A2656),"""",IFERROR(IF(OR(Q2656=""GPB"",Q2656=""ZAR""),IF(Q2656=Dashboard!$L$1,M2656,(M2656*GOOGLEFINANCE(""CURRENCY:""&amp;Q2656&amp;""""&amp;Dashboard!$L$1&amp;""""))/100),IF(Q2656=Dashboard!$L$1,M2656,M2656*GOOGLEFINANCE(""CURRENCY:""&amp;Q2656&amp;""""&amp;Dashboard!$"&amp;"L$1&amp;""""))),M2656))"),"")</f>
        <v/>
      </c>
      <c r="T2656" s="264" t="str">
        <f t="shared" si="4"/>
        <v/>
      </c>
      <c r="U2656" s="264" t="str">
        <f t="shared" si="5"/>
        <v/>
      </c>
      <c r="V2656" s="264" t="str">
        <f t="shared" si="6"/>
        <v/>
      </c>
      <c r="W2656" s="267" t="str">
        <f t="shared" si="8"/>
        <v/>
      </c>
      <c r="X2656" s="264" t="str">
        <f t="shared" si="7"/>
        <v/>
      </c>
    </row>
    <row r="2657" ht="15.75" customHeight="1">
      <c r="A2657" s="258"/>
      <c r="B2657" s="258"/>
      <c r="C2657" s="269"/>
      <c r="D2657" s="258"/>
      <c r="E2657" s="258"/>
      <c r="F2657" s="258"/>
      <c r="G2657" s="258"/>
      <c r="H2657" s="271"/>
      <c r="I2657" s="258"/>
      <c r="J2657" s="272"/>
      <c r="K2657" s="260"/>
      <c r="L2657" s="261"/>
      <c r="M2657" s="262" t="str">
        <f t="shared" si="1"/>
        <v/>
      </c>
      <c r="N2657" s="263" t="str">
        <f t="shared" si="2"/>
        <v/>
      </c>
      <c r="O2657" s="264" t="str">
        <f t="shared" si="3"/>
        <v/>
      </c>
      <c r="P2657" s="265" t="str">
        <f>IFERROR(__xludf.DUMMYFUNCTION("IF(ISBLANK(A2657),"""",IFERROR(IF(H2657=""Sell"",VLOOKUP(9^99,FILTER({ROW(P$2:P2656),P$2:P2656},D$2:D2656=D2657),2),(VLOOKUP(9^99,FILTER({ROW(P$2:P2656),P$2:P2656},D$2:D2656=D2657),2)*VLOOKUP(9^99,FILTER({ROW(O$2:O2656),O$2:O2656},D$2:D2656=D2657),2)-N265"&amp;"7)/O2657),J2657))"),"")</f>
        <v/>
      </c>
      <c r="Q2657" s="264" t="str">
        <f>IFERROR(__xludf.DUMMYFUNCTION("IFERROR(IF(F2657=""Crypto"",B2657,(IF(ISBLANK(D2657),"""",IF(D2657=""Cash"",B2657,IF(GOOGLEFINANCE(D2657,""CURRENCY"")=""GBX"",""GBP"",GOOGLEFINANCE(D2657,""CURRENCY"")))))),B2657)"),"")</f>
        <v/>
      </c>
      <c r="R2657" s="263" t="str">
        <f>IFERROR(__xludf.DUMMYFUNCTION("IF(ISBLANK(A2657),"""",IFERROR(IF(OR(Q2657=""GPB"",Q2657=""ZAR""),IF(Q2657=Dashboard!$L$1,K2657,(K2657*GOOGLEFINANCE(""CURRENCY:""&amp;Q2657&amp;""""&amp;Dashboard!$L$1&amp;""""))/100),IF(Q2657=Dashboard!$L$1,K2657,K2657*GOOGLEFINANCE(""CURRENCY:""&amp;Q2657&amp;""""&amp;Dashboard!$"&amp;"L$1&amp;""""))),K2657))"),"")</f>
        <v/>
      </c>
      <c r="S2657" s="266" t="str">
        <f>IFERROR(__xludf.DUMMYFUNCTION("IF(ISBLANK(A2657),"""",IFERROR(IF(OR(Q2657=""GPB"",Q2657=""ZAR""),IF(Q2657=Dashboard!$L$1,M2657,(M2657*GOOGLEFINANCE(""CURRENCY:""&amp;Q2657&amp;""""&amp;Dashboard!$L$1&amp;""""))/100),IF(Q2657=Dashboard!$L$1,M2657,M2657*GOOGLEFINANCE(""CURRENCY:""&amp;Q2657&amp;""""&amp;Dashboard!$"&amp;"L$1&amp;""""))),M2657))"),"")</f>
        <v/>
      </c>
      <c r="T2657" s="264" t="str">
        <f t="shared" si="4"/>
        <v/>
      </c>
      <c r="U2657" s="264" t="str">
        <f t="shared" si="5"/>
        <v/>
      </c>
      <c r="V2657" s="264" t="str">
        <f t="shared" si="6"/>
        <v/>
      </c>
      <c r="W2657" s="267" t="str">
        <f t="shared" si="8"/>
        <v/>
      </c>
      <c r="X2657" s="264" t="str">
        <f t="shared" si="7"/>
        <v/>
      </c>
    </row>
    <row r="2658" ht="15.75" customHeight="1">
      <c r="A2658" s="258"/>
      <c r="B2658" s="258"/>
      <c r="C2658" s="269"/>
      <c r="D2658" s="258"/>
      <c r="E2658" s="258"/>
      <c r="F2658" s="258"/>
      <c r="G2658" s="258"/>
      <c r="H2658" s="271"/>
      <c r="I2658" s="258"/>
      <c r="J2658" s="272"/>
      <c r="K2658" s="260"/>
      <c r="L2658" s="261"/>
      <c r="M2658" s="262" t="str">
        <f t="shared" si="1"/>
        <v/>
      </c>
      <c r="N2658" s="263" t="str">
        <f t="shared" si="2"/>
        <v/>
      </c>
      <c r="O2658" s="264" t="str">
        <f t="shared" si="3"/>
        <v/>
      </c>
      <c r="P2658" s="265" t="str">
        <f>IFERROR(__xludf.DUMMYFUNCTION("IF(ISBLANK(A2658),"""",IFERROR(IF(H2658=""Sell"",VLOOKUP(9^99,FILTER({ROW(P$2:P2657),P$2:P2657},D$2:D2657=D2658),2),(VLOOKUP(9^99,FILTER({ROW(P$2:P2657),P$2:P2657},D$2:D2657=D2658),2)*VLOOKUP(9^99,FILTER({ROW(O$2:O2657),O$2:O2657},D$2:D2657=D2658),2)-N265"&amp;"8)/O2658),J2658))"),"")</f>
        <v/>
      </c>
      <c r="Q2658" s="264" t="str">
        <f>IFERROR(__xludf.DUMMYFUNCTION("IFERROR(IF(F2658=""Crypto"",B2658,(IF(ISBLANK(D2658),"""",IF(D2658=""Cash"",B2658,IF(GOOGLEFINANCE(D2658,""CURRENCY"")=""GBX"",""GBP"",GOOGLEFINANCE(D2658,""CURRENCY"")))))),B2658)"),"")</f>
        <v/>
      </c>
      <c r="R2658" s="263" t="str">
        <f>IFERROR(__xludf.DUMMYFUNCTION("IF(ISBLANK(A2658),"""",IFERROR(IF(OR(Q2658=""GPB"",Q2658=""ZAR""),IF(Q2658=Dashboard!$L$1,K2658,(K2658*GOOGLEFINANCE(""CURRENCY:""&amp;Q2658&amp;""""&amp;Dashboard!$L$1&amp;""""))/100),IF(Q2658=Dashboard!$L$1,K2658,K2658*GOOGLEFINANCE(""CURRENCY:""&amp;Q2658&amp;""""&amp;Dashboard!$"&amp;"L$1&amp;""""))),K2658))"),"")</f>
        <v/>
      </c>
      <c r="S2658" s="266" t="str">
        <f>IFERROR(__xludf.DUMMYFUNCTION("IF(ISBLANK(A2658),"""",IFERROR(IF(OR(Q2658=""GPB"",Q2658=""ZAR""),IF(Q2658=Dashboard!$L$1,M2658,(M2658*GOOGLEFINANCE(""CURRENCY:""&amp;Q2658&amp;""""&amp;Dashboard!$L$1&amp;""""))/100),IF(Q2658=Dashboard!$L$1,M2658,M2658*GOOGLEFINANCE(""CURRENCY:""&amp;Q2658&amp;""""&amp;Dashboard!$"&amp;"L$1&amp;""""))),M2658))"),"")</f>
        <v/>
      </c>
      <c r="T2658" s="264" t="str">
        <f t="shared" si="4"/>
        <v/>
      </c>
      <c r="U2658" s="264" t="str">
        <f t="shared" si="5"/>
        <v/>
      </c>
      <c r="V2658" s="264" t="str">
        <f t="shared" si="6"/>
        <v/>
      </c>
      <c r="W2658" s="267" t="str">
        <f t="shared" si="8"/>
        <v/>
      </c>
      <c r="X2658" s="264" t="str">
        <f t="shared" si="7"/>
        <v/>
      </c>
    </row>
    <row r="2659" ht="15.75" customHeight="1">
      <c r="A2659" s="258"/>
      <c r="B2659" s="258"/>
      <c r="C2659" s="269"/>
      <c r="D2659" s="258"/>
      <c r="E2659" s="258"/>
      <c r="F2659" s="258"/>
      <c r="G2659" s="258"/>
      <c r="H2659" s="271"/>
      <c r="I2659" s="258"/>
      <c r="J2659" s="272"/>
      <c r="K2659" s="260"/>
      <c r="L2659" s="261"/>
      <c r="M2659" s="262" t="str">
        <f t="shared" si="1"/>
        <v/>
      </c>
      <c r="N2659" s="263" t="str">
        <f t="shared" si="2"/>
        <v/>
      </c>
      <c r="O2659" s="264" t="str">
        <f t="shared" si="3"/>
        <v/>
      </c>
      <c r="P2659" s="265" t="str">
        <f>IFERROR(__xludf.DUMMYFUNCTION("IF(ISBLANK(A2659),"""",IFERROR(IF(H2659=""Sell"",VLOOKUP(9^99,FILTER({ROW(P$2:P2658),P$2:P2658},D$2:D2658=D2659),2),(VLOOKUP(9^99,FILTER({ROW(P$2:P2658),P$2:P2658},D$2:D2658=D2659),2)*VLOOKUP(9^99,FILTER({ROW(O$2:O2658),O$2:O2658},D$2:D2658=D2659),2)-N265"&amp;"9)/O2659),J2659))"),"")</f>
        <v/>
      </c>
      <c r="Q2659" s="264" t="str">
        <f>IFERROR(__xludf.DUMMYFUNCTION("IFERROR(IF(F2659=""Crypto"",B2659,(IF(ISBLANK(D2659),"""",IF(D2659=""Cash"",B2659,IF(GOOGLEFINANCE(D2659,""CURRENCY"")=""GBX"",""GBP"",GOOGLEFINANCE(D2659,""CURRENCY"")))))),B2659)"),"")</f>
        <v/>
      </c>
      <c r="R2659" s="263" t="str">
        <f>IFERROR(__xludf.DUMMYFUNCTION("IF(ISBLANK(A2659),"""",IFERROR(IF(OR(Q2659=""GPB"",Q2659=""ZAR""),IF(Q2659=Dashboard!$L$1,K2659,(K2659*GOOGLEFINANCE(""CURRENCY:""&amp;Q2659&amp;""""&amp;Dashboard!$L$1&amp;""""))/100),IF(Q2659=Dashboard!$L$1,K2659,K2659*GOOGLEFINANCE(""CURRENCY:""&amp;Q2659&amp;""""&amp;Dashboard!$"&amp;"L$1&amp;""""))),K2659))"),"")</f>
        <v/>
      </c>
      <c r="S2659" s="266" t="str">
        <f>IFERROR(__xludf.DUMMYFUNCTION("IF(ISBLANK(A2659),"""",IFERROR(IF(OR(Q2659=""GPB"",Q2659=""ZAR""),IF(Q2659=Dashboard!$L$1,M2659,(M2659*GOOGLEFINANCE(""CURRENCY:""&amp;Q2659&amp;""""&amp;Dashboard!$L$1&amp;""""))/100),IF(Q2659=Dashboard!$L$1,M2659,M2659*GOOGLEFINANCE(""CURRENCY:""&amp;Q2659&amp;""""&amp;Dashboard!$"&amp;"L$1&amp;""""))),M2659))"),"")</f>
        <v/>
      </c>
      <c r="T2659" s="264" t="str">
        <f t="shared" si="4"/>
        <v/>
      </c>
      <c r="U2659" s="264" t="str">
        <f t="shared" si="5"/>
        <v/>
      </c>
      <c r="V2659" s="264" t="str">
        <f t="shared" si="6"/>
        <v/>
      </c>
      <c r="W2659" s="267" t="str">
        <f t="shared" si="8"/>
        <v/>
      </c>
      <c r="X2659" s="264" t="str">
        <f t="shared" si="7"/>
        <v/>
      </c>
    </row>
    <row r="2660" ht="15.75" customHeight="1">
      <c r="A2660" s="258"/>
      <c r="B2660" s="258"/>
      <c r="C2660" s="269"/>
      <c r="D2660" s="258"/>
      <c r="E2660" s="258"/>
      <c r="F2660" s="258"/>
      <c r="G2660" s="258"/>
      <c r="H2660" s="271"/>
      <c r="I2660" s="258"/>
      <c r="J2660" s="272"/>
      <c r="K2660" s="260"/>
      <c r="L2660" s="261"/>
      <c r="M2660" s="262" t="str">
        <f t="shared" si="1"/>
        <v/>
      </c>
      <c r="N2660" s="263" t="str">
        <f t="shared" si="2"/>
        <v/>
      </c>
      <c r="O2660" s="264" t="str">
        <f t="shared" si="3"/>
        <v/>
      </c>
      <c r="P2660" s="265" t="str">
        <f>IFERROR(__xludf.DUMMYFUNCTION("IF(ISBLANK(A2660),"""",IFERROR(IF(H2660=""Sell"",VLOOKUP(9^99,FILTER({ROW(P$2:P2659),P$2:P2659},D$2:D2659=D2660),2),(VLOOKUP(9^99,FILTER({ROW(P$2:P2659),P$2:P2659},D$2:D2659=D2660),2)*VLOOKUP(9^99,FILTER({ROW(O$2:O2659),O$2:O2659},D$2:D2659=D2660),2)-N266"&amp;"0)/O2660),J2660))"),"")</f>
        <v/>
      </c>
      <c r="Q2660" s="264" t="str">
        <f>IFERROR(__xludf.DUMMYFUNCTION("IFERROR(IF(F2660=""Crypto"",B2660,(IF(ISBLANK(D2660),"""",IF(D2660=""Cash"",B2660,IF(GOOGLEFINANCE(D2660,""CURRENCY"")=""GBX"",""GBP"",GOOGLEFINANCE(D2660,""CURRENCY"")))))),B2660)"),"")</f>
        <v/>
      </c>
      <c r="R2660" s="263" t="str">
        <f>IFERROR(__xludf.DUMMYFUNCTION("IF(ISBLANK(A2660),"""",IFERROR(IF(OR(Q2660=""GPB"",Q2660=""ZAR""),IF(Q2660=Dashboard!$L$1,K2660,(K2660*GOOGLEFINANCE(""CURRENCY:""&amp;Q2660&amp;""""&amp;Dashboard!$L$1&amp;""""))/100),IF(Q2660=Dashboard!$L$1,K2660,K2660*GOOGLEFINANCE(""CURRENCY:""&amp;Q2660&amp;""""&amp;Dashboard!$"&amp;"L$1&amp;""""))),K2660))"),"")</f>
        <v/>
      </c>
      <c r="S2660" s="266" t="str">
        <f>IFERROR(__xludf.DUMMYFUNCTION("IF(ISBLANK(A2660),"""",IFERROR(IF(OR(Q2660=""GPB"",Q2660=""ZAR""),IF(Q2660=Dashboard!$L$1,M2660,(M2660*GOOGLEFINANCE(""CURRENCY:""&amp;Q2660&amp;""""&amp;Dashboard!$L$1&amp;""""))/100),IF(Q2660=Dashboard!$L$1,M2660,M2660*GOOGLEFINANCE(""CURRENCY:""&amp;Q2660&amp;""""&amp;Dashboard!$"&amp;"L$1&amp;""""))),M2660))"),"")</f>
        <v/>
      </c>
      <c r="T2660" s="264" t="str">
        <f t="shared" si="4"/>
        <v/>
      </c>
      <c r="U2660" s="264" t="str">
        <f t="shared" si="5"/>
        <v/>
      </c>
      <c r="V2660" s="264" t="str">
        <f t="shared" si="6"/>
        <v/>
      </c>
      <c r="W2660" s="267" t="str">
        <f t="shared" si="8"/>
        <v/>
      </c>
      <c r="X2660" s="264" t="str">
        <f t="shared" si="7"/>
        <v/>
      </c>
    </row>
    <row r="2661" ht="15.75" customHeight="1">
      <c r="A2661" s="258"/>
      <c r="B2661" s="258"/>
      <c r="C2661" s="269"/>
      <c r="D2661" s="258"/>
      <c r="E2661" s="258"/>
      <c r="F2661" s="258"/>
      <c r="G2661" s="258"/>
      <c r="H2661" s="271"/>
      <c r="I2661" s="258"/>
      <c r="J2661" s="272"/>
      <c r="K2661" s="260"/>
      <c r="L2661" s="261"/>
      <c r="M2661" s="262" t="str">
        <f t="shared" si="1"/>
        <v/>
      </c>
      <c r="N2661" s="263" t="str">
        <f t="shared" si="2"/>
        <v/>
      </c>
      <c r="O2661" s="264" t="str">
        <f t="shared" si="3"/>
        <v/>
      </c>
      <c r="P2661" s="265" t="str">
        <f>IFERROR(__xludf.DUMMYFUNCTION("IF(ISBLANK(A2661),"""",IFERROR(IF(H2661=""Sell"",VLOOKUP(9^99,FILTER({ROW(P$2:P2660),P$2:P2660},D$2:D2660=D2661),2),(VLOOKUP(9^99,FILTER({ROW(P$2:P2660),P$2:P2660},D$2:D2660=D2661),2)*VLOOKUP(9^99,FILTER({ROW(O$2:O2660),O$2:O2660},D$2:D2660=D2661),2)-N266"&amp;"1)/O2661),J2661))"),"")</f>
        <v/>
      </c>
      <c r="Q2661" s="264" t="str">
        <f>IFERROR(__xludf.DUMMYFUNCTION("IFERROR(IF(F2661=""Crypto"",B2661,(IF(ISBLANK(D2661),"""",IF(D2661=""Cash"",B2661,IF(GOOGLEFINANCE(D2661,""CURRENCY"")=""GBX"",""GBP"",GOOGLEFINANCE(D2661,""CURRENCY"")))))),B2661)"),"")</f>
        <v/>
      </c>
      <c r="R2661" s="263" t="str">
        <f>IFERROR(__xludf.DUMMYFUNCTION("IF(ISBLANK(A2661),"""",IFERROR(IF(OR(Q2661=""GPB"",Q2661=""ZAR""),IF(Q2661=Dashboard!$L$1,K2661,(K2661*GOOGLEFINANCE(""CURRENCY:""&amp;Q2661&amp;""""&amp;Dashboard!$L$1&amp;""""))/100),IF(Q2661=Dashboard!$L$1,K2661,K2661*GOOGLEFINANCE(""CURRENCY:""&amp;Q2661&amp;""""&amp;Dashboard!$"&amp;"L$1&amp;""""))),K2661))"),"")</f>
        <v/>
      </c>
      <c r="S2661" s="266" t="str">
        <f>IFERROR(__xludf.DUMMYFUNCTION("IF(ISBLANK(A2661),"""",IFERROR(IF(OR(Q2661=""GPB"",Q2661=""ZAR""),IF(Q2661=Dashboard!$L$1,M2661,(M2661*GOOGLEFINANCE(""CURRENCY:""&amp;Q2661&amp;""""&amp;Dashboard!$L$1&amp;""""))/100),IF(Q2661=Dashboard!$L$1,M2661,M2661*GOOGLEFINANCE(""CURRENCY:""&amp;Q2661&amp;""""&amp;Dashboard!$"&amp;"L$1&amp;""""))),M2661))"),"")</f>
        <v/>
      </c>
      <c r="T2661" s="264" t="str">
        <f t="shared" si="4"/>
        <v/>
      </c>
      <c r="U2661" s="264" t="str">
        <f t="shared" si="5"/>
        <v/>
      </c>
      <c r="V2661" s="264" t="str">
        <f t="shared" si="6"/>
        <v/>
      </c>
      <c r="W2661" s="267" t="str">
        <f t="shared" si="8"/>
        <v/>
      </c>
      <c r="X2661" s="264" t="str">
        <f t="shared" si="7"/>
        <v/>
      </c>
    </row>
    <row r="2662" ht="15.75" customHeight="1">
      <c r="A2662" s="258"/>
      <c r="B2662" s="258"/>
      <c r="C2662" s="269"/>
      <c r="D2662" s="258"/>
      <c r="E2662" s="258"/>
      <c r="F2662" s="258"/>
      <c r="G2662" s="258"/>
      <c r="H2662" s="271"/>
      <c r="I2662" s="258"/>
      <c r="J2662" s="272"/>
      <c r="K2662" s="260"/>
      <c r="L2662" s="261"/>
      <c r="M2662" s="262" t="str">
        <f t="shared" si="1"/>
        <v/>
      </c>
      <c r="N2662" s="263" t="str">
        <f t="shared" si="2"/>
        <v/>
      </c>
      <c r="O2662" s="264" t="str">
        <f t="shared" si="3"/>
        <v/>
      </c>
      <c r="P2662" s="265" t="str">
        <f>IFERROR(__xludf.DUMMYFUNCTION("IF(ISBLANK(A2662),"""",IFERROR(IF(H2662=""Sell"",VLOOKUP(9^99,FILTER({ROW(P$2:P2661),P$2:P2661},D$2:D2661=D2662),2),(VLOOKUP(9^99,FILTER({ROW(P$2:P2661),P$2:P2661},D$2:D2661=D2662),2)*VLOOKUP(9^99,FILTER({ROW(O$2:O2661),O$2:O2661},D$2:D2661=D2662),2)-N266"&amp;"2)/O2662),J2662))"),"")</f>
        <v/>
      </c>
      <c r="Q2662" s="264" t="str">
        <f>IFERROR(__xludf.DUMMYFUNCTION("IFERROR(IF(F2662=""Crypto"",B2662,(IF(ISBLANK(D2662),"""",IF(D2662=""Cash"",B2662,IF(GOOGLEFINANCE(D2662,""CURRENCY"")=""GBX"",""GBP"",GOOGLEFINANCE(D2662,""CURRENCY"")))))),B2662)"),"")</f>
        <v/>
      </c>
      <c r="R2662" s="263" t="str">
        <f>IFERROR(__xludf.DUMMYFUNCTION("IF(ISBLANK(A2662),"""",IFERROR(IF(OR(Q2662=""GPB"",Q2662=""ZAR""),IF(Q2662=Dashboard!$L$1,K2662,(K2662*GOOGLEFINANCE(""CURRENCY:""&amp;Q2662&amp;""""&amp;Dashboard!$L$1&amp;""""))/100),IF(Q2662=Dashboard!$L$1,K2662,K2662*GOOGLEFINANCE(""CURRENCY:""&amp;Q2662&amp;""""&amp;Dashboard!$"&amp;"L$1&amp;""""))),K2662))"),"")</f>
        <v/>
      </c>
      <c r="S2662" s="266" t="str">
        <f>IFERROR(__xludf.DUMMYFUNCTION("IF(ISBLANK(A2662),"""",IFERROR(IF(OR(Q2662=""GPB"",Q2662=""ZAR""),IF(Q2662=Dashboard!$L$1,M2662,(M2662*GOOGLEFINANCE(""CURRENCY:""&amp;Q2662&amp;""""&amp;Dashboard!$L$1&amp;""""))/100),IF(Q2662=Dashboard!$L$1,M2662,M2662*GOOGLEFINANCE(""CURRENCY:""&amp;Q2662&amp;""""&amp;Dashboard!$"&amp;"L$1&amp;""""))),M2662))"),"")</f>
        <v/>
      </c>
      <c r="T2662" s="264" t="str">
        <f t="shared" si="4"/>
        <v/>
      </c>
      <c r="U2662" s="264" t="str">
        <f t="shared" si="5"/>
        <v/>
      </c>
      <c r="V2662" s="264" t="str">
        <f t="shared" si="6"/>
        <v/>
      </c>
      <c r="W2662" s="267" t="str">
        <f t="shared" si="8"/>
        <v/>
      </c>
      <c r="X2662" s="264" t="str">
        <f t="shared" si="7"/>
        <v/>
      </c>
    </row>
    <row r="2663" ht="15.75" customHeight="1">
      <c r="A2663" s="258"/>
      <c r="B2663" s="258"/>
      <c r="C2663" s="269"/>
      <c r="D2663" s="258"/>
      <c r="E2663" s="258"/>
      <c r="F2663" s="258"/>
      <c r="G2663" s="258"/>
      <c r="H2663" s="271"/>
      <c r="I2663" s="258"/>
      <c r="J2663" s="272"/>
      <c r="K2663" s="260"/>
      <c r="L2663" s="261"/>
      <c r="M2663" s="262" t="str">
        <f t="shared" si="1"/>
        <v/>
      </c>
      <c r="N2663" s="263" t="str">
        <f t="shared" si="2"/>
        <v/>
      </c>
      <c r="O2663" s="264" t="str">
        <f t="shared" si="3"/>
        <v/>
      </c>
      <c r="P2663" s="265" t="str">
        <f>IFERROR(__xludf.DUMMYFUNCTION("IF(ISBLANK(A2663),"""",IFERROR(IF(H2663=""Sell"",VLOOKUP(9^99,FILTER({ROW(P$2:P2662),P$2:P2662},D$2:D2662=D2663),2),(VLOOKUP(9^99,FILTER({ROW(P$2:P2662),P$2:P2662},D$2:D2662=D2663),2)*VLOOKUP(9^99,FILTER({ROW(O$2:O2662),O$2:O2662},D$2:D2662=D2663),2)-N266"&amp;"3)/O2663),J2663))"),"")</f>
        <v/>
      </c>
      <c r="Q2663" s="264" t="str">
        <f>IFERROR(__xludf.DUMMYFUNCTION("IFERROR(IF(F2663=""Crypto"",B2663,(IF(ISBLANK(D2663),"""",IF(D2663=""Cash"",B2663,IF(GOOGLEFINANCE(D2663,""CURRENCY"")=""GBX"",""GBP"",GOOGLEFINANCE(D2663,""CURRENCY"")))))),B2663)"),"")</f>
        <v/>
      </c>
      <c r="R2663" s="263" t="str">
        <f>IFERROR(__xludf.DUMMYFUNCTION("IF(ISBLANK(A2663),"""",IFERROR(IF(OR(Q2663=""GPB"",Q2663=""ZAR""),IF(Q2663=Dashboard!$L$1,K2663,(K2663*GOOGLEFINANCE(""CURRENCY:""&amp;Q2663&amp;""""&amp;Dashboard!$L$1&amp;""""))/100),IF(Q2663=Dashboard!$L$1,K2663,K2663*GOOGLEFINANCE(""CURRENCY:""&amp;Q2663&amp;""""&amp;Dashboard!$"&amp;"L$1&amp;""""))),K2663))"),"")</f>
        <v/>
      </c>
      <c r="S2663" s="266" t="str">
        <f>IFERROR(__xludf.DUMMYFUNCTION("IF(ISBLANK(A2663),"""",IFERROR(IF(OR(Q2663=""GPB"",Q2663=""ZAR""),IF(Q2663=Dashboard!$L$1,M2663,(M2663*GOOGLEFINANCE(""CURRENCY:""&amp;Q2663&amp;""""&amp;Dashboard!$L$1&amp;""""))/100),IF(Q2663=Dashboard!$L$1,M2663,M2663*GOOGLEFINANCE(""CURRENCY:""&amp;Q2663&amp;""""&amp;Dashboard!$"&amp;"L$1&amp;""""))),M2663))"),"")</f>
        <v/>
      </c>
      <c r="T2663" s="264" t="str">
        <f t="shared" si="4"/>
        <v/>
      </c>
      <c r="U2663" s="264" t="str">
        <f t="shared" si="5"/>
        <v/>
      </c>
      <c r="V2663" s="264" t="str">
        <f t="shared" si="6"/>
        <v/>
      </c>
      <c r="W2663" s="267" t="str">
        <f t="shared" si="8"/>
        <v/>
      </c>
      <c r="X2663" s="264" t="str">
        <f t="shared" si="7"/>
        <v/>
      </c>
    </row>
    <row r="2664" ht="15.75" customHeight="1">
      <c r="A2664" s="258"/>
      <c r="B2664" s="258"/>
      <c r="C2664" s="269"/>
      <c r="D2664" s="258"/>
      <c r="E2664" s="258"/>
      <c r="F2664" s="258"/>
      <c r="G2664" s="258"/>
      <c r="H2664" s="271"/>
      <c r="I2664" s="258"/>
      <c r="J2664" s="272"/>
      <c r="K2664" s="260"/>
      <c r="L2664" s="261"/>
      <c r="M2664" s="262" t="str">
        <f t="shared" si="1"/>
        <v/>
      </c>
      <c r="N2664" s="263" t="str">
        <f t="shared" si="2"/>
        <v/>
      </c>
      <c r="O2664" s="264" t="str">
        <f t="shared" si="3"/>
        <v/>
      </c>
      <c r="P2664" s="265" t="str">
        <f>IFERROR(__xludf.DUMMYFUNCTION("IF(ISBLANK(A2664),"""",IFERROR(IF(H2664=""Sell"",VLOOKUP(9^99,FILTER({ROW(P$2:P2663),P$2:P2663},D$2:D2663=D2664),2),(VLOOKUP(9^99,FILTER({ROW(P$2:P2663),P$2:P2663},D$2:D2663=D2664),2)*VLOOKUP(9^99,FILTER({ROW(O$2:O2663),O$2:O2663},D$2:D2663=D2664),2)-N266"&amp;"4)/O2664),J2664))"),"")</f>
        <v/>
      </c>
      <c r="Q2664" s="264" t="str">
        <f>IFERROR(__xludf.DUMMYFUNCTION("IFERROR(IF(F2664=""Crypto"",B2664,(IF(ISBLANK(D2664),"""",IF(D2664=""Cash"",B2664,IF(GOOGLEFINANCE(D2664,""CURRENCY"")=""GBX"",""GBP"",GOOGLEFINANCE(D2664,""CURRENCY"")))))),B2664)"),"")</f>
        <v/>
      </c>
      <c r="R2664" s="263" t="str">
        <f>IFERROR(__xludf.DUMMYFUNCTION("IF(ISBLANK(A2664),"""",IFERROR(IF(OR(Q2664=""GPB"",Q2664=""ZAR""),IF(Q2664=Dashboard!$L$1,K2664,(K2664*GOOGLEFINANCE(""CURRENCY:""&amp;Q2664&amp;""""&amp;Dashboard!$L$1&amp;""""))/100),IF(Q2664=Dashboard!$L$1,K2664,K2664*GOOGLEFINANCE(""CURRENCY:""&amp;Q2664&amp;""""&amp;Dashboard!$"&amp;"L$1&amp;""""))),K2664))"),"")</f>
        <v/>
      </c>
      <c r="S2664" s="266" t="str">
        <f>IFERROR(__xludf.DUMMYFUNCTION("IF(ISBLANK(A2664),"""",IFERROR(IF(OR(Q2664=""GPB"",Q2664=""ZAR""),IF(Q2664=Dashboard!$L$1,M2664,(M2664*GOOGLEFINANCE(""CURRENCY:""&amp;Q2664&amp;""""&amp;Dashboard!$L$1&amp;""""))/100),IF(Q2664=Dashboard!$L$1,M2664,M2664*GOOGLEFINANCE(""CURRENCY:""&amp;Q2664&amp;""""&amp;Dashboard!$"&amp;"L$1&amp;""""))),M2664))"),"")</f>
        <v/>
      </c>
      <c r="T2664" s="264" t="str">
        <f t="shared" si="4"/>
        <v/>
      </c>
      <c r="U2664" s="264" t="str">
        <f t="shared" si="5"/>
        <v/>
      </c>
      <c r="V2664" s="264" t="str">
        <f t="shared" si="6"/>
        <v/>
      </c>
      <c r="W2664" s="267" t="str">
        <f t="shared" si="8"/>
        <v/>
      </c>
      <c r="X2664" s="264" t="str">
        <f t="shared" si="7"/>
        <v/>
      </c>
    </row>
    <row r="2665" ht="15.75" customHeight="1">
      <c r="A2665" s="258"/>
      <c r="B2665" s="258"/>
      <c r="C2665" s="269"/>
      <c r="D2665" s="258"/>
      <c r="E2665" s="258"/>
      <c r="F2665" s="258"/>
      <c r="G2665" s="258"/>
      <c r="H2665" s="271"/>
      <c r="I2665" s="258"/>
      <c r="J2665" s="272"/>
      <c r="K2665" s="260"/>
      <c r="L2665" s="261"/>
      <c r="M2665" s="262" t="str">
        <f t="shared" si="1"/>
        <v/>
      </c>
      <c r="N2665" s="263" t="str">
        <f t="shared" si="2"/>
        <v/>
      </c>
      <c r="O2665" s="264" t="str">
        <f t="shared" si="3"/>
        <v/>
      </c>
      <c r="P2665" s="265" t="str">
        <f>IFERROR(__xludf.DUMMYFUNCTION("IF(ISBLANK(A2665),"""",IFERROR(IF(H2665=""Sell"",VLOOKUP(9^99,FILTER({ROW(P$2:P2664),P$2:P2664},D$2:D2664=D2665),2),(VLOOKUP(9^99,FILTER({ROW(P$2:P2664),P$2:P2664},D$2:D2664=D2665),2)*VLOOKUP(9^99,FILTER({ROW(O$2:O2664),O$2:O2664},D$2:D2664=D2665),2)-N266"&amp;"5)/O2665),J2665))"),"")</f>
        <v/>
      </c>
      <c r="Q2665" s="264" t="str">
        <f>IFERROR(__xludf.DUMMYFUNCTION("IFERROR(IF(F2665=""Crypto"",B2665,(IF(ISBLANK(D2665),"""",IF(D2665=""Cash"",B2665,IF(GOOGLEFINANCE(D2665,""CURRENCY"")=""GBX"",""GBP"",GOOGLEFINANCE(D2665,""CURRENCY"")))))),B2665)"),"")</f>
        <v/>
      </c>
      <c r="R2665" s="263" t="str">
        <f>IFERROR(__xludf.DUMMYFUNCTION("IF(ISBLANK(A2665),"""",IFERROR(IF(OR(Q2665=""GPB"",Q2665=""ZAR""),IF(Q2665=Dashboard!$L$1,K2665,(K2665*GOOGLEFINANCE(""CURRENCY:""&amp;Q2665&amp;""""&amp;Dashboard!$L$1&amp;""""))/100),IF(Q2665=Dashboard!$L$1,K2665,K2665*GOOGLEFINANCE(""CURRENCY:""&amp;Q2665&amp;""""&amp;Dashboard!$"&amp;"L$1&amp;""""))),K2665))"),"")</f>
        <v/>
      </c>
      <c r="S2665" s="266" t="str">
        <f>IFERROR(__xludf.DUMMYFUNCTION("IF(ISBLANK(A2665),"""",IFERROR(IF(OR(Q2665=""GPB"",Q2665=""ZAR""),IF(Q2665=Dashboard!$L$1,M2665,(M2665*GOOGLEFINANCE(""CURRENCY:""&amp;Q2665&amp;""""&amp;Dashboard!$L$1&amp;""""))/100),IF(Q2665=Dashboard!$L$1,M2665,M2665*GOOGLEFINANCE(""CURRENCY:""&amp;Q2665&amp;""""&amp;Dashboard!$"&amp;"L$1&amp;""""))),M2665))"),"")</f>
        <v/>
      </c>
      <c r="T2665" s="264" t="str">
        <f t="shared" si="4"/>
        <v/>
      </c>
      <c r="U2665" s="264" t="str">
        <f t="shared" si="5"/>
        <v/>
      </c>
      <c r="V2665" s="264" t="str">
        <f t="shared" si="6"/>
        <v/>
      </c>
      <c r="W2665" s="267" t="str">
        <f t="shared" si="8"/>
        <v/>
      </c>
      <c r="X2665" s="264" t="str">
        <f t="shared" si="7"/>
        <v/>
      </c>
    </row>
    <row r="2666" ht="15.75" customHeight="1">
      <c r="A2666" s="258"/>
      <c r="B2666" s="258"/>
      <c r="C2666" s="269"/>
      <c r="D2666" s="258"/>
      <c r="E2666" s="258"/>
      <c r="F2666" s="258"/>
      <c r="G2666" s="258"/>
      <c r="H2666" s="271"/>
      <c r="I2666" s="258"/>
      <c r="J2666" s="272"/>
      <c r="K2666" s="260"/>
      <c r="L2666" s="261"/>
      <c r="M2666" s="262" t="str">
        <f t="shared" si="1"/>
        <v/>
      </c>
      <c r="N2666" s="263" t="str">
        <f t="shared" si="2"/>
        <v/>
      </c>
      <c r="O2666" s="264" t="str">
        <f t="shared" si="3"/>
        <v/>
      </c>
      <c r="P2666" s="265" t="str">
        <f>IFERROR(__xludf.DUMMYFUNCTION("IF(ISBLANK(A2666),"""",IFERROR(IF(H2666=""Sell"",VLOOKUP(9^99,FILTER({ROW(P$2:P2665),P$2:P2665},D$2:D2665=D2666),2),(VLOOKUP(9^99,FILTER({ROW(P$2:P2665),P$2:P2665},D$2:D2665=D2666),2)*VLOOKUP(9^99,FILTER({ROW(O$2:O2665),O$2:O2665},D$2:D2665=D2666),2)-N266"&amp;"6)/O2666),J2666))"),"")</f>
        <v/>
      </c>
      <c r="Q2666" s="264" t="str">
        <f>IFERROR(__xludf.DUMMYFUNCTION("IFERROR(IF(F2666=""Crypto"",B2666,(IF(ISBLANK(D2666),"""",IF(D2666=""Cash"",B2666,IF(GOOGLEFINANCE(D2666,""CURRENCY"")=""GBX"",""GBP"",GOOGLEFINANCE(D2666,""CURRENCY"")))))),B2666)"),"")</f>
        <v/>
      </c>
      <c r="R2666" s="263" t="str">
        <f>IFERROR(__xludf.DUMMYFUNCTION("IF(ISBLANK(A2666),"""",IFERROR(IF(OR(Q2666=""GPB"",Q2666=""ZAR""),IF(Q2666=Dashboard!$L$1,K2666,(K2666*GOOGLEFINANCE(""CURRENCY:""&amp;Q2666&amp;""""&amp;Dashboard!$L$1&amp;""""))/100),IF(Q2666=Dashboard!$L$1,K2666,K2666*GOOGLEFINANCE(""CURRENCY:""&amp;Q2666&amp;""""&amp;Dashboard!$"&amp;"L$1&amp;""""))),K2666))"),"")</f>
        <v/>
      </c>
      <c r="S2666" s="266" t="str">
        <f>IFERROR(__xludf.DUMMYFUNCTION("IF(ISBLANK(A2666),"""",IFERROR(IF(OR(Q2666=""GPB"",Q2666=""ZAR""),IF(Q2666=Dashboard!$L$1,M2666,(M2666*GOOGLEFINANCE(""CURRENCY:""&amp;Q2666&amp;""""&amp;Dashboard!$L$1&amp;""""))/100),IF(Q2666=Dashboard!$L$1,M2666,M2666*GOOGLEFINANCE(""CURRENCY:""&amp;Q2666&amp;""""&amp;Dashboard!$"&amp;"L$1&amp;""""))),M2666))"),"")</f>
        <v/>
      </c>
      <c r="T2666" s="264" t="str">
        <f t="shared" si="4"/>
        <v/>
      </c>
      <c r="U2666" s="264" t="str">
        <f t="shared" si="5"/>
        <v/>
      </c>
      <c r="V2666" s="264" t="str">
        <f t="shared" si="6"/>
        <v/>
      </c>
      <c r="W2666" s="267" t="str">
        <f t="shared" si="8"/>
        <v/>
      </c>
      <c r="X2666" s="264" t="str">
        <f t="shared" si="7"/>
        <v/>
      </c>
    </row>
    <row r="2667" ht="15.75" customHeight="1">
      <c r="A2667" s="258"/>
      <c r="B2667" s="258"/>
      <c r="C2667" s="269"/>
      <c r="D2667" s="258"/>
      <c r="E2667" s="258"/>
      <c r="F2667" s="258"/>
      <c r="G2667" s="258"/>
      <c r="H2667" s="271"/>
      <c r="I2667" s="258"/>
      <c r="J2667" s="272"/>
      <c r="K2667" s="260"/>
      <c r="L2667" s="261"/>
      <c r="M2667" s="262" t="str">
        <f t="shared" si="1"/>
        <v/>
      </c>
      <c r="N2667" s="263" t="str">
        <f t="shared" si="2"/>
        <v/>
      </c>
      <c r="O2667" s="264" t="str">
        <f t="shared" si="3"/>
        <v/>
      </c>
      <c r="P2667" s="265" t="str">
        <f>IFERROR(__xludf.DUMMYFUNCTION("IF(ISBLANK(A2667),"""",IFERROR(IF(H2667=""Sell"",VLOOKUP(9^99,FILTER({ROW(P$2:P2666),P$2:P2666},D$2:D2666=D2667),2),(VLOOKUP(9^99,FILTER({ROW(P$2:P2666),P$2:P2666},D$2:D2666=D2667),2)*VLOOKUP(9^99,FILTER({ROW(O$2:O2666),O$2:O2666},D$2:D2666=D2667),2)-N266"&amp;"7)/O2667),J2667))"),"")</f>
        <v/>
      </c>
      <c r="Q2667" s="264" t="str">
        <f>IFERROR(__xludf.DUMMYFUNCTION("IFERROR(IF(F2667=""Crypto"",B2667,(IF(ISBLANK(D2667),"""",IF(D2667=""Cash"",B2667,IF(GOOGLEFINANCE(D2667,""CURRENCY"")=""GBX"",""GBP"",GOOGLEFINANCE(D2667,""CURRENCY"")))))),B2667)"),"")</f>
        <v/>
      </c>
      <c r="R2667" s="263" t="str">
        <f>IFERROR(__xludf.DUMMYFUNCTION("IF(ISBLANK(A2667),"""",IFERROR(IF(OR(Q2667=""GPB"",Q2667=""ZAR""),IF(Q2667=Dashboard!$L$1,K2667,(K2667*GOOGLEFINANCE(""CURRENCY:""&amp;Q2667&amp;""""&amp;Dashboard!$L$1&amp;""""))/100),IF(Q2667=Dashboard!$L$1,K2667,K2667*GOOGLEFINANCE(""CURRENCY:""&amp;Q2667&amp;""""&amp;Dashboard!$"&amp;"L$1&amp;""""))),K2667))"),"")</f>
        <v/>
      </c>
      <c r="S2667" s="266" t="str">
        <f>IFERROR(__xludf.DUMMYFUNCTION("IF(ISBLANK(A2667),"""",IFERROR(IF(OR(Q2667=""GPB"",Q2667=""ZAR""),IF(Q2667=Dashboard!$L$1,M2667,(M2667*GOOGLEFINANCE(""CURRENCY:""&amp;Q2667&amp;""""&amp;Dashboard!$L$1&amp;""""))/100),IF(Q2667=Dashboard!$L$1,M2667,M2667*GOOGLEFINANCE(""CURRENCY:""&amp;Q2667&amp;""""&amp;Dashboard!$"&amp;"L$1&amp;""""))),M2667))"),"")</f>
        <v/>
      </c>
      <c r="T2667" s="264" t="str">
        <f t="shared" si="4"/>
        <v/>
      </c>
      <c r="U2667" s="264" t="str">
        <f t="shared" si="5"/>
        <v/>
      </c>
      <c r="V2667" s="264" t="str">
        <f t="shared" si="6"/>
        <v/>
      </c>
      <c r="W2667" s="267" t="str">
        <f t="shared" si="8"/>
        <v/>
      </c>
      <c r="X2667" s="264" t="str">
        <f t="shared" si="7"/>
        <v/>
      </c>
    </row>
    <row r="2668" ht="15.75" customHeight="1">
      <c r="A2668" s="258"/>
      <c r="B2668" s="258"/>
      <c r="C2668" s="269"/>
      <c r="D2668" s="258"/>
      <c r="E2668" s="258"/>
      <c r="F2668" s="258"/>
      <c r="G2668" s="258"/>
      <c r="H2668" s="271"/>
      <c r="I2668" s="258"/>
      <c r="J2668" s="272"/>
      <c r="K2668" s="260"/>
      <c r="L2668" s="261"/>
      <c r="M2668" s="262" t="str">
        <f t="shared" si="1"/>
        <v/>
      </c>
      <c r="N2668" s="263" t="str">
        <f t="shared" si="2"/>
        <v/>
      </c>
      <c r="O2668" s="264" t="str">
        <f t="shared" si="3"/>
        <v/>
      </c>
      <c r="P2668" s="265" t="str">
        <f>IFERROR(__xludf.DUMMYFUNCTION("IF(ISBLANK(A2668),"""",IFERROR(IF(H2668=""Sell"",VLOOKUP(9^99,FILTER({ROW(P$2:P2667),P$2:P2667},D$2:D2667=D2668),2),(VLOOKUP(9^99,FILTER({ROW(P$2:P2667),P$2:P2667},D$2:D2667=D2668),2)*VLOOKUP(9^99,FILTER({ROW(O$2:O2667),O$2:O2667},D$2:D2667=D2668),2)-N266"&amp;"8)/O2668),J2668))"),"")</f>
        <v/>
      </c>
      <c r="Q2668" s="264" t="str">
        <f>IFERROR(__xludf.DUMMYFUNCTION("IFERROR(IF(F2668=""Crypto"",B2668,(IF(ISBLANK(D2668),"""",IF(D2668=""Cash"",B2668,IF(GOOGLEFINANCE(D2668,""CURRENCY"")=""GBX"",""GBP"",GOOGLEFINANCE(D2668,""CURRENCY"")))))),B2668)"),"")</f>
        <v/>
      </c>
      <c r="R2668" s="263" t="str">
        <f>IFERROR(__xludf.DUMMYFUNCTION("IF(ISBLANK(A2668),"""",IFERROR(IF(OR(Q2668=""GPB"",Q2668=""ZAR""),IF(Q2668=Dashboard!$L$1,K2668,(K2668*GOOGLEFINANCE(""CURRENCY:""&amp;Q2668&amp;""""&amp;Dashboard!$L$1&amp;""""))/100),IF(Q2668=Dashboard!$L$1,K2668,K2668*GOOGLEFINANCE(""CURRENCY:""&amp;Q2668&amp;""""&amp;Dashboard!$"&amp;"L$1&amp;""""))),K2668))"),"")</f>
        <v/>
      </c>
      <c r="S2668" s="266" t="str">
        <f>IFERROR(__xludf.DUMMYFUNCTION("IF(ISBLANK(A2668),"""",IFERROR(IF(OR(Q2668=""GPB"",Q2668=""ZAR""),IF(Q2668=Dashboard!$L$1,M2668,(M2668*GOOGLEFINANCE(""CURRENCY:""&amp;Q2668&amp;""""&amp;Dashboard!$L$1&amp;""""))/100),IF(Q2668=Dashboard!$L$1,M2668,M2668*GOOGLEFINANCE(""CURRENCY:""&amp;Q2668&amp;""""&amp;Dashboard!$"&amp;"L$1&amp;""""))),M2668))"),"")</f>
        <v/>
      </c>
      <c r="T2668" s="264" t="str">
        <f t="shared" si="4"/>
        <v/>
      </c>
      <c r="U2668" s="264" t="str">
        <f t="shared" si="5"/>
        <v/>
      </c>
      <c r="V2668" s="264" t="str">
        <f t="shared" si="6"/>
        <v/>
      </c>
      <c r="W2668" s="267" t="str">
        <f t="shared" si="8"/>
        <v/>
      </c>
      <c r="X2668" s="264" t="str">
        <f t="shared" si="7"/>
        <v/>
      </c>
    </row>
    <row r="2669" ht="15.75" customHeight="1">
      <c r="A2669" s="258"/>
      <c r="B2669" s="258"/>
      <c r="C2669" s="269"/>
      <c r="D2669" s="258"/>
      <c r="E2669" s="258"/>
      <c r="F2669" s="258"/>
      <c r="G2669" s="258"/>
      <c r="H2669" s="271"/>
      <c r="I2669" s="258"/>
      <c r="J2669" s="272"/>
      <c r="K2669" s="260"/>
      <c r="L2669" s="261"/>
      <c r="M2669" s="262" t="str">
        <f t="shared" si="1"/>
        <v/>
      </c>
      <c r="N2669" s="263" t="str">
        <f t="shared" si="2"/>
        <v/>
      </c>
      <c r="O2669" s="264" t="str">
        <f t="shared" si="3"/>
        <v/>
      </c>
      <c r="P2669" s="265" t="str">
        <f>IFERROR(__xludf.DUMMYFUNCTION("IF(ISBLANK(A2669),"""",IFERROR(IF(H2669=""Sell"",VLOOKUP(9^99,FILTER({ROW(P$2:P2668),P$2:P2668},D$2:D2668=D2669),2),(VLOOKUP(9^99,FILTER({ROW(P$2:P2668),P$2:P2668},D$2:D2668=D2669),2)*VLOOKUP(9^99,FILTER({ROW(O$2:O2668),O$2:O2668},D$2:D2668=D2669),2)-N266"&amp;"9)/O2669),J2669))"),"")</f>
        <v/>
      </c>
      <c r="Q2669" s="264" t="str">
        <f>IFERROR(__xludf.DUMMYFUNCTION("IFERROR(IF(F2669=""Crypto"",B2669,(IF(ISBLANK(D2669),"""",IF(D2669=""Cash"",B2669,IF(GOOGLEFINANCE(D2669,""CURRENCY"")=""GBX"",""GBP"",GOOGLEFINANCE(D2669,""CURRENCY"")))))),B2669)"),"")</f>
        <v/>
      </c>
      <c r="R2669" s="263" t="str">
        <f>IFERROR(__xludf.DUMMYFUNCTION("IF(ISBLANK(A2669),"""",IFERROR(IF(OR(Q2669=""GPB"",Q2669=""ZAR""),IF(Q2669=Dashboard!$L$1,K2669,(K2669*GOOGLEFINANCE(""CURRENCY:""&amp;Q2669&amp;""""&amp;Dashboard!$L$1&amp;""""))/100),IF(Q2669=Dashboard!$L$1,K2669,K2669*GOOGLEFINANCE(""CURRENCY:""&amp;Q2669&amp;""""&amp;Dashboard!$"&amp;"L$1&amp;""""))),K2669))"),"")</f>
        <v/>
      </c>
      <c r="S2669" s="266" t="str">
        <f>IFERROR(__xludf.DUMMYFUNCTION("IF(ISBLANK(A2669),"""",IFERROR(IF(OR(Q2669=""GPB"",Q2669=""ZAR""),IF(Q2669=Dashboard!$L$1,M2669,(M2669*GOOGLEFINANCE(""CURRENCY:""&amp;Q2669&amp;""""&amp;Dashboard!$L$1&amp;""""))/100),IF(Q2669=Dashboard!$L$1,M2669,M2669*GOOGLEFINANCE(""CURRENCY:""&amp;Q2669&amp;""""&amp;Dashboard!$"&amp;"L$1&amp;""""))),M2669))"),"")</f>
        <v/>
      </c>
      <c r="T2669" s="264" t="str">
        <f t="shared" si="4"/>
        <v/>
      </c>
      <c r="U2669" s="264" t="str">
        <f t="shared" si="5"/>
        <v/>
      </c>
      <c r="V2669" s="264" t="str">
        <f t="shared" si="6"/>
        <v/>
      </c>
      <c r="W2669" s="267" t="str">
        <f t="shared" si="8"/>
        <v/>
      </c>
      <c r="X2669" s="264" t="str">
        <f t="shared" si="7"/>
        <v/>
      </c>
    </row>
    <row r="2670" ht="15.75" customHeight="1">
      <c r="A2670" s="258"/>
      <c r="B2670" s="258"/>
      <c r="C2670" s="269"/>
      <c r="D2670" s="258"/>
      <c r="E2670" s="258"/>
      <c r="F2670" s="258"/>
      <c r="G2670" s="258"/>
      <c r="H2670" s="271"/>
      <c r="I2670" s="258"/>
      <c r="J2670" s="272"/>
      <c r="K2670" s="260"/>
      <c r="L2670" s="261"/>
      <c r="M2670" s="262" t="str">
        <f t="shared" si="1"/>
        <v/>
      </c>
      <c r="N2670" s="263" t="str">
        <f t="shared" si="2"/>
        <v/>
      </c>
      <c r="O2670" s="264" t="str">
        <f t="shared" si="3"/>
        <v/>
      </c>
      <c r="P2670" s="265" t="str">
        <f>IFERROR(__xludf.DUMMYFUNCTION("IF(ISBLANK(A2670),"""",IFERROR(IF(H2670=""Sell"",VLOOKUP(9^99,FILTER({ROW(P$2:P2669),P$2:P2669},D$2:D2669=D2670),2),(VLOOKUP(9^99,FILTER({ROW(P$2:P2669),P$2:P2669},D$2:D2669=D2670),2)*VLOOKUP(9^99,FILTER({ROW(O$2:O2669),O$2:O2669},D$2:D2669=D2670),2)-N267"&amp;"0)/O2670),J2670))"),"")</f>
        <v/>
      </c>
      <c r="Q2670" s="264" t="str">
        <f>IFERROR(__xludf.DUMMYFUNCTION("IFERROR(IF(F2670=""Crypto"",B2670,(IF(ISBLANK(D2670),"""",IF(D2670=""Cash"",B2670,IF(GOOGLEFINANCE(D2670,""CURRENCY"")=""GBX"",""GBP"",GOOGLEFINANCE(D2670,""CURRENCY"")))))),B2670)"),"")</f>
        <v/>
      </c>
      <c r="R2670" s="263" t="str">
        <f>IFERROR(__xludf.DUMMYFUNCTION("IF(ISBLANK(A2670),"""",IFERROR(IF(OR(Q2670=""GPB"",Q2670=""ZAR""),IF(Q2670=Dashboard!$L$1,K2670,(K2670*GOOGLEFINANCE(""CURRENCY:""&amp;Q2670&amp;""""&amp;Dashboard!$L$1&amp;""""))/100),IF(Q2670=Dashboard!$L$1,K2670,K2670*GOOGLEFINANCE(""CURRENCY:""&amp;Q2670&amp;""""&amp;Dashboard!$"&amp;"L$1&amp;""""))),K2670))"),"")</f>
        <v/>
      </c>
      <c r="S2670" s="266" t="str">
        <f>IFERROR(__xludf.DUMMYFUNCTION("IF(ISBLANK(A2670),"""",IFERROR(IF(OR(Q2670=""GPB"",Q2670=""ZAR""),IF(Q2670=Dashboard!$L$1,M2670,(M2670*GOOGLEFINANCE(""CURRENCY:""&amp;Q2670&amp;""""&amp;Dashboard!$L$1&amp;""""))/100),IF(Q2670=Dashboard!$L$1,M2670,M2670*GOOGLEFINANCE(""CURRENCY:""&amp;Q2670&amp;""""&amp;Dashboard!$"&amp;"L$1&amp;""""))),M2670))"),"")</f>
        <v/>
      </c>
      <c r="T2670" s="264" t="str">
        <f t="shared" si="4"/>
        <v/>
      </c>
      <c r="U2670" s="264" t="str">
        <f t="shared" si="5"/>
        <v/>
      </c>
      <c r="V2670" s="264" t="str">
        <f t="shared" si="6"/>
        <v/>
      </c>
      <c r="W2670" s="267" t="str">
        <f t="shared" si="8"/>
        <v/>
      </c>
      <c r="X2670" s="264" t="str">
        <f t="shared" si="7"/>
        <v/>
      </c>
    </row>
    <row r="2671" ht="15.75" customHeight="1">
      <c r="A2671" s="258"/>
      <c r="B2671" s="258"/>
      <c r="C2671" s="269"/>
      <c r="D2671" s="258"/>
      <c r="E2671" s="258"/>
      <c r="F2671" s="258"/>
      <c r="G2671" s="258"/>
      <c r="H2671" s="271"/>
      <c r="I2671" s="258"/>
      <c r="J2671" s="272"/>
      <c r="K2671" s="260"/>
      <c r="L2671" s="261"/>
      <c r="M2671" s="262" t="str">
        <f t="shared" si="1"/>
        <v/>
      </c>
      <c r="N2671" s="263" t="str">
        <f t="shared" si="2"/>
        <v/>
      </c>
      <c r="O2671" s="264" t="str">
        <f t="shared" si="3"/>
        <v/>
      </c>
      <c r="P2671" s="265" t="str">
        <f>IFERROR(__xludf.DUMMYFUNCTION("IF(ISBLANK(A2671),"""",IFERROR(IF(H2671=""Sell"",VLOOKUP(9^99,FILTER({ROW(P$2:P2670),P$2:P2670},D$2:D2670=D2671),2),(VLOOKUP(9^99,FILTER({ROW(P$2:P2670),P$2:P2670},D$2:D2670=D2671),2)*VLOOKUP(9^99,FILTER({ROW(O$2:O2670),O$2:O2670},D$2:D2670=D2671),2)-N267"&amp;"1)/O2671),J2671))"),"")</f>
        <v/>
      </c>
      <c r="Q2671" s="264" t="str">
        <f>IFERROR(__xludf.DUMMYFUNCTION("IFERROR(IF(F2671=""Crypto"",B2671,(IF(ISBLANK(D2671),"""",IF(D2671=""Cash"",B2671,IF(GOOGLEFINANCE(D2671,""CURRENCY"")=""GBX"",""GBP"",GOOGLEFINANCE(D2671,""CURRENCY"")))))),B2671)"),"")</f>
        <v/>
      </c>
      <c r="R2671" s="263" t="str">
        <f>IFERROR(__xludf.DUMMYFUNCTION("IF(ISBLANK(A2671),"""",IFERROR(IF(OR(Q2671=""GPB"",Q2671=""ZAR""),IF(Q2671=Dashboard!$L$1,K2671,(K2671*GOOGLEFINANCE(""CURRENCY:""&amp;Q2671&amp;""""&amp;Dashboard!$L$1&amp;""""))/100),IF(Q2671=Dashboard!$L$1,K2671,K2671*GOOGLEFINANCE(""CURRENCY:""&amp;Q2671&amp;""""&amp;Dashboard!$"&amp;"L$1&amp;""""))),K2671))"),"")</f>
        <v/>
      </c>
      <c r="S2671" s="266" t="str">
        <f>IFERROR(__xludf.DUMMYFUNCTION("IF(ISBLANK(A2671),"""",IFERROR(IF(OR(Q2671=""GPB"",Q2671=""ZAR""),IF(Q2671=Dashboard!$L$1,M2671,(M2671*GOOGLEFINANCE(""CURRENCY:""&amp;Q2671&amp;""""&amp;Dashboard!$L$1&amp;""""))/100),IF(Q2671=Dashboard!$L$1,M2671,M2671*GOOGLEFINANCE(""CURRENCY:""&amp;Q2671&amp;""""&amp;Dashboard!$"&amp;"L$1&amp;""""))),M2671))"),"")</f>
        <v/>
      </c>
      <c r="T2671" s="264" t="str">
        <f t="shared" si="4"/>
        <v/>
      </c>
      <c r="U2671" s="264" t="str">
        <f t="shared" si="5"/>
        <v/>
      </c>
      <c r="V2671" s="264" t="str">
        <f t="shared" si="6"/>
        <v/>
      </c>
      <c r="W2671" s="267" t="str">
        <f t="shared" si="8"/>
        <v/>
      </c>
      <c r="X2671" s="264" t="str">
        <f t="shared" si="7"/>
        <v/>
      </c>
    </row>
    <row r="2672" ht="15.75" customHeight="1">
      <c r="A2672" s="258"/>
      <c r="B2672" s="258"/>
      <c r="C2672" s="269"/>
      <c r="D2672" s="258"/>
      <c r="E2672" s="258"/>
      <c r="F2672" s="258"/>
      <c r="G2672" s="258"/>
      <c r="H2672" s="271"/>
      <c r="I2672" s="258"/>
      <c r="J2672" s="272"/>
      <c r="K2672" s="260"/>
      <c r="L2672" s="261"/>
      <c r="M2672" s="262" t="str">
        <f t="shared" si="1"/>
        <v/>
      </c>
      <c r="N2672" s="263" t="str">
        <f t="shared" si="2"/>
        <v/>
      </c>
      <c r="O2672" s="264" t="str">
        <f t="shared" si="3"/>
        <v/>
      </c>
      <c r="P2672" s="265" t="str">
        <f>IFERROR(__xludf.DUMMYFUNCTION("IF(ISBLANK(A2672),"""",IFERROR(IF(H2672=""Sell"",VLOOKUP(9^99,FILTER({ROW(P$2:P2671),P$2:P2671},D$2:D2671=D2672),2),(VLOOKUP(9^99,FILTER({ROW(P$2:P2671),P$2:P2671},D$2:D2671=D2672),2)*VLOOKUP(9^99,FILTER({ROW(O$2:O2671),O$2:O2671},D$2:D2671=D2672),2)-N267"&amp;"2)/O2672),J2672))"),"")</f>
        <v/>
      </c>
      <c r="Q2672" s="264" t="str">
        <f>IFERROR(__xludf.DUMMYFUNCTION("IFERROR(IF(F2672=""Crypto"",B2672,(IF(ISBLANK(D2672),"""",IF(D2672=""Cash"",B2672,IF(GOOGLEFINANCE(D2672,""CURRENCY"")=""GBX"",""GBP"",GOOGLEFINANCE(D2672,""CURRENCY"")))))),B2672)"),"")</f>
        <v/>
      </c>
      <c r="R2672" s="263" t="str">
        <f>IFERROR(__xludf.DUMMYFUNCTION("IF(ISBLANK(A2672),"""",IFERROR(IF(OR(Q2672=""GPB"",Q2672=""ZAR""),IF(Q2672=Dashboard!$L$1,K2672,(K2672*GOOGLEFINANCE(""CURRENCY:""&amp;Q2672&amp;""""&amp;Dashboard!$L$1&amp;""""))/100),IF(Q2672=Dashboard!$L$1,K2672,K2672*GOOGLEFINANCE(""CURRENCY:""&amp;Q2672&amp;""""&amp;Dashboard!$"&amp;"L$1&amp;""""))),K2672))"),"")</f>
        <v/>
      </c>
      <c r="S2672" s="266" t="str">
        <f>IFERROR(__xludf.DUMMYFUNCTION("IF(ISBLANK(A2672),"""",IFERROR(IF(OR(Q2672=""GPB"",Q2672=""ZAR""),IF(Q2672=Dashboard!$L$1,M2672,(M2672*GOOGLEFINANCE(""CURRENCY:""&amp;Q2672&amp;""""&amp;Dashboard!$L$1&amp;""""))/100),IF(Q2672=Dashboard!$L$1,M2672,M2672*GOOGLEFINANCE(""CURRENCY:""&amp;Q2672&amp;""""&amp;Dashboard!$"&amp;"L$1&amp;""""))),M2672))"),"")</f>
        <v/>
      </c>
      <c r="T2672" s="264" t="str">
        <f t="shared" si="4"/>
        <v/>
      </c>
      <c r="U2672" s="264" t="str">
        <f t="shared" si="5"/>
        <v/>
      </c>
      <c r="V2672" s="264" t="str">
        <f t="shared" si="6"/>
        <v/>
      </c>
      <c r="W2672" s="267" t="str">
        <f t="shared" si="8"/>
        <v/>
      </c>
      <c r="X2672" s="264" t="str">
        <f t="shared" si="7"/>
        <v/>
      </c>
    </row>
    <row r="2673" ht="15.75" customHeight="1">
      <c r="A2673" s="258"/>
      <c r="B2673" s="258"/>
      <c r="C2673" s="269"/>
      <c r="D2673" s="258"/>
      <c r="E2673" s="258"/>
      <c r="F2673" s="258"/>
      <c r="G2673" s="258"/>
      <c r="H2673" s="271"/>
      <c r="I2673" s="258"/>
      <c r="J2673" s="272"/>
      <c r="K2673" s="260"/>
      <c r="L2673" s="261"/>
      <c r="M2673" s="262" t="str">
        <f t="shared" si="1"/>
        <v/>
      </c>
      <c r="N2673" s="263" t="str">
        <f t="shared" si="2"/>
        <v/>
      </c>
      <c r="O2673" s="264" t="str">
        <f t="shared" si="3"/>
        <v/>
      </c>
      <c r="P2673" s="265" t="str">
        <f>IFERROR(__xludf.DUMMYFUNCTION("IF(ISBLANK(A2673),"""",IFERROR(IF(H2673=""Sell"",VLOOKUP(9^99,FILTER({ROW(P$2:P2672),P$2:P2672},D$2:D2672=D2673),2),(VLOOKUP(9^99,FILTER({ROW(P$2:P2672),P$2:P2672},D$2:D2672=D2673),2)*VLOOKUP(9^99,FILTER({ROW(O$2:O2672),O$2:O2672},D$2:D2672=D2673),2)-N267"&amp;"3)/O2673),J2673))"),"")</f>
        <v/>
      </c>
      <c r="Q2673" s="264" t="str">
        <f>IFERROR(__xludf.DUMMYFUNCTION("IFERROR(IF(F2673=""Crypto"",B2673,(IF(ISBLANK(D2673),"""",IF(D2673=""Cash"",B2673,IF(GOOGLEFINANCE(D2673,""CURRENCY"")=""GBX"",""GBP"",GOOGLEFINANCE(D2673,""CURRENCY"")))))),B2673)"),"")</f>
        <v/>
      </c>
      <c r="R2673" s="263" t="str">
        <f>IFERROR(__xludf.DUMMYFUNCTION("IF(ISBLANK(A2673),"""",IFERROR(IF(OR(Q2673=""GPB"",Q2673=""ZAR""),IF(Q2673=Dashboard!$L$1,K2673,(K2673*GOOGLEFINANCE(""CURRENCY:""&amp;Q2673&amp;""""&amp;Dashboard!$L$1&amp;""""))/100),IF(Q2673=Dashboard!$L$1,K2673,K2673*GOOGLEFINANCE(""CURRENCY:""&amp;Q2673&amp;""""&amp;Dashboard!$"&amp;"L$1&amp;""""))),K2673))"),"")</f>
        <v/>
      </c>
      <c r="S2673" s="266" t="str">
        <f>IFERROR(__xludf.DUMMYFUNCTION("IF(ISBLANK(A2673),"""",IFERROR(IF(OR(Q2673=""GPB"",Q2673=""ZAR""),IF(Q2673=Dashboard!$L$1,M2673,(M2673*GOOGLEFINANCE(""CURRENCY:""&amp;Q2673&amp;""""&amp;Dashboard!$L$1&amp;""""))/100),IF(Q2673=Dashboard!$L$1,M2673,M2673*GOOGLEFINANCE(""CURRENCY:""&amp;Q2673&amp;""""&amp;Dashboard!$"&amp;"L$1&amp;""""))),M2673))"),"")</f>
        <v/>
      </c>
      <c r="T2673" s="264" t="str">
        <f t="shared" si="4"/>
        <v/>
      </c>
      <c r="U2673" s="264" t="str">
        <f t="shared" si="5"/>
        <v/>
      </c>
      <c r="V2673" s="264" t="str">
        <f t="shared" si="6"/>
        <v/>
      </c>
      <c r="W2673" s="267" t="str">
        <f t="shared" si="8"/>
        <v/>
      </c>
      <c r="X2673" s="264" t="str">
        <f t="shared" si="7"/>
        <v/>
      </c>
    </row>
    <row r="2674" ht="15.75" customHeight="1">
      <c r="A2674" s="258"/>
      <c r="B2674" s="258"/>
      <c r="C2674" s="269"/>
      <c r="D2674" s="258"/>
      <c r="E2674" s="258"/>
      <c r="F2674" s="258"/>
      <c r="G2674" s="258"/>
      <c r="H2674" s="271"/>
      <c r="I2674" s="258"/>
      <c r="J2674" s="272"/>
      <c r="K2674" s="260"/>
      <c r="L2674" s="261"/>
      <c r="M2674" s="262" t="str">
        <f t="shared" si="1"/>
        <v/>
      </c>
      <c r="N2674" s="263" t="str">
        <f t="shared" si="2"/>
        <v/>
      </c>
      <c r="O2674" s="264" t="str">
        <f t="shared" si="3"/>
        <v/>
      </c>
      <c r="P2674" s="265" t="str">
        <f>IFERROR(__xludf.DUMMYFUNCTION("IF(ISBLANK(A2674),"""",IFERROR(IF(H2674=""Sell"",VLOOKUP(9^99,FILTER({ROW(P$2:P2673),P$2:P2673},D$2:D2673=D2674),2),(VLOOKUP(9^99,FILTER({ROW(P$2:P2673),P$2:P2673},D$2:D2673=D2674),2)*VLOOKUP(9^99,FILTER({ROW(O$2:O2673),O$2:O2673},D$2:D2673=D2674),2)-N267"&amp;"4)/O2674),J2674))"),"")</f>
        <v/>
      </c>
      <c r="Q2674" s="264" t="str">
        <f>IFERROR(__xludf.DUMMYFUNCTION("IFERROR(IF(F2674=""Crypto"",B2674,(IF(ISBLANK(D2674),"""",IF(D2674=""Cash"",B2674,IF(GOOGLEFINANCE(D2674,""CURRENCY"")=""GBX"",""GBP"",GOOGLEFINANCE(D2674,""CURRENCY"")))))),B2674)"),"")</f>
        <v/>
      </c>
      <c r="R2674" s="263" t="str">
        <f>IFERROR(__xludf.DUMMYFUNCTION("IF(ISBLANK(A2674),"""",IFERROR(IF(OR(Q2674=""GPB"",Q2674=""ZAR""),IF(Q2674=Dashboard!$L$1,K2674,(K2674*GOOGLEFINANCE(""CURRENCY:""&amp;Q2674&amp;""""&amp;Dashboard!$L$1&amp;""""))/100),IF(Q2674=Dashboard!$L$1,K2674,K2674*GOOGLEFINANCE(""CURRENCY:""&amp;Q2674&amp;""""&amp;Dashboard!$"&amp;"L$1&amp;""""))),K2674))"),"")</f>
        <v/>
      </c>
      <c r="S2674" s="266" t="str">
        <f>IFERROR(__xludf.DUMMYFUNCTION("IF(ISBLANK(A2674),"""",IFERROR(IF(OR(Q2674=""GPB"",Q2674=""ZAR""),IF(Q2674=Dashboard!$L$1,M2674,(M2674*GOOGLEFINANCE(""CURRENCY:""&amp;Q2674&amp;""""&amp;Dashboard!$L$1&amp;""""))/100),IF(Q2674=Dashboard!$L$1,M2674,M2674*GOOGLEFINANCE(""CURRENCY:""&amp;Q2674&amp;""""&amp;Dashboard!$"&amp;"L$1&amp;""""))),M2674))"),"")</f>
        <v/>
      </c>
      <c r="T2674" s="264" t="str">
        <f t="shared" si="4"/>
        <v/>
      </c>
      <c r="U2674" s="264" t="str">
        <f t="shared" si="5"/>
        <v/>
      </c>
      <c r="V2674" s="264" t="str">
        <f t="shared" si="6"/>
        <v/>
      </c>
      <c r="W2674" s="267" t="str">
        <f t="shared" si="8"/>
        <v/>
      </c>
      <c r="X2674" s="264" t="str">
        <f t="shared" si="7"/>
        <v/>
      </c>
    </row>
    <row r="2675" ht="15.75" customHeight="1">
      <c r="A2675" s="258"/>
      <c r="B2675" s="258"/>
      <c r="C2675" s="269"/>
      <c r="D2675" s="258"/>
      <c r="E2675" s="258"/>
      <c r="F2675" s="258"/>
      <c r="G2675" s="258"/>
      <c r="H2675" s="271"/>
      <c r="I2675" s="258"/>
      <c r="J2675" s="272"/>
      <c r="K2675" s="260"/>
      <c r="L2675" s="261"/>
      <c r="M2675" s="262" t="str">
        <f t="shared" si="1"/>
        <v/>
      </c>
      <c r="N2675" s="263" t="str">
        <f t="shared" si="2"/>
        <v/>
      </c>
      <c r="O2675" s="264" t="str">
        <f t="shared" si="3"/>
        <v/>
      </c>
      <c r="P2675" s="265" t="str">
        <f>IFERROR(__xludf.DUMMYFUNCTION("IF(ISBLANK(A2675),"""",IFERROR(IF(H2675=""Sell"",VLOOKUP(9^99,FILTER({ROW(P$2:P2674),P$2:P2674},D$2:D2674=D2675),2),(VLOOKUP(9^99,FILTER({ROW(P$2:P2674),P$2:P2674},D$2:D2674=D2675),2)*VLOOKUP(9^99,FILTER({ROW(O$2:O2674),O$2:O2674},D$2:D2674=D2675),2)-N267"&amp;"5)/O2675),J2675))"),"")</f>
        <v/>
      </c>
      <c r="Q2675" s="264" t="str">
        <f>IFERROR(__xludf.DUMMYFUNCTION("IFERROR(IF(F2675=""Crypto"",B2675,(IF(ISBLANK(D2675),"""",IF(D2675=""Cash"",B2675,IF(GOOGLEFINANCE(D2675,""CURRENCY"")=""GBX"",""GBP"",GOOGLEFINANCE(D2675,""CURRENCY"")))))),B2675)"),"")</f>
        <v/>
      </c>
      <c r="R2675" s="263" t="str">
        <f>IFERROR(__xludf.DUMMYFUNCTION("IF(ISBLANK(A2675),"""",IFERROR(IF(OR(Q2675=""GPB"",Q2675=""ZAR""),IF(Q2675=Dashboard!$L$1,K2675,(K2675*GOOGLEFINANCE(""CURRENCY:""&amp;Q2675&amp;""""&amp;Dashboard!$L$1&amp;""""))/100),IF(Q2675=Dashboard!$L$1,K2675,K2675*GOOGLEFINANCE(""CURRENCY:""&amp;Q2675&amp;""""&amp;Dashboard!$"&amp;"L$1&amp;""""))),K2675))"),"")</f>
        <v/>
      </c>
      <c r="S2675" s="266" t="str">
        <f>IFERROR(__xludf.DUMMYFUNCTION("IF(ISBLANK(A2675),"""",IFERROR(IF(OR(Q2675=""GPB"",Q2675=""ZAR""),IF(Q2675=Dashboard!$L$1,M2675,(M2675*GOOGLEFINANCE(""CURRENCY:""&amp;Q2675&amp;""""&amp;Dashboard!$L$1&amp;""""))/100),IF(Q2675=Dashboard!$L$1,M2675,M2675*GOOGLEFINANCE(""CURRENCY:""&amp;Q2675&amp;""""&amp;Dashboard!$"&amp;"L$1&amp;""""))),M2675))"),"")</f>
        <v/>
      </c>
      <c r="T2675" s="264" t="str">
        <f t="shared" si="4"/>
        <v/>
      </c>
      <c r="U2675" s="264" t="str">
        <f t="shared" si="5"/>
        <v/>
      </c>
      <c r="V2675" s="264" t="str">
        <f t="shared" si="6"/>
        <v/>
      </c>
      <c r="W2675" s="267" t="str">
        <f t="shared" si="8"/>
        <v/>
      </c>
      <c r="X2675" s="264" t="str">
        <f t="shared" si="7"/>
        <v/>
      </c>
    </row>
    <row r="2676" ht="15.75" customHeight="1">
      <c r="A2676" s="258"/>
      <c r="B2676" s="258"/>
      <c r="C2676" s="269"/>
      <c r="D2676" s="258"/>
      <c r="E2676" s="258"/>
      <c r="F2676" s="258"/>
      <c r="G2676" s="258"/>
      <c r="H2676" s="271"/>
      <c r="I2676" s="258"/>
      <c r="J2676" s="272"/>
      <c r="K2676" s="260"/>
      <c r="L2676" s="261"/>
      <c r="M2676" s="262" t="str">
        <f t="shared" si="1"/>
        <v/>
      </c>
      <c r="N2676" s="263" t="str">
        <f t="shared" si="2"/>
        <v/>
      </c>
      <c r="O2676" s="264" t="str">
        <f t="shared" si="3"/>
        <v/>
      </c>
      <c r="P2676" s="265" t="str">
        <f>IFERROR(__xludf.DUMMYFUNCTION("IF(ISBLANK(A2676),"""",IFERROR(IF(H2676=""Sell"",VLOOKUP(9^99,FILTER({ROW(P$2:P2675),P$2:P2675},D$2:D2675=D2676),2),(VLOOKUP(9^99,FILTER({ROW(P$2:P2675),P$2:P2675},D$2:D2675=D2676),2)*VLOOKUP(9^99,FILTER({ROW(O$2:O2675),O$2:O2675},D$2:D2675=D2676),2)-N267"&amp;"6)/O2676),J2676))"),"")</f>
        <v/>
      </c>
      <c r="Q2676" s="264" t="str">
        <f>IFERROR(__xludf.DUMMYFUNCTION("IFERROR(IF(F2676=""Crypto"",B2676,(IF(ISBLANK(D2676),"""",IF(D2676=""Cash"",B2676,IF(GOOGLEFINANCE(D2676,""CURRENCY"")=""GBX"",""GBP"",GOOGLEFINANCE(D2676,""CURRENCY"")))))),B2676)"),"")</f>
        <v/>
      </c>
      <c r="R2676" s="263" t="str">
        <f>IFERROR(__xludf.DUMMYFUNCTION("IF(ISBLANK(A2676),"""",IFERROR(IF(OR(Q2676=""GPB"",Q2676=""ZAR""),IF(Q2676=Dashboard!$L$1,K2676,(K2676*GOOGLEFINANCE(""CURRENCY:""&amp;Q2676&amp;""""&amp;Dashboard!$L$1&amp;""""))/100),IF(Q2676=Dashboard!$L$1,K2676,K2676*GOOGLEFINANCE(""CURRENCY:""&amp;Q2676&amp;""""&amp;Dashboard!$"&amp;"L$1&amp;""""))),K2676))"),"")</f>
        <v/>
      </c>
      <c r="S2676" s="266" t="str">
        <f>IFERROR(__xludf.DUMMYFUNCTION("IF(ISBLANK(A2676),"""",IFERROR(IF(OR(Q2676=""GPB"",Q2676=""ZAR""),IF(Q2676=Dashboard!$L$1,M2676,(M2676*GOOGLEFINANCE(""CURRENCY:""&amp;Q2676&amp;""""&amp;Dashboard!$L$1&amp;""""))/100),IF(Q2676=Dashboard!$L$1,M2676,M2676*GOOGLEFINANCE(""CURRENCY:""&amp;Q2676&amp;""""&amp;Dashboard!$"&amp;"L$1&amp;""""))),M2676))"),"")</f>
        <v/>
      </c>
      <c r="T2676" s="264" t="str">
        <f t="shared" si="4"/>
        <v/>
      </c>
      <c r="U2676" s="264" t="str">
        <f t="shared" si="5"/>
        <v/>
      </c>
      <c r="V2676" s="264" t="str">
        <f t="shared" si="6"/>
        <v/>
      </c>
      <c r="W2676" s="267" t="str">
        <f t="shared" si="8"/>
        <v/>
      </c>
      <c r="X2676" s="264" t="str">
        <f t="shared" si="7"/>
        <v/>
      </c>
    </row>
    <row r="2677" ht="15.75" customHeight="1">
      <c r="A2677" s="258"/>
      <c r="B2677" s="258"/>
      <c r="C2677" s="269"/>
      <c r="D2677" s="258"/>
      <c r="E2677" s="258"/>
      <c r="F2677" s="258"/>
      <c r="G2677" s="258"/>
      <c r="H2677" s="271"/>
      <c r="I2677" s="258"/>
      <c r="J2677" s="272"/>
      <c r="K2677" s="260"/>
      <c r="L2677" s="261"/>
      <c r="M2677" s="262" t="str">
        <f t="shared" si="1"/>
        <v/>
      </c>
      <c r="N2677" s="263" t="str">
        <f t="shared" si="2"/>
        <v/>
      </c>
      <c r="O2677" s="264" t="str">
        <f t="shared" si="3"/>
        <v/>
      </c>
      <c r="P2677" s="265" t="str">
        <f>IFERROR(__xludf.DUMMYFUNCTION("IF(ISBLANK(A2677),"""",IFERROR(IF(H2677=""Sell"",VLOOKUP(9^99,FILTER({ROW(P$2:P2676),P$2:P2676},D$2:D2676=D2677),2),(VLOOKUP(9^99,FILTER({ROW(P$2:P2676),P$2:P2676},D$2:D2676=D2677),2)*VLOOKUP(9^99,FILTER({ROW(O$2:O2676),O$2:O2676},D$2:D2676=D2677),2)-N267"&amp;"7)/O2677),J2677))"),"")</f>
        <v/>
      </c>
      <c r="Q2677" s="264" t="str">
        <f>IFERROR(__xludf.DUMMYFUNCTION("IFERROR(IF(F2677=""Crypto"",B2677,(IF(ISBLANK(D2677),"""",IF(D2677=""Cash"",B2677,IF(GOOGLEFINANCE(D2677,""CURRENCY"")=""GBX"",""GBP"",GOOGLEFINANCE(D2677,""CURRENCY"")))))),B2677)"),"")</f>
        <v/>
      </c>
      <c r="R2677" s="263" t="str">
        <f>IFERROR(__xludf.DUMMYFUNCTION("IF(ISBLANK(A2677),"""",IFERROR(IF(OR(Q2677=""GPB"",Q2677=""ZAR""),IF(Q2677=Dashboard!$L$1,K2677,(K2677*GOOGLEFINANCE(""CURRENCY:""&amp;Q2677&amp;""""&amp;Dashboard!$L$1&amp;""""))/100),IF(Q2677=Dashboard!$L$1,K2677,K2677*GOOGLEFINANCE(""CURRENCY:""&amp;Q2677&amp;""""&amp;Dashboard!$"&amp;"L$1&amp;""""))),K2677))"),"")</f>
        <v/>
      </c>
      <c r="S2677" s="266" t="str">
        <f>IFERROR(__xludf.DUMMYFUNCTION("IF(ISBLANK(A2677),"""",IFERROR(IF(OR(Q2677=""GPB"",Q2677=""ZAR""),IF(Q2677=Dashboard!$L$1,M2677,(M2677*GOOGLEFINANCE(""CURRENCY:""&amp;Q2677&amp;""""&amp;Dashboard!$L$1&amp;""""))/100),IF(Q2677=Dashboard!$L$1,M2677,M2677*GOOGLEFINANCE(""CURRENCY:""&amp;Q2677&amp;""""&amp;Dashboard!$"&amp;"L$1&amp;""""))),M2677))"),"")</f>
        <v/>
      </c>
      <c r="T2677" s="264" t="str">
        <f t="shared" si="4"/>
        <v/>
      </c>
      <c r="U2677" s="264" t="str">
        <f t="shared" si="5"/>
        <v/>
      </c>
      <c r="V2677" s="264" t="str">
        <f t="shared" si="6"/>
        <v/>
      </c>
      <c r="W2677" s="267" t="str">
        <f t="shared" si="8"/>
        <v/>
      </c>
      <c r="X2677" s="264" t="str">
        <f t="shared" si="7"/>
        <v/>
      </c>
    </row>
    <row r="2678" ht="15.75" customHeight="1">
      <c r="A2678" s="258"/>
      <c r="B2678" s="258"/>
      <c r="C2678" s="269"/>
      <c r="D2678" s="258"/>
      <c r="E2678" s="258"/>
      <c r="F2678" s="258"/>
      <c r="G2678" s="258"/>
      <c r="H2678" s="271"/>
      <c r="I2678" s="258"/>
      <c r="J2678" s="272"/>
      <c r="K2678" s="260"/>
      <c r="L2678" s="261"/>
      <c r="M2678" s="262" t="str">
        <f t="shared" si="1"/>
        <v/>
      </c>
      <c r="N2678" s="263" t="str">
        <f t="shared" si="2"/>
        <v/>
      </c>
      <c r="O2678" s="264" t="str">
        <f t="shared" si="3"/>
        <v/>
      </c>
      <c r="P2678" s="265" t="str">
        <f>IFERROR(__xludf.DUMMYFUNCTION("IF(ISBLANK(A2678),"""",IFERROR(IF(H2678=""Sell"",VLOOKUP(9^99,FILTER({ROW(P$2:P2677),P$2:P2677},D$2:D2677=D2678),2),(VLOOKUP(9^99,FILTER({ROW(P$2:P2677),P$2:P2677},D$2:D2677=D2678),2)*VLOOKUP(9^99,FILTER({ROW(O$2:O2677),O$2:O2677},D$2:D2677=D2678),2)-N267"&amp;"8)/O2678),J2678))"),"")</f>
        <v/>
      </c>
      <c r="Q2678" s="264" t="str">
        <f>IFERROR(__xludf.DUMMYFUNCTION("IFERROR(IF(F2678=""Crypto"",B2678,(IF(ISBLANK(D2678),"""",IF(D2678=""Cash"",B2678,IF(GOOGLEFINANCE(D2678,""CURRENCY"")=""GBX"",""GBP"",GOOGLEFINANCE(D2678,""CURRENCY"")))))),B2678)"),"")</f>
        <v/>
      </c>
      <c r="R2678" s="263" t="str">
        <f>IFERROR(__xludf.DUMMYFUNCTION("IF(ISBLANK(A2678),"""",IFERROR(IF(OR(Q2678=""GPB"",Q2678=""ZAR""),IF(Q2678=Dashboard!$L$1,K2678,(K2678*GOOGLEFINANCE(""CURRENCY:""&amp;Q2678&amp;""""&amp;Dashboard!$L$1&amp;""""))/100),IF(Q2678=Dashboard!$L$1,K2678,K2678*GOOGLEFINANCE(""CURRENCY:""&amp;Q2678&amp;""""&amp;Dashboard!$"&amp;"L$1&amp;""""))),K2678))"),"")</f>
        <v/>
      </c>
      <c r="S2678" s="266" t="str">
        <f>IFERROR(__xludf.DUMMYFUNCTION("IF(ISBLANK(A2678),"""",IFERROR(IF(OR(Q2678=""GPB"",Q2678=""ZAR""),IF(Q2678=Dashboard!$L$1,M2678,(M2678*GOOGLEFINANCE(""CURRENCY:""&amp;Q2678&amp;""""&amp;Dashboard!$L$1&amp;""""))/100),IF(Q2678=Dashboard!$L$1,M2678,M2678*GOOGLEFINANCE(""CURRENCY:""&amp;Q2678&amp;""""&amp;Dashboard!$"&amp;"L$1&amp;""""))),M2678))"),"")</f>
        <v/>
      </c>
      <c r="T2678" s="264" t="str">
        <f t="shared" si="4"/>
        <v/>
      </c>
      <c r="U2678" s="264" t="str">
        <f t="shared" si="5"/>
        <v/>
      </c>
      <c r="V2678" s="264" t="str">
        <f t="shared" si="6"/>
        <v/>
      </c>
      <c r="W2678" s="267" t="str">
        <f t="shared" si="8"/>
        <v/>
      </c>
      <c r="X2678" s="264" t="str">
        <f t="shared" si="7"/>
        <v/>
      </c>
    </row>
    <row r="2679" ht="15.75" customHeight="1">
      <c r="A2679" s="258"/>
      <c r="B2679" s="258"/>
      <c r="C2679" s="269"/>
      <c r="D2679" s="258"/>
      <c r="E2679" s="258"/>
      <c r="F2679" s="258"/>
      <c r="G2679" s="258"/>
      <c r="H2679" s="271"/>
      <c r="I2679" s="258"/>
      <c r="J2679" s="272"/>
      <c r="K2679" s="260"/>
      <c r="L2679" s="261"/>
      <c r="M2679" s="262" t="str">
        <f t="shared" si="1"/>
        <v/>
      </c>
      <c r="N2679" s="263" t="str">
        <f t="shared" si="2"/>
        <v/>
      </c>
      <c r="O2679" s="264" t="str">
        <f t="shared" si="3"/>
        <v/>
      </c>
      <c r="P2679" s="265" t="str">
        <f>IFERROR(__xludf.DUMMYFUNCTION("IF(ISBLANK(A2679),"""",IFERROR(IF(H2679=""Sell"",VLOOKUP(9^99,FILTER({ROW(P$2:P2678),P$2:P2678},D$2:D2678=D2679),2),(VLOOKUP(9^99,FILTER({ROW(P$2:P2678),P$2:P2678},D$2:D2678=D2679),2)*VLOOKUP(9^99,FILTER({ROW(O$2:O2678),O$2:O2678},D$2:D2678=D2679),2)-N267"&amp;"9)/O2679),J2679))"),"")</f>
        <v/>
      </c>
      <c r="Q2679" s="264" t="str">
        <f>IFERROR(__xludf.DUMMYFUNCTION("IFERROR(IF(F2679=""Crypto"",B2679,(IF(ISBLANK(D2679),"""",IF(D2679=""Cash"",B2679,IF(GOOGLEFINANCE(D2679,""CURRENCY"")=""GBX"",""GBP"",GOOGLEFINANCE(D2679,""CURRENCY"")))))),B2679)"),"")</f>
        <v/>
      </c>
      <c r="R2679" s="263" t="str">
        <f>IFERROR(__xludf.DUMMYFUNCTION("IF(ISBLANK(A2679),"""",IFERROR(IF(OR(Q2679=""GPB"",Q2679=""ZAR""),IF(Q2679=Dashboard!$L$1,K2679,(K2679*GOOGLEFINANCE(""CURRENCY:""&amp;Q2679&amp;""""&amp;Dashboard!$L$1&amp;""""))/100),IF(Q2679=Dashboard!$L$1,K2679,K2679*GOOGLEFINANCE(""CURRENCY:""&amp;Q2679&amp;""""&amp;Dashboard!$"&amp;"L$1&amp;""""))),K2679))"),"")</f>
        <v/>
      </c>
      <c r="S2679" s="266" t="str">
        <f>IFERROR(__xludf.DUMMYFUNCTION("IF(ISBLANK(A2679),"""",IFERROR(IF(OR(Q2679=""GPB"",Q2679=""ZAR""),IF(Q2679=Dashboard!$L$1,M2679,(M2679*GOOGLEFINANCE(""CURRENCY:""&amp;Q2679&amp;""""&amp;Dashboard!$L$1&amp;""""))/100),IF(Q2679=Dashboard!$L$1,M2679,M2679*GOOGLEFINANCE(""CURRENCY:""&amp;Q2679&amp;""""&amp;Dashboard!$"&amp;"L$1&amp;""""))),M2679))"),"")</f>
        <v/>
      </c>
      <c r="T2679" s="264" t="str">
        <f t="shared" si="4"/>
        <v/>
      </c>
      <c r="U2679" s="264" t="str">
        <f t="shared" si="5"/>
        <v/>
      </c>
      <c r="V2679" s="264" t="str">
        <f t="shared" si="6"/>
        <v/>
      </c>
      <c r="W2679" s="267" t="str">
        <f t="shared" si="8"/>
        <v/>
      </c>
      <c r="X2679" s="264" t="str">
        <f t="shared" si="7"/>
        <v/>
      </c>
    </row>
    <row r="2680" ht="15.75" customHeight="1">
      <c r="A2680" s="258"/>
      <c r="B2680" s="258"/>
      <c r="C2680" s="269"/>
      <c r="D2680" s="258"/>
      <c r="E2680" s="258"/>
      <c r="F2680" s="258"/>
      <c r="G2680" s="258"/>
      <c r="H2680" s="271"/>
      <c r="I2680" s="258"/>
      <c r="J2680" s="272"/>
      <c r="K2680" s="260"/>
      <c r="L2680" s="261"/>
      <c r="M2680" s="262" t="str">
        <f t="shared" si="1"/>
        <v/>
      </c>
      <c r="N2680" s="263" t="str">
        <f t="shared" si="2"/>
        <v/>
      </c>
      <c r="O2680" s="264" t="str">
        <f t="shared" si="3"/>
        <v/>
      </c>
      <c r="P2680" s="265" t="str">
        <f>IFERROR(__xludf.DUMMYFUNCTION("IF(ISBLANK(A2680),"""",IFERROR(IF(H2680=""Sell"",VLOOKUP(9^99,FILTER({ROW(P$2:P2679),P$2:P2679},D$2:D2679=D2680),2),(VLOOKUP(9^99,FILTER({ROW(P$2:P2679),P$2:P2679},D$2:D2679=D2680),2)*VLOOKUP(9^99,FILTER({ROW(O$2:O2679),O$2:O2679},D$2:D2679=D2680),2)-N268"&amp;"0)/O2680),J2680))"),"")</f>
        <v/>
      </c>
      <c r="Q2680" s="264" t="str">
        <f>IFERROR(__xludf.DUMMYFUNCTION("IFERROR(IF(F2680=""Crypto"",B2680,(IF(ISBLANK(D2680),"""",IF(D2680=""Cash"",B2680,IF(GOOGLEFINANCE(D2680,""CURRENCY"")=""GBX"",""GBP"",GOOGLEFINANCE(D2680,""CURRENCY"")))))),B2680)"),"")</f>
        <v/>
      </c>
      <c r="R2680" s="263" t="str">
        <f>IFERROR(__xludf.DUMMYFUNCTION("IF(ISBLANK(A2680),"""",IFERROR(IF(OR(Q2680=""GPB"",Q2680=""ZAR""),IF(Q2680=Dashboard!$L$1,K2680,(K2680*GOOGLEFINANCE(""CURRENCY:""&amp;Q2680&amp;""""&amp;Dashboard!$L$1&amp;""""))/100),IF(Q2680=Dashboard!$L$1,K2680,K2680*GOOGLEFINANCE(""CURRENCY:""&amp;Q2680&amp;""""&amp;Dashboard!$"&amp;"L$1&amp;""""))),K2680))"),"")</f>
        <v/>
      </c>
      <c r="S2680" s="266" t="str">
        <f>IFERROR(__xludf.DUMMYFUNCTION("IF(ISBLANK(A2680),"""",IFERROR(IF(OR(Q2680=""GPB"",Q2680=""ZAR""),IF(Q2680=Dashboard!$L$1,M2680,(M2680*GOOGLEFINANCE(""CURRENCY:""&amp;Q2680&amp;""""&amp;Dashboard!$L$1&amp;""""))/100),IF(Q2680=Dashboard!$L$1,M2680,M2680*GOOGLEFINANCE(""CURRENCY:""&amp;Q2680&amp;""""&amp;Dashboard!$"&amp;"L$1&amp;""""))),M2680))"),"")</f>
        <v/>
      </c>
      <c r="T2680" s="264" t="str">
        <f t="shared" si="4"/>
        <v/>
      </c>
      <c r="U2680" s="264" t="str">
        <f t="shared" si="5"/>
        <v/>
      </c>
      <c r="V2680" s="264" t="str">
        <f t="shared" si="6"/>
        <v/>
      </c>
      <c r="W2680" s="267" t="str">
        <f t="shared" si="8"/>
        <v/>
      </c>
      <c r="X2680" s="264" t="str">
        <f t="shared" si="7"/>
        <v/>
      </c>
    </row>
    <row r="2681" ht="15.75" customHeight="1">
      <c r="A2681" s="258"/>
      <c r="B2681" s="258"/>
      <c r="C2681" s="269"/>
      <c r="D2681" s="258"/>
      <c r="E2681" s="258"/>
      <c r="F2681" s="258"/>
      <c r="G2681" s="258"/>
      <c r="H2681" s="271"/>
      <c r="I2681" s="258"/>
      <c r="J2681" s="272"/>
      <c r="K2681" s="260"/>
      <c r="L2681" s="261"/>
      <c r="M2681" s="262" t="str">
        <f t="shared" si="1"/>
        <v/>
      </c>
      <c r="N2681" s="263" t="str">
        <f t="shared" si="2"/>
        <v/>
      </c>
      <c r="O2681" s="264" t="str">
        <f t="shared" si="3"/>
        <v/>
      </c>
      <c r="P2681" s="265" t="str">
        <f>IFERROR(__xludf.DUMMYFUNCTION("IF(ISBLANK(A2681),"""",IFERROR(IF(H2681=""Sell"",VLOOKUP(9^99,FILTER({ROW(P$2:P2680),P$2:P2680},D$2:D2680=D2681),2),(VLOOKUP(9^99,FILTER({ROW(P$2:P2680),P$2:P2680},D$2:D2680=D2681),2)*VLOOKUP(9^99,FILTER({ROW(O$2:O2680),O$2:O2680},D$2:D2680=D2681),2)-N268"&amp;"1)/O2681),J2681))"),"")</f>
        <v/>
      </c>
      <c r="Q2681" s="264" t="str">
        <f>IFERROR(__xludf.DUMMYFUNCTION("IFERROR(IF(F2681=""Crypto"",B2681,(IF(ISBLANK(D2681),"""",IF(D2681=""Cash"",B2681,IF(GOOGLEFINANCE(D2681,""CURRENCY"")=""GBX"",""GBP"",GOOGLEFINANCE(D2681,""CURRENCY"")))))),B2681)"),"")</f>
        <v/>
      </c>
      <c r="R2681" s="263" t="str">
        <f>IFERROR(__xludf.DUMMYFUNCTION("IF(ISBLANK(A2681),"""",IFERROR(IF(OR(Q2681=""GPB"",Q2681=""ZAR""),IF(Q2681=Dashboard!$L$1,K2681,(K2681*GOOGLEFINANCE(""CURRENCY:""&amp;Q2681&amp;""""&amp;Dashboard!$L$1&amp;""""))/100),IF(Q2681=Dashboard!$L$1,K2681,K2681*GOOGLEFINANCE(""CURRENCY:""&amp;Q2681&amp;""""&amp;Dashboard!$"&amp;"L$1&amp;""""))),K2681))"),"")</f>
        <v/>
      </c>
      <c r="S2681" s="266" t="str">
        <f>IFERROR(__xludf.DUMMYFUNCTION("IF(ISBLANK(A2681),"""",IFERROR(IF(OR(Q2681=""GPB"",Q2681=""ZAR""),IF(Q2681=Dashboard!$L$1,M2681,(M2681*GOOGLEFINANCE(""CURRENCY:""&amp;Q2681&amp;""""&amp;Dashboard!$L$1&amp;""""))/100),IF(Q2681=Dashboard!$L$1,M2681,M2681*GOOGLEFINANCE(""CURRENCY:""&amp;Q2681&amp;""""&amp;Dashboard!$"&amp;"L$1&amp;""""))),M2681))"),"")</f>
        <v/>
      </c>
      <c r="T2681" s="264" t="str">
        <f t="shared" si="4"/>
        <v/>
      </c>
      <c r="U2681" s="264" t="str">
        <f t="shared" si="5"/>
        <v/>
      </c>
      <c r="V2681" s="264" t="str">
        <f t="shared" si="6"/>
        <v/>
      </c>
      <c r="W2681" s="267" t="str">
        <f t="shared" si="8"/>
        <v/>
      </c>
      <c r="X2681" s="264" t="str">
        <f t="shared" si="7"/>
        <v/>
      </c>
    </row>
    <row r="2682" ht="15.75" customHeight="1">
      <c r="A2682" s="258"/>
      <c r="B2682" s="258"/>
      <c r="C2682" s="269"/>
      <c r="D2682" s="258"/>
      <c r="E2682" s="258"/>
      <c r="F2682" s="258"/>
      <c r="G2682" s="258"/>
      <c r="H2682" s="271"/>
      <c r="I2682" s="258"/>
      <c r="J2682" s="272"/>
      <c r="K2682" s="260"/>
      <c r="L2682" s="261"/>
      <c r="M2682" s="262" t="str">
        <f t="shared" si="1"/>
        <v/>
      </c>
      <c r="N2682" s="263" t="str">
        <f t="shared" si="2"/>
        <v/>
      </c>
      <c r="O2682" s="264" t="str">
        <f t="shared" si="3"/>
        <v/>
      </c>
      <c r="P2682" s="265" t="str">
        <f>IFERROR(__xludf.DUMMYFUNCTION("IF(ISBLANK(A2682),"""",IFERROR(IF(H2682=""Sell"",VLOOKUP(9^99,FILTER({ROW(P$2:P2681),P$2:P2681},D$2:D2681=D2682),2),(VLOOKUP(9^99,FILTER({ROW(P$2:P2681),P$2:P2681},D$2:D2681=D2682),2)*VLOOKUP(9^99,FILTER({ROW(O$2:O2681),O$2:O2681},D$2:D2681=D2682),2)-N268"&amp;"2)/O2682),J2682))"),"")</f>
        <v/>
      </c>
      <c r="Q2682" s="264" t="str">
        <f>IFERROR(__xludf.DUMMYFUNCTION("IFERROR(IF(F2682=""Crypto"",B2682,(IF(ISBLANK(D2682),"""",IF(D2682=""Cash"",B2682,IF(GOOGLEFINANCE(D2682,""CURRENCY"")=""GBX"",""GBP"",GOOGLEFINANCE(D2682,""CURRENCY"")))))),B2682)"),"")</f>
        <v/>
      </c>
      <c r="R2682" s="263" t="str">
        <f>IFERROR(__xludf.DUMMYFUNCTION("IF(ISBLANK(A2682),"""",IFERROR(IF(OR(Q2682=""GPB"",Q2682=""ZAR""),IF(Q2682=Dashboard!$L$1,K2682,(K2682*GOOGLEFINANCE(""CURRENCY:""&amp;Q2682&amp;""""&amp;Dashboard!$L$1&amp;""""))/100),IF(Q2682=Dashboard!$L$1,K2682,K2682*GOOGLEFINANCE(""CURRENCY:""&amp;Q2682&amp;""""&amp;Dashboard!$"&amp;"L$1&amp;""""))),K2682))"),"")</f>
        <v/>
      </c>
      <c r="S2682" s="266" t="str">
        <f>IFERROR(__xludf.DUMMYFUNCTION("IF(ISBLANK(A2682),"""",IFERROR(IF(OR(Q2682=""GPB"",Q2682=""ZAR""),IF(Q2682=Dashboard!$L$1,M2682,(M2682*GOOGLEFINANCE(""CURRENCY:""&amp;Q2682&amp;""""&amp;Dashboard!$L$1&amp;""""))/100),IF(Q2682=Dashboard!$L$1,M2682,M2682*GOOGLEFINANCE(""CURRENCY:""&amp;Q2682&amp;""""&amp;Dashboard!$"&amp;"L$1&amp;""""))),M2682))"),"")</f>
        <v/>
      </c>
      <c r="T2682" s="264" t="str">
        <f t="shared" si="4"/>
        <v/>
      </c>
      <c r="U2682" s="264" t="str">
        <f t="shared" si="5"/>
        <v/>
      </c>
      <c r="V2682" s="264" t="str">
        <f t="shared" si="6"/>
        <v/>
      </c>
      <c r="W2682" s="267" t="str">
        <f t="shared" si="8"/>
        <v/>
      </c>
      <c r="X2682" s="264" t="str">
        <f t="shared" si="7"/>
        <v/>
      </c>
    </row>
    <row r="2683" ht="15.75" customHeight="1">
      <c r="A2683" s="258"/>
      <c r="B2683" s="258"/>
      <c r="C2683" s="269"/>
      <c r="D2683" s="258"/>
      <c r="E2683" s="258"/>
      <c r="F2683" s="258"/>
      <c r="G2683" s="258"/>
      <c r="H2683" s="271"/>
      <c r="I2683" s="258"/>
      <c r="J2683" s="272"/>
      <c r="K2683" s="260"/>
      <c r="L2683" s="261"/>
      <c r="M2683" s="262" t="str">
        <f t="shared" si="1"/>
        <v/>
      </c>
      <c r="N2683" s="263" t="str">
        <f t="shared" si="2"/>
        <v/>
      </c>
      <c r="O2683" s="264" t="str">
        <f t="shared" si="3"/>
        <v/>
      </c>
      <c r="P2683" s="265" t="str">
        <f>IFERROR(__xludf.DUMMYFUNCTION("IF(ISBLANK(A2683),"""",IFERROR(IF(H2683=""Sell"",VLOOKUP(9^99,FILTER({ROW(P$2:P2682),P$2:P2682},D$2:D2682=D2683),2),(VLOOKUP(9^99,FILTER({ROW(P$2:P2682),P$2:P2682},D$2:D2682=D2683),2)*VLOOKUP(9^99,FILTER({ROW(O$2:O2682),O$2:O2682},D$2:D2682=D2683),2)-N268"&amp;"3)/O2683),J2683))"),"")</f>
        <v/>
      </c>
      <c r="Q2683" s="264" t="str">
        <f>IFERROR(__xludf.DUMMYFUNCTION("IFERROR(IF(F2683=""Crypto"",B2683,(IF(ISBLANK(D2683),"""",IF(D2683=""Cash"",B2683,IF(GOOGLEFINANCE(D2683,""CURRENCY"")=""GBX"",""GBP"",GOOGLEFINANCE(D2683,""CURRENCY"")))))),B2683)"),"")</f>
        <v/>
      </c>
      <c r="R2683" s="263" t="str">
        <f>IFERROR(__xludf.DUMMYFUNCTION("IF(ISBLANK(A2683),"""",IFERROR(IF(OR(Q2683=""GPB"",Q2683=""ZAR""),IF(Q2683=Dashboard!$L$1,K2683,(K2683*GOOGLEFINANCE(""CURRENCY:""&amp;Q2683&amp;""""&amp;Dashboard!$L$1&amp;""""))/100),IF(Q2683=Dashboard!$L$1,K2683,K2683*GOOGLEFINANCE(""CURRENCY:""&amp;Q2683&amp;""""&amp;Dashboard!$"&amp;"L$1&amp;""""))),K2683))"),"")</f>
        <v/>
      </c>
      <c r="S2683" s="266" t="str">
        <f>IFERROR(__xludf.DUMMYFUNCTION("IF(ISBLANK(A2683),"""",IFERROR(IF(OR(Q2683=""GPB"",Q2683=""ZAR""),IF(Q2683=Dashboard!$L$1,M2683,(M2683*GOOGLEFINANCE(""CURRENCY:""&amp;Q2683&amp;""""&amp;Dashboard!$L$1&amp;""""))/100),IF(Q2683=Dashboard!$L$1,M2683,M2683*GOOGLEFINANCE(""CURRENCY:""&amp;Q2683&amp;""""&amp;Dashboard!$"&amp;"L$1&amp;""""))),M2683))"),"")</f>
        <v/>
      </c>
      <c r="T2683" s="264" t="str">
        <f t="shared" si="4"/>
        <v/>
      </c>
      <c r="U2683" s="264" t="str">
        <f t="shared" si="5"/>
        <v/>
      </c>
      <c r="V2683" s="264" t="str">
        <f t="shared" si="6"/>
        <v/>
      </c>
      <c r="W2683" s="267" t="str">
        <f t="shared" si="8"/>
        <v/>
      </c>
      <c r="X2683" s="264" t="str">
        <f t="shared" si="7"/>
        <v/>
      </c>
    </row>
    <row r="2684" ht="15.75" customHeight="1">
      <c r="A2684" s="258"/>
      <c r="B2684" s="258"/>
      <c r="C2684" s="269"/>
      <c r="D2684" s="258"/>
      <c r="E2684" s="258"/>
      <c r="F2684" s="258"/>
      <c r="G2684" s="258"/>
      <c r="H2684" s="271"/>
      <c r="I2684" s="258"/>
      <c r="J2684" s="272"/>
      <c r="K2684" s="260"/>
      <c r="L2684" s="261"/>
      <c r="M2684" s="262" t="str">
        <f t="shared" si="1"/>
        <v/>
      </c>
      <c r="N2684" s="263" t="str">
        <f t="shared" si="2"/>
        <v/>
      </c>
      <c r="O2684" s="264" t="str">
        <f t="shared" si="3"/>
        <v/>
      </c>
      <c r="P2684" s="265" t="str">
        <f>IFERROR(__xludf.DUMMYFUNCTION("IF(ISBLANK(A2684),"""",IFERROR(IF(H2684=""Sell"",VLOOKUP(9^99,FILTER({ROW(P$2:P2683),P$2:P2683},D$2:D2683=D2684),2),(VLOOKUP(9^99,FILTER({ROW(P$2:P2683),P$2:P2683},D$2:D2683=D2684),2)*VLOOKUP(9^99,FILTER({ROW(O$2:O2683),O$2:O2683},D$2:D2683=D2684),2)-N268"&amp;"4)/O2684),J2684))"),"")</f>
        <v/>
      </c>
      <c r="Q2684" s="264" t="str">
        <f>IFERROR(__xludf.DUMMYFUNCTION("IFERROR(IF(F2684=""Crypto"",B2684,(IF(ISBLANK(D2684),"""",IF(D2684=""Cash"",B2684,IF(GOOGLEFINANCE(D2684,""CURRENCY"")=""GBX"",""GBP"",GOOGLEFINANCE(D2684,""CURRENCY"")))))),B2684)"),"")</f>
        <v/>
      </c>
      <c r="R2684" s="263" t="str">
        <f>IFERROR(__xludf.DUMMYFUNCTION("IF(ISBLANK(A2684),"""",IFERROR(IF(OR(Q2684=""GPB"",Q2684=""ZAR""),IF(Q2684=Dashboard!$L$1,K2684,(K2684*GOOGLEFINANCE(""CURRENCY:""&amp;Q2684&amp;""""&amp;Dashboard!$L$1&amp;""""))/100),IF(Q2684=Dashboard!$L$1,K2684,K2684*GOOGLEFINANCE(""CURRENCY:""&amp;Q2684&amp;""""&amp;Dashboard!$"&amp;"L$1&amp;""""))),K2684))"),"")</f>
        <v/>
      </c>
      <c r="S2684" s="266" t="str">
        <f>IFERROR(__xludf.DUMMYFUNCTION("IF(ISBLANK(A2684),"""",IFERROR(IF(OR(Q2684=""GPB"",Q2684=""ZAR""),IF(Q2684=Dashboard!$L$1,M2684,(M2684*GOOGLEFINANCE(""CURRENCY:""&amp;Q2684&amp;""""&amp;Dashboard!$L$1&amp;""""))/100),IF(Q2684=Dashboard!$L$1,M2684,M2684*GOOGLEFINANCE(""CURRENCY:""&amp;Q2684&amp;""""&amp;Dashboard!$"&amp;"L$1&amp;""""))),M2684))"),"")</f>
        <v/>
      </c>
      <c r="T2684" s="264" t="str">
        <f t="shared" si="4"/>
        <v/>
      </c>
      <c r="U2684" s="264" t="str">
        <f t="shared" si="5"/>
        <v/>
      </c>
      <c r="V2684" s="264" t="str">
        <f t="shared" si="6"/>
        <v/>
      </c>
      <c r="W2684" s="267" t="str">
        <f t="shared" si="8"/>
        <v/>
      </c>
      <c r="X2684" s="264" t="str">
        <f t="shared" si="7"/>
        <v/>
      </c>
    </row>
    <row r="2685" ht="15.75" customHeight="1">
      <c r="A2685" s="258"/>
      <c r="B2685" s="258"/>
      <c r="C2685" s="269"/>
      <c r="D2685" s="258"/>
      <c r="E2685" s="258"/>
      <c r="F2685" s="258"/>
      <c r="G2685" s="258"/>
      <c r="H2685" s="271"/>
      <c r="I2685" s="258"/>
      <c r="J2685" s="272"/>
      <c r="K2685" s="260"/>
      <c r="L2685" s="261"/>
      <c r="M2685" s="262" t="str">
        <f t="shared" si="1"/>
        <v/>
      </c>
      <c r="N2685" s="263" t="str">
        <f t="shared" si="2"/>
        <v/>
      </c>
      <c r="O2685" s="264" t="str">
        <f t="shared" si="3"/>
        <v/>
      </c>
      <c r="P2685" s="265" t="str">
        <f>IFERROR(__xludf.DUMMYFUNCTION("IF(ISBLANK(A2685),"""",IFERROR(IF(H2685=""Sell"",VLOOKUP(9^99,FILTER({ROW(P$2:P2684),P$2:P2684},D$2:D2684=D2685),2),(VLOOKUP(9^99,FILTER({ROW(P$2:P2684),P$2:P2684},D$2:D2684=D2685),2)*VLOOKUP(9^99,FILTER({ROW(O$2:O2684),O$2:O2684},D$2:D2684=D2685),2)-N268"&amp;"5)/O2685),J2685))"),"")</f>
        <v/>
      </c>
      <c r="Q2685" s="264" t="str">
        <f>IFERROR(__xludf.DUMMYFUNCTION("IFERROR(IF(F2685=""Crypto"",B2685,(IF(ISBLANK(D2685),"""",IF(D2685=""Cash"",B2685,IF(GOOGLEFINANCE(D2685,""CURRENCY"")=""GBX"",""GBP"",GOOGLEFINANCE(D2685,""CURRENCY"")))))),B2685)"),"")</f>
        <v/>
      </c>
      <c r="R2685" s="263" t="str">
        <f>IFERROR(__xludf.DUMMYFUNCTION("IF(ISBLANK(A2685),"""",IFERROR(IF(OR(Q2685=""GPB"",Q2685=""ZAR""),IF(Q2685=Dashboard!$L$1,K2685,(K2685*GOOGLEFINANCE(""CURRENCY:""&amp;Q2685&amp;""""&amp;Dashboard!$L$1&amp;""""))/100),IF(Q2685=Dashboard!$L$1,K2685,K2685*GOOGLEFINANCE(""CURRENCY:""&amp;Q2685&amp;""""&amp;Dashboard!$"&amp;"L$1&amp;""""))),K2685))"),"")</f>
        <v/>
      </c>
      <c r="S2685" s="266" t="str">
        <f>IFERROR(__xludf.DUMMYFUNCTION("IF(ISBLANK(A2685),"""",IFERROR(IF(OR(Q2685=""GPB"",Q2685=""ZAR""),IF(Q2685=Dashboard!$L$1,M2685,(M2685*GOOGLEFINANCE(""CURRENCY:""&amp;Q2685&amp;""""&amp;Dashboard!$L$1&amp;""""))/100),IF(Q2685=Dashboard!$L$1,M2685,M2685*GOOGLEFINANCE(""CURRENCY:""&amp;Q2685&amp;""""&amp;Dashboard!$"&amp;"L$1&amp;""""))),M2685))"),"")</f>
        <v/>
      </c>
      <c r="T2685" s="264" t="str">
        <f t="shared" si="4"/>
        <v/>
      </c>
      <c r="U2685" s="264" t="str">
        <f t="shared" si="5"/>
        <v/>
      </c>
      <c r="V2685" s="264" t="str">
        <f t="shared" si="6"/>
        <v/>
      </c>
      <c r="W2685" s="267" t="str">
        <f t="shared" si="8"/>
        <v/>
      </c>
      <c r="X2685" s="264" t="str">
        <f t="shared" si="7"/>
        <v/>
      </c>
    </row>
    <row r="2686" ht="15.75" customHeight="1">
      <c r="A2686" s="258"/>
      <c r="B2686" s="258"/>
      <c r="C2686" s="269"/>
      <c r="D2686" s="258"/>
      <c r="E2686" s="258"/>
      <c r="F2686" s="258"/>
      <c r="G2686" s="258"/>
      <c r="H2686" s="271"/>
      <c r="I2686" s="258"/>
      <c r="J2686" s="272"/>
      <c r="K2686" s="260"/>
      <c r="L2686" s="261"/>
      <c r="M2686" s="262" t="str">
        <f t="shared" si="1"/>
        <v/>
      </c>
      <c r="N2686" s="263" t="str">
        <f t="shared" si="2"/>
        <v/>
      </c>
      <c r="O2686" s="264" t="str">
        <f t="shared" si="3"/>
        <v/>
      </c>
      <c r="P2686" s="265" t="str">
        <f>IFERROR(__xludf.DUMMYFUNCTION("IF(ISBLANK(A2686),"""",IFERROR(IF(H2686=""Sell"",VLOOKUP(9^99,FILTER({ROW(P$2:P2685),P$2:P2685},D$2:D2685=D2686),2),(VLOOKUP(9^99,FILTER({ROW(P$2:P2685),P$2:P2685},D$2:D2685=D2686),2)*VLOOKUP(9^99,FILTER({ROW(O$2:O2685),O$2:O2685},D$2:D2685=D2686),2)-N268"&amp;"6)/O2686),J2686))"),"")</f>
        <v/>
      </c>
      <c r="Q2686" s="264" t="str">
        <f>IFERROR(__xludf.DUMMYFUNCTION("IFERROR(IF(F2686=""Crypto"",B2686,(IF(ISBLANK(D2686),"""",IF(D2686=""Cash"",B2686,IF(GOOGLEFINANCE(D2686,""CURRENCY"")=""GBX"",""GBP"",GOOGLEFINANCE(D2686,""CURRENCY"")))))),B2686)"),"")</f>
        <v/>
      </c>
      <c r="R2686" s="263" t="str">
        <f>IFERROR(__xludf.DUMMYFUNCTION("IF(ISBLANK(A2686),"""",IFERROR(IF(OR(Q2686=""GPB"",Q2686=""ZAR""),IF(Q2686=Dashboard!$L$1,K2686,(K2686*GOOGLEFINANCE(""CURRENCY:""&amp;Q2686&amp;""""&amp;Dashboard!$L$1&amp;""""))/100),IF(Q2686=Dashboard!$L$1,K2686,K2686*GOOGLEFINANCE(""CURRENCY:""&amp;Q2686&amp;""""&amp;Dashboard!$"&amp;"L$1&amp;""""))),K2686))"),"")</f>
        <v/>
      </c>
      <c r="S2686" s="266" t="str">
        <f>IFERROR(__xludf.DUMMYFUNCTION("IF(ISBLANK(A2686),"""",IFERROR(IF(OR(Q2686=""GPB"",Q2686=""ZAR""),IF(Q2686=Dashboard!$L$1,M2686,(M2686*GOOGLEFINANCE(""CURRENCY:""&amp;Q2686&amp;""""&amp;Dashboard!$L$1&amp;""""))/100),IF(Q2686=Dashboard!$L$1,M2686,M2686*GOOGLEFINANCE(""CURRENCY:""&amp;Q2686&amp;""""&amp;Dashboard!$"&amp;"L$1&amp;""""))),M2686))"),"")</f>
        <v/>
      </c>
      <c r="T2686" s="264" t="str">
        <f t="shared" si="4"/>
        <v/>
      </c>
      <c r="U2686" s="264" t="str">
        <f t="shared" si="5"/>
        <v/>
      </c>
      <c r="V2686" s="264" t="str">
        <f t="shared" si="6"/>
        <v/>
      </c>
      <c r="W2686" s="267" t="str">
        <f t="shared" si="8"/>
        <v/>
      </c>
      <c r="X2686" s="264" t="str">
        <f t="shared" si="7"/>
        <v/>
      </c>
    </row>
    <row r="2687" ht="15.75" customHeight="1">
      <c r="A2687" s="258"/>
      <c r="B2687" s="258"/>
      <c r="C2687" s="269"/>
      <c r="D2687" s="258"/>
      <c r="E2687" s="258"/>
      <c r="F2687" s="258"/>
      <c r="G2687" s="258"/>
      <c r="H2687" s="271"/>
      <c r="I2687" s="258"/>
      <c r="J2687" s="272"/>
      <c r="K2687" s="260"/>
      <c r="L2687" s="261"/>
      <c r="M2687" s="262" t="str">
        <f t="shared" si="1"/>
        <v/>
      </c>
      <c r="N2687" s="263" t="str">
        <f t="shared" si="2"/>
        <v/>
      </c>
      <c r="O2687" s="264" t="str">
        <f t="shared" si="3"/>
        <v/>
      </c>
      <c r="P2687" s="265" t="str">
        <f>IFERROR(__xludf.DUMMYFUNCTION("IF(ISBLANK(A2687),"""",IFERROR(IF(H2687=""Sell"",VLOOKUP(9^99,FILTER({ROW(P$2:P2686),P$2:P2686},D$2:D2686=D2687),2),(VLOOKUP(9^99,FILTER({ROW(P$2:P2686),P$2:P2686},D$2:D2686=D2687),2)*VLOOKUP(9^99,FILTER({ROW(O$2:O2686),O$2:O2686},D$2:D2686=D2687),2)-N268"&amp;"7)/O2687),J2687))"),"")</f>
        <v/>
      </c>
      <c r="Q2687" s="264" t="str">
        <f>IFERROR(__xludf.DUMMYFUNCTION("IFERROR(IF(F2687=""Crypto"",B2687,(IF(ISBLANK(D2687),"""",IF(D2687=""Cash"",B2687,IF(GOOGLEFINANCE(D2687,""CURRENCY"")=""GBX"",""GBP"",GOOGLEFINANCE(D2687,""CURRENCY"")))))),B2687)"),"")</f>
        <v/>
      </c>
      <c r="R2687" s="263" t="str">
        <f>IFERROR(__xludf.DUMMYFUNCTION("IF(ISBLANK(A2687),"""",IFERROR(IF(OR(Q2687=""GPB"",Q2687=""ZAR""),IF(Q2687=Dashboard!$L$1,K2687,(K2687*GOOGLEFINANCE(""CURRENCY:""&amp;Q2687&amp;""""&amp;Dashboard!$L$1&amp;""""))/100),IF(Q2687=Dashboard!$L$1,K2687,K2687*GOOGLEFINANCE(""CURRENCY:""&amp;Q2687&amp;""""&amp;Dashboard!$"&amp;"L$1&amp;""""))),K2687))"),"")</f>
        <v/>
      </c>
      <c r="S2687" s="266" t="str">
        <f>IFERROR(__xludf.DUMMYFUNCTION("IF(ISBLANK(A2687),"""",IFERROR(IF(OR(Q2687=""GPB"",Q2687=""ZAR""),IF(Q2687=Dashboard!$L$1,M2687,(M2687*GOOGLEFINANCE(""CURRENCY:""&amp;Q2687&amp;""""&amp;Dashboard!$L$1&amp;""""))/100),IF(Q2687=Dashboard!$L$1,M2687,M2687*GOOGLEFINANCE(""CURRENCY:""&amp;Q2687&amp;""""&amp;Dashboard!$"&amp;"L$1&amp;""""))),M2687))"),"")</f>
        <v/>
      </c>
      <c r="T2687" s="264" t="str">
        <f t="shared" si="4"/>
        <v/>
      </c>
      <c r="U2687" s="264" t="str">
        <f t="shared" si="5"/>
        <v/>
      </c>
      <c r="V2687" s="264" t="str">
        <f t="shared" si="6"/>
        <v/>
      </c>
      <c r="W2687" s="267" t="str">
        <f t="shared" si="8"/>
        <v/>
      </c>
      <c r="X2687" s="264" t="str">
        <f t="shared" si="7"/>
        <v/>
      </c>
    </row>
    <row r="2688" ht="15.75" customHeight="1">
      <c r="A2688" s="258"/>
      <c r="B2688" s="258"/>
      <c r="C2688" s="269"/>
      <c r="D2688" s="258"/>
      <c r="E2688" s="258"/>
      <c r="F2688" s="258"/>
      <c r="G2688" s="258"/>
      <c r="H2688" s="271"/>
      <c r="I2688" s="258"/>
      <c r="J2688" s="272"/>
      <c r="K2688" s="260"/>
      <c r="L2688" s="261"/>
      <c r="M2688" s="262" t="str">
        <f t="shared" si="1"/>
        <v/>
      </c>
      <c r="N2688" s="263" t="str">
        <f t="shared" si="2"/>
        <v/>
      </c>
      <c r="O2688" s="264" t="str">
        <f t="shared" si="3"/>
        <v/>
      </c>
      <c r="P2688" s="265" t="str">
        <f>IFERROR(__xludf.DUMMYFUNCTION("IF(ISBLANK(A2688),"""",IFERROR(IF(H2688=""Sell"",VLOOKUP(9^99,FILTER({ROW(P$2:P2687),P$2:P2687},D$2:D2687=D2688),2),(VLOOKUP(9^99,FILTER({ROW(P$2:P2687),P$2:P2687},D$2:D2687=D2688),2)*VLOOKUP(9^99,FILTER({ROW(O$2:O2687),O$2:O2687},D$2:D2687=D2688),2)-N268"&amp;"8)/O2688),J2688))"),"")</f>
        <v/>
      </c>
      <c r="Q2688" s="264" t="str">
        <f>IFERROR(__xludf.DUMMYFUNCTION("IFERROR(IF(F2688=""Crypto"",B2688,(IF(ISBLANK(D2688),"""",IF(D2688=""Cash"",B2688,IF(GOOGLEFINANCE(D2688,""CURRENCY"")=""GBX"",""GBP"",GOOGLEFINANCE(D2688,""CURRENCY"")))))),B2688)"),"")</f>
        <v/>
      </c>
      <c r="R2688" s="263" t="str">
        <f>IFERROR(__xludf.DUMMYFUNCTION("IF(ISBLANK(A2688),"""",IFERROR(IF(OR(Q2688=""GPB"",Q2688=""ZAR""),IF(Q2688=Dashboard!$L$1,K2688,(K2688*GOOGLEFINANCE(""CURRENCY:""&amp;Q2688&amp;""""&amp;Dashboard!$L$1&amp;""""))/100),IF(Q2688=Dashboard!$L$1,K2688,K2688*GOOGLEFINANCE(""CURRENCY:""&amp;Q2688&amp;""""&amp;Dashboard!$"&amp;"L$1&amp;""""))),K2688))"),"")</f>
        <v/>
      </c>
      <c r="S2688" s="266" t="str">
        <f>IFERROR(__xludf.DUMMYFUNCTION("IF(ISBLANK(A2688),"""",IFERROR(IF(OR(Q2688=""GPB"",Q2688=""ZAR""),IF(Q2688=Dashboard!$L$1,M2688,(M2688*GOOGLEFINANCE(""CURRENCY:""&amp;Q2688&amp;""""&amp;Dashboard!$L$1&amp;""""))/100),IF(Q2688=Dashboard!$L$1,M2688,M2688*GOOGLEFINANCE(""CURRENCY:""&amp;Q2688&amp;""""&amp;Dashboard!$"&amp;"L$1&amp;""""))),M2688))"),"")</f>
        <v/>
      </c>
      <c r="T2688" s="264" t="str">
        <f t="shared" si="4"/>
        <v/>
      </c>
      <c r="U2688" s="264" t="str">
        <f t="shared" si="5"/>
        <v/>
      </c>
      <c r="V2688" s="264" t="str">
        <f t="shared" si="6"/>
        <v/>
      </c>
      <c r="W2688" s="267" t="str">
        <f t="shared" si="8"/>
        <v/>
      </c>
      <c r="X2688" s="264" t="str">
        <f t="shared" si="7"/>
        <v/>
      </c>
    </row>
    <row r="2689" ht="15.75" customHeight="1">
      <c r="A2689" s="258"/>
      <c r="B2689" s="258"/>
      <c r="C2689" s="269"/>
      <c r="D2689" s="258"/>
      <c r="E2689" s="258"/>
      <c r="F2689" s="258"/>
      <c r="G2689" s="258"/>
      <c r="H2689" s="271"/>
      <c r="I2689" s="258"/>
      <c r="J2689" s="272"/>
      <c r="K2689" s="260"/>
      <c r="L2689" s="261"/>
      <c r="M2689" s="262" t="str">
        <f t="shared" si="1"/>
        <v/>
      </c>
      <c r="N2689" s="263" t="str">
        <f t="shared" si="2"/>
        <v/>
      </c>
      <c r="O2689" s="264" t="str">
        <f t="shared" si="3"/>
        <v/>
      </c>
      <c r="P2689" s="265" t="str">
        <f>IFERROR(__xludf.DUMMYFUNCTION("IF(ISBLANK(A2689),"""",IFERROR(IF(H2689=""Sell"",VLOOKUP(9^99,FILTER({ROW(P$2:P2688),P$2:P2688},D$2:D2688=D2689),2),(VLOOKUP(9^99,FILTER({ROW(P$2:P2688),P$2:P2688},D$2:D2688=D2689),2)*VLOOKUP(9^99,FILTER({ROW(O$2:O2688),O$2:O2688},D$2:D2688=D2689),2)-N268"&amp;"9)/O2689),J2689))"),"")</f>
        <v/>
      </c>
      <c r="Q2689" s="264" t="str">
        <f>IFERROR(__xludf.DUMMYFUNCTION("IFERROR(IF(F2689=""Crypto"",B2689,(IF(ISBLANK(D2689),"""",IF(D2689=""Cash"",B2689,IF(GOOGLEFINANCE(D2689,""CURRENCY"")=""GBX"",""GBP"",GOOGLEFINANCE(D2689,""CURRENCY"")))))),B2689)"),"")</f>
        <v/>
      </c>
      <c r="R2689" s="263" t="str">
        <f>IFERROR(__xludf.DUMMYFUNCTION("IF(ISBLANK(A2689),"""",IFERROR(IF(OR(Q2689=""GPB"",Q2689=""ZAR""),IF(Q2689=Dashboard!$L$1,K2689,(K2689*GOOGLEFINANCE(""CURRENCY:""&amp;Q2689&amp;""""&amp;Dashboard!$L$1&amp;""""))/100),IF(Q2689=Dashboard!$L$1,K2689,K2689*GOOGLEFINANCE(""CURRENCY:""&amp;Q2689&amp;""""&amp;Dashboard!$"&amp;"L$1&amp;""""))),K2689))"),"")</f>
        <v/>
      </c>
      <c r="S2689" s="266" t="str">
        <f>IFERROR(__xludf.DUMMYFUNCTION("IF(ISBLANK(A2689),"""",IFERROR(IF(OR(Q2689=""GPB"",Q2689=""ZAR""),IF(Q2689=Dashboard!$L$1,M2689,(M2689*GOOGLEFINANCE(""CURRENCY:""&amp;Q2689&amp;""""&amp;Dashboard!$L$1&amp;""""))/100),IF(Q2689=Dashboard!$L$1,M2689,M2689*GOOGLEFINANCE(""CURRENCY:""&amp;Q2689&amp;""""&amp;Dashboard!$"&amp;"L$1&amp;""""))),M2689))"),"")</f>
        <v/>
      </c>
      <c r="T2689" s="264" t="str">
        <f t="shared" si="4"/>
        <v/>
      </c>
      <c r="U2689" s="264" t="str">
        <f t="shared" si="5"/>
        <v/>
      </c>
      <c r="V2689" s="264" t="str">
        <f t="shared" si="6"/>
        <v/>
      </c>
      <c r="W2689" s="267" t="str">
        <f t="shared" si="8"/>
        <v/>
      </c>
      <c r="X2689" s="264" t="str">
        <f t="shared" si="7"/>
        <v/>
      </c>
    </row>
    <row r="2690" ht="15.75" customHeight="1">
      <c r="A2690" s="258"/>
      <c r="B2690" s="258"/>
      <c r="C2690" s="269"/>
      <c r="D2690" s="258"/>
      <c r="E2690" s="258"/>
      <c r="F2690" s="258"/>
      <c r="G2690" s="258"/>
      <c r="H2690" s="271"/>
      <c r="I2690" s="258"/>
      <c r="J2690" s="272"/>
      <c r="K2690" s="260"/>
      <c r="L2690" s="261"/>
      <c r="M2690" s="262" t="str">
        <f t="shared" si="1"/>
        <v/>
      </c>
      <c r="N2690" s="263" t="str">
        <f t="shared" si="2"/>
        <v/>
      </c>
      <c r="O2690" s="264" t="str">
        <f t="shared" si="3"/>
        <v/>
      </c>
      <c r="P2690" s="265" t="str">
        <f>IFERROR(__xludf.DUMMYFUNCTION("IF(ISBLANK(A2690),"""",IFERROR(IF(H2690=""Sell"",VLOOKUP(9^99,FILTER({ROW(P$2:P2689),P$2:P2689},D$2:D2689=D2690),2),(VLOOKUP(9^99,FILTER({ROW(P$2:P2689),P$2:P2689},D$2:D2689=D2690),2)*VLOOKUP(9^99,FILTER({ROW(O$2:O2689),O$2:O2689},D$2:D2689=D2690),2)-N269"&amp;"0)/O2690),J2690))"),"")</f>
        <v/>
      </c>
      <c r="Q2690" s="264" t="str">
        <f>IFERROR(__xludf.DUMMYFUNCTION("IFERROR(IF(F2690=""Crypto"",B2690,(IF(ISBLANK(D2690),"""",IF(D2690=""Cash"",B2690,IF(GOOGLEFINANCE(D2690,""CURRENCY"")=""GBX"",""GBP"",GOOGLEFINANCE(D2690,""CURRENCY"")))))),B2690)"),"")</f>
        <v/>
      </c>
      <c r="R2690" s="263" t="str">
        <f>IFERROR(__xludf.DUMMYFUNCTION("IF(ISBLANK(A2690),"""",IFERROR(IF(OR(Q2690=""GPB"",Q2690=""ZAR""),IF(Q2690=Dashboard!$L$1,K2690,(K2690*GOOGLEFINANCE(""CURRENCY:""&amp;Q2690&amp;""""&amp;Dashboard!$L$1&amp;""""))/100),IF(Q2690=Dashboard!$L$1,K2690,K2690*GOOGLEFINANCE(""CURRENCY:""&amp;Q2690&amp;""""&amp;Dashboard!$"&amp;"L$1&amp;""""))),K2690))"),"")</f>
        <v/>
      </c>
      <c r="S2690" s="266" t="str">
        <f>IFERROR(__xludf.DUMMYFUNCTION("IF(ISBLANK(A2690),"""",IFERROR(IF(OR(Q2690=""GPB"",Q2690=""ZAR""),IF(Q2690=Dashboard!$L$1,M2690,(M2690*GOOGLEFINANCE(""CURRENCY:""&amp;Q2690&amp;""""&amp;Dashboard!$L$1&amp;""""))/100),IF(Q2690=Dashboard!$L$1,M2690,M2690*GOOGLEFINANCE(""CURRENCY:""&amp;Q2690&amp;""""&amp;Dashboard!$"&amp;"L$1&amp;""""))),M2690))"),"")</f>
        <v/>
      </c>
      <c r="T2690" s="264" t="str">
        <f t="shared" si="4"/>
        <v/>
      </c>
      <c r="U2690" s="264" t="str">
        <f t="shared" si="5"/>
        <v/>
      </c>
      <c r="V2690" s="264" t="str">
        <f t="shared" si="6"/>
        <v/>
      </c>
      <c r="W2690" s="267" t="str">
        <f t="shared" si="8"/>
        <v/>
      </c>
      <c r="X2690" s="264" t="str">
        <f t="shared" si="7"/>
        <v/>
      </c>
    </row>
    <row r="2691" ht="15.75" customHeight="1">
      <c r="A2691" s="258"/>
      <c r="B2691" s="258"/>
      <c r="C2691" s="269"/>
      <c r="D2691" s="258"/>
      <c r="E2691" s="258"/>
      <c r="F2691" s="258"/>
      <c r="G2691" s="258"/>
      <c r="H2691" s="271"/>
      <c r="I2691" s="258"/>
      <c r="J2691" s="272"/>
      <c r="K2691" s="260"/>
      <c r="L2691" s="261"/>
      <c r="M2691" s="262" t="str">
        <f t="shared" si="1"/>
        <v/>
      </c>
      <c r="N2691" s="263" t="str">
        <f t="shared" si="2"/>
        <v/>
      </c>
      <c r="O2691" s="264" t="str">
        <f t="shared" si="3"/>
        <v/>
      </c>
      <c r="P2691" s="265" t="str">
        <f>IFERROR(__xludf.DUMMYFUNCTION("IF(ISBLANK(A2691),"""",IFERROR(IF(H2691=""Sell"",VLOOKUP(9^99,FILTER({ROW(P$2:P2690),P$2:P2690},D$2:D2690=D2691),2),(VLOOKUP(9^99,FILTER({ROW(P$2:P2690),P$2:P2690},D$2:D2690=D2691),2)*VLOOKUP(9^99,FILTER({ROW(O$2:O2690),O$2:O2690},D$2:D2690=D2691),2)-N269"&amp;"1)/O2691),J2691))"),"")</f>
        <v/>
      </c>
      <c r="Q2691" s="264" t="str">
        <f>IFERROR(__xludf.DUMMYFUNCTION("IFERROR(IF(F2691=""Crypto"",B2691,(IF(ISBLANK(D2691),"""",IF(D2691=""Cash"",B2691,IF(GOOGLEFINANCE(D2691,""CURRENCY"")=""GBX"",""GBP"",GOOGLEFINANCE(D2691,""CURRENCY"")))))),B2691)"),"")</f>
        <v/>
      </c>
      <c r="R2691" s="263" t="str">
        <f>IFERROR(__xludf.DUMMYFUNCTION("IF(ISBLANK(A2691),"""",IFERROR(IF(OR(Q2691=""GPB"",Q2691=""ZAR""),IF(Q2691=Dashboard!$L$1,K2691,(K2691*GOOGLEFINANCE(""CURRENCY:""&amp;Q2691&amp;""""&amp;Dashboard!$L$1&amp;""""))/100),IF(Q2691=Dashboard!$L$1,K2691,K2691*GOOGLEFINANCE(""CURRENCY:""&amp;Q2691&amp;""""&amp;Dashboard!$"&amp;"L$1&amp;""""))),K2691))"),"")</f>
        <v/>
      </c>
      <c r="S2691" s="266" t="str">
        <f>IFERROR(__xludf.DUMMYFUNCTION("IF(ISBLANK(A2691),"""",IFERROR(IF(OR(Q2691=""GPB"",Q2691=""ZAR""),IF(Q2691=Dashboard!$L$1,M2691,(M2691*GOOGLEFINANCE(""CURRENCY:""&amp;Q2691&amp;""""&amp;Dashboard!$L$1&amp;""""))/100),IF(Q2691=Dashboard!$L$1,M2691,M2691*GOOGLEFINANCE(""CURRENCY:""&amp;Q2691&amp;""""&amp;Dashboard!$"&amp;"L$1&amp;""""))),M2691))"),"")</f>
        <v/>
      </c>
      <c r="T2691" s="264" t="str">
        <f t="shared" si="4"/>
        <v/>
      </c>
      <c r="U2691" s="264" t="str">
        <f t="shared" si="5"/>
        <v/>
      </c>
      <c r="V2691" s="264" t="str">
        <f t="shared" si="6"/>
        <v/>
      </c>
      <c r="W2691" s="267" t="str">
        <f t="shared" si="8"/>
        <v/>
      </c>
      <c r="X2691" s="264" t="str">
        <f t="shared" si="7"/>
        <v/>
      </c>
    </row>
    <row r="2692" ht="15.75" customHeight="1">
      <c r="A2692" s="258"/>
      <c r="B2692" s="258"/>
      <c r="C2692" s="269"/>
      <c r="D2692" s="258"/>
      <c r="E2692" s="258"/>
      <c r="F2692" s="258"/>
      <c r="G2692" s="258"/>
      <c r="H2692" s="271"/>
      <c r="I2692" s="258"/>
      <c r="J2692" s="272"/>
      <c r="K2692" s="260"/>
      <c r="L2692" s="261"/>
      <c r="M2692" s="262" t="str">
        <f t="shared" si="1"/>
        <v/>
      </c>
      <c r="N2692" s="263" t="str">
        <f t="shared" si="2"/>
        <v/>
      </c>
      <c r="O2692" s="264" t="str">
        <f t="shared" si="3"/>
        <v/>
      </c>
      <c r="P2692" s="265" t="str">
        <f>IFERROR(__xludf.DUMMYFUNCTION("IF(ISBLANK(A2692),"""",IFERROR(IF(H2692=""Sell"",VLOOKUP(9^99,FILTER({ROW(P$2:P2691),P$2:P2691},D$2:D2691=D2692),2),(VLOOKUP(9^99,FILTER({ROW(P$2:P2691),P$2:P2691},D$2:D2691=D2692),2)*VLOOKUP(9^99,FILTER({ROW(O$2:O2691),O$2:O2691},D$2:D2691=D2692),2)-N269"&amp;"2)/O2692),J2692))"),"")</f>
        <v/>
      </c>
      <c r="Q2692" s="264" t="str">
        <f>IFERROR(__xludf.DUMMYFUNCTION("IFERROR(IF(F2692=""Crypto"",B2692,(IF(ISBLANK(D2692),"""",IF(D2692=""Cash"",B2692,IF(GOOGLEFINANCE(D2692,""CURRENCY"")=""GBX"",""GBP"",GOOGLEFINANCE(D2692,""CURRENCY"")))))),B2692)"),"")</f>
        <v/>
      </c>
      <c r="R2692" s="263" t="str">
        <f>IFERROR(__xludf.DUMMYFUNCTION("IF(ISBLANK(A2692),"""",IFERROR(IF(OR(Q2692=""GPB"",Q2692=""ZAR""),IF(Q2692=Dashboard!$L$1,K2692,(K2692*GOOGLEFINANCE(""CURRENCY:""&amp;Q2692&amp;""""&amp;Dashboard!$L$1&amp;""""))/100),IF(Q2692=Dashboard!$L$1,K2692,K2692*GOOGLEFINANCE(""CURRENCY:""&amp;Q2692&amp;""""&amp;Dashboard!$"&amp;"L$1&amp;""""))),K2692))"),"")</f>
        <v/>
      </c>
      <c r="S2692" s="266" t="str">
        <f>IFERROR(__xludf.DUMMYFUNCTION("IF(ISBLANK(A2692),"""",IFERROR(IF(OR(Q2692=""GPB"",Q2692=""ZAR""),IF(Q2692=Dashboard!$L$1,M2692,(M2692*GOOGLEFINANCE(""CURRENCY:""&amp;Q2692&amp;""""&amp;Dashboard!$L$1&amp;""""))/100),IF(Q2692=Dashboard!$L$1,M2692,M2692*GOOGLEFINANCE(""CURRENCY:""&amp;Q2692&amp;""""&amp;Dashboard!$"&amp;"L$1&amp;""""))),M2692))"),"")</f>
        <v/>
      </c>
      <c r="T2692" s="264" t="str">
        <f t="shared" si="4"/>
        <v/>
      </c>
      <c r="U2692" s="264" t="str">
        <f t="shared" si="5"/>
        <v/>
      </c>
      <c r="V2692" s="264" t="str">
        <f t="shared" si="6"/>
        <v/>
      </c>
      <c r="W2692" s="267" t="str">
        <f t="shared" si="8"/>
        <v/>
      </c>
      <c r="X2692" s="264" t="str">
        <f t="shared" si="7"/>
        <v/>
      </c>
    </row>
    <row r="2693" ht="15.75" customHeight="1">
      <c r="A2693" s="258"/>
      <c r="B2693" s="258"/>
      <c r="C2693" s="269"/>
      <c r="D2693" s="258"/>
      <c r="E2693" s="258"/>
      <c r="F2693" s="258"/>
      <c r="G2693" s="258"/>
      <c r="H2693" s="271"/>
      <c r="I2693" s="258"/>
      <c r="J2693" s="272"/>
      <c r="K2693" s="260"/>
      <c r="L2693" s="261"/>
      <c r="M2693" s="262" t="str">
        <f t="shared" si="1"/>
        <v/>
      </c>
      <c r="N2693" s="263" t="str">
        <f t="shared" si="2"/>
        <v/>
      </c>
      <c r="O2693" s="264" t="str">
        <f t="shared" si="3"/>
        <v/>
      </c>
      <c r="P2693" s="265" t="str">
        <f>IFERROR(__xludf.DUMMYFUNCTION("IF(ISBLANK(A2693),"""",IFERROR(IF(H2693=""Sell"",VLOOKUP(9^99,FILTER({ROW(P$2:P2692),P$2:P2692},D$2:D2692=D2693),2),(VLOOKUP(9^99,FILTER({ROW(P$2:P2692),P$2:P2692},D$2:D2692=D2693),2)*VLOOKUP(9^99,FILTER({ROW(O$2:O2692),O$2:O2692},D$2:D2692=D2693),2)-N269"&amp;"3)/O2693),J2693))"),"")</f>
        <v/>
      </c>
      <c r="Q2693" s="264" t="str">
        <f>IFERROR(__xludf.DUMMYFUNCTION("IFERROR(IF(F2693=""Crypto"",B2693,(IF(ISBLANK(D2693),"""",IF(D2693=""Cash"",B2693,IF(GOOGLEFINANCE(D2693,""CURRENCY"")=""GBX"",""GBP"",GOOGLEFINANCE(D2693,""CURRENCY"")))))),B2693)"),"")</f>
        <v/>
      </c>
      <c r="R2693" s="263" t="str">
        <f>IFERROR(__xludf.DUMMYFUNCTION("IF(ISBLANK(A2693),"""",IFERROR(IF(OR(Q2693=""GPB"",Q2693=""ZAR""),IF(Q2693=Dashboard!$L$1,K2693,(K2693*GOOGLEFINANCE(""CURRENCY:""&amp;Q2693&amp;""""&amp;Dashboard!$L$1&amp;""""))/100),IF(Q2693=Dashboard!$L$1,K2693,K2693*GOOGLEFINANCE(""CURRENCY:""&amp;Q2693&amp;""""&amp;Dashboard!$"&amp;"L$1&amp;""""))),K2693))"),"")</f>
        <v/>
      </c>
      <c r="S2693" s="266" t="str">
        <f>IFERROR(__xludf.DUMMYFUNCTION("IF(ISBLANK(A2693),"""",IFERROR(IF(OR(Q2693=""GPB"",Q2693=""ZAR""),IF(Q2693=Dashboard!$L$1,M2693,(M2693*GOOGLEFINANCE(""CURRENCY:""&amp;Q2693&amp;""""&amp;Dashboard!$L$1&amp;""""))/100),IF(Q2693=Dashboard!$L$1,M2693,M2693*GOOGLEFINANCE(""CURRENCY:""&amp;Q2693&amp;""""&amp;Dashboard!$"&amp;"L$1&amp;""""))),M2693))"),"")</f>
        <v/>
      </c>
      <c r="T2693" s="264" t="str">
        <f t="shared" si="4"/>
        <v/>
      </c>
      <c r="U2693" s="264" t="str">
        <f t="shared" si="5"/>
        <v/>
      </c>
      <c r="V2693" s="264" t="str">
        <f t="shared" si="6"/>
        <v/>
      </c>
      <c r="W2693" s="267" t="str">
        <f t="shared" si="8"/>
        <v/>
      </c>
      <c r="X2693" s="264" t="str">
        <f t="shared" si="7"/>
        <v/>
      </c>
    </row>
    <row r="2694" ht="15.75" customHeight="1">
      <c r="A2694" s="258"/>
      <c r="B2694" s="258"/>
      <c r="C2694" s="269"/>
      <c r="D2694" s="258"/>
      <c r="E2694" s="258"/>
      <c r="F2694" s="258"/>
      <c r="G2694" s="258"/>
      <c r="H2694" s="271"/>
      <c r="I2694" s="258"/>
      <c r="J2694" s="272"/>
      <c r="K2694" s="260"/>
      <c r="L2694" s="261"/>
      <c r="M2694" s="262" t="str">
        <f t="shared" si="1"/>
        <v/>
      </c>
      <c r="N2694" s="263" t="str">
        <f t="shared" si="2"/>
        <v/>
      </c>
      <c r="O2694" s="264" t="str">
        <f t="shared" si="3"/>
        <v/>
      </c>
      <c r="P2694" s="265" t="str">
        <f>IFERROR(__xludf.DUMMYFUNCTION("IF(ISBLANK(A2694),"""",IFERROR(IF(H2694=""Sell"",VLOOKUP(9^99,FILTER({ROW(P$2:P2693),P$2:P2693},D$2:D2693=D2694),2),(VLOOKUP(9^99,FILTER({ROW(P$2:P2693),P$2:P2693},D$2:D2693=D2694),2)*VLOOKUP(9^99,FILTER({ROW(O$2:O2693),O$2:O2693},D$2:D2693=D2694),2)-N269"&amp;"4)/O2694),J2694))"),"")</f>
        <v/>
      </c>
      <c r="Q2694" s="264" t="str">
        <f>IFERROR(__xludf.DUMMYFUNCTION("IFERROR(IF(F2694=""Crypto"",B2694,(IF(ISBLANK(D2694),"""",IF(D2694=""Cash"",B2694,IF(GOOGLEFINANCE(D2694,""CURRENCY"")=""GBX"",""GBP"",GOOGLEFINANCE(D2694,""CURRENCY"")))))),B2694)"),"")</f>
        <v/>
      </c>
      <c r="R2694" s="263" t="str">
        <f>IFERROR(__xludf.DUMMYFUNCTION("IF(ISBLANK(A2694),"""",IFERROR(IF(OR(Q2694=""GPB"",Q2694=""ZAR""),IF(Q2694=Dashboard!$L$1,K2694,(K2694*GOOGLEFINANCE(""CURRENCY:""&amp;Q2694&amp;""""&amp;Dashboard!$L$1&amp;""""))/100),IF(Q2694=Dashboard!$L$1,K2694,K2694*GOOGLEFINANCE(""CURRENCY:""&amp;Q2694&amp;""""&amp;Dashboard!$"&amp;"L$1&amp;""""))),K2694))"),"")</f>
        <v/>
      </c>
      <c r="S2694" s="266" t="str">
        <f>IFERROR(__xludf.DUMMYFUNCTION("IF(ISBLANK(A2694),"""",IFERROR(IF(OR(Q2694=""GPB"",Q2694=""ZAR""),IF(Q2694=Dashboard!$L$1,M2694,(M2694*GOOGLEFINANCE(""CURRENCY:""&amp;Q2694&amp;""""&amp;Dashboard!$L$1&amp;""""))/100),IF(Q2694=Dashboard!$L$1,M2694,M2694*GOOGLEFINANCE(""CURRENCY:""&amp;Q2694&amp;""""&amp;Dashboard!$"&amp;"L$1&amp;""""))),M2694))"),"")</f>
        <v/>
      </c>
      <c r="T2694" s="264" t="str">
        <f t="shared" si="4"/>
        <v/>
      </c>
      <c r="U2694" s="264" t="str">
        <f t="shared" si="5"/>
        <v/>
      </c>
      <c r="V2694" s="264" t="str">
        <f t="shared" si="6"/>
        <v/>
      </c>
      <c r="W2694" s="267" t="str">
        <f t="shared" si="8"/>
        <v/>
      </c>
      <c r="X2694" s="264" t="str">
        <f t="shared" si="7"/>
        <v/>
      </c>
    </row>
    <row r="2695" ht="15.75" customHeight="1">
      <c r="A2695" s="258"/>
      <c r="B2695" s="258"/>
      <c r="C2695" s="269"/>
      <c r="D2695" s="258"/>
      <c r="E2695" s="258"/>
      <c r="F2695" s="258"/>
      <c r="G2695" s="258"/>
      <c r="H2695" s="271"/>
      <c r="I2695" s="258"/>
      <c r="J2695" s="272"/>
      <c r="K2695" s="260"/>
      <c r="L2695" s="261"/>
      <c r="M2695" s="262" t="str">
        <f t="shared" si="1"/>
        <v/>
      </c>
      <c r="N2695" s="263" t="str">
        <f t="shared" si="2"/>
        <v/>
      </c>
      <c r="O2695" s="264" t="str">
        <f t="shared" si="3"/>
        <v/>
      </c>
      <c r="P2695" s="265" t="str">
        <f>IFERROR(__xludf.DUMMYFUNCTION("IF(ISBLANK(A2695),"""",IFERROR(IF(H2695=""Sell"",VLOOKUP(9^99,FILTER({ROW(P$2:P2694),P$2:P2694},D$2:D2694=D2695),2),(VLOOKUP(9^99,FILTER({ROW(P$2:P2694),P$2:P2694},D$2:D2694=D2695),2)*VLOOKUP(9^99,FILTER({ROW(O$2:O2694),O$2:O2694},D$2:D2694=D2695),2)-N269"&amp;"5)/O2695),J2695))"),"")</f>
        <v/>
      </c>
      <c r="Q2695" s="264" t="str">
        <f>IFERROR(__xludf.DUMMYFUNCTION("IFERROR(IF(F2695=""Crypto"",B2695,(IF(ISBLANK(D2695),"""",IF(D2695=""Cash"",B2695,IF(GOOGLEFINANCE(D2695,""CURRENCY"")=""GBX"",""GBP"",GOOGLEFINANCE(D2695,""CURRENCY"")))))),B2695)"),"")</f>
        <v/>
      </c>
      <c r="R2695" s="263" t="str">
        <f>IFERROR(__xludf.DUMMYFUNCTION("IF(ISBLANK(A2695),"""",IFERROR(IF(OR(Q2695=""GPB"",Q2695=""ZAR""),IF(Q2695=Dashboard!$L$1,K2695,(K2695*GOOGLEFINANCE(""CURRENCY:""&amp;Q2695&amp;""""&amp;Dashboard!$L$1&amp;""""))/100),IF(Q2695=Dashboard!$L$1,K2695,K2695*GOOGLEFINANCE(""CURRENCY:""&amp;Q2695&amp;""""&amp;Dashboard!$"&amp;"L$1&amp;""""))),K2695))"),"")</f>
        <v/>
      </c>
      <c r="S2695" s="266" t="str">
        <f>IFERROR(__xludf.DUMMYFUNCTION("IF(ISBLANK(A2695),"""",IFERROR(IF(OR(Q2695=""GPB"",Q2695=""ZAR""),IF(Q2695=Dashboard!$L$1,M2695,(M2695*GOOGLEFINANCE(""CURRENCY:""&amp;Q2695&amp;""""&amp;Dashboard!$L$1&amp;""""))/100),IF(Q2695=Dashboard!$L$1,M2695,M2695*GOOGLEFINANCE(""CURRENCY:""&amp;Q2695&amp;""""&amp;Dashboard!$"&amp;"L$1&amp;""""))),M2695))"),"")</f>
        <v/>
      </c>
      <c r="T2695" s="264" t="str">
        <f t="shared" si="4"/>
        <v/>
      </c>
      <c r="U2695" s="264" t="str">
        <f t="shared" si="5"/>
        <v/>
      </c>
      <c r="V2695" s="264" t="str">
        <f t="shared" si="6"/>
        <v/>
      </c>
      <c r="W2695" s="267" t="str">
        <f t="shared" si="8"/>
        <v/>
      </c>
      <c r="X2695" s="264" t="str">
        <f t="shared" si="7"/>
        <v/>
      </c>
    </row>
    <row r="2696" ht="15.75" customHeight="1">
      <c r="A2696" s="258"/>
      <c r="B2696" s="258"/>
      <c r="C2696" s="269"/>
      <c r="D2696" s="258"/>
      <c r="E2696" s="258"/>
      <c r="F2696" s="258"/>
      <c r="G2696" s="258"/>
      <c r="H2696" s="271"/>
      <c r="I2696" s="258"/>
      <c r="J2696" s="272"/>
      <c r="K2696" s="260"/>
      <c r="L2696" s="261"/>
      <c r="M2696" s="262" t="str">
        <f t="shared" si="1"/>
        <v/>
      </c>
      <c r="N2696" s="263" t="str">
        <f t="shared" si="2"/>
        <v/>
      </c>
      <c r="O2696" s="264" t="str">
        <f t="shared" si="3"/>
        <v/>
      </c>
      <c r="P2696" s="265" t="str">
        <f>IFERROR(__xludf.DUMMYFUNCTION("IF(ISBLANK(A2696),"""",IFERROR(IF(H2696=""Sell"",VLOOKUP(9^99,FILTER({ROW(P$2:P2695),P$2:P2695},D$2:D2695=D2696),2),(VLOOKUP(9^99,FILTER({ROW(P$2:P2695),P$2:P2695},D$2:D2695=D2696),2)*VLOOKUP(9^99,FILTER({ROW(O$2:O2695),O$2:O2695},D$2:D2695=D2696),2)-N269"&amp;"6)/O2696),J2696))"),"")</f>
        <v/>
      </c>
      <c r="Q2696" s="264" t="str">
        <f>IFERROR(__xludf.DUMMYFUNCTION("IFERROR(IF(F2696=""Crypto"",B2696,(IF(ISBLANK(D2696),"""",IF(D2696=""Cash"",B2696,IF(GOOGLEFINANCE(D2696,""CURRENCY"")=""GBX"",""GBP"",GOOGLEFINANCE(D2696,""CURRENCY"")))))),B2696)"),"")</f>
        <v/>
      </c>
      <c r="R2696" s="263" t="str">
        <f>IFERROR(__xludf.DUMMYFUNCTION("IF(ISBLANK(A2696),"""",IFERROR(IF(OR(Q2696=""GPB"",Q2696=""ZAR""),IF(Q2696=Dashboard!$L$1,K2696,(K2696*GOOGLEFINANCE(""CURRENCY:""&amp;Q2696&amp;""""&amp;Dashboard!$L$1&amp;""""))/100),IF(Q2696=Dashboard!$L$1,K2696,K2696*GOOGLEFINANCE(""CURRENCY:""&amp;Q2696&amp;""""&amp;Dashboard!$"&amp;"L$1&amp;""""))),K2696))"),"")</f>
        <v/>
      </c>
      <c r="S2696" s="266" t="str">
        <f>IFERROR(__xludf.DUMMYFUNCTION("IF(ISBLANK(A2696),"""",IFERROR(IF(OR(Q2696=""GPB"",Q2696=""ZAR""),IF(Q2696=Dashboard!$L$1,M2696,(M2696*GOOGLEFINANCE(""CURRENCY:""&amp;Q2696&amp;""""&amp;Dashboard!$L$1&amp;""""))/100),IF(Q2696=Dashboard!$L$1,M2696,M2696*GOOGLEFINANCE(""CURRENCY:""&amp;Q2696&amp;""""&amp;Dashboard!$"&amp;"L$1&amp;""""))),M2696))"),"")</f>
        <v/>
      </c>
      <c r="T2696" s="264" t="str">
        <f t="shared" si="4"/>
        <v/>
      </c>
      <c r="U2696" s="264" t="str">
        <f t="shared" si="5"/>
        <v/>
      </c>
      <c r="V2696" s="264" t="str">
        <f t="shared" si="6"/>
        <v/>
      </c>
      <c r="W2696" s="267" t="str">
        <f t="shared" si="8"/>
        <v/>
      </c>
      <c r="X2696" s="264" t="str">
        <f t="shared" si="7"/>
        <v/>
      </c>
    </row>
    <row r="2697" ht="15.75" customHeight="1">
      <c r="A2697" s="258"/>
      <c r="B2697" s="258"/>
      <c r="C2697" s="269"/>
      <c r="D2697" s="258"/>
      <c r="E2697" s="258"/>
      <c r="F2697" s="258"/>
      <c r="G2697" s="258"/>
      <c r="H2697" s="271"/>
      <c r="I2697" s="258"/>
      <c r="J2697" s="272"/>
      <c r="K2697" s="260"/>
      <c r="L2697" s="261"/>
      <c r="M2697" s="262" t="str">
        <f t="shared" si="1"/>
        <v/>
      </c>
      <c r="N2697" s="263" t="str">
        <f t="shared" si="2"/>
        <v/>
      </c>
      <c r="O2697" s="264" t="str">
        <f t="shared" si="3"/>
        <v/>
      </c>
      <c r="P2697" s="265" t="str">
        <f>IFERROR(__xludf.DUMMYFUNCTION("IF(ISBLANK(A2697),"""",IFERROR(IF(H2697=""Sell"",VLOOKUP(9^99,FILTER({ROW(P$2:P2696),P$2:P2696},D$2:D2696=D2697),2),(VLOOKUP(9^99,FILTER({ROW(P$2:P2696),P$2:P2696},D$2:D2696=D2697),2)*VLOOKUP(9^99,FILTER({ROW(O$2:O2696),O$2:O2696},D$2:D2696=D2697),2)-N269"&amp;"7)/O2697),J2697))"),"")</f>
        <v/>
      </c>
      <c r="Q2697" s="264" t="str">
        <f>IFERROR(__xludf.DUMMYFUNCTION("IFERROR(IF(F2697=""Crypto"",B2697,(IF(ISBLANK(D2697),"""",IF(D2697=""Cash"",B2697,IF(GOOGLEFINANCE(D2697,""CURRENCY"")=""GBX"",""GBP"",GOOGLEFINANCE(D2697,""CURRENCY"")))))),B2697)"),"")</f>
        <v/>
      </c>
      <c r="R2697" s="263" t="str">
        <f>IFERROR(__xludf.DUMMYFUNCTION("IF(ISBLANK(A2697),"""",IFERROR(IF(OR(Q2697=""GPB"",Q2697=""ZAR""),IF(Q2697=Dashboard!$L$1,K2697,(K2697*GOOGLEFINANCE(""CURRENCY:""&amp;Q2697&amp;""""&amp;Dashboard!$L$1&amp;""""))/100),IF(Q2697=Dashboard!$L$1,K2697,K2697*GOOGLEFINANCE(""CURRENCY:""&amp;Q2697&amp;""""&amp;Dashboard!$"&amp;"L$1&amp;""""))),K2697))"),"")</f>
        <v/>
      </c>
      <c r="S2697" s="266" t="str">
        <f>IFERROR(__xludf.DUMMYFUNCTION("IF(ISBLANK(A2697),"""",IFERROR(IF(OR(Q2697=""GPB"",Q2697=""ZAR""),IF(Q2697=Dashboard!$L$1,M2697,(M2697*GOOGLEFINANCE(""CURRENCY:""&amp;Q2697&amp;""""&amp;Dashboard!$L$1&amp;""""))/100),IF(Q2697=Dashboard!$L$1,M2697,M2697*GOOGLEFINANCE(""CURRENCY:""&amp;Q2697&amp;""""&amp;Dashboard!$"&amp;"L$1&amp;""""))),M2697))"),"")</f>
        <v/>
      </c>
      <c r="T2697" s="264" t="str">
        <f t="shared" si="4"/>
        <v/>
      </c>
      <c r="U2697" s="264" t="str">
        <f t="shared" si="5"/>
        <v/>
      </c>
      <c r="V2697" s="264" t="str">
        <f t="shared" si="6"/>
        <v/>
      </c>
      <c r="W2697" s="267" t="str">
        <f t="shared" si="8"/>
        <v/>
      </c>
      <c r="X2697" s="264" t="str">
        <f t="shared" si="7"/>
        <v/>
      </c>
    </row>
    <row r="2698" ht="15.75" customHeight="1">
      <c r="A2698" s="258"/>
      <c r="B2698" s="258"/>
      <c r="C2698" s="269"/>
      <c r="D2698" s="258"/>
      <c r="E2698" s="258"/>
      <c r="F2698" s="258"/>
      <c r="G2698" s="258"/>
      <c r="H2698" s="271"/>
      <c r="I2698" s="258"/>
      <c r="J2698" s="272"/>
      <c r="K2698" s="260"/>
      <c r="L2698" s="261"/>
      <c r="M2698" s="262" t="str">
        <f t="shared" si="1"/>
        <v/>
      </c>
      <c r="N2698" s="263" t="str">
        <f t="shared" si="2"/>
        <v/>
      </c>
      <c r="O2698" s="264" t="str">
        <f t="shared" si="3"/>
        <v/>
      </c>
      <c r="P2698" s="265" t="str">
        <f>IFERROR(__xludf.DUMMYFUNCTION("IF(ISBLANK(A2698),"""",IFERROR(IF(H2698=""Sell"",VLOOKUP(9^99,FILTER({ROW(P$2:P2697),P$2:P2697},D$2:D2697=D2698),2),(VLOOKUP(9^99,FILTER({ROW(P$2:P2697),P$2:P2697},D$2:D2697=D2698),2)*VLOOKUP(9^99,FILTER({ROW(O$2:O2697),O$2:O2697},D$2:D2697=D2698),2)-N269"&amp;"8)/O2698),J2698))"),"")</f>
        <v/>
      </c>
      <c r="Q2698" s="264" t="str">
        <f>IFERROR(__xludf.DUMMYFUNCTION("IFERROR(IF(F2698=""Crypto"",B2698,(IF(ISBLANK(D2698),"""",IF(D2698=""Cash"",B2698,IF(GOOGLEFINANCE(D2698,""CURRENCY"")=""GBX"",""GBP"",GOOGLEFINANCE(D2698,""CURRENCY"")))))),B2698)"),"")</f>
        <v/>
      </c>
      <c r="R2698" s="263" t="str">
        <f>IFERROR(__xludf.DUMMYFUNCTION("IF(ISBLANK(A2698),"""",IFERROR(IF(OR(Q2698=""GPB"",Q2698=""ZAR""),IF(Q2698=Dashboard!$L$1,K2698,(K2698*GOOGLEFINANCE(""CURRENCY:""&amp;Q2698&amp;""""&amp;Dashboard!$L$1&amp;""""))/100),IF(Q2698=Dashboard!$L$1,K2698,K2698*GOOGLEFINANCE(""CURRENCY:""&amp;Q2698&amp;""""&amp;Dashboard!$"&amp;"L$1&amp;""""))),K2698))"),"")</f>
        <v/>
      </c>
      <c r="S2698" s="266" t="str">
        <f>IFERROR(__xludf.DUMMYFUNCTION("IF(ISBLANK(A2698),"""",IFERROR(IF(OR(Q2698=""GPB"",Q2698=""ZAR""),IF(Q2698=Dashboard!$L$1,M2698,(M2698*GOOGLEFINANCE(""CURRENCY:""&amp;Q2698&amp;""""&amp;Dashboard!$L$1&amp;""""))/100),IF(Q2698=Dashboard!$L$1,M2698,M2698*GOOGLEFINANCE(""CURRENCY:""&amp;Q2698&amp;""""&amp;Dashboard!$"&amp;"L$1&amp;""""))),M2698))"),"")</f>
        <v/>
      </c>
      <c r="T2698" s="264" t="str">
        <f t="shared" si="4"/>
        <v/>
      </c>
      <c r="U2698" s="264" t="str">
        <f t="shared" si="5"/>
        <v/>
      </c>
      <c r="V2698" s="264" t="str">
        <f t="shared" si="6"/>
        <v/>
      </c>
      <c r="W2698" s="267" t="str">
        <f t="shared" si="8"/>
        <v/>
      </c>
      <c r="X2698" s="264" t="str">
        <f t="shared" si="7"/>
        <v/>
      </c>
    </row>
    <row r="2699" ht="15.75" customHeight="1">
      <c r="A2699" s="258"/>
      <c r="B2699" s="258"/>
      <c r="C2699" s="269"/>
      <c r="D2699" s="258"/>
      <c r="E2699" s="258"/>
      <c r="F2699" s="258"/>
      <c r="G2699" s="258"/>
      <c r="H2699" s="271"/>
      <c r="I2699" s="258"/>
      <c r="J2699" s="272"/>
      <c r="K2699" s="260"/>
      <c r="L2699" s="261"/>
      <c r="M2699" s="262" t="str">
        <f t="shared" si="1"/>
        <v/>
      </c>
      <c r="N2699" s="263" t="str">
        <f t="shared" si="2"/>
        <v/>
      </c>
      <c r="O2699" s="264" t="str">
        <f t="shared" si="3"/>
        <v/>
      </c>
      <c r="P2699" s="265" t="str">
        <f>IFERROR(__xludf.DUMMYFUNCTION("IF(ISBLANK(A2699),"""",IFERROR(IF(H2699=""Sell"",VLOOKUP(9^99,FILTER({ROW(P$2:P2698),P$2:P2698},D$2:D2698=D2699),2),(VLOOKUP(9^99,FILTER({ROW(P$2:P2698),P$2:P2698},D$2:D2698=D2699),2)*VLOOKUP(9^99,FILTER({ROW(O$2:O2698),O$2:O2698},D$2:D2698=D2699),2)-N269"&amp;"9)/O2699),J2699))"),"")</f>
        <v/>
      </c>
      <c r="Q2699" s="264" t="str">
        <f>IFERROR(__xludf.DUMMYFUNCTION("IFERROR(IF(F2699=""Crypto"",B2699,(IF(ISBLANK(D2699),"""",IF(D2699=""Cash"",B2699,IF(GOOGLEFINANCE(D2699,""CURRENCY"")=""GBX"",""GBP"",GOOGLEFINANCE(D2699,""CURRENCY"")))))),B2699)"),"")</f>
        <v/>
      </c>
      <c r="R2699" s="263" t="str">
        <f>IFERROR(__xludf.DUMMYFUNCTION("IF(ISBLANK(A2699),"""",IFERROR(IF(OR(Q2699=""GPB"",Q2699=""ZAR""),IF(Q2699=Dashboard!$L$1,K2699,(K2699*GOOGLEFINANCE(""CURRENCY:""&amp;Q2699&amp;""""&amp;Dashboard!$L$1&amp;""""))/100),IF(Q2699=Dashboard!$L$1,K2699,K2699*GOOGLEFINANCE(""CURRENCY:""&amp;Q2699&amp;""""&amp;Dashboard!$"&amp;"L$1&amp;""""))),K2699))"),"")</f>
        <v/>
      </c>
      <c r="S2699" s="266" t="str">
        <f>IFERROR(__xludf.DUMMYFUNCTION("IF(ISBLANK(A2699),"""",IFERROR(IF(OR(Q2699=""GPB"",Q2699=""ZAR""),IF(Q2699=Dashboard!$L$1,M2699,(M2699*GOOGLEFINANCE(""CURRENCY:""&amp;Q2699&amp;""""&amp;Dashboard!$L$1&amp;""""))/100),IF(Q2699=Dashboard!$L$1,M2699,M2699*GOOGLEFINANCE(""CURRENCY:""&amp;Q2699&amp;""""&amp;Dashboard!$"&amp;"L$1&amp;""""))),M2699))"),"")</f>
        <v/>
      </c>
      <c r="T2699" s="264" t="str">
        <f t="shared" si="4"/>
        <v/>
      </c>
      <c r="U2699" s="264" t="str">
        <f t="shared" si="5"/>
        <v/>
      </c>
      <c r="V2699" s="264" t="str">
        <f t="shared" si="6"/>
        <v/>
      </c>
      <c r="W2699" s="267" t="str">
        <f t="shared" si="8"/>
        <v/>
      </c>
      <c r="X2699" s="264" t="str">
        <f t="shared" si="7"/>
        <v/>
      </c>
    </row>
    <row r="2700" ht="15.75" customHeight="1">
      <c r="A2700" s="258"/>
      <c r="B2700" s="258"/>
      <c r="C2700" s="269"/>
      <c r="D2700" s="258"/>
      <c r="E2700" s="258"/>
      <c r="F2700" s="258"/>
      <c r="G2700" s="258"/>
      <c r="H2700" s="271"/>
      <c r="I2700" s="258"/>
      <c r="J2700" s="272"/>
      <c r="K2700" s="260"/>
      <c r="L2700" s="261"/>
      <c r="M2700" s="262" t="str">
        <f t="shared" si="1"/>
        <v/>
      </c>
      <c r="N2700" s="263" t="str">
        <f t="shared" si="2"/>
        <v/>
      </c>
      <c r="O2700" s="264" t="str">
        <f t="shared" si="3"/>
        <v/>
      </c>
      <c r="P2700" s="265" t="str">
        <f>IFERROR(__xludf.DUMMYFUNCTION("IF(ISBLANK(A2700),"""",IFERROR(IF(H2700=""Sell"",VLOOKUP(9^99,FILTER({ROW(P$2:P2699),P$2:P2699},D$2:D2699=D2700),2),(VLOOKUP(9^99,FILTER({ROW(P$2:P2699),P$2:P2699},D$2:D2699=D2700),2)*VLOOKUP(9^99,FILTER({ROW(O$2:O2699),O$2:O2699},D$2:D2699=D2700),2)-N270"&amp;"0)/O2700),J2700))"),"")</f>
        <v/>
      </c>
      <c r="Q2700" s="264" t="str">
        <f>IFERROR(__xludf.DUMMYFUNCTION("IFERROR(IF(F2700=""Crypto"",B2700,(IF(ISBLANK(D2700),"""",IF(D2700=""Cash"",B2700,IF(GOOGLEFINANCE(D2700,""CURRENCY"")=""GBX"",""GBP"",GOOGLEFINANCE(D2700,""CURRENCY"")))))),B2700)"),"")</f>
        <v/>
      </c>
      <c r="R2700" s="263" t="str">
        <f>IFERROR(__xludf.DUMMYFUNCTION("IF(ISBLANK(A2700),"""",IFERROR(IF(OR(Q2700=""GPB"",Q2700=""ZAR""),IF(Q2700=Dashboard!$L$1,K2700,(K2700*GOOGLEFINANCE(""CURRENCY:""&amp;Q2700&amp;""""&amp;Dashboard!$L$1&amp;""""))/100),IF(Q2700=Dashboard!$L$1,K2700,K2700*GOOGLEFINANCE(""CURRENCY:""&amp;Q2700&amp;""""&amp;Dashboard!$"&amp;"L$1&amp;""""))),K2700))"),"")</f>
        <v/>
      </c>
      <c r="S2700" s="266" t="str">
        <f>IFERROR(__xludf.DUMMYFUNCTION("IF(ISBLANK(A2700),"""",IFERROR(IF(OR(Q2700=""GPB"",Q2700=""ZAR""),IF(Q2700=Dashboard!$L$1,M2700,(M2700*GOOGLEFINANCE(""CURRENCY:""&amp;Q2700&amp;""""&amp;Dashboard!$L$1&amp;""""))/100),IF(Q2700=Dashboard!$L$1,M2700,M2700*GOOGLEFINANCE(""CURRENCY:""&amp;Q2700&amp;""""&amp;Dashboard!$"&amp;"L$1&amp;""""))),M2700))"),"")</f>
        <v/>
      </c>
      <c r="T2700" s="264" t="str">
        <f t="shared" si="4"/>
        <v/>
      </c>
      <c r="U2700" s="264" t="str">
        <f t="shared" si="5"/>
        <v/>
      </c>
      <c r="V2700" s="264" t="str">
        <f t="shared" si="6"/>
        <v/>
      </c>
      <c r="W2700" s="267" t="str">
        <f t="shared" si="8"/>
        <v/>
      </c>
      <c r="X2700" s="264" t="str">
        <f t="shared" si="7"/>
        <v/>
      </c>
    </row>
    <row r="2701" ht="15.75" customHeight="1">
      <c r="A2701" s="258"/>
      <c r="B2701" s="258"/>
      <c r="C2701" s="269"/>
      <c r="D2701" s="258"/>
      <c r="E2701" s="258"/>
      <c r="F2701" s="258"/>
      <c r="G2701" s="258"/>
      <c r="H2701" s="271"/>
      <c r="I2701" s="258"/>
      <c r="J2701" s="272"/>
      <c r="K2701" s="260"/>
      <c r="L2701" s="261"/>
      <c r="M2701" s="262" t="str">
        <f t="shared" si="1"/>
        <v/>
      </c>
      <c r="N2701" s="263" t="str">
        <f t="shared" si="2"/>
        <v/>
      </c>
      <c r="O2701" s="264" t="str">
        <f t="shared" si="3"/>
        <v/>
      </c>
      <c r="P2701" s="265" t="str">
        <f>IFERROR(__xludf.DUMMYFUNCTION("IF(ISBLANK(A2701),"""",IFERROR(IF(H2701=""Sell"",VLOOKUP(9^99,FILTER({ROW(P$2:P2700),P$2:P2700},D$2:D2700=D2701),2),(VLOOKUP(9^99,FILTER({ROW(P$2:P2700),P$2:P2700},D$2:D2700=D2701),2)*VLOOKUP(9^99,FILTER({ROW(O$2:O2700),O$2:O2700},D$2:D2700=D2701),2)-N270"&amp;"1)/O2701),J2701))"),"")</f>
        <v/>
      </c>
      <c r="Q2701" s="264" t="str">
        <f>IFERROR(__xludf.DUMMYFUNCTION("IFERROR(IF(F2701=""Crypto"",B2701,(IF(ISBLANK(D2701),"""",IF(D2701=""Cash"",B2701,IF(GOOGLEFINANCE(D2701,""CURRENCY"")=""GBX"",""GBP"",GOOGLEFINANCE(D2701,""CURRENCY"")))))),B2701)"),"")</f>
        <v/>
      </c>
      <c r="R2701" s="263" t="str">
        <f>IFERROR(__xludf.DUMMYFUNCTION("IF(ISBLANK(A2701),"""",IFERROR(IF(OR(Q2701=""GPB"",Q2701=""ZAR""),IF(Q2701=Dashboard!$L$1,K2701,(K2701*GOOGLEFINANCE(""CURRENCY:""&amp;Q2701&amp;""""&amp;Dashboard!$L$1&amp;""""))/100),IF(Q2701=Dashboard!$L$1,K2701,K2701*GOOGLEFINANCE(""CURRENCY:""&amp;Q2701&amp;""""&amp;Dashboard!$"&amp;"L$1&amp;""""))),K2701))"),"")</f>
        <v/>
      </c>
      <c r="S2701" s="266" t="str">
        <f>IFERROR(__xludf.DUMMYFUNCTION("IF(ISBLANK(A2701),"""",IFERROR(IF(OR(Q2701=""GPB"",Q2701=""ZAR""),IF(Q2701=Dashboard!$L$1,M2701,(M2701*GOOGLEFINANCE(""CURRENCY:""&amp;Q2701&amp;""""&amp;Dashboard!$L$1&amp;""""))/100),IF(Q2701=Dashboard!$L$1,M2701,M2701*GOOGLEFINANCE(""CURRENCY:""&amp;Q2701&amp;""""&amp;Dashboard!$"&amp;"L$1&amp;""""))),M2701))"),"")</f>
        <v/>
      </c>
      <c r="T2701" s="264" t="str">
        <f t="shared" si="4"/>
        <v/>
      </c>
      <c r="U2701" s="264" t="str">
        <f t="shared" si="5"/>
        <v/>
      </c>
      <c r="V2701" s="264" t="str">
        <f t="shared" si="6"/>
        <v/>
      </c>
      <c r="W2701" s="267" t="str">
        <f t="shared" si="8"/>
        <v/>
      </c>
      <c r="X2701" s="264" t="str">
        <f t="shared" si="7"/>
        <v/>
      </c>
    </row>
    <row r="2702" ht="15.75" customHeight="1">
      <c r="A2702" s="258"/>
      <c r="B2702" s="258"/>
      <c r="C2702" s="269"/>
      <c r="D2702" s="258"/>
      <c r="E2702" s="258"/>
      <c r="F2702" s="258"/>
      <c r="G2702" s="258"/>
      <c r="H2702" s="271"/>
      <c r="I2702" s="258"/>
      <c r="J2702" s="272"/>
      <c r="K2702" s="260"/>
      <c r="L2702" s="261"/>
      <c r="M2702" s="262" t="str">
        <f t="shared" si="1"/>
        <v/>
      </c>
      <c r="N2702" s="263" t="str">
        <f t="shared" si="2"/>
        <v/>
      </c>
      <c r="O2702" s="264" t="str">
        <f t="shared" si="3"/>
        <v/>
      </c>
      <c r="P2702" s="265" t="str">
        <f>IFERROR(__xludf.DUMMYFUNCTION("IF(ISBLANK(A2702),"""",IFERROR(IF(H2702=""Sell"",VLOOKUP(9^99,FILTER({ROW(P$2:P2701),P$2:P2701},D$2:D2701=D2702),2),(VLOOKUP(9^99,FILTER({ROW(P$2:P2701),P$2:P2701},D$2:D2701=D2702),2)*VLOOKUP(9^99,FILTER({ROW(O$2:O2701),O$2:O2701},D$2:D2701=D2702),2)-N270"&amp;"2)/O2702),J2702))"),"")</f>
        <v/>
      </c>
      <c r="Q2702" s="264" t="str">
        <f>IFERROR(__xludf.DUMMYFUNCTION("IFERROR(IF(F2702=""Crypto"",B2702,(IF(ISBLANK(D2702),"""",IF(D2702=""Cash"",B2702,IF(GOOGLEFINANCE(D2702,""CURRENCY"")=""GBX"",""GBP"",GOOGLEFINANCE(D2702,""CURRENCY"")))))),B2702)"),"")</f>
        <v/>
      </c>
      <c r="R2702" s="263" t="str">
        <f>IFERROR(__xludf.DUMMYFUNCTION("IF(ISBLANK(A2702),"""",IFERROR(IF(OR(Q2702=""GPB"",Q2702=""ZAR""),IF(Q2702=Dashboard!$L$1,K2702,(K2702*GOOGLEFINANCE(""CURRENCY:""&amp;Q2702&amp;""""&amp;Dashboard!$L$1&amp;""""))/100),IF(Q2702=Dashboard!$L$1,K2702,K2702*GOOGLEFINANCE(""CURRENCY:""&amp;Q2702&amp;""""&amp;Dashboard!$"&amp;"L$1&amp;""""))),K2702))"),"")</f>
        <v/>
      </c>
      <c r="S2702" s="266" t="str">
        <f>IFERROR(__xludf.DUMMYFUNCTION("IF(ISBLANK(A2702),"""",IFERROR(IF(OR(Q2702=""GPB"",Q2702=""ZAR""),IF(Q2702=Dashboard!$L$1,M2702,(M2702*GOOGLEFINANCE(""CURRENCY:""&amp;Q2702&amp;""""&amp;Dashboard!$L$1&amp;""""))/100),IF(Q2702=Dashboard!$L$1,M2702,M2702*GOOGLEFINANCE(""CURRENCY:""&amp;Q2702&amp;""""&amp;Dashboard!$"&amp;"L$1&amp;""""))),M2702))"),"")</f>
        <v/>
      </c>
      <c r="T2702" s="264" t="str">
        <f t="shared" si="4"/>
        <v/>
      </c>
      <c r="U2702" s="264" t="str">
        <f t="shared" si="5"/>
        <v/>
      </c>
      <c r="V2702" s="264" t="str">
        <f t="shared" si="6"/>
        <v/>
      </c>
      <c r="W2702" s="267" t="str">
        <f t="shared" si="8"/>
        <v/>
      </c>
      <c r="X2702" s="264" t="str">
        <f t="shared" si="7"/>
        <v/>
      </c>
    </row>
    <row r="2703" ht="15.75" customHeight="1">
      <c r="A2703" s="258"/>
      <c r="B2703" s="258"/>
      <c r="C2703" s="269"/>
      <c r="D2703" s="258"/>
      <c r="E2703" s="258"/>
      <c r="F2703" s="258"/>
      <c r="G2703" s="258"/>
      <c r="H2703" s="271"/>
      <c r="I2703" s="258"/>
      <c r="J2703" s="272"/>
      <c r="K2703" s="260"/>
      <c r="L2703" s="261"/>
      <c r="M2703" s="262" t="str">
        <f t="shared" si="1"/>
        <v/>
      </c>
      <c r="N2703" s="263" t="str">
        <f t="shared" si="2"/>
        <v/>
      </c>
      <c r="O2703" s="264" t="str">
        <f t="shared" si="3"/>
        <v/>
      </c>
      <c r="P2703" s="265" t="str">
        <f>IFERROR(__xludf.DUMMYFUNCTION("IF(ISBLANK(A2703),"""",IFERROR(IF(H2703=""Sell"",VLOOKUP(9^99,FILTER({ROW(P$2:P2702),P$2:P2702},D$2:D2702=D2703),2),(VLOOKUP(9^99,FILTER({ROW(P$2:P2702),P$2:P2702},D$2:D2702=D2703),2)*VLOOKUP(9^99,FILTER({ROW(O$2:O2702),O$2:O2702},D$2:D2702=D2703),2)-N270"&amp;"3)/O2703),J2703))"),"")</f>
        <v/>
      </c>
      <c r="Q2703" s="264" t="str">
        <f>IFERROR(__xludf.DUMMYFUNCTION("IFERROR(IF(F2703=""Crypto"",B2703,(IF(ISBLANK(D2703),"""",IF(D2703=""Cash"",B2703,IF(GOOGLEFINANCE(D2703,""CURRENCY"")=""GBX"",""GBP"",GOOGLEFINANCE(D2703,""CURRENCY"")))))),B2703)"),"")</f>
        <v/>
      </c>
      <c r="R2703" s="263" t="str">
        <f>IFERROR(__xludf.DUMMYFUNCTION("IF(ISBLANK(A2703),"""",IFERROR(IF(OR(Q2703=""GPB"",Q2703=""ZAR""),IF(Q2703=Dashboard!$L$1,K2703,(K2703*GOOGLEFINANCE(""CURRENCY:""&amp;Q2703&amp;""""&amp;Dashboard!$L$1&amp;""""))/100),IF(Q2703=Dashboard!$L$1,K2703,K2703*GOOGLEFINANCE(""CURRENCY:""&amp;Q2703&amp;""""&amp;Dashboard!$"&amp;"L$1&amp;""""))),K2703))"),"")</f>
        <v/>
      </c>
      <c r="S2703" s="266" t="str">
        <f>IFERROR(__xludf.DUMMYFUNCTION("IF(ISBLANK(A2703),"""",IFERROR(IF(OR(Q2703=""GPB"",Q2703=""ZAR""),IF(Q2703=Dashboard!$L$1,M2703,(M2703*GOOGLEFINANCE(""CURRENCY:""&amp;Q2703&amp;""""&amp;Dashboard!$L$1&amp;""""))/100),IF(Q2703=Dashboard!$L$1,M2703,M2703*GOOGLEFINANCE(""CURRENCY:""&amp;Q2703&amp;""""&amp;Dashboard!$"&amp;"L$1&amp;""""))),M2703))"),"")</f>
        <v/>
      </c>
      <c r="T2703" s="264" t="str">
        <f t="shared" si="4"/>
        <v/>
      </c>
      <c r="U2703" s="264" t="str">
        <f t="shared" si="5"/>
        <v/>
      </c>
      <c r="V2703" s="264" t="str">
        <f t="shared" si="6"/>
        <v/>
      </c>
      <c r="W2703" s="267" t="str">
        <f t="shared" si="8"/>
        <v/>
      </c>
      <c r="X2703" s="264" t="str">
        <f t="shared" si="7"/>
        <v/>
      </c>
    </row>
    <row r="2704" ht="15.75" customHeight="1">
      <c r="A2704" s="258"/>
      <c r="B2704" s="258"/>
      <c r="C2704" s="269"/>
      <c r="D2704" s="258"/>
      <c r="E2704" s="258"/>
      <c r="F2704" s="258"/>
      <c r="G2704" s="258"/>
      <c r="H2704" s="271"/>
      <c r="I2704" s="258"/>
      <c r="J2704" s="272"/>
      <c r="K2704" s="260"/>
      <c r="L2704" s="261"/>
      <c r="M2704" s="262" t="str">
        <f t="shared" si="1"/>
        <v/>
      </c>
      <c r="N2704" s="263" t="str">
        <f t="shared" si="2"/>
        <v/>
      </c>
      <c r="O2704" s="264" t="str">
        <f t="shared" si="3"/>
        <v/>
      </c>
      <c r="P2704" s="265" t="str">
        <f>IFERROR(__xludf.DUMMYFUNCTION("IF(ISBLANK(A2704),"""",IFERROR(IF(H2704=""Sell"",VLOOKUP(9^99,FILTER({ROW(P$2:P2703),P$2:P2703},D$2:D2703=D2704),2),(VLOOKUP(9^99,FILTER({ROW(P$2:P2703),P$2:P2703},D$2:D2703=D2704),2)*VLOOKUP(9^99,FILTER({ROW(O$2:O2703),O$2:O2703},D$2:D2703=D2704),2)-N270"&amp;"4)/O2704),J2704))"),"")</f>
        <v/>
      </c>
      <c r="Q2704" s="264" t="str">
        <f>IFERROR(__xludf.DUMMYFUNCTION("IFERROR(IF(F2704=""Crypto"",B2704,(IF(ISBLANK(D2704),"""",IF(D2704=""Cash"",B2704,IF(GOOGLEFINANCE(D2704,""CURRENCY"")=""GBX"",""GBP"",GOOGLEFINANCE(D2704,""CURRENCY"")))))),B2704)"),"")</f>
        <v/>
      </c>
      <c r="R2704" s="263" t="str">
        <f>IFERROR(__xludf.DUMMYFUNCTION("IF(ISBLANK(A2704),"""",IFERROR(IF(OR(Q2704=""GPB"",Q2704=""ZAR""),IF(Q2704=Dashboard!$L$1,K2704,(K2704*GOOGLEFINANCE(""CURRENCY:""&amp;Q2704&amp;""""&amp;Dashboard!$L$1&amp;""""))/100),IF(Q2704=Dashboard!$L$1,K2704,K2704*GOOGLEFINANCE(""CURRENCY:""&amp;Q2704&amp;""""&amp;Dashboard!$"&amp;"L$1&amp;""""))),K2704))"),"")</f>
        <v/>
      </c>
      <c r="S2704" s="266" t="str">
        <f>IFERROR(__xludf.DUMMYFUNCTION("IF(ISBLANK(A2704),"""",IFERROR(IF(OR(Q2704=""GPB"",Q2704=""ZAR""),IF(Q2704=Dashboard!$L$1,M2704,(M2704*GOOGLEFINANCE(""CURRENCY:""&amp;Q2704&amp;""""&amp;Dashboard!$L$1&amp;""""))/100),IF(Q2704=Dashboard!$L$1,M2704,M2704*GOOGLEFINANCE(""CURRENCY:""&amp;Q2704&amp;""""&amp;Dashboard!$"&amp;"L$1&amp;""""))),M2704))"),"")</f>
        <v/>
      </c>
      <c r="T2704" s="264" t="str">
        <f t="shared" si="4"/>
        <v/>
      </c>
      <c r="U2704" s="264" t="str">
        <f t="shared" si="5"/>
        <v/>
      </c>
      <c r="V2704" s="264" t="str">
        <f t="shared" si="6"/>
        <v/>
      </c>
      <c r="W2704" s="267" t="str">
        <f t="shared" si="8"/>
        <v/>
      </c>
      <c r="X2704" s="264" t="str">
        <f t="shared" si="7"/>
        <v/>
      </c>
    </row>
    <row r="2705" ht="15.75" customHeight="1">
      <c r="A2705" s="258"/>
      <c r="B2705" s="258"/>
      <c r="C2705" s="269"/>
      <c r="D2705" s="258"/>
      <c r="E2705" s="258"/>
      <c r="F2705" s="258"/>
      <c r="G2705" s="258"/>
      <c r="H2705" s="271"/>
      <c r="I2705" s="258"/>
      <c r="J2705" s="272"/>
      <c r="K2705" s="260"/>
      <c r="L2705" s="261"/>
      <c r="M2705" s="262" t="str">
        <f t="shared" si="1"/>
        <v/>
      </c>
      <c r="N2705" s="263" t="str">
        <f t="shared" si="2"/>
        <v/>
      </c>
      <c r="O2705" s="264" t="str">
        <f t="shared" si="3"/>
        <v/>
      </c>
      <c r="P2705" s="265" t="str">
        <f>IFERROR(__xludf.DUMMYFUNCTION("IF(ISBLANK(A2705),"""",IFERROR(IF(H2705=""Sell"",VLOOKUP(9^99,FILTER({ROW(P$2:P2704),P$2:P2704},D$2:D2704=D2705),2),(VLOOKUP(9^99,FILTER({ROW(P$2:P2704),P$2:P2704},D$2:D2704=D2705),2)*VLOOKUP(9^99,FILTER({ROW(O$2:O2704),O$2:O2704},D$2:D2704=D2705),2)-N270"&amp;"5)/O2705),J2705))"),"")</f>
        <v/>
      </c>
      <c r="Q2705" s="264" t="str">
        <f>IFERROR(__xludf.DUMMYFUNCTION("IFERROR(IF(F2705=""Crypto"",B2705,(IF(ISBLANK(D2705),"""",IF(D2705=""Cash"",B2705,IF(GOOGLEFINANCE(D2705,""CURRENCY"")=""GBX"",""GBP"",GOOGLEFINANCE(D2705,""CURRENCY"")))))),B2705)"),"")</f>
        <v/>
      </c>
      <c r="R2705" s="263" t="str">
        <f>IFERROR(__xludf.DUMMYFUNCTION("IF(ISBLANK(A2705),"""",IFERROR(IF(OR(Q2705=""GPB"",Q2705=""ZAR""),IF(Q2705=Dashboard!$L$1,K2705,(K2705*GOOGLEFINANCE(""CURRENCY:""&amp;Q2705&amp;""""&amp;Dashboard!$L$1&amp;""""))/100),IF(Q2705=Dashboard!$L$1,K2705,K2705*GOOGLEFINANCE(""CURRENCY:""&amp;Q2705&amp;""""&amp;Dashboard!$"&amp;"L$1&amp;""""))),K2705))"),"")</f>
        <v/>
      </c>
      <c r="S2705" s="266" t="str">
        <f>IFERROR(__xludf.DUMMYFUNCTION("IF(ISBLANK(A2705),"""",IFERROR(IF(OR(Q2705=""GPB"",Q2705=""ZAR""),IF(Q2705=Dashboard!$L$1,M2705,(M2705*GOOGLEFINANCE(""CURRENCY:""&amp;Q2705&amp;""""&amp;Dashboard!$L$1&amp;""""))/100),IF(Q2705=Dashboard!$L$1,M2705,M2705*GOOGLEFINANCE(""CURRENCY:""&amp;Q2705&amp;""""&amp;Dashboard!$"&amp;"L$1&amp;""""))),M2705))"),"")</f>
        <v/>
      </c>
      <c r="T2705" s="264" t="str">
        <f t="shared" si="4"/>
        <v/>
      </c>
      <c r="U2705" s="264" t="str">
        <f t="shared" si="5"/>
        <v/>
      </c>
      <c r="V2705" s="264" t="str">
        <f t="shared" si="6"/>
        <v/>
      </c>
      <c r="W2705" s="267" t="str">
        <f t="shared" si="8"/>
        <v/>
      </c>
      <c r="X2705" s="264" t="str">
        <f t="shared" si="7"/>
        <v/>
      </c>
    </row>
    <row r="2706" ht="15.75" customHeight="1">
      <c r="A2706" s="258"/>
      <c r="B2706" s="258"/>
      <c r="C2706" s="269"/>
      <c r="D2706" s="258"/>
      <c r="E2706" s="258"/>
      <c r="F2706" s="258"/>
      <c r="G2706" s="258"/>
      <c r="H2706" s="271"/>
      <c r="I2706" s="258"/>
      <c r="J2706" s="272"/>
      <c r="K2706" s="260"/>
      <c r="L2706" s="261"/>
      <c r="M2706" s="262" t="str">
        <f t="shared" si="1"/>
        <v/>
      </c>
      <c r="N2706" s="263" t="str">
        <f t="shared" si="2"/>
        <v/>
      </c>
      <c r="O2706" s="264" t="str">
        <f t="shared" si="3"/>
        <v/>
      </c>
      <c r="P2706" s="265" t="str">
        <f>IFERROR(__xludf.DUMMYFUNCTION("IF(ISBLANK(A2706),"""",IFERROR(IF(H2706=""Sell"",VLOOKUP(9^99,FILTER({ROW(P$2:P2705),P$2:P2705},D$2:D2705=D2706),2),(VLOOKUP(9^99,FILTER({ROW(P$2:P2705),P$2:P2705},D$2:D2705=D2706),2)*VLOOKUP(9^99,FILTER({ROW(O$2:O2705),O$2:O2705},D$2:D2705=D2706),2)-N270"&amp;"6)/O2706),J2706))"),"")</f>
        <v/>
      </c>
      <c r="Q2706" s="264" t="str">
        <f>IFERROR(__xludf.DUMMYFUNCTION("IFERROR(IF(F2706=""Crypto"",B2706,(IF(ISBLANK(D2706),"""",IF(D2706=""Cash"",B2706,IF(GOOGLEFINANCE(D2706,""CURRENCY"")=""GBX"",""GBP"",GOOGLEFINANCE(D2706,""CURRENCY"")))))),B2706)"),"")</f>
        <v/>
      </c>
      <c r="R2706" s="263" t="str">
        <f>IFERROR(__xludf.DUMMYFUNCTION("IF(ISBLANK(A2706),"""",IFERROR(IF(OR(Q2706=""GPB"",Q2706=""ZAR""),IF(Q2706=Dashboard!$L$1,K2706,(K2706*GOOGLEFINANCE(""CURRENCY:""&amp;Q2706&amp;""""&amp;Dashboard!$L$1&amp;""""))/100),IF(Q2706=Dashboard!$L$1,K2706,K2706*GOOGLEFINANCE(""CURRENCY:""&amp;Q2706&amp;""""&amp;Dashboard!$"&amp;"L$1&amp;""""))),K2706))"),"")</f>
        <v/>
      </c>
      <c r="S2706" s="266" t="str">
        <f>IFERROR(__xludf.DUMMYFUNCTION("IF(ISBLANK(A2706),"""",IFERROR(IF(OR(Q2706=""GPB"",Q2706=""ZAR""),IF(Q2706=Dashboard!$L$1,M2706,(M2706*GOOGLEFINANCE(""CURRENCY:""&amp;Q2706&amp;""""&amp;Dashboard!$L$1&amp;""""))/100),IF(Q2706=Dashboard!$L$1,M2706,M2706*GOOGLEFINANCE(""CURRENCY:""&amp;Q2706&amp;""""&amp;Dashboard!$"&amp;"L$1&amp;""""))),M2706))"),"")</f>
        <v/>
      </c>
      <c r="T2706" s="264" t="str">
        <f t="shared" si="4"/>
        <v/>
      </c>
      <c r="U2706" s="264" t="str">
        <f t="shared" si="5"/>
        <v/>
      </c>
      <c r="V2706" s="264" t="str">
        <f t="shared" si="6"/>
        <v/>
      </c>
      <c r="W2706" s="267" t="str">
        <f t="shared" si="8"/>
        <v/>
      </c>
      <c r="X2706" s="264" t="str">
        <f t="shared" si="7"/>
        <v/>
      </c>
    </row>
    <row r="2707" ht="15.75" customHeight="1">
      <c r="A2707" s="258"/>
      <c r="B2707" s="258"/>
      <c r="C2707" s="269"/>
      <c r="D2707" s="258"/>
      <c r="E2707" s="258"/>
      <c r="F2707" s="258"/>
      <c r="G2707" s="258"/>
      <c r="H2707" s="271"/>
      <c r="I2707" s="258"/>
      <c r="J2707" s="272"/>
      <c r="K2707" s="260"/>
      <c r="L2707" s="261"/>
      <c r="M2707" s="262" t="str">
        <f t="shared" si="1"/>
        <v/>
      </c>
      <c r="N2707" s="263" t="str">
        <f t="shared" si="2"/>
        <v/>
      </c>
      <c r="O2707" s="264" t="str">
        <f t="shared" si="3"/>
        <v/>
      </c>
      <c r="P2707" s="265" t="str">
        <f>IFERROR(__xludf.DUMMYFUNCTION("IF(ISBLANK(A2707),"""",IFERROR(IF(H2707=""Sell"",VLOOKUP(9^99,FILTER({ROW(P$2:P2706),P$2:P2706},D$2:D2706=D2707),2),(VLOOKUP(9^99,FILTER({ROW(P$2:P2706),P$2:P2706},D$2:D2706=D2707),2)*VLOOKUP(9^99,FILTER({ROW(O$2:O2706),O$2:O2706},D$2:D2706=D2707),2)-N270"&amp;"7)/O2707),J2707))"),"")</f>
        <v/>
      </c>
      <c r="Q2707" s="264" t="str">
        <f>IFERROR(__xludf.DUMMYFUNCTION("IFERROR(IF(F2707=""Crypto"",B2707,(IF(ISBLANK(D2707),"""",IF(D2707=""Cash"",B2707,IF(GOOGLEFINANCE(D2707,""CURRENCY"")=""GBX"",""GBP"",GOOGLEFINANCE(D2707,""CURRENCY"")))))),B2707)"),"")</f>
        <v/>
      </c>
      <c r="R2707" s="263" t="str">
        <f>IFERROR(__xludf.DUMMYFUNCTION("IF(ISBLANK(A2707),"""",IFERROR(IF(OR(Q2707=""GPB"",Q2707=""ZAR""),IF(Q2707=Dashboard!$L$1,K2707,(K2707*GOOGLEFINANCE(""CURRENCY:""&amp;Q2707&amp;""""&amp;Dashboard!$L$1&amp;""""))/100),IF(Q2707=Dashboard!$L$1,K2707,K2707*GOOGLEFINANCE(""CURRENCY:""&amp;Q2707&amp;""""&amp;Dashboard!$"&amp;"L$1&amp;""""))),K2707))"),"")</f>
        <v/>
      </c>
      <c r="S2707" s="266" t="str">
        <f>IFERROR(__xludf.DUMMYFUNCTION("IF(ISBLANK(A2707),"""",IFERROR(IF(OR(Q2707=""GPB"",Q2707=""ZAR""),IF(Q2707=Dashboard!$L$1,M2707,(M2707*GOOGLEFINANCE(""CURRENCY:""&amp;Q2707&amp;""""&amp;Dashboard!$L$1&amp;""""))/100),IF(Q2707=Dashboard!$L$1,M2707,M2707*GOOGLEFINANCE(""CURRENCY:""&amp;Q2707&amp;""""&amp;Dashboard!$"&amp;"L$1&amp;""""))),M2707))"),"")</f>
        <v/>
      </c>
      <c r="T2707" s="264" t="str">
        <f t="shared" si="4"/>
        <v/>
      </c>
      <c r="U2707" s="264" t="str">
        <f t="shared" si="5"/>
        <v/>
      </c>
      <c r="V2707" s="264" t="str">
        <f t="shared" si="6"/>
        <v/>
      </c>
      <c r="W2707" s="267" t="str">
        <f t="shared" si="8"/>
        <v/>
      </c>
      <c r="X2707" s="264" t="str">
        <f t="shared" si="7"/>
        <v/>
      </c>
    </row>
    <row r="2708" ht="15.75" customHeight="1">
      <c r="A2708" s="258"/>
      <c r="B2708" s="258"/>
      <c r="C2708" s="269"/>
      <c r="D2708" s="258"/>
      <c r="E2708" s="258"/>
      <c r="F2708" s="258"/>
      <c r="G2708" s="258"/>
      <c r="H2708" s="271"/>
      <c r="I2708" s="258"/>
      <c r="J2708" s="272"/>
      <c r="K2708" s="260"/>
      <c r="L2708" s="261"/>
      <c r="M2708" s="262" t="str">
        <f t="shared" si="1"/>
        <v/>
      </c>
      <c r="N2708" s="263" t="str">
        <f t="shared" si="2"/>
        <v/>
      </c>
      <c r="O2708" s="264" t="str">
        <f t="shared" si="3"/>
        <v/>
      </c>
      <c r="P2708" s="265" t="str">
        <f>IFERROR(__xludf.DUMMYFUNCTION("IF(ISBLANK(A2708),"""",IFERROR(IF(H2708=""Sell"",VLOOKUP(9^99,FILTER({ROW(P$2:P2707),P$2:P2707},D$2:D2707=D2708),2),(VLOOKUP(9^99,FILTER({ROW(P$2:P2707),P$2:P2707},D$2:D2707=D2708),2)*VLOOKUP(9^99,FILTER({ROW(O$2:O2707),O$2:O2707},D$2:D2707=D2708),2)-N270"&amp;"8)/O2708),J2708))"),"")</f>
        <v/>
      </c>
      <c r="Q2708" s="264" t="str">
        <f>IFERROR(__xludf.DUMMYFUNCTION("IFERROR(IF(F2708=""Crypto"",B2708,(IF(ISBLANK(D2708),"""",IF(D2708=""Cash"",B2708,IF(GOOGLEFINANCE(D2708,""CURRENCY"")=""GBX"",""GBP"",GOOGLEFINANCE(D2708,""CURRENCY"")))))),B2708)"),"")</f>
        <v/>
      </c>
      <c r="R2708" s="263" t="str">
        <f>IFERROR(__xludf.DUMMYFUNCTION("IF(ISBLANK(A2708),"""",IFERROR(IF(OR(Q2708=""GPB"",Q2708=""ZAR""),IF(Q2708=Dashboard!$L$1,K2708,(K2708*GOOGLEFINANCE(""CURRENCY:""&amp;Q2708&amp;""""&amp;Dashboard!$L$1&amp;""""))/100),IF(Q2708=Dashboard!$L$1,K2708,K2708*GOOGLEFINANCE(""CURRENCY:""&amp;Q2708&amp;""""&amp;Dashboard!$"&amp;"L$1&amp;""""))),K2708))"),"")</f>
        <v/>
      </c>
      <c r="S2708" s="266" t="str">
        <f>IFERROR(__xludf.DUMMYFUNCTION("IF(ISBLANK(A2708),"""",IFERROR(IF(OR(Q2708=""GPB"",Q2708=""ZAR""),IF(Q2708=Dashboard!$L$1,M2708,(M2708*GOOGLEFINANCE(""CURRENCY:""&amp;Q2708&amp;""""&amp;Dashboard!$L$1&amp;""""))/100),IF(Q2708=Dashboard!$L$1,M2708,M2708*GOOGLEFINANCE(""CURRENCY:""&amp;Q2708&amp;""""&amp;Dashboard!$"&amp;"L$1&amp;""""))),M2708))"),"")</f>
        <v/>
      </c>
      <c r="T2708" s="264" t="str">
        <f t="shared" si="4"/>
        <v/>
      </c>
      <c r="U2708" s="264" t="str">
        <f t="shared" si="5"/>
        <v/>
      </c>
      <c r="V2708" s="264" t="str">
        <f t="shared" si="6"/>
        <v/>
      </c>
      <c r="W2708" s="267" t="str">
        <f t="shared" si="8"/>
        <v/>
      </c>
      <c r="X2708" s="264" t="str">
        <f t="shared" si="7"/>
        <v/>
      </c>
    </row>
    <row r="2709" ht="15.75" customHeight="1">
      <c r="A2709" s="258"/>
      <c r="B2709" s="258"/>
      <c r="C2709" s="269"/>
      <c r="D2709" s="258"/>
      <c r="E2709" s="258"/>
      <c r="F2709" s="258"/>
      <c r="G2709" s="258"/>
      <c r="H2709" s="271"/>
      <c r="I2709" s="258"/>
      <c r="J2709" s="272"/>
      <c r="K2709" s="260"/>
      <c r="L2709" s="261"/>
      <c r="M2709" s="262" t="str">
        <f t="shared" si="1"/>
        <v/>
      </c>
      <c r="N2709" s="263" t="str">
        <f t="shared" si="2"/>
        <v/>
      </c>
      <c r="O2709" s="264" t="str">
        <f t="shared" si="3"/>
        <v/>
      </c>
      <c r="P2709" s="265" t="str">
        <f>IFERROR(__xludf.DUMMYFUNCTION("IF(ISBLANK(A2709),"""",IFERROR(IF(H2709=""Sell"",VLOOKUP(9^99,FILTER({ROW(P$2:P2708),P$2:P2708},D$2:D2708=D2709),2),(VLOOKUP(9^99,FILTER({ROW(P$2:P2708),P$2:P2708},D$2:D2708=D2709),2)*VLOOKUP(9^99,FILTER({ROW(O$2:O2708),O$2:O2708},D$2:D2708=D2709),2)-N270"&amp;"9)/O2709),J2709))"),"")</f>
        <v/>
      </c>
      <c r="Q2709" s="264" t="str">
        <f>IFERROR(__xludf.DUMMYFUNCTION("IFERROR(IF(F2709=""Crypto"",B2709,(IF(ISBLANK(D2709),"""",IF(D2709=""Cash"",B2709,IF(GOOGLEFINANCE(D2709,""CURRENCY"")=""GBX"",""GBP"",GOOGLEFINANCE(D2709,""CURRENCY"")))))),B2709)"),"")</f>
        <v/>
      </c>
      <c r="R2709" s="263" t="str">
        <f>IFERROR(__xludf.DUMMYFUNCTION("IF(ISBLANK(A2709),"""",IFERROR(IF(OR(Q2709=""GPB"",Q2709=""ZAR""),IF(Q2709=Dashboard!$L$1,K2709,(K2709*GOOGLEFINANCE(""CURRENCY:""&amp;Q2709&amp;""""&amp;Dashboard!$L$1&amp;""""))/100),IF(Q2709=Dashboard!$L$1,K2709,K2709*GOOGLEFINANCE(""CURRENCY:""&amp;Q2709&amp;""""&amp;Dashboard!$"&amp;"L$1&amp;""""))),K2709))"),"")</f>
        <v/>
      </c>
      <c r="S2709" s="266" t="str">
        <f>IFERROR(__xludf.DUMMYFUNCTION("IF(ISBLANK(A2709),"""",IFERROR(IF(OR(Q2709=""GPB"",Q2709=""ZAR""),IF(Q2709=Dashboard!$L$1,M2709,(M2709*GOOGLEFINANCE(""CURRENCY:""&amp;Q2709&amp;""""&amp;Dashboard!$L$1&amp;""""))/100),IF(Q2709=Dashboard!$L$1,M2709,M2709*GOOGLEFINANCE(""CURRENCY:""&amp;Q2709&amp;""""&amp;Dashboard!$"&amp;"L$1&amp;""""))),M2709))"),"")</f>
        <v/>
      </c>
      <c r="T2709" s="264" t="str">
        <f t="shared" si="4"/>
        <v/>
      </c>
      <c r="U2709" s="264" t="str">
        <f t="shared" si="5"/>
        <v/>
      </c>
      <c r="V2709" s="264" t="str">
        <f t="shared" si="6"/>
        <v/>
      </c>
      <c r="W2709" s="267" t="str">
        <f t="shared" si="8"/>
        <v/>
      </c>
      <c r="X2709" s="264" t="str">
        <f t="shared" si="7"/>
        <v/>
      </c>
    </row>
    <row r="2710" ht="15.75" customHeight="1">
      <c r="A2710" s="258"/>
      <c r="B2710" s="258"/>
      <c r="C2710" s="269"/>
      <c r="D2710" s="258"/>
      <c r="E2710" s="258"/>
      <c r="F2710" s="258"/>
      <c r="G2710" s="258"/>
      <c r="H2710" s="271"/>
      <c r="I2710" s="258"/>
      <c r="J2710" s="272"/>
      <c r="K2710" s="260"/>
      <c r="L2710" s="261"/>
      <c r="M2710" s="262" t="str">
        <f t="shared" si="1"/>
        <v/>
      </c>
      <c r="N2710" s="263" t="str">
        <f t="shared" si="2"/>
        <v/>
      </c>
      <c r="O2710" s="264" t="str">
        <f t="shared" si="3"/>
        <v/>
      </c>
      <c r="P2710" s="265" t="str">
        <f>IFERROR(__xludf.DUMMYFUNCTION("IF(ISBLANK(A2710),"""",IFERROR(IF(H2710=""Sell"",VLOOKUP(9^99,FILTER({ROW(P$2:P2709),P$2:P2709},D$2:D2709=D2710),2),(VLOOKUP(9^99,FILTER({ROW(P$2:P2709),P$2:P2709},D$2:D2709=D2710),2)*VLOOKUP(9^99,FILTER({ROW(O$2:O2709),O$2:O2709},D$2:D2709=D2710),2)-N271"&amp;"0)/O2710),J2710))"),"")</f>
        <v/>
      </c>
      <c r="Q2710" s="264" t="str">
        <f>IFERROR(__xludf.DUMMYFUNCTION("IFERROR(IF(F2710=""Crypto"",B2710,(IF(ISBLANK(D2710),"""",IF(D2710=""Cash"",B2710,IF(GOOGLEFINANCE(D2710,""CURRENCY"")=""GBX"",""GBP"",GOOGLEFINANCE(D2710,""CURRENCY"")))))),B2710)"),"")</f>
        <v/>
      </c>
      <c r="R2710" s="263" t="str">
        <f>IFERROR(__xludf.DUMMYFUNCTION("IF(ISBLANK(A2710),"""",IFERROR(IF(OR(Q2710=""GPB"",Q2710=""ZAR""),IF(Q2710=Dashboard!$L$1,K2710,(K2710*GOOGLEFINANCE(""CURRENCY:""&amp;Q2710&amp;""""&amp;Dashboard!$L$1&amp;""""))/100),IF(Q2710=Dashboard!$L$1,K2710,K2710*GOOGLEFINANCE(""CURRENCY:""&amp;Q2710&amp;""""&amp;Dashboard!$"&amp;"L$1&amp;""""))),K2710))"),"")</f>
        <v/>
      </c>
      <c r="S2710" s="266" t="str">
        <f>IFERROR(__xludf.DUMMYFUNCTION("IF(ISBLANK(A2710),"""",IFERROR(IF(OR(Q2710=""GPB"",Q2710=""ZAR""),IF(Q2710=Dashboard!$L$1,M2710,(M2710*GOOGLEFINANCE(""CURRENCY:""&amp;Q2710&amp;""""&amp;Dashboard!$L$1&amp;""""))/100),IF(Q2710=Dashboard!$L$1,M2710,M2710*GOOGLEFINANCE(""CURRENCY:""&amp;Q2710&amp;""""&amp;Dashboard!$"&amp;"L$1&amp;""""))),M2710))"),"")</f>
        <v/>
      </c>
      <c r="T2710" s="264" t="str">
        <f t="shared" si="4"/>
        <v/>
      </c>
      <c r="U2710" s="264" t="str">
        <f t="shared" si="5"/>
        <v/>
      </c>
      <c r="V2710" s="264" t="str">
        <f t="shared" si="6"/>
        <v/>
      </c>
      <c r="W2710" s="267" t="str">
        <f t="shared" si="8"/>
        <v/>
      </c>
      <c r="X2710" s="264" t="str">
        <f t="shared" si="7"/>
        <v/>
      </c>
    </row>
    <row r="2711" ht="15.75" customHeight="1">
      <c r="A2711" s="258"/>
      <c r="B2711" s="258"/>
      <c r="C2711" s="269"/>
      <c r="D2711" s="258"/>
      <c r="E2711" s="258"/>
      <c r="F2711" s="258"/>
      <c r="G2711" s="258"/>
      <c r="H2711" s="271"/>
      <c r="I2711" s="258"/>
      <c r="J2711" s="272"/>
      <c r="K2711" s="260"/>
      <c r="L2711" s="261"/>
      <c r="M2711" s="262" t="str">
        <f t="shared" si="1"/>
        <v/>
      </c>
      <c r="N2711" s="263" t="str">
        <f t="shared" si="2"/>
        <v/>
      </c>
      <c r="O2711" s="264" t="str">
        <f t="shared" si="3"/>
        <v/>
      </c>
      <c r="P2711" s="265" t="str">
        <f>IFERROR(__xludf.DUMMYFUNCTION("IF(ISBLANK(A2711),"""",IFERROR(IF(H2711=""Sell"",VLOOKUP(9^99,FILTER({ROW(P$2:P2710),P$2:P2710},D$2:D2710=D2711),2),(VLOOKUP(9^99,FILTER({ROW(P$2:P2710),P$2:P2710},D$2:D2710=D2711),2)*VLOOKUP(9^99,FILTER({ROW(O$2:O2710),O$2:O2710},D$2:D2710=D2711),2)-N271"&amp;"1)/O2711),J2711))"),"")</f>
        <v/>
      </c>
      <c r="Q2711" s="264" t="str">
        <f>IFERROR(__xludf.DUMMYFUNCTION("IFERROR(IF(F2711=""Crypto"",B2711,(IF(ISBLANK(D2711),"""",IF(D2711=""Cash"",B2711,IF(GOOGLEFINANCE(D2711,""CURRENCY"")=""GBX"",""GBP"",GOOGLEFINANCE(D2711,""CURRENCY"")))))),B2711)"),"")</f>
        <v/>
      </c>
      <c r="R2711" s="263" t="str">
        <f>IFERROR(__xludf.DUMMYFUNCTION("IF(ISBLANK(A2711),"""",IFERROR(IF(OR(Q2711=""GPB"",Q2711=""ZAR""),IF(Q2711=Dashboard!$L$1,K2711,(K2711*GOOGLEFINANCE(""CURRENCY:""&amp;Q2711&amp;""""&amp;Dashboard!$L$1&amp;""""))/100),IF(Q2711=Dashboard!$L$1,K2711,K2711*GOOGLEFINANCE(""CURRENCY:""&amp;Q2711&amp;""""&amp;Dashboard!$"&amp;"L$1&amp;""""))),K2711))"),"")</f>
        <v/>
      </c>
      <c r="S2711" s="266" t="str">
        <f>IFERROR(__xludf.DUMMYFUNCTION("IF(ISBLANK(A2711),"""",IFERROR(IF(OR(Q2711=""GPB"",Q2711=""ZAR""),IF(Q2711=Dashboard!$L$1,M2711,(M2711*GOOGLEFINANCE(""CURRENCY:""&amp;Q2711&amp;""""&amp;Dashboard!$L$1&amp;""""))/100),IF(Q2711=Dashboard!$L$1,M2711,M2711*GOOGLEFINANCE(""CURRENCY:""&amp;Q2711&amp;""""&amp;Dashboard!$"&amp;"L$1&amp;""""))),M2711))"),"")</f>
        <v/>
      </c>
      <c r="T2711" s="264" t="str">
        <f t="shared" si="4"/>
        <v/>
      </c>
      <c r="U2711" s="264" t="str">
        <f t="shared" si="5"/>
        <v/>
      </c>
      <c r="V2711" s="264" t="str">
        <f t="shared" si="6"/>
        <v/>
      </c>
      <c r="W2711" s="267" t="str">
        <f t="shared" si="8"/>
        <v/>
      </c>
      <c r="X2711" s="264" t="str">
        <f t="shared" si="7"/>
        <v/>
      </c>
    </row>
    <row r="2712" ht="15.75" customHeight="1">
      <c r="A2712" s="258"/>
      <c r="B2712" s="258"/>
      <c r="C2712" s="269"/>
      <c r="D2712" s="258"/>
      <c r="E2712" s="258"/>
      <c r="F2712" s="258"/>
      <c r="G2712" s="258"/>
      <c r="H2712" s="271"/>
      <c r="I2712" s="258"/>
      <c r="J2712" s="272"/>
      <c r="K2712" s="260"/>
      <c r="L2712" s="261"/>
      <c r="M2712" s="262" t="str">
        <f t="shared" si="1"/>
        <v/>
      </c>
      <c r="N2712" s="263" t="str">
        <f t="shared" si="2"/>
        <v/>
      </c>
      <c r="O2712" s="264" t="str">
        <f t="shared" si="3"/>
        <v/>
      </c>
      <c r="P2712" s="265" t="str">
        <f>IFERROR(__xludf.DUMMYFUNCTION("IF(ISBLANK(A2712),"""",IFERROR(IF(H2712=""Sell"",VLOOKUP(9^99,FILTER({ROW(P$2:P2711),P$2:P2711},D$2:D2711=D2712),2),(VLOOKUP(9^99,FILTER({ROW(P$2:P2711),P$2:P2711},D$2:D2711=D2712),2)*VLOOKUP(9^99,FILTER({ROW(O$2:O2711),O$2:O2711},D$2:D2711=D2712),2)-N271"&amp;"2)/O2712),J2712))"),"")</f>
        <v/>
      </c>
      <c r="Q2712" s="264" t="str">
        <f>IFERROR(__xludf.DUMMYFUNCTION("IFERROR(IF(F2712=""Crypto"",B2712,(IF(ISBLANK(D2712),"""",IF(D2712=""Cash"",B2712,IF(GOOGLEFINANCE(D2712,""CURRENCY"")=""GBX"",""GBP"",GOOGLEFINANCE(D2712,""CURRENCY"")))))),B2712)"),"")</f>
        <v/>
      </c>
      <c r="R2712" s="263" t="str">
        <f>IFERROR(__xludf.DUMMYFUNCTION("IF(ISBLANK(A2712),"""",IFERROR(IF(OR(Q2712=""GPB"",Q2712=""ZAR""),IF(Q2712=Dashboard!$L$1,K2712,(K2712*GOOGLEFINANCE(""CURRENCY:""&amp;Q2712&amp;""""&amp;Dashboard!$L$1&amp;""""))/100),IF(Q2712=Dashboard!$L$1,K2712,K2712*GOOGLEFINANCE(""CURRENCY:""&amp;Q2712&amp;""""&amp;Dashboard!$"&amp;"L$1&amp;""""))),K2712))"),"")</f>
        <v/>
      </c>
      <c r="S2712" s="266" t="str">
        <f>IFERROR(__xludf.DUMMYFUNCTION("IF(ISBLANK(A2712),"""",IFERROR(IF(OR(Q2712=""GPB"",Q2712=""ZAR""),IF(Q2712=Dashboard!$L$1,M2712,(M2712*GOOGLEFINANCE(""CURRENCY:""&amp;Q2712&amp;""""&amp;Dashboard!$L$1&amp;""""))/100),IF(Q2712=Dashboard!$L$1,M2712,M2712*GOOGLEFINANCE(""CURRENCY:""&amp;Q2712&amp;""""&amp;Dashboard!$"&amp;"L$1&amp;""""))),M2712))"),"")</f>
        <v/>
      </c>
      <c r="T2712" s="264" t="str">
        <f t="shared" si="4"/>
        <v/>
      </c>
      <c r="U2712" s="264" t="str">
        <f t="shared" si="5"/>
        <v/>
      </c>
      <c r="V2712" s="264" t="str">
        <f t="shared" si="6"/>
        <v/>
      </c>
      <c r="W2712" s="267" t="str">
        <f t="shared" si="8"/>
        <v/>
      </c>
      <c r="X2712" s="264" t="str">
        <f t="shared" si="7"/>
        <v/>
      </c>
    </row>
    <row r="2713" ht="15.75" customHeight="1">
      <c r="A2713" s="258"/>
      <c r="B2713" s="258"/>
      <c r="C2713" s="269"/>
      <c r="D2713" s="258"/>
      <c r="E2713" s="258"/>
      <c r="F2713" s="258"/>
      <c r="G2713" s="258"/>
      <c r="H2713" s="271"/>
      <c r="I2713" s="258"/>
      <c r="J2713" s="272"/>
      <c r="K2713" s="260"/>
      <c r="L2713" s="261"/>
      <c r="M2713" s="262" t="str">
        <f t="shared" si="1"/>
        <v/>
      </c>
      <c r="N2713" s="263" t="str">
        <f t="shared" si="2"/>
        <v/>
      </c>
      <c r="O2713" s="264" t="str">
        <f t="shared" si="3"/>
        <v/>
      </c>
      <c r="P2713" s="265" t="str">
        <f>IFERROR(__xludf.DUMMYFUNCTION("IF(ISBLANK(A2713),"""",IFERROR(IF(H2713=""Sell"",VLOOKUP(9^99,FILTER({ROW(P$2:P2712),P$2:P2712},D$2:D2712=D2713),2),(VLOOKUP(9^99,FILTER({ROW(P$2:P2712),P$2:P2712},D$2:D2712=D2713),2)*VLOOKUP(9^99,FILTER({ROW(O$2:O2712),O$2:O2712},D$2:D2712=D2713),2)-N271"&amp;"3)/O2713),J2713))"),"")</f>
        <v/>
      </c>
      <c r="Q2713" s="264" t="str">
        <f>IFERROR(__xludf.DUMMYFUNCTION("IFERROR(IF(F2713=""Crypto"",B2713,(IF(ISBLANK(D2713),"""",IF(D2713=""Cash"",B2713,IF(GOOGLEFINANCE(D2713,""CURRENCY"")=""GBX"",""GBP"",GOOGLEFINANCE(D2713,""CURRENCY"")))))),B2713)"),"")</f>
        <v/>
      </c>
      <c r="R2713" s="263" t="str">
        <f>IFERROR(__xludf.DUMMYFUNCTION("IF(ISBLANK(A2713),"""",IFERROR(IF(OR(Q2713=""GPB"",Q2713=""ZAR""),IF(Q2713=Dashboard!$L$1,K2713,(K2713*GOOGLEFINANCE(""CURRENCY:""&amp;Q2713&amp;""""&amp;Dashboard!$L$1&amp;""""))/100),IF(Q2713=Dashboard!$L$1,K2713,K2713*GOOGLEFINANCE(""CURRENCY:""&amp;Q2713&amp;""""&amp;Dashboard!$"&amp;"L$1&amp;""""))),K2713))"),"")</f>
        <v/>
      </c>
      <c r="S2713" s="266" t="str">
        <f>IFERROR(__xludf.DUMMYFUNCTION("IF(ISBLANK(A2713),"""",IFERROR(IF(OR(Q2713=""GPB"",Q2713=""ZAR""),IF(Q2713=Dashboard!$L$1,M2713,(M2713*GOOGLEFINANCE(""CURRENCY:""&amp;Q2713&amp;""""&amp;Dashboard!$L$1&amp;""""))/100),IF(Q2713=Dashboard!$L$1,M2713,M2713*GOOGLEFINANCE(""CURRENCY:""&amp;Q2713&amp;""""&amp;Dashboard!$"&amp;"L$1&amp;""""))),M2713))"),"")</f>
        <v/>
      </c>
      <c r="T2713" s="264" t="str">
        <f t="shared" si="4"/>
        <v/>
      </c>
      <c r="U2713" s="264" t="str">
        <f t="shared" si="5"/>
        <v/>
      </c>
      <c r="V2713" s="264" t="str">
        <f t="shared" si="6"/>
        <v/>
      </c>
      <c r="W2713" s="267" t="str">
        <f t="shared" si="8"/>
        <v/>
      </c>
      <c r="X2713" s="264" t="str">
        <f t="shared" si="7"/>
        <v/>
      </c>
    </row>
    <row r="2714" ht="15.75" customHeight="1">
      <c r="A2714" s="258"/>
      <c r="B2714" s="258"/>
      <c r="C2714" s="269"/>
      <c r="D2714" s="258"/>
      <c r="E2714" s="258"/>
      <c r="F2714" s="258"/>
      <c r="G2714" s="258"/>
      <c r="H2714" s="271"/>
      <c r="I2714" s="258"/>
      <c r="J2714" s="272"/>
      <c r="K2714" s="260"/>
      <c r="L2714" s="261"/>
      <c r="M2714" s="262" t="str">
        <f t="shared" si="1"/>
        <v/>
      </c>
      <c r="N2714" s="263" t="str">
        <f t="shared" si="2"/>
        <v/>
      </c>
      <c r="O2714" s="264" t="str">
        <f t="shared" si="3"/>
        <v/>
      </c>
      <c r="P2714" s="265" t="str">
        <f>IFERROR(__xludf.DUMMYFUNCTION("IF(ISBLANK(A2714),"""",IFERROR(IF(H2714=""Sell"",VLOOKUP(9^99,FILTER({ROW(P$2:P2713),P$2:P2713},D$2:D2713=D2714),2),(VLOOKUP(9^99,FILTER({ROW(P$2:P2713),P$2:P2713},D$2:D2713=D2714),2)*VLOOKUP(9^99,FILTER({ROW(O$2:O2713),O$2:O2713},D$2:D2713=D2714),2)-N271"&amp;"4)/O2714),J2714))"),"")</f>
        <v/>
      </c>
      <c r="Q2714" s="264" t="str">
        <f>IFERROR(__xludf.DUMMYFUNCTION("IFERROR(IF(F2714=""Crypto"",B2714,(IF(ISBLANK(D2714),"""",IF(D2714=""Cash"",B2714,IF(GOOGLEFINANCE(D2714,""CURRENCY"")=""GBX"",""GBP"",GOOGLEFINANCE(D2714,""CURRENCY"")))))),B2714)"),"")</f>
        <v/>
      </c>
      <c r="R2714" s="263" t="str">
        <f>IFERROR(__xludf.DUMMYFUNCTION("IF(ISBLANK(A2714),"""",IFERROR(IF(OR(Q2714=""GPB"",Q2714=""ZAR""),IF(Q2714=Dashboard!$L$1,K2714,(K2714*GOOGLEFINANCE(""CURRENCY:""&amp;Q2714&amp;""""&amp;Dashboard!$L$1&amp;""""))/100),IF(Q2714=Dashboard!$L$1,K2714,K2714*GOOGLEFINANCE(""CURRENCY:""&amp;Q2714&amp;""""&amp;Dashboard!$"&amp;"L$1&amp;""""))),K2714))"),"")</f>
        <v/>
      </c>
      <c r="S2714" s="266" t="str">
        <f>IFERROR(__xludf.DUMMYFUNCTION("IF(ISBLANK(A2714),"""",IFERROR(IF(OR(Q2714=""GPB"",Q2714=""ZAR""),IF(Q2714=Dashboard!$L$1,M2714,(M2714*GOOGLEFINANCE(""CURRENCY:""&amp;Q2714&amp;""""&amp;Dashboard!$L$1&amp;""""))/100),IF(Q2714=Dashboard!$L$1,M2714,M2714*GOOGLEFINANCE(""CURRENCY:""&amp;Q2714&amp;""""&amp;Dashboard!$"&amp;"L$1&amp;""""))),M2714))"),"")</f>
        <v/>
      </c>
      <c r="T2714" s="264" t="str">
        <f t="shared" si="4"/>
        <v/>
      </c>
      <c r="U2714" s="264" t="str">
        <f t="shared" si="5"/>
        <v/>
      </c>
      <c r="V2714" s="264" t="str">
        <f t="shared" si="6"/>
        <v/>
      </c>
      <c r="W2714" s="267" t="str">
        <f t="shared" si="8"/>
        <v/>
      </c>
      <c r="X2714" s="264" t="str">
        <f t="shared" si="7"/>
        <v/>
      </c>
    </row>
    <row r="2715" ht="15.75" customHeight="1">
      <c r="A2715" s="258"/>
      <c r="B2715" s="258"/>
      <c r="C2715" s="269"/>
      <c r="D2715" s="258"/>
      <c r="E2715" s="258"/>
      <c r="F2715" s="258"/>
      <c r="G2715" s="258"/>
      <c r="H2715" s="271"/>
      <c r="I2715" s="258"/>
      <c r="J2715" s="272"/>
      <c r="K2715" s="260"/>
      <c r="L2715" s="261"/>
      <c r="M2715" s="262" t="str">
        <f t="shared" si="1"/>
        <v/>
      </c>
      <c r="N2715" s="263" t="str">
        <f t="shared" si="2"/>
        <v/>
      </c>
      <c r="O2715" s="264" t="str">
        <f t="shared" si="3"/>
        <v/>
      </c>
      <c r="P2715" s="265" t="str">
        <f>IFERROR(__xludf.DUMMYFUNCTION("IF(ISBLANK(A2715),"""",IFERROR(IF(H2715=""Sell"",VLOOKUP(9^99,FILTER({ROW(P$2:P2714),P$2:P2714},D$2:D2714=D2715),2),(VLOOKUP(9^99,FILTER({ROW(P$2:P2714),P$2:P2714},D$2:D2714=D2715),2)*VLOOKUP(9^99,FILTER({ROW(O$2:O2714),O$2:O2714},D$2:D2714=D2715),2)-N271"&amp;"5)/O2715),J2715))"),"")</f>
        <v/>
      </c>
      <c r="Q2715" s="264" t="str">
        <f>IFERROR(__xludf.DUMMYFUNCTION("IFERROR(IF(F2715=""Crypto"",B2715,(IF(ISBLANK(D2715),"""",IF(D2715=""Cash"",B2715,IF(GOOGLEFINANCE(D2715,""CURRENCY"")=""GBX"",""GBP"",GOOGLEFINANCE(D2715,""CURRENCY"")))))),B2715)"),"")</f>
        <v/>
      </c>
      <c r="R2715" s="263" t="str">
        <f>IFERROR(__xludf.DUMMYFUNCTION("IF(ISBLANK(A2715),"""",IFERROR(IF(OR(Q2715=""GPB"",Q2715=""ZAR""),IF(Q2715=Dashboard!$L$1,K2715,(K2715*GOOGLEFINANCE(""CURRENCY:""&amp;Q2715&amp;""""&amp;Dashboard!$L$1&amp;""""))/100),IF(Q2715=Dashboard!$L$1,K2715,K2715*GOOGLEFINANCE(""CURRENCY:""&amp;Q2715&amp;""""&amp;Dashboard!$"&amp;"L$1&amp;""""))),K2715))"),"")</f>
        <v/>
      </c>
      <c r="S2715" s="266" t="str">
        <f>IFERROR(__xludf.DUMMYFUNCTION("IF(ISBLANK(A2715),"""",IFERROR(IF(OR(Q2715=""GPB"",Q2715=""ZAR""),IF(Q2715=Dashboard!$L$1,M2715,(M2715*GOOGLEFINANCE(""CURRENCY:""&amp;Q2715&amp;""""&amp;Dashboard!$L$1&amp;""""))/100),IF(Q2715=Dashboard!$L$1,M2715,M2715*GOOGLEFINANCE(""CURRENCY:""&amp;Q2715&amp;""""&amp;Dashboard!$"&amp;"L$1&amp;""""))),M2715))"),"")</f>
        <v/>
      </c>
      <c r="T2715" s="264" t="str">
        <f t="shared" si="4"/>
        <v/>
      </c>
      <c r="U2715" s="264" t="str">
        <f t="shared" si="5"/>
        <v/>
      </c>
      <c r="V2715" s="264" t="str">
        <f t="shared" si="6"/>
        <v/>
      </c>
      <c r="W2715" s="267" t="str">
        <f t="shared" si="8"/>
        <v/>
      </c>
      <c r="X2715" s="264" t="str">
        <f t="shared" si="7"/>
        <v/>
      </c>
    </row>
    <row r="2716" ht="15.75" customHeight="1">
      <c r="A2716" s="258"/>
      <c r="B2716" s="258"/>
      <c r="C2716" s="269"/>
      <c r="D2716" s="258"/>
      <c r="E2716" s="258"/>
      <c r="F2716" s="258"/>
      <c r="G2716" s="258"/>
      <c r="H2716" s="271"/>
      <c r="I2716" s="258"/>
      <c r="J2716" s="272"/>
      <c r="K2716" s="260"/>
      <c r="L2716" s="261"/>
      <c r="M2716" s="262" t="str">
        <f t="shared" si="1"/>
        <v/>
      </c>
      <c r="N2716" s="263" t="str">
        <f t="shared" si="2"/>
        <v/>
      </c>
      <c r="O2716" s="264" t="str">
        <f t="shared" si="3"/>
        <v/>
      </c>
      <c r="P2716" s="265" t="str">
        <f>IFERROR(__xludf.DUMMYFUNCTION("IF(ISBLANK(A2716),"""",IFERROR(IF(H2716=""Sell"",VLOOKUP(9^99,FILTER({ROW(P$2:P2715),P$2:P2715},D$2:D2715=D2716),2),(VLOOKUP(9^99,FILTER({ROW(P$2:P2715),P$2:P2715},D$2:D2715=D2716),2)*VLOOKUP(9^99,FILTER({ROW(O$2:O2715),O$2:O2715},D$2:D2715=D2716),2)-N271"&amp;"6)/O2716),J2716))"),"")</f>
        <v/>
      </c>
      <c r="Q2716" s="264" t="str">
        <f>IFERROR(__xludf.DUMMYFUNCTION("IFERROR(IF(F2716=""Crypto"",B2716,(IF(ISBLANK(D2716),"""",IF(D2716=""Cash"",B2716,IF(GOOGLEFINANCE(D2716,""CURRENCY"")=""GBX"",""GBP"",GOOGLEFINANCE(D2716,""CURRENCY"")))))),B2716)"),"")</f>
        <v/>
      </c>
      <c r="R2716" s="263" t="str">
        <f>IFERROR(__xludf.DUMMYFUNCTION("IF(ISBLANK(A2716),"""",IFERROR(IF(OR(Q2716=""GPB"",Q2716=""ZAR""),IF(Q2716=Dashboard!$L$1,K2716,(K2716*GOOGLEFINANCE(""CURRENCY:""&amp;Q2716&amp;""""&amp;Dashboard!$L$1&amp;""""))/100),IF(Q2716=Dashboard!$L$1,K2716,K2716*GOOGLEFINANCE(""CURRENCY:""&amp;Q2716&amp;""""&amp;Dashboard!$"&amp;"L$1&amp;""""))),K2716))"),"")</f>
        <v/>
      </c>
      <c r="S2716" s="266" t="str">
        <f>IFERROR(__xludf.DUMMYFUNCTION("IF(ISBLANK(A2716),"""",IFERROR(IF(OR(Q2716=""GPB"",Q2716=""ZAR""),IF(Q2716=Dashboard!$L$1,M2716,(M2716*GOOGLEFINANCE(""CURRENCY:""&amp;Q2716&amp;""""&amp;Dashboard!$L$1&amp;""""))/100),IF(Q2716=Dashboard!$L$1,M2716,M2716*GOOGLEFINANCE(""CURRENCY:""&amp;Q2716&amp;""""&amp;Dashboard!$"&amp;"L$1&amp;""""))),M2716))"),"")</f>
        <v/>
      </c>
      <c r="T2716" s="264" t="str">
        <f t="shared" si="4"/>
        <v/>
      </c>
      <c r="U2716" s="264" t="str">
        <f t="shared" si="5"/>
        <v/>
      </c>
      <c r="V2716" s="264" t="str">
        <f t="shared" si="6"/>
        <v/>
      </c>
      <c r="W2716" s="267" t="str">
        <f t="shared" si="8"/>
        <v/>
      </c>
      <c r="X2716" s="264" t="str">
        <f t="shared" si="7"/>
        <v/>
      </c>
    </row>
    <row r="2717" ht="15.75" customHeight="1">
      <c r="A2717" s="258"/>
      <c r="B2717" s="258"/>
      <c r="C2717" s="269"/>
      <c r="D2717" s="258"/>
      <c r="E2717" s="258"/>
      <c r="F2717" s="258"/>
      <c r="G2717" s="258"/>
      <c r="H2717" s="271"/>
      <c r="I2717" s="258"/>
      <c r="J2717" s="272"/>
      <c r="K2717" s="260"/>
      <c r="L2717" s="261"/>
      <c r="M2717" s="262" t="str">
        <f t="shared" si="1"/>
        <v/>
      </c>
      <c r="N2717" s="263" t="str">
        <f t="shared" si="2"/>
        <v/>
      </c>
      <c r="O2717" s="264" t="str">
        <f t="shared" si="3"/>
        <v/>
      </c>
      <c r="P2717" s="265" t="str">
        <f>IFERROR(__xludf.DUMMYFUNCTION("IF(ISBLANK(A2717),"""",IFERROR(IF(H2717=""Sell"",VLOOKUP(9^99,FILTER({ROW(P$2:P2716),P$2:P2716},D$2:D2716=D2717),2),(VLOOKUP(9^99,FILTER({ROW(P$2:P2716),P$2:P2716},D$2:D2716=D2717),2)*VLOOKUP(9^99,FILTER({ROW(O$2:O2716),O$2:O2716},D$2:D2716=D2717),2)-N271"&amp;"7)/O2717),J2717))"),"")</f>
        <v/>
      </c>
      <c r="Q2717" s="264" t="str">
        <f>IFERROR(__xludf.DUMMYFUNCTION("IFERROR(IF(F2717=""Crypto"",B2717,(IF(ISBLANK(D2717),"""",IF(D2717=""Cash"",B2717,IF(GOOGLEFINANCE(D2717,""CURRENCY"")=""GBX"",""GBP"",GOOGLEFINANCE(D2717,""CURRENCY"")))))),B2717)"),"")</f>
        <v/>
      </c>
      <c r="R2717" s="263" t="str">
        <f>IFERROR(__xludf.DUMMYFUNCTION("IF(ISBLANK(A2717),"""",IFERROR(IF(OR(Q2717=""GPB"",Q2717=""ZAR""),IF(Q2717=Dashboard!$L$1,K2717,(K2717*GOOGLEFINANCE(""CURRENCY:""&amp;Q2717&amp;""""&amp;Dashboard!$L$1&amp;""""))/100),IF(Q2717=Dashboard!$L$1,K2717,K2717*GOOGLEFINANCE(""CURRENCY:""&amp;Q2717&amp;""""&amp;Dashboard!$"&amp;"L$1&amp;""""))),K2717))"),"")</f>
        <v/>
      </c>
      <c r="S2717" s="266" t="str">
        <f>IFERROR(__xludf.DUMMYFUNCTION("IF(ISBLANK(A2717),"""",IFERROR(IF(OR(Q2717=""GPB"",Q2717=""ZAR""),IF(Q2717=Dashboard!$L$1,M2717,(M2717*GOOGLEFINANCE(""CURRENCY:""&amp;Q2717&amp;""""&amp;Dashboard!$L$1&amp;""""))/100),IF(Q2717=Dashboard!$L$1,M2717,M2717*GOOGLEFINANCE(""CURRENCY:""&amp;Q2717&amp;""""&amp;Dashboard!$"&amp;"L$1&amp;""""))),M2717))"),"")</f>
        <v/>
      </c>
      <c r="T2717" s="264" t="str">
        <f t="shared" si="4"/>
        <v/>
      </c>
      <c r="U2717" s="264" t="str">
        <f t="shared" si="5"/>
        <v/>
      </c>
      <c r="V2717" s="264" t="str">
        <f t="shared" si="6"/>
        <v/>
      </c>
      <c r="W2717" s="267" t="str">
        <f t="shared" si="8"/>
        <v/>
      </c>
      <c r="X2717" s="264" t="str">
        <f t="shared" si="7"/>
        <v/>
      </c>
    </row>
    <row r="2718" ht="15.75" customHeight="1">
      <c r="A2718" s="258"/>
      <c r="B2718" s="258"/>
      <c r="C2718" s="269"/>
      <c r="D2718" s="258"/>
      <c r="E2718" s="258"/>
      <c r="F2718" s="258"/>
      <c r="G2718" s="258"/>
      <c r="H2718" s="271"/>
      <c r="I2718" s="258"/>
      <c r="J2718" s="272"/>
      <c r="K2718" s="260"/>
      <c r="L2718" s="261"/>
      <c r="M2718" s="262" t="str">
        <f t="shared" si="1"/>
        <v/>
      </c>
      <c r="N2718" s="263" t="str">
        <f t="shared" si="2"/>
        <v/>
      </c>
      <c r="O2718" s="264" t="str">
        <f t="shared" si="3"/>
        <v/>
      </c>
      <c r="P2718" s="265" t="str">
        <f>IFERROR(__xludf.DUMMYFUNCTION("IF(ISBLANK(A2718),"""",IFERROR(IF(H2718=""Sell"",VLOOKUP(9^99,FILTER({ROW(P$2:P2717),P$2:P2717},D$2:D2717=D2718),2),(VLOOKUP(9^99,FILTER({ROW(P$2:P2717),P$2:P2717},D$2:D2717=D2718),2)*VLOOKUP(9^99,FILTER({ROW(O$2:O2717),O$2:O2717},D$2:D2717=D2718),2)-N271"&amp;"8)/O2718),J2718))"),"")</f>
        <v/>
      </c>
      <c r="Q2718" s="264" t="str">
        <f>IFERROR(__xludf.DUMMYFUNCTION("IFERROR(IF(F2718=""Crypto"",B2718,(IF(ISBLANK(D2718),"""",IF(D2718=""Cash"",B2718,IF(GOOGLEFINANCE(D2718,""CURRENCY"")=""GBX"",""GBP"",GOOGLEFINANCE(D2718,""CURRENCY"")))))),B2718)"),"")</f>
        <v/>
      </c>
      <c r="R2718" s="263" t="str">
        <f>IFERROR(__xludf.DUMMYFUNCTION("IF(ISBLANK(A2718),"""",IFERROR(IF(OR(Q2718=""GPB"",Q2718=""ZAR""),IF(Q2718=Dashboard!$L$1,K2718,(K2718*GOOGLEFINANCE(""CURRENCY:""&amp;Q2718&amp;""""&amp;Dashboard!$L$1&amp;""""))/100),IF(Q2718=Dashboard!$L$1,K2718,K2718*GOOGLEFINANCE(""CURRENCY:""&amp;Q2718&amp;""""&amp;Dashboard!$"&amp;"L$1&amp;""""))),K2718))"),"")</f>
        <v/>
      </c>
      <c r="S2718" s="266" t="str">
        <f>IFERROR(__xludf.DUMMYFUNCTION("IF(ISBLANK(A2718),"""",IFERROR(IF(OR(Q2718=""GPB"",Q2718=""ZAR""),IF(Q2718=Dashboard!$L$1,M2718,(M2718*GOOGLEFINANCE(""CURRENCY:""&amp;Q2718&amp;""""&amp;Dashboard!$L$1&amp;""""))/100),IF(Q2718=Dashboard!$L$1,M2718,M2718*GOOGLEFINANCE(""CURRENCY:""&amp;Q2718&amp;""""&amp;Dashboard!$"&amp;"L$1&amp;""""))),M2718))"),"")</f>
        <v/>
      </c>
      <c r="T2718" s="264" t="str">
        <f t="shared" si="4"/>
        <v/>
      </c>
      <c r="U2718" s="264" t="str">
        <f t="shared" si="5"/>
        <v/>
      </c>
      <c r="V2718" s="264" t="str">
        <f t="shared" si="6"/>
        <v/>
      </c>
      <c r="W2718" s="267" t="str">
        <f t="shared" si="8"/>
        <v/>
      </c>
      <c r="X2718" s="264" t="str">
        <f t="shared" si="7"/>
        <v/>
      </c>
    </row>
    <row r="2719" ht="15.75" customHeight="1">
      <c r="A2719" s="258"/>
      <c r="B2719" s="258"/>
      <c r="C2719" s="269"/>
      <c r="D2719" s="258"/>
      <c r="E2719" s="258"/>
      <c r="F2719" s="258"/>
      <c r="G2719" s="258"/>
      <c r="H2719" s="271"/>
      <c r="I2719" s="258"/>
      <c r="J2719" s="272"/>
      <c r="K2719" s="260"/>
      <c r="L2719" s="261"/>
      <c r="M2719" s="262" t="str">
        <f t="shared" si="1"/>
        <v/>
      </c>
      <c r="N2719" s="263" t="str">
        <f t="shared" si="2"/>
        <v/>
      </c>
      <c r="O2719" s="264" t="str">
        <f t="shared" si="3"/>
        <v/>
      </c>
      <c r="P2719" s="265" t="str">
        <f>IFERROR(__xludf.DUMMYFUNCTION("IF(ISBLANK(A2719),"""",IFERROR(IF(H2719=""Sell"",VLOOKUP(9^99,FILTER({ROW(P$2:P2718),P$2:P2718},D$2:D2718=D2719),2),(VLOOKUP(9^99,FILTER({ROW(P$2:P2718),P$2:P2718},D$2:D2718=D2719),2)*VLOOKUP(9^99,FILTER({ROW(O$2:O2718),O$2:O2718},D$2:D2718=D2719),2)-N271"&amp;"9)/O2719),J2719))"),"")</f>
        <v/>
      </c>
      <c r="Q2719" s="264" t="str">
        <f>IFERROR(__xludf.DUMMYFUNCTION("IFERROR(IF(F2719=""Crypto"",B2719,(IF(ISBLANK(D2719),"""",IF(D2719=""Cash"",B2719,IF(GOOGLEFINANCE(D2719,""CURRENCY"")=""GBX"",""GBP"",GOOGLEFINANCE(D2719,""CURRENCY"")))))),B2719)"),"")</f>
        <v/>
      </c>
      <c r="R2719" s="263" t="str">
        <f>IFERROR(__xludf.DUMMYFUNCTION("IF(ISBLANK(A2719),"""",IFERROR(IF(OR(Q2719=""GPB"",Q2719=""ZAR""),IF(Q2719=Dashboard!$L$1,K2719,(K2719*GOOGLEFINANCE(""CURRENCY:""&amp;Q2719&amp;""""&amp;Dashboard!$L$1&amp;""""))/100),IF(Q2719=Dashboard!$L$1,K2719,K2719*GOOGLEFINANCE(""CURRENCY:""&amp;Q2719&amp;""""&amp;Dashboard!$"&amp;"L$1&amp;""""))),K2719))"),"")</f>
        <v/>
      </c>
      <c r="S2719" s="266" t="str">
        <f>IFERROR(__xludf.DUMMYFUNCTION("IF(ISBLANK(A2719),"""",IFERROR(IF(OR(Q2719=""GPB"",Q2719=""ZAR""),IF(Q2719=Dashboard!$L$1,M2719,(M2719*GOOGLEFINANCE(""CURRENCY:""&amp;Q2719&amp;""""&amp;Dashboard!$L$1&amp;""""))/100),IF(Q2719=Dashboard!$L$1,M2719,M2719*GOOGLEFINANCE(""CURRENCY:""&amp;Q2719&amp;""""&amp;Dashboard!$"&amp;"L$1&amp;""""))),M2719))"),"")</f>
        <v/>
      </c>
      <c r="T2719" s="264" t="str">
        <f t="shared" si="4"/>
        <v/>
      </c>
      <c r="U2719" s="264" t="str">
        <f t="shared" si="5"/>
        <v/>
      </c>
      <c r="V2719" s="264" t="str">
        <f t="shared" si="6"/>
        <v/>
      </c>
      <c r="W2719" s="267" t="str">
        <f t="shared" si="8"/>
        <v/>
      </c>
      <c r="X2719" s="264" t="str">
        <f t="shared" si="7"/>
        <v/>
      </c>
    </row>
    <row r="2720" ht="15.75" customHeight="1">
      <c r="A2720" s="258"/>
      <c r="B2720" s="258"/>
      <c r="C2720" s="269"/>
      <c r="D2720" s="258"/>
      <c r="E2720" s="258"/>
      <c r="F2720" s="258"/>
      <c r="G2720" s="258"/>
      <c r="H2720" s="271"/>
      <c r="I2720" s="258"/>
      <c r="J2720" s="272"/>
      <c r="K2720" s="260"/>
      <c r="L2720" s="261"/>
      <c r="M2720" s="262" t="str">
        <f t="shared" si="1"/>
        <v/>
      </c>
      <c r="N2720" s="263" t="str">
        <f t="shared" si="2"/>
        <v/>
      </c>
      <c r="O2720" s="264" t="str">
        <f t="shared" si="3"/>
        <v/>
      </c>
      <c r="P2720" s="265" t="str">
        <f>IFERROR(__xludf.DUMMYFUNCTION("IF(ISBLANK(A2720),"""",IFERROR(IF(H2720=""Sell"",VLOOKUP(9^99,FILTER({ROW(P$2:P2719),P$2:P2719},D$2:D2719=D2720),2),(VLOOKUP(9^99,FILTER({ROW(P$2:P2719),P$2:P2719},D$2:D2719=D2720),2)*VLOOKUP(9^99,FILTER({ROW(O$2:O2719),O$2:O2719},D$2:D2719=D2720),2)-N272"&amp;"0)/O2720),J2720))"),"")</f>
        <v/>
      </c>
      <c r="Q2720" s="264" t="str">
        <f>IFERROR(__xludf.DUMMYFUNCTION("IFERROR(IF(F2720=""Crypto"",B2720,(IF(ISBLANK(D2720),"""",IF(D2720=""Cash"",B2720,IF(GOOGLEFINANCE(D2720,""CURRENCY"")=""GBX"",""GBP"",GOOGLEFINANCE(D2720,""CURRENCY"")))))),B2720)"),"")</f>
        <v/>
      </c>
      <c r="R2720" s="263" t="str">
        <f>IFERROR(__xludf.DUMMYFUNCTION("IF(ISBLANK(A2720),"""",IFERROR(IF(OR(Q2720=""GPB"",Q2720=""ZAR""),IF(Q2720=Dashboard!$L$1,K2720,(K2720*GOOGLEFINANCE(""CURRENCY:""&amp;Q2720&amp;""""&amp;Dashboard!$L$1&amp;""""))/100),IF(Q2720=Dashboard!$L$1,K2720,K2720*GOOGLEFINANCE(""CURRENCY:""&amp;Q2720&amp;""""&amp;Dashboard!$"&amp;"L$1&amp;""""))),K2720))"),"")</f>
        <v/>
      </c>
      <c r="S2720" s="266" t="str">
        <f>IFERROR(__xludf.DUMMYFUNCTION("IF(ISBLANK(A2720),"""",IFERROR(IF(OR(Q2720=""GPB"",Q2720=""ZAR""),IF(Q2720=Dashboard!$L$1,M2720,(M2720*GOOGLEFINANCE(""CURRENCY:""&amp;Q2720&amp;""""&amp;Dashboard!$L$1&amp;""""))/100),IF(Q2720=Dashboard!$L$1,M2720,M2720*GOOGLEFINANCE(""CURRENCY:""&amp;Q2720&amp;""""&amp;Dashboard!$"&amp;"L$1&amp;""""))),M2720))"),"")</f>
        <v/>
      </c>
      <c r="T2720" s="264" t="str">
        <f t="shared" si="4"/>
        <v/>
      </c>
      <c r="U2720" s="264" t="str">
        <f t="shared" si="5"/>
        <v/>
      </c>
      <c r="V2720" s="264" t="str">
        <f t="shared" si="6"/>
        <v/>
      </c>
      <c r="W2720" s="267" t="str">
        <f t="shared" si="8"/>
        <v/>
      </c>
      <c r="X2720" s="264" t="str">
        <f t="shared" si="7"/>
        <v/>
      </c>
    </row>
    <row r="2721" ht="15.75" customHeight="1">
      <c r="A2721" s="258"/>
      <c r="B2721" s="258"/>
      <c r="C2721" s="269"/>
      <c r="D2721" s="258"/>
      <c r="E2721" s="258"/>
      <c r="F2721" s="258"/>
      <c r="G2721" s="258"/>
      <c r="H2721" s="271"/>
      <c r="I2721" s="258"/>
      <c r="J2721" s="272"/>
      <c r="K2721" s="260"/>
      <c r="L2721" s="261"/>
      <c r="M2721" s="262" t="str">
        <f t="shared" si="1"/>
        <v/>
      </c>
      <c r="N2721" s="263" t="str">
        <f t="shared" si="2"/>
        <v/>
      </c>
      <c r="O2721" s="264" t="str">
        <f t="shared" si="3"/>
        <v/>
      </c>
      <c r="P2721" s="265" t="str">
        <f>IFERROR(__xludf.DUMMYFUNCTION("IF(ISBLANK(A2721),"""",IFERROR(IF(H2721=""Sell"",VLOOKUP(9^99,FILTER({ROW(P$2:P2720),P$2:P2720},D$2:D2720=D2721),2),(VLOOKUP(9^99,FILTER({ROW(P$2:P2720),P$2:P2720},D$2:D2720=D2721),2)*VLOOKUP(9^99,FILTER({ROW(O$2:O2720),O$2:O2720},D$2:D2720=D2721),2)-N272"&amp;"1)/O2721),J2721))"),"")</f>
        <v/>
      </c>
      <c r="Q2721" s="264" t="str">
        <f>IFERROR(__xludf.DUMMYFUNCTION("IFERROR(IF(F2721=""Crypto"",B2721,(IF(ISBLANK(D2721),"""",IF(D2721=""Cash"",B2721,IF(GOOGLEFINANCE(D2721,""CURRENCY"")=""GBX"",""GBP"",GOOGLEFINANCE(D2721,""CURRENCY"")))))),B2721)"),"")</f>
        <v/>
      </c>
      <c r="R2721" s="263" t="str">
        <f>IFERROR(__xludf.DUMMYFUNCTION("IF(ISBLANK(A2721),"""",IFERROR(IF(OR(Q2721=""GPB"",Q2721=""ZAR""),IF(Q2721=Dashboard!$L$1,K2721,(K2721*GOOGLEFINANCE(""CURRENCY:""&amp;Q2721&amp;""""&amp;Dashboard!$L$1&amp;""""))/100),IF(Q2721=Dashboard!$L$1,K2721,K2721*GOOGLEFINANCE(""CURRENCY:""&amp;Q2721&amp;""""&amp;Dashboard!$"&amp;"L$1&amp;""""))),K2721))"),"")</f>
        <v/>
      </c>
      <c r="S2721" s="266" t="str">
        <f>IFERROR(__xludf.DUMMYFUNCTION("IF(ISBLANK(A2721),"""",IFERROR(IF(OR(Q2721=""GPB"",Q2721=""ZAR""),IF(Q2721=Dashboard!$L$1,M2721,(M2721*GOOGLEFINANCE(""CURRENCY:""&amp;Q2721&amp;""""&amp;Dashboard!$L$1&amp;""""))/100),IF(Q2721=Dashboard!$L$1,M2721,M2721*GOOGLEFINANCE(""CURRENCY:""&amp;Q2721&amp;""""&amp;Dashboard!$"&amp;"L$1&amp;""""))),M2721))"),"")</f>
        <v/>
      </c>
      <c r="T2721" s="264" t="str">
        <f t="shared" si="4"/>
        <v/>
      </c>
      <c r="U2721" s="264" t="str">
        <f t="shared" si="5"/>
        <v/>
      </c>
      <c r="V2721" s="264" t="str">
        <f t="shared" si="6"/>
        <v/>
      </c>
      <c r="W2721" s="267" t="str">
        <f t="shared" si="8"/>
        <v/>
      </c>
      <c r="X2721" s="264" t="str">
        <f t="shared" si="7"/>
        <v/>
      </c>
    </row>
    <row r="2722" ht="15.75" customHeight="1">
      <c r="A2722" s="258"/>
      <c r="B2722" s="258"/>
      <c r="C2722" s="269"/>
      <c r="D2722" s="258"/>
      <c r="E2722" s="258"/>
      <c r="F2722" s="258"/>
      <c r="G2722" s="258"/>
      <c r="H2722" s="271"/>
      <c r="I2722" s="258"/>
      <c r="J2722" s="272"/>
      <c r="K2722" s="260"/>
      <c r="L2722" s="261"/>
      <c r="M2722" s="262" t="str">
        <f t="shared" si="1"/>
        <v/>
      </c>
      <c r="N2722" s="263" t="str">
        <f t="shared" si="2"/>
        <v/>
      </c>
      <c r="O2722" s="264" t="str">
        <f t="shared" si="3"/>
        <v/>
      </c>
      <c r="P2722" s="265" t="str">
        <f>IFERROR(__xludf.DUMMYFUNCTION("IF(ISBLANK(A2722),"""",IFERROR(IF(H2722=""Sell"",VLOOKUP(9^99,FILTER({ROW(P$2:P2721),P$2:P2721},D$2:D2721=D2722),2),(VLOOKUP(9^99,FILTER({ROW(P$2:P2721),P$2:P2721},D$2:D2721=D2722),2)*VLOOKUP(9^99,FILTER({ROW(O$2:O2721),O$2:O2721},D$2:D2721=D2722),2)-N272"&amp;"2)/O2722),J2722))"),"")</f>
        <v/>
      </c>
      <c r="Q2722" s="264" t="str">
        <f>IFERROR(__xludf.DUMMYFUNCTION("IFERROR(IF(F2722=""Crypto"",B2722,(IF(ISBLANK(D2722),"""",IF(D2722=""Cash"",B2722,IF(GOOGLEFINANCE(D2722,""CURRENCY"")=""GBX"",""GBP"",GOOGLEFINANCE(D2722,""CURRENCY"")))))),B2722)"),"")</f>
        <v/>
      </c>
      <c r="R2722" s="263" t="str">
        <f>IFERROR(__xludf.DUMMYFUNCTION("IF(ISBLANK(A2722),"""",IFERROR(IF(OR(Q2722=""GPB"",Q2722=""ZAR""),IF(Q2722=Dashboard!$L$1,K2722,(K2722*GOOGLEFINANCE(""CURRENCY:""&amp;Q2722&amp;""""&amp;Dashboard!$L$1&amp;""""))/100),IF(Q2722=Dashboard!$L$1,K2722,K2722*GOOGLEFINANCE(""CURRENCY:""&amp;Q2722&amp;""""&amp;Dashboard!$"&amp;"L$1&amp;""""))),K2722))"),"")</f>
        <v/>
      </c>
      <c r="S2722" s="266" t="str">
        <f>IFERROR(__xludf.DUMMYFUNCTION("IF(ISBLANK(A2722),"""",IFERROR(IF(OR(Q2722=""GPB"",Q2722=""ZAR""),IF(Q2722=Dashboard!$L$1,M2722,(M2722*GOOGLEFINANCE(""CURRENCY:""&amp;Q2722&amp;""""&amp;Dashboard!$L$1&amp;""""))/100),IF(Q2722=Dashboard!$L$1,M2722,M2722*GOOGLEFINANCE(""CURRENCY:""&amp;Q2722&amp;""""&amp;Dashboard!$"&amp;"L$1&amp;""""))),M2722))"),"")</f>
        <v/>
      </c>
      <c r="T2722" s="264" t="str">
        <f t="shared" si="4"/>
        <v/>
      </c>
      <c r="U2722" s="264" t="str">
        <f t="shared" si="5"/>
        <v/>
      </c>
      <c r="V2722" s="264" t="str">
        <f t="shared" si="6"/>
        <v/>
      </c>
      <c r="W2722" s="267" t="str">
        <f t="shared" si="8"/>
        <v/>
      </c>
      <c r="X2722" s="264" t="str">
        <f t="shared" si="7"/>
        <v/>
      </c>
    </row>
    <row r="2723" ht="15.75" customHeight="1">
      <c r="A2723" s="258"/>
      <c r="B2723" s="258"/>
      <c r="C2723" s="269"/>
      <c r="D2723" s="258"/>
      <c r="E2723" s="258"/>
      <c r="F2723" s="258"/>
      <c r="G2723" s="258"/>
      <c r="H2723" s="271"/>
      <c r="I2723" s="258"/>
      <c r="J2723" s="272"/>
      <c r="K2723" s="260"/>
      <c r="L2723" s="261"/>
      <c r="M2723" s="262" t="str">
        <f t="shared" si="1"/>
        <v/>
      </c>
      <c r="N2723" s="263" t="str">
        <f t="shared" si="2"/>
        <v/>
      </c>
      <c r="O2723" s="264" t="str">
        <f t="shared" si="3"/>
        <v/>
      </c>
      <c r="P2723" s="265" t="str">
        <f>IFERROR(__xludf.DUMMYFUNCTION("IF(ISBLANK(A2723),"""",IFERROR(IF(H2723=""Sell"",VLOOKUP(9^99,FILTER({ROW(P$2:P2722),P$2:P2722},D$2:D2722=D2723),2),(VLOOKUP(9^99,FILTER({ROW(P$2:P2722),P$2:P2722},D$2:D2722=D2723),2)*VLOOKUP(9^99,FILTER({ROW(O$2:O2722),O$2:O2722},D$2:D2722=D2723),2)-N272"&amp;"3)/O2723),J2723))"),"")</f>
        <v/>
      </c>
      <c r="Q2723" s="264" t="str">
        <f>IFERROR(__xludf.DUMMYFUNCTION("IFERROR(IF(F2723=""Crypto"",B2723,(IF(ISBLANK(D2723),"""",IF(D2723=""Cash"",B2723,IF(GOOGLEFINANCE(D2723,""CURRENCY"")=""GBX"",""GBP"",GOOGLEFINANCE(D2723,""CURRENCY"")))))),B2723)"),"")</f>
        <v/>
      </c>
      <c r="R2723" s="263" t="str">
        <f>IFERROR(__xludf.DUMMYFUNCTION("IF(ISBLANK(A2723),"""",IFERROR(IF(OR(Q2723=""GPB"",Q2723=""ZAR""),IF(Q2723=Dashboard!$L$1,K2723,(K2723*GOOGLEFINANCE(""CURRENCY:""&amp;Q2723&amp;""""&amp;Dashboard!$L$1&amp;""""))/100),IF(Q2723=Dashboard!$L$1,K2723,K2723*GOOGLEFINANCE(""CURRENCY:""&amp;Q2723&amp;""""&amp;Dashboard!$"&amp;"L$1&amp;""""))),K2723))"),"")</f>
        <v/>
      </c>
      <c r="S2723" s="266" t="str">
        <f>IFERROR(__xludf.DUMMYFUNCTION("IF(ISBLANK(A2723),"""",IFERROR(IF(OR(Q2723=""GPB"",Q2723=""ZAR""),IF(Q2723=Dashboard!$L$1,M2723,(M2723*GOOGLEFINANCE(""CURRENCY:""&amp;Q2723&amp;""""&amp;Dashboard!$L$1&amp;""""))/100),IF(Q2723=Dashboard!$L$1,M2723,M2723*GOOGLEFINANCE(""CURRENCY:""&amp;Q2723&amp;""""&amp;Dashboard!$"&amp;"L$1&amp;""""))),M2723))"),"")</f>
        <v/>
      </c>
      <c r="T2723" s="264" t="str">
        <f t="shared" si="4"/>
        <v/>
      </c>
      <c r="U2723" s="264" t="str">
        <f t="shared" si="5"/>
        <v/>
      </c>
      <c r="V2723" s="264" t="str">
        <f t="shared" si="6"/>
        <v/>
      </c>
      <c r="W2723" s="267" t="str">
        <f t="shared" si="8"/>
        <v/>
      </c>
      <c r="X2723" s="264" t="str">
        <f t="shared" si="7"/>
        <v/>
      </c>
    </row>
    <row r="2724" ht="15.75" customHeight="1">
      <c r="A2724" s="258"/>
      <c r="B2724" s="258"/>
      <c r="C2724" s="269"/>
      <c r="D2724" s="258"/>
      <c r="E2724" s="258"/>
      <c r="F2724" s="258"/>
      <c r="G2724" s="258"/>
      <c r="H2724" s="271"/>
      <c r="I2724" s="258"/>
      <c r="J2724" s="272"/>
      <c r="K2724" s="260"/>
      <c r="L2724" s="261"/>
      <c r="M2724" s="262" t="str">
        <f t="shared" si="1"/>
        <v/>
      </c>
      <c r="N2724" s="263" t="str">
        <f t="shared" si="2"/>
        <v/>
      </c>
      <c r="O2724" s="264" t="str">
        <f t="shared" si="3"/>
        <v/>
      </c>
      <c r="P2724" s="265" t="str">
        <f>IFERROR(__xludf.DUMMYFUNCTION("IF(ISBLANK(A2724),"""",IFERROR(IF(H2724=""Sell"",VLOOKUP(9^99,FILTER({ROW(P$2:P2723),P$2:P2723},D$2:D2723=D2724),2),(VLOOKUP(9^99,FILTER({ROW(P$2:P2723),P$2:P2723},D$2:D2723=D2724),2)*VLOOKUP(9^99,FILTER({ROW(O$2:O2723),O$2:O2723},D$2:D2723=D2724),2)-N272"&amp;"4)/O2724),J2724))"),"")</f>
        <v/>
      </c>
      <c r="Q2724" s="264" t="str">
        <f>IFERROR(__xludf.DUMMYFUNCTION("IFERROR(IF(F2724=""Crypto"",B2724,(IF(ISBLANK(D2724),"""",IF(D2724=""Cash"",B2724,IF(GOOGLEFINANCE(D2724,""CURRENCY"")=""GBX"",""GBP"",GOOGLEFINANCE(D2724,""CURRENCY"")))))),B2724)"),"")</f>
        <v/>
      </c>
      <c r="R2724" s="263" t="str">
        <f>IFERROR(__xludf.DUMMYFUNCTION("IF(ISBLANK(A2724),"""",IFERROR(IF(OR(Q2724=""GPB"",Q2724=""ZAR""),IF(Q2724=Dashboard!$L$1,K2724,(K2724*GOOGLEFINANCE(""CURRENCY:""&amp;Q2724&amp;""""&amp;Dashboard!$L$1&amp;""""))/100),IF(Q2724=Dashboard!$L$1,K2724,K2724*GOOGLEFINANCE(""CURRENCY:""&amp;Q2724&amp;""""&amp;Dashboard!$"&amp;"L$1&amp;""""))),K2724))"),"")</f>
        <v/>
      </c>
      <c r="S2724" s="266" t="str">
        <f>IFERROR(__xludf.DUMMYFUNCTION("IF(ISBLANK(A2724),"""",IFERROR(IF(OR(Q2724=""GPB"",Q2724=""ZAR""),IF(Q2724=Dashboard!$L$1,M2724,(M2724*GOOGLEFINANCE(""CURRENCY:""&amp;Q2724&amp;""""&amp;Dashboard!$L$1&amp;""""))/100),IF(Q2724=Dashboard!$L$1,M2724,M2724*GOOGLEFINANCE(""CURRENCY:""&amp;Q2724&amp;""""&amp;Dashboard!$"&amp;"L$1&amp;""""))),M2724))"),"")</f>
        <v/>
      </c>
      <c r="T2724" s="264" t="str">
        <f t="shared" si="4"/>
        <v/>
      </c>
      <c r="U2724" s="264" t="str">
        <f t="shared" si="5"/>
        <v/>
      </c>
      <c r="V2724" s="264" t="str">
        <f t="shared" si="6"/>
        <v/>
      </c>
      <c r="W2724" s="267" t="str">
        <f t="shared" si="8"/>
        <v/>
      </c>
      <c r="X2724" s="264" t="str">
        <f t="shared" si="7"/>
        <v/>
      </c>
    </row>
    <row r="2725" ht="15.75" customHeight="1">
      <c r="A2725" s="258"/>
      <c r="B2725" s="258"/>
      <c r="C2725" s="269"/>
      <c r="D2725" s="258"/>
      <c r="E2725" s="258"/>
      <c r="F2725" s="258"/>
      <c r="G2725" s="258"/>
      <c r="H2725" s="271"/>
      <c r="I2725" s="258"/>
      <c r="J2725" s="272"/>
      <c r="K2725" s="260"/>
      <c r="L2725" s="261"/>
      <c r="M2725" s="262" t="str">
        <f t="shared" si="1"/>
        <v/>
      </c>
      <c r="N2725" s="263" t="str">
        <f t="shared" si="2"/>
        <v/>
      </c>
      <c r="O2725" s="264" t="str">
        <f t="shared" si="3"/>
        <v/>
      </c>
      <c r="P2725" s="265" t="str">
        <f>IFERROR(__xludf.DUMMYFUNCTION("IF(ISBLANK(A2725),"""",IFERROR(IF(H2725=""Sell"",VLOOKUP(9^99,FILTER({ROW(P$2:P2724),P$2:P2724},D$2:D2724=D2725),2),(VLOOKUP(9^99,FILTER({ROW(P$2:P2724),P$2:P2724},D$2:D2724=D2725),2)*VLOOKUP(9^99,FILTER({ROW(O$2:O2724),O$2:O2724},D$2:D2724=D2725),2)-N272"&amp;"5)/O2725),J2725))"),"")</f>
        <v/>
      </c>
      <c r="Q2725" s="264" t="str">
        <f>IFERROR(__xludf.DUMMYFUNCTION("IFERROR(IF(F2725=""Crypto"",B2725,(IF(ISBLANK(D2725),"""",IF(D2725=""Cash"",B2725,IF(GOOGLEFINANCE(D2725,""CURRENCY"")=""GBX"",""GBP"",GOOGLEFINANCE(D2725,""CURRENCY"")))))),B2725)"),"")</f>
        <v/>
      </c>
      <c r="R2725" s="263" t="str">
        <f>IFERROR(__xludf.DUMMYFUNCTION("IF(ISBLANK(A2725),"""",IFERROR(IF(OR(Q2725=""GPB"",Q2725=""ZAR""),IF(Q2725=Dashboard!$L$1,K2725,(K2725*GOOGLEFINANCE(""CURRENCY:""&amp;Q2725&amp;""""&amp;Dashboard!$L$1&amp;""""))/100),IF(Q2725=Dashboard!$L$1,K2725,K2725*GOOGLEFINANCE(""CURRENCY:""&amp;Q2725&amp;""""&amp;Dashboard!$"&amp;"L$1&amp;""""))),K2725))"),"")</f>
        <v/>
      </c>
      <c r="S2725" s="266" t="str">
        <f>IFERROR(__xludf.DUMMYFUNCTION("IF(ISBLANK(A2725),"""",IFERROR(IF(OR(Q2725=""GPB"",Q2725=""ZAR""),IF(Q2725=Dashboard!$L$1,M2725,(M2725*GOOGLEFINANCE(""CURRENCY:""&amp;Q2725&amp;""""&amp;Dashboard!$L$1&amp;""""))/100),IF(Q2725=Dashboard!$L$1,M2725,M2725*GOOGLEFINANCE(""CURRENCY:""&amp;Q2725&amp;""""&amp;Dashboard!$"&amp;"L$1&amp;""""))),M2725))"),"")</f>
        <v/>
      </c>
      <c r="T2725" s="264" t="str">
        <f t="shared" si="4"/>
        <v/>
      </c>
      <c r="U2725" s="264" t="str">
        <f t="shared" si="5"/>
        <v/>
      </c>
      <c r="V2725" s="264" t="str">
        <f t="shared" si="6"/>
        <v/>
      </c>
      <c r="W2725" s="267" t="str">
        <f t="shared" si="8"/>
        <v/>
      </c>
      <c r="X2725" s="264" t="str">
        <f t="shared" si="7"/>
        <v/>
      </c>
    </row>
    <row r="2726" ht="15.75" customHeight="1">
      <c r="A2726" s="258"/>
      <c r="B2726" s="258"/>
      <c r="C2726" s="269"/>
      <c r="D2726" s="258"/>
      <c r="E2726" s="258"/>
      <c r="F2726" s="258"/>
      <c r="G2726" s="258"/>
      <c r="H2726" s="271"/>
      <c r="I2726" s="258"/>
      <c r="J2726" s="272"/>
      <c r="K2726" s="260"/>
      <c r="L2726" s="261"/>
      <c r="M2726" s="262" t="str">
        <f t="shared" si="1"/>
        <v/>
      </c>
      <c r="N2726" s="263" t="str">
        <f t="shared" si="2"/>
        <v/>
      </c>
      <c r="O2726" s="264" t="str">
        <f t="shared" si="3"/>
        <v/>
      </c>
      <c r="P2726" s="265" t="str">
        <f>IFERROR(__xludf.DUMMYFUNCTION("IF(ISBLANK(A2726),"""",IFERROR(IF(H2726=""Sell"",VLOOKUP(9^99,FILTER({ROW(P$2:P2725),P$2:P2725},D$2:D2725=D2726),2),(VLOOKUP(9^99,FILTER({ROW(P$2:P2725),P$2:P2725},D$2:D2725=D2726),2)*VLOOKUP(9^99,FILTER({ROW(O$2:O2725),O$2:O2725},D$2:D2725=D2726),2)-N272"&amp;"6)/O2726),J2726))"),"")</f>
        <v/>
      </c>
      <c r="Q2726" s="264" t="str">
        <f>IFERROR(__xludf.DUMMYFUNCTION("IFERROR(IF(F2726=""Crypto"",B2726,(IF(ISBLANK(D2726),"""",IF(D2726=""Cash"",B2726,IF(GOOGLEFINANCE(D2726,""CURRENCY"")=""GBX"",""GBP"",GOOGLEFINANCE(D2726,""CURRENCY"")))))),B2726)"),"")</f>
        <v/>
      </c>
      <c r="R2726" s="263" t="str">
        <f>IFERROR(__xludf.DUMMYFUNCTION("IF(ISBLANK(A2726),"""",IFERROR(IF(OR(Q2726=""GPB"",Q2726=""ZAR""),IF(Q2726=Dashboard!$L$1,K2726,(K2726*GOOGLEFINANCE(""CURRENCY:""&amp;Q2726&amp;""""&amp;Dashboard!$L$1&amp;""""))/100),IF(Q2726=Dashboard!$L$1,K2726,K2726*GOOGLEFINANCE(""CURRENCY:""&amp;Q2726&amp;""""&amp;Dashboard!$"&amp;"L$1&amp;""""))),K2726))"),"")</f>
        <v/>
      </c>
      <c r="S2726" s="266" t="str">
        <f>IFERROR(__xludf.DUMMYFUNCTION("IF(ISBLANK(A2726),"""",IFERROR(IF(OR(Q2726=""GPB"",Q2726=""ZAR""),IF(Q2726=Dashboard!$L$1,M2726,(M2726*GOOGLEFINANCE(""CURRENCY:""&amp;Q2726&amp;""""&amp;Dashboard!$L$1&amp;""""))/100),IF(Q2726=Dashboard!$L$1,M2726,M2726*GOOGLEFINANCE(""CURRENCY:""&amp;Q2726&amp;""""&amp;Dashboard!$"&amp;"L$1&amp;""""))),M2726))"),"")</f>
        <v/>
      </c>
      <c r="T2726" s="264" t="str">
        <f t="shared" si="4"/>
        <v/>
      </c>
      <c r="U2726" s="264" t="str">
        <f t="shared" si="5"/>
        <v/>
      </c>
      <c r="V2726" s="264" t="str">
        <f t="shared" si="6"/>
        <v/>
      </c>
      <c r="W2726" s="267" t="str">
        <f t="shared" si="8"/>
        <v/>
      </c>
      <c r="X2726" s="264" t="str">
        <f t="shared" si="7"/>
        <v/>
      </c>
    </row>
    <row r="2727" ht="15.75" customHeight="1">
      <c r="A2727" s="258"/>
      <c r="B2727" s="258"/>
      <c r="C2727" s="269"/>
      <c r="D2727" s="258"/>
      <c r="E2727" s="258"/>
      <c r="F2727" s="258"/>
      <c r="G2727" s="258"/>
      <c r="H2727" s="271"/>
      <c r="I2727" s="258"/>
      <c r="J2727" s="272"/>
      <c r="K2727" s="260"/>
      <c r="L2727" s="261"/>
      <c r="M2727" s="262" t="str">
        <f t="shared" si="1"/>
        <v/>
      </c>
      <c r="N2727" s="263" t="str">
        <f t="shared" si="2"/>
        <v/>
      </c>
      <c r="O2727" s="264" t="str">
        <f t="shared" si="3"/>
        <v/>
      </c>
      <c r="P2727" s="265" t="str">
        <f>IFERROR(__xludf.DUMMYFUNCTION("IF(ISBLANK(A2727),"""",IFERROR(IF(H2727=""Sell"",VLOOKUP(9^99,FILTER({ROW(P$2:P2726),P$2:P2726},D$2:D2726=D2727),2),(VLOOKUP(9^99,FILTER({ROW(P$2:P2726),P$2:P2726},D$2:D2726=D2727),2)*VLOOKUP(9^99,FILTER({ROW(O$2:O2726),O$2:O2726},D$2:D2726=D2727),2)-N272"&amp;"7)/O2727),J2727))"),"")</f>
        <v/>
      </c>
      <c r="Q2727" s="264" t="str">
        <f>IFERROR(__xludf.DUMMYFUNCTION("IFERROR(IF(F2727=""Crypto"",B2727,(IF(ISBLANK(D2727),"""",IF(D2727=""Cash"",B2727,IF(GOOGLEFINANCE(D2727,""CURRENCY"")=""GBX"",""GBP"",GOOGLEFINANCE(D2727,""CURRENCY"")))))),B2727)"),"")</f>
        <v/>
      </c>
      <c r="R2727" s="263" t="str">
        <f>IFERROR(__xludf.DUMMYFUNCTION("IF(ISBLANK(A2727),"""",IFERROR(IF(OR(Q2727=""GPB"",Q2727=""ZAR""),IF(Q2727=Dashboard!$L$1,K2727,(K2727*GOOGLEFINANCE(""CURRENCY:""&amp;Q2727&amp;""""&amp;Dashboard!$L$1&amp;""""))/100),IF(Q2727=Dashboard!$L$1,K2727,K2727*GOOGLEFINANCE(""CURRENCY:""&amp;Q2727&amp;""""&amp;Dashboard!$"&amp;"L$1&amp;""""))),K2727))"),"")</f>
        <v/>
      </c>
      <c r="S2727" s="266" t="str">
        <f>IFERROR(__xludf.DUMMYFUNCTION("IF(ISBLANK(A2727),"""",IFERROR(IF(OR(Q2727=""GPB"",Q2727=""ZAR""),IF(Q2727=Dashboard!$L$1,M2727,(M2727*GOOGLEFINANCE(""CURRENCY:""&amp;Q2727&amp;""""&amp;Dashboard!$L$1&amp;""""))/100),IF(Q2727=Dashboard!$L$1,M2727,M2727*GOOGLEFINANCE(""CURRENCY:""&amp;Q2727&amp;""""&amp;Dashboard!$"&amp;"L$1&amp;""""))),M2727))"),"")</f>
        <v/>
      </c>
      <c r="T2727" s="264" t="str">
        <f t="shared" si="4"/>
        <v/>
      </c>
      <c r="U2727" s="264" t="str">
        <f t="shared" si="5"/>
        <v/>
      </c>
      <c r="V2727" s="264" t="str">
        <f t="shared" si="6"/>
        <v/>
      </c>
      <c r="W2727" s="267" t="str">
        <f t="shared" si="8"/>
        <v/>
      </c>
      <c r="X2727" s="264" t="str">
        <f t="shared" si="7"/>
        <v/>
      </c>
    </row>
    <row r="2728" ht="15.75" customHeight="1">
      <c r="A2728" s="258"/>
      <c r="B2728" s="258"/>
      <c r="C2728" s="269"/>
      <c r="D2728" s="258"/>
      <c r="E2728" s="258"/>
      <c r="F2728" s="258"/>
      <c r="G2728" s="258"/>
      <c r="H2728" s="271"/>
      <c r="I2728" s="258"/>
      <c r="J2728" s="272"/>
      <c r="K2728" s="260"/>
      <c r="L2728" s="261"/>
      <c r="M2728" s="262" t="str">
        <f t="shared" si="1"/>
        <v/>
      </c>
      <c r="N2728" s="263" t="str">
        <f t="shared" si="2"/>
        <v/>
      </c>
      <c r="O2728" s="264" t="str">
        <f t="shared" si="3"/>
        <v/>
      </c>
      <c r="P2728" s="265" t="str">
        <f>IFERROR(__xludf.DUMMYFUNCTION("IF(ISBLANK(A2728),"""",IFERROR(IF(H2728=""Sell"",VLOOKUP(9^99,FILTER({ROW(P$2:P2727),P$2:P2727},D$2:D2727=D2728),2),(VLOOKUP(9^99,FILTER({ROW(P$2:P2727),P$2:P2727},D$2:D2727=D2728),2)*VLOOKUP(9^99,FILTER({ROW(O$2:O2727),O$2:O2727},D$2:D2727=D2728),2)-N272"&amp;"8)/O2728),J2728))"),"")</f>
        <v/>
      </c>
      <c r="Q2728" s="264" t="str">
        <f>IFERROR(__xludf.DUMMYFUNCTION("IFERROR(IF(F2728=""Crypto"",B2728,(IF(ISBLANK(D2728),"""",IF(D2728=""Cash"",B2728,IF(GOOGLEFINANCE(D2728,""CURRENCY"")=""GBX"",""GBP"",GOOGLEFINANCE(D2728,""CURRENCY"")))))),B2728)"),"")</f>
        <v/>
      </c>
      <c r="R2728" s="263" t="str">
        <f>IFERROR(__xludf.DUMMYFUNCTION("IF(ISBLANK(A2728),"""",IFERROR(IF(OR(Q2728=""GPB"",Q2728=""ZAR""),IF(Q2728=Dashboard!$L$1,K2728,(K2728*GOOGLEFINANCE(""CURRENCY:""&amp;Q2728&amp;""""&amp;Dashboard!$L$1&amp;""""))/100),IF(Q2728=Dashboard!$L$1,K2728,K2728*GOOGLEFINANCE(""CURRENCY:""&amp;Q2728&amp;""""&amp;Dashboard!$"&amp;"L$1&amp;""""))),K2728))"),"")</f>
        <v/>
      </c>
      <c r="S2728" s="266" t="str">
        <f>IFERROR(__xludf.DUMMYFUNCTION("IF(ISBLANK(A2728),"""",IFERROR(IF(OR(Q2728=""GPB"",Q2728=""ZAR""),IF(Q2728=Dashboard!$L$1,M2728,(M2728*GOOGLEFINANCE(""CURRENCY:""&amp;Q2728&amp;""""&amp;Dashboard!$L$1&amp;""""))/100),IF(Q2728=Dashboard!$L$1,M2728,M2728*GOOGLEFINANCE(""CURRENCY:""&amp;Q2728&amp;""""&amp;Dashboard!$"&amp;"L$1&amp;""""))),M2728))"),"")</f>
        <v/>
      </c>
      <c r="T2728" s="264" t="str">
        <f t="shared" si="4"/>
        <v/>
      </c>
      <c r="U2728" s="264" t="str">
        <f t="shared" si="5"/>
        <v/>
      </c>
      <c r="V2728" s="264" t="str">
        <f t="shared" si="6"/>
        <v/>
      </c>
      <c r="W2728" s="267" t="str">
        <f t="shared" si="8"/>
        <v/>
      </c>
      <c r="X2728" s="264" t="str">
        <f t="shared" si="7"/>
        <v/>
      </c>
    </row>
    <row r="2729" ht="15.75" customHeight="1">
      <c r="A2729" s="258"/>
      <c r="B2729" s="258"/>
      <c r="C2729" s="269"/>
      <c r="D2729" s="258"/>
      <c r="E2729" s="258"/>
      <c r="F2729" s="258"/>
      <c r="G2729" s="258"/>
      <c r="H2729" s="271"/>
      <c r="I2729" s="258"/>
      <c r="J2729" s="272"/>
      <c r="K2729" s="260"/>
      <c r="L2729" s="261"/>
      <c r="M2729" s="262" t="str">
        <f t="shared" si="1"/>
        <v/>
      </c>
      <c r="N2729" s="263" t="str">
        <f t="shared" si="2"/>
        <v/>
      </c>
      <c r="O2729" s="264" t="str">
        <f t="shared" si="3"/>
        <v/>
      </c>
      <c r="P2729" s="265" t="str">
        <f>IFERROR(__xludf.DUMMYFUNCTION("IF(ISBLANK(A2729),"""",IFERROR(IF(H2729=""Sell"",VLOOKUP(9^99,FILTER({ROW(P$2:P2728),P$2:P2728},D$2:D2728=D2729),2),(VLOOKUP(9^99,FILTER({ROW(P$2:P2728),P$2:P2728},D$2:D2728=D2729),2)*VLOOKUP(9^99,FILTER({ROW(O$2:O2728),O$2:O2728},D$2:D2728=D2729),2)-N272"&amp;"9)/O2729),J2729))"),"")</f>
        <v/>
      </c>
      <c r="Q2729" s="264" t="str">
        <f>IFERROR(__xludf.DUMMYFUNCTION("IFERROR(IF(F2729=""Crypto"",B2729,(IF(ISBLANK(D2729),"""",IF(D2729=""Cash"",B2729,IF(GOOGLEFINANCE(D2729,""CURRENCY"")=""GBX"",""GBP"",GOOGLEFINANCE(D2729,""CURRENCY"")))))),B2729)"),"")</f>
        <v/>
      </c>
      <c r="R2729" s="263" t="str">
        <f>IFERROR(__xludf.DUMMYFUNCTION("IF(ISBLANK(A2729),"""",IFERROR(IF(OR(Q2729=""GPB"",Q2729=""ZAR""),IF(Q2729=Dashboard!$L$1,K2729,(K2729*GOOGLEFINANCE(""CURRENCY:""&amp;Q2729&amp;""""&amp;Dashboard!$L$1&amp;""""))/100),IF(Q2729=Dashboard!$L$1,K2729,K2729*GOOGLEFINANCE(""CURRENCY:""&amp;Q2729&amp;""""&amp;Dashboard!$"&amp;"L$1&amp;""""))),K2729))"),"")</f>
        <v/>
      </c>
      <c r="S2729" s="266" t="str">
        <f>IFERROR(__xludf.DUMMYFUNCTION("IF(ISBLANK(A2729),"""",IFERROR(IF(OR(Q2729=""GPB"",Q2729=""ZAR""),IF(Q2729=Dashboard!$L$1,M2729,(M2729*GOOGLEFINANCE(""CURRENCY:""&amp;Q2729&amp;""""&amp;Dashboard!$L$1&amp;""""))/100),IF(Q2729=Dashboard!$L$1,M2729,M2729*GOOGLEFINANCE(""CURRENCY:""&amp;Q2729&amp;""""&amp;Dashboard!$"&amp;"L$1&amp;""""))),M2729))"),"")</f>
        <v/>
      </c>
      <c r="T2729" s="264" t="str">
        <f t="shared" si="4"/>
        <v/>
      </c>
      <c r="U2729" s="264" t="str">
        <f t="shared" si="5"/>
        <v/>
      </c>
      <c r="V2729" s="264" t="str">
        <f t="shared" si="6"/>
        <v/>
      </c>
      <c r="W2729" s="267" t="str">
        <f t="shared" si="8"/>
        <v/>
      </c>
      <c r="X2729" s="264" t="str">
        <f t="shared" si="7"/>
        <v/>
      </c>
    </row>
    <row r="2730" ht="15.75" customHeight="1">
      <c r="A2730" s="258"/>
      <c r="B2730" s="258"/>
      <c r="C2730" s="269"/>
      <c r="D2730" s="258"/>
      <c r="E2730" s="258"/>
      <c r="F2730" s="258"/>
      <c r="G2730" s="258"/>
      <c r="H2730" s="271"/>
      <c r="I2730" s="258"/>
      <c r="J2730" s="272"/>
      <c r="K2730" s="260"/>
      <c r="L2730" s="261"/>
      <c r="M2730" s="262" t="str">
        <f t="shared" si="1"/>
        <v/>
      </c>
      <c r="N2730" s="263" t="str">
        <f t="shared" si="2"/>
        <v/>
      </c>
      <c r="O2730" s="264" t="str">
        <f t="shared" si="3"/>
        <v/>
      </c>
      <c r="P2730" s="265" t="str">
        <f>IFERROR(__xludf.DUMMYFUNCTION("IF(ISBLANK(A2730),"""",IFERROR(IF(H2730=""Sell"",VLOOKUP(9^99,FILTER({ROW(P$2:P2729),P$2:P2729},D$2:D2729=D2730),2),(VLOOKUP(9^99,FILTER({ROW(P$2:P2729),P$2:P2729},D$2:D2729=D2730),2)*VLOOKUP(9^99,FILTER({ROW(O$2:O2729),O$2:O2729},D$2:D2729=D2730),2)-N273"&amp;"0)/O2730),J2730))"),"")</f>
        <v/>
      </c>
      <c r="Q2730" s="264" t="str">
        <f>IFERROR(__xludf.DUMMYFUNCTION("IFERROR(IF(F2730=""Crypto"",B2730,(IF(ISBLANK(D2730),"""",IF(D2730=""Cash"",B2730,IF(GOOGLEFINANCE(D2730,""CURRENCY"")=""GBX"",""GBP"",GOOGLEFINANCE(D2730,""CURRENCY"")))))),B2730)"),"")</f>
        <v/>
      </c>
      <c r="R2730" s="263" t="str">
        <f>IFERROR(__xludf.DUMMYFUNCTION("IF(ISBLANK(A2730),"""",IFERROR(IF(OR(Q2730=""GPB"",Q2730=""ZAR""),IF(Q2730=Dashboard!$L$1,K2730,(K2730*GOOGLEFINANCE(""CURRENCY:""&amp;Q2730&amp;""""&amp;Dashboard!$L$1&amp;""""))/100),IF(Q2730=Dashboard!$L$1,K2730,K2730*GOOGLEFINANCE(""CURRENCY:""&amp;Q2730&amp;""""&amp;Dashboard!$"&amp;"L$1&amp;""""))),K2730))"),"")</f>
        <v/>
      </c>
      <c r="S2730" s="266" t="str">
        <f>IFERROR(__xludf.DUMMYFUNCTION("IF(ISBLANK(A2730),"""",IFERROR(IF(OR(Q2730=""GPB"",Q2730=""ZAR""),IF(Q2730=Dashboard!$L$1,M2730,(M2730*GOOGLEFINANCE(""CURRENCY:""&amp;Q2730&amp;""""&amp;Dashboard!$L$1&amp;""""))/100),IF(Q2730=Dashboard!$L$1,M2730,M2730*GOOGLEFINANCE(""CURRENCY:""&amp;Q2730&amp;""""&amp;Dashboard!$"&amp;"L$1&amp;""""))),M2730))"),"")</f>
        <v/>
      </c>
      <c r="T2730" s="264" t="str">
        <f t="shared" si="4"/>
        <v/>
      </c>
      <c r="U2730" s="264" t="str">
        <f t="shared" si="5"/>
        <v/>
      </c>
      <c r="V2730" s="264" t="str">
        <f t="shared" si="6"/>
        <v/>
      </c>
      <c r="W2730" s="267" t="str">
        <f t="shared" si="8"/>
        <v/>
      </c>
      <c r="X2730" s="264" t="str">
        <f t="shared" si="7"/>
        <v/>
      </c>
    </row>
    <row r="2731" ht="15.75" customHeight="1">
      <c r="A2731" s="258"/>
      <c r="B2731" s="258"/>
      <c r="C2731" s="269"/>
      <c r="D2731" s="258"/>
      <c r="E2731" s="258"/>
      <c r="F2731" s="258"/>
      <c r="G2731" s="258"/>
      <c r="H2731" s="271"/>
      <c r="I2731" s="258"/>
      <c r="J2731" s="272"/>
      <c r="K2731" s="260"/>
      <c r="L2731" s="261"/>
      <c r="M2731" s="262" t="str">
        <f t="shared" si="1"/>
        <v/>
      </c>
      <c r="N2731" s="263" t="str">
        <f t="shared" si="2"/>
        <v/>
      </c>
      <c r="O2731" s="264" t="str">
        <f t="shared" si="3"/>
        <v/>
      </c>
      <c r="P2731" s="265" t="str">
        <f>IFERROR(__xludf.DUMMYFUNCTION("IF(ISBLANK(A2731),"""",IFERROR(IF(H2731=""Sell"",VLOOKUP(9^99,FILTER({ROW(P$2:P2730),P$2:P2730},D$2:D2730=D2731),2),(VLOOKUP(9^99,FILTER({ROW(P$2:P2730),P$2:P2730},D$2:D2730=D2731),2)*VLOOKUP(9^99,FILTER({ROW(O$2:O2730),O$2:O2730},D$2:D2730=D2731),2)-N273"&amp;"1)/O2731),J2731))"),"")</f>
        <v/>
      </c>
      <c r="Q2731" s="264" t="str">
        <f>IFERROR(__xludf.DUMMYFUNCTION("IFERROR(IF(F2731=""Crypto"",B2731,(IF(ISBLANK(D2731),"""",IF(D2731=""Cash"",B2731,IF(GOOGLEFINANCE(D2731,""CURRENCY"")=""GBX"",""GBP"",GOOGLEFINANCE(D2731,""CURRENCY"")))))),B2731)"),"")</f>
        <v/>
      </c>
      <c r="R2731" s="263" t="str">
        <f>IFERROR(__xludf.DUMMYFUNCTION("IF(ISBLANK(A2731),"""",IFERROR(IF(OR(Q2731=""GPB"",Q2731=""ZAR""),IF(Q2731=Dashboard!$L$1,K2731,(K2731*GOOGLEFINANCE(""CURRENCY:""&amp;Q2731&amp;""""&amp;Dashboard!$L$1&amp;""""))/100),IF(Q2731=Dashboard!$L$1,K2731,K2731*GOOGLEFINANCE(""CURRENCY:""&amp;Q2731&amp;""""&amp;Dashboard!$"&amp;"L$1&amp;""""))),K2731))"),"")</f>
        <v/>
      </c>
      <c r="S2731" s="266" t="str">
        <f>IFERROR(__xludf.DUMMYFUNCTION("IF(ISBLANK(A2731),"""",IFERROR(IF(OR(Q2731=""GPB"",Q2731=""ZAR""),IF(Q2731=Dashboard!$L$1,M2731,(M2731*GOOGLEFINANCE(""CURRENCY:""&amp;Q2731&amp;""""&amp;Dashboard!$L$1&amp;""""))/100),IF(Q2731=Dashboard!$L$1,M2731,M2731*GOOGLEFINANCE(""CURRENCY:""&amp;Q2731&amp;""""&amp;Dashboard!$"&amp;"L$1&amp;""""))),M2731))"),"")</f>
        <v/>
      </c>
      <c r="T2731" s="264" t="str">
        <f t="shared" si="4"/>
        <v/>
      </c>
      <c r="U2731" s="264" t="str">
        <f t="shared" si="5"/>
        <v/>
      </c>
      <c r="V2731" s="264" t="str">
        <f t="shared" si="6"/>
        <v/>
      </c>
      <c r="W2731" s="267" t="str">
        <f t="shared" si="8"/>
        <v/>
      </c>
      <c r="X2731" s="264" t="str">
        <f t="shared" si="7"/>
        <v/>
      </c>
    </row>
    <row r="2732" ht="15.75" customHeight="1">
      <c r="A2732" s="258"/>
      <c r="B2732" s="258"/>
      <c r="C2732" s="269"/>
      <c r="D2732" s="258"/>
      <c r="E2732" s="258"/>
      <c r="F2732" s="258"/>
      <c r="G2732" s="258"/>
      <c r="H2732" s="271"/>
      <c r="I2732" s="258"/>
      <c r="J2732" s="272"/>
      <c r="K2732" s="260"/>
      <c r="L2732" s="261"/>
      <c r="M2732" s="262" t="str">
        <f t="shared" si="1"/>
        <v/>
      </c>
      <c r="N2732" s="263" t="str">
        <f t="shared" si="2"/>
        <v/>
      </c>
      <c r="O2732" s="264" t="str">
        <f t="shared" si="3"/>
        <v/>
      </c>
      <c r="P2732" s="265" t="str">
        <f>IFERROR(__xludf.DUMMYFUNCTION("IF(ISBLANK(A2732),"""",IFERROR(IF(H2732=""Sell"",VLOOKUP(9^99,FILTER({ROW(P$2:P2731),P$2:P2731},D$2:D2731=D2732),2),(VLOOKUP(9^99,FILTER({ROW(P$2:P2731),P$2:P2731},D$2:D2731=D2732),2)*VLOOKUP(9^99,FILTER({ROW(O$2:O2731),O$2:O2731},D$2:D2731=D2732),2)-N273"&amp;"2)/O2732),J2732))"),"")</f>
        <v/>
      </c>
      <c r="Q2732" s="264" t="str">
        <f>IFERROR(__xludf.DUMMYFUNCTION("IFERROR(IF(F2732=""Crypto"",B2732,(IF(ISBLANK(D2732),"""",IF(D2732=""Cash"",B2732,IF(GOOGLEFINANCE(D2732,""CURRENCY"")=""GBX"",""GBP"",GOOGLEFINANCE(D2732,""CURRENCY"")))))),B2732)"),"")</f>
        <v/>
      </c>
      <c r="R2732" s="263" t="str">
        <f>IFERROR(__xludf.DUMMYFUNCTION("IF(ISBLANK(A2732),"""",IFERROR(IF(OR(Q2732=""GPB"",Q2732=""ZAR""),IF(Q2732=Dashboard!$L$1,K2732,(K2732*GOOGLEFINANCE(""CURRENCY:""&amp;Q2732&amp;""""&amp;Dashboard!$L$1&amp;""""))/100),IF(Q2732=Dashboard!$L$1,K2732,K2732*GOOGLEFINANCE(""CURRENCY:""&amp;Q2732&amp;""""&amp;Dashboard!$"&amp;"L$1&amp;""""))),K2732))"),"")</f>
        <v/>
      </c>
      <c r="S2732" s="266" t="str">
        <f>IFERROR(__xludf.DUMMYFUNCTION("IF(ISBLANK(A2732),"""",IFERROR(IF(OR(Q2732=""GPB"",Q2732=""ZAR""),IF(Q2732=Dashboard!$L$1,M2732,(M2732*GOOGLEFINANCE(""CURRENCY:""&amp;Q2732&amp;""""&amp;Dashboard!$L$1&amp;""""))/100),IF(Q2732=Dashboard!$L$1,M2732,M2732*GOOGLEFINANCE(""CURRENCY:""&amp;Q2732&amp;""""&amp;Dashboard!$"&amp;"L$1&amp;""""))),M2732))"),"")</f>
        <v/>
      </c>
      <c r="T2732" s="264" t="str">
        <f t="shared" si="4"/>
        <v/>
      </c>
      <c r="U2732" s="264" t="str">
        <f t="shared" si="5"/>
        <v/>
      </c>
      <c r="V2732" s="264" t="str">
        <f t="shared" si="6"/>
        <v/>
      </c>
      <c r="W2732" s="267" t="str">
        <f t="shared" si="8"/>
        <v/>
      </c>
      <c r="X2732" s="264" t="str">
        <f t="shared" si="7"/>
        <v/>
      </c>
    </row>
    <row r="2733" ht="15.75" customHeight="1">
      <c r="A2733" s="258"/>
      <c r="B2733" s="258"/>
      <c r="C2733" s="269"/>
      <c r="D2733" s="258"/>
      <c r="E2733" s="258"/>
      <c r="F2733" s="258"/>
      <c r="G2733" s="258"/>
      <c r="H2733" s="271"/>
      <c r="I2733" s="258"/>
      <c r="J2733" s="272"/>
      <c r="K2733" s="260"/>
      <c r="L2733" s="261"/>
      <c r="M2733" s="262" t="str">
        <f t="shared" si="1"/>
        <v/>
      </c>
      <c r="N2733" s="263" t="str">
        <f t="shared" si="2"/>
        <v/>
      </c>
      <c r="O2733" s="264" t="str">
        <f t="shared" si="3"/>
        <v/>
      </c>
      <c r="P2733" s="265" t="str">
        <f>IFERROR(__xludf.DUMMYFUNCTION("IF(ISBLANK(A2733),"""",IFERROR(IF(H2733=""Sell"",VLOOKUP(9^99,FILTER({ROW(P$2:P2732),P$2:P2732},D$2:D2732=D2733),2),(VLOOKUP(9^99,FILTER({ROW(P$2:P2732),P$2:P2732},D$2:D2732=D2733),2)*VLOOKUP(9^99,FILTER({ROW(O$2:O2732),O$2:O2732},D$2:D2732=D2733),2)-N273"&amp;"3)/O2733),J2733))"),"")</f>
        <v/>
      </c>
      <c r="Q2733" s="264" t="str">
        <f>IFERROR(__xludf.DUMMYFUNCTION("IFERROR(IF(F2733=""Crypto"",B2733,(IF(ISBLANK(D2733),"""",IF(D2733=""Cash"",B2733,IF(GOOGLEFINANCE(D2733,""CURRENCY"")=""GBX"",""GBP"",GOOGLEFINANCE(D2733,""CURRENCY"")))))),B2733)"),"")</f>
        <v/>
      </c>
      <c r="R2733" s="263" t="str">
        <f>IFERROR(__xludf.DUMMYFUNCTION("IF(ISBLANK(A2733),"""",IFERROR(IF(OR(Q2733=""GPB"",Q2733=""ZAR""),IF(Q2733=Dashboard!$L$1,K2733,(K2733*GOOGLEFINANCE(""CURRENCY:""&amp;Q2733&amp;""""&amp;Dashboard!$L$1&amp;""""))/100),IF(Q2733=Dashboard!$L$1,K2733,K2733*GOOGLEFINANCE(""CURRENCY:""&amp;Q2733&amp;""""&amp;Dashboard!$"&amp;"L$1&amp;""""))),K2733))"),"")</f>
        <v/>
      </c>
      <c r="S2733" s="266" t="str">
        <f>IFERROR(__xludf.DUMMYFUNCTION("IF(ISBLANK(A2733),"""",IFERROR(IF(OR(Q2733=""GPB"",Q2733=""ZAR""),IF(Q2733=Dashboard!$L$1,M2733,(M2733*GOOGLEFINANCE(""CURRENCY:""&amp;Q2733&amp;""""&amp;Dashboard!$L$1&amp;""""))/100),IF(Q2733=Dashboard!$L$1,M2733,M2733*GOOGLEFINANCE(""CURRENCY:""&amp;Q2733&amp;""""&amp;Dashboard!$"&amp;"L$1&amp;""""))),M2733))"),"")</f>
        <v/>
      </c>
      <c r="T2733" s="264" t="str">
        <f t="shared" si="4"/>
        <v/>
      </c>
      <c r="U2733" s="264" t="str">
        <f t="shared" si="5"/>
        <v/>
      </c>
      <c r="V2733" s="264" t="str">
        <f t="shared" si="6"/>
        <v/>
      </c>
      <c r="W2733" s="267" t="str">
        <f t="shared" si="8"/>
        <v/>
      </c>
      <c r="X2733" s="264" t="str">
        <f t="shared" si="7"/>
        <v/>
      </c>
    </row>
    <row r="2734" ht="15.75" customHeight="1">
      <c r="A2734" s="258"/>
      <c r="B2734" s="258"/>
      <c r="C2734" s="269"/>
      <c r="D2734" s="258"/>
      <c r="E2734" s="258"/>
      <c r="F2734" s="258"/>
      <c r="G2734" s="258"/>
      <c r="H2734" s="271"/>
      <c r="I2734" s="258"/>
      <c r="J2734" s="272"/>
      <c r="K2734" s="260"/>
      <c r="L2734" s="261"/>
      <c r="M2734" s="262" t="str">
        <f t="shared" si="1"/>
        <v/>
      </c>
      <c r="N2734" s="263" t="str">
        <f t="shared" si="2"/>
        <v/>
      </c>
      <c r="O2734" s="264" t="str">
        <f t="shared" si="3"/>
        <v/>
      </c>
      <c r="P2734" s="265" t="str">
        <f>IFERROR(__xludf.DUMMYFUNCTION("IF(ISBLANK(A2734),"""",IFERROR(IF(H2734=""Sell"",VLOOKUP(9^99,FILTER({ROW(P$2:P2733),P$2:P2733},D$2:D2733=D2734),2),(VLOOKUP(9^99,FILTER({ROW(P$2:P2733),P$2:P2733},D$2:D2733=D2734),2)*VLOOKUP(9^99,FILTER({ROW(O$2:O2733),O$2:O2733},D$2:D2733=D2734),2)-N273"&amp;"4)/O2734),J2734))"),"")</f>
        <v/>
      </c>
      <c r="Q2734" s="264" t="str">
        <f>IFERROR(__xludf.DUMMYFUNCTION("IFERROR(IF(F2734=""Crypto"",B2734,(IF(ISBLANK(D2734),"""",IF(D2734=""Cash"",B2734,IF(GOOGLEFINANCE(D2734,""CURRENCY"")=""GBX"",""GBP"",GOOGLEFINANCE(D2734,""CURRENCY"")))))),B2734)"),"")</f>
        <v/>
      </c>
      <c r="R2734" s="263" t="str">
        <f>IFERROR(__xludf.DUMMYFUNCTION("IF(ISBLANK(A2734),"""",IFERROR(IF(OR(Q2734=""GPB"",Q2734=""ZAR""),IF(Q2734=Dashboard!$L$1,K2734,(K2734*GOOGLEFINANCE(""CURRENCY:""&amp;Q2734&amp;""""&amp;Dashboard!$L$1&amp;""""))/100),IF(Q2734=Dashboard!$L$1,K2734,K2734*GOOGLEFINANCE(""CURRENCY:""&amp;Q2734&amp;""""&amp;Dashboard!$"&amp;"L$1&amp;""""))),K2734))"),"")</f>
        <v/>
      </c>
      <c r="S2734" s="266" t="str">
        <f>IFERROR(__xludf.DUMMYFUNCTION("IF(ISBLANK(A2734),"""",IFERROR(IF(OR(Q2734=""GPB"",Q2734=""ZAR""),IF(Q2734=Dashboard!$L$1,M2734,(M2734*GOOGLEFINANCE(""CURRENCY:""&amp;Q2734&amp;""""&amp;Dashboard!$L$1&amp;""""))/100),IF(Q2734=Dashboard!$L$1,M2734,M2734*GOOGLEFINANCE(""CURRENCY:""&amp;Q2734&amp;""""&amp;Dashboard!$"&amp;"L$1&amp;""""))),M2734))"),"")</f>
        <v/>
      </c>
      <c r="T2734" s="264" t="str">
        <f t="shared" si="4"/>
        <v/>
      </c>
      <c r="U2734" s="264" t="str">
        <f t="shared" si="5"/>
        <v/>
      </c>
      <c r="V2734" s="264" t="str">
        <f t="shared" si="6"/>
        <v/>
      </c>
      <c r="W2734" s="267" t="str">
        <f t="shared" si="8"/>
        <v/>
      </c>
      <c r="X2734" s="264" t="str">
        <f t="shared" si="7"/>
        <v/>
      </c>
    </row>
    <row r="2735" ht="15.75" customHeight="1">
      <c r="A2735" s="258"/>
      <c r="B2735" s="258"/>
      <c r="C2735" s="269"/>
      <c r="D2735" s="258"/>
      <c r="E2735" s="258"/>
      <c r="F2735" s="258"/>
      <c r="G2735" s="258"/>
      <c r="H2735" s="271"/>
      <c r="I2735" s="258"/>
      <c r="J2735" s="272"/>
      <c r="K2735" s="260"/>
      <c r="L2735" s="261"/>
      <c r="M2735" s="262" t="str">
        <f t="shared" si="1"/>
        <v/>
      </c>
      <c r="N2735" s="263" t="str">
        <f t="shared" si="2"/>
        <v/>
      </c>
      <c r="O2735" s="264" t="str">
        <f t="shared" si="3"/>
        <v/>
      </c>
      <c r="P2735" s="265" t="str">
        <f>IFERROR(__xludf.DUMMYFUNCTION("IF(ISBLANK(A2735),"""",IFERROR(IF(H2735=""Sell"",VLOOKUP(9^99,FILTER({ROW(P$2:P2734),P$2:P2734},D$2:D2734=D2735),2),(VLOOKUP(9^99,FILTER({ROW(P$2:P2734),P$2:P2734},D$2:D2734=D2735),2)*VLOOKUP(9^99,FILTER({ROW(O$2:O2734),O$2:O2734},D$2:D2734=D2735),2)-N273"&amp;"5)/O2735),J2735))"),"")</f>
        <v/>
      </c>
      <c r="Q2735" s="264" t="str">
        <f>IFERROR(__xludf.DUMMYFUNCTION("IFERROR(IF(F2735=""Crypto"",B2735,(IF(ISBLANK(D2735),"""",IF(D2735=""Cash"",B2735,IF(GOOGLEFINANCE(D2735,""CURRENCY"")=""GBX"",""GBP"",GOOGLEFINANCE(D2735,""CURRENCY"")))))),B2735)"),"")</f>
        <v/>
      </c>
      <c r="R2735" s="263" t="str">
        <f>IFERROR(__xludf.DUMMYFUNCTION("IF(ISBLANK(A2735),"""",IFERROR(IF(OR(Q2735=""GPB"",Q2735=""ZAR""),IF(Q2735=Dashboard!$L$1,K2735,(K2735*GOOGLEFINANCE(""CURRENCY:""&amp;Q2735&amp;""""&amp;Dashboard!$L$1&amp;""""))/100),IF(Q2735=Dashboard!$L$1,K2735,K2735*GOOGLEFINANCE(""CURRENCY:""&amp;Q2735&amp;""""&amp;Dashboard!$"&amp;"L$1&amp;""""))),K2735))"),"")</f>
        <v/>
      </c>
      <c r="S2735" s="266" t="str">
        <f>IFERROR(__xludf.DUMMYFUNCTION("IF(ISBLANK(A2735),"""",IFERROR(IF(OR(Q2735=""GPB"",Q2735=""ZAR""),IF(Q2735=Dashboard!$L$1,M2735,(M2735*GOOGLEFINANCE(""CURRENCY:""&amp;Q2735&amp;""""&amp;Dashboard!$L$1&amp;""""))/100),IF(Q2735=Dashboard!$L$1,M2735,M2735*GOOGLEFINANCE(""CURRENCY:""&amp;Q2735&amp;""""&amp;Dashboard!$"&amp;"L$1&amp;""""))),M2735))"),"")</f>
        <v/>
      </c>
      <c r="T2735" s="264" t="str">
        <f t="shared" si="4"/>
        <v/>
      </c>
      <c r="U2735" s="264" t="str">
        <f t="shared" si="5"/>
        <v/>
      </c>
      <c r="V2735" s="264" t="str">
        <f t="shared" si="6"/>
        <v/>
      </c>
      <c r="W2735" s="267" t="str">
        <f t="shared" si="8"/>
        <v/>
      </c>
      <c r="X2735" s="264" t="str">
        <f t="shared" si="7"/>
        <v/>
      </c>
    </row>
    <row r="2736" ht="15.75" customHeight="1">
      <c r="A2736" s="258"/>
      <c r="B2736" s="258"/>
      <c r="C2736" s="269"/>
      <c r="D2736" s="258"/>
      <c r="E2736" s="258"/>
      <c r="F2736" s="258"/>
      <c r="G2736" s="258"/>
      <c r="H2736" s="271"/>
      <c r="I2736" s="258"/>
      <c r="J2736" s="272"/>
      <c r="K2736" s="260"/>
      <c r="L2736" s="261"/>
      <c r="M2736" s="262" t="str">
        <f t="shared" si="1"/>
        <v/>
      </c>
      <c r="N2736" s="263" t="str">
        <f t="shared" si="2"/>
        <v/>
      </c>
      <c r="O2736" s="264" t="str">
        <f t="shared" si="3"/>
        <v/>
      </c>
      <c r="P2736" s="265" t="str">
        <f>IFERROR(__xludf.DUMMYFUNCTION("IF(ISBLANK(A2736),"""",IFERROR(IF(H2736=""Sell"",VLOOKUP(9^99,FILTER({ROW(P$2:P2735),P$2:P2735},D$2:D2735=D2736),2),(VLOOKUP(9^99,FILTER({ROW(P$2:P2735),P$2:P2735},D$2:D2735=D2736),2)*VLOOKUP(9^99,FILTER({ROW(O$2:O2735),O$2:O2735},D$2:D2735=D2736),2)-N273"&amp;"6)/O2736),J2736))"),"")</f>
        <v/>
      </c>
      <c r="Q2736" s="264" t="str">
        <f>IFERROR(__xludf.DUMMYFUNCTION("IFERROR(IF(F2736=""Crypto"",B2736,(IF(ISBLANK(D2736),"""",IF(D2736=""Cash"",B2736,IF(GOOGLEFINANCE(D2736,""CURRENCY"")=""GBX"",""GBP"",GOOGLEFINANCE(D2736,""CURRENCY"")))))),B2736)"),"")</f>
        <v/>
      </c>
      <c r="R2736" s="263" t="str">
        <f>IFERROR(__xludf.DUMMYFUNCTION("IF(ISBLANK(A2736),"""",IFERROR(IF(OR(Q2736=""GPB"",Q2736=""ZAR""),IF(Q2736=Dashboard!$L$1,K2736,(K2736*GOOGLEFINANCE(""CURRENCY:""&amp;Q2736&amp;""""&amp;Dashboard!$L$1&amp;""""))/100),IF(Q2736=Dashboard!$L$1,K2736,K2736*GOOGLEFINANCE(""CURRENCY:""&amp;Q2736&amp;""""&amp;Dashboard!$"&amp;"L$1&amp;""""))),K2736))"),"")</f>
        <v/>
      </c>
      <c r="S2736" s="266" t="str">
        <f>IFERROR(__xludf.DUMMYFUNCTION("IF(ISBLANK(A2736),"""",IFERROR(IF(OR(Q2736=""GPB"",Q2736=""ZAR""),IF(Q2736=Dashboard!$L$1,M2736,(M2736*GOOGLEFINANCE(""CURRENCY:""&amp;Q2736&amp;""""&amp;Dashboard!$L$1&amp;""""))/100),IF(Q2736=Dashboard!$L$1,M2736,M2736*GOOGLEFINANCE(""CURRENCY:""&amp;Q2736&amp;""""&amp;Dashboard!$"&amp;"L$1&amp;""""))),M2736))"),"")</f>
        <v/>
      </c>
      <c r="T2736" s="264" t="str">
        <f t="shared" si="4"/>
        <v/>
      </c>
      <c r="U2736" s="264" t="str">
        <f t="shared" si="5"/>
        <v/>
      </c>
      <c r="V2736" s="264" t="str">
        <f t="shared" si="6"/>
        <v/>
      </c>
      <c r="W2736" s="267" t="str">
        <f t="shared" si="8"/>
        <v/>
      </c>
      <c r="X2736" s="264" t="str">
        <f t="shared" si="7"/>
        <v/>
      </c>
    </row>
    <row r="2737" ht="15.75" customHeight="1">
      <c r="A2737" s="258"/>
      <c r="B2737" s="258"/>
      <c r="C2737" s="269"/>
      <c r="D2737" s="258"/>
      <c r="E2737" s="258"/>
      <c r="F2737" s="258"/>
      <c r="G2737" s="258"/>
      <c r="H2737" s="271"/>
      <c r="I2737" s="258"/>
      <c r="J2737" s="272"/>
      <c r="K2737" s="260"/>
      <c r="L2737" s="261"/>
      <c r="M2737" s="262" t="str">
        <f t="shared" si="1"/>
        <v/>
      </c>
      <c r="N2737" s="263" t="str">
        <f t="shared" si="2"/>
        <v/>
      </c>
      <c r="O2737" s="264" t="str">
        <f t="shared" si="3"/>
        <v/>
      </c>
      <c r="P2737" s="265" t="str">
        <f>IFERROR(__xludf.DUMMYFUNCTION("IF(ISBLANK(A2737),"""",IFERROR(IF(H2737=""Sell"",VLOOKUP(9^99,FILTER({ROW(P$2:P2736),P$2:P2736},D$2:D2736=D2737),2),(VLOOKUP(9^99,FILTER({ROW(P$2:P2736),P$2:P2736},D$2:D2736=D2737),2)*VLOOKUP(9^99,FILTER({ROW(O$2:O2736),O$2:O2736},D$2:D2736=D2737),2)-N273"&amp;"7)/O2737),J2737))"),"")</f>
        <v/>
      </c>
      <c r="Q2737" s="264" t="str">
        <f>IFERROR(__xludf.DUMMYFUNCTION("IFERROR(IF(F2737=""Crypto"",B2737,(IF(ISBLANK(D2737),"""",IF(D2737=""Cash"",B2737,IF(GOOGLEFINANCE(D2737,""CURRENCY"")=""GBX"",""GBP"",GOOGLEFINANCE(D2737,""CURRENCY"")))))),B2737)"),"")</f>
        <v/>
      </c>
      <c r="R2737" s="263" t="str">
        <f>IFERROR(__xludf.DUMMYFUNCTION("IF(ISBLANK(A2737),"""",IFERROR(IF(OR(Q2737=""GPB"",Q2737=""ZAR""),IF(Q2737=Dashboard!$L$1,K2737,(K2737*GOOGLEFINANCE(""CURRENCY:""&amp;Q2737&amp;""""&amp;Dashboard!$L$1&amp;""""))/100),IF(Q2737=Dashboard!$L$1,K2737,K2737*GOOGLEFINANCE(""CURRENCY:""&amp;Q2737&amp;""""&amp;Dashboard!$"&amp;"L$1&amp;""""))),K2737))"),"")</f>
        <v/>
      </c>
      <c r="S2737" s="266" t="str">
        <f>IFERROR(__xludf.DUMMYFUNCTION("IF(ISBLANK(A2737),"""",IFERROR(IF(OR(Q2737=""GPB"",Q2737=""ZAR""),IF(Q2737=Dashboard!$L$1,M2737,(M2737*GOOGLEFINANCE(""CURRENCY:""&amp;Q2737&amp;""""&amp;Dashboard!$L$1&amp;""""))/100),IF(Q2737=Dashboard!$L$1,M2737,M2737*GOOGLEFINANCE(""CURRENCY:""&amp;Q2737&amp;""""&amp;Dashboard!$"&amp;"L$1&amp;""""))),M2737))"),"")</f>
        <v/>
      </c>
      <c r="T2737" s="264" t="str">
        <f t="shared" si="4"/>
        <v/>
      </c>
      <c r="U2737" s="264" t="str">
        <f t="shared" si="5"/>
        <v/>
      </c>
      <c r="V2737" s="264" t="str">
        <f t="shared" si="6"/>
        <v/>
      </c>
      <c r="W2737" s="267" t="str">
        <f t="shared" si="8"/>
        <v/>
      </c>
      <c r="X2737" s="264" t="str">
        <f t="shared" si="7"/>
        <v/>
      </c>
    </row>
    <row r="2738" ht="15.75" customHeight="1">
      <c r="A2738" s="258"/>
      <c r="B2738" s="258"/>
      <c r="C2738" s="269"/>
      <c r="D2738" s="258"/>
      <c r="E2738" s="258"/>
      <c r="F2738" s="258"/>
      <c r="G2738" s="258"/>
      <c r="H2738" s="271"/>
      <c r="I2738" s="258"/>
      <c r="J2738" s="272"/>
      <c r="K2738" s="260"/>
      <c r="L2738" s="261"/>
      <c r="M2738" s="262" t="str">
        <f t="shared" si="1"/>
        <v/>
      </c>
      <c r="N2738" s="263" t="str">
        <f t="shared" si="2"/>
        <v/>
      </c>
      <c r="O2738" s="264" t="str">
        <f t="shared" si="3"/>
        <v/>
      </c>
      <c r="P2738" s="265" t="str">
        <f>IFERROR(__xludf.DUMMYFUNCTION("IF(ISBLANK(A2738),"""",IFERROR(IF(H2738=""Sell"",VLOOKUP(9^99,FILTER({ROW(P$2:P2737),P$2:P2737},D$2:D2737=D2738),2),(VLOOKUP(9^99,FILTER({ROW(P$2:P2737),P$2:P2737},D$2:D2737=D2738),2)*VLOOKUP(9^99,FILTER({ROW(O$2:O2737),O$2:O2737},D$2:D2737=D2738),2)-N273"&amp;"8)/O2738),J2738))"),"")</f>
        <v/>
      </c>
      <c r="Q2738" s="264" t="str">
        <f>IFERROR(__xludf.DUMMYFUNCTION("IFERROR(IF(F2738=""Crypto"",B2738,(IF(ISBLANK(D2738),"""",IF(D2738=""Cash"",B2738,IF(GOOGLEFINANCE(D2738,""CURRENCY"")=""GBX"",""GBP"",GOOGLEFINANCE(D2738,""CURRENCY"")))))),B2738)"),"")</f>
        <v/>
      </c>
      <c r="R2738" s="263" t="str">
        <f>IFERROR(__xludf.DUMMYFUNCTION("IF(ISBLANK(A2738),"""",IFERROR(IF(OR(Q2738=""GPB"",Q2738=""ZAR""),IF(Q2738=Dashboard!$L$1,K2738,(K2738*GOOGLEFINANCE(""CURRENCY:""&amp;Q2738&amp;""""&amp;Dashboard!$L$1&amp;""""))/100),IF(Q2738=Dashboard!$L$1,K2738,K2738*GOOGLEFINANCE(""CURRENCY:""&amp;Q2738&amp;""""&amp;Dashboard!$"&amp;"L$1&amp;""""))),K2738))"),"")</f>
        <v/>
      </c>
      <c r="S2738" s="266" t="str">
        <f>IFERROR(__xludf.DUMMYFUNCTION("IF(ISBLANK(A2738),"""",IFERROR(IF(OR(Q2738=""GPB"",Q2738=""ZAR""),IF(Q2738=Dashboard!$L$1,M2738,(M2738*GOOGLEFINANCE(""CURRENCY:""&amp;Q2738&amp;""""&amp;Dashboard!$L$1&amp;""""))/100),IF(Q2738=Dashboard!$L$1,M2738,M2738*GOOGLEFINANCE(""CURRENCY:""&amp;Q2738&amp;""""&amp;Dashboard!$"&amp;"L$1&amp;""""))),M2738))"),"")</f>
        <v/>
      </c>
      <c r="T2738" s="264" t="str">
        <f t="shared" si="4"/>
        <v/>
      </c>
      <c r="U2738" s="264" t="str">
        <f t="shared" si="5"/>
        <v/>
      </c>
      <c r="V2738" s="264" t="str">
        <f t="shared" si="6"/>
        <v/>
      </c>
      <c r="W2738" s="267" t="str">
        <f t="shared" si="8"/>
        <v/>
      </c>
      <c r="X2738" s="264" t="str">
        <f t="shared" si="7"/>
        <v/>
      </c>
    </row>
    <row r="2739" ht="15.75" customHeight="1">
      <c r="A2739" s="258"/>
      <c r="B2739" s="258"/>
      <c r="C2739" s="269"/>
      <c r="D2739" s="258"/>
      <c r="E2739" s="258"/>
      <c r="F2739" s="258"/>
      <c r="G2739" s="258"/>
      <c r="H2739" s="271"/>
      <c r="I2739" s="258"/>
      <c r="J2739" s="272"/>
      <c r="K2739" s="260"/>
      <c r="L2739" s="261"/>
      <c r="M2739" s="262" t="str">
        <f t="shared" si="1"/>
        <v/>
      </c>
      <c r="N2739" s="263" t="str">
        <f t="shared" si="2"/>
        <v/>
      </c>
      <c r="O2739" s="264" t="str">
        <f t="shared" si="3"/>
        <v/>
      </c>
      <c r="P2739" s="265" t="str">
        <f>IFERROR(__xludf.DUMMYFUNCTION("IF(ISBLANK(A2739),"""",IFERROR(IF(H2739=""Sell"",VLOOKUP(9^99,FILTER({ROW(P$2:P2738),P$2:P2738},D$2:D2738=D2739),2),(VLOOKUP(9^99,FILTER({ROW(P$2:P2738),P$2:P2738},D$2:D2738=D2739),2)*VLOOKUP(9^99,FILTER({ROW(O$2:O2738),O$2:O2738},D$2:D2738=D2739),2)-N273"&amp;"9)/O2739),J2739))"),"")</f>
        <v/>
      </c>
      <c r="Q2739" s="264" t="str">
        <f>IFERROR(__xludf.DUMMYFUNCTION("IFERROR(IF(F2739=""Crypto"",B2739,(IF(ISBLANK(D2739),"""",IF(D2739=""Cash"",B2739,IF(GOOGLEFINANCE(D2739,""CURRENCY"")=""GBX"",""GBP"",GOOGLEFINANCE(D2739,""CURRENCY"")))))),B2739)"),"")</f>
        <v/>
      </c>
      <c r="R2739" s="263" t="str">
        <f>IFERROR(__xludf.DUMMYFUNCTION("IF(ISBLANK(A2739),"""",IFERROR(IF(OR(Q2739=""GPB"",Q2739=""ZAR""),IF(Q2739=Dashboard!$L$1,K2739,(K2739*GOOGLEFINANCE(""CURRENCY:""&amp;Q2739&amp;""""&amp;Dashboard!$L$1&amp;""""))/100),IF(Q2739=Dashboard!$L$1,K2739,K2739*GOOGLEFINANCE(""CURRENCY:""&amp;Q2739&amp;""""&amp;Dashboard!$"&amp;"L$1&amp;""""))),K2739))"),"")</f>
        <v/>
      </c>
      <c r="S2739" s="266" t="str">
        <f>IFERROR(__xludf.DUMMYFUNCTION("IF(ISBLANK(A2739),"""",IFERROR(IF(OR(Q2739=""GPB"",Q2739=""ZAR""),IF(Q2739=Dashboard!$L$1,M2739,(M2739*GOOGLEFINANCE(""CURRENCY:""&amp;Q2739&amp;""""&amp;Dashboard!$L$1&amp;""""))/100),IF(Q2739=Dashboard!$L$1,M2739,M2739*GOOGLEFINANCE(""CURRENCY:""&amp;Q2739&amp;""""&amp;Dashboard!$"&amp;"L$1&amp;""""))),M2739))"),"")</f>
        <v/>
      </c>
      <c r="T2739" s="264" t="str">
        <f t="shared" si="4"/>
        <v/>
      </c>
      <c r="U2739" s="264" t="str">
        <f t="shared" si="5"/>
        <v/>
      </c>
      <c r="V2739" s="264" t="str">
        <f t="shared" si="6"/>
        <v/>
      </c>
      <c r="W2739" s="267" t="str">
        <f t="shared" si="8"/>
        <v/>
      </c>
      <c r="X2739" s="264" t="str">
        <f t="shared" si="7"/>
        <v/>
      </c>
    </row>
    <row r="2740" ht="15.75" customHeight="1">
      <c r="A2740" s="258"/>
      <c r="B2740" s="258"/>
      <c r="C2740" s="269"/>
      <c r="D2740" s="258"/>
      <c r="E2740" s="258"/>
      <c r="F2740" s="258"/>
      <c r="G2740" s="258"/>
      <c r="H2740" s="271"/>
      <c r="I2740" s="258"/>
      <c r="J2740" s="272"/>
      <c r="K2740" s="260"/>
      <c r="L2740" s="261"/>
      <c r="M2740" s="262" t="str">
        <f t="shared" si="1"/>
        <v/>
      </c>
      <c r="N2740" s="263" t="str">
        <f t="shared" si="2"/>
        <v/>
      </c>
      <c r="O2740" s="264" t="str">
        <f t="shared" si="3"/>
        <v/>
      </c>
      <c r="P2740" s="265" t="str">
        <f>IFERROR(__xludf.DUMMYFUNCTION("IF(ISBLANK(A2740),"""",IFERROR(IF(H2740=""Sell"",VLOOKUP(9^99,FILTER({ROW(P$2:P2739),P$2:P2739},D$2:D2739=D2740),2),(VLOOKUP(9^99,FILTER({ROW(P$2:P2739),P$2:P2739},D$2:D2739=D2740),2)*VLOOKUP(9^99,FILTER({ROW(O$2:O2739),O$2:O2739},D$2:D2739=D2740),2)-N274"&amp;"0)/O2740),J2740))"),"")</f>
        <v/>
      </c>
      <c r="Q2740" s="264" t="str">
        <f>IFERROR(__xludf.DUMMYFUNCTION("IFERROR(IF(F2740=""Crypto"",B2740,(IF(ISBLANK(D2740),"""",IF(D2740=""Cash"",B2740,IF(GOOGLEFINANCE(D2740,""CURRENCY"")=""GBX"",""GBP"",GOOGLEFINANCE(D2740,""CURRENCY"")))))),B2740)"),"")</f>
        <v/>
      </c>
      <c r="R2740" s="263" t="str">
        <f>IFERROR(__xludf.DUMMYFUNCTION("IF(ISBLANK(A2740),"""",IFERROR(IF(OR(Q2740=""GPB"",Q2740=""ZAR""),IF(Q2740=Dashboard!$L$1,K2740,(K2740*GOOGLEFINANCE(""CURRENCY:""&amp;Q2740&amp;""""&amp;Dashboard!$L$1&amp;""""))/100),IF(Q2740=Dashboard!$L$1,K2740,K2740*GOOGLEFINANCE(""CURRENCY:""&amp;Q2740&amp;""""&amp;Dashboard!$"&amp;"L$1&amp;""""))),K2740))"),"")</f>
        <v/>
      </c>
      <c r="S2740" s="266" t="str">
        <f>IFERROR(__xludf.DUMMYFUNCTION("IF(ISBLANK(A2740),"""",IFERROR(IF(OR(Q2740=""GPB"",Q2740=""ZAR""),IF(Q2740=Dashboard!$L$1,M2740,(M2740*GOOGLEFINANCE(""CURRENCY:""&amp;Q2740&amp;""""&amp;Dashboard!$L$1&amp;""""))/100),IF(Q2740=Dashboard!$L$1,M2740,M2740*GOOGLEFINANCE(""CURRENCY:""&amp;Q2740&amp;""""&amp;Dashboard!$"&amp;"L$1&amp;""""))),M2740))"),"")</f>
        <v/>
      </c>
      <c r="T2740" s="264" t="str">
        <f t="shared" si="4"/>
        <v/>
      </c>
      <c r="U2740" s="264" t="str">
        <f t="shared" si="5"/>
        <v/>
      </c>
      <c r="V2740" s="264" t="str">
        <f t="shared" si="6"/>
        <v/>
      </c>
      <c r="W2740" s="267" t="str">
        <f t="shared" si="8"/>
        <v/>
      </c>
      <c r="X2740" s="264" t="str">
        <f t="shared" si="7"/>
        <v/>
      </c>
    </row>
    <row r="2741" ht="15.75" customHeight="1">
      <c r="A2741" s="258"/>
      <c r="B2741" s="258"/>
      <c r="C2741" s="269"/>
      <c r="D2741" s="258"/>
      <c r="E2741" s="258"/>
      <c r="F2741" s="258"/>
      <c r="G2741" s="258"/>
      <c r="H2741" s="271"/>
      <c r="I2741" s="258"/>
      <c r="J2741" s="272"/>
      <c r="K2741" s="260"/>
      <c r="L2741" s="261"/>
      <c r="M2741" s="262" t="str">
        <f t="shared" si="1"/>
        <v/>
      </c>
      <c r="N2741" s="263" t="str">
        <f t="shared" si="2"/>
        <v/>
      </c>
      <c r="O2741" s="264" t="str">
        <f t="shared" si="3"/>
        <v/>
      </c>
      <c r="P2741" s="265" t="str">
        <f>IFERROR(__xludf.DUMMYFUNCTION("IF(ISBLANK(A2741),"""",IFERROR(IF(H2741=""Sell"",VLOOKUP(9^99,FILTER({ROW(P$2:P2740),P$2:P2740},D$2:D2740=D2741),2),(VLOOKUP(9^99,FILTER({ROW(P$2:P2740),P$2:P2740},D$2:D2740=D2741),2)*VLOOKUP(9^99,FILTER({ROW(O$2:O2740),O$2:O2740},D$2:D2740=D2741),2)-N274"&amp;"1)/O2741),J2741))"),"")</f>
        <v/>
      </c>
      <c r="Q2741" s="264" t="str">
        <f>IFERROR(__xludf.DUMMYFUNCTION("IFERROR(IF(F2741=""Crypto"",B2741,(IF(ISBLANK(D2741),"""",IF(D2741=""Cash"",B2741,IF(GOOGLEFINANCE(D2741,""CURRENCY"")=""GBX"",""GBP"",GOOGLEFINANCE(D2741,""CURRENCY"")))))),B2741)"),"")</f>
        <v/>
      </c>
      <c r="R2741" s="263" t="str">
        <f>IFERROR(__xludf.DUMMYFUNCTION("IF(ISBLANK(A2741),"""",IFERROR(IF(OR(Q2741=""GPB"",Q2741=""ZAR""),IF(Q2741=Dashboard!$L$1,K2741,(K2741*GOOGLEFINANCE(""CURRENCY:""&amp;Q2741&amp;""""&amp;Dashboard!$L$1&amp;""""))/100),IF(Q2741=Dashboard!$L$1,K2741,K2741*GOOGLEFINANCE(""CURRENCY:""&amp;Q2741&amp;""""&amp;Dashboard!$"&amp;"L$1&amp;""""))),K2741))"),"")</f>
        <v/>
      </c>
      <c r="S2741" s="266" t="str">
        <f>IFERROR(__xludf.DUMMYFUNCTION("IF(ISBLANK(A2741),"""",IFERROR(IF(OR(Q2741=""GPB"",Q2741=""ZAR""),IF(Q2741=Dashboard!$L$1,M2741,(M2741*GOOGLEFINANCE(""CURRENCY:""&amp;Q2741&amp;""""&amp;Dashboard!$L$1&amp;""""))/100),IF(Q2741=Dashboard!$L$1,M2741,M2741*GOOGLEFINANCE(""CURRENCY:""&amp;Q2741&amp;""""&amp;Dashboard!$"&amp;"L$1&amp;""""))),M2741))"),"")</f>
        <v/>
      </c>
      <c r="T2741" s="264" t="str">
        <f t="shared" si="4"/>
        <v/>
      </c>
      <c r="U2741" s="264" t="str">
        <f t="shared" si="5"/>
        <v/>
      </c>
      <c r="V2741" s="264" t="str">
        <f t="shared" si="6"/>
        <v/>
      </c>
      <c r="W2741" s="267" t="str">
        <f t="shared" si="8"/>
        <v/>
      </c>
      <c r="X2741" s="264" t="str">
        <f t="shared" si="7"/>
        <v/>
      </c>
    </row>
    <row r="2742" ht="15.75" customHeight="1">
      <c r="A2742" s="258"/>
      <c r="B2742" s="258"/>
      <c r="C2742" s="269"/>
      <c r="D2742" s="258"/>
      <c r="E2742" s="258"/>
      <c r="F2742" s="258"/>
      <c r="G2742" s="258"/>
      <c r="H2742" s="271"/>
      <c r="I2742" s="258"/>
      <c r="J2742" s="272"/>
      <c r="K2742" s="260"/>
      <c r="L2742" s="261"/>
      <c r="M2742" s="262" t="str">
        <f t="shared" si="1"/>
        <v/>
      </c>
      <c r="N2742" s="263" t="str">
        <f t="shared" si="2"/>
        <v/>
      </c>
      <c r="O2742" s="264" t="str">
        <f t="shared" si="3"/>
        <v/>
      </c>
      <c r="P2742" s="265" t="str">
        <f>IFERROR(__xludf.DUMMYFUNCTION("IF(ISBLANK(A2742),"""",IFERROR(IF(H2742=""Sell"",VLOOKUP(9^99,FILTER({ROW(P$2:P2741),P$2:P2741},D$2:D2741=D2742),2),(VLOOKUP(9^99,FILTER({ROW(P$2:P2741),P$2:P2741},D$2:D2741=D2742),2)*VLOOKUP(9^99,FILTER({ROW(O$2:O2741),O$2:O2741},D$2:D2741=D2742),2)-N274"&amp;"2)/O2742),J2742))"),"")</f>
        <v/>
      </c>
      <c r="Q2742" s="264" t="str">
        <f>IFERROR(__xludf.DUMMYFUNCTION("IFERROR(IF(F2742=""Crypto"",B2742,(IF(ISBLANK(D2742),"""",IF(D2742=""Cash"",B2742,IF(GOOGLEFINANCE(D2742,""CURRENCY"")=""GBX"",""GBP"",GOOGLEFINANCE(D2742,""CURRENCY"")))))),B2742)"),"")</f>
        <v/>
      </c>
      <c r="R2742" s="263" t="str">
        <f>IFERROR(__xludf.DUMMYFUNCTION("IF(ISBLANK(A2742),"""",IFERROR(IF(OR(Q2742=""GPB"",Q2742=""ZAR""),IF(Q2742=Dashboard!$L$1,K2742,(K2742*GOOGLEFINANCE(""CURRENCY:""&amp;Q2742&amp;""""&amp;Dashboard!$L$1&amp;""""))/100),IF(Q2742=Dashboard!$L$1,K2742,K2742*GOOGLEFINANCE(""CURRENCY:""&amp;Q2742&amp;""""&amp;Dashboard!$"&amp;"L$1&amp;""""))),K2742))"),"")</f>
        <v/>
      </c>
      <c r="S2742" s="266" t="str">
        <f>IFERROR(__xludf.DUMMYFUNCTION("IF(ISBLANK(A2742),"""",IFERROR(IF(OR(Q2742=""GPB"",Q2742=""ZAR""),IF(Q2742=Dashboard!$L$1,M2742,(M2742*GOOGLEFINANCE(""CURRENCY:""&amp;Q2742&amp;""""&amp;Dashboard!$L$1&amp;""""))/100),IF(Q2742=Dashboard!$L$1,M2742,M2742*GOOGLEFINANCE(""CURRENCY:""&amp;Q2742&amp;""""&amp;Dashboard!$"&amp;"L$1&amp;""""))),M2742))"),"")</f>
        <v/>
      </c>
      <c r="T2742" s="264" t="str">
        <f t="shared" si="4"/>
        <v/>
      </c>
      <c r="U2742" s="264" t="str">
        <f t="shared" si="5"/>
        <v/>
      </c>
      <c r="V2742" s="264" t="str">
        <f t="shared" si="6"/>
        <v/>
      </c>
      <c r="W2742" s="267" t="str">
        <f t="shared" si="8"/>
        <v/>
      </c>
      <c r="X2742" s="264" t="str">
        <f t="shared" si="7"/>
        <v/>
      </c>
    </row>
    <row r="2743" ht="15.75" customHeight="1">
      <c r="A2743" s="258"/>
      <c r="B2743" s="258"/>
      <c r="C2743" s="269"/>
      <c r="D2743" s="258"/>
      <c r="E2743" s="258"/>
      <c r="F2743" s="258"/>
      <c r="G2743" s="258"/>
      <c r="H2743" s="271"/>
      <c r="I2743" s="258"/>
      <c r="J2743" s="272"/>
      <c r="K2743" s="260"/>
      <c r="L2743" s="261"/>
      <c r="M2743" s="262" t="str">
        <f t="shared" si="1"/>
        <v/>
      </c>
      <c r="N2743" s="263" t="str">
        <f t="shared" si="2"/>
        <v/>
      </c>
      <c r="O2743" s="264" t="str">
        <f t="shared" si="3"/>
        <v/>
      </c>
      <c r="P2743" s="265" t="str">
        <f>IFERROR(__xludf.DUMMYFUNCTION("IF(ISBLANK(A2743),"""",IFERROR(IF(H2743=""Sell"",VLOOKUP(9^99,FILTER({ROW(P$2:P2742),P$2:P2742},D$2:D2742=D2743),2),(VLOOKUP(9^99,FILTER({ROW(P$2:P2742),P$2:P2742},D$2:D2742=D2743),2)*VLOOKUP(9^99,FILTER({ROW(O$2:O2742),O$2:O2742},D$2:D2742=D2743),2)-N274"&amp;"3)/O2743),J2743))"),"")</f>
        <v/>
      </c>
      <c r="Q2743" s="264" t="str">
        <f>IFERROR(__xludf.DUMMYFUNCTION("IFERROR(IF(F2743=""Crypto"",B2743,(IF(ISBLANK(D2743),"""",IF(D2743=""Cash"",B2743,IF(GOOGLEFINANCE(D2743,""CURRENCY"")=""GBX"",""GBP"",GOOGLEFINANCE(D2743,""CURRENCY"")))))),B2743)"),"")</f>
        <v/>
      </c>
      <c r="R2743" s="263" t="str">
        <f>IFERROR(__xludf.DUMMYFUNCTION("IF(ISBLANK(A2743),"""",IFERROR(IF(OR(Q2743=""GPB"",Q2743=""ZAR""),IF(Q2743=Dashboard!$L$1,K2743,(K2743*GOOGLEFINANCE(""CURRENCY:""&amp;Q2743&amp;""""&amp;Dashboard!$L$1&amp;""""))/100),IF(Q2743=Dashboard!$L$1,K2743,K2743*GOOGLEFINANCE(""CURRENCY:""&amp;Q2743&amp;""""&amp;Dashboard!$"&amp;"L$1&amp;""""))),K2743))"),"")</f>
        <v/>
      </c>
      <c r="S2743" s="266" t="str">
        <f>IFERROR(__xludf.DUMMYFUNCTION("IF(ISBLANK(A2743),"""",IFERROR(IF(OR(Q2743=""GPB"",Q2743=""ZAR""),IF(Q2743=Dashboard!$L$1,M2743,(M2743*GOOGLEFINANCE(""CURRENCY:""&amp;Q2743&amp;""""&amp;Dashboard!$L$1&amp;""""))/100),IF(Q2743=Dashboard!$L$1,M2743,M2743*GOOGLEFINANCE(""CURRENCY:""&amp;Q2743&amp;""""&amp;Dashboard!$"&amp;"L$1&amp;""""))),M2743))"),"")</f>
        <v/>
      </c>
      <c r="T2743" s="264" t="str">
        <f t="shared" si="4"/>
        <v/>
      </c>
      <c r="U2743" s="264" t="str">
        <f t="shared" si="5"/>
        <v/>
      </c>
      <c r="V2743" s="264" t="str">
        <f t="shared" si="6"/>
        <v/>
      </c>
      <c r="W2743" s="267" t="str">
        <f t="shared" si="8"/>
        <v/>
      </c>
      <c r="X2743" s="264" t="str">
        <f t="shared" si="7"/>
        <v/>
      </c>
    </row>
    <row r="2744" ht="15.75" customHeight="1">
      <c r="A2744" s="258"/>
      <c r="B2744" s="258"/>
      <c r="C2744" s="269"/>
      <c r="D2744" s="258"/>
      <c r="E2744" s="258"/>
      <c r="F2744" s="258"/>
      <c r="G2744" s="258"/>
      <c r="H2744" s="271"/>
      <c r="I2744" s="258"/>
      <c r="J2744" s="272"/>
      <c r="K2744" s="260"/>
      <c r="L2744" s="261"/>
      <c r="M2744" s="262" t="str">
        <f t="shared" si="1"/>
        <v/>
      </c>
      <c r="N2744" s="263" t="str">
        <f t="shared" si="2"/>
        <v/>
      </c>
      <c r="O2744" s="264" t="str">
        <f t="shared" si="3"/>
        <v/>
      </c>
      <c r="P2744" s="265" t="str">
        <f>IFERROR(__xludf.DUMMYFUNCTION("IF(ISBLANK(A2744),"""",IFERROR(IF(H2744=""Sell"",VLOOKUP(9^99,FILTER({ROW(P$2:P2743),P$2:P2743},D$2:D2743=D2744),2),(VLOOKUP(9^99,FILTER({ROW(P$2:P2743),P$2:P2743},D$2:D2743=D2744),2)*VLOOKUP(9^99,FILTER({ROW(O$2:O2743),O$2:O2743},D$2:D2743=D2744),2)-N274"&amp;"4)/O2744),J2744))"),"")</f>
        <v/>
      </c>
      <c r="Q2744" s="264" t="str">
        <f>IFERROR(__xludf.DUMMYFUNCTION("IFERROR(IF(F2744=""Crypto"",B2744,(IF(ISBLANK(D2744),"""",IF(D2744=""Cash"",B2744,IF(GOOGLEFINANCE(D2744,""CURRENCY"")=""GBX"",""GBP"",GOOGLEFINANCE(D2744,""CURRENCY"")))))),B2744)"),"")</f>
        <v/>
      </c>
      <c r="R2744" s="263" t="str">
        <f>IFERROR(__xludf.DUMMYFUNCTION("IF(ISBLANK(A2744),"""",IFERROR(IF(OR(Q2744=""GPB"",Q2744=""ZAR""),IF(Q2744=Dashboard!$L$1,K2744,(K2744*GOOGLEFINANCE(""CURRENCY:""&amp;Q2744&amp;""""&amp;Dashboard!$L$1&amp;""""))/100),IF(Q2744=Dashboard!$L$1,K2744,K2744*GOOGLEFINANCE(""CURRENCY:""&amp;Q2744&amp;""""&amp;Dashboard!$"&amp;"L$1&amp;""""))),K2744))"),"")</f>
        <v/>
      </c>
      <c r="S2744" s="266" t="str">
        <f>IFERROR(__xludf.DUMMYFUNCTION("IF(ISBLANK(A2744),"""",IFERROR(IF(OR(Q2744=""GPB"",Q2744=""ZAR""),IF(Q2744=Dashboard!$L$1,M2744,(M2744*GOOGLEFINANCE(""CURRENCY:""&amp;Q2744&amp;""""&amp;Dashboard!$L$1&amp;""""))/100),IF(Q2744=Dashboard!$L$1,M2744,M2744*GOOGLEFINANCE(""CURRENCY:""&amp;Q2744&amp;""""&amp;Dashboard!$"&amp;"L$1&amp;""""))),M2744))"),"")</f>
        <v/>
      </c>
      <c r="T2744" s="264" t="str">
        <f t="shared" si="4"/>
        <v/>
      </c>
      <c r="U2744" s="264" t="str">
        <f t="shared" si="5"/>
        <v/>
      </c>
      <c r="V2744" s="264" t="str">
        <f t="shared" si="6"/>
        <v/>
      </c>
      <c r="W2744" s="267" t="str">
        <f t="shared" si="8"/>
        <v/>
      </c>
      <c r="X2744" s="264" t="str">
        <f t="shared" si="7"/>
        <v/>
      </c>
    </row>
    <row r="2745" ht="15.75" customHeight="1">
      <c r="A2745" s="258"/>
      <c r="B2745" s="258"/>
      <c r="C2745" s="269"/>
      <c r="D2745" s="258"/>
      <c r="E2745" s="258"/>
      <c r="F2745" s="258"/>
      <c r="G2745" s="258"/>
      <c r="H2745" s="271"/>
      <c r="I2745" s="258"/>
      <c r="J2745" s="272"/>
      <c r="K2745" s="260"/>
      <c r="L2745" s="261"/>
      <c r="M2745" s="262" t="str">
        <f t="shared" si="1"/>
        <v/>
      </c>
      <c r="N2745" s="263" t="str">
        <f t="shared" si="2"/>
        <v/>
      </c>
      <c r="O2745" s="264" t="str">
        <f t="shared" si="3"/>
        <v/>
      </c>
      <c r="P2745" s="265" t="str">
        <f>IFERROR(__xludf.DUMMYFUNCTION("IF(ISBLANK(A2745),"""",IFERROR(IF(H2745=""Sell"",VLOOKUP(9^99,FILTER({ROW(P$2:P2744),P$2:P2744},D$2:D2744=D2745),2),(VLOOKUP(9^99,FILTER({ROW(P$2:P2744),P$2:P2744},D$2:D2744=D2745),2)*VLOOKUP(9^99,FILTER({ROW(O$2:O2744),O$2:O2744},D$2:D2744=D2745),2)-N274"&amp;"5)/O2745),J2745))"),"")</f>
        <v/>
      </c>
      <c r="Q2745" s="264" t="str">
        <f>IFERROR(__xludf.DUMMYFUNCTION("IFERROR(IF(F2745=""Crypto"",B2745,(IF(ISBLANK(D2745),"""",IF(D2745=""Cash"",B2745,IF(GOOGLEFINANCE(D2745,""CURRENCY"")=""GBX"",""GBP"",GOOGLEFINANCE(D2745,""CURRENCY"")))))),B2745)"),"")</f>
        <v/>
      </c>
      <c r="R2745" s="263" t="str">
        <f>IFERROR(__xludf.DUMMYFUNCTION("IF(ISBLANK(A2745),"""",IFERROR(IF(OR(Q2745=""GPB"",Q2745=""ZAR""),IF(Q2745=Dashboard!$L$1,K2745,(K2745*GOOGLEFINANCE(""CURRENCY:""&amp;Q2745&amp;""""&amp;Dashboard!$L$1&amp;""""))/100),IF(Q2745=Dashboard!$L$1,K2745,K2745*GOOGLEFINANCE(""CURRENCY:""&amp;Q2745&amp;""""&amp;Dashboard!$"&amp;"L$1&amp;""""))),K2745))"),"")</f>
        <v/>
      </c>
      <c r="S2745" s="266" t="str">
        <f>IFERROR(__xludf.DUMMYFUNCTION("IF(ISBLANK(A2745),"""",IFERROR(IF(OR(Q2745=""GPB"",Q2745=""ZAR""),IF(Q2745=Dashboard!$L$1,M2745,(M2745*GOOGLEFINANCE(""CURRENCY:""&amp;Q2745&amp;""""&amp;Dashboard!$L$1&amp;""""))/100),IF(Q2745=Dashboard!$L$1,M2745,M2745*GOOGLEFINANCE(""CURRENCY:""&amp;Q2745&amp;""""&amp;Dashboard!$"&amp;"L$1&amp;""""))),M2745))"),"")</f>
        <v/>
      </c>
      <c r="T2745" s="264" t="str">
        <f t="shared" si="4"/>
        <v/>
      </c>
      <c r="U2745" s="264" t="str">
        <f t="shared" si="5"/>
        <v/>
      </c>
      <c r="V2745" s="264" t="str">
        <f t="shared" si="6"/>
        <v/>
      </c>
      <c r="W2745" s="267" t="str">
        <f t="shared" si="8"/>
        <v/>
      </c>
      <c r="X2745" s="264" t="str">
        <f t="shared" si="7"/>
        <v/>
      </c>
    </row>
    <row r="2746" ht="15.75" customHeight="1">
      <c r="A2746" s="258"/>
      <c r="B2746" s="258"/>
      <c r="C2746" s="269"/>
      <c r="D2746" s="258"/>
      <c r="E2746" s="258"/>
      <c r="F2746" s="258"/>
      <c r="G2746" s="258"/>
      <c r="H2746" s="271"/>
      <c r="I2746" s="258"/>
      <c r="J2746" s="272"/>
      <c r="K2746" s="260"/>
      <c r="L2746" s="261"/>
      <c r="M2746" s="262" t="str">
        <f t="shared" si="1"/>
        <v/>
      </c>
      <c r="N2746" s="263" t="str">
        <f t="shared" si="2"/>
        <v/>
      </c>
      <c r="O2746" s="264" t="str">
        <f t="shared" si="3"/>
        <v/>
      </c>
      <c r="P2746" s="265" t="str">
        <f>IFERROR(__xludf.DUMMYFUNCTION("IF(ISBLANK(A2746),"""",IFERROR(IF(H2746=""Sell"",VLOOKUP(9^99,FILTER({ROW(P$2:P2745),P$2:P2745},D$2:D2745=D2746),2),(VLOOKUP(9^99,FILTER({ROW(P$2:P2745),P$2:P2745},D$2:D2745=D2746),2)*VLOOKUP(9^99,FILTER({ROW(O$2:O2745),O$2:O2745},D$2:D2745=D2746),2)-N274"&amp;"6)/O2746),J2746))"),"")</f>
        <v/>
      </c>
      <c r="Q2746" s="264" t="str">
        <f>IFERROR(__xludf.DUMMYFUNCTION("IFERROR(IF(F2746=""Crypto"",B2746,(IF(ISBLANK(D2746),"""",IF(D2746=""Cash"",B2746,IF(GOOGLEFINANCE(D2746,""CURRENCY"")=""GBX"",""GBP"",GOOGLEFINANCE(D2746,""CURRENCY"")))))),B2746)"),"")</f>
        <v/>
      </c>
      <c r="R2746" s="263" t="str">
        <f>IFERROR(__xludf.DUMMYFUNCTION("IF(ISBLANK(A2746),"""",IFERROR(IF(OR(Q2746=""GPB"",Q2746=""ZAR""),IF(Q2746=Dashboard!$L$1,K2746,(K2746*GOOGLEFINANCE(""CURRENCY:""&amp;Q2746&amp;""""&amp;Dashboard!$L$1&amp;""""))/100),IF(Q2746=Dashboard!$L$1,K2746,K2746*GOOGLEFINANCE(""CURRENCY:""&amp;Q2746&amp;""""&amp;Dashboard!$"&amp;"L$1&amp;""""))),K2746))"),"")</f>
        <v/>
      </c>
      <c r="S2746" s="266" t="str">
        <f>IFERROR(__xludf.DUMMYFUNCTION("IF(ISBLANK(A2746),"""",IFERROR(IF(OR(Q2746=""GPB"",Q2746=""ZAR""),IF(Q2746=Dashboard!$L$1,M2746,(M2746*GOOGLEFINANCE(""CURRENCY:""&amp;Q2746&amp;""""&amp;Dashboard!$L$1&amp;""""))/100),IF(Q2746=Dashboard!$L$1,M2746,M2746*GOOGLEFINANCE(""CURRENCY:""&amp;Q2746&amp;""""&amp;Dashboard!$"&amp;"L$1&amp;""""))),M2746))"),"")</f>
        <v/>
      </c>
      <c r="T2746" s="264" t="str">
        <f t="shared" si="4"/>
        <v/>
      </c>
      <c r="U2746" s="264" t="str">
        <f t="shared" si="5"/>
        <v/>
      </c>
      <c r="V2746" s="264" t="str">
        <f t="shared" si="6"/>
        <v/>
      </c>
      <c r="W2746" s="267" t="str">
        <f t="shared" si="8"/>
        <v/>
      </c>
      <c r="X2746" s="264" t="str">
        <f t="shared" si="7"/>
        <v/>
      </c>
    </row>
    <row r="2747" ht="15.75" customHeight="1">
      <c r="A2747" s="258"/>
      <c r="B2747" s="258"/>
      <c r="C2747" s="269"/>
      <c r="D2747" s="258"/>
      <c r="E2747" s="258"/>
      <c r="F2747" s="258"/>
      <c r="G2747" s="258"/>
      <c r="H2747" s="271"/>
      <c r="I2747" s="258"/>
      <c r="J2747" s="272"/>
      <c r="K2747" s="260"/>
      <c r="L2747" s="261"/>
      <c r="M2747" s="262" t="str">
        <f t="shared" si="1"/>
        <v/>
      </c>
      <c r="N2747" s="263" t="str">
        <f t="shared" si="2"/>
        <v/>
      </c>
      <c r="O2747" s="264" t="str">
        <f t="shared" si="3"/>
        <v/>
      </c>
      <c r="P2747" s="265" t="str">
        <f>IFERROR(__xludf.DUMMYFUNCTION("IF(ISBLANK(A2747),"""",IFERROR(IF(H2747=""Sell"",VLOOKUP(9^99,FILTER({ROW(P$2:P2746),P$2:P2746},D$2:D2746=D2747),2),(VLOOKUP(9^99,FILTER({ROW(P$2:P2746),P$2:P2746},D$2:D2746=D2747),2)*VLOOKUP(9^99,FILTER({ROW(O$2:O2746),O$2:O2746},D$2:D2746=D2747),2)-N274"&amp;"7)/O2747),J2747))"),"")</f>
        <v/>
      </c>
      <c r="Q2747" s="264" t="str">
        <f>IFERROR(__xludf.DUMMYFUNCTION("IFERROR(IF(F2747=""Crypto"",B2747,(IF(ISBLANK(D2747),"""",IF(D2747=""Cash"",B2747,IF(GOOGLEFINANCE(D2747,""CURRENCY"")=""GBX"",""GBP"",GOOGLEFINANCE(D2747,""CURRENCY"")))))),B2747)"),"")</f>
        <v/>
      </c>
      <c r="R2747" s="263" t="str">
        <f>IFERROR(__xludf.DUMMYFUNCTION("IF(ISBLANK(A2747),"""",IFERROR(IF(OR(Q2747=""GPB"",Q2747=""ZAR""),IF(Q2747=Dashboard!$L$1,K2747,(K2747*GOOGLEFINANCE(""CURRENCY:""&amp;Q2747&amp;""""&amp;Dashboard!$L$1&amp;""""))/100),IF(Q2747=Dashboard!$L$1,K2747,K2747*GOOGLEFINANCE(""CURRENCY:""&amp;Q2747&amp;""""&amp;Dashboard!$"&amp;"L$1&amp;""""))),K2747))"),"")</f>
        <v/>
      </c>
      <c r="S2747" s="266" t="str">
        <f>IFERROR(__xludf.DUMMYFUNCTION("IF(ISBLANK(A2747),"""",IFERROR(IF(OR(Q2747=""GPB"",Q2747=""ZAR""),IF(Q2747=Dashboard!$L$1,M2747,(M2747*GOOGLEFINANCE(""CURRENCY:""&amp;Q2747&amp;""""&amp;Dashboard!$L$1&amp;""""))/100),IF(Q2747=Dashboard!$L$1,M2747,M2747*GOOGLEFINANCE(""CURRENCY:""&amp;Q2747&amp;""""&amp;Dashboard!$"&amp;"L$1&amp;""""))),M2747))"),"")</f>
        <v/>
      </c>
      <c r="T2747" s="264" t="str">
        <f t="shared" si="4"/>
        <v/>
      </c>
      <c r="U2747" s="264" t="str">
        <f t="shared" si="5"/>
        <v/>
      </c>
      <c r="V2747" s="264" t="str">
        <f t="shared" si="6"/>
        <v/>
      </c>
      <c r="W2747" s="267" t="str">
        <f t="shared" si="8"/>
        <v/>
      </c>
      <c r="X2747" s="264" t="str">
        <f t="shared" si="7"/>
        <v/>
      </c>
    </row>
    <row r="2748" ht="15.75" customHeight="1">
      <c r="A2748" s="258"/>
      <c r="B2748" s="258"/>
      <c r="C2748" s="269"/>
      <c r="D2748" s="258"/>
      <c r="E2748" s="258"/>
      <c r="F2748" s="258"/>
      <c r="G2748" s="258"/>
      <c r="H2748" s="271"/>
      <c r="I2748" s="258"/>
      <c r="J2748" s="272"/>
      <c r="K2748" s="260"/>
      <c r="L2748" s="261"/>
      <c r="M2748" s="262" t="str">
        <f t="shared" si="1"/>
        <v/>
      </c>
      <c r="N2748" s="263" t="str">
        <f t="shared" si="2"/>
        <v/>
      </c>
      <c r="O2748" s="264" t="str">
        <f t="shared" si="3"/>
        <v/>
      </c>
      <c r="P2748" s="265" t="str">
        <f>IFERROR(__xludf.DUMMYFUNCTION("IF(ISBLANK(A2748),"""",IFERROR(IF(H2748=""Sell"",VLOOKUP(9^99,FILTER({ROW(P$2:P2747),P$2:P2747},D$2:D2747=D2748),2),(VLOOKUP(9^99,FILTER({ROW(P$2:P2747),P$2:P2747},D$2:D2747=D2748),2)*VLOOKUP(9^99,FILTER({ROW(O$2:O2747),O$2:O2747},D$2:D2747=D2748),2)-N274"&amp;"8)/O2748),J2748))"),"")</f>
        <v/>
      </c>
      <c r="Q2748" s="264" t="str">
        <f>IFERROR(__xludf.DUMMYFUNCTION("IFERROR(IF(F2748=""Crypto"",B2748,(IF(ISBLANK(D2748),"""",IF(D2748=""Cash"",B2748,IF(GOOGLEFINANCE(D2748,""CURRENCY"")=""GBX"",""GBP"",GOOGLEFINANCE(D2748,""CURRENCY"")))))),B2748)"),"")</f>
        <v/>
      </c>
      <c r="R2748" s="263" t="str">
        <f>IFERROR(__xludf.DUMMYFUNCTION("IF(ISBLANK(A2748),"""",IFERROR(IF(OR(Q2748=""GPB"",Q2748=""ZAR""),IF(Q2748=Dashboard!$L$1,K2748,(K2748*GOOGLEFINANCE(""CURRENCY:""&amp;Q2748&amp;""""&amp;Dashboard!$L$1&amp;""""))/100),IF(Q2748=Dashboard!$L$1,K2748,K2748*GOOGLEFINANCE(""CURRENCY:""&amp;Q2748&amp;""""&amp;Dashboard!$"&amp;"L$1&amp;""""))),K2748))"),"")</f>
        <v/>
      </c>
      <c r="S2748" s="266" t="str">
        <f>IFERROR(__xludf.DUMMYFUNCTION("IF(ISBLANK(A2748),"""",IFERROR(IF(OR(Q2748=""GPB"",Q2748=""ZAR""),IF(Q2748=Dashboard!$L$1,M2748,(M2748*GOOGLEFINANCE(""CURRENCY:""&amp;Q2748&amp;""""&amp;Dashboard!$L$1&amp;""""))/100),IF(Q2748=Dashboard!$L$1,M2748,M2748*GOOGLEFINANCE(""CURRENCY:""&amp;Q2748&amp;""""&amp;Dashboard!$"&amp;"L$1&amp;""""))),M2748))"),"")</f>
        <v/>
      </c>
      <c r="T2748" s="264" t="str">
        <f t="shared" si="4"/>
        <v/>
      </c>
      <c r="U2748" s="264" t="str">
        <f t="shared" si="5"/>
        <v/>
      </c>
      <c r="V2748" s="264" t="str">
        <f t="shared" si="6"/>
        <v/>
      </c>
      <c r="W2748" s="267" t="str">
        <f t="shared" si="8"/>
        <v/>
      </c>
      <c r="X2748" s="264" t="str">
        <f t="shared" si="7"/>
        <v/>
      </c>
    </row>
    <row r="2749" ht="15.75" customHeight="1">
      <c r="A2749" s="258"/>
      <c r="B2749" s="258"/>
      <c r="C2749" s="269"/>
      <c r="D2749" s="258"/>
      <c r="E2749" s="258"/>
      <c r="F2749" s="258"/>
      <c r="G2749" s="258"/>
      <c r="H2749" s="271"/>
      <c r="I2749" s="258"/>
      <c r="J2749" s="272"/>
      <c r="K2749" s="260"/>
      <c r="L2749" s="261"/>
      <c r="M2749" s="262" t="str">
        <f t="shared" si="1"/>
        <v/>
      </c>
      <c r="N2749" s="263" t="str">
        <f t="shared" si="2"/>
        <v/>
      </c>
      <c r="O2749" s="264" t="str">
        <f t="shared" si="3"/>
        <v/>
      </c>
      <c r="P2749" s="265" t="str">
        <f>IFERROR(__xludf.DUMMYFUNCTION("IF(ISBLANK(A2749),"""",IFERROR(IF(H2749=""Sell"",VLOOKUP(9^99,FILTER({ROW(P$2:P2748),P$2:P2748},D$2:D2748=D2749),2),(VLOOKUP(9^99,FILTER({ROW(P$2:P2748),P$2:P2748},D$2:D2748=D2749),2)*VLOOKUP(9^99,FILTER({ROW(O$2:O2748),O$2:O2748},D$2:D2748=D2749),2)-N274"&amp;"9)/O2749),J2749))"),"")</f>
        <v/>
      </c>
      <c r="Q2749" s="264" t="str">
        <f>IFERROR(__xludf.DUMMYFUNCTION("IFERROR(IF(F2749=""Crypto"",B2749,(IF(ISBLANK(D2749),"""",IF(D2749=""Cash"",B2749,IF(GOOGLEFINANCE(D2749,""CURRENCY"")=""GBX"",""GBP"",GOOGLEFINANCE(D2749,""CURRENCY"")))))),B2749)"),"")</f>
        <v/>
      </c>
      <c r="R2749" s="263" t="str">
        <f>IFERROR(__xludf.DUMMYFUNCTION("IF(ISBLANK(A2749),"""",IFERROR(IF(OR(Q2749=""GPB"",Q2749=""ZAR""),IF(Q2749=Dashboard!$L$1,K2749,(K2749*GOOGLEFINANCE(""CURRENCY:""&amp;Q2749&amp;""""&amp;Dashboard!$L$1&amp;""""))/100),IF(Q2749=Dashboard!$L$1,K2749,K2749*GOOGLEFINANCE(""CURRENCY:""&amp;Q2749&amp;""""&amp;Dashboard!$"&amp;"L$1&amp;""""))),K2749))"),"")</f>
        <v/>
      </c>
      <c r="S2749" s="266" t="str">
        <f>IFERROR(__xludf.DUMMYFUNCTION("IF(ISBLANK(A2749),"""",IFERROR(IF(OR(Q2749=""GPB"",Q2749=""ZAR""),IF(Q2749=Dashboard!$L$1,M2749,(M2749*GOOGLEFINANCE(""CURRENCY:""&amp;Q2749&amp;""""&amp;Dashboard!$L$1&amp;""""))/100),IF(Q2749=Dashboard!$L$1,M2749,M2749*GOOGLEFINANCE(""CURRENCY:""&amp;Q2749&amp;""""&amp;Dashboard!$"&amp;"L$1&amp;""""))),M2749))"),"")</f>
        <v/>
      </c>
      <c r="T2749" s="264" t="str">
        <f t="shared" si="4"/>
        <v/>
      </c>
      <c r="U2749" s="264" t="str">
        <f t="shared" si="5"/>
        <v/>
      </c>
      <c r="V2749" s="264" t="str">
        <f t="shared" si="6"/>
        <v/>
      </c>
      <c r="W2749" s="267" t="str">
        <f t="shared" si="8"/>
        <v/>
      </c>
      <c r="X2749" s="264" t="str">
        <f t="shared" si="7"/>
        <v/>
      </c>
    </row>
    <row r="2750" ht="15.75" customHeight="1">
      <c r="A2750" s="258"/>
      <c r="B2750" s="258"/>
      <c r="C2750" s="269"/>
      <c r="D2750" s="258"/>
      <c r="E2750" s="258"/>
      <c r="F2750" s="258"/>
      <c r="G2750" s="258"/>
      <c r="H2750" s="271"/>
      <c r="I2750" s="258"/>
      <c r="J2750" s="272"/>
      <c r="K2750" s="260"/>
      <c r="L2750" s="261"/>
      <c r="M2750" s="262" t="str">
        <f t="shared" si="1"/>
        <v/>
      </c>
      <c r="N2750" s="263" t="str">
        <f t="shared" si="2"/>
        <v/>
      </c>
      <c r="O2750" s="264" t="str">
        <f t="shared" si="3"/>
        <v/>
      </c>
      <c r="P2750" s="265" t="str">
        <f>IFERROR(__xludf.DUMMYFUNCTION("IF(ISBLANK(A2750),"""",IFERROR(IF(H2750=""Sell"",VLOOKUP(9^99,FILTER({ROW(P$2:P2749),P$2:P2749},D$2:D2749=D2750),2),(VLOOKUP(9^99,FILTER({ROW(P$2:P2749),P$2:P2749},D$2:D2749=D2750),2)*VLOOKUP(9^99,FILTER({ROW(O$2:O2749),O$2:O2749},D$2:D2749=D2750),2)-N275"&amp;"0)/O2750),J2750))"),"")</f>
        <v/>
      </c>
      <c r="Q2750" s="264" t="str">
        <f>IFERROR(__xludf.DUMMYFUNCTION("IFERROR(IF(F2750=""Crypto"",B2750,(IF(ISBLANK(D2750),"""",IF(D2750=""Cash"",B2750,IF(GOOGLEFINANCE(D2750,""CURRENCY"")=""GBX"",""GBP"",GOOGLEFINANCE(D2750,""CURRENCY"")))))),B2750)"),"")</f>
        <v/>
      </c>
      <c r="R2750" s="263" t="str">
        <f>IFERROR(__xludf.DUMMYFUNCTION("IF(ISBLANK(A2750),"""",IFERROR(IF(OR(Q2750=""GPB"",Q2750=""ZAR""),IF(Q2750=Dashboard!$L$1,K2750,(K2750*GOOGLEFINANCE(""CURRENCY:""&amp;Q2750&amp;""""&amp;Dashboard!$L$1&amp;""""))/100),IF(Q2750=Dashboard!$L$1,K2750,K2750*GOOGLEFINANCE(""CURRENCY:""&amp;Q2750&amp;""""&amp;Dashboard!$"&amp;"L$1&amp;""""))),K2750))"),"")</f>
        <v/>
      </c>
      <c r="S2750" s="266" t="str">
        <f>IFERROR(__xludf.DUMMYFUNCTION("IF(ISBLANK(A2750),"""",IFERROR(IF(OR(Q2750=""GPB"",Q2750=""ZAR""),IF(Q2750=Dashboard!$L$1,M2750,(M2750*GOOGLEFINANCE(""CURRENCY:""&amp;Q2750&amp;""""&amp;Dashboard!$L$1&amp;""""))/100),IF(Q2750=Dashboard!$L$1,M2750,M2750*GOOGLEFINANCE(""CURRENCY:""&amp;Q2750&amp;""""&amp;Dashboard!$"&amp;"L$1&amp;""""))),M2750))"),"")</f>
        <v/>
      </c>
      <c r="T2750" s="264" t="str">
        <f t="shared" si="4"/>
        <v/>
      </c>
      <c r="U2750" s="264" t="str">
        <f t="shared" si="5"/>
        <v/>
      </c>
      <c r="V2750" s="264" t="str">
        <f t="shared" si="6"/>
        <v/>
      </c>
      <c r="W2750" s="267" t="str">
        <f t="shared" si="8"/>
        <v/>
      </c>
      <c r="X2750" s="264" t="str">
        <f t="shared" si="7"/>
        <v/>
      </c>
    </row>
    <row r="2751" ht="15.75" customHeight="1">
      <c r="A2751" s="258"/>
      <c r="B2751" s="258"/>
      <c r="C2751" s="269"/>
      <c r="D2751" s="258"/>
      <c r="E2751" s="258"/>
      <c r="F2751" s="258"/>
      <c r="G2751" s="258"/>
      <c r="H2751" s="271"/>
      <c r="I2751" s="258"/>
      <c r="J2751" s="272"/>
      <c r="K2751" s="260"/>
      <c r="L2751" s="261"/>
      <c r="M2751" s="262" t="str">
        <f t="shared" si="1"/>
        <v/>
      </c>
      <c r="N2751" s="263" t="str">
        <f t="shared" si="2"/>
        <v/>
      </c>
      <c r="O2751" s="264" t="str">
        <f t="shared" si="3"/>
        <v/>
      </c>
      <c r="P2751" s="265" t="str">
        <f>IFERROR(__xludf.DUMMYFUNCTION("IF(ISBLANK(A2751),"""",IFERROR(IF(H2751=""Sell"",VLOOKUP(9^99,FILTER({ROW(P$2:P2750),P$2:P2750},D$2:D2750=D2751),2),(VLOOKUP(9^99,FILTER({ROW(P$2:P2750),P$2:P2750},D$2:D2750=D2751),2)*VLOOKUP(9^99,FILTER({ROW(O$2:O2750),O$2:O2750},D$2:D2750=D2751),2)-N275"&amp;"1)/O2751),J2751))"),"")</f>
        <v/>
      </c>
      <c r="Q2751" s="264" t="str">
        <f>IFERROR(__xludf.DUMMYFUNCTION("IFERROR(IF(F2751=""Crypto"",B2751,(IF(ISBLANK(D2751),"""",IF(D2751=""Cash"",B2751,IF(GOOGLEFINANCE(D2751,""CURRENCY"")=""GBX"",""GBP"",GOOGLEFINANCE(D2751,""CURRENCY"")))))),B2751)"),"")</f>
        <v/>
      </c>
      <c r="R2751" s="263" t="str">
        <f>IFERROR(__xludf.DUMMYFUNCTION("IF(ISBLANK(A2751),"""",IFERROR(IF(OR(Q2751=""GPB"",Q2751=""ZAR""),IF(Q2751=Dashboard!$L$1,K2751,(K2751*GOOGLEFINANCE(""CURRENCY:""&amp;Q2751&amp;""""&amp;Dashboard!$L$1&amp;""""))/100),IF(Q2751=Dashboard!$L$1,K2751,K2751*GOOGLEFINANCE(""CURRENCY:""&amp;Q2751&amp;""""&amp;Dashboard!$"&amp;"L$1&amp;""""))),K2751))"),"")</f>
        <v/>
      </c>
      <c r="S2751" s="266" t="str">
        <f>IFERROR(__xludf.DUMMYFUNCTION("IF(ISBLANK(A2751),"""",IFERROR(IF(OR(Q2751=""GPB"",Q2751=""ZAR""),IF(Q2751=Dashboard!$L$1,M2751,(M2751*GOOGLEFINANCE(""CURRENCY:""&amp;Q2751&amp;""""&amp;Dashboard!$L$1&amp;""""))/100),IF(Q2751=Dashboard!$L$1,M2751,M2751*GOOGLEFINANCE(""CURRENCY:""&amp;Q2751&amp;""""&amp;Dashboard!$"&amp;"L$1&amp;""""))),M2751))"),"")</f>
        <v/>
      </c>
      <c r="T2751" s="264" t="str">
        <f t="shared" si="4"/>
        <v/>
      </c>
      <c r="U2751" s="264" t="str">
        <f t="shared" si="5"/>
        <v/>
      </c>
      <c r="V2751" s="264" t="str">
        <f t="shared" si="6"/>
        <v/>
      </c>
      <c r="W2751" s="267" t="str">
        <f t="shared" si="8"/>
        <v/>
      </c>
      <c r="X2751" s="264" t="str">
        <f t="shared" si="7"/>
        <v/>
      </c>
    </row>
    <row r="2752" ht="15.75" customHeight="1">
      <c r="A2752" s="258"/>
      <c r="B2752" s="258"/>
      <c r="C2752" s="269"/>
      <c r="D2752" s="258"/>
      <c r="E2752" s="258"/>
      <c r="F2752" s="258"/>
      <c r="G2752" s="258"/>
      <c r="H2752" s="271"/>
      <c r="I2752" s="258"/>
      <c r="J2752" s="272"/>
      <c r="K2752" s="260"/>
      <c r="L2752" s="261"/>
      <c r="M2752" s="262" t="str">
        <f t="shared" si="1"/>
        <v/>
      </c>
      <c r="N2752" s="263" t="str">
        <f t="shared" si="2"/>
        <v/>
      </c>
      <c r="O2752" s="264" t="str">
        <f t="shared" si="3"/>
        <v/>
      </c>
      <c r="P2752" s="265" t="str">
        <f>IFERROR(__xludf.DUMMYFUNCTION("IF(ISBLANK(A2752),"""",IFERROR(IF(H2752=""Sell"",VLOOKUP(9^99,FILTER({ROW(P$2:P2751),P$2:P2751},D$2:D2751=D2752),2),(VLOOKUP(9^99,FILTER({ROW(P$2:P2751),P$2:P2751},D$2:D2751=D2752),2)*VLOOKUP(9^99,FILTER({ROW(O$2:O2751),O$2:O2751},D$2:D2751=D2752),2)-N275"&amp;"2)/O2752),J2752))"),"")</f>
        <v/>
      </c>
      <c r="Q2752" s="264" t="str">
        <f>IFERROR(__xludf.DUMMYFUNCTION("IFERROR(IF(F2752=""Crypto"",B2752,(IF(ISBLANK(D2752),"""",IF(D2752=""Cash"",B2752,IF(GOOGLEFINANCE(D2752,""CURRENCY"")=""GBX"",""GBP"",GOOGLEFINANCE(D2752,""CURRENCY"")))))),B2752)"),"")</f>
        <v/>
      </c>
      <c r="R2752" s="263" t="str">
        <f>IFERROR(__xludf.DUMMYFUNCTION("IF(ISBLANK(A2752),"""",IFERROR(IF(OR(Q2752=""GPB"",Q2752=""ZAR""),IF(Q2752=Dashboard!$L$1,K2752,(K2752*GOOGLEFINANCE(""CURRENCY:""&amp;Q2752&amp;""""&amp;Dashboard!$L$1&amp;""""))/100),IF(Q2752=Dashboard!$L$1,K2752,K2752*GOOGLEFINANCE(""CURRENCY:""&amp;Q2752&amp;""""&amp;Dashboard!$"&amp;"L$1&amp;""""))),K2752))"),"")</f>
        <v/>
      </c>
      <c r="S2752" s="266" t="str">
        <f>IFERROR(__xludf.DUMMYFUNCTION("IF(ISBLANK(A2752),"""",IFERROR(IF(OR(Q2752=""GPB"",Q2752=""ZAR""),IF(Q2752=Dashboard!$L$1,M2752,(M2752*GOOGLEFINANCE(""CURRENCY:""&amp;Q2752&amp;""""&amp;Dashboard!$L$1&amp;""""))/100),IF(Q2752=Dashboard!$L$1,M2752,M2752*GOOGLEFINANCE(""CURRENCY:""&amp;Q2752&amp;""""&amp;Dashboard!$"&amp;"L$1&amp;""""))),M2752))"),"")</f>
        <v/>
      </c>
      <c r="T2752" s="264" t="str">
        <f t="shared" si="4"/>
        <v/>
      </c>
      <c r="U2752" s="264" t="str">
        <f t="shared" si="5"/>
        <v/>
      </c>
      <c r="V2752" s="264" t="str">
        <f t="shared" si="6"/>
        <v/>
      </c>
      <c r="W2752" s="267" t="str">
        <f t="shared" si="8"/>
        <v/>
      </c>
      <c r="X2752" s="264" t="str">
        <f t="shared" si="7"/>
        <v/>
      </c>
    </row>
    <row r="2753" ht="15.75" customHeight="1">
      <c r="A2753" s="258"/>
      <c r="B2753" s="258"/>
      <c r="C2753" s="269"/>
      <c r="D2753" s="258"/>
      <c r="E2753" s="258"/>
      <c r="F2753" s="258"/>
      <c r="G2753" s="258"/>
      <c r="H2753" s="271"/>
      <c r="I2753" s="258"/>
      <c r="J2753" s="272"/>
      <c r="K2753" s="260"/>
      <c r="L2753" s="261"/>
      <c r="M2753" s="262" t="str">
        <f t="shared" si="1"/>
        <v/>
      </c>
      <c r="N2753" s="263" t="str">
        <f t="shared" si="2"/>
        <v/>
      </c>
      <c r="O2753" s="264" t="str">
        <f t="shared" si="3"/>
        <v/>
      </c>
      <c r="P2753" s="265" t="str">
        <f>IFERROR(__xludf.DUMMYFUNCTION("IF(ISBLANK(A2753),"""",IFERROR(IF(H2753=""Sell"",VLOOKUP(9^99,FILTER({ROW(P$2:P2752),P$2:P2752},D$2:D2752=D2753),2),(VLOOKUP(9^99,FILTER({ROW(P$2:P2752),P$2:P2752},D$2:D2752=D2753),2)*VLOOKUP(9^99,FILTER({ROW(O$2:O2752),O$2:O2752},D$2:D2752=D2753),2)-N275"&amp;"3)/O2753),J2753))"),"")</f>
        <v/>
      </c>
      <c r="Q2753" s="264" t="str">
        <f>IFERROR(__xludf.DUMMYFUNCTION("IFERROR(IF(F2753=""Crypto"",B2753,(IF(ISBLANK(D2753),"""",IF(D2753=""Cash"",B2753,IF(GOOGLEFINANCE(D2753,""CURRENCY"")=""GBX"",""GBP"",GOOGLEFINANCE(D2753,""CURRENCY"")))))),B2753)"),"")</f>
        <v/>
      </c>
      <c r="R2753" s="263" t="str">
        <f>IFERROR(__xludf.DUMMYFUNCTION("IF(ISBLANK(A2753),"""",IFERROR(IF(OR(Q2753=""GPB"",Q2753=""ZAR""),IF(Q2753=Dashboard!$L$1,K2753,(K2753*GOOGLEFINANCE(""CURRENCY:""&amp;Q2753&amp;""""&amp;Dashboard!$L$1&amp;""""))/100),IF(Q2753=Dashboard!$L$1,K2753,K2753*GOOGLEFINANCE(""CURRENCY:""&amp;Q2753&amp;""""&amp;Dashboard!$"&amp;"L$1&amp;""""))),K2753))"),"")</f>
        <v/>
      </c>
      <c r="S2753" s="266" t="str">
        <f>IFERROR(__xludf.DUMMYFUNCTION("IF(ISBLANK(A2753),"""",IFERROR(IF(OR(Q2753=""GPB"",Q2753=""ZAR""),IF(Q2753=Dashboard!$L$1,M2753,(M2753*GOOGLEFINANCE(""CURRENCY:""&amp;Q2753&amp;""""&amp;Dashboard!$L$1&amp;""""))/100),IF(Q2753=Dashboard!$L$1,M2753,M2753*GOOGLEFINANCE(""CURRENCY:""&amp;Q2753&amp;""""&amp;Dashboard!$"&amp;"L$1&amp;""""))),M2753))"),"")</f>
        <v/>
      </c>
      <c r="T2753" s="264" t="str">
        <f t="shared" si="4"/>
        <v/>
      </c>
      <c r="U2753" s="264" t="str">
        <f t="shared" si="5"/>
        <v/>
      </c>
      <c r="V2753" s="264" t="str">
        <f t="shared" si="6"/>
        <v/>
      </c>
      <c r="W2753" s="267" t="str">
        <f t="shared" si="8"/>
        <v/>
      </c>
      <c r="X2753" s="264" t="str">
        <f t="shared" si="7"/>
        <v/>
      </c>
    </row>
    <row r="2754" ht="15.75" customHeight="1">
      <c r="A2754" s="258"/>
      <c r="B2754" s="258"/>
      <c r="C2754" s="269"/>
      <c r="D2754" s="258"/>
      <c r="E2754" s="258"/>
      <c r="F2754" s="258"/>
      <c r="G2754" s="258"/>
      <c r="H2754" s="271"/>
      <c r="I2754" s="258"/>
      <c r="J2754" s="272"/>
      <c r="K2754" s="260"/>
      <c r="L2754" s="261"/>
      <c r="M2754" s="262" t="str">
        <f t="shared" si="1"/>
        <v/>
      </c>
      <c r="N2754" s="263" t="str">
        <f t="shared" si="2"/>
        <v/>
      </c>
      <c r="O2754" s="264" t="str">
        <f t="shared" si="3"/>
        <v/>
      </c>
      <c r="P2754" s="265" t="str">
        <f>IFERROR(__xludf.DUMMYFUNCTION("IF(ISBLANK(A2754),"""",IFERROR(IF(H2754=""Sell"",VLOOKUP(9^99,FILTER({ROW(P$2:P2753),P$2:P2753},D$2:D2753=D2754),2),(VLOOKUP(9^99,FILTER({ROW(P$2:P2753),P$2:P2753},D$2:D2753=D2754),2)*VLOOKUP(9^99,FILTER({ROW(O$2:O2753),O$2:O2753},D$2:D2753=D2754),2)-N275"&amp;"4)/O2754),J2754))"),"")</f>
        <v/>
      </c>
      <c r="Q2754" s="264" t="str">
        <f>IFERROR(__xludf.DUMMYFUNCTION("IFERROR(IF(F2754=""Crypto"",B2754,(IF(ISBLANK(D2754),"""",IF(D2754=""Cash"",B2754,IF(GOOGLEFINANCE(D2754,""CURRENCY"")=""GBX"",""GBP"",GOOGLEFINANCE(D2754,""CURRENCY"")))))),B2754)"),"")</f>
        <v/>
      </c>
      <c r="R2754" s="263" t="str">
        <f>IFERROR(__xludf.DUMMYFUNCTION("IF(ISBLANK(A2754),"""",IFERROR(IF(OR(Q2754=""GPB"",Q2754=""ZAR""),IF(Q2754=Dashboard!$L$1,K2754,(K2754*GOOGLEFINANCE(""CURRENCY:""&amp;Q2754&amp;""""&amp;Dashboard!$L$1&amp;""""))/100),IF(Q2754=Dashboard!$L$1,K2754,K2754*GOOGLEFINANCE(""CURRENCY:""&amp;Q2754&amp;""""&amp;Dashboard!$"&amp;"L$1&amp;""""))),K2754))"),"")</f>
        <v/>
      </c>
      <c r="S2754" s="266" t="str">
        <f>IFERROR(__xludf.DUMMYFUNCTION("IF(ISBLANK(A2754),"""",IFERROR(IF(OR(Q2754=""GPB"",Q2754=""ZAR""),IF(Q2754=Dashboard!$L$1,M2754,(M2754*GOOGLEFINANCE(""CURRENCY:""&amp;Q2754&amp;""""&amp;Dashboard!$L$1&amp;""""))/100),IF(Q2754=Dashboard!$L$1,M2754,M2754*GOOGLEFINANCE(""CURRENCY:""&amp;Q2754&amp;""""&amp;Dashboard!$"&amp;"L$1&amp;""""))),M2754))"),"")</f>
        <v/>
      </c>
      <c r="T2754" s="264" t="str">
        <f t="shared" si="4"/>
        <v/>
      </c>
      <c r="U2754" s="264" t="str">
        <f t="shared" si="5"/>
        <v/>
      </c>
      <c r="V2754" s="264" t="str">
        <f t="shared" si="6"/>
        <v/>
      </c>
      <c r="W2754" s="267" t="str">
        <f t="shared" si="8"/>
        <v/>
      </c>
      <c r="X2754" s="264" t="str">
        <f t="shared" si="7"/>
        <v/>
      </c>
    </row>
    <row r="2755" ht="15.75" customHeight="1">
      <c r="A2755" s="258"/>
      <c r="B2755" s="258"/>
      <c r="C2755" s="269"/>
      <c r="D2755" s="258"/>
      <c r="E2755" s="258"/>
      <c r="F2755" s="258"/>
      <c r="G2755" s="258"/>
      <c r="H2755" s="271"/>
      <c r="I2755" s="258"/>
      <c r="J2755" s="272"/>
      <c r="K2755" s="260"/>
      <c r="L2755" s="261"/>
      <c r="M2755" s="262" t="str">
        <f t="shared" si="1"/>
        <v/>
      </c>
      <c r="N2755" s="263" t="str">
        <f t="shared" si="2"/>
        <v/>
      </c>
      <c r="O2755" s="264" t="str">
        <f t="shared" si="3"/>
        <v/>
      </c>
      <c r="P2755" s="265" t="str">
        <f>IFERROR(__xludf.DUMMYFUNCTION("IF(ISBLANK(A2755),"""",IFERROR(IF(H2755=""Sell"",VLOOKUP(9^99,FILTER({ROW(P$2:P2754),P$2:P2754},D$2:D2754=D2755),2),(VLOOKUP(9^99,FILTER({ROW(P$2:P2754),P$2:P2754},D$2:D2754=D2755),2)*VLOOKUP(9^99,FILTER({ROW(O$2:O2754),O$2:O2754},D$2:D2754=D2755),2)-N275"&amp;"5)/O2755),J2755))"),"")</f>
        <v/>
      </c>
      <c r="Q2755" s="264" t="str">
        <f>IFERROR(__xludf.DUMMYFUNCTION("IFERROR(IF(F2755=""Crypto"",B2755,(IF(ISBLANK(D2755),"""",IF(D2755=""Cash"",B2755,IF(GOOGLEFINANCE(D2755,""CURRENCY"")=""GBX"",""GBP"",GOOGLEFINANCE(D2755,""CURRENCY"")))))),B2755)"),"")</f>
        <v/>
      </c>
      <c r="R2755" s="263" t="str">
        <f>IFERROR(__xludf.DUMMYFUNCTION("IF(ISBLANK(A2755),"""",IFERROR(IF(OR(Q2755=""GPB"",Q2755=""ZAR""),IF(Q2755=Dashboard!$L$1,K2755,(K2755*GOOGLEFINANCE(""CURRENCY:""&amp;Q2755&amp;""""&amp;Dashboard!$L$1&amp;""""))/100),IF(Q2755=Dashboard!$L$1,K2755,K2755*GOOGLEFINANCE(""CURRENCY:""&amp;Q2755&amp;""""&amp;Dashboard!$"&amp;"L$1&amp;""""))),K2755))"),"")</f>
        <v/>
      </c>
      <c r="S2755" s="266" t="str">
        <f>IFERROR(__xludf.DUMMYFUNCTION("IF(ISBLANK(A2755),"""",IFERROR(IF(OR(Q2755=""GPB"",Q2755=""ZAR""),IF(Q2755=Dashboard!$L$1,M2755,(M2755*GOOGLEFINANCE(""CURRENCY:""&amp;Q2755&amp;""""&amp;Dashboard!$L$1&amp;""""))/100),IF(Q2755=Dashboard!$L$1,M2755,M2755*GOOGLEFINANCE(""CURRENCY:""&amp;Q2755&amp;""""&amp;Dashboard!$"&amp;"L$1&amp;""""))),M2755))"),"")</f>
        <v/>
      </c>
      <c r="T2755" s="264" t="str">
        <f t="shared" si="4"/>
        <v/>
      </c>
      <c r="U2755" s="264" t="str">
        <f t="shared" si="5"/>
        <v/>
      </c>
      <c r="V2755" s="264" t="str">
        <f t="shared" si="6"/>
        <v/>
      </c>
      <c r="W2755" s="267" t="str">
        <f t="shared" si="8"/>
        <v/>
      </c>
      <c r="X2755" s="264" t="str">
        <f t="shared" si="7"/>
        <v/>
      </c>
    </row>
    <row r="2756" ht="15.75" customHeight="1">
      <c r="A2756" s="258"/>
      <c r="B2756" s="258"/>
      <c r="C2756" s="269"/>
      <c r="D2756" s="258"/>
      <c r="E2756" s="258"/>
      <c r="F2756" s="258"/>
      <c r="G2756" s="258"/>
      <c r="H2756" s="271"/>
      <c r="I2756" s="258"/>
      <c r="J2756" s="272"/>
      <c r="K2756" s="260"/>
      <c r="L2756" s="261"/>
      <c r="M2756" s="262" t="str">
        <f t="shared" si="1"/>
        <v/>
      </c>
      <c r="N2756" s="263" t="str">
        <f t="shared" si="2"/>
        <v/>
      </c>
      <c r="O2756" s="264" t="str">
        <f t="shared" si="3"/>
        <v/>
      </c>
      <c r="P2756" s="265" t="str">
        <f>IFERROR(__xludf.DUMMYFUNCTION("IF(ISBLANK(A2756),"""",IFERROR(IF(H2756=""Sell"",VLOOKUP(9^99,FILTER({ROW(P$2:P2755),P$2:P2755},D$2:D2755=D2756),2),(VLOOKUP(9^99,FILTER({ROW(P$2:P2755),P$2:P2755},D$2:D2755=D2756),2)*VLOOKUP(9^99,FILTER({ROW(O$2:O2755),O$2:O2755},D$2:D2755=D2756),2)-N275"&amp;"6)/O2756),J2756))"),"")</f>
        <v/>
      </c>
      <c r="Q2756" s="264" t="str">
        <f>IFERROR(__xludf.DUMMYFUNCTION("IFERROR(IF(F2756=""Crypto"",B2756,(IF(ISBLANK(D2756),"""",IF(D2756=""Cash"",B2756,IF(GOOGLEFINANCE(D2756,""CURRENCY"")=""GBX"",""GBP"",GOOGLEFINANCE(D2756,""CURRENCY"")))))),B2756)"),"")</f>
        <v/>
      </c>
      <c r="R2756" s="263" t="str">
        <f>IFERROR(__xludf.DUMMYFUNCTION("IF(ISBLANK(A2756),"""",IFERROR(IF(OR(Q2756=""GPB"",Q2756=""ZAR""),IF(Q2756=Dashboard!$L$1,K2756,(K2756*GOOGLEFINANCE(""CURRENCY:""&amp;Q2756&amp;""""&amp;Dashboard!$L$1&amp;""""))/100),IF(Q2756=Dashboard!$L$1,K2756,K2756*GOOGLEFINANCE(""CURRENCY:""&amp;Q2756&amp;""""&amp;Dashboard!$"&amp;"L$1&amp;""""))),K2756))"),"")</f>
        <v/>
      </c>
      <c r="S2756" s="266" t="str">
        <f>IFERROR(__xludf.DUMMYFUNCTION("IF(ISBLANK(A2756),"""",IFERROR(IF(OR(Q2756=""GPB"",Q2756=""ZAR""),IF(Q2756=Dashboard!$L$1,M2756,(M2756*GOOGLEFINANCE(""CURRENCY:""&amp;Q2756&amp;""""&amp;Dashboard!$L$1&amp;""""))/100),IF(Q2756=Dashboard!$L$1,M2756,M2756*GOOGLEFINANCE(""CURRENCY:""&amp;Q2756&amp;""""&amp;Dashboard!$"&amp;"L$1&amp;""""))),M2756))"),"")</f>
        <v/>
      </c>
      <c r="T2756" s="264" t="str">
        <f t="shared" si="4"/>
        <v/>
      </c>
      <c r="U2756" s="264" t="str">
        <f t="shared" si="5"/>
        <v/>
      </c>
      <c r="V2756" s="264" t="str">
        <f t="shared" si="6"/>
        <v/>
      </c>
      <c r="W2756" s="267" t="str">
        <f t="shared" si="8"/>
        <v/>
      </c>
      <c r="X2756" s="264" t="str">
        <f t="shared" si="7"/>
        <v/>
      </c>
    </row>
    <row r="2757" ht="15.75" customHeight="1">
      <c r="A2757" s="258"/>
      <c r="B2757" s="258"/>
      <c r="C2757" s="269"/>
      <c r="D2757" s="258"/>
      <c r="E2757" s="258"/>
      <c r="F2757" s="258"/>
      <c r="G2757" s="258"/>
      <c r="H2757" s="271"/>
      <c r="I2757" s="258"/>
      <c r="J2757" s="272"/>
      <c r="K2757" s="260"/>
      <c r="L2757" s="261"/>
      <c r="M2757" s="262" t="str">
        <f t="shared" si="1"/>
        <v/>
      </c>
      <c r="N2757" s="263" t="str">
        <f t="shared" si="2"/>
        <v/>
      </c>
      <c r="O2757" s="264" t="str">
        <f t="shared" si="3"/>
        <v/>
      </c>
      <c r="P2757" s="265" t="str">
        <f>IFERROR(__xludf.DUMMYFUNCTION("IF(ISBLANK(A2757),"""",IFERROR(IF(H2757=""Sell"",VLOOKUP(9^99,FILTER({ROW(P$2:P2756),P$2:P2756},D$2:D2756=D2757),2),(VLOOKUP(9^99,FILTER({ROW(P$2:P2756),P$2:P2756},D$2:D2756=D2757),2)*VLOOKUP(9^99,FILTER({ROW(O$2:O2756),O$2:O2756},D$2:D2756=D2757),2)-N275"&amp;"7)/O2757),J2757))"),"")</f>
        <v/>
      </c>
      <c r="Q2757" s="264" t="str">
        <f>IFERROR(__xludf.DUMMYFUNCTION("IFERROR(IF(F2757=""Crypto"",B2757,(IF(ISBLANK(D2757),"""",IF(D2757=""Cash"",B2757,IF(GOOGLEFINANCE(D2757,""CURRENCY"")=""GBX"",""GBP"",GOOGLEFINANCE(D2757,""CURRENCY"")))))),B2757)"),"")</f>
        <v/>
      </c>
      <c r="R2757" s="263" t="str">
        <f>IFERROR(__xludf.DUMMYFUNCTION("IF(ISBLANK(A2757),"""",IFERROR(IF(OR(Q2757=""GPB"",Q2757=""ZAR""),IF(Q2757=Dashboard!$L$1,K2757,(K2757*GOOGLEFINANCE(""CURRENCY:""&amp;Q2757&amp;""""&amp;Dashboard!$L$1&amp;""""))/100),IF(Q2757=Dashboard!$L$1,K2757,K2757*GOOGLEFINANCE(""CURRENCY:""&amp;Q2757&amp;""""&amp;Dashboard!$"&amp;"L$1&amp;""""))),K2757))"),"")</f>
        <v/>
      </c>
      <c r="S2757" s="266" t="str">
        <f>IFERROR(__xludf.DUMMYFUNCTION("IF(ISBLANK(A2757),"""",IFERROR(IF(OR(Q2757=""GPB"",Q2757=""ZAR""),IF(Q2757=Dashboard!$L$1,M2757,(M2757*GOOGLEFINANCE(""CURRENCY:""&amp;Q2757&amp;""""&amp;Dashboard!$L$1&amp;""""))/100),IF(Q2757=Dashboard!$L$1,M2757,M2757*GOOGLEFINANCE(""CURRENCY:""&amp;Q2757&amp;""""&amp;Dashboard!$"&amp;"L$1&amp;""""))),M2757))"),"")</f>
        <v/>
      </c>
      <c r="T2757" s="264" t="str">
        <f t="shared" si="4"/>
        <v/>
      </c>
      <c r="U2757" s="264" t="str">
        <f t="shared" si="5"/>
        <v/>
      </c>
      <c r="V2757" s="264" t="str">
        <f t="shared" si="6"/>
        <v/>
      </c>
      <c r="W2757" s="267" t="str">
        <f t="shared" si="8"/>
        <v/>
      </c>
      <c r="X2757" s="264" t="str">
        <f t="shared" si="7"/>
        <v/>
      </c>
    </row>
    <row r="2758" ht="15.75" customHeight="1">
      <c r="A2758" s="258"/>
      <c r="B2758" s="258"/>
      <c r="C2758" s="269"/>
      <c r="D2758" s="258"/>
      <c r="E2758" s="258"/>
      <c r="F2758" s="258"/>
      <c r="G2758" s="258"/>
      <c r="H2758" s="271"/>
      <c r="I2758" s="258"/>
      <c r="J2758" s="272"/>
      <c r="K2758" s="260"/>
      <c r="L2758" s="261"/>
      <c r="M2758" s="262" t="str">
        <f t="shared" si="1"/>
        <v/>
      </c>
      <c r="N2758" s="263" t="str">
        <f t="shared" si="2"/>
        <v/>
      </c>
      <c r="O2758" s="264" t="str">
        <f t="shared" si="3"/>
        <v/>
      </c>
      <c r="P2758" s="265" t="str">
        <f>IFERROR(__xludf.DUMMYFUNCTION("IF(ISBLANK(A2758),"""",IFERROR(IF(H2758=""Sell"",VLOOKUP(9^99,FILTER({ROW(P$2:P2757),P$2:P2757},D$2:D2757=D2758),2),(VLOOKUP(9^99,FILTER({ROW(P$2:P2757),P$2:P2757},D$2:D2757=D2758),2)*VLOOKUP(9^99,FILTER({ROW(O$2:O2757),O$2:O2757},D$2:D2757=D2758),2)-N275"&amp;"8)/O2758),J2758))"),"")</f>
        <v/>
      </c>
      <c r="Q2758" s="264" t="str">
        <f>IFERROR(__xludf.DUMMYFUNCTION("IFERROR(IF(F2758=""Crypto"",B2758,(IF(ISBLANK(D2758),"""",IF(D2758=""Cash"",B2758,IF(GOOGLEFINANCE(D2758,""CURRENCY"")=""GBX"",""GBP"",GOOGLEFINANCE(D2758,""CURRENCY"")))))),B2758)"),"")</f>
        <v/>
      </c>
      <c r="R2758" s="263" t="str">
        <f>IFERROR(__xludf.DUMMYFUNCTION("IF(ISBLANK(A2758),"""",IFERROR(IF(OR(Q2758=""GPB"",Q2758=""ZAR""),IF(Q2758=Dashboard!$L$1,K2758,(K2758*GOOGLEFINANCE(""CURRENCY:""&amp;Q2758&amp;""""&amp;Dashboard!$L$1&amp;""""))/100),IF(Q2758=Dashboard!$L$1,K2758,K2758*GOOGLEFINANCE(""CURRENCY:""&amp;Q2758&amp;""""&amp;Dashboard!$"&amp;"L$1&amp;""""))),K2758))"),"")</f>
        <v/>
      </c>
      <c r="S2758" s="266" t="str">
        <f>IFERROR(__xludf.DUMMYFUNCTION("IF(ISBLANK(A2758),"""",IFERROR(IF(OR(Q2758=""GPB"",Q2758=""ZAR""),IF(Q2758=Dashboard!$L$1,M2758,(M2758*GOOGLEFINANCE(""CURRENCY:""&amp;Q2758&amp;""""&amp;Dashboard!$L$1&amp;""""))/100),IF(Q2758=Dashboard!$L$1,M2758,M2758*GOOGLEFINANCE(""CURRENCY:""&amp;Q2758&amp;""""&amp;Dashboard!$"&amp;"L$1&amp;""""))),M2758))"),"")</f>
        <v/>
      </c>
      <c r="T2758" s="264" t="str">
        <f t="shared" si="4"/>
        <v/>
      </c>
      <c r="U2758" s="264" t="str">
        <f t="shared" si="5"/>
        <v/>
      </c>
      <c r="V2758" s="264" t="str">
        <f t="shared" si="6"/>
        <v/>
      </c>
      <c r="W2758" s="267" t="str">
        <f t="shared" si="8"/>
        <v/>
      </c>
      <c r="X2758" s="264" t="str">
        <f t="shared" si="7"/>
        <v/>
      </c>
    </row>
    <row r="2759" ht="15.75" customHeight="1">
      <c r="A2759" s="258"/>
      <c r="B2759" s="258"/>
      <c r="C2759" s="269"/>
      <c r="D2759" s="258"/>
      <c r="E2759" s="258"/>
      <c r="F2759" s="258"/>
      <c r="G2759" s="258"/>
      <c r="H2759" s="271"/>
      <c r="I2759" s="258"/>
      <c r="J2759" s="272"/>
      <c r="K2759" s="260"/>
      <c r="L2759" s="261"/>
      <c r="M2759" s="262" t="str">
        <f t="shared" si="1"/>
        <v/>
      </c>
      <c r="N2759" s="263" t="str">
        <f t="shared" si="2"/>
        <v/>
      </c>
      <c r="O2759" s="264" t="str">
        <f t="shared" si="3"/>
        <v/>
      </c>
      <c r="P2759" s="265" t="str">
        <f>IFERROR(__xludf.DUMMYFUNCTION("IF(ISBLANK(A2759),"""",IFERROR(IF(H2759=""Sell"",VLOOKUP(9^99,FILTER({ROW(P$2:P2758),P$2:P2758},D$2:D2758=D2759),2),(VLOOKUP(9^99,FILTER({ROW(P$2:P2758),P$2:P2758},D$2:D2758=D2759),2)*VLOOKUP(9^99,FILTER({ROW(O$2:O2758),O$2:O2758},D$2:D2758=D2759),2)-N275"&amp;"9)/O2759),J2759))"),"")</f>
        <v/>
      </c>
      <c r="Q2759" s="264" t="str">
        <f>IFERROR(__xludf.DUMMYFUNCTION("IFERROR(IF(F2759=""Crypto"",B2759,(IF(ISBLANK(D2759),"""",IF(D2759=""Cash"",B2759,IF(GOOGLEFINANCE(D2759,""CURRENCY"")=""GBX"",""GBP"",GOOGLEFINANCE(D2759,""CURRENCY"")))))),B2759)"),"")</f>
        <v/>
      </c>
      <c r="R2759" s="263" t="str">
        <f>IFERROR(__xludf.DUMMYFUNCTION("IF(ISBLANK(A2759),"""",IFERROR(IF(OR(Q2759=""GPB"",Q2759=""ZAR""),IF(Q2759=Dashboard!$L$1,K2759,(K2759*GOOGLEFINANCE(""CURRENCY:""&amp;Q2759&amp;""""&amp;Dashboard!$L$1&amp;""""))/100),IF(Q2759=Dashboard!$L$1,K2759,K2759*GOOGLEFINANCE(""CURRENCY:""&amp;Q2759&amp;""""&amp;Dashboard!$"&amp;"L$1&amp;""""))),K2759))"),"")</f>
        <v/>
      </c>
      <c r="S2759" s="266" t="str">
        <f>IFERROR(__xludf.DUMMYFUNCTION("IF(ISBLANK(A2759),"""",IFERROR(IF(OR(Q2759=""GPB"",Q2759=""ZAR""),IF(Q2759=Dashboard!$L$1,M2759,(M2759*GOOGLEFINANCE(""CURRENCY:""&amp;Q2759&amp;""""&amp;Dashboard!$L$1&amp;""""))/100),IF(Q2759=Dashboard!$L$1,M2759,M2759*GOOGLEFINANCE(""CURRENCY:""&amp;Q2759&amp;""""&amp;Dashboard!$"&amp;"L$1&amp;""""))),M2759))"),"")</f>
        <v/>
      </c>
      <c r="T2759" s="264" t="str">
        <f t="shared" si="4"/>
        <v/>
      </c>
      <c r="U2759" s="264" t="str">
        <f t="shared" si="5"/>
        <v/>
      </c>
      <c r="V2759" s="264" t="str">
        <f t="shared" si="6"/>
        <v/>
      </c>
      <c r="W2759" s="267" t="str">
        <f t="shared" si="8"/>
        <v/>
      </c>
      <c r="X2759" s="264" t="str">
        <f t="shared" si="7"/>
        <v/>
      </c>
    </row>
    <row r="2760" ht="15.75" customHeight="1">
      <c r="A2760" s="258"/>
      <c r="B2760" s="258"/>
      <c r="C2760" s="269"/>
      <c r="D2760" s="258"/>
      <c r="E2760" s="258"/>
      <c r="F2760" s="258"/>
      <c r="G2760" s="258"/>
      <c r="H2760" s="271"/>
      <c r="I2760" s="258"/>
      <c r="J2760" s="272"/>
      <c r="K2760" s="260"/>
      <c r="L2760" s="261"/>
      <c r="M2760" s="262" t="str">
        <f t="shared" si="1"/>
        <v/>
      </c>
      <c r="N2760" s="263" t="str">
        <f t="shared" si="2"/>
        <v/>
      </c>
      <c r="O2760" s="264" t="str">
        <f t="shared" si="3"/>
        <v/>
      </c>
      <c r="P2760" s="265" t="str">
        <f>IFERROR(__xludf.DUMMYFUNCTION("IF(ISBLANK(A2760),"""",IFERROR(IF(H2760=""Sell"",VLOOKUP(9^99,FILTER({ROW(P$2:P2759),P$2:P2759},D$2:D2759=D2760),2),(VLOOKUP(9^99,FILTER({ROW(P$2:P2759),P$2:P2759},D$2:D2759=D2760),2)*VLOOKUP(9^99,FILTER({ROW(O$2:O2759),O$2:O2759},D$2:D2759=D2760),2)-N276"&amp;"0)/O2760),J2760))"),"")</f>
        <v/>
      </c>
      <c r="Q2760" s="264" t="str">
        <f>IFERROR(__xludf.DUMMYFUNCTION("IFERROR(IF(F2760=""Crypto"",B2760,(IF(ISBLANK(D2760),"""",IF(D2760=""Cash"",B2760,IF(GOOGLEFINANCE(D2760,""CURRENCY"")=""GBX"",""GBP"",GOOGLEFINANCE(D2760,""CURRENCY"")))))),B2760)"),"")</f>
        <v/>
      </c>
      <c r="R2760" s="263" t="str">
        <f>IFERROR(__xludf.DUMMYFUNCTION("IF(ISBLANK(A2760),"""",IFERROR(IF(OR(Q2760=""GPB"",Q2760=""ZAR""),IF(Q2760=Dashboard!$L$1,K2760,(K2760*GOOGLEFINANCE(""CURRENCY:""&amp;Q2760&amp;""""&amp;Dashboard!$L$1&amp;""""))/100),IF(Q2760=Dashboard!$L$1,K2760,K2760*GOOGLEFINANCE(""CURRENCY:""&amp;Q2760&amp;""""&amp;Dashboard!$"&amp;"L$1&amp;""""))),K2760))"),"")</f>
        <v/>
      </c>
      <c r="S2760" s="266" t="str">
        <f>IFERROR(__xludf.DUMMYFUNCTION("IF(ISBLANK(A2760),"""",IFERROR(IF(OR(Q2760=""GPB"",Q2760=""ZAR""),IF(Q2760=Dashboard!$L$1,M2760,(M2760*GOOGLEFINANCE(""CURRENCY:""&amp;Q2760&amp;""""&amp;Dashboard!$L$1&amp;""""))/100),IF(Q2760=Dashboard!$L$1,M2760,M2760*GOOGLEFINANCE(""CURRENCY:""&amp;Q2760&amp;""""&amp;Dashboard!$"&amp;"L$1&amp;""""))),M2760))"),"")</f>
        <v/>
      </c>
      <c r="T2760" s="264" t="str">
        <f t="shared" si="4"/>
        <v/>
      </c>
      <c r="U2760" s="264" t="str">
        <f t="shared" si="5"/>
        <v/>
      </c>
      <c r="V2760" s="264" t="str">
        <f t="shared" si="6"/>
        <v/>
      </c>
      <c r="W2760" s="267" t="str">
        <f t="shared" si="8"/>
        <v/>
      </c>
      <c r="X2760" s="264" t="str">
        <f t="shared" si="7"/>
        <v/>
      </c>
    </row>
    <row r="2761" ht="15.75" customHeight="1">
      <c r="A2761" s="258"/>
      <c r="B2761" s="258"/>
      <c r="C2761" s="269"/>
      <c r="D2761" s="258"/>
      <c r="E2761" s="258"/>
      <c r="F2761" s="258"/>
      <c r="G2761" s="258"/>
      <c r="H2761" s="271"/>
      <c r="I2761" s="258"/>
      <c r="J2761" s="272"/>
      <c r="K2761" s="260"/>
      <c r="L2761" s="261"/>
      <c r="M2761" s="262" t="str">
        <f t="shared" si="1"/>
        <v/>
      </c>
      <c r="N2761" s="263" t="str">
        <f t="shared" si="2"/>
        <v/>
      </c>
      <c r="O2761" s="264" t="str">
        <f t="shared" si="3"/>
        <v/>
      </c>
      <c r="P2761" s="265" t="str">
        <f>IFERROR(__xludf.DUMMYFUNCTION("IF(ISBLANK(A2761),"""",IFERROR(IF(H2761=""Sell"",VLOOKUP(9^99,FILTER({ROW(P$2:P2760),P$2:P2760},D$2:D2760=D2761),2),(VLOOKUP(9^99,FILTER({ROW(P$2:P2760),P$2:P2760},D$2:D2760=D2761),2)*VLOOKUP(9^99,FILTER({ROW(O$2:O2760),O$2:O2760},D$2:D2760=D2761),2)-N276"&amp;"1)/O2761),J2761))"),"")</f>
        <v/>
      </c>
      <c r="Q2761" s="264" t="str">
        <f>IFERROR(__xludf.DUMMYFUNCTION("IFERROR(IF(F2761=""Crypto"",B2761,(IF(ISBLANK(D2761),"""",IF(D2761=""Cash"",B2761,IF(GOOGLEFINANCE(D2761,""CURRENCY"")=""GBX"",""GBP"",GOOGLEFINANCE(D2761,""CURRENCY"")))))),B2761)"),"")</f>
        <v/>
      </c>
      <c r="R2761" s="263" t="str">
        <f>IFERROR(__xludf.DUMMYFUNCTION("IF(ISBLANK(A2761),"""",IFERROR(IF(OR(Q2761=""GPB"",Q2761=""ZAR""),IF(Q2761=Dashboard!$L$1,K2761,(K2761*GOOGLEFINANCE(""CURRENCY:""&amp;Q2761&amp;""""&amp;Dashboard!$L$1&amp;""""))/100),IF(Q2761=Dashboard!$L$1,K2761,K2761*GOOGLEFINANCE(""CURRENCY:""&amp;Q2761&amp;""""&amp;Dashboard!$"&amp;"L$1&amp;""""))),K2761))"),"")</f>
        <v/>
      </c>
      <c r="S2761" s="266" t="str">
        <f>IFERROR(__xludf.DUMMYFUNCTION("IF(ISBLANK(A2761),"""",IFERROR(IF(OR(Q2761=""GPB"",Q2761=""ZAR""),IF(Q2761=Dashboard!$L$1,M2761,(M2761*GOOGLEFINANCE(""CURRENCY:""&amp;Q2761&amp;""""&amp;Dashboard!$L$1&amp;""""))/100),IF(Q2761=Dashboard!$L$1,M2761,M2761*GOOGLEFINANCE(""CURRENCY:""&amp;Q2761&amp;""""&amp;Dashboard!$"&amp;"L$1&amp;""""))),M2761))"),"")</f>
        <v/>
      </c>
      <c r="T2761" s="264" t="str">
        <f t="shared" si="4"/>
        <v/>
      </c>
      <c r="U2761" s="264" t="str">
        <f t="shared" si="5"/>
        <v/>
      </c>
      <c r="V2761" s="264" t="str">
        <f t="shared" si="6"/>
        <v/>
      </c>
      <c r="W2761" s="267" t="str">
        <f t="shared" si="8"/>
        <v/>
      </c>
      <c r="X2761" s="264" t="str">
        <f t="shared" si="7"/>
        <v/>
      </c>
    </row>
    <row r="2762" ht="15.75" customHeight="1">
      <c r="A2762" s="258"/>
      <c r="B2762" s="258"/>
      <c r="C2762" s="269"/>
      <c r="D2762" s="258"/>
      <c r="E2762" s="258"/>
      <c r="F2762" s="258"/>
      <c r="G2762" s="258"/>
      <c r="H2762" s="271"/>
      <c r="I2762" s="258"/>
      <c r="J2762" s="272"/>
      <c r="K2762" s="260"/>
      <c r="L2762" s="261"/>
      <c r="M2762" s="262" t="str">
        <f t="shared" si="1"/>
        <v/>
      </c>
      <c r="N2762" s="263" t="str">
        <f t="shared" si="2"/>
        <v/>
      </c>
      <c r="O2762" s="264" t="str">
        <f t="shared" si="3"/>
        <v/>
      </c>
      <c r="P2762" s="265" t="str">
        <f>IFERROR(__xludf.DUMMYFUNCTION("IF(ISBLANK(A2762),"""",IFERROR(IF(H2762=""Sell"",VLOOKUP(9^99,FILTER({ROW(P$2:P2761),P$2:P2761},D$2:D2761=D2762),2),(VLOOKUP(9^99,FILTER({ROW(P$2:P2761),P$2:P2761},D$2:D2761=D2762),2)*VLOOKUP(9^99,FILTER({ROW(O$2:O2761),O$2:O2761},D$2:D2761=D2762),2)-N276"&amp;"2)/O2762),J2762))"),"")</f>
        <v/>
      </c>
      <c r="Q2762" s="264" t="str">
        <f>IFERROR(__xludf.DUMMYFUNCTION("IFERROR(IF(F2762=""Crypto"",B2762,(IF(ISBLANK(D2762),"""",IF(D2762=""Cash"",B2762,IF(GOOGLEFINANCE(D2762,""CURRENCY"")=""GBX"",""GBP"",GOOGLEFINANCE(D2762,""CURRENCY"")))))),B2762)"),"")</f>
        <v/>
      </c>
      <c r="R2762" s="263" t="str">
        <f>IFERROR(__xludf.DUMMYFUNCTION("IF(ISBLANK(A2762),"""",IFERROR(IF(OR(Q2762=""GPB"",Q2762=""ZAR""),IF(Q2762=Dashboard!$L$1,K2762,(K2762*GOOGLEFINANCE(""CURRENCY:""&amp;Q2762&amp;""""&amp;Dashboard!$L$1&amp;""""))/100),IF(Q2762=Dashboard!$L$1,K2762,K2762*GOOGLEFINANCE(""CURRENCY:""&amp;Q2762&amp;""""&amp;Dashboard!$"&amp;"L$1&amp;""""))),K2762))"),"")</f>
        <v/>
      </c>
      <c r="S2762" s="266" t="str">
        <f>IFERROR(__xludf.DUMMYFUNCTION("IF(ISBLANK(A2762),"""",IFERROR(IF(OR(Q2762=""GPB"",Q2762=""ZAR""),IF(Q2762=Dashboard!$L$1,M2762,(M2762*GOOGLEFINANCE(""CURRENCY:""&amp;Q2762&amp;""""&amp;Dashboard!$L$1&amp;""""))/100),IF(Q2762=Dashboard!$L$1,M2762,M2762*GOOGLEFINANCE(""CURRENCY:""&amp;Q2762&amp;""""&amp;Dashboard!$"&amp;"L$1&amp;""""))),M2762))"),"")</f>
        <v/>
      </c>
      <c r="T2762" s="264" t="str">
        <f t="shared" si="4"/>
        <v/>
      </c>
      <c r="U2762" s="264" t="str">
        <f t="shared" si="5"/>
        <v/>
      </c>
      <c r="V2762" s="264" t="str">
        <f t="shared" si="6"/>
        <v/>
      </c>
      <c r="W2762" s="267" t="str">
        <f t="shared" si="8"/>
        <v/>
      </c>
      <c r="X2762" s="264" t="str">
        <f t="shared" si="7"/>
        <v/>
      </c>
    </row>
    <row r="2763" ht="15.75" customHeight="1">
      <c r="A2763" s="258"/>
      <c r="B2763" s="258"/>
      <c r="C2763" s="269"/>
      <c r="D2763" s="258"/>
      <c r="E2763" s="258"/>
      <c r="F2763" s="258"/>
      <c r="G2763" s="258"/>
      <c r="H2763" s="271"/>
      <c r="I2763" s="258"/>
      <c r="J2763" s="272"/>
      <c r="K2763" s="260"/>
      <c r="L2763" s="261"/>
      <c r="M2763" s="262" t="str">
        <f t="shared" si="1"/>
        <v/>
      </c>
      <c r="N2763" s="263" t="str">
        <f t="shared" si="2"/>
        <v/>
      </c>
      <c r="O2763" s="264" t="str">
        <f t="shared" si="3"/>
        <v/>
      </c>
      <c r="P2763" s="265" t="str">
        <f>IFERROR(__xludf.DUMMYFUNCTION("IF(ISBLANK(A2763),"""",IFERROR(IF(H2763=""Sell"",VLOOKUP(9^99,FILTER({ROW(P$2:P2762),P$2:P2762},D$2:D2762=D2763),2),(VLOOKUP(9^99,FILTER({ROW(P$2:P2762),P$2:P2762},D$2:D2762=D2763),2)*VLOOKUP(9^99,FILTER({ROW(O$2:O2762),O$2:O2762},D$2:D2762=D2763),2)-N276"&amp;"3)/O2763),J2763))"),"")</f>
        <v/>
      </c>
      <c r="Q2763" s="264" t="str">
        <f>IFERROR(__xludf.DUMMYFUNCTION("IFERROR(IF(F2763=""Crypto"",B2763,(IF(ISBLANK(D2763),"""",IF(D2763=""Cash"",B2763,IF(GOOGLEFINANCE(D2763,""CURRENCY"")=""GBX"",""GBP"",GOOGLEFINANCE(D2763,""CURRENCY"")))))),B2763)"),"")</f>
        <v/>
      </c>
      <c r="R2763" s="263" t="str">
        <f>IFERROR(__xludf.DUMMYFUNCTION("IF(ISBLANK(A2763),"""",IFERROR(IF(OR(Q2763=""GPB"",Q2763=""ZAR""),IF(Q2763=Dashboard!$L$1,K2763,(K2763*GOOGLEFINANCE(""CURRENCY:""&amp;Q2763&amp;""""&amp;Dashboard!$L$1&amp;""""))/100),IF(Q2763=Dashboard!$L$1,K2763,K2763*GOOGLEFINANCE(""CURRENCY:""&amp;Q2763&amp;""""&amp;Dashboard!$"&amp;"L$1&amp;""""))),K2763))"),"")</f>
        <v/>
      </c>
      <c r="S2763" s="266" t="str">
        <f>IFERROR(__xludf.DUMMYFUNCTION("IF(ISBLANK(A2763),"""",IFERROR(IF(OR(Q2763=""GPB"",Q2763=""ZAR""),IF(Q2763=Dashboard!$L$1,M2763,(M2763*GOOGLEFINANCE(""CURRENCY:""&amp;Q2763&amp;""""&amp;Dashboard!$L$1&amp;""""))/100),IF(Q2763=Dashboard!$L$1,M2763,M2763*GOOGLEFINANCE(""CURRENCY:""&amp;Q2763&amp;""""&amp;Dashboard!$"&amp;"L$1&amp;""""))),M2763))"),"")</f>
        <v/>
      </c>
      <c r="T2763" s="264" t="str">
        <f t="shared" si="4"/>
        <v/>
      </c>
      <c r="U2763" s="264" t="str">
        <f t="shared" si="5"/>
        <v/>
      </c>
      <c r="V2763" s="264" t="str">
        <f t="shared" si="6"/>
        <v/>
      </c>
      <c r="W2763" s="267" t="str">
        <f t="shared" si="8"/>
        <v/>
      </c>
      <c r="X2763" s="264" t="str">
        <f t="shared" si="7"/>
        <v/>
      </c>
    </row>
    <row r="2764" ht="15.75" customHeight="1">
      <c r="A2764" s="258"/>
      <c r="B2764" s="258"/>
      <c r="C2764" s="269"/>
      <c r="D2764" s="258"/>
      <c r="E2764" s="258"/>
      <c r="F2764" s="258"/>
      <c r="G2764" s="258"/>
      <c r="H2764" s="271"/>
      <c r="I2764" s="258"/>
      <c r="J2764" s="272"/>
      <c r="K2764" s="260"/>
      <c r="L2764" s="261"/>
      <c r="M2764" s="262" t="str">
        <f t="shared" si="1"/>
        <v/>
      </c>
      <c r="N2764" s="263" t="str">
        <f t="shared" si="2"/>
        <v/>
      </c>
      <c r="O2764" s="264" t="str">
        <f t="shared" si="3"/>
        <v/>
      </c>
      <c r="P2764" s="265" t="str">
        <f>IFERROR(__xludf.DUMMYFUNCTION("IF(ISBLANK(A2764),"""",IFERROR(IF(H2764=""Sell"",VLOOKUP(9^99,FILTER({ROW(P$2:P2763),P$2:P2763},D$2:D2763=D2764),2),(VLOOKUP(9^99,FILTER({ROW(P$2:P2763),P$2:P2763},D$2:D2763=D2764),2)*VLOOKUP(9^99,FILTER({ROW(O$2:O2763),O$2:O2763},D$2:D2763=D2764),2)-N276"&amp;"4)/O2764),J2764))"),"")</f>
        <v/>
      </c>
      <c r="Q2764" s="264" t="str">
        <f>IFERROR(__xludf.DUMMYFUNCTION("IFERROR(IF(F2764=""Crypto"",B2764,(IF(ISBLANK(D2764),"""",IF(D2764=""Cash"",B2764,IF(GOOGLEFINANCE(D2764,""CURRENCY"")=""GBX"",""GBP"",GOOGLEFINANCE(D2764,""CURRENCY"")))))),B2764)"),"")</f>
        <v/>
      </c>
      <c r="R2764" s="263" t="str">
        <f>IFERROR(__xludf.DUMMYFUNCTION("IF(ISBLANK(A2764),"""",IFERROR(IF(OR(Q2764=""GPB"",Q2764=""ZAR""),IF(Q2764=Dashboard!$L$1,K2764,(K2764*GOOGLEFINANCE(""CURRENCY:""&amp;Q2764&amp;""""&amp;Dashboard!$L$1&amp;""""))/100),IF(Q2764=Dashboard!$L$1,K2764,K2764*GOOGLEFINANCE(""CURRENCY:""&amp;Q2764&amp;""""&amp;Dashboard!$"&amp;"L$1&amp;""""))),K2764))"),"")</f>
        <v/>
      </c>
      <c r="S2764" s="266" t="str">
        <f>IFERROR(__xludf.DUMMYFUNCTION("IF(ISBLANK(A2764),"""",IFERROR(IF(OR(Q2764=""GPB"",Q2764=""ZAR""),IF(Q2764=Dashboard!$L$1,M2764,(M2764*GOOGLEFINANCE(""CURRENCY:""&amp;Q2764&amp;""""&amp;Dashboard!$L$1&amp;""""))/100),IF(Q2764=Dashboard!$L$1,M2764,M2764*GOOGLEFINANCE(""CURRENCY:""&amp;Q2764&amp;""""&amp;Dashboard!$"&amp;"L$1&amp;""""))),M2764))"),"")</f>
        <v/>
      </c>
      <c r="T2764" s="264" t="str">
        <f t="shared" si="4"/>
        <v/>
      </c>
      <c r="U2764" s="264" t="str">
        <f t="shared" si="5"/>
        <v/>
      </c>
      <c r="V2764" s="264" t="str">
        <f t="shared" si="6"/>
        <v/>
      </c>
      <c r="W2764" s="267" t="str">
        <f t="shared" si="8"/>
        <v/>
      </c>
      <c r="X2764" s="264" t="str">
        <f t="shared" si="7"/>
        <v/>
      </c>
    </row>
    <row r="2765" ht="15.75" customHeight="1">
      <c r="A2765" s="258"/>
      <c r="B2765" s="258"/>
      <c r="C2765" s="269"/>
      <c r="D2765" s="258"/>
      <c r="E2765" s="258"/>
      <c r="F2765" s="258"/>
      <c r="G2765" s="258"/>
      <c r="H2765" s="271"/>
      <c r="I2765" s="258"/>
      <c r="J2765" s="272"/>
      <c r="K2765" s="260"/>
      <c r="L2765" s="261"/>
      <c r="M2765" s="262" t="str">
        <f t="shared" si="1"/>
        <v/>
      </c>
      <c r="N2765" s="263" t="str">
        <f t="shared" si="2"/>
        <v/>
      </c>
      <c r="O2765" s="264" t="str">
        <f t="shared" si="3"/>
        <v/>
      </c>
      <c r="P2765" s="265" t="str">
        <f>IFERROR(__xludf.DUMMYFUNCTION("IF(ISBLANK(A2765),"""",IFERROR(IF(H2765=""Sell"",VLOOKUP(9^99,FILTER({ROW(P$2:P2764),P$2:P2764},D$2:D2764=D2765),2),(VLOOKUP(9^99,FILTER({ROW(P$2:P2764),P$2:P2764},D$2:D2764=D2765),2)*VLOOKUP(9^99,FILTER({ROW(O$2:O2764),O$2:O2764},D$2:D2764=D2765),2)-N276"&amp;"5)/O2765),J2765))"),"")</f>
        <v/>
      </c>
      <c r="Q2765" s="264" t="str">
        <f>IFERROR(__xludf.DUMMYFUNCTION("IFERROR(IF(F2765=""Crypto"",B2765,(IF(ISBLANK(D2765),"""",IF(D2765=""Cash"",B2765,IF(GOOGLEFINANCE(D2765,""CURRENCY"")=""GBX"",""GBP"",GOOGLEFINANCE(D2765,""CURRENCY"")))))),B2765)"),"")</f>
        <v/>
      </c>
      <c r="R2765" s="263" t="str">
        <f>IFERROR(__xludf.DUMMYFUNCTION("IF(ISBLANK(A2765),"""",IFERROR(IF(OR(Q2765=""GPB"",Q2765=""ZAR""),IF(Q2765=Dashboard!$L$1,K2765,(K2765*GOOGLEFINANCE(""CURRENCY:""&amp;Q2765&amp;""""&amp;Dashboard!$L$1&amp;""""))/100),IF(Q2765=Dashboard!$L$1,K2765,K2765*GOOGLEFINANCE(""CURRENCY:""&amp;Q2765&amp;""""&amp;Dashboard!$"&amp;"L$1&amp;""""))),K2765))"),"")</f>
        <v/>
      </c>
      <c r="S2765" s="266" t="str">
        <f>IFERROR(__xludf.DUMMYFUNCTION("IF(ISBLANK(A2765),"""",IFERROR(IF(OR(Q2765=""GPB"",Q2765=""ZAR""),IF(Q2765=Dashboard!$L$1,M2765,(M2765*GOOGLEFINANCE(""CURRENCY:""&amp;Q2765&amp;""""&amp;Dashboard!$L$1&amp;""""))/100),IF(Q2765=Dashboard!$L$1,M2765,M2765*GOOGLEFINANCE(""CURRENCY:""&amp;Q2765&amp;""""&amp;Dashboard!$"&amp;"L$1&amp;""""))),M2765))"),"")</f>
        <v/>
      </c>
      <c r="T2765" s="264" t="str">
        <f t="shared" si="4"/>
        <v/>
      </c>
      <c r="U2765" s="264" t="str">
        <f t="shared" si="5"/>
        <v/>
      </c>
      <c r="V2765" s="264" t="str">
        <f t="shared" si="6"/>
        <v/>
      </c>
      <c r="W2765" s="267" t="str">
        <f t="shared" si="8"/>
        <v/>
      </c>
      <c r="X2765" s="264" t="str">
        <f t="shared" si="7"/>
        <v/>
      </c>
    </row>
    <row r="2766" ht="15.75" customHeight="1">
      <c r="A2766" s="258"/>
      <c r="B2766" s="258"/>
      <c r="C2766" s="269"/>
      <c r="D2766" s="258"/>
      <c r="E2766" s="258"/>
      <c r="F2766" s="258"/>
      <c r="G2766" s="258"/>
      <c r="H2766" s="271"/>
      <c r="I2766" s="258"/>
      <c r="J2766" s="272"/>
      <c r="K2766" s="260"/>
      <c r="L2766" s="261"/>
      <c r="M2766" s="262" t="str">
        <f t="shared" si="1"/>
        <v/>
      </c>
      <c r="N2766" s="263" t="str">
        <f t="shared" si="2"/>
        <v/>
      </c>
      <c r="O2766" s="264" t="str">
        <f t="shared" si="3"/>
        <v/>
      </c>
      <c r="P2766" s="265" t="str">
        <f>IFERROR(__xludf.DUMMYFUNCTION("IF(ISBLANK(A2766),"""",IFERROR(IF(H2766=""Sell"",VLOOKUP(9^99,FILTER({ROW(P$2:P2765),P$2:P2765},D$2:D2765=D2766),2),(VLOOKUP(9^99,FILTER({ROW(P$2:P2765),P$2:P2765},D$2:D2765=D2766),2)*VLOOKUP(9^99,FILTER({ROW(O$2:O2765),O$2:O2765},D$2:D2765=D2766),2)-N276"&amp;"6)/O2766),J2766))"),"")</f>
        <v/>
      </c>
      <c r="Q2766" s="264" t="str">
        <f>IFERROR(__xludf.DUMMYFUNCTION("IFERROR(IF(F2766=""Crypto"",B2766,(IF(ISBLANK(D2766),"""",IF(D2766=""Cash"",B2766,IF(GOOGLEFINANCE(D2766,""CURRENCY"")=""GBX"",""GBP"",GOOGLEFINANCE(D2766,""CURRENCY"")))))),B2766)"),"")</f>
        <v/>
      </c>
      <c r="R2766" s="263" t="str">
        <f>IFERROR(__xludf.DUMMYFUNCTION("IF(ISBLANK(A2766),"""",IFERROR(IF(OR(Q2766=""GPB"",Q2766=""ZAR""),IF(Q2766=Dashboard!$L$1,K2766,(K2766*GOOGLEFINANCE(""CURRENCY:""&amp;Q2766&amp;""""&amp;Dashboard!$L$1&amp;""""))/100),IF(Q2766=Dashboard!$L$1,K2766,K2766*GOOGLEFINANCE(""CURRENCY:""&amp;Q2766&amp;""""&amp;Dashboard!$"&amp;"L$1&amp;""""))),K2766))"),"")</f>
        <v/>
      </c>
      <c r="S2766" s="266" t="str">
        <f>IFERROR(__xludf.DUMMYFUNCTION("IF(ISBLANK(A2766),"""",IFERROR(IF(OR(Q2766=""GPB"",Q2766=""ZAR""),IF(Q2766=Dashboard!$L$1,M2766,(M2766*GOOGLEFINANCE(""CURRENCY:""&amp;Q2766&amp;""""&amp;Dashboard!$L$1&amp;""""))/100),IF(Q2766=Dashboard!$L$1,M2766,M2766*GOOGLEFINANCE(""CURRENCY:""&amp;Q2766&amp;""""&amp;Dashboard!$"&amp;"L$1&amp;""""))),M2766))"),"")</f>
        <v/>
      </c>
      <c r="T2766" s="264" t="str">
        <f t="shared" si="4"/>
        <v/>
      </c>
      <c r="U2766" s="264" t="str">
        <f t="shared" si="5"/>
        <v/>
      </c>
      <c r="V2766" s="264" t="str">
        <f t="shared" si="6"/>
        <v/>
      </c>
      <c r="W2766" s="267" t="str">
        <f t="shared" si="8"/>
        <v/>
      </c>
      <c r="X2766" s="264" t="str">
        <f t="shared" si="7"/>
        <v/>
      </c>
    </row>
    <row r="2767" ht="15.75" customHeight="1">
      <c r="A2767" s="258"/>
      <c r="B2767" s="258"/>
      <c r="C2767" s="269"/>
      <c r="D2767" s="258"/>
      <c r="E2767" s="258"/>
      <c r="F2767" s="258"/>
      <c r="G2767" s="258"/>
      <c r="H2767" s="271"/>
      <c r="I2767" s="258"/>
      <c r="J2767" s="272"/>
      <c r="K2767" s="260"/>
      <c r="L2767" s="261"/>
      <c r="M2767" s="262" t="str">
        <f t="shared" si="1"/>
        <v/>
      </c>
      <c r="N2767" s="263" t="str">
        <f t="shared" si="2"/>
        <v/>
      </c>
      <c r="O2767" s="264" t="str">
        <f t="shared" si="3"/>
        <v/>
      </c>
      <c r="P2767" s="265" t="str">
        <f>IFERROR(__xludf.DUMMYFUNCTION("IF(ISBLANK(A2767),"""",IFERROR(IF(H2767=""Sell"",VLOOKUP(9^99,FILTER({ROW(P$2:P2766),P$2:P2766},D$2:D2766=D2767),2),(VLOOKUP(9^99,FILTER({ROW(P$2:P2766),P$2:P2766},D$2:D2766=D2767),2)*VLOOKUP(9^99,FILTER({ROW(O$2:O2766),O$2:O2766},D$2:D2766=D2767),2)-N276"&amp;"7)/O2767),J2767))"),"")</f>
        <v/>
      </c>
      <c r="Q2767" s="264" t="str">
        <f>IFERROR(__xludf.DUMMYFUNCTION("IFERROR(IF(F2767=""Crypto"",B2767,(IF(ISBLANK(D2767),"""",IF(D2767=""Cash"",B2767,IF(GOOGLEFINANCE(D2767,""CURRENCY"")=""GBX"",""GBP"",GOOGLEFINANCE(D2767,""CURRENCY"")))))),B2767)"),"")</f>
        <v/>
      </c>
      <c r="R2767" s="263" t="str">
        <f>IFERROR(__xludf.DUMMYFUNCTION("IF(ISBLANK(A2767),"""",IFERROR(IF(OR(Q2767=""GPB"",Q2767=""ZAR""),IF(Q2767=Dashboard!$L$1,K2767,(K2767*GOOGLEFINANCE(""CURRENCY:""&amp;Q2767&amp;""""&amp;Dashboard!$L$1&amp;""""))/100),IF(Q2767=Dashboard!$L$1,K2767,K2767*GOOGLEFINANCE(""CURRENCY:""&amp;Q2767&amp;""""&amp;Dashboard!$"&amp;"L$1&amp;""""))),K2767))"),"")</f>
        <v/>
      </c>
      <c r="S2767" s="266" t="str">
        <f>IFERROR(__xludf.DUMMYFUNCTION("IF(ISBLANK(A2767),"""",IFERROR(IF(OR(Q2767=""GPB"",Q2767=""ZAR""),IF(Q2767=Dashboard!$L$1,M2767,(M2767*GOOGLEFINANCE(""CURRENCY:""&amp;Q2767&amp;""""&amp;Dashboard!$L$1&amp;""""))/100),IF(Q2767=Dashboard!$L$1,M2767,M2767*GOOGLEFINANCE(""CURRENCY:""&amp;Q2767&amp;""""&amp;Dashboard!$"&amp;"L$1&amp;""""))),M2767))"),"")</f>
        <v/>
      </c>
      <c r="T2767" s="264" t="str">
        <f t="shared" si="4"/>
        <v/>
      </c>
      <c r="U2767" s="264" t="str">
        <f t="shared" si="5"/>
        <v/>
      </c>
      <c r="V2767" s="264" t="str">
        <f t="shared" si="6"/>
        <v/>
      </c>
      <c r="W2767" s="267" t="str">
        <f t="shared" si="8"/>
        <v/>
      </c>
      <c r="X2767" s="264" t="str">
        <f t="shared" si="7"/>
        <v/>
      </c>
    </row>
    <row r="2768" ht="15.75" customHeight="1">
      <c r="A2768" s="258"/>
      <c r="B2768" s="258"/>
      <c r="C2768" s="269"/>
      <c r="D2768" s="258"/>
      <c r="E2768" s="258"/>
      <c r="F2768" s="258"/>
      <c r="G2768" s="258"/>
      <c r="H2768" s="271"/>
      <c r="I2768" s="258"/>
      <c r="J2768" s="272"/>
      <c r="K2768" s="260"/>
      <c r="L2768" s="261"/>
      <c r="M2768" s="262" t="str">
        <f t="shared" si="1"/>
        <v/>
      </c>
      <c r="N2768" s="263" t="str">
        <f t="shared" si="2"/>
        <v/>
      </c>
      <c r="O2768" s="264" t="str">
        <f t="shared" si="3"/>
        <v/>
      </c>
      <c r="P2768" s="265" t="str">
        <f>IFERROR(__xludf.DUMMYFUNCTION("IF(ISBLANK(A2768),"""",IFERROR(IF(H2768=""Sell"",VLOOKUP(9^99,FILTER({ROW(P$2:P2767),P$2:P2767},D$2:D2767=D2768),2),(VLOOKUP(9^99,FILTER({ROW(P$2:P2767),P$2:P2767},D$2:D2767=D2768),2)*VLOOKUP(9^99,FILTER({ROW(O$2:O2767),O$2:O2767},D$2:D2767=D2768),2)-N276"&amp;"8)/O2768),J2768))"),"")</f>
        <v/>
      </c>
      <c r="Q2768" s="264" t="str">
        <f>IFERROR(__xludf.DUMMYFUNCTION("IFERROR(IF(F2768=""Crypto"",B2768,(IF(ISBLANK(D2768),"""",IF(D2768=""Cash"",B2768,IF(GOOGLEFINANCE(D2768,""CURRENCY"")=""GBX"",""GBP"",GOOGLEFINANCE(D2768,""CURRENCY"")))))),B2768)"),"")</f>
        <v/>
      </c>
      <c r="R2768" s="263" t="str">
        <f>IFERROR(__xludf.DUMMYFUNCTION("IF(ISBLANK(A2768),"""",IFERROR(IF(OR(Q2768=""GPB"",Q2768=""ZAR""),IF(Q2768=Dashboard!$L$1,K2768,(K2768*GOOGLEFINANCE(""CURRENCY:""&amp;Q2768&amp;""""&amp;Dashboard!$L$1&amp;""""))/100),IF(Q2768=Dashboard!$L$1,K2768,K2768*GOOGLEFINANCE(""CURRENCY:""&amp;Q2768&amp;""""&amp;Dashboard!$"&amp;"L$1&amp;""""))),K2768))"),"")</f>
        <v/>
      </c>
      <c r="S2768" s="266" t="str">
        <f>IFERROR(__xludf.DUMMYFUNCTION("IF(ISBLANK(A2768),"""",IFERROR(IF(OR(Q2768=""GPB"",Q2768=""ZAR""),IF(Q2768=Dashboard!$L$1,M2768,(M2768*GOOGLEFINANCE(""CURRENCY:""&amp;Q2768&amp;""""&amp;Dashboard!$L$1&amp;""""))/100),IF(Q2768=Dashboard!$L$1,M2768,M2768*GOOGLEFINANCE(""CURRENCY:""&amp;Q2768&amp;""""&amp;Dashboard!$"&amp;"L$1&amp;""""))),M2768))"),"")</f>
        <v/>
      </c>
      <c r="T2768" s="264" t="str">
        <f t="shared" si="4"/>
        <v/>
      </c>
      <c r="U2768" s="264" t="str">
        <f t="shared" si="5"/>
        <v/>
      </c>
      <c r="V2768" s="264" t="str">
        <f t="shared" si="6"/>
        <v/>
      </c>
      <c r="W2768" s="267" t="str">
        <f t="shared" si="8"/>
        <v/>
      </c>
      <c r="X2768" s="264" t="str">
        <f t="shared" si="7"/>
        <v/>
      </c>
    </row>
    <row r="2769" ht="15.75" customHeight="1">
      <c r="A2769" s="258"/>
      <c r="B2769" s="258"/>
      <c r="C2769" s="269"/>
      <c r="D2769" s="258"/>
      <c r="E2769" s="258"/>
      <c r="F2769" s="258"/>
      <c r="G2769" s="258"/>
      <c r="H2769" s="271"/>
      <c r="I2769" s="258"/>
      <c r="J2769" s="272"/>
      <c r="K2769" s="260"/>
      <c r="L2769" s="261"/>
      <c r="M2769" s="262" t="str">
        <f t="shared" si="1"/>
        <v/>
      </c>
      <c r="N2769" s="263" t="str">
        <f t="shared" si="2"/>
        <v/>
      </c>
      <c r="O2769" s="264" t="str">
        <f t="shared" si="3"/>
        <v/>
      </c>
      <c r="P2769" s="265" t="str">
        <f>IFERROR(__xludf.DUMMYFUNCTION("IF(ISBLANK(A2769),"""",IFERROR(IF(H2769=""Sell"",VLOOKUP(9^99,FILTER({ROW(P$2:P2768),P$2:P2768},D$2:D2768=D2769),2),(VLOOKUP(9^99,FILTER({ROW(P$2:P2768),P$2:P2768},D$2:D2768=D2769),2)*VLOOKUP(9^99,FILTER({ROW(O$2:O2768),O$2:O2768},D$2:D2768=D2769),2)-N276"&amp;"9)/O2769),J2769))"),"")</f>
        <v/>
      </c>
      <c r="Q2769" s="264" t="str">
        <f>IFERROR(__xludf.DUMMYFUNCTION("IFERROR(IF(F2769=""Crypto"",B2769,(IF(ISBLANK(D2769),"""",IF(D2769=""Cash"",B2769,IF(GOOGLEFINANCE(D2769,""CURRENCY"")=""GBX"",""GBP"",GOOGLEFINANCE(D2769,""CURRENCY"")))))),B2769)"),"")</f>
        <v/>
      </c>
      <c r="R2769" s="263" t="str">
        <f>IFERROR(__xludf.DUMMYFUNCTION("IF(ISBLANK(A2769),"""",IFERROR(IF(OR(Q2769=""GPB"",Q2769=""ZAR""),IF(Q2769=Dashboard!$L$1,K2769,(K2769*GOOGLEFINANCE(""CURRENCY:""&amp;Q2769&amp;""""&amp;Dashboard!$L$1&amp;""""))/100),IF(Q2769=Dashboard!$L$1,K2769,K2769*GOOGLEFINANCE(""CURRENCY:""&amp;Q2769&amp;""""&amp;Dashboard!$"&amp;"L$1&amp;""""))),K2769))"),"")</f>
        <v/>
      </c>
      <c r="S2769" s="266" t="str">
        <f>IFERROR(__xludf.DUMMYFUNCTION("IF(ISBLANK(A2769),"""",IFERROR(IF(OR(Q2769=""GPB"",Q2769=""ZAR""),IF(Q2769=Dashboard!$L$1,M2769,(M2769*GOOGLEFINANCE(""CURRENCY:""&amp;Q2769&amp;""""&amp;Dashboard!$L$1&amp;""""))/100),IF(Q2769=Dashboard!$L$1,M2769,M2769*GOOGLEFINANCE(""CURRENCY:""&amp;Q2769&amp;""""&amp;Dashboard!$"&amp;"L$1&amp;""""))),M2769))"),"")</f>
        <v/>
      </c>
      <c r="T2769" s="264" t="str">
        <f t="shared" si="4"/>
        <v/>
      </c>
      <c r="U2769" s="264" t="str">
        <f t="shared" si="5"/>
        <v/>
      </c>
      <c r="V2769" s="264" t="str">
        <f t="shared" si="6"/>
        <v/>
      </c>
      <c r="W2769" s="267" t="str">
        <f t="shared" si="8"/>
        <v/>
      </c>
      <c r="X2769" s="264" t="str">
        <f t="shared" si="7"/>
        <v/>
      </c>
    </row>
    <row r="2770" ht="15.75" customHeight="1">
      <c r="A2770" s="258"/>
      <c r="B2770" s="258"/>
      <c r="C2770" s="269"/>
      <c r="D2770" s="258"/>
      <c r="E2770" s="258"/>
      <c r="F2770" s="258"/>
      <c r="G2770" s="258"/>
      <c r="H2770" s="271"/>
      <c r="I2770" s="258"/>
      <c r="J2770" s="272"/>
      <c r="K2770" s="260"/>
      <c r="L2770" s="261"/>
      <c r="M2770" s="262" t="str">
        <f t="shared" si="1"/>
        <v/>
      </c>
      <c r="N2770" s="263" t="str">
        <f t="shared" si="2"/>
        <v/>
      </c>
      <c r="O2770" s="264" t="str">
        <f t="shared" si="3"/>
        <v/>
      </c>
      <c r="P2770" s="265" t="str">
        <f>IFERROR(__xludf.DUMMYFUNCTION("IF(ISBLANK(A2770),"""",IFERROR(IF(H2770=""Sell"",VLOOKUP(9^99,FILTER({ROW(P$2:P2769),P$2:P2769},D$2:D2769=D2770),2),(VLOOKUP(9^99,FILTER({ROW(P$2:P2769),P$2:P2769},D$2:D2769=D2770),2)*VLOOKUP(9^99,FILTER({ROW(O$2:O2769),O$2:O2769},D$2:D2769=D2770),2)-N277"&amp;"0)/O2770),J2770))"),"")</f>
        <v/>
      </c>
      <c r="Q2770" s="264" t="str">
        <f>IFERROR(__xludf.DUMMYFUNCTION("IFERROR(IF(F2770=""Crypto"",B2770,(IF(ISBLANK(D2770),"""",IF(D2770=""Cash"",B2770,IF(GOOGLEFINANCE(D2770,""CURRENCY"")=""GBX"",""GBP"",GOOGLEFINANCE(D2770,""CURRENCY"")))))),B2770)"),"")</f>
        <v/>
      </c>
      <c r="R2770" s="263" t="str">
        <f>IFERROR(__xludf.DUMMYFUNCTION("IF(ISBLANK(A2770),"""",IFERROR(IF(OR(Q2770=""GPB"",Q2770=""ZAR""),IF(Q2770=Dashboard!$L$1,K2770,(K2770*GOOGLEFINANCE(""CURRENCY:""&amp;Q2770&amp;""""&amp;Dashboard!$L$1&amp;""""))/100),IF(Q2770=Dashboard!$L$1,K2770,K2770*GOOGLEFINANCE(""CURRENCY:""&amp;Q2770&amp;""""&amp;Dashboard!$"&amp;"L$1&amp;""""))),K2770))"),"")</f>
        <v/>
      </c>
      <c r="S2770" s="266" t="str">
        <f>IFERROR(__xludf.DUMMYFUNCTION("IF(ISBLANK(A2770),"""",IFERROR(IF(OR(Q2770=""GPB"",Q2770=""ZAR""),IF(Q2770=Dashboard!$L$1,M2770,(M2770*GOOGLEFINANCE(""CURRENCY:""&amp;Q2770&amp;""""&amp;Dashboard!$L$1&amp;""""))/100),IF(Q2770=Dashboard!$L$1,M2770,M2770*GOOGLEFINANCE(""CURRENCY:""&amp;Q2770&amp;""""&amp;Dashboard!$"&amp;"L$1&amp;""""))),M2770))"),"")</f>
        <v/>
      </c>
      <c r="T2770" s="264" t="str">
        <f t="shared" si="4"/>
        <v/>
      </c>
      <c r="U2770" s="264" t="str">
        <f t="shared" si="5"/>
        <v/>
      </c>
      <c r="V2770" s="264" t="str">
        <f t="shared" si="6"/>
        <v/>
      </c>
      <c r="W2770" s="267" t="str">
        <f t="shared" si="8"/>
        <v/>
      </c>
      <c r="X2770" s="264" t="str">
        <f t="shared" si="7"/>
        <v/>
      </c>
    </row>
    <row r="2771" ht="15.75" customHeight="1">
      <c r="A2771" s="258"/>
      <c r="B2771" s="258"/>
      <c r="C2771" s="269"/>
      <c r="D2771" s="258"/>
      <c r="E2771" s="258"/>
      <c r="F2771" s="258"/>
      <c r="G2771" s="258"/>
      <c r="H2771" s="271"/>
      <c r="I2771" s="258"/>
      <c r="J2771" s="272"/>
      <c r="K2771" s="260"/>
      <c r="L2771" s="261"/>
      <c r="M2771" s="262" t="str">
        <f t="shared" si="1"/>
        <v/>
      </c>
      <c r="N2771" s="263" t="str">
        <f t="shared" si="2"/>
        <v/>
      </c>
      <c r="O2771" s="264" t="str">
        <f t="shared" si="3"/>
        <v/>
      </c>
      <c r="P2771" s="265" t="str">
        <f>IFERROR(__xludf.DUMMYFUNCTION("IF(ISBLANK(A2771),"""",IFERROR(IF(H2771=""Sell"",VLOOKUP(9^99,FILTER({ROW(P$2:P2770),P$2:P2770},D$2:D2770=D2771),2),(VLOOKUP(9^99,FILTER({ROW(P$2:P2770),P$2:P2770},D$2:D2770=D2771),2)*VLOOKUP(9^99,FILTER({ROW(O$2:O2770),O$2:O2770},D$2:D2770=D2771),2)-N277"&amp;"1)/O2771),J2771))"),"")</f>
        <v/>
      </c>
      <c r="Q2771" s="264" t="str">
        <f>IFERROR(__xludf.DUMMYFUNCTION("IFERROR(IF(F2771=""Crypto"",B2771,(IF(ISBLANK(D2771),"""",IF(D2771=""Cash"",B2771,IF(GOOGLEFINANCE(D2771,""CURRENCY"")=""GBX"",""GBP"",GOOGLEFINANCE(D2771,""CURRENCY"")))))),B2771)"),"")</f>
        <v/>
      </c>
      <c r="R2771" s="263" t="str">
        <f>IFERROR(__xludf.DUMMYFUNCTION("IF(ISBLANK(A2771),"""",IFERROR(IF(OR(Q2771=""GPB"",Q2771=""ZAR""),IF(Q2771=Dashboard!$L$1,K2771,(K2771*GOOGLEFINANCE(""CURRENCY:""&amp;Q2771&amp;""""&amp;Dashboard!$L$1&amp;""""))/100),IF(Q2771=Dashboard!$L$1,K2771,K2771*GOOGLEFINANCE(""CURRENCY:""&amp;Q2771&amp;""""&amp;Dashboard!$"&amp;"L$1&amp;""""))),K2771))"),"")</f>
        <v/>
      </c>
      <c r="S2771" s="266" t="str">
        <f>IFERROR(__xludf.DUMMYFUNCTION("IF(ISBLANK(A2771),"""",IFERROR(IF(OR(Q2771=""GPB"",Q2771=""ZAR""),IF(Q2771=Dashboard!$L$1,M2771,(M2771*GOOGLEFINANCE(""CURRENCY:""&amp;Q2771&amp;""""&amp;Dashboard!$L$1&amp;""""))/100),IF(Q2771=Dashboard!$L$1,M2771,M2771*GOOGLEFINANCE(""CURRENCY:""&amp;Q2771&amp;""""&amp;Dashboard!$"&amp;"L$1&amp;""""))),M2771))"),"")</f>
        <v/>
      </c>
      <c r="T2771" s="264" t="str">
        <f t="shared" si="4"/>
        <v/>
      </c>
      <c r="U2771" s="264" t="str">
        <f t="shared" si="5"/>
        <v/>
      </c>
      <c r="V2771" s="264" t="str">
        <f t="shared" si="6"/>
        <v/>
      </c>
      <c r="W2771" s="267" t="str">
        <f t="shared" si="8"/>
        <v/>
      </c>
      <c r="X2771" s="264" t="str">
        <f t="shared" si="7"/>
        <v/>
      </c>
    </row>
    <row r="2772" ht="15.75" customHeight="1">
      <c r="A2772" s="258"/>
      <c r="B2772" s="258"/>
      <c r="C2772" s="269"/>
      <c r="D2772" s="258"/>
      <c r="E2772" s="258"/>
      <c r="F2772" s="258"/>
      <c r="G2772" s="258"/>
      <c r="H2772" s="271"/>
      <c r="I2772" s="258"/>
      <c r="J2772" s="272"/>
      <c r="K2772" s="260"/>
      <c r="L2772" s="261"/>
      <c r="M2772" s="262" t="str">
        <f t="shared" si="1"/>
        <v/>
      </c>
      <c r="N2772" s="263" t="str">
        <f t="shared" si="2"/>
        <v/>
      </c>
      <c r="O2772" s="264" t="str">
        <f t="shared" si="3"/>
        <v/>
      </c>
      <c r="P2772" s="265" t="str">
        <f>IFERROR(__xludf.DUMMYFUNCTION("IF(ISBLANK(A2772),"""",IFERROR(IF(H2772=""Sell"",VLOOKUP(9^99,FILTER({ROW(P$2:P2771),P$2:P2771},D$2:D2771=D2772),2),(VLOOKUP(9^99,FILTER({ROW(P$2:P2771),P$2:P2771},D$2:D2771=D2772),2)*VLOOKUP(9^99,FILTER({ROW(O$2:O2771),O$2:O2771},D$2:D2771=D2772),2)-N277"&amp;"2)/O2772),J2772))"),"")</f>
        <v/>
      </c>
      <c r="Q2772" s="264" t="str">
        <f>IFERROR(__xludf.DUMMYFUNCTION("IFERROR(IF(F2772=""Crypto"",B2772,(IF(ISBLANK(D2772),"""",IF(D2772=""Cash"",B2772,IF(GOOGLEFINANCE(D2772,""CURRENCY"")=""GBX"",""GBP"",GOOGLEFINANCE(D2772,""CURRENCY"")))))),B2772)"),"")</f>
        <v/>
      </c>
      <c r="R2772" s="263" t="str">
        <f>IFERROR(__xludf.DUMMYFUNCTION("IF(ISBLANK(A2772),"""",IFERROR(IF(OR(Q2772=""GPB"",Q2772=""ZAR""),IF(Q2772=Dashboard!$L$1,K2772,(K2772*GOOGLEFINANCE(""CURRENCY:""&amp;Q2772&amp;""""&amp;Dashboard!$L$1&amp;""""))/100),IF(Q2772=Dashboard!$L$1,K2772,K2772*GOOGLEFINANCE(""CURRENCY:""&amp;Q2772&amp;""""&amp;Dashboard!$"&amp;"L$1&amp;""""))),K2772))"),"")</f>
        <v/>
      </c>
      <c r="S2772" s="266" t="str">
        <f>IFERROR(__xludf.DUMMYFUNCTION("IF(ISBLANK(A2772),"""",IFERROR(IF(OR(Q2772=""GPB"",Q2772=""ZAR""),IF(Q2772=Dashboard!$L$1,M2772,(M2772*GOOGLEFINANCE(""CURRENCY:""&amp;Q2772&amp;""""&amp;Dashboard!$L$1&amp;""""))/100),IF(Q2772=Dashboard!$L$1,M2772,M2772*GOOGLEFINANCE(""CURRENCY:""&amp;Q2772&amp;""""&amp;Dashboard!$"&amp;"L$1&amp;""""))),M2772))"),"")</f>
        <v/>
      </c>
      <c r="T2772" s="264" t="str">
        <f t="shared" si="4"/>
        <v/>
      </c>
      <c r="U2772" s="264" t="str">
        <f t="shared" si="5"/>
        <v/>
      </c>
      <c r="V2772" s="264" t="str">
        <f t="shared" si="6"/>
        <v/>
      </c>
      <c r="W2772" s="267" t="str">
        <f t="shared" si="8"/>
        <v/>
      </c>
      <c r="X2772" s="264" t="str">
        <f t="shared" si="7"/>
        <v/>
      </c>
    </row>
    <row r="2773" ht="15.75" customHeight="1">
      <c r="A2773" s="258"/>
      <c r="B2773" s="258"/>
      <c r="C2773" s="269"/>
      <c r="D2773" s="258"/>
      <c r="E2773" s="258"/>
      <c r="F2773" s="258"/>
      <c r="G2773" s="258"/>
      <c r="H2773" s="271"/>
      <c r="I2773" s="258"/>
      <c r="J2773" s="272"/>
      <c r="K2773" s="260"/>
      <c r="L2773" s="261"/>
      <c r="M2773" s="262" t="str">
        <f t="shared" si="1"/>
        <v/>
      </c>
      <c r="N2773" s="263" t="str">
        <f t="shared" si="2"/>
        <v/>
      </c>
      <c r="O2773" s="264" t="str">
        <f t="shared" si="3"/>
        <v/>
      </c>
      <c r="P2773" s="265" t="str">
        <f>IFERROR(__xludf.DUMMYFUNCTION("IF(ISBLANK(A2773),"""",IFERROR(IF(H2773=""Sell"",VLOOKUP(9^99,FILTER({ROW(P$2:P2772),P$2:P2772},D$2:D2772=D2773),2),(VLOOKUP(9^99,FILTER({ROW(P$2:P2772),P$2:P2772},D$2:D2772=D2773),2)*VLOOKUP(9^99,FILTER({ROW(O$2:O2772),O$2:O2772},D$2:D2772=D2773),2)-N277"&amp;"3)/O2773),J2773))"),"")</f>
        <v/>
      </c>
      <c r="Q2773" s="264" t="str">
        <f>IFERROR(__xludf.DUMMYFUNCTION("IFERROR(IF(F2773=""Crypto"",B2773,(IF(ISBLANK(D2773),"""",IF(D2773=""Cash"",B2773,IF(GOOGLEFINANCE(D2773,""CURRENCY"")=""GBX"",""GBP"",GOOGLEFINANCE(D2773,""CURRENCY"")))))),B2773)"),"")</f>
        <v/>
      </c>
      <c r="R2773" s="263" t="str">
        <f>IFERROR(__xludf.DUMMYFUNCTION("IF(ISBLANK(A2773),"""",IFERROR(IF(OR(Q2773=""GPB"",Q2773=""ZAR""),IF(Q2773=Dashboard!$L$1,K2773,(K2773*GOOGLEFINANCE(""CURRENCY:""&amp;Q2773&amp;""""&amp;Dashboard!$L$1&amp;""""))/100),IF(Q2773=Dashboard!$L$1,K2773,K2773*GOOGLEFINANCE(""CURRENCY:""&amp;Q2773&amp;""""&amp;Dashboard!$"&amp;"L$1&amp;""""))),K2773))"),"")</f>
        <v/>
      </c>
      <c r="S2773" s="266" t="str">
        <f>IFERROR(__xludf.DUMMYFUNCTION("IF(ISBLANK(A2773),"""",IFERROR(IF(OR(Q2773=""GPB"",Q2773=""ZAR""),IF(Q2773=Dashboard!$L$1,M2773,(M2773*GOOGLEFINANCE(""CURRENCY:""&amp;Q2773&amp;""""&amp;Dashboard!$L$1&amp;""""))/100),IF(Q2773=Dashboard!$L$1,M2773,M2773*GOOGLEFINANCE(""CURRENCY:""&amp;Q2773&amp;""""&amp;Dashboard!$"&amp;"L$1&amp;""""))),M2773))"),"")</f>
        <v/>
      </c>
      <c r="T2773" s="264" t="str">
        <f t="shared" si="4"/>
        <v/>
      </c>
      <c r="U2773" s="264" t="str">
        <f t="shared" si="5"/>
        <v/>
      </c>
      <c r="V2773" s="264" t="str">
        <f t="shared" si="6"/>
        <v/>
      </c>
      <c r="W2773" s="267" t="str">
        <f t="shared" si="8"/>
        <v/>
      </c>
      <c r="X2773" s="264" t="str">
        <f t="shared" si="7"/>
        <v/>
      </c>
    </row>
    <row r="2774" ht="15.75" customHeight="1">
      <c r="A2774" s="258"/>
      <c r="B2774" s="258"/>
      <c r="C2774" s="269"/>
      <c r="D2774" s="258"/>
      <c r="E2774" s="258"/>
      <c r="F2774" s="258"/>
      <c r="G2774" s="258"/>
      <c r="H2774" s="271"/>
      <c r="I2774" s="258"/>
      <c r="J2774" s="272"/>
      <c r="K2774" s="260"/>
      <c r="L2774" s="261"/>
      <c r="M2774" s="262" t="str">
        <f t="shared" si="1"/>
        <v/>
      </c>
      <c r="N2774" s="263" t="str">
        <f t="shared" si="2"/>
        <v/>
      </c>
      <c r="O2774" s="264" t="str">
        <f t="shared" si="3"/>
        <v/>
      </c>
      <c r="P2774" s="265" t="str">
        <f>IFERROR(__xludf.DUMMYFUNCTION("IF(ISBLANK(A2774),"""",IFERROR(IF(H2774=""Sell"",VLOOKUP(9^99,FILTER({ROW(P$2:P2773),P$2:P2773},D$2:D2773=D2774),2),(VLOOKUP(9^99,FILTER({ROW(P$2:P2773),P$2:P2773},D$2:D2773=D2774),2)*VLOOKUP(9^99,FILTER({ROW(O$2:O2773),O$2:O2773},D$2:D2773=D2774),2)-N277"&amp;"4)/O2774),J2774))"),"")</f>
        <v/>
      </c>
      <c r="Q2774" s="264" t="str">
        <f>IFERROR(__xludf.DUMMYFUNCTION("IFERROR(IF(F2774=""Crypto"",B2774,(IF(ISBLANK(D2774),"""",IF(D2774=""Cash"",B2774,IF(GOOGLEFINANCE(D2774,""CURRENCY"")=""GBX"",""GBP"",GOOGLEFINANCE(D2774,""CURRENCY"")))))),B2774)"),"")</f>
        <v/>
      </c>
      <c r="R2774" s="263" t="str">
        <f>IFERROR(__xludf.DUMMYFUNCTION("IF(ISBLANK(A2774),"""",IFERROR(IF(OR(Q2774=""GPB"",Q2774=""ZAR""),IF(Q2774=Dashboard!$L$1,K2774,(K2774*GOOGLEFINANCE(""CURRENCY:""&amp;Q2774&amp;""""&amp;Dashboard!$L$1&amp;""""))/100),IF(Q2774=Dashboard!$L$1,K2774,K2774*GOOGLEFINANCE(""CURRENCY:""&amp;Q2774&amp;""""&amp;Dashboard!$"&amp;"L$1&amp;""""))),K2774))"),"")</f>
        <v/>
      </c>
      <c r="S2774" s="266" t="str">
        <f>IFERROR(__xludf.DUMMYFUNCTION("IF(ISBLANK(A2774),"""",IFERROR(IF(OR(Q2774=""GPB"",Q2774=""ZAR""),IF(Q2774=Dashboard!$L$1,M2774,(M2774*GOOGLEFINANCE(""CURRENCY:""&amp;Q2774&amp;""""&amp;Dashboard!$L$1&amp;""""))/100),IF(Q2774=Dashboard!$L$1,M2774,M2774*GOOGLEFINANCE(""CURRENCY:""&amp;Q2774&amp;""""&amp;Dashboard!$"&amp;"L$1&amp;""""))),M2774))"),"")</f>
        <v/>
      </c>
      <c r="T2774" s="264" t="str">
        <f t="shared" si="4"/>
        <v/>
      </c>
      <c r="U2774" s="264" t="str">
        <f t="shared" si="5"/>
        <v/>
      </c>
      <c r="V2774" s="264" t="str">
        <f t="shared" si="6"/>
        <v/>
      </c>
      <c r="W2774" s="267" t="str">
        <f t="shared" si="8"/>
        <v/>
      </c>
      <c r="X2774" s="264" t="str">
        <f t="shared" si="7"/>
        <v/>
      </c>
    </row>
    <row r="2775" ht="15.75" customHeight="1">
      <c r="A2775" s="258"/>
      <c r="B2775" s="258"/>
      <c r="C2775" s="269"/>
      <c r="D2775" s="258"/>
      <c r="E2775" s="258"/>
      <c r="F2775" s="258"/>
      <c r="G2775" s="258"/>
      <c r="H2775" s="271"/>
      <c r="I2775" s="258"/>
      <c r="J2775" s="272"/>
      <c r="K2775" s="260"/>
      <c r="L2775" s="261"/>
      <c r="M2775" s="262" t="str">
        <f t="shared" si="1"/>
        <v/>
      </c>
      <c r="N2775" s="263" t="str">
        <f t="shared" si="2"/>
        <v/>
      </c>
      <c r="O2775" s="264" t="str">
        <f t="shared" si="3"/>
        <v/>
      </c>
      <c r="P2775" s="265" t="str">
        <f>IFERROR(__xludf.DUMMYFUNCTION("IF(ISBLANK(A2775),"""",IFERROR(IF(H2775=""Sell"",VLOOKUP(9^99,FILTER({ROW(P$2:P2774),P$2:P2774},D$2:D2774=D2775),2),(VLOOKUP(9^99,FILTER({ROW(P$2:P2774),P$2:P2774},D$2:D2774=D2775),2)*VLOOKUP(9^99,FILTER({ROW(O$2:O2774),O$2:O2774},D$2:D2774=D2775),2)-N277"&amp;"5)/O2775),J2775))"),"")</f>
        <v/>
      </c>
      <c r="Q2775" s="264" t="str">
        <f>IFERROR(__xludf.DUMMYFUNCTION("IFERROR(IF(F2775=""Crypto"",B2775,(IF(ISBLANK(D2775),"""",IF(D2775=""Cash"",B2775,IF(GOOGLEFINANCE(D2775,""CURRENCY"")=""GBX"",""GBP"",GOOGLEFINANCE(D2775,""CURRENCY"")))))),B2775)"),"")</f>
        <v/>
      </c>
      <c r="R2775" s="263" t="str">
        <f>IFERROR(__xludf.DUMMYFUNCTION("IF(ISBLANK(A2775),"""",IFERROR(IF(OR(Q2775=""GPB"",Q2775=""ZAR""),IF(Q2775=Dashboard!$L$1,K2775,(K2775*GOOGLEFINANCE(""CURRENCY:""&amp;Q2775&amp;""""&amp;Dashboard!$L$1&amp;""""))/100),IF(Q2775=Dashboard!$L$1,K2775,K2775*GOOGLEFINANCE(""CURRENCY:""&amp;Q2775&amp;""""&amp;Dashboard!$"&amp;"L$1&amp;""""))),K2775))"),"")</f>
        <v/>
      </c>
      <c r="S2775" s="266" t="str">
        <f>IFERROR(__xludf.DUMMYFUNCTION("IF(ISBLANK(A2775),"""",IFERROR(IF(OR(Q2775=""GPB"",Q2775=""ZAR""),IF(Q2775=Dashboard!$L$1,M2775,(M2775*GOOGLEFINANCE(""CURRENCY:""&amp;Q2775&amp;""""&amp;Dashboard!$L$1&amp;""""))/100),IF(Q2775=Dashboard!$L$1,M2775,M2775*GOOGLEFINANCE(""CURRENCY:""&amp;Q2775&amp;""""&amp;Dashboard!$"&amp;"L$1&amp;""""))),M2775))"),"")</f>
        <v/>
      </c>
      <c r="T2775" s="264" t="str">
        <f t="shared" si="4"/>
        <v/>
      </c>
      <c r="U2775" s="264" t="str">
        <f t="shared" si="5"/>
        <v/>
      </c>
      <c r="V2775" s="264" t="str">
        <f t="shared" si="6"/>
        <v/>
      </c>
      <c r="W2775" s="267" t="str">
        <f t="shared" si="8"/>
        <v/>
      </c>
      <c r="X2775" s="264" t="str">
        <f t="shared" si="7"/>
        <v/>
      </c>
    </row>
    <row r="2776" ht="15.75" customHeight="1">
      <c r="A2776" s="258"/>
      <c r="B2776" s="258"/>
      <c r="C2776" s="269"/>
      <c r="D2776" s="258"/>
      <c r="E2776" s="258"/>
      <c r="F2776" s="258"/>
      <c r="G2776" s="258"/>
      <c r="H2776" s="271"/>
      <c r="I2776" s="258"/>
      <c r="J2776" s="272"/>
      <c r="K2776" s="260"/>
      <c r="L2776" s="261"/>
      <c r="M2776" s="262" t="str">
        <f t="shared" si="1"/>
        <v/>
      </c>
      <c r="N2776" s="263" t="str">
        <f t="shared" si="2"/>
        <v/>
      </c>
      <c r="O2776" s="264" t="str">
        <f t="shared" si="3"/>
        <v/>
      </c>
      <c r="P2776" s="265" t="str">
        <f>IFERROR(__xludf.DUMMYFUNCTION("IF(ISBLANK(A2776),"""",IFERROR(IF(H2776=""Sell"",VLOOKUP(9^99,FILTER({ROW(P$2:P2775),P$2:P2775},D$2:D2775=D2776),2),(VLOOKUP(9^99,FILTER({ROW(P$2:P2775),P$2:P2775},D$2:D2775=D2776),2)*VLOOKUP(9^99,FILTER({ROW(O$2:O2775),O$2:O2775},D$2:D2775=D2776),2)-N277"&amp;"6)/O2776),J2776))"),"")</f>
        <v/>
      </c>
      <c r="Q2776" s="264" t="str">
        <f>IFERROR(__xludf.DUMMYFUNCTION("IFERROR(IF(F2776=""Crypto"",B2776,(IF(ISBLANK(D2776),"""",IF(D2776=""Cash"",B2776,IF(GOOGLEFINANCE(D2776,""CURRENCY"")=""GBX"",""GBP"",GOOGLEFINANCE(D2776,""CURRENCY"")))))),B2776)"),"")</f>
        <v/>
      </c>
      <c r="R2776" s="263" t="str">
        <f>IFERROR(__xludf.DUMMYFUNCTION("IF(ISBLANK(A2776),"""",IFERROR(IF(OR(Q2776=""GPB"",Q2776=""ZAR""),IF(Q2776=Dashboard!$L$1,K2776,(K2776*GOOGLEFINANCE(""CURRENCY:""&amp;Q2776&amp;""""&amp;Dashboard!$L$1&amp;""""))/100),IF(Q2776=Dashboard!$L$1,K2776,K2776*GOOGLEFINANCE(""CURRENCY:""&amp;Q2776&amp;""""&amp;Dashboard!$"&amp;"L$1&amp;""""))),K2776))"),"")</f>
        <v/>
      </c>
      <c r="S2776" s="266" t="str">
        <f>IFERROR(__xludf.DUMMYFUNCTION("IF(ISBLANK(A2776),"""",IFERROR(IF(OR(Q2776=""GPB"",Q2776=""ZAR""),IF(Q2776=Dashboard!$L$1,M2776,(M2776*GOOGLEFINANCE(""CURRENCY:""&amp;Q2776&amp;""""&amp;Dashboard!$L$1&amp;""""))/100),IF(Q2776=Dashboard!$L$1,M2776,M2776*GOOGLEFINANCE(""CURRENCY:""&amp;Q2776&amp;""""&amp;Dashboard!$"&amp;"L$1&amp;""""))),M2776))"),"")</f>
        <v/>
      </c>
      <c r="T2776" s="264" t="str">
        <f t="shared" si="4"/>
        <v/>
      </c>
      <c r="U2776" s="264" t="str">
        <f t="shared" si="5"/>
        <v/>
      </c>
      <c r="V2776" s="264" t="str">
        <f t="shared" si="6"/>
        <v/>
      </c>
      <c r="W2776" s="267" t="str">
        <f t="shared" si="8"/>
        <v/>
      </c>
      <c r="X2776" s="264" t="str">
        <f t="shared" si="7"/>
        <v/>
      </c>
    </row>
    <row r="2777" ht="15.75" customHeight="1">
      <c r="A2777" s="258"/>
      <c r="B2777" s="258"/>
      <c r="C2777" s="269"/>
      <c r="D2777" s="258"/>
      <c r="E2777" s="258"/>
      <c r="F2777" s="258"/>
      <c r="G2777" s="258"/>
      <c r="H2777" s="271"/>
      <c r="I2777" s="258"/>
      <c r="J2777" s="272"/>
      <c r="K2777" s="260"/>
      <c r="L2777" s="261"/>
      <c r="M2777" s="262" t="str">
        <f t="shared" si="1"/>
        <v/>
      </c>
      <c r="N2777" s="263" t="str">
        <f t="shared" si="2"/>
        <v/>
      </c>
      <c r="O2777" s="264" t="str">
        <f t="shared" si="3"/>
        <v/>
      </c>
      <c r="P2777" s="265" t="str">
        <f>IFERROR(__xludf.DUMMYFUNCTION("IF(ISBLANK(A2777),"""",IFERROR(IF(H2777=""Sell"",VLOOKUP(9^99,FILTER({ROW(P$2:P2776),P$2:P2776},D$2:D2776=D2777),2),(VLOOKUP(9^99,FILTER({ROW(P$2:P2776),P$2:P2776},D$2:D2776=D2777),2)*VLOOKUP(9^99,FILTER({ROW(O$2:O2776),O$2:O2776},D$2:D2776=D2777),2)-N277"&amp;"7)/O2777),J2777))"),"")</f>
        <v/>
      </c>
      <c r="Q2777" s="264" t="str">
        <f>IFERROR(__xludf.DUMMYFUNCTION("IFERROR(IF(F2777=""Crypto"",B2777,(IF(ISBLANK(D2777),"""",IF(D2777=""Cash"",B2777,IF(GOOGLEFINANCE(D2777,""CURRENCY"")=""GBX"",""GBP"",GOOGLEFINANCE(D2777,""CURRENCY"")))))),B2777)"),"")</f>
        <v/>
      </c>
      <c r="R2777" s="263" t="str">
        <f>IFERROR(__xludf.DUMMYFUNCTION("IF(ISBLANK(A2777),"""",IFERROR(IF(OR(Q2777=""GPB"",Q2777=""ZAR""),IF(Q2777=Dashboard!$L$1,K2777,(K2777*GOOGLEFINANCE(""CURRENCY:""&amp;Q2777&amp;""""&amp;Dashboard!$L$1&amp;""""))/100),IF(Q2777=Dashboard!$L$1,K2777,K2777*GOOGLEFINANCE(""CURRENCY:""&amp;Q2777&amp;""""&amp;Dashboard!$"&amp;"L$1&amp;""""))),K2777))"),"")</f>
        <v/>
      </c>
      <c r="S2777" s="266" t="str">
        <f>IFERROR(__xludf.DUMMYFUNCTION("IF(ISBLANK(A2777),"""",IFERROR(IF(OR(Q2777=""GPB"",Q2777=""ZAR""),IF(Q2777=Dashboard!$L$1,M2777,(M2777*GOOGLEFINANCE(""CURRENCY:""&amp;Q2777&amp;""""&amp;Dashboard!$L$1&amp;""""))/100),IF(Q2777=Dashboard!$L$1,M2777,M2777*GOOGLEFINANCE(""CURRENCY:""&amp;Q2777&amp;""""&amp;Dashboard!$"&amp;"L$1&amp;""""))),M2777))"),"")</f>
        <v/>
      </c>
      <c r="T2777" s="264" t="str">
        <f t="shared" si="4"/>
        <v/>
      </c>
      <c r="U2777" s="264" t="str">
        <f t="shared" si="5"/>
        <v/>
      </c>
      <c r="V2777" s="264" t="str">
        <f t="shared" si="6"/>
        <v/>
      </c>
      <c r="W2777" s="267" t="str">
        <f t="shared" si="8"/>
        <v/>
      </c>
      <c r="X2777" s="264" t="str">
        <f t="shared" si="7"/>
        <v/>
      </c>
    </row>
    <row r="2778" ht="15.75" customHeight="1">
      <c r="A2778" s="258"/>
      <c r="B2778" s="258"/>
      <c r="C2778" s="269"/>
      <c r="D2778" s="258"/>
      <c r="E2778" s="258"/>
      <c r="F2778" s="258"/>
      <c r="G2778" s="258"/>
      <c r="H2778" s="271"/>
      <c r="I2778" s="258"/>
      <c r="J2778" s="272"/>
      <c r="K2778" s="260"/>
      <c r="L2778" s="261"/>
      <c r="M2778" s="262" t="str">
        <f t="shared" si="1"/>
        <v/>
      </c>
      <c r="N2778" s="263" t="str">
        <f t="shared" si="2"/>
        <v/>
      </c>
      <c r="O2778" s="264" t="str">
        <f t="shared" si="3"/>
        <v/>
      </c>
      <c r="P2778" s="265" t="str">
        <f>IFERROR(__xludf.DUMMYFUNCTION("IF(ISBLANK(A2778),"""",IFERROR(IF(H2778=""Sell"",VLOOKUP(9^99,FILTER({ROW(P$2:P2777),P$2:P2777},D$2:D2777=D2778),2),(VLOOKUP(9^99,FILTER({ROW(P$2:P2777),P$2:P2777},D$2:D2777=D2778),2)*VLOOKUP(9^99,FILTER({ROW(O$2:O2777),O$2:O2777},D$2:D2777=D2778),2)-N277"&amp;"8)/O2778),J2778))"),"")</f>
        <v/>
      </c>
      <c r="Q2778" s="264" t="str">
        <f>IFERROR(__xludf.DUMMYFUNCTION("IFERROR(IF(F2778=""Crypto"",B2778,(IF(ISBLANK(D2778),"""",IF(D2778=""Cash"",B2778,IF(GOOGLEFINANCE(D2778,""CURRENCY"")=""GBX"",""GBP"",GOOGLEFINANCE(D2778,""CURRENCY"")))))),B2778)"),"")</f>
        <v/>
      </c>
      <c r="R2778" s="263" t="str">
        <f>IFERROR(__xludf.DUMMYFUNCTION("IF(ISBLANK(A2778),"""",IFERROR(IF(OR(Q2778=""GPB"",Q2778=""ZAR""),IF(Q2778=Dashboard!$L$1,K2778,(K2778*GOOGLEFINANCE(""CURRENCY:""&amp;Q2778&amp;""""&amp;Dashboard!$L$1&amp;""""))/100),IF(Q2778=Dashboard!$L$1,K2778,K2778*GOOGLEFINANCE(""CURRENCY:""&amp;Q2778&amp;""""&amp;Dashboard!$"&amp;"L$1&amp;""""))),K2778))"),"")</f>
        <v/>
      </c>
      <c r="S2778" s="266" t="str">
        <f>IFERROR(__xludf.DUMMYFUNCTION("IF(ISBLANK(A2778),"""",IFERROR(IF(OR(Q2778=""GPB"",Q2778=""ZAR""),IF(Q2778=Dashboard!$L$1,M2778,(M2778*GOOGLEFINANCE(""CURRENCY:""&amp;Q2778&amp;""""&amp;Dashboard!$L$1&amp;""""))/100),IF(Q2778=Dashboard!$L$1,M2778,M2778*GOOGLEFINANCE(""CURRENCY:""&amp;Q2778&amp;""""&amp;Dashboard!$"&amp;"L$1&amp;""""))),M2778))"),"")</f>
        <v/>
      </c>
      <c r="T2778" s="264" t="str">
        <f t="shared" si="4"/>
        <v/>
      </c>
      <c r="U2778" s="264" t="str">
        <f t="shared" si="5"/>
        <v/>
      </c>
      <c r="V2778" s="264" t="str">
        <f t="shared" si="6"/>
        <v/>
      </c>
      <c r="W2778" s="267" t="str">
        <f t="shared" si="8"/>
        <v/>
      </c>
      <c r="X2778" s="264" t="str">
        <f t="shared" si="7"/>
        <v/>
      </c>
    </row>
    <row r="2779" ht="15.75" customHeight="1">
      <c r="A2779" s="258"/>
      <c r="B2779" s="258"/>
      <c r="C2779" s="269"/>
      <c r="D2779" s="258"/>
      <c r="E2779" s="258"/>
      <c r="F2779" s="258"/>
      <c r="G2779" s="258"/>
      <c r="H2779" s="271"/>
      <c r="I2779" s="258"/>
      <c r="J2779" s="272"/>
      <c r="K2779" s="260"/>
      <c r="L2779" s="261"/>
      <c r="M2779" s="262" t="str">
        <f t="shared" si="1"/>
        <v/>
      </c>
      <c r="N2779" s="263" t="str">
        <f t="shared" si="2"/>
        <v/>
      </c>
      <c r="O2779" s="264" t="str">
        <f t="shared" si="3"/>
        <v/>
      </c>
      <c r="P2779" s="265" t="str">
        <f>IFERROR(__xludf.DUMMYFUNCTION("IF(ISBLANK(A2779),"""",IFERROR(IF(H2779=""Sell"",VLOOKUP(9^99,FILTER({ROW(P$2:P2778),P$2:P2778},D$2:D2778=D2779),2),(VLOOKUP(9^99,FILTER({ROW(P$2:P2778),P$2:P2778},D$2:D2778=D2779),2)*VLOOKUP(9^99,FILTER({ROW(O$2:O2778),O$2:O2778},D$2:D2778=D2779),2)-N277"&amp;"9)/O2779),J2779))"),"")</f>
        <v/>
      </c>
      <c r="Q2779" s="264" t="str">
        <f>IFERROR(__xludf.DUMMYFUNCTION("IFERROR(IF(F2779=""Crypto"",B2779,(IF(ISBLANK(D2779),"""",IF(D2779=""Cash"",B2779,IF(GOOGLEFINANCE(D2779,""CURRENCY"")=""GBX"",""GBP"",GOOGLEFINANCE(D2779,""CURRENCY"")))))),B2779)"),"")</f>
        <v/>
      </c>
      <c r="R2779" s="263" t="str">
        <f>IFERROR(__xludf.DUMMYFUNCTION("IF(ISBLANK(A2779),"""",IFERROR(IF(OR(Q2779=""GPB"",Q2779=""ZAR""),IF(Q2779=Dashboard!$L$1,K2779,(K2779*GOOGLEFINANCE(""CURRENCY:""&amp;Q2779&amp;""""&amp;Dashboard!$L$1&amp;""""))/100),IF(Q2779=Dashboard!$L$1,K2779,K2779*GOOGLEFINANCE(""CURRENCY:""&amp;Q2779&amp;""""&amp;Dashboard!$"&amp;"L$1&amp;""""))),K2779))"),"")</f>
        <v/>
      </c>
      <c r="S2779" s="266" t="str">
        <f>IFERROR(__xludf.DUMMYFUNCTION("IF(ISBLANK(A2779),"""",IFERROR(IF(OR(Q2779=""GPB"",Q2779=""ZAR""),IF(Q2779=Dashboard!$L$1,M2779,(M2779*GOOGLEFINANCE(""CURRENCY:""&amp;Q2779&amp;""""&amp;Dashboard!$L$1&amp;""""))/100),IF(Q2779=Dashboard!$L$1,M2779,M2779*GOOGLEFINANCE(""CURRENCY:""&amp;Q2779&amp;""""&amp;Dashboard!$"&amp;"L$1&amp;""""))),M2779))"),"")</f>
        <v/>
      </c>
      <c r="T2779" s="264" t="str">
        <f t="shared" si="4"/>
        <v/>
      </c>
      <c r="U2779" s="264" t="str">
        <f t="shared" si="5"/>
        <v/>
      </c>
      <c r="V2779" s="264" t="str">
        <f t="shared" si="6"/>
        <v/>
      </c>
      <c r="W2779" s="267" t="str">
        <f t="shared" si="8"/>
        <v/>
      </c>
      <c r="X2779" s="264" t="str">
        <f t="shared" si="7"/>
        <v/>
      </c>
    </row>
    <row r="2780" ht="15.75" customHeight="1">
      <c r="A2780" s="258"/>
      <c r="B2780" s="258"/>
      <c r="C2780" s="269"/>
      <c r="D2780" s="258"/>
      <c r="E2780" s="258"/>
      <c r="F2780" s="258"/>
      <c r="G2780" s="258"/>
      <c r="H2780" s="271"/>
      <c r="I2780" s="258"/>
      <c r="J2780" s="272"/>
      <c r="K2780" s="260"/>
      <c r="L2780" s="261"/>
      <c r="M2780" s="262" t="str">
        <f t="shared" si="1"/>
        <v/>
      </c>
      <c r="N2780" s="263" t="str">
        <f t="shared" si="2"/>
        <v/>
      </c>
      <c r="O2780" s="264" t="str">
        <f t="shared" si="3"/>
        <v/>
      </c>
      <c r="P2780" s="265" t="str">
        <f>IFERROR(__xludf.DUMMYFUNCTION("IF(ISBLANK(A2780),"""",IFERROR(IF(H2780=""Sell"",VLOOKUP(9^99,FILTER({ROW(P$2:P2779),P$2:P2779},D$2:D2779=D2780),2),(VLOOKUP(9^99,FILTER({ROW(P$2:P2779),P$2:P2779},D$2:D2779=D2780),2)*VLOOKUP(9^99,FILTER({ROW(O$2:O2779),O$2:O2779},D$2:D2779=D2780),2)-N278"&amp;"0)/O2780),J2780))"),"")</f>
        <v/>
      </c>
      <c r="Q2780" s="264" t="str">
        <f>IFERROR(__xludf.DUMMYFUNCTION("IFERROR(IF(F2780=""Crypto"",B2780,(IF(ISBLANK(D2780),"""",IF(D2780=""Cash"",B2780,IF(GOOGLEFINANCE(D2780,""CURRENCY"")=""GBX"",""GBP"",GOOGLEFINANCE(D2780,""CURRENCY"")))))),B2780)"),"")</f>
        <v/>
      </c>
      <c r="R2780" s="263" t="str">
        <f>IFERROR(__xludf.DUMMYFUNCTION("IF(ISBLANK(A2780),"""",IFERROR(IF(OR(Q2780=""GPB"",Q2780=""ZAR""),IF(Q2780=Dashboard!$L$1,K2780,(K2780*GOOGLEFINANCE(""CURRENCY:""&amp;Q2780&amp;""""&amp;Dashboard!$L$1&amp;""""))/100),IF(Q2780=Dashboard!$L$1,K2780,K2780*GOOGLEFINANCE(""CURRENCY:""&amp;Q2780&amp;""""&amp;Dashboard!$"&amp;"L$1&amp;""""))),K2780))"),"")</f>
        <v/>
      </c>
      <c r="S2780" s="266" t="str">
        <f>IFERROR(__xludf.DUMMYFUNCTION("IF(ISBLANK(A2780),"""",IFERROR(IF(OR(Q2780=""GPB"",Q2780=""ZAR""),IF(Q2780=Dashboard!$L$1,M2780,(M2780*GOOGLEFINANCE(""CURRENCY:""&amp;Q2780&amp;""""&amp;Dashboard!$L$1&amp;""""))/100),IF(Q2780=Dashboard!$L$1,M2780,M2780*GOOGLEFINANCE(""CURRENCY:""&amp;Q2780&amp;""""&amp;Dashboard!$"&amp;"L$1&amp;""""))),M2780))"),"")</f>
        <v/>
      </c>
      <c r="T2780" s="264" t="str">
        <f t="shared" si="4"/>
        <v/>
      </c>
      <c r="U2780" s="264" t="str">
        <f t="shared" si="5"/>
        <v/>
      </c>
      <c r="V2780" s="264" t="str">
        <f t="shared" si="6"/>
        <v/>
      </c>
      <c r="W2780" s="267" t="str">
        <f t="shared" si="8"/>
        <v/>
      </c>
      <c r="X2780" s="264" t="str">
        <f t="shared" si="7"/>
        <v/>
      </c>
    </row>
    <row r="2781" ht="15.75" customHeight="1">
      <c r="A2781" s="258"/>
      <c r="B2781" s="258"/>
      <c r="C2781" s="269"/>
      <c r="D2781" s="258"/>
      <c r="E2781" s="258"/>
      <c r="F2781" s="258"/>
      <c r="G2781" s="258"/>
      <c r="H2781" s="271"/>
      <c r="I2781" s="258"/>
      <c r="J2781" s="272"/>
      <c r="K2781" s="260"/>
      <c r="L2781" s="261"/>
      <c r="M2781" s="262" t="str">
        <f t="shared" si="1"/>
        <v/>
      </c>
      <c r="N2781" s="263" t="str">
        <f t="shared" si="2"/>
        <v/>
      </c>
      <c r="O2781" s="264" t="str">
        <f t="shared" si="3"/>
        <v/>
      </c>
      <c r="P2781" s="265" t="str">
        <f>IFERROR(__xludf.DUMMYFUNCTION("IF(ISBLANK(A2781),"""",IFERROR(IF(H2781=""Sell"",VLOOKUP(9^99,FILTER({ROW(P$2:P2780),P$2:P2780},D$2:D2780=D2781),2),(VLOOKUP(9^99,FILTER({ROW(P$2:P2780),P$2:P2780},D$2:D2780=D2781),2)*VLOOKUP(9^99,FILTER({ROW(O$2:O2780),O$2:O2780},D$2:D2780=D2781),2)-N278"&amp;"1)/O2781),J2781))"),"")</f>
        <v/>
      </c>
      <c r="Q2781" s="264" t="str">
        <f>IFERROR(__xludf.DUMMYFUNCTION("IFERROR(IF(F2781=""Crypto"",B2781,(IF(ISBLANK(D2781),"""",IF(D2781=""Cash"",B2781,IF(GOOGLEFINANCE(D2781,""CURRENCY"")=""GBX"",""GBP"",GOOGLEFINANCE(D2781,""CURRENCY"")))))),B2781)"),"")</f>
        <v/>
      </c>
      <c r="R2781" s="263" t="str">
        <f>IFERROR(__xludf.DUMMYFUNCTION("IF(ISBLANK(A2781),"""",IFERROR(IF(OR(Q2781=""GPB"",Q2781=""ZAR""),IF(Q2781=Dashboard!$L$1,K2781,(K2781*GOOGLEFINANCE(""CURRENCY:""&amp;Q2781&amp;""""&amp;Dashboard!$L$1&amp;""""))/100),IF(Q2781=Dashboard!$L$1,K2781,K2781*GOOGLEFINANCE(""CURRENCY:""&amp;Q2781&amp;""""&amp;Dashboard!$"&amp;"L$1&amp;""""))),K2781))"),"")</f>
        <v/>
      </c>
      <c r="S2781" s="266" t="str">
        <f>IFERROR(__xludf.DUMMYFUNCTION("IF(ISBLANK(A2781),"""",IFERROR(IF(OR(Q2781=""GPB"",Q2781=""ZAR""),IF(Q2781=Dashboard!$L$1,M2781,(M2781*GOOGLEFINANCE(""CURRENCY:""&amp;Q2781&amp;""""&amp;Dashboard!$L$1&amp;""""))/100),IF(Q2781=Dashboard!$L$1,M2781,M2781*GOOGLEFINANCE(""CURRENCY:""&amp;Q2781&amp;""""&amp;Dashboard!$"&amp;"L$1&amp;""""))),M2781))"),"")</f>
        <v/>
      </c>
      <c r="T2781" s="264" t="str">
        <f t="shared" si="4"/>
        <v/>
      </c>
      <c r="U2781" s="264" t="str">
        <f t="shared" si="5"/>
        <v/>
      </c>
      <c r="V2781" s="264" t="str">
        <f t="shared" si="6"/>
        <v/>
      </c>
      <c r="W2781" s="267" t="str">
        <f t="shared" si="8"/>
        <v/>
      </c>
      <c r="X2781" s="264" t="str">
        <f t="shared" si="7"/>
        <v/>
      </c>
    </row>
    <row r="2782" ht="15.75" customHeight="1">
      <c r="A2782" s="258"/>
      <c r="B2782" s="258"/>
      <c r="C2782" s="269"/>
      <c r="D2782" s="258"/>
      <c r="E2782" s="258"/>
      <c r="F2782" s="258"/>
      <c r="G2782" s="258"/>
      <c r="H2782" s="271"/>
      <c r="I2782" s="258"/>
      <c r="J2782" s="272"/>
      <c r="K2782" s="260"/>
      <c r="L2782" s="261"/>
      <c r="M2782" s="262" t="str">
        <f t="shared" si="1"/>
        <v/>
      </c>
      <c r="N2782" s="263" t="str">
        <f t="shared" si="2"/>
        <v/>
      </c>
      <c r="O2782" s="264" t="str">
        <f t="shared" si="3"/>
        <v/>
      </c>
      <c r="P2782" s="265" t="str">
        <f>IFERROR(__xludf.DUMMYFUNCTION("IF(ISBLANK(A2782),"""",IFERROR(IF(H2782=""Sell"",VLOOKUP(9^99,FILTER({ROW(P$2:P2781),P$2:P2781},D$2:D2781=D2782),2),(VLOOKUP(9^99,FILTER({ROW(P$2:P2781),P$2:P2781},D$2:D2781=D2782),2)*VLOOKUP(9^99,FILTER({ROW(O$2:O2781),O$2:O2781},D$2:D2781=D2782),2)-N278"&amp;"2)/O2782),J2782))"),"")</f>
        <v/>
      </c>
      <c r="Q2782" s="264" t="str">
        <f>IFERROR(__xludf.DUMMYFUNCTION("IFERROR(IF(F2782=""Crypto"",B2782,(IF(ISBLANK(D2782),"""",IF(D2782=""Cash"",B2782,IF(GOOGLEFINANCE(D2782,""CURRENCY"")=""GBX"",""GBP"",GOOGLEFINANCE(D2782,""CURRENCY"")))))),B2782)"),"")</f>
        <v/>
      </c>
      <c r="R2782" s="263" t="str">
        <f>IFERROR(__xludf.DUMMYFUNCTION("IF(ISBLANK(A2782),"""",IFERROR(IF(OR(Q2782=""GPB"",Q2782=""ZAR""),IF(Q2782=Dashboard!$L$1,K2782,(K2782*GOOGLEFINANCE(""CURRENCY:""&amp;Q2782&amp;""""&amp;Dashboard!$L$1&amp;""""))/100),IF(Q2782=Dashboard!$L$1,K2782,K2782*GOOGLEFINANCE(""CURRENCY:""&amp;Q2782&amp;""""&amp;Dashboard!$"&amp;"L$1&amp;""""))),K2782))"),"")</f>
        <v/>
      </c>
      <c r="S2782" s="266" t="str">
        <f>IFERROR(__xludf.DUMMYFUNCTION("IF(ISBLANK(A2782),"""",IFERROR(IF(OR(Q2782=""GPB"",Q2782=""ZAR""),IF(Q2782=Dashboard!$L$1,M2782,(M2782*GOOGLEFINANCE(""CURRENCY:""&amp;Q2782&amp;""""&amp;Dashboard!$L$1&amp;""""))/100),IF(Q2782=Dashboard!$L$1,M2782,M2782*GOOGLEFINANCE(""CURRENCY:""&amp;Q2782&amp;""""&amp;Dashboard!$"&amp;"L$1&amp;""""))),M2782))"),"")</f>
        <v/>
      </c>
      <c r="T2782" s="264" t="str">
        <f t="shared" si="4"/>
        <v/>
      </c>
      <c r="U2782" s="264" t="str">
        <f t="shared" si="5"/>
        <v/>
      </c>
      <c r="V2782" s="264" t="str">
        <f t="shared" si="6"/>
        <v/>
      </c>
      <c r="W2782" s="267" t="str">
        <f t="shared" si="8"/>
        <v/>
      </c>
      <c r="X2782" s="264" t="str">
        <f t="shared" si="7"/>
        <v/>
      </c>
    </row>
    <row r="2783" ht="15.75" customHeight="1">
      <c r="A2783" s="258"/>
      <c r="B2783" s="258"/>
      <c r="C2783" s="269"/>
      <c r="D2783" s="258"/>
      <c r="E2783" s="258"/>
      <c r="F2783" s="258"/>
      <c r="G2783" s="258"/>
      <c r="H2783" s="271"/>
      <c r="I2783" s="258"/>
      <c r="J2783" s="272"/>
      <c r="K2783" s="260"/>
      <c r="L2783" s="261"/>
      <c r="M2783" s="262" t="str">
        <f t="shared" si="1"/>
        <v/>
      </c>
      <c r="N2783" s="263" t="str">
        <f t="shared" si="2"/>
        <v/>
      </c>
      <c r="O2783" s="264" t="str">
        <f t="shared" si="3"/>
        <v/>
      </c>
      <c r="P2783" s="265" t="str">
        <f>IFERROR(__xludf.DUMMYFUNCTION("IF(ISBLANK(A2783),"""",IFERROR(IF(H2783=""Sell"",VLOOKUP(9^99,FILTER({ROW(P$2:P2782),P$2:P2782},D$2:D2782=D2783),2),(VLOOKUP(9^99,FILTER({ROW(P$2:P2782),P$2:P2782},D$2:D2782=D2783),2)*VLOOKUP(9^99,FILTER({ROW(O$2:O2782),O$2:O2782},D$2:D2782=D2783),2)-N278"&amp;"3)/O2783),J2783))"),"")</f>
        <v/>
      </c>
      <c r="Q2783" s="264" t="str">
        <f>IFERROR(__xludf.DUMMYFUNCTION("IFERROR(IF(F2783=""Crypto"",B2783,(IF(ISBLANK(D2783),"""",IF(D2783=""Cash"",B2783,IF(GOOGLEFINANCE(D2783,""CURRENCY"")=""GBX"",""GBP"",GOOGLEFINANCE(D2783,""CURRENCY"")))))),B2783)"),"")</f>
        <v/>
      </c>
      <c r="R2783" s="263" t="str">
        <f>IFERROR(__xludf.DUMMYFUNCTION("IF(ISBLANK(A2783),"""",IFERROR(IF(OR(Q2783=""GPB"",Q2783=""ZAR""),IF(Q2783=Dashboard!$L$1,K2783,(K2783*GOOGLEFINANCE(""CURRENCY:""&amp;Q2783&amp;""""&amp;Dashboard!$L$1&amp;""""))/100),IF(Q2783=Dashboard!$L$1,K2783,K2783*GOOGLEFINANCE(""CURRENCY:""&amp;Q2783&amp;""""&amp;Dashboard!$"&amp;"L$1&amp;""""))),K2783))"),"")</f>
        <v/>
      </c>
      <c r="S2783" s="266" t="str">
        <f>IFERROR(__xludf.DUMMYFUNCTION("IF(ISBLANK(A2783),"""",IFERROR(IF(OR(Q2783=""GPB"",Q2783=""ZAR""),IF(Q2783=Dashboard!$L$1,M2783,(M2783*GOOGLEFINANCE(""CURRENCY:""&amp;Q2783&amp;""""&amp;Dashboard!$L$1&amp;""""))/100),IF(Q2783=Dashboard!$L$1,M2783,M2783*GOOGLEFINANCE(""CURRENCY:""&amp;Q2783&amp;""""&amp;Dashboard!$"&amp;"L$1&amp;""""))),M2783))"),"")</f>
        <v/>
      </c>
      <c r="T2783" s="264" t="str">
        <f t="shared" si="4"/>
        <v/>
      </c>
      <c r="U2783" s="264" t="str">
        <f t="shared" si="5"/>
        <v/>
      </c>
      <c r="V2783" s="264" t="str">
        <f t="shared" si="6"/>
        <v/>
      </c>
      <c r="W2783" s="267" t="str">
        <f t="shared" si="8"/>
        <v/>
      </c>
      <c r="X2783" s="264" t="str">
        <f t="shared" si="7"/>
        <v/>
      </c>
    </row>
    <row r="2784" ht="15.75" customHeight="1">
      <c r="A2784" s="258"/>
      <c r="B2784" s="258"/>
      <c r="C2784" s="269"/>
      <c r="D2784" s="258"/>
      <c r="E2784" s="258"/>
      <c r="F2784" s="258"/>
      <c r="G2784" s="258"/>
      <c r="H2784" s="271"/>
      <c r="I2784" s="258"/>
      <c r="J2784" s="272"/>
      <c r="K2784" s="260"/>
      <c r="L2784" s="261"/>
      <c r="M2784" s="262" t="str">
        <f t="shared" si="1"/>
        <v/>
      </c>
      <c r="N2784" s="263" t="str">
        <f t="shared" si="2"/>
        <v/>
      </c>
      <c r="O2784" s="264" t="str">
        <f t="shared" si="3"/>
        <v/>
      </c>
      <c r="P2784" s="265" t="str">
        <f>IFERROR(__xludf.DUMMYFUNCTION("IF(ISBLANK(A2784),"""",IFERROR(IF(H2784=""Sell"",VLOOKUP(9^99,FILTER({ROW(P$2:P2783),P$2:P2783},D$2:D2783=D2784),2),(VLOOKUP(9^99,FILTER({ROW(P$2:P2783),P$2:P2783},D$2:D2783=D2784),2)*VLOOKUP(9^99,FILTER({ROW(O$2:O2783),O$2:O2783},D$2:D2783=D2784),2)-N278"&amp;"4)/O2784),J2784))"),"")</f>
        <v/>
      </c>
      <c r="Q2784" s="264" t="str">
        <f>IFERROR(__xludf.DUMMYFUNCTION("IFERROR(IF(F2784=""Crypto"",B2784,(IF(ISBLANK(D2784),"""",IF(D2784=""Cash"",B2784,IF(GOOGLEFINANCE(D2784,""CURRENCY"")=""GBX"",""GBP"",GOOGLEFINANCE(D2784,""CURRENCY"")))))),B2784)"),"")</f>
        <v/>
      </c>
      <c r="R2784" s="263" t="str">
        <f>IFERROR(__xludf.DUMMYFUNCTION("IF(ISBLANK(A2784),"""",IFERROR(IF(OR(Q2784=""GPB"",Q2784=""ZAR""),IF(Q2784=Dashboard!$L$1,K2784,(K2784*GOOGLEFINANCE(""CURRENCY:""&amp;Q2784&amp;""""&amp;Dashboard!$L$1&amp;""""))/100),IF(Q2784=Dashboard!$L$1,K2784,K2784*GOOGLEFINANCE(""CURRENCY:""&amp;Q2784&amp;""""&amp;Dashboard!$"&amp;"L$1&amp;""""))),K2784))"),"")</f>
        <v/>
      </c>
      <c r="S2784" s="266" t="str">
        <f>IFERROR(__xludf.DUMMYFUNCTION("IF(ISBLANK(A2784),"""",IFERROR(IF(OR(Q2784=""GPB"",Q2784=""ZAR""),IF(Q2784=Dashboard!$L$1,M2784,(M2784*GOOGLEFINANCE(""CURRENCY:""&amp;Q2784&amp;""""&amp;Dashboard!$L$1&amp;""""))/100),IF(Q2784=Dashboard!$L$1,M2784,M2784*GOOGLEFINANCE(""CURRENCY:""&amp;Q2784&amp;""""&amp;Dashboard!$"&amp;"L$1&amp;""""))),M2784))"),"")</f>
        <v/>
      </c>
      <c r="T2784" s="264" t="str">
        <f t="shared" si="4"/>
        <v/>
      </c>
      <c r="U2784" s="264" t="str">
        <f t="shared" si="5"/>
        <v/>
      </c>
      <c r="V2784" s="264" t="str">
        <f t="shared" si="6"/>
        <v/>
      </c>
      <c r="W2784" s="267" t="str">
        <f t="shared" si="8"/>
        <v/>
      </c>
      <c r="X2784" s="264" t="str">
        <f t="shared" si="7"/>
        <v/>
      </c>
    </row>
    <row r="2785" ht="15.75" customHeight="1">
      <c r="A2785" s="258"/>
      <c r="B2785" s="258"/>
      <c r="C2785" s="269"/>
      <c r="D2785" s="258"/>
      <c r="E2785" s="258"/>
      <c r="F2785" s="258"/>
      <c r="G2785" s="258"/>
      <c r="H2785" s="271"/>
      <c r="I2785" s="258"/>
      <c r="J2785" s="272"/>
      <c r="K2785" s="260"/>
      <c r="L2785" s="261"/>
      <c r="M2785" s="262" t="str">
        <f t="shared" si="1"/>
        <v/>
      </c>
      <c r="N2785" s="263" t="str">
        <f t="shared" si="2"/>
        <v/>
      </c>
      <c r="O2785" s="264" t="str">
        <f t="shared" si="3"/>
        <v/>
      </c>
      <c r="P2785" s="265" t="str">
        <f>IFERROR(__xludf.DUMMYFUNCTION("IF(ISBLANK(A2785),"""",IFERROR(IF(H2785=""Sell"",VLOOKUP(9^99,FILTER({ROW(P$2:P2784),P$2:P2784},D$2:D2784=D2785),2),(VLOOKUP(9^99,FILTER({ROW(P$2:P2784),P$2:P2784},D$2:D2784=D2785),2)*VLOOKUP(9^99,FILTER({ROW(O$2:O2784),O$2:O2784},D$2:D2784=D2785),2)-N278"&amp;"5)/O2785),J2785))"),"")</f>
        <v/>
      </c>
      <c r="Q2785" s="264" t="str">
        <f>IFERROR(__xludf.DUMMYFUNCTION("IFERROR(IF(F2785=""Crypto"",B2785,(IF(ISBLANK(D2785),"""",IF(D2785=""Cash"",B2785,IF(GOOGLEFINANCE(D2785,""CURRENCY"")=""GBX"",""GBP"",GOOGLEFINANCE(D2785,""CURRENCY"")))))),B2785)"),"")</f>
        <v/>
      </c>
      <c r="R2785" s="263" t="str">
        <f>IFERROR(__xludf.DUMMYFUNCTION("IF(ISBLANK(A2785),"""",IFERROR(IF(OR(Q2785=""GPB"",Q2785=""ZAR""),IF(Q2785=Dashboard!$L$1,K2785,(K2785*GOOGLEFINANCE(""CURRENCY:""&amp;Q2785&amp;""""&amp;Dashboard!$L$1&amp;""""))/100),IF(Q2785=Dashboard!$L$1,K2785,K2785*GOOGLEFINANCE(""CURRENCY:""&amp;Q2785&amp;""""&amp;Dashboard!$"&amp;"L$1&amp;""""))),K2785))"),"")</f>
        <v/>
      </c>
      <c r="S2785" s="266" t="str">
        <f>IFERROR(__xludf.DUMMYFUNCTION("IF(ISBLANK(A2785),"""",IFERROR(IF(OR(Q2785=""GPB"",Q2785=""ZAR""),IF(Q2785=Dashboard!$L$1,M2785,(M2785*GOOGLEFINANCE(""CURRENCY:""&amp;Q2785&amp;""""&amp;Dashboard!$L$1&amp;""""))/100),IF(Q2785=Dashboard!$L$1,M2785,M2785*GOOGLEFINANCE(""CURRENCY:""&amp;Q2785&amp;""""&amp;Dashboard!$"&amp;"L$1&amp;""""))),M2785))"),"")</f>
        <v/>
      </c>
      <c r="T2785" s="264" t="str">
        <f t="shared" si="4"/>
        <v/>
      </c>
      <c r="U2785" s="264" t="str">
        <f t="shared" si="5"/>
        <v/>
      </c>
      <c r="V2785" s="264" t="str">
        <f t="shared" si="6"/>
        <v/>
      </c>
      <c r="W2785" s="267" t="str">
        <f t="shared" si="8"/>
        <v/>
      </c>
      <c r="X2785" s="264" t="str">
        <f t="shared" si="7"/>
        <v/>
      </c>
    </row>
    <row r="2786" ht="15.75" customHeight="1">
      <c r="A2786" s="258"/>
      <c r="B2786" s="258"/>
      <c r="C2786" s="269"/>
      <c r="D2786" s="258"/>
      <c r="E2786" s="258"/>
      <c r="F2786" s="258"/>
      <c r="G2786" s="258"/>
      <c r="H2786" s="271"/>
      <c r="I2786" s="258"/>
      <c r="J2786" s="272"/>
      <c r="K2786" s="260"/>
      <c r="L2786" s="261"/>
      <c r="M2786" s="262" t="str">
        <f t="shared" si="1"/>
        <v/>
      </c>
      <c r="N2786" s="263" t="str">
        <f t="shared" si="2"/>
        <v/>
      </c>
      <c r="O2786" s="264" t="str">
        <f t="shared" si="3"/>
        <v/>
      </c>
      <c r="P2786" s="265" t="str">
        <f>IFERROR(__xludf.DUMMYFUNCTION("IF(ISBLANK(A2786),"""",IFERROR(IF(H2786=""Sell"",VLOOKUP(9^99,FILTER({ROW(P$2:P2785),P$2:P2785},D$2:D2785=D2786),2),(VLOOKUP(9^99,FILTER({ROW(P$2:P2785),P$2:P2785},D$2:D2785=D2786),2)*VLOOKUP(9^99,FILTER({ROW(O$2:O2785),O$2:O2785},D$2:D2785=D2786),2)-N278"&amp;"6)/O2786),J2786))"),"")</f>
        <v/>
      </c>
      <c r="Q2786" s="264" t="str">
        <f>IFERROR(__xludf.DUMMYFUNCTION("IFERROR(IF(F2786=""Crypto"",B2786,(IF(ISBLANK(D2786),"""",IF(D2786=""Cash"",B2786,IF(GOOGLEFINANCE(D2786,""CURRENCY"")=""GBX"",""GBP"",GOOGLEFINANCE(D2786,""CURRENCY"")))))),B2786)"),"")</f>
        <v/>
      </c>
      <c r="R2786" s="263" t="str">
        <f>IFERROR(__xludf.DUMMYFUNCTION("IF(ISBLANK(A2786),"""",IFERROR(IF(OR(Q2786=""GPB"",Q2786=""ZAR""),IF(Q2786=Dashboard!$L$1,K2786,(K2786*GOOGLEFINANCE(""CURRENCY:""&amp;Q2786&amp;""""&amp;Dashboard!$L$1&amp;""""))/100),IF(Q2786=Dashboard!$L$1,K2786,K2786*GOOGLEFINANCE(""CURRENCY:""&amp;Q2786&amp;""""&amp;Dashboard!$"&amp;"L$1&amp;""""))),K2786))"),"")</f>
        <v/>
      </c>
      <c r="S2786" s="266" t="str">
        <f>IFERROR(__xludf.DUMMYFUNCTION("IF(ISBLANK(A2786),"""",IFERROR(IF(OR(Q2786=""GPB"",Q2786=""ZAR""),IF(Q2786=Dashboard!$L$1,M2786,(M2786*GOOGLEFINANCE(""CURRENCY:""&amp;Q2786&amp;""""&amp;Dashboard!$L$1&amp;""""))/100),IF(Q2786=Dashboard!$L$1,M2786,M2786*GOOGLEFINANCE(""CURRENCY:""&amp;Q2786&amp;""""&amp;Dashboard!$"&amp;"L$1&amp;""""))),M2786))"),"")</f>
        <v/>
      </c>
      <c r="T2786" s="264" t="str">
        <f t="shared" si="4"/>
        <v/>
      </c>
      <c r="U2786" s="264" t="str">
        <f t="shared" si="5"/>
        <v/>
      </c>
      <c r="V2786" s="264" t="str">
        <f t="shared" si="6"/>
        <v/>
      </c>
      <c r="W2786" s="267" t="str">
        <f t="shared" si="8"/>
        <v/>
      </c>
      <c r="X2786" s="264" t="str">
        <f t="shared" si="7"/>
        <v/>
      </c>
    </row>
    <row r="2787" ht="15.75" customHeight="1">
      <c r="A2787" s="258"/>
      <c r="B2787" s="258"/>
      <c r="C2787" s="269"/>
      <c r="D2787" s="258"/>
      <c r="E2787" s="258"/>
      <c r="F2787" s="258"/>
      <c r="G2787" s="258"/>
      <c r="H2787" s="271"/>
      <c r="I2787" s="258"/>
      <c r="J2787" s="272"/>
      <c r="K2787" s="260"/>
      <c r="L2787" s="261"/>
      <c r="M2787" s="262" t="str">
        <f t="shared" si="1"/>
        <v/>
      </c>
      <c r="N2787" s="263" t="str">
        <f t="shared" si="2"/>
        <v/>
      </c>
      <c r="O2787" s="264" t="str">
        <f t="shared" si="3"/>
        <v/>
      </c>
      <c r="P2787" s="265" t="str">
        <f>IFERROR(__xludf.DUMMYFUNCTION("IF(ISBLANK(A2787),"""",IFERROR(IF(H2787=""Sell"",VLOOKUP(9^99,FILTER({ROW(P$2:P2786),P$2:P2786},D$2:D2786=D2787),2),(VLOOKUP(9^99,FILTER({ROW(P$2:P2786),P$2:P2786},D$2:D2786=D2787),2)*VLOOKUP(9^99,FILTER({ROW(O$2:O2786),O$2:O2786},D$2:D2786=D2787),2)-N278"&amp;"7)/O2787),J2787))"),"")</f>
        <v/>
      </c>
      <c r="Q2787" s="264" t="str">
        <f>IFERROR(__xludf.DUMMYFUNCTION("IFERROR(IF(F2787=""Crypto"",B2787,(IF(ISBLANK(D2787),"""",IF(D2787=""Cash"",B2787,IF(GOOGLEFINANCE(D2787,""CURRENCY"")=""GBX"",""GBP"",GOOGLEFINANCE(D2787,""CURRENCY"")))))),B2787)"),"")</f>
        <v/>
      </c>
      <c r="R2787" s="263" t="str">
        <f>IFERROR(__xludf.DUMMYFUNCTION("IF(ISBLANK(A2787),"""",IFERROR(IF(OR(Q2787=""GPB"",Q2787=""ZAR""),IF(Q2787=Dashboard!$L$1,K2787,(K2787*GOOGLEFINANCE(""CURRENCY:""&amp;Q2787&amp;""""&amp;Dashboard!$L$1&amp;""""))/100),IF(Q2787=Dashboard!$L$1,K2787,K2787*GOOGLEFINANCE(""CURRENCY:""&amp;Q2787&amp;""""&amp;Dashboard!$"&amp;"L$1&amp;""""))),K2787))"),"")</f>
        <v/>
      </c>
      <c r="S2787" s="266" t="str">
        <f>IFERROR(__xludf.DUMMYFUNCTION("IF(ISBLANK(A2787),"""",IFERROR(IF(OR(Q2787=""GPB"",Q2787=""ZAR""),IF(Q2787=Dashboard!$L$1,M2787,(M2787*GOOGLEFINANCE(""CURRENCY:""&amp;Q2787&amp;""""&amp;Dashboard!$L$1&amp;""""))/100),IF(Q2787=Dashboard!$L$1,M2787,M2787*GOOGLEFINANCE(""CURRENCY:""&amp;Q2787&amp;""""&amp;Dashboard!$"&amp;"L$1&amp;""""))),M2787))"),"")</f>
        <v/>
      </c>
      <c r="T2787" s="264" t="str">
        <f t="shared" si="4"/>
        <v/>
      </c>
      <c r="U2787" s="264" t="str">
        <f t="shared" si="5"/>
        <v/>
      </c>
      <c r="V2787" s="264" t="str">
        <f t="shared" si="6"/>
        <v/>
      </c>
      <c r="W2787" s="267" t="str">
        <f t="shared" si="8"/>
        <v/>
      </c>
      <c r="X2787" s="264" t="str">
        <f t="shared" si="7"/>
        <v/>
      </c>
    </row>
    <row r="2788" ht="15.75" customHeight="1">
      <c r="A2788" s="258"/>
      <c r="B2788" s="258"/>
      <c r="C2788" s="269"/>
      <c r="D2788" s="258"/>
      <c r="E2788" s="258"/>
      <c r="F2788" s="258"/>
      <c r="G2788" s="258"/>
      <c r="H2788" s="271"/>
      <c r="I2788" s="258"/>
      <c r="J2788" s="272"/>
      <c r="K2788" s="260"/>
      <c r="L2788" s="261"/>
      <c r="M2788" s="262" t="str">
        <f t="shared" si="1"/>
        <v/>
      </c>
      <c r="N2788" s="263" t="str">
        <f t="shared" si="2"/>
        <v/>
      </c>
      <c r="O2788" s="264" t="str">
        <f t="shared" si="3"/>
        <v/>
      </c>
      <c r="P2788" s="265" t="str">
        <f>IFERROR(__xludf.DUMMYFUNCTION("IF(ISBLANK(A2788),"""",IFERROR(IF(H2788=""Sell"",VLOOKUP(9^99,FILTER({ROW(P$2:P2787),P$2:P2787},D$2:D2787=D2788),2),(VLOOKUP(9^99,FILTER({ROW(P$2:P2787),P$2:P2787},D$2:D2787=D2788),2)*VLOOKUP(9^99,FILTER({ROW(O$2:O2787),O$2:O2787},D$2:D2787=D2788),2)-N278"&amp;"8)/O2788),J2788))"),"")</f>
        <v/>
      </c>
      <c r="Q2788" s="264" t="str">
        <f>IFERROR(__xludf.DUMMYFUNCTION("IFERROR(IF(F2788=""Crypto"",B2788,(IF(ISBLANK(D2788),"""",IF(D2788=""Cash"",B2788,IF(GOOGLEFINANCE(D2788,""CURRENCY"")=""GBX"",""GBP"",GOOGLEFINANCE(D2788,""CURRENCY"")))))),B2788)"),"")</f>
        <v/>
      </c>
      <c r="R2788" s="263" t="str">
        <f>IFERROR(__xludf.DUMMYFUNCTION("IF(ISBLANK(A2788),"""",IFERROR(IF(OR(Q2788=""GPB"",Q2788=""ZAR""),IF(Q2788=Dashboard!$L$1,K2788,(K2788*GOOGLEFINANCE(""CURRENCY:""&amp;Q2788&amp;""""&amp;Dashboard!$L$1&amp;""""))/100),IF(Q2788=Dashboard!$L$1,K2788,K2788*GOOGLEFINANCE(""CURRENCY:""&amp;Q2788&amp;""""&amp;Dashboard!$"&amp;"L$1&amp;""""))),K2788))"),"")</f>
        <v/>
      </c>
      <c r="S2788" s="266" t="str">
        <f>IFERROR(__xludf.DUMMYFUNCTION("IF(ISBLANK(A2788),"""",IFERROR(IF(OR(Q2788=""GPB"",Q2788=""ZAR""),IF(Q2788=Dashboard!$L$1,M2788,(M2788*GOOGLEFINANCE(""CURRENCY:""&amp;Q2788&amp;""""&amp;Dashboard!$L$1&amp;""""))/100),IF(Q2788=Dashboard!$L$1,M2788,M2788*GOOGLEFINANCE(""CURRENCY:""&amp;Q2788&amp;""""&amp;Dashboard!$"&amp;"L$1&amp;""""))),M2788))"),"")</f>
        <v/>
      </c>
      <c r="T2788" s="264" t="str">
        <f t="shared" si="4"/>
        <v/>
      </c>
      <c r="U2788" s="264" t="str">
        <f t="shared" si="5"/>
        <v/>
      </c>
      <c r="V2788" s="264" t="str">
        <f t="shared" si="6"/>
        <v/>
      </c>
      <c r="W2788" s="267" t="str">
        <f t="shared" si="8"/>
        <v/>
      </c>
      <c r="X2788" s="264" t="str">
        <f t="shared" si="7"/>
        <v/>
      </c>
    </row>
    <row r="2789" ht="15.75" customHeight="1">
      <c r="A2789" s="258"/>
      <c r="B2789" s="258"/>
      <c r="C2789" s="269"/>
      <c r="D2789" s="258"/>
      <c r="E2789" s="258"/>
      <c r="F2789" s="258"/>
      <c r="G2789" s="258"/>
      <c r="H2789" s="271"/>
      <c r="I2789" s="258"/>
      <c r="J2789" s="272"/>
      <c r="K2789" s="260"/>
      <c r="L2789" s="261"/>
      <c r="M2789" s="262" t="str">
        <f t="shared" si="1"/>
        <v/>
      </c>
      <c r="N2789" s="263" t="str">
        <f t="shared" si="2"/>
        <v/>
      </c>
      <c r="O2789" s="264" t="str">
        <f t="shared" si="3"/>
        <v/>
      </c>
      <c r="P2789" s="265" t="str">
        <f>IFERROR(__xludf.DUMMYFUNCTION("IF(ISBLANK(A2789),"""",IFERROR(IF(H2789=""Sell"",VLOOKUP(9^99,FILTER({ROW(P$2:P2788),P$2:P2788},D$2:D2788=D2789),2),(VLOOKUP(9^99,FILTER({ROW(P$2:P2788),P$2:P2788},D$2:D2788=D2789),2)*VLOOKUP(9^99,FILTER({ROW(O$2:O2788),O$2:O2788},D$2:D2788=D2789),2)-N278"&amp;"9)/O2789),J2789))"),"")</f>
        <v/>
      </c>
      <c r="Q2789" s="264" t="str">
        <f>IFERROR(__xludf.DUMMYFUNCTION("IFERROR(IF(F2789=""Crypto"",B2789,(IF(ISBLANK(D2789),"""",IF(D2789=""Cash"",B2789,IF(GOOGLEFINANCE(D2789,""CURRENCY"")=""GBX"",""GBP"",GOOGLEFINANCE(D2789,""CURRENCY"")))))),B2789)"),"")</f>
        <v/>
      </c>
      <c r="R2789" s="263" t="str">
        <f>IFERROR(__xludf.DUMMYFUNCTION("IF(ISBLANK(A2789),"""",IFERROR(IF(OR(Q2789=""GPB"",Q2789=""ZAR""),IF(Q2789=Dashboard!$L$1,K2789,(K2789*GOOGLEFINANCE(""CURRENCY:""&amp;Q2789&amp;""""&amp;Dashboard!$L$1&amp;""""))/100),IF(Q2789=Dashboard!$L$1,K2789,K2789*GOOGLEFINANCE(""CURRENCY:""&amp;Q2789&amp;""""&amp;Dashboard!$"&amp;"L$1&amp;""""))),K2789))"),"")</f>
        <v/>
      </c>
      <c r="S2789" s="266" t="str">
        <f>IFERROR(__xludf.DUMMYFUNCTION("IF(ISBLANK(A2789),"""",IFERROR(IF(OR(Q2789=""GPB"",Q2789=""ZAR""),IF(Q2789=Dashboard!$L$1,M2789,(M2789*GOOGLEFINANCE(""CURRENCY:""&amp;Q2789&amp;""""&amp;Dashboard!$L$1&amp;""""))/100),IF(Q2789=Dashboard!$L$1,M2789,M2789*GOOGLEFINANCE(""CURRENCY:""&amp;Q2789&amp;""""&amp;Dashboard!$"&amp;"L$1&amp;""""))),M2789))"),"")</f>
        <v/>
      </c>
      <c r="T2789" s="264" t="str">
        <f t="shared" si="4"/>
        <v/>
      </c>
      <c r="U2789" s="264" t="str">
        <f t="shared" si="5"/>
        <v/>
      </c>
      <c r="V2789" s="264" t="str">
        <f t="shared" si="6"/>
        <v/>
      </c>
      <c r="W2789" s="267" t="str">
        <f t="shared" si="8"/>
        <v/>
      </c>
      <c r="X2789" s="264" t="str">
        <f t="shared" si="7"/>
        <v/>
      </c>
    </row>
    <row r="2790" ht="15.75" customHeight="1">
      <c r="A2790" s="258"/>
      <c r="B2790" s="258"/>
      <c r="C2790" s="269"/>
      <c r="D2790" s="258"/>
      <c r="E2790" s="258"/>
      <c r="F2790" s="258"/>
      <c r="G2790" s="258"/>
      <c r="H2790" s="271"/>
      <c r="I2790" s="258"/>
      <c r="J2790" s="272"/>
      <c r="K2790" s="260"/>
      <c r="L2790" s="261"/>
      <c r="M2790" s="262" t="str">
        <f t="shared" si="1"/>
        <v/>
      </c>
      <c r="N2790" s="263" t="str">
        <f t="shared" si="2"/>
        <v/>
      </c>
      <c r="O2790" s="264" t="str">
        <f t="shared" si="3"/>
        <v/>
      </c>
      <c r="P2790" s="265" t="str">
        <f>IFERROR(__xludf.DUMMYFUNCTION("IF(ISBLANK(A2790),"""",IFERROR(IF(H2790=""Sell"",VLOOKUP(9^99,FILTER({ROW(P$2:P2789),P$2:P2789},D$2:D2789=D2790),2),(VLOOKUP(9^99,FILTER({ROW(P$2:P2789),P$2:P2789},D$2:D2789=D2790),2)*VLOOKUP(9^99,FILTER({ROW(O$2:O2789),O$2:O2789},D$2:D2789=D2790),2)-N279"&amp;"0)/O2790),J2790))"),"")</f>
        <v/>
      </c>
      <c r="Q2790" s="264" t="str">
        <f>IFERROR(__xludf.DUMMYFUNCTION("IFERROR(IF(F2790=""Crypto"",B2790,(IF(ISBLANK(D2790),"""",IF(D2790=""Cash"",B2790,IF(GOOGLEFINANCE(D2790,""CURRENCY"")=""GBX"",""GBP"",GOOGLEFINANCE(D2790,""CURRENCY"")))))),B2790)"),"")</f>
        <v/>
      </c>
      <c r="R2790" s="263" t="str">
        <f>IFERROR(__xludf.DUMMYFUNCTION("IF(ISBLANK(A2790),"""",IFERROR(IF(OR(Q2790=""GPB"",Q2790=""ZAR""),IF(Q2790=Dashboard!$L$1,K2790,(K2790*GOOGLEFINANCE(""CURRENCY:""&amp;Q2790&amp;""""&amp;Dashboard!$L$1&amp;""""))/100),IF(Q2790=Dashboard!$L$1,K2790,K2790*GOOGLEFINANCE(""CURRENCY:""&amp;Q2790&amp;""""&amp;Dashboard!$"&amp;"L$1&amp;""""))),K2790))"),"")</f>
        <v/>
      </c>
      <c r="S2790" s="266" t="str">
        <f>IFERROR(__xludf.DUMMYFUNCTION("IF(ISBLANK(A2790),"""",IFERROR(IF(OR(Q2790=""GPB"",Q2790=""ZAR""),IF(Q2790=Dashboard!$L$1,M2790,(M2790*GOOGLEFINANCE(""CURRENCY:""&amp;Q2790&amp;""""&amp;Dashboard!$L$1&amp;""""))/100),IF(Q2790=Dashboard!$L$1,M2790,M2790*GOOGLEFINANCE(""CURRENCY:""&amp;Q2790&amp;""""&amp;Dashboard!$"&amp;"L$1&amp;""""))),M2790))"),"")</f>
        <v/>
      </c>
      <c r="T2790" s="264" t="str">
        <f t="shared" si="4"/>
        <v/>
      </c>
      <c r="U2790" s="264" t="str">
        <f t="shared" si="5"/>
        <v/>
      </c>
      <c r="V2790" s="264" t="str">
        <f t="shared" si="6"/>
        <v/>
      </c>
      <c r="W2790" s="267" t="str">
        <f t="shared" si="8"/>
        <v/>
      </c>
      <c r="X2790" s="264" t="str">
        <f t="shared" si="7"/>
        <v/>
      </c>
    </row>
    <row r="2791" ht="15.75" customHeight="1">
      <c r="A2791" s="258"/>
      <c r="B2791" s="258"/>
      <c r="C2791" s="269"/>
      <c r="D2791" s="258"/>
      <c r="E2791" s="258"/>
      <c r="F2791" s="258"/>
      <c r="G2791" s="258"/>
      <c r="H2791" s="271"/>
      <c r="I2791" s="258"/>
      <c r="J2791" s="272"/>
      <c r="K2791" s="260"/>
      <c r="L2791" s="261"/>
      <c r="M2791" s="262" t="str">
        <f t="shared" si="1"/>
        <v/>
      </c>
      <c r="N2791" s="263" t="str">
        <f t="shared" si="2"/>
        <v/>
      </c>
      <c r="O2791" s="264" t="str">
        <f t="shared" si="3"/>
        <v/>
      </c>
      <c r="P2791" s="265" t="str">
        <f>IFERROR(__xludf.DUMMYFUNCTION("IF(ISBLANK(A2791),"""",IFERROR(IF(H2791=""Sell"",VLOOKUP(9^99,FILTER({ROW(P$2:P2790),P$2:P2790},D$2:D2790=D2791),2),(VLOOKUP(9^99,FILTER({ROW(P$2:P2790),P$2:P2790},D$2:D2790=D2791),2)*VLOOKUP(9^99,FILTER({ROW(O$2:O2790),O$2:O2790},D$2:D2790=D2791),2)-N279"&amp;"1)/O2791),J2791))"),"")</f>
        <v/>
      </c>
      <c r="Q2791" s="264" t="str">
        <f>IFERROR(__xludf.DUMMYFUNCTION("IFERROR(IF(F2791=""Crypto"",B2791,(IF(ISBLANK(D2791),"""",IF(D2791=""Cash"",B2791,IF(GOOGLEFINANCE(D2791,""CURRENCY"")=""GBX"",""GBP"",GOOGLEFINANCE(D2791,""CURRENCY"")))))),B2791)"),"")</f>
        <v/>
      </c>
      <c r="R2791" s="263" t="str">
        <f>IFERROR(__xludf.DUMMYFUNCTION("IF(ISBLANK(A2791),"""",IFERROR(IF(OR(Q2791=""GPB"",Q2791=""ZAR""),IF(Q2791=Dashboard!$L$1,K2791,(K2791*GOOGLEFINANCE(""CURRENCY:""&amp;Q2791&amp;""""&amp;Dashboard!$L$1&amp;""""))/100),IF(Q2791=Dashboard!$L$1,K2791,K2791*GOOGLEFINANCE(""CURRENCY:""&amp;Q2791&amp;""""&amp;Dashboard!$"&amp;"L$1&amp;""""))),K2791))"),"")</f>
        <v/>
      </c>
      <c r="S2791" s="266" t="str">
        <f>IFERROR(__xludf.DUMMYFUNCTION("IF(ISBLANK(A2791),"""",IFERROR(IF(OR(Q2791=""GPB"",Q2791=""ZAR""),IF(Q2791=Dashboard!$L$1,M2791,(M2791*GOOGLEFINANCE(""CURRENCY:""&amp;Q2791&amp;""""&amp;Dashboard!$L$1&amp;""""))/100),IF(Q2791=Dashboard!$L$1,M2791,M2791*GOOGLEFINANCE(""CURRENCY:""&amp;Q2791&amp;""""&amp;Dashboard!$"&amp;"L$1&amp;""""))),M2791))"),"")</f>
        <v/>
      </c>
      <c r="T2791" s="264" t="str">
        <f t="shared" si="4"/>
        <v/>
      </c>
      <c r="U2791" s="264" t="str">
        <f t="shared" si="5"/>
        <v/>
      </c>
      <c r="V2791" s="264" t="str">
        <f t="shared" si="6"/>
        <v/>
      </c>
      <c r="W2791" s="267" t="str">
        <f t="shared" si="8"/>
        <v/>
      </c>
      <c r="X2791" s="264" t="str">
        <f t="shared" si="7"/>
        <v/>
      </c>
    </row>
    <row r="2792" ht="15.75" customHeight="1">
      <c r="A2792" s="258"/>
      <c r="B2792" s="258"/>
      <c r="C2792" s="269"/>
      <c r="D2792" s="258"/>
      <c r="E2792" s="258"/>
      <c r="F2792" s="258"/>
      <c r="G2792" s="258"/>
      <c r="H2792" s="271"/>
      <c r="I2792" s="258"/>
      <c r="J2792" s="272"/>
      <c r="K2792" s="260"/>
      <c r="L2792" s="261"/>
      <c r="M2792" s="262" t="str">
        <f t="shared" si="1"/>
        <v/>
      </c>
      <c r="N2792" s="263" t="str">
        <f t="shared" si="2"/>
        <v/>
      </c>
      <c r="O2792" s="264" t="str">
        <f t="shared" si="3"/>
        <v/>
      </c>
      <c r="P2792" s="265" t="str">
        <f>IFERROR(__xludf.DUMMYFUNCTION("IF(ISBLANK(A2792),"""",IFERROR(IF(H2792=""Sell"",VLOOKUP(9^99,FILTER({ROW(P$2:P2791),P$2:P2791},D$2:D2791=D2792),2),(VLOOKUP(9^99,FILTER({ROW(P$2:P2791),P$2:P2791},D$2:D2791=D2792),2)*VLOOKUP(9^99,FILTER({ROW(O$2:O2791),O$2:O2791},D$2:D2791=D2792),2)-N279"&amp;"2)/O2792),J2792))"),"")</f>
        <v/>
      </c>
      <c r="Q2792" s="264" t="str">
        <f>IFERROR(__xludf.DUMMYFUNCTION("IFERROR(IF(F2792=""Crypto"",B2792,(IF(ISBLANK(D2792),"""",IF(D2792=""Cash"",B2792,IF(GOOGLEFINANCE(D2792,""CURRENCY"")=""GBX"",""GBP"",GOOGLEFINANCE(D2792,""CURRENCY"")))))),B2792)"),"")</f>
        <v/>
      </c>
      <c r="R2792" s="263" t="str">
        <f>IFERROR(__xludf.DUMMYFUNCTION("IF(ISBLANK(A2792),"""",IFERROR(IF(OR(Q2792=""GPB"",Q2792=""ZAR""),IF(Q2792=Dashboard!$L$1,K2792,(K2792*GOOGLEFINANCE(""CURRENCY:""&amp;Q2792&amp;""""&amp;Dashboard!$L$1&amp;""""))/100),IF(Q2792=Dashboard!$L$1,K2792,K2792*GOOGLEFINANCE(""CURRENCY:""&amp;Q2792&amp;""""&amp;Dashboard!$"&amp;"L$1&amp;""""))),K2792))"),"")</f>
        <v/>
      </c>
      <c r="S2792" s="266" t="str">
        <f>IFERROR(__xludf.DUMMYFUNCTION("IF(ISBLANK(A2792),"""",IFERROR(IF(OR(Q2792=""GPB"",Q2792=""ZAR""),IF(Q2792=Dashboard!$L$1,M2792,(M2792*GOOGLEFINANCE(""CURRENCY:""&amp;Q2792&amp;""""&amp;Dashboard!$L$1&amp;""""))/100),IF(Q2792=Dashboard!$L$1,M2792,M2792*GOOGLEFINANCE(""CURRENCY:""&amp;Q2792&amp;""""&amp;Dashboard!$"&amp;"L$1&amp;""""))),M2792))"),"")</f>
        <v/>
      </c>
      <c r="T2792" s="264" t="str">
        <f t="shared" si="4"/>
        <v/>
      </c>
      <c r="U2792" s="264" t="str">
        <f t="shared" si="5"/>
        <v/>
      </c>
      <c r="V2792" s="264" t="str">
        <f t="shared" si="6"/>
        <v/>
      </c>
      <c r="W2792" s="267" t="str">
        <f t="shared" si="8"/>
        <v/>
      </c>
      <c r="X2792" s="264" t="str">
        <f t="shared" si="7"/>
        <v/>
      </c>
    </row>
    <row r="2793" ht="15.75" customHeight="1">
      <c r="A2793" s="258"/>
      <c r="B2793" s="258"/>
      <c r="C2793" s="269"/>
      <c r="D2793" s="258"/>
      <c r="E2793" s="258"/>
      <c r="F2793" s="258"/>
      <c r="G2793" s="258"/>
      <c r="H2793" s="271"/>
      <c r="I2793" s="258"/>
      <c r="J2793" s="272"/>
      <c r="K2793" s="260"/>
      <c r="L2793" s="261"/>
      <c r="M2793" s="262" t="str">
        <f t="shared" si="1"/>
        <v/>
      </c>
      <c r="N2793" s="263" t="str">
        <f t="shared" si="2"/>
        <v/>
      </c>
      <c r="O2793" s="264" t="str">
        <f t="shared" si="3"/>
        <v/>
      </c>
      <c r="P2793" s="265" t="str">
        <f>IFERROR(__xludf.DUMMYFUNCTION("IF(ISBLANK(A2793),"""",IFERROR(IF(H2793=""Sell"",VLOOKUP(9^99,FILTER({ROW(P$2:P2792),P$2:P2792},D$2:D2792=D2793),2),(VLOOKUP(9^99,FILTER({ROW(P$2:P2792),P$2:P2792},D$2:D2792=D2793),2)*VLOOKUP(9^99,FILTER({ROW(O$2:O2792),O$2:O2792},D$2:D2792=D2793),2)-N279"&amp;"3)/O2793),J2793))"),"")</f>
        <v/>
      </c>
      <c r="Q2793" s="264" t="str">
        <f>IFERROR(__xludf.DUMMYFUNCTION("IFERROR(IF(F2793=""Crypto"",B2793,(IF(ISBLANK(D2793),"""",IF(D2793=""Cash"",B2793,IF(GOOGLEFINANCE(D2793,""CURRENCY"")=""GBX"",""GBP"",GOOGLEFINANCE(D2793,""CURRENCY"")))))),B2793)"),"")</f>
        <v/>
      </c>
      <c r="R2793" s="263" t="str">
        <f>IFERROR(__xludf.DUMMYFUNCTION("IF(ISBLANK(A2793),"""",IFERROR(IF(OR(Q2793=""GPB"",Q2793=""ZAR""),IF(Q2793=Dashboard!$L$1,K2793,(K2793*GOOGLEFINANCE(""CURRENCY:""&amp;Q2793&amp;""""&amp;Dashboard!$L$1&amp;""""))/100),IF(Q2793=Dashboard!$L$1,K2793,K2793*GOOGLEFINANCE(""CURRENCY:""&amp;Q2793&amp;""""&amp;Dashboard!$"&amp;"L$1&amp;""""))),K2793))"),"")</f>
        <v/>
      </c>
      <c r="S2793" s="266" t="str">
        <f>IFERROR(__xludf.DUMMYFUNCTION("IF(ISBLANK(A2793),"""",IFERROR(IF(OR(Q2793=""GPB"",Q2793=""ZAR""),IF(Q2793=Dashboard!$L$1,M2793,(M2793*GOOGLEFINANCE(""CURRENCY:""&amp;Q2793&amp;""""&amp;Dashboard!$L$1&amp;""""))/100),IF(Q2793=Dashboard!$L$1,M2793,M2793*GOOGLEFINANCE(""CURRENCY:""&amp;Q2793&amp;""""&amp;Dashboard!$"&amp;"L$1&amp;""""))),M2793))"),"")</f>
        <v/>
      </c>
      <c r="T2793" s="264" t="str">
        <f t="shared" si="4"/>
        <v/>
      </c>
      <c r="U2793" s="264" t="str">
        <f t="shared" si="5"/>
        <v/>
      </c>
      <c r="V2793" s="264" t="str">
        <f t="shared" si="6"/>
        <v/>
      </c>
      <c r="W2793" s="267" t="str">
        <f t="shared" si="8"/>
        <v/>
      </c>
      <c r="X2793" s="264" t="str">
        <f t="shared" si="7"/>
        <v/>
      </c>
    </row>
    <row r="2794" ht="15.75" customHeight="1">
      <c r="A2794" s="258"/>
      <c r="B2794" s="258"/>
      <c r="C2794" s="269"/>
      <c r="D2794" s="258"/>
      <c r="E2794" s="258"/>
      <c r="F2794" s="258"/>
      <c r="G2794" s="258"/>
      <c r="H2794" s="271"/>
      <c r="I2794" s="258"/>
      <c r="J2794" s="272"/>
      <c r="K2794" s="260"/>
      <c r="L2794" s="261"/>
      <c r="M2794" s="262" t="str">
        <f t="shared" si="1"/>
        <v/>
      </c>
      <c r="N2794" s="263" t="str">
        <f t="shared" si="2"/>
        <v/>
      </c>
      <c r="O2794" s="264" t="str">
        <f t="shared" si="3"/>
        <v/>
      </c>
      <c r="P2794" s="265" t="str">
        <f>IFERROR(__xludf.DUMMYFUNCTION("IF(ISBLANK(A2794),"""",IFERROR(IF(H2794=""Sell"",VLOOKUP(9^99,FILTER({ROW(P$2:P2793),P$2:P2793},D$2:D2793=D2794),2),(VLOOKUP(9^99,FILTER({ROW(P$2:P2793),P$2:P2793},D$2:D2793=D2794),2)*VLOOKUP(9^99,FILTER({ROW(O$2:O2793),O$2:O2793},D$2:D2793=D2794),2)-N279"&amp;"4)/O2794),J2794))"),"")</f>
        <v/>
      </c>
      <c r="Q2794" s="264" t="str">
        <f>IFERROR(__xludf.DUMMYFUNCTION("IFERROR(IF(F2794=""Crypto"",B2794,(IF(ISBLANK(D2794),"""",IF(D2794=""Cash"",B2794,IF(GOOGLEFINANCE(D2794,""CURRENCY"")=""GBX"",""GBP"",GOOGLEFINANCE(D2794,""CURRENCY"")))))),B2794)"),"")</f>
        <v/>
      </c>
      <c r="R2794" s="263" t="str">
        <f>IFERROR(__xludf.DUMMYFUNCTION("IF(ISBLANK(A2794),"""",IFERROR(IF(OR(Q2794=""GPB"",Q2794=""ZAR""),IF(Q2794=Dashboard!$L$1,K2794,(K2794*GOOGLEFINANCE(""CURRENCY:""&amp;Q2794&amp;""""&amp;Dashboard!$L$1&amp;""""))/100),IF(Q2794=Dashboard!$L$1,K2794,K2794*GOOGLEFINANCE(""CURRENCY:""&amp;Q2794&amp;""""&amp;Dashboard!$"&amp;"L$1&amp;""""))),K2794))"),"")</f>
        <v/>
      </c>
      <c r="S2794" s="266" t="str">
        <f>IFERROR(__xludf.DUMMYFUNCTION("IF(ISBLANK(A2794),"""",IFERROR(IF(OR(Q2794=""GPB"",Q2794=""ZAR""),IF(Q2794=Dashboard!$L$1,M2794,(M2794*GOOGLEFINANCE(""CURRENCY:""&amp;Q2794&amp;""""&amp;Dashboard!$L$1&amp;""""))/100),IF(Q2794=Dashboard!$L$1,M2794,M2794*GOOGLEFINANCE(""CURRENCY:""&amp;Q2794&amp;""""&amp;Dashboard!$"&amp;"L$1&amp;""""))),M2794))"),"")</f>
        <v/>
      </c>
      <c r="T2794" s="264" t="str">
        <f t="shared" si="4"/>
        <v/>
      </c>
      <c r="U2794" s="264" t="str">
        <f t="shared" si="5"/>
        <v/>
      </c>
      <c r="V2794" s="264" t="str">
        <f t="shared" si="6"/>
        <v/>
      </c>
      <c r="W2794" s="267" t="str">
        <f t="shared" si="8"/>
        <v/>
      </c>
      <c r="X2794" s="264" t="str">
        <f t="shared" si="7"/>
        <v/>
      </c>
    </row>
    <row r="2795" ht="15.75" customHeight="1">
      <c r="A2795" s="258"/>
      <c r="B2795" s="258"/>
      <c r="C2795" s="269"/>
      <c r="D2795" s="258"/>
      <c r="E2795" s="258"/>
      <c r="F2795" s="258"/>
      <c r="G2795" s="258"/>
      <c r="H2795" s="271"/>
      <c r="I2795" s="258"/>
      <c r="J2795" s="272"/>
      <c r="K2795" s="260"/>
      <c r="L2795" s="261"/>
      <c r="M2795" s="262" t="str">
        <f t="shared" si="1"/>
        <v/>
      </c>
      <c r="N2795" s="263" t="str">
        <f t="shared" si="2"/>
        <v/>
      </c>
      <c r="O2795" s="264" t="str">
        <f t="shared" si="3"/>
        <v/>
      </c>
      <c r="P2795" s="265" t="str">
        <f>IFERROR(__xludf.DUMMYFUNCTION("IF(ISBLANK(A2795),"""",IFERROR(IF(H2795=""Sell"",VLOOKUP(9^99,FILTER({ROW(P$2:P2794),P$2:P2794},D$2:D2794=D2795),2),(VLOOKUP(9^99,FILTER({ROW(P$2:P2794),P$2:P2794},D$2:D2794=D2795),2)*VLOOKUP(9^99,FILTER({ROW(O$2:O2794),O$2:O2794},D$2:D2794=D2795),2)-N279"&amp;"5)/O2795),J2795))"),"")</f>
        <v/>
      </c>
      <c r="Q2795" s="264" t="str">
        <f>IFERROR(__xludf.DUMMYFUNCTION("IFERROR(IF(F2795=""Crypto"",B2795,(IF(ISBLANK(D2795),"""",IF(D2795=""Cash"",B2795,IF(GOOGLEFINANCE(D2795,""CURRENCY"")=""GBX"",""GBP"",GOOGLEFINANCE(D2795,""CURRENCY"")))))),B2795)"),"")</f>
        <v/>
      </c>
      <c r="R2795" s="263" t="str">
        <f>IFERROR(__xludf.DUMMYFUNCTION("IF(ISBLANK(A2795),"""",IFERROR(IF(OR(Q2795=""GPB"",Q2795=""ZAR""),IF(Q2795=Dashboard!$L$1,K2795,(K2795*GOOGLEFINANCE(""CURRENCY:""&amp;Q2795&amp;""""&amp;Dashboard!$L$1&amp;""""))/100),IF(Q2795=Dashboard!$L$1,K2795,K2795*GOOGLEFINANCE(""CURRENCY:""&amp;Q2795&amp;""""&amp;Dashboard!$"&amp;"L$1&amp;""""))),K2795))"),"")</f>
        <v/>
      </c>
      <c r="S2795" s="266" t="str">
        <f>IFERROR(__xludf.DUMMYFUNCTION("IF(ISBLANK(A2795),"""",IFERROR(IF(OR(Q2795=""GPB"",Q2795=""ZAR""),IF(Q2795=Dashboard!$L$1,M2795,(M2795*GOOGLEFINANCE(""CURRENCY:""&amp;Q2795&amp;""""&amp;Dashboard!$L$1&amp;""""))/100),IF(Q2795=Dashboard!$L$1,M2795,M2795*GOOGLEFINANCE(""CURRENCY:""&amp;Q2795&amp;""""&amp;Dashboard!$"&amp;"L$1&amp;""""))),M2795))"),"")</f>
        <v/>
      </c>
      <c r="T2795" s="264" t="str">
        <f t="shared" si="4"/>
        <v/>
      </c>
      <c r="U2795" s="264" t="str">
        <f t="shared" si="5"/>
        <v/>
      </c>
      <c r="V2795" s="264" t="str">
        <f t="shared" si="6"/>
        <v/>
      </c>
      <c r="W2795" s="267" t="str">
        <f t="shared" si="8"/>
        <v/>
      </c>
      <c r="X2795" s="264" t="str">
        <f t="shared" si="7"/>
        <v/>
      </c>
    </row>
    <row r="2796" ht="15.75" customHeight="1">
      <c r="A2796" s="258"/>
      <c r="B2796" s="258"/>
      <c r="C2796" s="269"/>
      <c r="D2796" s="258"/>
      <c r="E2796" s="258"/>
      <c r="F2796" s="258"/>
      <c r="G2796" s="258"/>
      <c r="H2796" s="271"/>
      <c r="I2796" s="258"/>
      <c r="J2796" s="272"/>
      <c r="K2796" s="260"/>
      <c r="L2796" s="261"/>
      <c r="M2796" s="262" t="str">
        <f t="shared" si="1"/>
        <v/>
      </c>
      <c r="N2796" s="263" t="str">
        <f t="shared" si="2"/>
        <v/>
      </c>
      <c r="O2796" s="264" t="str">
        <f t="shared" si="3"/>
        <v/>
      </c>
      <c r="P2796" s="265" t="str">
        <f>IFERROR(__xludf.DUMMYFUNCTION("IF(ISBLANK(A2796),"""",IFERROR(IF(H2796=""Sell"",VLOOKUP(9^99,FILTER({ROW(P$2:P2795),P$2:P2795},D$2:D2795=D2796),2),(VLOOKUP(9^99,FILTER({ROW(P$2:P2795),P$2:P2795},D$2:D2795=D2796),2)*VLOOKUP(9^99,FILTER({ROW(O$2:O2795),O$2:O2795},D$2:D2795=D2796),2)-N279"&amp;"6)/O2796),J2796))"),"")</f>
        <v/>
      </c>
      <c r="Q2796" s="264" t="str">
        <f>IFERROR(__xludf.DUMMYFUNCTION("IFERROR(IF(F2796=""Crypto"",B2796,(IF(ISBLANK(D2796),"""",IF(D2796=""Cash"",B2796,IF(GOOGLEFINANCE(D2796,""CURRENCY"")=""GBX"",""GBP"",GOOGLEFINANCE(D2796,""CURRENCY"")))))),B2796)"),"")</f>
        <v/>
      </c>
      <c r="R2796" s="263" t="str">
        <f>IFERROR(__xludf.DUMMYFUNCTION("IF(ISBLANK(A2796),"""",IFERROR(IF(OR(Q2796=""GPB"",Q2796=""ZAR""),IF(Q2796=Dashboard!$L$1,K2796,(K2796*GOOGLEFINANCE(""CURRENCY:""&amp;Q2796&amp;""""&amp;Dashboard!$L$1&amp;""""))/100),IF(Q2796=Dashboard!$L$1,K2796,K2796*GOOGLEFINANCE(""CURRENCY:""&amp;Q2796&amp;""""&amp;Dashboard!$"&amp;"L$1&amp;""""))),K2796))"),"")</f>
        <v/>
      </c>
      <c r="S2796" s="266" t="str">
        <f>IFERROR(__xludf.DUMMYFUNCTION("IF(ISBLANK(A2796),"""",IFERROR(IF(OR(Q2796=""GPB"",Q2796=""ZAR""),IF(Q2796=Dashboard!$L$1,M2796,(M2796*GOOGLEFINANCE(""CURRENCY:""&amp;Q2796&amp;""""&amp;Dashboard!$L$1&amp;""""))/100),IF(Q2796=Dashboard!$L$1,M2796,M2796*GOOGLEFINANCE(""CURRENCY:""&amp;Q2796&amp;""""&amp;Dashboard!$"&amp;"L$1&amp;""""))),M2796))"),"")</f>
        <v/>
      </c>
      <c r="T2796" s="264" t="str">
        <f t="shared" si="4"/>
        <v/>
      </c>
      <c r="U2796" s="264" t="str">
        <f t="shared" si="5"/>
        <v/>
      </c>
      <c r="V2796" s="264" t="str">
        <f t="shared" si="6"/>
        <v/>
      </c>
      <c r="W2796" s="267" t="str">
        <f t="shared" si="8"/>
        <v/>
      </c>
      <c r="X2796" s="264" t="str">
        <f t="shared" si="7"/>
        <v/>
      </c>
    </row>
    <row r="2797" ht="15.75" customHeight="1">
      <c r="A2797" s="258"/>
      <c r="B2797" s="258"/>
      <c r="C2797" s="269"/>
      <c r="D2797" s="258"/>
      <c r="E2797" s="258"/>
      <c r="F2797" s="258"/>
      <c r="G2797" s="258"/>
      <c r="H2797" s="271"/>
      <c r="I2797" s="258"/>
      <c r="J2797" s="272"/>
      <c r="K2797" s="260"/>
      <c r="L2797" s="261"/>
      <c r="M2797" s="262" t="str">
        <f t="shared" si="1"/>
        <v/>
      </c>
      <c r="N2797" s="263" t="str">
        <f t="shared" si="2"/>
        <v/>
      </c>
      <c r="O2797" s="264" t="str">
        <f t="shared" si="3"/>
        <v/>
      </c>
      <c r="P2797" s="265" t="str">
        <f>IFERROR(__xludf.DUMMYFUNCTION("IF(ISBLANK(A2797),"""",IFERROR(IF(H2797=""Sell"",VLOOKUP(9^99,FILTER({ROW(P$2:P2796),P$2:P2796},D$2:D2796=D2797),2),(VLOOKUP(9^99,FILTER({ROW(P$2:P2796),P$2:P2796},D$2:D2796=D2797),2)*VLOOKUP(9^99,FILTER({ROW(O$2:O2796),O$2:O2796},D$2:D2796=D2797),2)-N279"&amp;"7)/O2797),J2797))"),"")</f>
        <v/>
      </c>
      <c r="Q2797" s="264" t="str">
        <f>IFERROR(__xludf.DUMMYFUNCTION("IFERROR(IF(F2797=""Crypto"",B2797,(IF(ISBLANK(D2797),"""",IF(D2797=""Cash"",B2797,IF(GOOGLEFINANCE(D2797,""CURRENCY"")=""GBX"",""GBP"",GOOGLEFINANCE(D2797,""CURRENCY"")))))),B2797)"),"")</f>
        <v/>
      </c>
      <c r="R2797" s="263" t="str">
        <f>IFERROR(__xludf.DUMMYFUNCTION("IF(ISBLANK(A2797),"""",IFERROR(IF(OR(Q2797=""GPB"",Q2797=""ZAR""),IF(Q2797=Dashboard!$L$1,K2797,(K2797*GOOGLEFINANCE(""CURRENCY:""&amp;Q2797&amp;""""&amp;Dashboard!$L$1&amp;""""))/100),IF(Q2797=Dashboard!$L$1,K2797,K2797*GOOGLEFINANCE(""CURRENCY:""&amp;Q2797&amp;""""&amp;Dashboard!$"&amp;"L$1&amp;""""))),K2797))"),"")</f>
        <v/>
      </c>
      <c r="S2797" s="266" t="str">
        <f>IFERROR(__xludf.DUMMYFUNCTION("IF(ISBLANK(A2797),"""",IFERROR(IF(OR(Q2797=""GPB"",Q2797=""ZAR""),IF(Q2797=Dashboard!$L$1,M2797,(M2797*GOOGLEFINANCE(""CURRENCY:""&amp;Q2797&amp;""""&amp;Dashboard!$L$1&amp;""""))/100),IF(Q2797=Dashboard!$L$1,M2797,M2797*GOOGLEFINANCE(""CURRENCY:""&amp;Q2797&amp;""""&amp;Dashboard!$"&amp;"L$1&amp;""""))),M2797))"),"")</f>
        <v/>
      </c>
      <c r="T2797" s="264" t="str">
        <f t="shared" si="4"/>
        <v/>
      </c>
      <c r="U2797" s="264" t="str">
        <f t="shared" si="5"/>
        <v/>
      </c>
      <c r="V2797" s="264" t="str">
        <f t="shared" si="6"/>
        <v/>
      </c>
      <c r="W2797" s="267" t="str">
        <f t="shared" si="8"/>
        <v/>
      </c>
      <c r="X2797" s="264" t="str">
        <f t="shared" si="7"/>
        <v/>
      </c>
    </row>
    <row r="2798" ht="15.75" customHeight="1">
      <c r="A2798" s="258"/>
      <c r="B2798" s="258"/>
      <c r="C2798" s="269"/>
      <c r="D2798" s="258"/>
      <c r="E2798" s="258"/>
      <c r="F2798" s="258"/>
      <c r="G2798" s="258"/>
      <c r="H2798" s="271"/>
      <c r="I2798" s="258"/>
      <c r="J2798" s="272"/>
      <c r="K2798" s="260"/>
      <c r="L2798" s="261"/>
      <c r="M2798" s="262" t="str">
        <f t="shared" si="1"/>
        <v/>
      </c>
      <c r="N2798" s="263" t="str">
        <f t="shared" si="2"/>
        <v/>
      </c>
      <c r="O2798" s="264" t="str">
        <f t="shared" si="3"/>
        <v/>
      </c>
      <c r="P2798" s="265" t="str">
        <f>IFERROR(__xludf.DUMMYFUNCTION("IF(ISBLANK(A2798),"""",IFERROR(IF(H2798=""Sell"",VLOOKUP(9^99,FILTER({ROW(P$2:P2797),P$2:P2797},D$2:D2797=D2798),2),(VLOOKUP(9^99,FILTER({ROW(P$2:P2797),P$2:P2797},D$2:D2797=D2798),2)*VLOOKUP(9^99,FILTER({ROW(O$2:O2797),O$2:O2797},D$2:D2797=D2798),2)-N279"&amp;"8)/O2798),J2798))"),"")</f>
        <v/>
      </c>
      <c r="Q2798" s="264" t="str">
        <f>IFERROR(__xludf.DUMMYFUNCTION("IFERROR(IF(F2798=""Crypto"",B2798,(IF(ISBLANK(D2798),"""",IF(D2798=""Cash"",B2798,IF(GOOGLEFINANCE(D2798,""CURRENCY"")=""GBX"",""GBP"",GOOGLEFINANCE(D2798,""CURRENCY"")))))),B2798)"),"")</f>
        <v/>
      </c>
      <c r="R2798" s="263" t="str">
        <f>IFERROR(__xludf.DUMMYFUNCTION("IF(ISBLANK(A2798),"""",IFERROR(IF(OR(Q2798=""GPB"",Q2798=""ZAR""),IF(Q2798=Dashboard!$L$1,K2798,(K2798*GOOGLEFINANCE(""CURRENCY:""&amp;Q2798&amp;""""&amp;Dashboard!$L$1&amp;""""))/100),IF(Q2798=Dashboard!$L$1,K2798,K2798*GOOGLEFINANCE(""CURRENCY:""&amp;Q2798&amp;""""&amp;Dashboard!$"&amp;"L$1&amp;""""))),K2798))"),"")</f>
        <v/>
      </c>
      <c r="S2798" s="266" t="str">
        <f>IFERROR(__xludf.DUMMYFUNCTION("IF(ISBLANK(A2798),"""",IFERROR(IF(OR(Q2798=""GPB"",Q2798=""ZAR""),IF(Q2798=Dashboard!$L$1,M2798,(M2798*GOOGLEFINANCE(""CURRENCY:""&amp;Q2798&amp;""""&amp;Dashboard!$L$1&amp;""""))/100),IF(Q2798=Dashboard!$L$1,M2798,M2798*GOOGLEFINANCE(""CURRENCY:""&amp;Q2798&amp;""""&amp;Dashboard!$"&amp;"L$1&amp;""""))),M2798))"),"")</f>
        <v/>
      </c>
      <c r="T2798" s="264" t="str">
        <f t="shared" si="4"/>
        <v/>
      </c>
      <c r="U2798" s="264" t="str">
        <f t="shared" si="5"/>
        <v/>
      </c>
      <c r="V2798" s="264" t="str">
        <f t="shared" si="6"/>
        <v/>
      </c>
      <c r="W2798" s="267" t="str">
        <f t="shared" si="8"/>
        <v/>
      </c>
      <c r="X2798" s="264" t="str">
        <f t="shared" si="7"/>
        <v/>
      </c>
    </row>
    <row r="2799" ht="15.75" customHeight="1">
      <c r="A2799" s="258"/>
      <c r="B2799" s="258"/>
      <c r="C2799" s="269"/>
      <c r="D2799" s="258"/>
      <c r="E2799" s="258"/>
      <c r="F2799" s="258"/>
      <c r="G2799" s="258"/>
      <c r="H2799" s="271"/>
      <c r="I2799" s="258"/>
      <c r="J2799" s="272"/>
      <c r="K2799" s="260"/>
      <c r="L2799" s="261"/>
      <c r="M2799" s="262" t="str">
        <f t="shared" si="1"/>
        <v/>
      </c>
      <c r="N2799" s="263" t="str">
        <f t="shared" si="2"/>
        <v/>
      </c>
      <c r="O2799" s="264" t="str">
        <f t="shared" si="3"/>
        <v/>
      </c>
      <c r="P2799" s="265" t="str">
        <f>IFERROR(__xludf.DUMMYFUNCTION("IF(ISBLANK(A2799),"""",IFERROR(IF(H2799=""Sell"",VLOOKUP(9^99,FILTER({ROW(P$2:P2798),P$2:P2798},D$2:D2798=D2799),2),(VLOOKUP(9^99,FILTER({ROW(P$2:P2798),P$2:P2798},D$2:D2798=D2799),2)*VLOOKUP(9^99,FILTER({ROW(O$2:O2798),O$2:O2798},D$2:D2798=D2799),2)-N279"&amp;"9)/O2799),J2799))"),"")</f>
        <v/>
      </c>
      <c r="Q2799" s="264" t="str">
        <f>IFERROR(__xludf.DUMMYFUNCTION("IFERROR(IF(F2799=""Crypto"",B2799,(IF(ISBLANK(D2799),"""",IF(D2799=""Cash"",B2799,IF(GOOGLEFINANCE(D2799,""CURRENCY"")=""GBX"",""GBP"",GOOGLEFINANCE(D2799,""CURRENCY"")))))),B2799)"),"")</f>
        <v/>
      </c>
      <c r="R2799" s="263" t="str">
        <f>IFERROR(__xludf.DUMMYFUNCTION("IF(ISBLANK(A2799),"""",IFERROR(IF(OR(Q2799=""GPB"",Q2799=""ZAR""),IF(Q2799=Dashboard!$L$1,K2799,(K2799*GOOGLEFINANCE(""CURRENCY:""&amp;Q2799&amp;""""&amp;Dashboard!$L$1&amp;""""))/100),IF(Q2799=Dashboard!$L$1,K2799,K2799*GOOGLEFINANCE(""CURRENCY:""&amp;Q2799&amp;""""&amp;Dashboard!$"&amp;"L$1&amp;""""))),K2799))"),"")</f>
        <v/>
      </c>
      <c r="S2799" s="266" t="str">
        <f>IFERROR(__xludf.DUMMYFUNCTION("IF(ISBLANK(A2799),"""",IFERROR(IF(OR(Q2799=""GPB"",Q2799=""ZAR""),IF(Q2799=Dashboard!$L$1,M2799,(M2799*GOOGLEFINANCE(""CURRENCY:""&amp;Q2799&amp;""""&amp;Dashboard!$L$1&amp;""""))/100),IF(Q2799=Dashboard!$L$1,M2799,M2799*GOOGLEFINANCE(""CURRENCY:""&amp;Q2799&amp;""""&amp;Dashboard!$"&amp;"L$1&amp;""""))),M2799))"),"")</f>
        <v/>
      </c>
      <c r="T2799" s="264" t="str">
        <f t="shared" si="4"/>
        <v/>
      </c>
      <c r="U2799" s="264" t="str">
        <f t="shared" si="5"/>
        <v/>
      </c>
      <c r="V2799" s="264" t="str">
        <f t="shared" si="6"/>
        <v/>
      </c>
      <c r="W2799" s="267" t="str">
        <f t="shared" si="8"/>
        <v/>
      </c>
      <c r="X2799" s="264" t="str">
        <f t="shared" si="7"/>
        <v/>
      </c>
    </row>
    <row r="2800" ht="15.75" customHeight="1">
      <c r="A2800" s="258"/>
      <c r="B2800" s="258"/>
      <c r="C2800" s="269"/>
      <c r="D2800" s="258"/>
      <c r="E2800" s="258"/>
      <c r="F2800" s="258"/>
      <c r="G2800" s="258"/>
      <c r="H2800" s="271"/>
      <c r="I2800" s="258"/>
      <c r="J2800" s="272"/>
      <c r="K2800" s="260"/>
      <c r="L2800" s="261"/>
      <c r="M2800" s="262" t="str">
        <f t="shared" si="1"/>
        <v/>
      </c>
      <c r="N2800" s="263" t="str">
        <f t="shared" si="2"/>
        <v/>
      </c>
      <c r="O2800" s="264" t="str">
        <f t="shared" si="3"/>
        <v/>
      </c>
      <c r="P2800" s="265" t="str">
        <f>IFERROR(__xludf.DUMMYFUNCTION("IF(ISBLANK(A2800),"""",IFERROR(IF(H2800=""Sell"",VLOOKUP(9^99,FILTER({ROW(P$2:P2799),P$2:P2799},D$2:D2799=D2800),2),(VLOOKUP(9^99,FILTER({ROW(P$2:P2799),P$2:P2799},D$2:D2799=D2800),2)*VLOOKUP(9^99,FILTER({ROW(O$2:O2799),O$2:O2799},D$2:D2799=D2800),2)-N280"&amp;"0)/O2800),J2800))"),"")</f>
        <v/>
      </c>
      <c r="Q2800" s="264" t="str">
        <f>IFERROR(__xludf.DUMMYFUNCTION("IFERROR(IF(F2800=""Crypto"",B2800,(IF(ISBLANK(D2800),"""",IF(D2800=""Cash"",B2800,IF(GOOGLEFINANCE(D2800,""CURRENCY"")=""GBX"",""GBP"",GOOGLEFINANCE(D2800,""CURRENCY"")))))),B2800)"),"")</f>
        <v/>
      </c>
      <c r="R2800" s="263" t="str">
        <f>IFERROR(__xludf.DUMMYFUNCTION("IF(ISBLANK(A2800),"""",IFERROR(IF(OR(Q2800=""GPB"",Q2800=""ZAR""),IF(Q2800=Dashboard!$L$1,K2800,(K2800*GOOGLEFINANCE(""CURRENCY:""&amp;Q2800&amp;""""&amp;Dashboard!$L$1&amp;""""))/100),IF(Q2800=Dashboard!$L$1,K2800,K2800*GOOGLEFINANCE(""CURRENCY:""&amp;Q2800&amp;""""&amp;Dashboard!$"&amp;"L$1&amp;""""))),K2800))"),"")</f>
        <v/>
      </c>
      <c r="S2800" s="266" t="str">
        <f>IFERROR(__xludf.DUMMYFUNCTION("IF(ISBLANK(A2800),"""",IFERROR(IF(OR(Q2800=""GPB"",Q2800=""ZAR""),IF(Q2800=Dashboard!$L$1,M2800,(M2800*GOOGLEFINANCE(""CURRENCY:""&amp;Q2800&amp;""""&amp;Dashboard!$L$1&amp;""""))/100),IF(Q2800=Dashboard!$L$1,M2800,M2800*GOOGLEFINANCE(""CURRENCY:""&amp;Q2800&amp;""""&amp;Dashboard!$"&amp;"L$1&amp;""""))),M2800))"),"")</f>
        <v/>
      </c>
      <c r="T2800" s="264" t="str">
        <f t="shared" si="4"/>
        <v/>
      </c>
      <c r="U2800" s="264" t="str">
        <f t="shared" si="5"/>
        <v/>
      </c>
      <c r="V2800" s="264" t="str">
        <f t="shared" si="6"/>
        <v/>
      </c>
      <c r="W2800" s="267" t="str">
        <f t="shared" si="8"/>
        <v/>
      </c>
      <c r="X2800" s="264" t="str">
        <f t="shared" si="7"/>
        <v/>
      </c>
    </row>
    <row r="2801" ht="15.75" customHeight="1">
      <c r="A2801" s="258"/>
      <c r="B2801" s="258"/>
      <c r="C2801" s="269"/>
      <c r="D2801" s="258"/>
      <c r="E2801" s="258"/>
      <c r="F2801" s="258"/>
      <c r="G2801" s="258"/>
      <c r="H2801" s="271"/>
      <c r="I2801" s="258"/>
      <c r="J2801" s="272"/>
      <c r="K2801" s="260"/>
      <c r="L2801" s="261"/>
      <c r="M2801" s="262" t="str">
        <f t="shared" si="1"/>
        <v/>
      </c>
      <c r="N2801" s="263" t="str">
        <f t="shared" si="2"/>
        <v/>
      </c>
      <c r="O2801" s="264" t="str">
        <f t="shared" si="3"/>
        <v/>
      </c>
      <c r="P2801" s="265" t="str">
        <f>IFERROR(__xludf.DUMMYFUNCTION("IF(ISBLANK(A2801),"""",IFERROR(IF(H2801=""Sell"",VLOOKUP(9^99,FILTER({ROW(P$2:P2800),P$2:P2800},D$2:D2800=D2801),2),(VLOOKUP(9^99,FILTER({ROW(P$2:P2800),P$2:P2800},D$2:D2800=D2801),2)*VLOOKUP(9^99,FILTER({ROW(O$2:O2800),O$2:O2800},D$2:D2800=D2801),2)-N280"&amp;"1)/O2801),J2801))"),"")</f>
        <v/>
      </c>
      <c r="Q2801" s="264" t="str">
        <f>IFERROR(__xludf.DUMMYFUNCTION("IFERROR(IF(F2801=""Crypto"",B2801,(IF(ISBLANK(D2801),"""",IF(D2801=""Cash"",B2801,IF(GOOGLEFINANCE(D2801,""CURRENCY"")=""GBX"",""GBP"",GOOGLEFINANCE(D2801,""CURRENCY"")))))),B2801)"),"")</f>
        <v/>
      </c>
      <c r="R2801" s="263" t="str">
        <f>IFERROR(__xludf.DUMMYFUNCTION("IF(ISBLANK(A2801),"""",IFERROR(IF(OR(Q2801=""GPB"",Q2801=""ZAR""),IF(Q2801=Dashboard!$L$1,K2801,(K2801*GOOGLEFINANCE(""CURRENCY:""&amp;Q2801&amp;""""&amp;Dashboard!$L$1&amp;""""))/100),IF(Q2801=Dashboard!$L$1,K2801,K2801*GOOGLEFINANCE(""CURRENCY:""&amp;Q2801&amp;""""&amp;Dashboard!$"&amp;"L$1&amp;""""))),K2801))"),"")</f>
        <v/>
      </c>
      <c r="S2801" s="266" t="str">
        <f>IFERROR(__xludf.DUMMYFUNCTION("IF(ISBLANK(A2801),"""",IFERROR(IF(OR(Q2801=""GPB"",Q2801=""ZAR""),IF(Q2801=Dashboard!$L$1,M2801,(M2801*GOOGLEFINANCE(""CURRENCY:""&amp;Q2801&amp;""""&amp;Dashboard!$L$1&amp;""""))/100),IF(Q2801=Dashboard!$L$1,M2801,M2801*GOOGLEFINANCE(""CURRENCY:""&amp;Q2801&amp;""""&amp;Dashboard!$"&amp;"L$1&amp;""""))),M2801))"),"")</f>
        <v/>
      </c>
      <c r="T2801" s="264" t="str">
        <f t="shared" si="4"/>
        <v/>
      </c>
      <c r="U2801" s="264" t="str">
        <f t="shared" si="5"/>
        <v/>
      </c>
      <c r="V2801" s="264" t="str">
        <f t="shared" si="6"/>
        <v/>
      </c>
      <c r="W2801" s="267" t="str">
        <f t="shared" si="8"/>
        <v/>
      </c>
      <c r="X2801" s="264" t="str">
        <f t="shared" si="7"/>
        <v/>
      </c>
    </row>
    <row r="2802" ht="15.75" customHeight="1">
      <c r="A2802" s="258"/>
      <c r="B2802" s="258"/>
      <c r="C2802" s="269"/>
      <c r="D2802" s="258"/>
      <c r="E2802" s="258"/>
      <c r="F2802" s="258"/>
      <c r="G2802" s="258"/>
      <c r="H2802" s="271"/>
      <c r="I2802" s="258"/>
      <c r="J2802" s="272"/>
      <c r="K2802" s="260"/>
      <c r="L2802" s="261"/>
      <c r="M2802" s="262" t="str">
        <f t="shared" si="1"/>
        <v/>
      </c>
      <c r="N2802" s="263" t="str">
        <f t="shared" si="2"/>
        <v/>
      </c>
      <c r="O2802" s="264" t="str">
        <f t="shared" si="3"/>
        <v/>
      </c>
      <c r="P2802" s="265" t="str">
        <f>IFERROR(__xludf.DUMMYFUNCTION("IF(ISBLANK(A2802),"""",IFERROR(IF(H2802=""Sell"",VLOOKUP(9^99,FILTER({ROW(P$2:P2801),P$2:P2801},D$2:D2801=D2802),2),(VLOOKUP(9^99,FILTER({ROW(P$2:P2801),P$2:P2801},D$2:D2801=D2802),2)*VLOOKUP(9^99,FILTER({ROW(O$2:O2801),O$2:O2801},D$2:D2801=D2802),2)-N280"&amp;"2)/O2802),J2802))"),"")</f>
        <v/>
      </c>
      <c r="Q2802" s="264" t="str">
        <f>IFERROR(__xludf.DUMMYFUNCTION("IFERROR(IF(F2802=""Crypto"",B2802,(IF(ISBLANK(D2802),"""",IF(D2802=""Cash"",B2802,IF(GOOGLEFINANCE(D2802,""CURRENCY"")=""GBX"",""GBP"",GOOGLEFINANCE(D2802,""CURRENCY"")))))),B2802)"),"")</f>
        <v/>
      </c>
      <c r="R2802" s="263" t="str">
        <f>IFERROR(__xludf.DUMMYFUNCTION("IF(ISBLANK(A2802),"""",IFERROR(IF(OR(Q2802=""GPB"",Q2802=""ZAR""),IF(Q2802=Dashboard!$L$1,K2802,(K2802*GOOGLEFINANCE(""CURRENCY:""&amp;Q2802&amp;""""&amp;Dashboard!$L$1&amp;""""))/100),IF(Q2802=Dashboard!$L$1,K2802,K2802*GOOGLEFINANCE(""CURRENCY:""&amp;Q2802&amp;""""&amp;Dashboard!$"&amp;"L$1&amp;""""))),K2802))"),"")</f>
        <v/>
      </c>
      <c r="S2802" s="266" t="str">
        <f>IFERROR(__xludf.DUMMYFUNCTION("IF(ISBLANK(A2802),"""",IFERROR(IF(OR(Q2802=""GPB"",Q2802=""ZAR""),IF(Q2802=Dashboard!$L$1,M2802,(M2802*GOOGLEFINANCE(""CURRENCY:""&amp;Q2802&amp;""""&amp;Dashboard!$L$1&amp;""""))/100),IF(Q2802=Dashboard!$L$1,M2802,M2802*GOOGLEFINANCE(""CURRENCY:""&amp;Q2802&amp;""""&amp;Dashboard!$"&amp;"L$1&amp;""""))),M2802))"),"")</f>
        <v/>
      </c>
      <c r="T2802" s="264" t="str">
        <f t="shared" si="4"/>
        <v/>
      </c>
      <c r="U2802" s="264" t="str">
        <f t="shared" si="5"/>
        <v/>
      </c>
      <c r="V2802" s="264" t="str">
        <f t="shared" si="6"/>
        <v/>
      </c>
      <c r="W2802" s="267" t="str">
        <f t="shared" si="8"/>
        <v/>
      </c>
      <c r="X2802" s="264" t="str">
        <f t="shared" si="7"/>
        <v/>
      </c>
    </row>
    <row r="2803" ht="15.75" customHeight="1">
      <c r="A2803" s="258"/>
      <c r="B2803" s="258"/>
      <c r="C2803" s="269"/>
      <c r="D2803" s="258"/>
      <c r="E2803" s="258"/>
      <c r="F2803" s="258"/>
      <c r="G2803" s="258"/>
      <c r="H2803" s="271"/>
      <c r="I2803" s="258"/>
      <c r="J2803" s="272"/>
      <c r="K2803" s="260"/>
      <c r="L2803" s="261"/>
      <c r="M2803" s="262" t="str">
        <f t="shared" si="1"/>
        <v/>
      </c>
      <c r="N2803" s="263" t="str">
        <f t="shared" si="2"/>
        <v/>
      </c>
      <c r="O2803" s="264" t="str">
        <f t="shared" si="3"/>
        <v/>
      </c>
      <c r="P2803" s="265" t="str">
        <f>IFERROR(__xludf.DUMMYFUNCTION("IF(ISBLANK(A2803),"""",IFERROR(IF(H2803=""Sell"",VLOOKUP(9^99,FILTER({ROW(P$2:P2802),P$2:P2802},D$2:D2802=D2803),2),(VLOOKUP(9^99,FILTER({ROW(P$2:P2802),P$2:P2802},D$2:D2802=D2803),2)*VLOOKUP(9^99,FILTER({ROW(O$2:O2802),O$2:O2802},D$2:D2802=D2803),2)-N280"&amp;"3)/O2803),J2803))"),"")</f>
        <v/>
      </c>
      <c r="Q2803" s="264" t="str">
        <f>IFERROR(__xludf.DUMMYFUNCTION("IFERROR(IF(F2803=""Crypto"",B2803,(IF(ISBLANK(D2803),"""",IF(D2803=""Cash"",B2803,IF(GOOGLEFINANCE(D2803,""CURRENCY"")=""GBX"",""GBP"",GOOGLEFINANCE(D2803,""CURRENCY"")))))),B2803)"),"")</f>
        <v/>
      </c>
      <c r="R2803" s="263" t="str">
        <f>IFERROR(__xludf.DUMMYFUNCTION("IF(ISBLANK(A2803),"""",IFERROR(IF(OR(Q2803=""GPB"",Q2803=""ZAR""),IF(Q2803=Dashboard!$L$1,K2803,(K2803*GOOGLEFINANCE(""CURRENCY:""&amp;Q2803&amp;""""&amp;Dashboard!$L$1&amp;""""))/100),IF(Q2803=Dashboard!$L$1,K2803,K2803*GOOGLEFINANCE(""CURRENCY:""&amp;Q2803&amp;""""&amp;Dashboard!$"&amp;"L$1&amp;""""))),K2803))"),"")</f>
        <v/>
      </c>
      <c r="S2803" s="266" t="str">
        <f>IFERROR(__xludf.DUMMYFUNCTION("IF(ISBLANK(A2803),"""",IFERROR(IF(OR(Q2803=""GPB"",Q2803=""ZAR""),IF(Q2803=Dashboard!$L$1,M2803,(M2803*GOOGLEFINANCE(""CURRENCY:""&amp;Q2803&amp;""""&amp;Dashboard!$L$1&amp;""""))/100),IF(Q2803=Dashboard!$L$1,M2803,M2803*GOOGLEFINANCE(""CURRENCY:""&amp;Q2803&amp;""""&amp;Dashboard!$"&amp;"L$1&amp;""""))),M2803))"),"")</f>
        <v/>
      </c>
      <c r="T2803" s="264" t="str">
        <f t="shared" si="4"/>
        <v/>
      </c>
      <c r="U2803" s="264" t="str">
        <f t="shared" si="5"/>
        <v/>
      </c>
      <c r="V2803" s="264" t="str">
        <f t="shared" si="6"/>
        <v/>
      </c>
      <c r="W2803" s="267" t="str">
        <f t="shared" si="8"/>
        <v/>
      </c>
      <c r="X2803" s="264" t="str">
        <f t="shared" si="7"/>
        <v/>
      </c>
    </row>
    <row r="2804" ht="15.75" customHeight="1">
      <c r="A2804" s="258"/>
      <c r="B2804" s="258"/>
      <c r="C2804" s="269"/>
      <c r="D2804" s="258"/>
      <c r="E2804" s="258"/>
      <c r="F2804" s="258"/>
      <c r="G2804" s="258"/>
      <c r="H2804" s="271"/>
      <c r="I2804" s="258"/>
      <c r="J2804" s="272"/>
      <c r="K2804" s="260"/>
      <c r="L2804" s="261"/>
      <c r="M2804" s="262" t="str">
        <f t="shared" si="1"/>
        <v/>
      </c>
      <c r="N2804" s="263" t="str">
        <f t="shared" si="2"/>
        <v/>
      </c>
      <c r="O2804" s="264" t="str">
        <f t="shared" si="3"/>
        <v/>
      </c>
      <c r="P2804" s="265" t="str">
        <f>IFERROR(__xludf.DUMMYFUNCTION("IF(ISBLANK(A2804),"""",IFERROR(IF(H2804=""Sell"",VLOOKUP(9^99,FILTER({ROW(P$2:P2803),P$2:P2803},D$2:D2803=D2804),2),(VLOOKUP(9^99,FILTER({ROW(P$2:P2803),P$2:P2803},D$2:D2803=D2804),2)*VLOOKUP(9^99,FILTER({ROW(O$2:O2803),O$2:O2803},D$2:D2803=D2804),2)-N280"&amp;"4)/O2804),J2804))"),"")</f>
        <v/>
      </c>
      <c r="Q2804" s="264" t="str">
        <f>IFERROR(__xludf.DUMMYFUNCTION("IFERROR(IF(F2804=""Crypto"",B2804,(IF(ISBLANK(D2804),"""",IF(D2804=""Cash"",B2804,IF(GOOGLEFINANCE(D2804,""CURRENCY"")=""GBX"",""GBP"",GOOGLEFINANCE(D2804,""CURRENCY"")))))),B2804)"),"")</f>
        <v/>
      </c>
      <c r="R2804" s="263" t="str">
        <f>IFERROR(__xludf.DUMMYFUNCTION("IF(ISBLANK(A2804),"""",IFERROR(IF(OR(Q2804=""GPB"",Q2804=""ZAR""),IF(Q2804=Dashboard!$L$1,K2804,(K2804*GOOGLEFINANCE(""CURRENCY:""&amp;Q2804&amp;""""&amp;Dashboard!$L$1&amp;""""))/100),IF(Q2804=Dashboard!$L$1,K2804,K2804*GOOGLEFINANCE(""CURRENCY:""&amp;Q2804&amp;""""&amp;Dashboard!$"&amp;"L$1&amp;""""))),K2804))"),"")</f>
        <v/>
      </c>
      <c r="S2804" s="266" t="str">
        <f>IFERROR(__xludf.DUMMYFUNCTION("IF(ISBLANK(A2804),"""",IFERROR(IF(OR(Q2804=""GPB"",Q2804=""ZAR""),IF(Q2804=Dashboard!$L$1,M2804,(M2804*GOOGLEFINANCE(""CURRENCY:""&amp;Q2804&amp;""""&amp;Dashboard!$L$1&amp;""""))/100),IF(Q2804=Dashboard!$L$1,M2804,M2804*GOOGLEFINANCE(""CURRENCY:""&amp;Q2804&amp;""""&amp;Dashboard!$"&amp;"L$1&amp;""""))),M2804))"),"")</f>
        <v/>
      </c>
      <c r="T2804" s="264" t="str">
        <f t="shared" si="4"/>
        <v/>
      </c>
      <c r="U2804" s="264" t="str">
        <f t="shared" si="5"/>
        <v/>
      </c>
      <c r="V2804" s="264" t="str">
        <f t="shared" si="6"/>
        <v/>
      </c>
      <c r="W2804" s="267" t="str">
        <f t="shared" si="8"/>
        <v/>
      </c>
      <c r="X2804" s="264" t="str">
        <f t="shared" si="7"/>
        <v/>
      </c>
    </row>
    <row r="2805" ht="15.75" customHeight="1">
      <c r="A2805" s="258"/>
      <c r="B2805" s="258"/>
      <c r="C2805" s="269"/>
      <c r="D2805" s="258"/>
      <c r="E2805" s="258"/>
      <c r="F2805" s="258"/>
      <c r="G2805" s="258"/>
      <c r="H2805" s="271"/>
      <c r="I2805" s="258"/>
      <c r="J2805" s="272"/>
      <c r="K2805" s="260"/>
      <c r="L2805" s="261"/>
      <c r="M2805" s="262" t="str">
        <f t="shared" si="1"/>
        <v/>
      </c>
      <c r="N2805" s="263" t="str">
        <f t="shared" si="2"/>
        <v/>
      </c>
      <c r="O2805" s="264" t="str">
        <f t="shared" si="3"/>
        <v/>
      </c>
      <c r="P2805" s="265" t="str">
        <f>IFERROR(__xludf.DUMMYFUNCTION("IF(ISBLANK(A2805),"""",IFERROR(IF(H2805=""Sell"",VLOOKUP(9^99,FILTER({ROW(P$2:P2804),P$2:P2804},D$2:D2804=D2805),2),(VLOOKUP(9^99,FILTER({ROW(P$2:P2804),P$2:P2804},D$2:D2804=D2805),2)*VLOOKUP(9^99,FILTER({ROW(O$2:O2804),O$2:O2804},D$2:D2804=D2805),2)-N280"&amp;"5)/O2805),J2805))"),"")</f>
        <v/>
      </c>
      <c r="Q2805" s="264" t="str">
        <f>IFERROR(__xludf.DUMMYFUNCTION("IFERROR(IF(F2805=""Crypto"",B2805,(IF(ISBLANK(D2805),"""",IF(D2805=""Cash"",B2805,IF(GOOGLEFINANCE(D2805,""CURRENCY"")=""GBX"",""GBP"",GOOGLEFINANCE(D2805,""CURRENCY"")))))),B2805)"),"")</f>
        <v/>
      </c>
      <c r="R2805" s="263" t="str">
        <f>IFERROR(__xludf.DUMMYFUNCTION("IF(ISBLANK(A2805),"""",IFERROR(IF(OR(Q2805=""GPB"",Q2805=""ZAR""),IF(Q2805=Dashboard!$L$1,K2805,(K2805*GOOGLEFINANCE(""CURRENCY:""&amp;Q2805&amp;""""&amp;Dashboard!$L$1&amp;""""))/100),IF(Q2805=Dashboard!$L$1,K2805,K2805*GOOGLEFINANCE(""CURRENCY:""&amp;Q2805&amp;""""&amp;Dashboard!$"&amp;"L$1&amp;""""))),K2805))"),"")</f>
        <v/>
      </c>
      <c r="S2805" s="266" t="str">
        <f>IFERROR(__xludf.DUMMYFUNCTION("IF(ISBLANK(A2805),"""",IFERROR(IF(OR(Q2805=""GPB"",Q2805=""ZAR""),IF(Q2805=Dashboard!$L$1,M2805,(M2805*GOOGLEFINANCE(""CURRENCY:""&amp;Q2805&amp;""""&amp;Dashboard!$L$1&amp;""""))/100),IF(Q2805=Dashboard!$L$1,M2805,M2805*GOOGLEFINANCE(""CURRENCY:""&amp;Q2805&amp;""""&amp;Dashboard!$"&amp;"L$1&amp;""""))),M2805))"),"")</f>
        <v/>
      </c>
      <c r="T2805" s="264" t="str">
        <f t="shared" si="4"/>
        <v/>
      </c>
      <c r="U2805" s="264" t="str">
        <f t="shared" si="5"/>
        <v/>
      </c>
      <c r="V2805" s="264" t="str">
        <f t="shared" si="6"/>
        <v/>
      </c>
      <c r="W2805" s="267" t="str">
        <f t="shared" si="8"/>
        <v/>
      </c>
      <c r="X2805" s="264" t="str">
        <f t="shared" si="7"/>
        <v/>
      </c>
    </row>
    <row r="2806" ht="15.75" customHeight="1">
      <c r="A2806" s="258"/>
      <c r="B2806" s="258"/>
      <c r="C2806" s="269"/>
      <c r="D2806" s="258"/>
      <c r="E2806" s="258"/>
      <c r="F2806" s="258"/>
      <c r="G2806" s="258"/>
      <c r="H2806" s="271"/>
      <c r="I2806" s="258"/>
      <c r="J2806" s="272"/>
      <c r="K2806" s="260"/>
      <c r="L2806" s="261"/>
      <c r="M2806" s="262" t="str">
        <f t="shared" si="1"/>
        <v/>
      </c>
      <c r="N2806" s="263" t="str">
        <f t="shared" si="2"/>
        <v/>
      </c>
      <c r="O2806" s="264" t="str">
        <f t="shared" si="3"/>
        <v/>
      </c>
      <c r="P2806" s="265" t="str">
        <f>IFERROR(__xludf.DUMMYFUNCTION("IF(ISBLANK(A2806),"""",IFERROR(IF(H2806=""Sell"",VLOOKUP(9^99,FILTER({ROW(P$2:P2805),P$2:P2805},D$2:D2805=D2806),2),(VLOOKUP(9^99,FILTER({ROW(P$2:P2805),P$2:P2805},D$2:D2805=D2806),2)*VLOOKUP(9^99,FILTER({ROW(O$2:O2805),O$2:O2805},D$2:D2805=D2806),2)-N280"&amp;"6)/O2806),J2806))"),"")</f>
        <v/>
      </c>
      <c r="Q2806" s="264" t="str">
        <f>IFERROR(__xludf.DUMMYFUNCTION("IFERROR(IF(F2806=""Crypto"",B2806,(IF(ISBLANK(D2806),"""",IF(D2806=""Cash"",B2806,IF(GOOGLEFINANCE(D2806,""CURRENCY"")=""GBX"",""GBP"",GOOGLEFINANCE(D2806,""CURRENCY"")))))),B2806)"),"")</f>
        <v/>
      </c>
      <c r="R2806" s="263" t="str">
        <f>IFERROR(__xludf.DUMMYFUNCTION("IF(ISBLANK(A2806),"""",IFERROR(IF(OR(Q2806=""GPB"",Q2806=""ZAR""),IF(Q2806=Dashboard!$L$1,K2806,(K2806*GOOGLEFINANCE(""CURRENCY:""&amp;Q2806&amp;""""&amp;Dashboard!$L$1&amp;""""))/100),IF(Q2806=Dashboard!$L$1,K2806,K2806*GOOGLEFINANCE(""CURRENCY:""&amp;Q2806&amp;""""&amp;Dashboard!$"&amp;"L$1&amp;""""))),K2806))"),"")</f>
        <v/>
      </c>
      <c r="S2806" s="266" t="str">
        <f>IFERROR(__xludf.DUMMYFUNCTION("IF(ISBLANK(A2806),"""",IFERROR(IF(OR(Q2806=""GPB"",Q2806=""ZAR""),IF(Q2806=Dashboard!$L$1,M2806,(M2806*GOOGLEFINANCE(""CURRENCY:""&amp;Q2806&amp;""""&amp;Dashboard!$L$1&amp;""""))/100),IF(Q2806=Dashboard!$L$1,M2806,M2806*GOOGLEFINANCE(""CURRENCY:""&amp;Q2806&amp;""""&amp;Dashboard!$"&amp;"L$1&amp;""""))),M2806))"),"")</f>
        <v/>
      </c>
      <c r="T2806" s="264" t="str">
        <f t="shared" si="4"/>
        <v/>
      </c>
      <c r="U2806" s="264" t="str">
        <f t="shared" si="5"/>
        <v/>
      </c>
      <c r="V2806" s="264" t="str">
        <f t="shared" si="6"/>
        <v/>
      </c>
      <c r="W2806" s="267" t="str">
        <f t="shared" si="8"/>
        <v/>
      </c>
      <c r="X2806" s="264" t="str">
        <f t="shared" si="7"/>
        <v/>
      </c>
    </row>
    <row r="2807" ht="15.75" customHeight="1">
      <c r="A2807" s="258"/>
      <c r="B2807" s="258"/>
      <c r="C2807" s="269"/>
      <c r="D2807" s="258"/>
      <c r="E2807" s="258"/>
      <c r="F2807" s="258"/>
      <c r="G2807" s="258"/>
      <c r="H2807" s="271"/>
      <c r="I2807" s="258"/>
      <c r="J2807" s="272"/>
      <c r="K2807" s="260"/>
      <c r="L2807" s="261"/>
      <c r="M2807" s="262" t="str">
        <f t="shared" si="1"/>
        <v/>
      </c>
      <c r="N2807" s="263" t="str">
        <f t="shared" si="2"/>
        <v/>
      </c>
      <c r="O2807" s="264" t="str">
        <f t="shared" si="3"/>
        <v/>
      </c>
      <c r="P2807" s="265" t="str">
        <f>IFERROR(__xludf.DUMMYFUNCTION("IF(ISBLANK(A2807),"""",IFERROR(IF(H2807=""Sell"",VLOOKUP(9^99,FILTER({ROW(P$2:P2806),P$2:P2806},D$2:D2806=D2807),2),(VLOOKUP(9^99,FILTER({ROW(P$2:P2806),P$2:P2806},D$2:D2806=D2807),2)*VLOOKUP(9^99,FILTER({ROW(O$2:O2806),O$2:O2806},D$2:D2806=D2807),2)-N280"&amp;"7)/O2807),J2807))"),"")</f>
        <v/>
      </c>
      <c r="Q2807" s="264" t="str">
        <f>IFERROR(__xludf.DUMMYFUNCTION("IFERROR(IF(F2807=""Crypto"",B2807,(IF(ISBLANK(D2807),"""",IF(D2807=""Cash"",B2807,IF(GOOGLEFINANCE(D2807,""CURRENCY"")=""GBX"",""GBP"",GOOGLEFINANCE(D2807,""CURRENCY"")))))),B2807)"),"")</f>
        <v/>
      </c>
      <c r="R2807" s="263" t="str">
        <f>IFERROR(__xludf.DUMMYFUNCTION("IF(ISBLANK(A2807),"""",IFERROR(IF(OR(Q2807=""GPB"",Q2807=""ZAR""),IF(Q2807=Dashboard!$L$1,K2807,(K2807*GOOGLEFINANCE(""CURRENCY:""&amp;Q2807&amp;""""&amp;Dashboard!$L$1&amp;""""))/100),IF(Q2807=Dashboard!$L$1,K2807,K2807*GOOGLEFINANCE(""CURRENCY:""&amp;Q2807&amp;""""&amp;Dashboard!$"&amp;"L$1&amp;""""))),K2807))"),"")</f>
        <v/>
      </c>
      <c r="S2807" s="266" t="str">
        <f>IFERROR(__xludf.DUMMYFUNCTION("IF(ISBLANK(A2807),"""",IFERROR(IF(OR(Q2807=""GPB"",Q2807=""ZAR""),IF(Q2807=Dashboard!$L$1,M2807,(M2807*GOOGLEFINANCE(""CURRENCY:""&amp;Q2807&amp;""""&amp;Dashboard!$L$1&amp;""""))/100),IF(Q2807=Dashboard!$L$1,M2807,M2807*GOOGLEFINANCE(""CURRENCY:""&amp;Q2807&amp;""""&amp;Dashboard!$"&amp;"L$1&amp;""""))),M2807))"),"")</f>
        <v/>
      </c>
      <c r="T2807" s="264" t="str">
        <f t="shared" si="4"/>
        <v/>
      </c>
      <c r="U2807" s="264" t="str">
        <f t="shared" si="5"/>
        <v/>
      </c>
      <c r="V2807" s="264" t="str">
        <f t="shared" si="6"/>
        <v/>
      </c>
      <c r="W2807" s="267" t="str">
        <f t="shared" si="8"/>
        <v/>
      </c>
      <c r="X2807" s="264" t="str">
        <f t="shared" si="7"/>
        <v/>
      </c>
    </row>
    <row r="2808" ht="15.75" customHeight="1">
      <c r="A2808" s="258"/>
      <c r="B2808" s="258"/>
      <c r="C2808" s="269"/>
      <c r="D2808" s="258"/>
      <c r="E2808" s="258"/>
      <c r="F2808" s="258"/>
      <c r="G2808" s="258"/>
      <c r="H2808" s="271"/>
      <c r="I2808" s="258"/>
      <c r="J2808" s="272"/>
      <c r="K2808" s="260"/>
      <c r="L2808" s="261"/>
      <c r="M2808" s="262" t="str">
        <f t="shared" si="1"/>
        <v/>
      </c>
      <c r="N2808" s="263" t="str">
        <f t="shared" si="2"/>
        <v/>
      </c>
      <c r="O2808" s="264" t="str">
        <f t="shared" si="3"/>
        <v/>
      </c>
      <c r="P2808" s="265" t="str">
        <f>IFERROR(__xludf.DUMMYFUNCTION("IF(ISBLANK(A2808),"""",IFERROR(IF(H2808=""Sell"",VLOOKUP(9^99,FILTER({ROW(P$2:P2807),P$2:P2807},D$2:D2807=D2808),2),(VLOOKUP(9^99,FILTER({ROW(P$2:P2807),P$2:P2807},D$2:D2807=D2808),2)*VLOOKUP(9^99,FILTER({ROW(O$2:O2807),O$2:O2807},D$2:D2807=D2808),2)-N280"&amp;"8)/O2808),J2808))"),"")</f>
        <v/>
      </c>
      <c r="Q2808" s="264" t="str">
        <f>IFERROR(__xludf.DUMMYFUNCTION("IFERROR(IF(F2808=""Crypto"",B2808,(IF(ISBLANK(D2808),"""",IF(D2808=""Cash"",B2808,IF(GOOGLEFINANCE(D2808,""CURRENCY"")=""GBX"",""GBP"",GOOGLEFINANCE(D2808,""CURRENCY"")))))),B2808)"),"")</f>
        <v/>
      </c>
      <c r="R2808" s="263" t="str">
        <f>IFERROR(__xludf.DUMMYFUNCTION("IF(ISBLANK(A2808),"""",IFERROR(IF(OR(Q2808=""GPB"",Q2808=""ZAR""),IF(Q2808=Dashboard!$L$1,K2808,(K2808*GOOGLEFINANCE(""CURRENCY:""&amp;Q2808&amp;""""&amp;Dashboard!$L$1&amp;""""))/100),IF(Q2808=Dashboard!$L$1,K2808,K2808*GOOGLEFINANCE(""CURRENCY:""&amp;Q2808&amp;""""&amp;Dashboard!$"&amp;"L$1&amp;""""))),K2808))"),"")</f>
        <v/>
      </c>
      <c r="S2808" s="266" t="str">
        <f>IFERROR(__xludf.DUMMYFUNCTION("IF(ISBLANK(A2808),"""",IFERROR(IF(OR(Q2808=""GPB"",Q2808=""ZAR""),IF(Q2808=Dashboard!$L$1,M2808,(M2808*GOOGLEFINANCE(""CURRENCY:""&amp;Q2808&amp;""""&amp;Dashboard!$L$1&amp;""""))/100),IF(Q2808=Dashboard!$L$1,M2808,M2808*GOOGLEFINANCE(""CURRENCY:""&amp;Q2808&amp;""""&amp;Dashboard!$"&amp;"L$1&amp;""""))),M2808))"),"")</f>
        <v/>
      </c>
      <c r="T2808" s="264" t="str">
        <f t="shared" si="4"/>
        <v/>
      </c>
      <c r="U2808" s="264" t="str">
        <f t="shared" si="5"/>
        <v/>
      </c>
      <c r="V2808" s="264" t="str">
        <f t="shared" si="6"/>
        <v/>
      </c>
      <c r="W2808" s="267" t="str">
        <f t="shared" si="8"/>
        <v/>
      </c>
      <c r="X2808" s="264" t="str">
        <f t="shared" si="7"/>
        <v/>
      </c>
    </row>
    <row r="2809" ht="15.75" customHeight="1">
      <c r="A2809" s="258"/>
      <c r="B2809" s="258"/>
      <c r="C2809" s="269"/>
      <c r="D2809" s="258"/>
      <c r="E2809" s="258"/>
      <c r="F2809" s="258"/>
      <c r="G2809" s="258"/>
      <c r="H2809" s="271"/>
      <c r="I2809" s="258"/>
      <c r="J2809" s="272"/>
      <c r="K2809" s="260"/>
      <c r="L2809" s="261"/>
      <c r="M2809" s="262" t="str">
        <f t="shared" si="1"/>
        <v/>
      </c>
      <c r="N2809" s="263" t="str">
        <f t="shared" si="2"/>
        <v/>
      </c>
      <c r="O2809" s="264" t="str">
        <f t="shared" si="3"/>
        <v/>
      </c>
      <c r="P2809" s="265" t="str">
        <f>IFERROR(__xludf.DUMMYFUNCTION("IF(ISBLANK(A2809),"""",IFERROR(IF(H2809=""Sell"",VLOOKUP(9^99,FILTER({ROW(P$2:P2808),P$2:P2808},D$2:D2808=D2809),2),(VLOOKUP(9^99,FILTER({ROW(P$2:P2808),P$2:P2808},D$2:D2808=D2809),2)*VLOOKUP(9^99,FILTER({ROW(O$2:O2808),O$2:O2808},D$2:D2808=D2809),2)-N280"&amp;"9)/O2809),J2809))"),"")</f>
        <v/>
      </c>
      <c r="Q2809" s="264" t="str">
        <f>IFERROR(__xludf.DUMMYFUNCTION("IFERROR(IF(F2809=""Crypto"",B2809,(IF(ISBLANK(D2809),"""",IF(D2809=""Cash"",B2809,IF(GOOGLEFINANCE(D2809,""CURRENCY"")=""GBX"",""GBP"",GOOGLEFINANCE(D2809,""CURRENCY"")))))),B2809)"),"")</f>
        <v/>
      </c>
      <c r="R2809" s="263" t="str">
        <f>IFERROR(__xludf.DUMMYFUNCTION("IF(ISBLANK(A2809),"""",IFERROR(IF(OR(Q2809=""GPB"",Q2809=""ZAR""),IF(Q2809=Dashboard!$L$1,K2809,(K2809*GOOGLEFINANCE(""CURRENCY:""&amp;Q2809&amp;""""&amp;Dashboard!$L$1&amp;""""))/100),IF(Q2809=Dashboard!$L$1,K2809,K2809*GOOGLEFINANCE(""CURRENCY:""&amp;Q2809&amp;""""&amp;Dashboard!$"&amp;"L$1&amp;""""))),K2809))"),"")</f>
        <v/>
      </c>
      <c r="S2809" s="266" t="str">
        <f>IFERROR(__xludf.DUMMYFUNCTION("IF(ISBLANK(A2809),"""",IFERROR(IF(OR(Q2809=""GPB"",Q2809=""ZAR""),IF(Q2809=Dashboard!$L$1,M2809,(M2809*GOOGLEFINANCE(""CURRENCY:""&amp;Q2809&amp;""""&amp;Dashboard!$L$1&amp;""""))/100),IF(Q2809=Dashboard!$L$1,M2809,M2809*GOOGLEFINANCE(""CURRENCY:""&amp;Q2809&amp;""""&amp;Dashboard!$"&amp;"L$1&amp;""""))),M2809))"),"")</f>
        <v/>
      </c>
      <c r="T2809" s="264" t="str">
        <f t="shared" si="4"/>
        <v/>
      </c>
      <c r="U2809" s="264" t="str">
        <f t="shared" si="5"/>
        <v/>
      </c>
      <c r="V2809" s="264" t="str">
        <f t="shared" si="6"/>
        <v/>
      </c>
      <c r="W2809" s="267" t="str">
        <f t="shared" si="8"/>
        <v/>
      </c>
      <c r="X2809" s="264" t="str">
        <f t="shared" si="7"/>
        <v/>
      </c>
    </row>
    <row r="2810" ht="15.75" customHeight="1">
      <c r="A2810" s="258"/>
      <c r="B2810" s="258"/>
      <c r="C2810" s="269"/>
      <c r="D2810" s="258"/>
      <c r="E2810" s="258"/>
      <c r="F2810" s="258"/>
      <c r="G2810" s="258"/>
      <c r="H2810" s="271"/>
      <c r="I2810" s="258"/>
      <c r="J2810" s="272"/>
      <c r="K2810" s="260"/>
      <c r="L2810" s="261"/>
      <c r="M2810" s="262" t="str">
        <f t="shared" si="1"/>
        <v/>
      </c>
      <c r="N2810" s="263" t="str">
        <f t="shared" si="2"/>
        <v/>
      </c>
      <c r="O2810" s="264" t="str">
        <f t="shared" si="3"/>
        <v/>
      </c>
      <c r="P2810" s="265" t="str">
        <f>IFERROR(__xludf.DUMMYFUNCTION("IF(ISBLANK(A2810),"""",IFERROR(IF(H2810=""Sell"",VLOOKUP(9^99,FILTER({ROW(P$2:P2809),P$2:P2809},D$2:D2809=D2810),2),(VLOOKUP(9^99,FILTER({ROW(P$2:P2809),P$2:P2809},D$2:D2809=D2810),2)*VLOOKUP(9^99,FILTER({ROW(O$2:O2809),O$2:O2809},D$2:D2809=D2810),2)-N281"&amp;"0)/O2810),J2810))"),"")</f>
        <v/>
      </c>
      <c r="Q2810" s="264" t="str">
        <f>IFERROR(__xludf.DUMMYFUNCTION("IFERROR(IF(F2810=""Crypto"",B2810,(IF(ISBLANK(D2810),"""",IF(D2810=""Cash"",B2810,IF(GOOGLEFINANCE(D2810,""CURRENCY"")=""GBX"",""GBP"",GOOGLEFINANCE(D2810,""CURRENCY"")))))),B2810)"),"")</f>
        <v/>
      </c>
      <c r="R2810" s="263" t="str">
        <f>IFERROR(__xludf.DUMMYFUNCTION("IF(ISBLANK(A2810),"""",IFERROR(IF(OR(Q2810=""GPB"",Q2810=""ZAR""),IF(Q2810=Dashboard!$L$1,K2810,(K2810*GOOGLEFINANCE(""CURRENCY:""&amp;Q2810&amp;""""&amp;Dashboard!$L$1&amp;""""))/100),IF(Q2810=Dashboard!$L$1,K2810,K2810*GOOGLEFINANCE(""CURRENCY:""&amp;Q2810&amp;""""&amp;Dashboard!$"&amp;"L$1&amp;""""))),K2810))"),"")</f>
        <v/>
      </c>
      <c r="S2810" s="266" t="str">
        <f>IFERROR(__xludf.DUMMYFUNCTION("IF(ISBLANK(A2810),"""",IFERROR(IF(OR(Q2810=""GPB"",Q2810=""ZAR""),IF(Q2810=Dashboard!$L$1,M2810,(M2810*GOOGLEFINANCE(""CURRENCY:""&amp;Q2810&amp;""""&amp;Dashboard!$L$1&amp;""""))/100),IF(Q2810=Dashboard!$L$1,M2810,M2810*GOOGLEFINANCE(""CURRENCY:""&amp;Q2810&amp;""""&amp;Dashboard!$"&amp;"L$1&amp;""""))),M2810))"),"")</f>
        <v/>
      </c>
      <c r="T2810" s="264" t="str">
        <f t="shared" si="4"/>
        <v/>
      </c>
      <c r="U2810" s="264" t="str">
        <f t="shared" si="5"/>
        <v/>
      </c>
      <c r="V2810" s="264" t="str">
        <f t="shared" si="6"/>
        <v/>
      </c>
      <c r="W2810" s="267" t="str">
        <f t="shared" si="8"/>
        <v/>
      </c>
      <c r="X2810" s="264" t="str">
        <f t="shared" si="7"/>
        <v/>
      </c>
    </row>
    <row r="2811" ht="15.75" customHeight="1">
      <c r="A2811" s="258"/>
      <c r="B2811" s="258"/>
      <c r="C2811" s="269"/>
      <c r="D2811" s="258"/>
      <c r="E2811" s="258"/>
      <c r="F2811" s="258"/>
      <c r="G2811" s="258"/>
      <c r="H2811" s="271"/>
      <c r="I2811" s="258"/>
      <c r="J2811" s="272"/>
      <c r="K2811" s="260"/>
      <c r="L2811" s="261"/>
      <c r="M2811" s="262" t="str">
        <f t="shared" si="1"/>
        <v/>
      </c>
      <c r="N2811" s="263" t="str">
        <f t="shared" si="2"/>
        <v/>
      </c>
      <c r="O2811" s="264" t="str">
        <f t="shared" si="3"/>
        <v/>
      </c>
      <c r="P2811" s="265" t="str">
        <f>IFERROR(__xludf.DUMMYFUNCTION("IF(ISBLANK(A2811),"""",IFERROR(IF(H2811=""Sell"",VLOOKUP(9^99,FILTER({ROW(P$2:P2810),P$2:P2810},D$2:D2810=D2811),2),(VLOOKUP(9^99,FILTER({ROW(P$2:P2810),P$2:P2810},D$2:D2810=D2811),2)*VLOOKUP(9^99,FILTER({ROW(O$2:O2810),O$2:O2810},D$2:D2810=D2811),2)-N281"&amp;"1)/O2811),J2811))"),"")</f>
        <v/>
      </c>
      <c r="Q2811" s="264" t="str">
        <f>IFERROR(__xludf.DUMMYFUNCTION("IFERROR(IF(F2811=""Crypto"",B2811,(IF(ISBLANK(D2811),"""",IF(D2811=""Cash"",B2811,IF(GOOGLEFINANCE(D2811,""CURRENCY"")=""GBX"",""GBP"",GOOGLEFINANCE(D2811,""CURRENCY"")))))),B2811)"),"")</f>
        <v/>
      </c>
      <c r="R2811" s="263" t="str">
        <f>IFERROR(__xludf.DUMMYFUNCTION("IF(ISBLANK(A2811),"""",IFERROR(IF(OR(Q2811=""GPB"",Q2811=""ZAR""),IF(Q2811=Dashboard!$L$1,K2811,(K2811*GOOGLEFINANCE(""CURRENCY:""&amp;Q2811&amp;""""&amp;Dashboard!$L$1&amp;""""))/100),IF(Q2811=Dashboard!$L$1,K2811,K2811*GOOGLEFINANCE(""CURRENCY:""&amp;Q2811&amp;""""&amp;Dashboard!$"&amp;"L$1&amp;""""))),K2811))"),"")</f>
        <v/>
      </c>
      <c r="S2811" s="266" t="str">
        <f>IFERROR(__xludf.DUMMYFUNCTION("IF(ISBLANK(A2811),"""",IFERROR(IF(OR(Q2811=""GPB"",Q2811=""ZAR""),IF(Q2811=Dashboard!$L$1,M2811,(M2811*GOOGLEFINANCE(""CURRENCY:""&amp;Q2811&amp;""""&amp;Dashboard!$L$1&amp;""""))/100),IF(Q2811=Dashboard!$L$1,M2811,M2811*GOOGLEFINANCE(""CURRENCY:""&amp;Q2811&amp;""""&amp;Dashboard!$"&amp;"L$1&amp;""""))),M2811))"),"")</f>
        <v/>
      </c>
      <c r="T2811" s="264" t="str">
        <f t="shared" si="4"/>
        <v/>
      </c>
      <c r="U2811" s="264" t="str">
        <f t="shared" si="5"/>
        <v/>
      </c>
      <c r="V2811" s="264" t="str">
        <f t="shared" si="6"/>
        <v/>
      </c>
      <c r="W2811" s="267" t="str">
        <f t="shared" si="8"/>
        <v/>
      </c>
      <c r="X2811" s="264" t="str">
        <f t="shared" si="7"/>
        <v/>
      </c>
    </row>
    <row r="2812" ht="15.75" customHeight="1">
      <c r="A2812" s="258"/>
      <c r="B2812" s="258"/>
      <c r="C2812" s="269"/>
      <c r="D2812" s="258"/>
      <c r="E2812" s="258"/>
      <c r="F2812" s="258"/>
      <c r="G2812" s="258"/>
      <c r="H2812" s="271"/>
      <c r="I2812" s="258"/>
      <c r="J2812" s="272"/>
      <c r="K2812" s="260"/>
      <c r="L2812" s="261"/>
      <c r="M2812" s="262" t="str">
        <f t="shared" si="1"/>
        <v/>
      </c>
      <c r="N2812" s="263" t="str">
        <f t="shared" si="2"/>
        <v/>
      </c>
      <c r="O2812" s="264" t="str">
        <f t="shared" si="3"/>
        <v/>
      </c>
      <c r="P2812" s="265" t="str">
        <f>IFERROR(__xludf.DUMMYFUNCTION("IF(ISBLANK(A2812),"""",IFERROR(IF(H2812=""Sell"",VLOOKUP(9^99,FILTER({ROW(P$2:P2811),P$2:P2811},D$2:D2811=D2812),2),(VLOOKUP(9^99,FILTER({ROW(P$2:P2811),P$2:P2811},D$2:D2811=D2812),2)*VLOOKUP(9^99,FILTER({ROW(O$2:O2811),O$2:O2811},D$2:D2811=D2812),2)-N281"&amp;"2)/O2812),J2812))"),"")</f>
        <v/>
      </c>
      <c r="Q2812" s="264" t="str">
        <f>IFERROR(__xludf.DUMMYFUNCTION("IFERROR(IF(F2812=""Crypto"",B2812,(IF(ISBLANK(D2812),"""",IF(D2812=""Cash"",B2812,IF(GOOGLEFINANCE(D2812,""CURRENCY"")=""GBX"",""GBP"",GOOGLEFINANCE(D2812,""CURRENCY"")))))),B2812)"),"")</f>
        <v/>
      </c>
      <c r="R2812" s="263" t="str">
        <f>IFERROR(__xludf.DUMMYFUNCTION("IF(ISBLANK(A2812),"""",IFERROR(IF(OR(Q2812=""GPB"",Q2812=""ZAR""),IF(Q2812=Dashboard!$L$1,K2812,(K2812*GOOGLEFINANCE(""CURRENCY:""&amp;Q2812&amp;""""&amp;Dashboard!$L$1&amp;""""))/100),IF(Q2812=Dashboard!$L$1,K2812,K2812*GOOGLEFINANCE(""CURRENCY:""&amp;Q2812&amp;""""&amp;Dashboard!$"&amp;"L$1&amp;""""))),K2812))"),"")</f>
        <v/>
      </c>
      <c r="S2812" s="266" t="str">
        <f>IFERROR(__xludf.DUMMYFUNCTION("IF(ISBLANK(A2812),"""",IFERROR(IF(OR(Q2812=""GPB"",Q2812=""ZAR""),IF(Q2812=Dashboard!$L$1,M2812,(M2812*GOOGLEFINANCE(""CURRENCY:""&amp;Q2812&amp;""""&amp;Dashboard!$L$1&amp;""""))/100),IF(Q2812=Dashboard!$L$1,M2812,M2812*GOOGLEFINANCE(""CURRENCY:""&amp;Q2812&amp;""""&amp;Dashboard!$"&amp;"L$1&amp;""""))),M2812))"),"")</f>
        <v/>
      </c>
      <c r="T2812" s="264" t="str">
        <f t="shared" si="4"/>
        <v/>
      </c>
      <c r="U2812" s="264" t="str">
        <f t="shared" si="5"/>
        <v/>
      </c>
      <c r="V2812" s="264" t="str">
        <f t="shared" si="6"/>
        <v/>
      </c>
      <c r="W2812" s="267" t="str">
        <f t="shared" si="8"/>
        <v/>
      </c>
      <c r="X2812" s="264" t="str">
        <f t="shared" si="7"/>
        <v/>
      </c>
    </row>
    <row r="2813" ht="15.75" customHeight="1">
      <c r="A2813" s="258"/>
      <c r="B2813" s="258"/>
      <c r="C2813" s="269"/>
      <c r="D2813" s="258"/>
      <c r="E2813" s="258"/>
      <c r="F2813" s="258"/>
      <c r="G2813" s="258"/>
      <c r="H2813" s="271"/>
      <c r="I2813" s="258"/>
      <c r="J2813" s="272"/>
      <c r="K2813" s="260"/>
      <c r="L2813" s="261"/>
      <c r="M2813" s="262" t="str">
        <f t="shared" si="1"/>
        <v/>
      </c>
      <c r="N2813" s="263" t="str">
        <f t="shared" si="2"/>
        <v/>
      </c>
      <c r="O2813" s="264" t="str">
        <f t="shared" si="3"/>
        <v/>
      </c>
      <c r="P2813" s="265" t="str">
        <f>IFERROR(__xludf.DUMMYFUNCTION("IF(ISBLANK(A2813),"""",IFERROR(IF(H2813=""Sell"",VLOOKUP(9^99,FILTER({ROW(P$2:P2812),P$2:P2812},D$2:D2812=D2813),2),(VLOOKUP(9^99,FILTER({ROW(P$2:P2812),P$2:P2812},D$2:D2812=D2813),2)*VLOOKUP(9^99,FILTER({ROW(O$2:O2812),O$2:O2812},D$2:D2812=D2813),2)-N281"&amp;"3)/O2813),J2813))"),"")</f>
        <v/>
      </c>
      <c r="Q2813" s="264" t="str">
        <f>IFERROR(__xludf.DUMMYFUNCTION("IFERROR(IF(F2813=""Crypto"",B2813,(IF(ISBLANK(D2813),"""",IF(D2813=""Cash"",B2813,IF(GOOGLEFINANCE(D2813,""CURRENCY"")=""GBX"",""GBP"",GOOGLEFINANCE(D2813,""CURRENCY"")))))),B2813)"),"")</f>
        <v/>
      </c>
      <c r="R2813" s="263" t="str">
        <f>IFERROR(__xludf.DUMMYFUNCTION("IF(ISBLANK(A2813),"""",IFERROR(IF(OR(Q2813=""GPB"",Q2813=""ZAR""),IF(Q2813=Dashboard!$L$1,K2813,(K2813*GOOGLEFINANCE(""CURRENCY:""&amp;Q2813&amp;""""&amp;Dashboard!$L$1&amp;""""))/100),IF(Q2813=Dashboard!$L$1,K2813,K2813*GOOGLEFINANCE(""CURRENCY:""&amp;Q2813&amp;""""&amp;Dashboard!$"&amp;"L$1&amp;""""))),K2813))"),"")</f>
        <v/>
      </c>
      <c r="S2813" s="266" t="str">
        <f>IFERROR(__xludf.DUMMYFUNCTION("IF(ISBLANK(A2813),"""",IFERROR(IF(OR(Q2813=""GPB"",Q2813=""ZAR""),IF(Q2813=Dashboard!$L$1,M2813,(M2813*GOOGLEFINANCE(""CURRENCY:""&amp;Q2813&amp;""""&amp;Dashboard!$L$1&amp;""""))/100),IF(Q2813=Dashboard!$L$1,M2813,M2813*GOOGLEFINANCE(""CURRENCY:""&amp;Q2813&amp;""""&amp;Dashboard!$"&amp;"L$1&amp;""""))),M2813))"),"")</f>
        <v/>
      </c>
      <c r="T2813" s="264" t="str">
        <f t="shared" si="4"/>
        <v/>
      </c>
      <c r="U2813" s="264" t="str">
        <f t="shared" si="5"/>
        <v/>
      </c>
      <c r="V2813" s="264" t="str">
        <f t="shared" si="6"/>
        <v/>
      </c>
      <c r="W2813" s="267" t="str">
        <f t="shared" si="8"/>
        <v/>
      </c>
      <c r="X2813" s="264" t="str">
        <f t="shared" si="7"/>
        <v/>
      </c>
    </row>
    <row r="2814" ht="15.75" customHeight="1">
      <c r="A2814" s="258"/>
      <c r="B2814" s="258"/>
      <c r="C2814" s="269"/>
      <c r="D2814" s="258"/>
      <c r="E2814" s="258"/>
      <c r="F2814" s="258"/>
      <c r="G2814" s="258"/>
      <c r="H2814" s="271"/>
      <c r="I2814" s="258"/>
      <c r="J2814" s="272"/>
      <c r="K2814" s="260"/>
      <c r="L2814" s="261"/>
      <c r="M2814" s="262" t="str">
        <f t="shared" si="1"/>
        <v/>
      </c>
      <c r="N2814" s="263" t="str">
        <f t="shared" si="2"/>
        <v/>
      </c>
      <c r="O2814" s="264" t="str">
        <f t="shared" si="3"/>
        <v/>
      </c>
      <c r="P2814" s="265" t="str">
        <f>IFERROR(__xludf.DUMMYFUNCTION("IF(ISBLANK(A2814),"""",IFERROR(IF(H2814=""Sell"",VLOOKUP(9^99,FILTER({ROW(P$2:P2813),P$2:P2813},D$2:D2813=D2814),2),(VLOOKUP(9^99,FILTER({ROW(P$2:P2813),P$2:P2813},D$2:D2813=D2814),2)*VLOOKUP(9^99,FILTER({ROW(O$2:O2813),O$2:O2813},D$2:D2813=D2814),2)-N281"&amp;"4)/O2814),J2814))"),"")</f>
        <v/>
      </c>
      <c r="Q2814" s="264" t="str">
        <f>IFERROR(__xludf.DUMMYFUNCTION("IFERROR(IF(F2814=""Crypto"",B2814,(IF(ISBLANK(D2814),"""",IF(D2814=""Cash"",B2814,IF(GOOGLEFINANCE(D2814,""CURRENCY"")=""GBX"",""GBP"",GOOGLEFINANCE(D2814,""CURRENCY"")))))),B2814)"),"")</f>
        <v/>
      </c>
      <c r="R2814" s="263" t="str">
        <f>IFERROR(__xludf.DUMMYFUNCTION("IF(ISBLANK(A2814),"""",IFERROR(IF(OR(Q2814=""GPB"",Q2814=""ZAR""),IF(Q2814=Dashboard!$L$1,K2814,(K2814*GOOGLEFINANCE(""CURRENCY:""&amp;Q2814&amp;""""&amp;Dashboard!$L$1&amp;""""))/100),IF(Q2814=Dashboard!$L$1,K2814,K2814*GOOGLEFINANCE(""CURRENCY:""&amp;Q2814&amp;""""&amp;Dashboard!$"&amp;"L$1&amp;""""))),K2814))"),"")</f>
        <v/>
      </c>
      <c r="S2814" s="266" t="str">
        <f>IFERROR(__xludf.DUMMYFUNCTION("IF(ISBLANK(A2814),"""",IFERROR(IF(OR(Q2814=""GPB"",Q2814=""ZAR""),IF(Q2814=Dashboard!$L$1,M2814,(M2814*GOOGLEFINANCE(""CURRENCY:""&amp;Q2814&amp;""""&amp;Dashboard!$L$1&amp;""""))/100),IF(Q2814=Dashboard!$L$1,M2814,M2814*GOOGLEFINANCE(""CURRENCY:""&amp;Q2814&amp;""""&amp;Dashboard!$"&amp;"L$1&amp;""""))),M2814))"),"")</f>
        <v/>
      </c>
      <c r="T2814" s="264" t="str">
        <f t="shared" si="4"/>
        <v/>
      </c>
      <c r="U2814" s="264" t="str">
        <f t="shared" si="5"/>
        <v/>
      </c>
      <c r="V2814" s="264" t="str">
        <f t="shared" si="6"/>
        <v/>
      </c>
      <c r="W2814" s="267" t="str">
        <f t="shared" si="8"/>
        <v/>
      </c>
      <c r="X2814" s="264" t="str">
        <f t="shared" si="7"/>
        <v/>
      </c>
    </row>
    <row r="2815" ht="15.75" customHeight="1">
      <c r="A2815" s="258"/>
      <c r="B2815" s="258"/>
      <c r="C2815" s="269"/>
      <c r="D2815" s="258"/>
      <c r="E2815" s="258"/>
      <c r="F2815" s="258"/>
      <c r="G2815" s="258"/>
      <c r="H2815" s="271"/>
      <c r="I2815" s="258"/>
      <c r="J2815" s="272"/>
      <c r="K2815" s="260"/>
      <c r="L2815" s="261"/>
      <c r="M2815" s="262" t="str">
        <f t="shared" si="1"/>
        <v/>
      </c>
      <c r="N2815" s="263" t="str">
        <f t="shared" si="2"/>
        <v/>
      </c>
      <c r="O2815" s="264" t="str">
        <f t="shared" si="3"/>
        <v/>
      </c>
      <c r="P2815" s="265" t="str">
        <f>IFERROR(__xludf.DUMMYFUNCTION("IF(ISBLANK(A2815),"""",IFERROR(IF(H2815=""Sell"",VLOOKUP(9^99,FILTER({ROW(P$2:P2814),P$2:P2814},D$2:D2814=D2815),2),(VLOOKUP(9^99,FILTER({ROW(P$2:P2814),P$2:P2814},D$2:D2814=D2815),2)*VLOOKUP(9^99,FILTER({ROW(O$2:O2814),O$2:O2814},D$2:D2814=D2815),2)-N281"&amp;"5)/O2815),J2815))"),"")</f>
        <v/>
      </c>
      <c r="Q2815" s="264" t="str">
        <f>IFERROR(__xludf.DUMMYFUNCTION("IFERROR(IF(F2815=""Crypto"",B2815,(IF(ISBLANK(D2815),"""",IF(D2815=""Cash"",B2815,IF(GOOGLEFINANCE(D2815,""CURRENCY"")=""GBX"",""GBP"",GOOGLEFINANCE(D2815,""CURRENCY"")))))),B2815)"),"")</f>
        <v/>
      </c>
      <c r="R2815" s="263" t="str">
        <f>IFERROR(__xludf.DUMMYFUNCTION("IF(ISBLANK(A2815),"""",IFERROR(IF(OR(Q2815=""GPB"",Q2815=""ZAR""),IF(Q2815=Dashboard!$L$1,K2815,(K2815*GOOGLEFINANCE(""CURRENCY:""&amp;Q2815&amp;""""&amp;Dashboard!$L$1&amp;""""))/100),IF(Q2815=Dashboard!$L$1,K2815,K2815*GOOGLEFINANCE(""CURRENCY:""&amp;Q2815&amp;""""&amp;Dashboard!$"&amp;"L$1&amp;""""))),K2815))"),"")</f>
        <v/>
      </c>
      <c r="S2815" s="266" t="str">
        <f>IFERROR(__xludf.DUMMYFUNCTION("IF(ISBLANK(A2815),"""",IFERROR(IF(OR(Q2815=""GPB"",Q2815=""ZAR""),IF(Q2815=Dashboard!$L$1,M2815,(M2815*GOOGLEFINANCE(""CURRENCY:""&amp;Q2815&amp;""""&amp;Dashboard!$L$1&amp;""""))/100),IF(Q2815=Dashboard!$L$1,M2815,M2815*GOOGLEFINANCE(""CURRENCY:""&amp;Q2815&amp;""""&amp;Dashboard!$"&amp;"L$1&amp;""""))),M2815))"),"")</f>
        <v/>
      </c>
      <c r="T2815" s="264" t="str">
        <f t="shared" si="4"/>
        <v/>
      </c>
      <c r="U2815" s="264" t="str">
        <f t="shared" si="5"/>
        <v/>
      </c>
      <c r="V2815" s="264" t="str">
        <f t="shared" si="6"/>
        <v/>
      </c>
      <c r="W2815" s="267" t="str">
        <f t="shared" si="8"/>
        <v/>
      </c>
      <c r="X2815" s="264" t="str">
        <f t="shared" si="7"/>
        <v/>
      </c>
    </row>
    <row r="2816" ht="15.75" customHeight="1">
      <c r="A2816" s="258"/>
      <c r="B2816" s="258"/>
      <c r="C2816" s="269"/>
      <c r="D2816" s="258"/>
      <c r="E2816" s="258"/>
      <c r="F2816" s="258"/>
      <c r="G2816" s="258"/>
      <c r="H2816" s="271"/>
      <c r="I2816" s="258"/>
      <c r="J2816" s="272"/>
      <c r="K2816" s="260"/>
      <c r="L2816" s="261"/>
      <c r="M2816" s="262" t="str">
        <f t="shared" si="1"/>
        <v/>
      </c>
      <c r="N2816" s="263" t="str">
        <f t="shared" si="2"/>
        <v/>
      </c>
      <c r="O2816" s="264" t="str">
        <f t="shared" si="3"/>
        <v/>
      </c>
      <c r="P2816" s="265" t="str">
        <f>IFERROR(__xludf.DUMMYFUNCTION("IF(ISBLANK(A2816),"""",IFERROR(IF(H2816=""Sell"",VLOOKUP(9^99,FILTER({ROW(P$2:P2815),P$2:P2815},D$2:D2815=D2816),2),(VLOOKUP(9^99,FILTER({ROW(P$2:P2815),P$2:P2815},D$2:D2815=D2816),2)*VLOOKUP(9^99,FILTER({ROW(O$2:O2815),O$2:O2815},D$2:D2815=D2816),2)-N281"&amp;"6)/O2816),J2816))"),"")</f>
        <v/>
      </c>
      <c r="Q2816" s="264" t="str">
        <f>IFERROR(__xludf.DUMMYFUNCTION("IFERROR(IF(F2816=""Crypto"",B2816,(IF(ISBLANK(D2816),"""",IF(D2816=""Cash"",B2816,IF(GOOGLEFINANCE(D2816,""CURRENCY"")=""GBX"",""GBP"",GOOGLEFINANCE(D2816,""CURRENCY"")))))),B2816)"),"")</f>
        <v/>
      </c>
      <c r="R2816" s="263" t="str">
        <f>IFERROR(__xludf.DUMMYFUNCTION("IF(ISBLANK(A2816),"""",IFERROR(IF(OR(Q2816=""GPB"",Q2816=""ZAR""),IF(Q2816=Dashboard!$L$1,K2816,(K2816*GOOGLEFINANCE(""CURRENCY:""&amp;Q2816&amp;""""&amp;Dashboard!$L$1&amp;""""))/100),IF(Q2816=Dashboard!$L$1,K2816,K2816*GOOGLEFINANCE(""CURRENCY:""&amp;Q2816&amp;""""&amp;Dashboard!$"&amp;"L$1&amp;""""))),K2816))"),"")</f>
        <v/>
      </c>
      <c r="S2816" s="266" t="str">
        <f>IFERROR(__xludf.DUMMYFUNCTION("IF(ISBLANK(A2816),"""",IFERROR(IF(OR(Q2816=""GPB"",Q2816=""ZAR""),IF(Q2816=Dashboard!$L$1,M2816,(M2816*GOOGLEFINANCE(""CURRENCY:""&amp;Q2816&amp;""""&amp;Dashboard!$L$1&amp;""""))/100),IF(Q2816=Dashboard!$L$1,M2816,M2816*GOOGLEFINANCE(""CURRENCY:""&amp;Q2816&amp;""""&amp;Dashboard!$"&amp;"L$1&amp;""""))),M2816))"),"")</f>
        <v/>
      </c>
      <c r="T2816" s="264" t="str">
        <f t="shared" si="4"/>
        <v/>
      </c>
      <c r="U2816" s="264" t="str">
        <f t="shared" si="5"/>
        <v/>
      </c>
      <c r="V2816" s="264" t="str">
        <f t="shared" si="6"/>
        <v/>
      </c>
      <c r="W2816" s="267" t="str">
        <f t="shared" si="8"/>
        <v/>
      </c>
      <c r="X2816" s="264" t="str">
        <f t="shared" si="7"/>
        <v/>
      </c>
    </row>
    <row r="2817" ht="15.75" customHeight="1">
      <c r="A2817" s="258"/>
      <c r="B2817" s="258"/>
      <c r="C2817" s="269"/>
      <c r="D2817" s="258"/>
      <c r="E2817" s="258"/>
      <c r="F2817" s="258"/>
      <c r="G2817" s="258"/>
      <c r="H2817" s="271"/>
      <c r="I2817" s="258"/>
      <c r="J2817" s="272"/>
      <c r="K2817" s="260"/>
      <c r="L2817" s="261"/>
      <c r="M2817" s="262" t="str">
        <f t="shared" si="1"/>
        <v/>
      </c>
      <c r="N2817" s="263" t="str">
        <f t="shared" si="2"/>
        <v/>
      </c>
      <c r="O2817" s="264" t="str">
        <f t="shared" si="3"/>
        <v/>
      </c>
      <c r="P2817" s="265" t="str">
        <f>IFERROR(__xludf.DUMMYFUNCTION("IF(ISBLANK(A2817),"""",IFERROR(IF(H2817=""Sell"",VLOOKUP(9^99,FILTER({ROW(P$2:P2816),P$2:P2816},D$2:D2816=D2817),2),(VLOOKUP(9^99,FILTER({ROW(P$2:P2816),P$2:P2816},D$2:D2816=D2817),2)*VLOOKUP(9^99,FILTER({ROW(O$2:O2816),O$2:O2816},D$2:D2816=D2817),2)-N281"&amp;"7)/O2817),J2817))"),"")</f>
        <v/>
      </c>
      <c r="Q2817" s="264" t="str">
        <f>IFERROR(__xludf.DUMMYFUNCTION("IFERROR(IF(F2817=""Crypto"",B2817,(IF(ISBLANK(D2817),"""",IF(D2817=""Cash"",B2817,IF(GOOGLEFINANCE(D2817,""CURRENCY"")=""GBX"",""GBP"",GOOGLEFINANCE(D2817,""CURRENCY"")))))),B2817)"),"")</f>
        <v/>
      </c>
      <c r="R2817" s="263" t="str">
        <f>IFERROR(__xludf.DUMMYFUNCTION("IF(ISBLANK(A2817),"""",IFERROR(IF(OR(Q2817=""GPB"",Q2817=""ZAR""),IF(Q2817=Dashboard!$L$1,K2817,(K2817*GOOGLEFINANCE(""CURRENCY:""&amp;Q2817&amp;""""&amp;Dashboard!$L$1&amp;""""))/100),IF(Q2817=Dashboard!$L$1,K2817,K2817*GOOGLEFINANCE(""CURRENCY:""&amp;Q2817&amp;""""&amp;Dashboard!$"&amp;"L$1&amp;""""))),K2817))"),"")</f>
        <v/>
      </c>
      <c r="S2817" s="266" t="str">
        <f>IFERROR(__xludf.DUMMYFUNCTION("IF(ISBLANK(A2817),"""",IFERROR(IF(OR(Q2817=""GPB"",Q2817=""ZAR""),IF(Q2817=Dashboard!$L$1,M2817,(M2817*GOOGLEFINANCE(""CURRENCY:""&amp;Q2817&amp;""""&amp;Dashboard!$L$1&amp;""""))/100),IF(Q2817=Dashboard!$L$1,M2817,M2817*GOOGLEFINANCE(""CURRENCY:""&amp;Q2817&amp;""""&amp;Dashboard!$"&amp;"L$1&amp;""""))),M2817))"),"")</f>
        <v/>
      </c>
      <c r="T2817" s="264" t="str">
        <f t="shared" si="4"/>
        <v/>
      </c>
      <c r="U2817" s="264" t="str">
        <f t="shared" si="5"/>
        <v/>
      </c>
      <c r="V2817" s="264" t="str">
        <f t="shared" si="6"/>
        <v/>
      </c>
      <c r="W2817" s="267" t="str">
        <f t="shared" si="8"/>
        <v/>
      </c>
      <c r="X2817" s="264" t="str">
        <f t="shared" si="7"/>
        <v/>
      </c>
    </row>
    <row r="2818" ht="15.75" customHeight="1">
      <c r="A2818" s="258"/>
      <c r="B2818" s="258"/>
      <c r="C2818" s="269"/>
      <c r="D2818" s="258"/>
      <c r="E2818" s="258"/>
      <c r="F2818" s="258"/>
      <c r="G2818" s="258"/>
      <c r="H2818" s="271"/>
      <c r="I2818" s="258"/>
      <c r="J2818" s="272"/>
      <c r="K2818" s="260"/>
      <c r="L2818" s="261"/>
      <c r="M2818" s="262" t="str">
        <f t="shared" si="1"/>
        <v/>
      </c>
      <c r="N2818" s="263" t="str">
        <f t="shared" si="2"/>
        <v/>
      </c>
      <c r="O2818" s="264" t="str">
        <f t="shared" si="3"/>
        <v/>
      </c>
      <c r="P2818" s="265" t="str">
        <f>IFERROR(__xludf.DUMMYFUNCTION("IF(ISBLANK(A2818),"""",IFERROR(IF(H2818=""Sell"",VLOOKUP(9^99,FILTER({ROW(P$2:P2817),P$2:P2817},D$2:D2817=D2818),2),(VLOOKUP(9^99,FILTER({ROW(P$2:P2817),P$2:P2817},D$2:D2817=D2818),2)*VLOOKUP(9^99,FILTER({ROW(O$2:O2817),O$2:O2817},D$2:D2817=D2818),2)-N281"&amp;"8)/O2818),J2818))"),"")</f>
        <v/>
      </c>
      <c r="Q2818" s="264" t="str">
        <f>IFERROR(__xludf.DUMMYFUNCTION("IFERROR(IF(F2818=""Crypto"",B2818,(IF(ISBLANK(D2818),"""",IF(D2818=""Cash"",B2818,IF(GOOGLEFINANCE(D2818,""CURRENCY"")=""GBX"",""GBP"",GOOGLEFINANCE(D2818,""CURRENCY"")))))),B2818)"),"")</f>
        <v/>
      </c>
      <c r="R2818" s="263" t="str">
        <f>IFERROR(__xludf.DUMMYFUNCTION("IF(ISBLANK(A2818),"""",IFERROR(IF(OR(Q2818=""GPB"",Q2818=""ZAR""),IF(Q2818=Dashboard!$L$1,K2818,(K2818*GOOGLEFINANCE(""CURRENCY:""&amp;Q2818&amp;""""&amp;Dashboard!$L$1&amp;""""))/100),IF(Q2818=Dashboard!$L$1,K2818,K2818*GOOGLEFINANCE(""CURRENCY:""&amp;Q2818&amp;""""&amp;Dashboard!$"&amp;"L$1&amp;""""))),K2818))"),"")</f>
        <v/>
      </c>
      <c r="S2818" s="266" t="str">
        <f>IFERROR(__xludf.DUMMYFUNCTION("IF(ISBLANK(A2818),"""",IFERROR(IF(OR(Q2818=""GPB"",Q2818=""ZAR""),IF(Q2818=Dashboard!$L$1,M2818,(M2818*GOOGLEFINANCE(""CURRENCY:""&amp;Q2818&amp;""""&amp;Dashboard!$L$1&amp;""""))/100),IF(Q2818=Dashboard!$L$1,M2818,M2818*GOOGLEFINANCE(""CURRENCY:""&amp;Q2818&amp;""""&amp;Dashboard!$"&amp;"L$1&amp;""""))),M2818))"),"")</f>
        <v/>
      </c>
      <c r="T2818" s="264" t="str">
        <f t="shared" si="4"/>
        <v/>
      </c>
      <c r="U2818" s="264" t="str">
        <f t="shared" si="5"/>
        <v/>
      </c>
      <c r="V2818" s="264" t="str">
        <f t="shared" si="6"/>
        <v/>
      </c>
      <c r="W2818" s="267" t="str">
        <f t="shared" si="8"/>
        <v/>
      </c>
      <c r="X2818" s="264" t="str">
        <f t="shared" si="7"/>
        <v/>
      </c>
    </row>
    <row r="2819" ht="15.75" customHeight="1">
      <c r="A2819" s="258"/>
      <c r="B2819" s="258"/>
      <c r="C2819" s="269"/>
      <c r="D2819" s="258"/>
      <c r="E2819" s="258"/>
      <c r="F2819" s="258"/>
      <c r="G2819" s="258"/>
      <c r="H2819" s="271"/>
      <c r="I2819" s="258"/>
      <c r="J2819" s="272"/>
      <c r="K2819" s="260"/>
      <c r="L2819" s="261"/>
      <c r="M2819" s="262" t="str">
        <f t="shared" si="1"/>
        <v/>
      </c>
      <c r="N2819" s="263" t="str">
        <f t="shared" si="2"/>
        <v/>
      </c>
      <c r="O2819" s="264" t="str">
        <f t="shared" si="3"/>
        <v/>
      </c>
      <c r="P2819" s="265" t="str">
        <f>IFERROR(__xludf.DUMMYFUNCTION("IF(ISBLANK(A2819),"""",IFERROR(IF(H2819=""Sell"",VLOOKUP(9^99,FILTER({ROW(P$2:P2818),P$2:P2818},D$2:D2818=D2819),2),(VLOOKUP(9^99,FILTER({ROW(P$2:P2818),P$2:P2818},D$2:D2818=D2819),2)*VLOOKUP(9^99,FILTER({ROW(O$2:O2818),O$2:O2818},D$2:D2818=D2819),2)-N281"&amp;"9)/O2819),J2819))"),"")</f>
        <v/>
      </c>
      <c r="Q2819" s="264" t="str">
        <f>IFERROR(__xludf.DUMMYFUNCTION("IFERROR(IF(F2819=""Crypto"",B2819,(IF(ISBLANK(D2819),"""",IF(D2819=""Cash"",B2819,IF(GOOGLEFINANCE(D2819,""CURRENCY"")=""GBX"",""GBP"",GOOGLEFINANCE(D2819,""CURRENCY"")))))),B2819)"),"")</f>
        <v/>
      </c>
      <c r="R2819" s="263" t="str">
        <f>IFERROR(__xludf.DUMMYFUNCTION("IF(ISBLANK(A2819),"""",IFERROR(IF(OR(Q2819=""GPB"",Q2819=""ZAR""),IF(Q2819=Dashboard!$L$1,K2819,(K2819*GOOGLEFINANCE(""CURRENCY:""&amp;Q2819&amp;""""&amp;Dashboard!$L$1&amp;""""))/100),IF(Q2819=Dashboard!$L$1,K2819,K2819*GOOGLEFINANCE(""CURRENCY:""&amp;Q2819&amp;""""&amp;Dashboard!$"&amp;"L$1&amp;""""))),K2819))"),"")</f>
        <v/>
      </c>
      <c r="S2819" s="266" t="str">
        <f>IFERROR(__xludf.DUMMYFUNCTION("IF(ISBLANK(A2819),"""",IFERROR(IF(OR(Q2819=""GPB"",Q2819=""ZAR""),IF(Q2819=Dashboard!$L$1,M2819,(M2819*GOOGLEFINANCE(""CURRENCY:""&amp;Q2819&amp;""""&amp;Dashboard!$L$1&amp;""""))/100),IF(Q2819=Dashboard!$L$1,M2819,M2819*GOOGLEFINANCE(""CURRENCY:""&amp;Q2819&amp;""""&amp;Dashboard!$"&amp;"L$1&amp;""""))),M2819))"),"")</f>
        <v/>
      </c>
      <c r="T2819" s="264" t="str">
        <f t="shared" si="4"/>
        <v/>
      </c>
      <c r="U2819" s="264" t="str">
        <f t="shared" si="5"/>
        <v/>
      </c>
      <c r="V2819" s="264" t="str">
        <f t="shared" si="6"/>
        <v/>
      </c>
      <c r="W2819" s="267" t="str">
        <f t="shared" si="8"/>
        <v/>
      </c>
      <c r="X2819" s="264" t="str">
        <f t="shared" si="7"/>
        <v/>
      </c>
    </row>
    <row r="2820" ht="15.75" customHeight="1">
      <c r="A2820" s="258"/>
      <c r="B2820" s="258"/>
      <c r="C2820" s="269"/>
      <c r="D2820" s="258"/>
      <c r="E2820" s="258"/>
      <c r="F2820" s="258"/>
      <c r="G2820" s="258"/>
      <c r="H2820" s="271"/>
      <c r="I2820" s="258"/>
      <c r="J2820" s="272"/>
      <c r="K2820" s="260"/>
      <c r="L2820" s="261"/>
      <c r="M2820" s="262" t="str">
        <f t="shared" si="1"/>
        <v/>
      </c>
      <c r="N2820" s="263" t="str">
        <f t="shared" si="2"/>
        <v/>
      </c>
      <c r="O2820" s="264" t="str">
        <f t="shared" si="3"/>
        <v/>
      </c>
      <c r="P2820" s="265" t="str">
        <f>IFERROR(__xludf.DUMMYFUNCTION("IF(ISBLANK(A2820),"""",IFERROR(IF(H2820=""Sell"",VLOOKUP(9^99,FILTER({ROW(P$2:P2819),P$2:P2819},D$2:D2819=D2820),2),(VLOOKUP(9^99,FILTER({ROW(P$2:P2819),P$2:P2819},D$2:D2819=D2820),2)*VLOOKUP(9^99,FILTER({ROW(O$2:O2819),O$2:O2819},D$2:D2819=D2820),2)-N282"&amp;"0)/O2820),J2820))"),"")</f>
        <v/>
      </c>
      <c r="Q2820" s="264" t="str">
        <f>IFERROR(__xludf.DUMMYFUNCTION("IFERROR(IF(F2820=""Crypto"",B2820,(IF(ISBLANK(D2820),"""",IF(D2820=""Cash"",B2820,IF(GOOGLEFINANCE(D2820,""CURRENCY"")=""GBX"",""GBP"",GOOGLEFINANCE(D2820,""CURRENCY"")))))),B2820)"),"")</f>
        <v/>
      </c>
      <c r="R2820" s="263" t="str">
        <f>IFERROR(__xludf.DUMMYFUNCTION("IF(ISBLANK(A2820),"""",IFERROR(IF(OR(Q2820=""GPB"",Q2820=""ZAR""),IF(Q2820=Dashboard!$L$1,K2820,(K2820*GOOGLEFINANCE(""CURRENCY:""&amp;Q2820&amp;""""&amp;Dashboard!$L$1&amp;""""))/100),IF(Q2820=Dashboard!$L$1,K2820,K2820*GOOGLEFINANCE(""CURRENCY:""&amp;Q2820&amp;""""&amp;Dashboard!$"&amp;"L$1&amp;""""))),K2820))"),"")</f>
        <v/>
      </c>
      <c r="S2820" s="266" t="str">
        <f>IFERROR(__xludf.DUMMYFUNCTION("IF(ISBLANK(A2820),"""",IFERROR(IF(OR(Q2820=""GPB"",Q2820=""ZAR""),IF(Q2820=Dashboard!$L$1,M2820,(M2820*GOOGLEFINANCE(""CURRENCY:""&amp;Q2820&amp;""""&amp;Dashboard!$L$1&amp;""""))/100),IF(Q2820=Dashboard!$L$1,M2820,M2820*GOOGLEFINANCE(""CURRENCY:""&amp;Q2820&amp;""""&amp;Dashboard!$"&amp;"L$1&amp;""""))),M2820))"),"")</f>
        <v/>
      </c>
      <c r="T2820" s="264" t="str">
        <f t="shared" si="4"/>
        <v/>
      </c>
      <c r="U2820" s="264" t="str">
        <f t="shared" si="5"/>
        <v/>
      </c>
      <c r="V2820" s="264" t="str">
        <f t="shared" si="6"/>
        <v/>
      </c>
      <c r="W2820" s="267" t="str">
        <f t="shared" si="8"/>
        <v/>
      </c>
      <c r="X2820" s="264" t="str">
        <f t="shared" si="7"/>
        <v/>
      </c>
    </row>
    <row r="2821" ht="15.75" customHeight="1">
      <c r="A2821" s="258"/>
      <c r="B2821" s="258"/>
      <c r="C2821" s="269"/>
      <c r="D2821" s="258"/>
      <c r="E2821" s="258"/>
      <c r="F2821" s="258"/>
      <c r="G2821" s="258"/>
      <c r="H2821" s="271"/>
      <c r="I2821" s="258"/>
      <c r="J2821" s="272"/>
      <c r="K2821" s="260"/>
      <c r="L2821" s="261"/>
      <c r="M2821" s="262" t="str">
        <f t="shared" si="1"/>
        <v/>
      </c>
      <c r="N2821" s="263" t="str">
        <f t="shared" si="2"/>
        <v/>
      </c>
      <c r="O2821" s="264" t="str">
        <f t="shared" si="3"/>
        <v/>
      </c>
      <c r="P2821" s="265" t="str">
        <f>IFERROR(__xludf.DUMMYFUNCTION("IF(ISBLANK(A2821),"""",IFERROR(IF(H2821=""Sell"",VLOOKUP(9^99,FILTER({ROW(P$2:P2820),P$2:P2820},D$2:D2820=D2821),2),(VLOOKUP(9^99,FILTER({ROW(P$2:P2820),P$2:P2820},D$2:D2820=D2821),2)*VLOOKUP(9^99,FILTER({ROW(O$2:O2820),O$2:O2820},D$2:D2820=D2821),2)-N282"&amp;"1)/O2821),J2821))"),"")</f>
        <v/>
      </c>
      <c r="Q2821" s="264" t="str">
        <f>IFERROR(__xludf.DUMMYFUNCTION("IFERROR(IF(F2821=""Crypto"",B2821,(IF(ISBLANK(D2821),"""",IF(D2821=""Cash"",B2821,IF(GOOGLEFINANCE(D2821,""CURRENCY"")=""GBX"",""GBP"",GOOGLEFINANCE(D2821,""CURRENCY"")))))),B2821)"),"")</f>
        <v/>
      </c>
      <c r="R2821" s="263" t="str">
        <f>IFERROR(__xludf.DUMMYFUNCTION("IF(ISBLANK(A2821),"""",IFERROR(IF(OR(Q2821=""GPB"",Q2821=""ZAR""),IF(Q2821=Dashboard!$L$1,K2821,(K2821*GOOGLEFINANCE(""CURRENCY:""&amp;Q2821&amp;""""&amp;Dashboard!$L$1&amp;""""))/100),IF(Q2821=Dashboard!$L$1,K2821,K2821*GOOGLEFINANCE(""CURRENCY:""&amp;Q2821&amp;""""&amp;Dashboard!$"&amp;"L$1&amp;""""))),K2821))"),"")</f>
        <v/>
      </c>
      <c r="S2821" s="266" t="str">
        <f>IFERROR(__xludf.DUMMYFUNCTION("IF(ISBLANK(A2821),"""",IFERROR(IF(OR(Q2821=""GPB"",Q2821=""ZAR""),IF(Q2821=Dashboard!$L$1,M2821,(M2821*GOOGLEFINANCE(""CURRENCY:""&amp;Q2821&amp;""""&amp;Dashboard!$L$1&amp;""""))/100),IF(Q2821=Dashboard!$L$1,M2821,M2821*GOOGLEFINANCE(""CURRENCY:""&amp;Q2821&amp;""""&amp;Dashboard!$"&amp;"L$1&amp;""""))),M2821))"),"")</f>
        <v/>
      </c>
      <c r="T2821" s="264" t="str">
        <f t="shared" si="4"/>
        <v/>
      </c>
      <c r="U2821" s="264" t="str">
        <f t="shared" si="5"/>
        <v/>
      </c>
      <c r="V2821" s="264" t="str">
        <f t="shared" si="6"/>
        <v/>
      </c>
      <c r="W2821" s="267" t="str">
        <f t="shared" si="8"/>
        <v/>
      </c>
      <c r="X2821" s="264" t="str">
        <f t="shared" si="7"/>
        <v/>
      </c>
    </row>
    <row r="2822" ht="15.75" customHeight="1">
      <c r="A2822" s="258"/>
      <c r="B2822" s="258"/>
      <c r="C2822" s="269"/>
      <c r="D2822" s="258"/>
      <c r="E2822" s="258"/>
      <c r="F2822" s="258"/>
      <c r="G2822" s="258"/>
      <c r="H2822" s="271"/>
      <c r="I2822" s="258"/>
      <c r="J2822" s="272"/>
      <c r="K2822" s="260"/>
      <c r="L2822" s="261"/>
      <c r="M2822" s="262" t="str">
        <f t="shared" si="1"/>
        <v/>
      </c>
      <c r="N2822" s="263" t="str">
        <f t="shared" si="2"/>
        <v/>
      </c>
      <c r="O2822" s="264" t="str">
        <f t="shared" si="3"/>
        <v/>
      </c>
      <c r="P2822" s="265" t="str">
        <f>IFERROR(__xludf.DUMMYFUNCTION("IF(ISBLANK(A2822),"""",IFERROR(IF(H2822=""Sell"",VLOOKUP(9^99,FILTER({ROW(P$2:P2821),P$2:P2821},D$2:D2821=D2822),2),(VLOOKUP(9^99,FILTER({ROW(P$2:P2821),P$2:P2821},D$2:D2821=D2822),2)*VLOOKUP(9^99,FILTER({ROW(O$2:O2821),O$2:O2821},D$2:D2821=D2822),2)-N282"&amp;"2)/O2822),J2822))"),"")</f>
        <v/>
      </c>
      <c r="Q2822" s="264" t="str">
        <f>IFERROR(__xludf.DUMMYFUNCTION("IFERROR(IF(F2822=""Crypto"",B2822,(IF(ISBLANK(D2822),"""",IF(D2822=""Cash"",B2822,IF(GOOGLEFINANCE(D2822,""CURRENCY"")=""GBX"",""GBP"",GOOGLEFINANCE(D2822,""CURRENCY"")))))),B2822)"),"")</f>
        <v/>
      </c>
      <c r="R2822" s="263" t="str">
        <f>IFERROR(__xludf.DUMMYFUNCTION("IF(ISBLANK(A2822),"""",IFERROR(IF(OR(Q2822=""GPB"",Q2822=""ZAR""),IF(Q2822=Dashboard!$L$1,K2822,(K2822*GOOGLEFINANCE(""CURRENCY:""&amp;Q2822&amp;""""&amp;Dashboard!$L$1&amp;""""))/100),IF(Q2822=Dashboard!$L$1,K2822,K2822*GOOGLEFINANCE(""CURRENCY:""&amp;Q2822&amp;""""&amp;Dashboard!$"&amp;"L$1&amp;""""))),K2822))"),"")</f>
        <v/>
      </c>
      <c r="S2822" s="266" t="str">
        <f>IFERROR(__xludf.DUMMYFUNCTION("IF(ISBLANK(A2822),"""",IFERROR(IF(OR(Q2822=""GPB"",Q2822=""ZAR""),IF(Q2822=Dashboard!$L$1,M2822,(M2822*GOOGLEFINANCE(""CURRENCY:""&amp;Q2822&amp;""""&amp;Dashboard!$L$1&amp;""""))/100),IF(Q2822=Dashboard!$L$1,M2822,M2822*GOOGLEFINANCE(""CURRENCY:""&amp;Q2822&amp;""""&amp;Dashboard!$"&amp;"L$1&amp;""""))),M2822))"),"")</f>
        <v/>
      </c>
      <c r="T2822" s="264" t="str">
        <f t="shared" si="4"/>
        <v/>
      </c>
      <c r="U2822" s="264" t="str">
        <f t="shared" si="5"/>
        <v/>
      </c>
      <c r="V2822" s="264" t="str">
        <f t="shared" si="6"/>
        <v/>
      </c>
      <c r="W2822" s="267" t="str">
        <f t="shared" si="8"/>
        <v/>
      </c>
      <c r="X2822" s="264" t="str">
        <f t="shared" si="7"/>
        <v/>
      </c>
    </row>
    <row r="2823" ht="15.75" customHeight="1">
      <c r="A2823" s="258"/>
      <c r="B2823" s="258"/>
      <c r="C2823" s="269"/>
      <c r="D2823" s="258"/>
      <c r="E2823" s="258"/>
      <c r="F2823" s="258"/>
      <c r="G2823" s="258"/>
      <c r="H2823" s="271"/>
      <c r="I2823" s="258"/>
      <c r="J2823" s="272"/>
      <c r="K2823" s="260"/>
      <c r="L2823" s="261"/>
      <c r="M2823" s="262" t="str">
        <f t="shared" si="1"/>
        <v/>
      </c>
      <c r="N2823" s="263" t="str">
        <f t="shared" si="2"/>
        <v/>
      </c>
      <c r="O2823" s="264" t="str">
        <f t="shared" si="3"/>
        <v/>
      </c>
      <c r="P2823" s="265" t="str">
        <f>IFERROR(__xludf.DUMMYFUNCTION("IF(ISBLANK(A2823),"""",IFERROR(IF(H2823=""Sell"",VLOOKUP(9^99,FILTER({ROW(P$2:P2822),P$2:P2822},D$2:D2822=D2823),2),(VLOOKUP(9^99,FILTER({ROW(P$2:P2822),P$2:P2822},D$2:D2822=D2823),2)*VLOOKUP(9^99,FILTER({ROW(O$2:O2822),O$2:O2822},D$2:D2822=D2823),2)-N282"&amp;"3)/O2823),J2823))"),"")</f>
        <v/>
      </c>
      <c r="Q2823" s="264" t="str">
        <f>IFERROR(__xludf.DUMMYFUNCTION("IFERROR(IF(F2823=""Crypto"",B2823,(IF(ISBLANK(D2823),"""",IF(D2823=""Cash"",B2823,IF(GOOGLEFINANCE(D2823,""CURRENCY"")=""GBX"",""GBP"",GOOGLEFINANCE(D2823,""CURRENCY"")))))),B2823)"),"")</f>
        <v/>
      </c>
      <c r="R2823" s="263" t="str">
        <f>IFERROR(__xludf.DUMMYFUNCTION("IF(ISBLANK(A2823),"""",IFERROR(IF(OR(Q2823=""GPB"",Q2823=""ZAR""),IF(Q2823=Dashboard!$L$1,K2823,(K2823*GOOGLEFINANCE(""CURRENCY:""&amp;Q2823&amp;""""&amp;Dashboard!$L$1&amp;""""))/100),IF(Q2823=Dashboard!$L$1,K2823,K2823*GOOGLEFINANCE(""CURRENCY:""&amp;Q2823&amp;""""&amp;Dashboard!$"&amp;"L$1&amp;""""))),K2823))"),"")</f>
        <v/>
      </c>
      <c r="S2823" s="266" t="str">
        <f>IFERROR(__xludf.DUMMYFUNCTION("IF(ISBLANK(A2823),"""",IFERROR(IF(OR(Q2823=""GPB"",Q2823=""ZAR""),IF(Q2823=Dashboard!$L$1,M2823,(M2823*GOOGLEFINANCE(""CURRENCY:""&amp;Q2823&amp;""""&amp;Dashboard!$L$1&amp;""""))/100),IF(Q2823=Dashboard!$L$1,M2823,M2823*GOOGLEFINANCE(""CURRENCY:""&amp;Q2823&amp;""""&amp;Dashboard!$"&amp;"L$1&amp;""""))),M2823))"),"")</f>
        <v/>
      </c>
      <c r="T2823" s="264" t="str">
        <f t="shared" si="4"/>
        <v/>
      </c>
      <c r="U2823" s="264" t="str">
        <f t="shared" si="5"/>
        <v/>
      </c>
      <c r="V2823" s="264" t="str">
        <f t="shared" si="6"/>
        <v/>
      </c>
      <c r="W2823" s="267" t="str">
        <f t="shared" si="8"/>
        <v/>
      </c>
      <c r="X2823" s="264" t="str">
        <f t="shared" si="7"/>
        <v/>
      </c>
    </row>
    <row r="2824" ht="15.75" customHeight="1">
      <c r="A2824" s="258"/>
      <c r="B2824" s="258"/>
      <c r="C2824" s="269"/>
      <c r="D2824" s="258"/>
      <c r="E2824" s="258"/>
      <c r="F2824" s="258"/>
      <c r="G2824" s="258"/>
      <c r="H2824" s="271"/>
      <c r="I2824" s="258"/>
      <c r="J2824" s="272"/>
      <c r="K2824" s="260"/>
      <c r="L2824" s="261"/>
      <c r="M2824" s="262" t="str">
        <f t="shared" si="1"/>
        <v/>
      </c>
      <c r="N2824" s="263" t="str">
        <f t="shared" si="2"/>
        <v/>
      </c>
      <c r="O2824" s="264" t="str">
        <f t="shared" si="3"/>
        <v/>
      </c>
      <c r="P2824" s="265" t="str">
        <f>IFERROR(__xludf.DUMMYFUNCTION("IF(ISBLANK(A2824),"""",IFERROR(IF(H2824=""Sell"",VLOOKUP(9^99,FILTER({ROW(P$2:P2823),P$2:P2823},D$2:D2823=D2824),2),(VLOOKUP(9^99,FILTER({ROW(P$2:P2823),P$2:P2823},D$2:D2823=D2824),2)*VLOOKUP(9^99,FILTER({ROW(O$2:O2823),O$2:O2823},D$2:D2823=D2824),2)-N282"&amp;"4)/O2824),J2824))"),"")</f>
        <v/>
      </c>
      <c r="Q2824" s="264" t="str">
        <f>IFERROR(__xludf.DUMMYFUNCTION("IFERROR(IF(F2824=""Crypto"",B2824,(IF(ISBLANK(D2824),"""",IF(D2824=""Cash"",B2824,IF(GOOGLEFINANCE(D2824,""CURRENCY"")=""GBX"",""GBP"",GOOGLEFINANCE(D2824,""CURRENCY"")))))),B2824)"),"")</f>
        <v/>
      </c>
      <c r="R2824" s="263" t="str">
        <f>IFERROR(__xludf.DUMMYFUNCTION("IF(ISBLANK(A2824),"""",IFERROR(IF(OR(Q2824=""GPB"",Q2824=""ZAR""),IF(Q2824=Dashboard!$L$1,K2824,(K2824*GOOGLEFINANCE(""CURRENCY:""&amp;Q2824&amp;""""&amp;Dashboard!$L$1&amp;""""))/100),IF(Q2824=Dashboard!$L$1,K2824,K2824*GOOGLEFINANCE(""CURRENCY:""&amp;Q2824&amp;""""&amp;Dashboard!$"&amp;"L$1&amp;""""))),K2824))"),"")</f>
        <v/>
      </c>
      <c r="S2824" s="266" t="str">
        <f>IFERROR(__xludf.DUMMYFUNCTION("IF(ISBLANK(A2824),"""",IFERROR(IF(OR(Q2824=""GPB"",Q2824=""ZAR""),IF(Q2824=Dashboard!$L$1,M2824,(M2824*GOOGLEFINANCE(""CURRENCY:""&amp;Q2824&amp;""""&amp;Dashboard!$L$1&amp;""""))/100),IF(Q2824=Dashboard!$L$1,M2824,M2824*GOOGLEFINANCE(""CURRENCY:""&amp;Q2824&amp;""""&amp;Dashboard!$"&amp;"L$1&amp;""""))),M2824))"),"")</f>
        <v/>
      </c>
      <c r="T2824" s="264" t="str">
        <f t="shared" si="4"/>
        <v/>
      </c>
      <c r="U2824" s="264" t="str">
        <f t="shared" si="5"/>
        <v/>
      </c>
      <c r="V2824" s="264" t="str">
        <f t="shared" si="6"/>
        <v/>
      </c>
      <c r="W2824" s="267" t="str">
        <f t="shared" si="8"/>
        <v/>
      </c>
      <c r="X2824" s="264" t="str">
        <f t="shared" si="7"/>
        <v/>
      </c>
    </row>
    <row r="2825" ht="15.75" customHeight="1">
      <c r="A2825" s="258"/>
      <c r="B2825" s="258"/>
      <c r="C2825" s="269"/>
      <c r="D2825" s="258"/>
      <c r="E2825" s="258"/>
      <c r="F2825" s="258"/>
      <c r="G2825" s="258"/>
      <c r="H2825" s="271"/>
      <c r="I2825" s="258"/>
      <c r="J2825" s="272"/>
      <c r="K2825" s="260"/>
      <c r="L2825" s="261"/>
      <c r="M2825" s="262" t="str">
        <f t="shared" si="1"/>
        <v/>
      </c>
      <c r="N2825" s="263" t="str">
        <f t="shared" si="2"/>
        <v/>
      </c>
      <c r="O2825" s="264" t="str">
        <f t="shared" si="3"/>
        <v/>
      </c>
      <c r="P2825" s="265" t="str">
        <f>IFERROR(__xludf.DUMMYFUNCTION("IF(ISBLANK(A2825),"""",IFERROR(IF(H2825=""Sell"",VLOOKUP(9^99,FILTER({ROW(P$2:P2824),P$2:P2824},D$2:D2824=D2825),2),(VLOOKUP(9^99,FILTER({ROW(P$2:P2824),P$2:P2824},D$2:D2824=D2825),2)*VLOOKUP(9^99,FILTER({ROW(O$2:O2824),O$2:O2824},D$2:D2824=D2825),2)-N282"&amp;"5)/O2825),J2825))"),"")</f>
        <v/>
      </c>
      <c r="Q2825" s="264" t="str">
        <f>IFERROR(__xludf.DUMMYFUNCTION("IFERROR(IF(F2825=""Crypto"",B2825,(IF(ISBLANK(D2825),"""",IF(D2825=""Cash"",B2825,IF(GOOGLEFINANCE(D2825,""CURRENCY"")=""GBX"",""GBP"",GOOGLEFINANCE(D2825,""CURRENCY"")))))),B2825)"),"")</f>
        <v/>
      </c>
      <c r="R2825" s="263" t="str">
        <f>IFERROR(__xludf.DUMMYFUNCTION("IF(ISBLANK(A2825),"""",IFERROR(IF(OR(Q2825=""GPB"",Q2825=""ZAR""),IF(Q2825=Dashboard!$L$1,K2825,(K2825*GOOGLEFINANCE(""CURRENCY:""&amp;Q2825&amp;""""&amp;Dashboard!$L$1&amp;""""))/100),IF(Q2825=Dashboard!$L$1,K2825,K2825*GOOGLEFINANCE(""CURRENCY:""&amp;Q2825&amp;""""&amp;Dashboard!$"&amp;"L$1&amp;""""))),K2825))"),"")</f>
        <v/>
      </c>
      <c r="S2825" s="266" t="str">
        <f>IFERROR(__xludf.DUMMYFUNCTION("IF(ISBLANK(A2825),"""",IFERROR(IF(OR(Q2825=""GPB"",Q2825=""ZAR""),IF(Q2825=Dashboard!$L$1,M2825,(M2825*GOOGLEFINANCE(""CURRENCY:""&amp;Q2825&amp;""""&amp;Dashboard!$L$1&amp;""""))/100),IF(Q2825=Dashboard!$L$1,M2825,M2825*GOOGLEFINANCE(""CURRENCY:""&amp;Q2825&amp;""""&amp;Dashboard!$"&amp;"L$1&amp;""""))),M2825))"),"")</f>
        <v/>
      </c>
      <c r="T2825" s="264" t="str">
        <f t="shared" si="4"/>
        <v/>
      </c>
      <c r="U2825" s="264" t="str">
        <f t="shared" si="5"/>
        <v/>
      </c>
      <c r="V2825" s="264" t="str">
        <f t="shared" si="6"/>
        <v/>
      </c>
      <c r="W2825" s="267" t="str">
        <f t="shared" si="8"/>
        <v/>
      </c>
      <c r="X2825" s="264" t="str">
        <f t="shared" si="7"/>
        <v/>
      </c>
    </row>
    <row r="2826" ht="15.75" customHeight="1">
      <c r="A2826" s="258"/>
      <c r="B2826" s="258"/>
      <c r="C2826" s="269"/>
      <c r="D2826" s="258"/>
      <c r="E2826" s="258"/>
      <c r="F2826" s="258"/>
      <c r="G2826" s="258"/>
      <c r="H2826" s="271"/>
      <c r="I2826" s="258"/>
      <c r="J2826" s="272"/>
      <c r="K2826" s="260"/>
      <c r="L2826" s="261"/>
      <c r="M2826" s="262" t="str">
        <f t="shared" si="1"/>
        <v/>
      </c>
      <c r="N2826" s="263" t="str">
        <f t="shared" si="2"/>
        <v/>
      </c>
      <c r="O2826" s="264" t="str">
        <f t="shared" si="3"/>
        <v/>
      </c>
      <c r="P2826" s="265" t="str">
        <f>IFERROR(__xludf.DUMMYFUNCTION("IF(ISBLANK(A2826),"""",IFERROR(IF(H2826=""Sell"",VLOOKUP(9^99,FILTER({ROW(P$2:P2825),P$2:P2825},D$2:D2825=D2826),2),(VLOOKUP(9^99,FILTER({ROW(P$2:P2825),P$2:P2825},D$2:D2825=D2826),2)*VLOOKUP(9^99,FILTER({ROW(O$2:O2825),O$2:O2825},D$2:D2825=D2826),2)-N282"&amp;"6)/O2826),J2826))"),"")</f>
        <v/>
      </c>
      <c r="Q2826" s="264" t="str">
        <f>IFERROR(__xludf.DUMMYFUNCTION("IFERROR(IF(F2826=""Crypto"",B2826,(IF(ISBLANK(D2826),"""",IF(D2826=""Cash"",B2826,IF(GOOGLEFINANCE(D2826,""CURRENCY"")=""GBX"",""GBP"",GOOGLEFINANCE(D2826,""CURRENCY"")))))),B2826)"),"")</f>
        <v/>
      </c>
      <c r="R2826" s="263" t="str">
        <f>IFERROR(__xludf.DUMMYFUNCTION("IF(ISBLANK(A2826),"""",IFERROR(IF(OR(Q2826=""GPB"",Q2826=""ZAR""),IF(Q2826=Dashboard!$L$1,K2826,(K2826*GOOGLEFINANCE(""CURRENCY:""&amp;Q2826&amp;""""&amp;Dashboard!$L$1&amp;""""))/100),IF(Q2826=Dashboard!$L$1,K2826,K2826*GOOGLEFINANCE(""CURRENCY:""&amp;Q2826&amp;""""&amp;Dashboard!$"&amp;"L$1&amp;""""))),K2826))"),"")</f>
        <v/>
      </c>
      <c r="S2826" s="266" t="str">
        <f>IFERROR(__xludf.DUMMYFUNCTION("IF(ISBLANK(A2826),"""",IFERROR(IF(OR(Q2826=""GPB"",Q2826=""ZAR""),IF(Q2826=Dashboard!$L$1,M2826,(M2826*GOOGLEFINANCE(""CURRENCY:""&amp;Q2826&amp;""""&amp;Dashboard!$L$1&amp;""""))/100),IF(Q2826=Dashboard!$L$1,M2826,M2826*GOOGLEFINANCE(""CURRENCY:""&amp;Q2826&amp;""""&amp;Dashboard!$"&amp;"L$1&amp;""""))),M2826))"),"")</f>
        <v/>
      </c>
      <c r="T2826" s="264" t="str">
        <f t="shared" si="4"/>
        <v/>
      </c>
      <c r="U2826" s="264" t="str">
        <f t="shared" si="5"/>
        <v/>
      </c>
      <c r="V2826" s="264" t="str">
        <f t="shared" si="6"/>
        <v/>
      </c>
      <c r="W2826" s="267" t="str">
        <f t="shared" si="8"/>
        <v/>
      </c>
      <c r="X2826" s="264" t="str">
        <f t="shared" si="7"/>
        <v/>
      </c>
    </row>
    <row r="2827" ht="15.75" customHeight="1">
      <c r="A2827" s="258"/>
      <c r="B2827" s="258"/>
      <c r="C2827" s="269"/>
      <c r="D2827" s="258"/>
      <c r="E2827" s="258"/>
      <c r="F2827" s="258"/>
      <c r="G2827" s="258"/>
      <c r="H2827" s="271"/>
      <c r="I2827" s="258"/>
      <c r="J2827" s="272"/>
      <c r="K2827" s="260"/>
      <c r="L2827" s="261"/>
      <c r="M2827" s="262" t="str">
        <f t="shared" si="1"/>
        <v/>
      </c>
      <c r="N2827" s="263" t="str">
        <f t="shared" si="2"/>
        <v/>
      </c>
      <c r="O2827" s="264" t="str">
        <f t="shared" si="3"/>
        <v/>
      </c>
      <c r="P2827" s="265" t="str">
        <f>IFERROR(__xludf.DUMMYFUNCTION("IF(ISBLANK(A2827),"""",IFERROR(IF(H2827=""Sell"",VLOOKUP(9^99,FILTER({ROW(P$2:P2826),P$2:P2826},D$2:D2826=D2827),2),(VLOOKUP(9^99,FILTER({ROW(P$2:P2826),P$2:P2826},D$2:D2826=D2827),2)*VLOOKUP(9^99,FILTER({ROW(O$2:O2826),O$2:O2826},D$2:D2826=D2827),2)-N282"&amp;"7)/O2827),J2827))"),"")</f>
        <v/>
      </c>
      <c r="Q2827" s="264" t="str">
        <f>IFERROR(__xludf.DUMMYFUNCTION("IFERROR(IF(F2827=""Crypto"",B2827,(IF(ISBLANK(D2827),"""",IF(D2827=""Cash"",B2827,IF(GOOGLEFINANCE(D2827,""CURRENCY"")=""GBX"",""GBP"",GOOGLEFINANCE(D2827,""CURRENCY"")))))),B2827)"),"")</f>
        <v/>
      </c>
      <c r="R2827" s="263" t="str">
        <f>IFERROR(__xludf.DUMMYFUNCTION("IF(ISBLANK(A2827),"""",IFERROR(IF(OR(Q2827=""GPB"",Q2827=""ZAR""),IF(Q2827=Dashboard!$L$1,K2827,(K2827*GOOGLEFINANCE(""CURRENCY:""&amp;Q2827&amp;""""&amp;Dashboard!$L$1&amp;""""))/100),IF(Q2827=Dashboard!$L$1,K2827,K2827*GOOGLEFINANCE(""CURRENCY:""&amp;Q2827&amp;""""&amp;Dashboard!$"&amp;"L$1&amp;""""))),K2827))"),"")</f>
        <v/>
      </c>
      <c r="S2827" s="266" t="str">
        <f>IFERROR(__xludf.DUMMYFUNCTION("IF(ISBLANK(A2827),"""",IFERROR(IF(OR(Q2827=""GPB"",Q2827=""ZAR""),IF(Q2827=Dashboard!$L$1,M2827,(M2827*GOOGLEFINANCE(""CURRENCY:""&amp;Q2827&amp;""""&amp;Dashboard!$L$1&amp;""""))/100),IF(Q2827=Dashboard!$L$1,M2827,M2827*GOOGLEFINANCE(""CURRENCY:""&amp;Q2827&amp;""""&amp;Dashboard!$"&amp;"L$1&amp;""""))),M2827))"),"")</f>
        <v/>
      </c>
      <c r="T2827" s="264" t="str">
        <f t="shared" si="4"/>
        <v/>
      </c>
      <c r="U2827" s="264" t="str">
        <f t="shared" si="5"/>
        <v/>
      </c>
      <c r="V2827" s="264" t="str">
        <f t="shared" si="6"/>
        <v/>
      </c>
      <c r="W2827" s="267" t="str">
        <f t="shared" si="8"/>
        <v/>
      </c>
      <c r="X2827" s="264" t="str">
        <f t="shared" si="7"/>
        <v/>
      </c>
    </row>
    <row r="2828" ht="15.75" customHeight="1">
      <c r="A2828" s="258"/>
      <c r="B2828" s="258"/>
      <c r="C2828" s="269"/>
      <c r="D2828" s="258"/>
      <c r="E2828" s="258"/>
      <c r="F2828" s="258"/>
      <c r="G2828" s="258"/>
      <c r="H2828" s="271"/>
      <c r="I2828" s="258"/>
      <c r="J2828" s="272"/>
      <c r="K2828" s="260"/>
      <c r="L2828" s="261"/>
      <c r="M2828" s="262" t="str">
        <f t="shared" si="1"/>
        <v/>
      </c>
      <c r="N2828" s="263" t="str">
        <f t="shared" si="2"/>
        <v/>
      </c>
      <c r="O2828" s="264" t="str">
        <f t="shared" si="3"/>
        <v/>
      </c>
      <c r="P2828" s="265" t="str">
        <f>IFERROR(__xludf.DUMMYFUNCTION("IF(ISBLANK(A2828),"""",IFERROR(IF(H2828=""Sell"",VLOOKUP(9^99,FILTER({ROW(P$2:P2827),P$2:P2827},D$2:D2827=D2828),2),(VLOOKUP(9^99,FILTER({ROW(P$2:P2827),P$2:P2827},D$2:D2827=D2828),2)*VLOOKUP(9^99,FILTER({ROW(O$2:O2827),O$2:O2827},D$2:D2827=D2828),2)-N282"&amp;"8)/O2828),J2828))"),"")</f>
        <v/>
      </c>
      <c r="Q2828" s="264" t="str">
        <f>IFERROR(__xludf.DUMMYFUNCTION("IFERROR(IF(F2828=""Crypto"",B2828,(IF(ISBLANK(D2828),"""",IF(D2828=""Cash"",B2828,IF(GOOGLEFINANCE(D2828,""CURRENCY"")=""GBX"",""GBP"",GOOGLEFINANCE(D2828,""CURRENCY"")))))),B2828)"),"")</f>
        <v/>
      </c>
      <c r="R2828" s="263" t="str">
        <f>IFERROR(__xludf.DUMMYFUNCTION("IF(ISBLANK(A2828),"""",IFERROR(IF(OR(Q2828=""GPB"",Q2828=""ZAR""),IF(Q2828=Dashboard!$L$1,K2828,(K2828*GOOGLEFINANCE(""CURRENCY:""&amp;Q2828&amp;""""&amp;Dashboard!$L$1&amp;""""))/100),IF(Q2828=Dashboard!$L$1,K2828,K2828*GOOGLEFINANCE(""CURRENCY:""&amp;Q2828&amp;""""&amp;Dashboard!$"&amp;"L$1&amp;""""))),K2828))"),"")</f>
        <v/>
      </c>
      <c r="S2828" s="266" t="str">
        <f>IFERROR(__xludf.DUMMYFUNCTION("IF(ISBLANK(A2828),"""",IFERROR(IF(OR(Q2828=""GPB"",Q2828=""ZAR""),IF(Q2828=Dashboard!$L$1,M2828,(M2828*GOOGLEFINANCE(""CURRENCY:""&amp;Q2828&amp;""""&amp;Dashboard!$L$1&amp;""""))/100),IF(Q2828=Dashboard!$L$1,M2828,M2828*GOOGLEFINANCE(""CURRENCY:""&amp;Q2828&amp;""""&amp;Dashboard!$"&amp;"L$1&amp;""""))),M2828))"),"")</f>
        <v/>
      </c>
      <c r="T2828" s="264" t="str">
        <f t="shared" si="4"/>
        <v/>
      </c>
      <c r="U2828" s="264" t="str">
        <f t="shared" si="5"/>
        <v/>
      </c>
      <c r="V2828" s="264" t="str">
        <f t="shared" si="6"/>
        <v/>
      </c>
      <c r="W2828" s="267" t="str">
        <f t="shared" si="8"/>
        <v/>
      </c>
      <c r="X2828" s="264" t="str">
        <f t="shared" si="7"/>
        <v/>
      </c>
    </row>
    <row r="2829" ht="15.75" customHeight="1">
      <c r="A2829" s="258"/>
      <c r="B2829" s="258"/>
      <c r="C2829" s="269"/>
      <c r="D2829" s="258"/>
      <c r="E2829" s="258"/>
      <c r="F2829" s="258"/>
      <c r="G2829" s="258"/>
      <c r="H2829" s="271"/>
      <c r="I2829" s="258"/>
      <c r="J2829" s="272"/>
      <c r="K2829" s="260"/>
      <c r="L2829" s="261"/>
      <c r="M2829" s="262" t="str">
        <f t="shared" si="1"/>
        <v/>
      </c>
      <c r="N2829" s="263" t="str">
        <f t="shared" si="2"/>
        <v/>
      </c>
      <c r="O2829" s="264" t="str">
        <f t="shared" si="3"/>
        <v/>
      </c>
      <c r="P2829" s="265" t="str">
        <f>IFERROR(__xludf.DUMMYFUNCTION("IF(ISBLANK(A2829),"""",IFERROR(IF(H2829=""Sell"",VLOOKUP(9^99,FILTER({ROW(P$2:P2828),P$2:P2828},D$2:D2828=D2829),2),(VLOOKUP(9^99,FILTER({ROW(P$2:P2828),P$2:P2828},D$2:D2828=D2829),2)*VLOOKUP(9^99,FILTER({ROW(O$2:O2828),O$2:O2828},D$2:D2828=D2829),2)-N282"&amp;"9)/O2829),J2829))"),"")</f>
        <v/>
      </c>
      <c r="Q2829" s="264" t="str">
        <f>IFERROR(__xludf.DUMMYFUNCTION("IFERROR(IF(F2829=""Crypto"",B2829,(IF(ISBLANK(D2829),"""",IF(D2829=""Cash"",B2829,IF(GOOGLEFINANCE(D2829,""CURRENCY"")=""GBX"",""GBP"",GOOGLEFINANCE(D2829,""CURRENCY"")))))),B2829)"),"")</f>
        <v/>
      </c>
      <c r="R2829" s="263" t="str">
        <f>IFERROR(__xludf.DUMMYFUNCTION("IF(ISBLANK(A2829),"""",IFERROR(IF(OR(Q2829=""GPB"",Q2829=""ZAR""),IF(Q2829=Dashboard!$L$1,K2829,(K2829*GOOGLEFINANCE(""CURRENCY:""&amp;Q2829&amp;""""&amp;Dashboard!$L$1&amp;""""))/100),IF(Q2829=Dashboard!$L$1,K2829,K2829*GOOGLEFINANCE(""CURRENCY:""&amp;Q2829&amp;""""&amp;Dashboard!$"&amp;"L$1&amp;""""))),K2829))"),"")</f>
        <v/>
      </c>
      <c r="S2829" s="266" t="str">
        <f>IFERROR(__xludf.DUMMYFUNCTION("IF(ISBLANK(A2829),"""",IFERROR(IF(OR(Q2829=""GPB"",Q2829=""ZAR""),IF(Q2829=Dashboard!$L$1,M2829,(M2829*GOOGLEFINANCE(""CURRENCY:""&amp;Q2829&amp;""""&amp;Dashboard!$L$1&amp;""""))/100),IF(Q2829=Dashboard!$L$1,M2829,M2829*GOOGLEFINANCE(""CURRENCY:""&amp;Q2829&amp;""""&amp;Dashboard!$"&amp;"L$1&amp;""""))),M2829))"),"")</f>
        <v/>
      </c>
      <c r="T2829" s="264" t="str">
        <f t="shared" si="4"/>
        <v/>
      </c>
      <c r="U2829" s="264" t="str">
        <f t="shared" si="5"/>
        <v/>
      </c>
      <c r="V2829" s="264" t="str">
        <f t="shared" si="6"/>
        <v/>
      </c>
      <c r="W2829" s="267" t="str">
        <f t="shared" si="8"/>
        <v/>
      </c>
      <c r="X2829" s="264" t="str">
        <f t="shared" si="7"/>
        <v/>
      </c>
    </row>
    <row r="2830" ht="15.75" customHeight="1">
      <c r="A2830" s="258"/>
      <c r="B2830" s="258"/>
      <c r="C2830" s="269"/>
      <c r="D2830" s="258"/>
      <c r="E2830" s="258"/>
      <c r="F2830" s="258"/>
      <c r="G2830" s="258"/>
      <c r="H2830" s="271"/>
      <c r="I2830" s="258"/>
      <c r="J2830" s="272"/>
      <c r="K2830" s="260"/>
      <c r="L2830" s="261"/>
      <c r="M2830" s="262" t="str">
        <f t="shared" si="1"/>
        <v/>
      </c>
      <c r="N2830" s="263" t="str">
        <f t="shared" si="2"/>
        <v/>
      </c>
      <c r="O2830" s="264" t="str">
        <f t="shared" si="3"/>
        <v/>
      </c>
      <c r="P2830" s="265" t="str">
        <f>IFERROR(__xludf.DUMMYFUNCTION("IF(ISBLANK(A2830),"""",IFERROR(IF(H2830=""Sell"",VLOOKUP(9^99,FILTER({ROW(P$2:P2829),P$2:P2829},D$2:D2829=D2830),2),(VLOOKUP(9^99,FILTER({ROW(P$2:P2829),P$2:P2829},D$2:D2829=D2830),2)*VLOOKUP(9^99,FILTER({ROW(O$2:O2829),O$2:O2829},D$2:D2829=D2830),2)-N283"&amp;"0)/O2830),J2830))"),"")</f>
        <v/>
      </c>
      <c r="Q2830" s="264" t="str">
        <f>IFERROR(__xludf.DUMMYFUNCTION("IFERROR(IF(F2830=""Crypto"",B2830,(IF(ISBLANK(D2830),"""",IF(D2830=""Cash"",B2830,IF(GOOGLEFINANCE(D2830,""CURRENCY"")=""GBX"",""GBP"",GOOGLEFINANCE(D2830,""CURRENCY"")))))),B2830)"),"")</f>
        <v/>
      </c>
      <c r="R2830" s="263" t="str">
        <f>IFERROR(__xludf.DUMMYFUNCTION("IF(ISBLANK(A2830),"""",IFERROR(IF(OR(Q2830=""GPB"",Q2830=""ZAR""),IF(Q2830=Dashboard!$L$1,K2830,(K2830*GOOGLEFINANCE(""CURRENCY:""&amp;Q2830&amp;""""&amp;Dashboard!$L$1&amp;""""))/100),IF(Q2830=Dashboard!$L$1,K2830,K2830*GOOGLEFINANCE(""CURRENCY:""&amp;Q2830&amp;""""&amp;Dashboard!$"&amp;"L$1&amp;""""))),K2830))"),"")</f>
        <v/>
      </c>
      <c r="S2830" s="266" t="str">
        <f>IFERROR(__xludf.DUMMYFUNCTION("IF(ISBLANK(A2830),"""",IFERROR(IF(OR(Q2830=""GPB"",Q2830=""ZAR""),IF(Q2830=Dashboard!$L$1,M2830,(M2830*GOOGLEFINANCE(""CURRENCY:""&amp;Q2830&amp;""""&amp;Dashboard!$L$1&amp;""""))/100),IF(Q2830=Dashboard!$L$1,M2830,M2830*GOOGLEFINANCE(""CURRENCY:""&amp;Q2830&amp;""""&amp;Dashboard!$"&amp;"L$1&amp;""""))),M2830))"),"")</f>
        <v/>
      </c>
      <c r="T2830" s="264" t="str">
        <f t="shared" si="4"/>
        <v/>
      </c>
      <c r="U2830" s="264" t="str">
        <f t="shared" si="5"/>
        <v/>
      </c>
      <c r="V2830" s="264" t="str">
        <f t="shared" si="6"/>
        <v/>
      </c>
      <c r="W2830" s="267" t="str">
        <f t="shared" si="8"/>
        <v/>
      </c>
      <c r="X2830" s="264" t="str">
        <f t="shared" si="7"/>
        <v/>
      </c>
    </row>
    <row r="2831" ht="15.75" customHeight="1">
      <c r="A2831" s="258"/>
      <c r="B2831" s="258"/>
      <c r="C2831" s="269"/>
      <c r="D2831" s="258"/>
      <c r="E2831" s="258"/>
      <c r="F2831" s="258"/>
      <c r="G2831" s="258"/>
      <c r="H2831" s="271"/>
      <c r="I2831" s="258"/>
      <c r="J2831" s="272"/>
      <c r="K2831" s="260"/>
      <c r="L2831" s="261"/>
      <c r="M2831" s="262" t="str">
        <f t="shared" si="1"/>
        <v/>
      </c>
      <c r="N2831" s="263" t="str">
        <f t="shared" si="2"/>
        <v/>
      </c>
      <c r="O2831" s="264" t="str">
        <f t="shared" si="3"/>
        <v/>
      </c>
      <c r="P2831" s="265" t="str">
        <f>IFERROR(__xludf.DUMMYFUNCTION("IF(ISBLANK(A2831),"""",IFERROR(IF(H2831=""Sell"",VLOOKUP(9^99,FILTER({ROW(P$2:P2830),P$2:P2830},D$2:D2830=D2831),2),(VLOOKUP(9^99,FILTER({ROW(P$2:P2830),P$2:P2830},D$2:D2830=D2831),2)*VLOOKUP(9^99,FILTER({ROW(O$2:O2830),O$2:O2830},D$2:D2830=D2831),2)-N283"&amp;"1)/O2831),J2831))"),"")</f>
        <v/>
      </c>
      <c r="Q2831" s="264" t="str">
        <f>IFERROR(__xludf.DUMMYFUNCTION("IFERROR(IF(F2831=""Crypto"",B2831,(IF(ISBLANK(D2831),"""",IF(D2831=""Cash"",B2831,IF(GOOGLEFINANCE(D2831,""CURRENCY"")=""GBX"",""GBP"",GOOGLEFINANCE(D2831,""CURRENCY"")))))),B2831)"),"")</f>
        <v/>
      </c>
      <c r="R2831" s="263" t="str">
        <f>IFERROR(__xludf.DUMMYFUNCTION("IF(ISBLANK(A2831),"""",IFERROR(IF(OR(Q2831=""GPB"",Q2831=""ZAR""),IF(Q2831=Dashboard!$L$1,K2831,(K2831*GOOGLEFINANCE(""CURRENCY:""&amp;Q2831&amp;""""&amp;Dashboard!$L$1&amp;""""))/100),IF(Q2831=Dashboard!$L$1,K2831,K2831*GOOGLEFINANCE(""CURRENCY:""&amp;Q2831&amp;""""&amp;Dashboard!$"&amp;"L$1&amp;""""))),K2831))"),"")</f>
        <v/>
      </c>
      <c r="S2831" s="266" t="str">
        <f>IFERROR(__xludf.DUMMYFUNCTION("IF(ISBLANK(A2831),"""",IFERROR(IF(OR(Q2831=""GPB"",Q2831=""ZAR""),IF(Q2831=Dashboard!$L$1,M2831,(M2831*GOOGLEFINANCE(""CURRENCY:""&amp;Q2831&amp;""""&amp;Dashboard!$L$1&amp;""""))/100),IF(Q2831=Dashboard!$L$1,M2831,M2831*GOOGLEFINANCE(""CURRENCY:""&amp;Q2831&amp;""""&amp;Dashboard!$"&amp;"L$1&amp;""""))),M2831))"),"")</f>
        <v/>
      </c>
      <c r="T2831" s="264" t="str">
        <f t="shared" si="4"/>
        <v/>
      </c>
      <c r="U2831" s="264" t="str">
        <f t="shared" si="5"/>
        <v/>
      </c>
      <c r="V2831" s="264" t="str">
        <f t="shared" si="6"/>
        <v/>
      </c>
      <c r="W2831" s="267" t="str">
        <f t="shared" si="8"/>
        <v/>
      </c>
      <c r="X2831" s="264" t="str">
        <f t="shared" si="7"/>
        <v/>
      </c>
    </row>
    <row r="2832" ht="15.75" customHeight="1">
      <c r="A2832" s="258"/>
      <c r="B2832" s="258"/>
      <c r="C2832" s="269"/>
      <c r="D2832" s="258"/>
      <c r="E2832" s="258"/>
      <c r="F2832" s="258"/>
      <c r="G2832" s="258"/>
      <c r="H2832" s="271"/>
      <c r="I2832" s="258"/>
      <c r="J2832" s="272"/>
      <c r="K2832" s="260"/>
      <c r="L2832" s="261"/>
      <c r="M2832" s="262" t="str">
        <f t="shared" si="1"/>
        <v/>
      </c>
      <c r="N2832" s="263" t="str">
        <f t="shared" si="2"/>
        <v/>
      </c>
      <c r="O2832" s="264" t="str">
        <f t="shared" si="3"/>
        <v/>
      </c>
      <c r="P2832" s="265" t="str">
        <f>IFERROR(__xludf.DUMMYFUNCTION("IF(ISBLANK(A2832),"""",IFERROR(IF(H2832=""Sell"",VLOOKUP(9^99,FILTER({ROW(P$2:P2831),P$2:P2831},D$2:D2831=D2832),2),(VLOOKUP(9^99,FILTER({ROW(P$2:P2831),P$2:P2831},D$2:D2831=D2832),2)*VLOOKUP(9^99,FILTER({ROW(O$2:O2831),O$2:O2831},D$2:D2831=D2832),2)-N283"&amp;"2)/O2832),J2832))"),"")</f>
        <v/>
      </c>
      <c r="Q2832" s="264" t="str">
        <f>IFERROR(__xludf.DUMMYFUNCTION("IFERROR(IF(F2832=""Crypto"",B2832,(IF(ISBLANK(D2832),"""",IF(D2832=""Cash"",B2832,IF(GOOGLEFINANCE(D2832,""CURRENCY"")=""GBX"",""GBP"",GOOGLEFINANCE(D2832,""CURRENCY"")))))),B2832)"),"")</f>
        <v/>
      </c>
      <c r="R2832" s="263" t="str">
        <f>IFERROR(__xludf.DUMMYFUNCTION("IF(ISBLANK(A2832),"""",IFERROR(IF(OR(Q2832=""GPB"",Q2832=""ZAR""),IF(Q2832=Dashboard!$L$1,K2832,(K2832*GOOGLEFINANCE(""CURRENCY:""&amp;Q2832&amp;""""&amp;Dashboard!$L$1&amp;""""))/100),IF(Q2832=Dashboard!$L$1,K2832,K2832*GOOGLEFINANCE(""CURRENCY:""&amp;Q2832&amp;""""&amp;Dashboard!$"&amp;"L$1&amp;""""))),K2832))"),"")</f>
        <v/>
      </c>
      <c r="S2832" s="266" t="str">
        <f>IFERROR(__xludf.DUMMYFUNCTION("IF(ISBLANK(A2832),"""",IFERROR(IF(OR(Q2832=""GPB"",Q2832=""ZAR""),IF(Q2832=Dashboard!$L$1,M2832,(M2832*GOOGLEFINANCE(""CURRENCY:""&amp;Q2832&amp;""""&amp;Dashboard!$L$1&amp;""""))/100),IF(Q2832=Dashboard!$L$1,M2832,M2832*GOOGLEFINANCE(""CURRENCY:""&amp;Q2832&amp;""""&amp;Dashboard!$"&amp;"L$1&amp;""""))),M2832))"),"")</f>
        <v/>
      </c>
      <c r="T2832" s="264" t="str">
        <f t="shared" si="4"/>
        <v/>
      </c>
      <c r="U2832" s="264" t="str">
        <f t="shared" si="5"/>
        <v/>
      </c>
      <c r="V2832" s="264" t="str">
        <f t="shared" si="6"/>
        <v/>
      </c>
      <c r="W2832" s="267" t="str">
        <f t="shared" si="8"/>
        <v/>
      </c>
      <c r="X2832" s="264" t="str">
        <f t="shared" si="7"/>
        <v/>
      </c>
    </row>
    <row r="2833" ht="15.75" customHeight="1">
      <c r="A2833" s="258"/>
      <c r="B2833" s="258"/>
      <c r="C2833" s="269"/>
      <c r="D2833" s="258"/>
      <c r="E2833" s="258"/>
      <c r="F2833" s="258"/>
      <c r="G2833" s="258"/>
      <c r="H2833" s="271"/>
      <c r="I2833" s="258"/>
      <c r="J2833" s="272"/>
      <c r="K2833" s="260"/>
      <c r="L2833" s="261"/>
      <c r="M2833" s="262" t="str">
        <f t="shared" si="1"/>
        <v/>
      </c>
      <c r="N2833" s="263" t="str">
        <f t="shared" si="2"/>
        <v/>
      </c>
      <c r="O2833" s="264" t="str">
        <f t="shared" si="3"/>
        <v/>
      </c>
      <c r="P2833" s="265" t="str">
        <f>IFERROR(__xludf.DUMMYFUNCTION("IF(ISBLANK(A2833),"""",IFERROR(IF(H2833=""Sell"",VLOOKUP(9^99,FILTER({ROW(P$2:P2832),P$2:P2832},D$2:D2832=D2833),2),(VLOOKUP(9^99,FILTER({ROW(P$2:P2832),P$2:P2832},D$2:D2832=D2833),2)*VLOOKUP(9^99,FILTER({ROW(O$2:O2832),O$2:O2832},D$2:D2832=D2833),2)-N283"&amp;"3)/O2833),J2833))"),"")</f>
        <v/>
      </c>
      <c r="Q2833" s="264" t="str">
        <f>IFERROR(__xludf.DUMMYFUNCTION("IFERROR(IF(F2833=""Crypto"",B2833,(IF(ISBLANK(D2833),"""",IF(D2833=""Cash"",B2833,IF(GOOGLEFINANCE(D2833,""CURRENCY"")=""GBX"",""GBP"",GOOGLEFINANCE(D2833,""CURRENCY"")))))),B2833)"),"")</f>
        <v/>
      </c>
      <c r="R2833" s="263" t="str">
        <f>IFERROR(__xludf.DUMMYFUNCTION("IF(ISBLANK(A2833),"""",IFERROR(IF(OR(Q2833=""GPB"",Q2833=""ZAR""),IF(Q2833=Dashboard!$L$1,K2833,(K2833*GOOGLEFINANCE(""CURRENCY:""&amp;Q2833&amp;""""&amp;Dashboard!$L$1&amp;""""))/100),IF(Q2833=Dashboard!$L$1,K2833,K2833*GOOGLEFINANCE(""CURRENCY:""&amp;Q2833&amp;""""&amp;Dashboard!$"&amp;"L$1&amp;""""))),K2833))"),"")</f>
        <v/>
      </c>
      <c r="S2833" s="266" t="str">
        <f>IFERROR(__xludf.DUMMYFUNCTION("IF(ISBLANK(A2833),"""",IFERROR(IF(OR(Q2833=""GPB"",Q2833=""ZAR""),IF(Q2833=Dashboard!$L$1,M2833,(M2833*GOOGLEFINANCE(""CURRENCY:""&amp;Q2833&amp;""""&amp;Dashboard!$L$1&amp;""""))/100),IF(Q2833=Dashboard!$L$1,M2833,M2833*GOOGLEFINANCE(""CURRENCY:""&amp;Q2833&amp;""""&amp;Dashboard!$"&amp;"L$1&amp;""""))),M2833))"),"")</f>
        <v/>
      </c>
      <c r="T2833" s="264" t="str">
        <f t="shared" si="4"/>
        <v/>
      </c>
      <c r="U2833" s="264" t="str">
        <f t="shared" si="5"/>
        <v/>
      </c>
      <c r="V2833" s="264" t="str">
        <f t="shared" si="6"/>
        <v/>
      </c>
      <c r="W2833" s="267" t="str">
        <f t="shared" si="8"/>
        <v/>
      </c>
      <c r="X2833" s="264" t="str">
        <f t="shared" si="7"/>
        <v/>
      </c>
    </row>
    <row r="2834" ht="15.75" customHeight="1">
      <c r="A2834" s="258"/>
      <c r="B2834" s="258"/>
      <c r="C2834" s="269"/>
      <c r="D2834" s="258"/>
      <c r="E2834" s="258"/>
      <c r="F2834" s="258"/>
      <c r="G2834" s="258"/>
      <c r="H2834" s="271"/>
      <c r="I2834" s="258"/>
      <c r="J2834" s="272"/>
      <c r="K2834" s="260"/>
      <c r="L2834" s="261"/>
      <c r="M2834" s="262" t="str">
        <f t="shared" si="1"/>
        <v/>
      </c>
      <c r="N2834" s="263" t="str">
        <f t="shared" si="2"/>
        <v/>
      </c>
      <c r="O2834" s="264" t="str">
        <f t="shared" si="3"/>
        <v/>
      </c>
      <c r="P2834" s="265" t="str">
        <f>IFERROR(__xludf.DUMMYFUNCTION("IF(ISBLANK(A2834),"""",IFERROR(IF(H2834=""Sell"",VLOOKUP(9^99,FILTER({ROW(P$2:P2833),P$2:P2833},D$2:D2833=D2834),2),(VLOOKUP(9^99,FILTER({ROW(P$2:P2833),P$2:P2833},D$2:D2833=D2834),2)*VLOOKUP(9^99,FILTER({ROW(O$2:O2833),O$2:O2833},D$2:D2833=D2834),2)-N283"&amp;"4)/O2834),J2834))"),"")</f>
        <v/>
      </c>
      <c r="Q2834" s="264" t="str">
        <f>IFERROR(__xludf.DUMMYFUNCTION("IFERROR(IF(F2834=""Crypto"",B2834,(IF(ISBLANK(D2834),"""",IF(D2834=""Cash"",B2834,IF(GOOGLEFINANCE(D2834,""CURRENCY"")=""GBX"",""GBP"",GOOGLEFINANCE(D2834,""CURRENCY"")))))),B2834)"),"")</f>
        <v/>
      </c>
      <c r="R2834" s="263" t="str">
        <f>IFERROR(__xludf.DUMMYFUNCTION("IF(ISBLANK(A2834),"""",IFERROR(IF(OR(Q2834=""GPB"",Q2834=""ZAR""),IF(Q2834=Dashboard!$L$1,K2834,(K2834*GOOGLEFINANCE(""CURRENCY:""&amp;Q2834&amp;""""&amp;Dashboard!$L$1&amp;""""))/100),IF(Q2834=Dashboard!$L$1,K2834,K2834*GOOGLEFINANCE(""CURRENCY:""&amp;Q2834&amp;""""&amp;Dashboard!$"&amp;"L$1&amp;""""))),K2834))"),"")</f>
        <v/>
      </c>
      <c r="S2834" s="266" t="str">
        <f>IFERROR(__xludf.DUMMYFUNCTION("IF(ISBLANK(A2834),"""",IFERROR(IF(OR(Q2834=""GPB"",Q2834=""ZAR""),IF(Q2834=Dashboard!$L$1,M2834,(M2834*GOOGLEFINANCE(""CURRENCY:""&amp;Q2834&amp;""""&amp;Dashboard!$L$1&amp;""""))/100),IF(Q2834=Dashboard!$L$1,M2834,M2834*GOOGLEFINANCE(""CURRENCY:""&amp;Q2834&amp;""""&amp;Dashboard!$"&amp;"L$1&amp;""""))),M2834))"),"")</f>
        <v/>
      </c>
      <c r="T2834" s="264" t="str">
        <f t="shared" si="4"/>
        <v/>
      </c>
      <c r="U2834" s="264" t="str">
        <f t="shared" si="5"/>
        <v/>
      </c>
      <c r="V2834" s="264" t="str">
        <f t="shared" si="6"/>
        <v/>
      </c>
      <c r="W2834" s="267" t="str">
        <f t="shared" si="8"/>
        <v/>
      </c>
      <c r="X2834" s="264" t="str">
        <f t="shared" si="7"/>
        <v/>
      </c>
    </row>
    <row r="2835" ht="15.75" customHeight="1">
      <c r="A2835" s="258"/>
      <c r="B2835" s="258"/>
      <c r="C2835" s="269"/>
      <c r="D2835" s="258"/>
      <c r="E2835" s="258"/>
      <c r="F2835" s="258"/>
      <c r="G2835" s="258"/>
      <c r="H2835" s="271"/>
      <c r="I2835" s="258"/>
      <c r="J2835" s="272"/>
      <c r="K2835" s="260"/>
      <c r="L2835" s="261"/>
      <c r="M2835" s="262" t="str">
        <f t="shared" si="1"/>
        <v/>
      </c>
      <c r="N2835" s="263" t="str">
        <f t="shared" si="2"/>
        <v/>
      </c>
      <c r="O2835" s="264" t="str">
        <f t="shared" si="3"/>
        <v/>
      </c>
      <c r="P2835" s="265" t="str">
        <f>IFERROR(__xludf.DUMMYFUNCTION("IF(ISBLANK(A2835),"""",IFERROR(IF(H2835=""Sell"",VLOOKUP(9^99,FILTER({ROW(P$2:P2834),P$2:P2834},D$2:D2834=D2835),2),(VLOOKUP(9^99,FILTER({ROW(P$2:P2834),P$2:P2834},D$2:D2834=D2835),2)*VLOOKUP(9^99,FILTER({ROW(O$2:O2834),O$2:O2834},D$2:D2834=D2835),2)-N283"&amp;"5)/O2835),J2835))"),"")</f>
        <v/>
      </c>
      <c r="Q2835" s="264" t="str">
        <f>IFERROR(__xludf.DUMMYFUNCTION("IFERROR(IF(F2835=""Crypto"",B2835,(IF(ISBLANK(D2835),"""",IF(D2835=""Cash"",B2835,IF(GOOGLEFINANCE(D2835,""CURRENCY"")=""GBX"",""GBP"",GOOGLEFINANCE(D2835,""CURRENCY"")))))),B2835)"),"")</f>
        <v/>
      </c>
      <c r="R2835" s="263" t="str">
        <f>IFERROR(__xludf.DUMMYFUNCTION("IF(ISBLANK(A2835),"""",IFERROR(IF(OR(Q2835=""GPB"",Q2835=""ZAR""),IF(Q2835=Dashboard!$L$1,K2835,(K2835*GOOGLEFINANCE(""CURRENCY:""&amp;Q2835&amp;""""&amp;Dashboard!$L$1&amp;""""))/100),IF(Q2835=Dashboard!$L$1,K2835,K2835*GOOGLEFINANCE(""CURRENCY:""&amp;Q2835&amp;""""&amp;Dashboard!$"&amp;"L$1&amp;""""))),K2835))"),"")</f>
        <v/>
      </c>
      <c r="S2835" s="266" t="str">
        <f>IFERROR(__xludf.DUMMYFUNCTION("IF(ISBLANK(A2835),"""",IFERROR(IF(OR(Q2835=""GPB"",Q2835=""ZAR""),IF(Q2835=Dashboard!$L$1,M2835,(M2835*GOOGLEFINANCE(""CURRENCY:""&amp;Q2835&amp;""""&amp;Dashboard!$L$1&amp;""""))/100),IF(Q2835=Dashboard!$L$1,M2835,M2835*GOOGLEFINANCE(""CURRENCY:""&amp;Q2835&amp;""""&amp;Dashboard!$"&amp;"L$1&amp;""""))),M2835))"),"")</f>
        <v/>
      </c>
      <c r="T2835" s="264" t="str">
        <f t="shared" si="4"/>
        <v/>
      </c>
      <c r="U2835" s="264" t="str">
        <f t="shared" si="5"/>
        <v/>
      </c>
      <c r="V2835" s="264" t="str">
        <f t="shared" si="6"/>
        <v/>
      </c>
      <c r="W2835" s="267" t="str">
        <f t="shared" si="8"/>
        <v/>
      </c>
      <c r="X2835" s="264" t="str">
        <f t="shared" si="7"/>
        <v/>
      </c>
    </row>
    <row r="2836" ht="15.75" customHeight="1">
      <c r="A2836" s="258"/>
      <c r="B2836" s="258"/>
      <c r="C2836" s="269"/>
      <c r="D2836" s="258"/>
      <c r="E2836" s="258"/>
      <c r="F2836" s="258"/>
      <c r="G2836" s="258"/>
      <c r="H2836" s="271"/>
      <c r="I2836" s="258"/>
      <c r="J2836" s="272"/>
      <c r="K2836" s="260"/>
      <c r="L2836" s="261"/>
      <c r="M2836" s="262" t="str">
        <f t="shared" si="1"/>
        <v/>
      </c>
      <c r="N2836" s="263" t="str">
        <f t="shared" si="2"/>
        <v/>
      </c>
      <c r="O2836" s="264" t="str">
        <f t="shared" si="3"/>
        <v/>
      </c>
      <c r="P2836" s="265" t="str">
        <f>IFERROR(__xludf.DUMMYFUNCTION("IF(ISBLANK(A2836),"""",IFERROR(IF(H2836=""Sell"",VLOOKUP(9^99,FILTER({ROW(P$2:P2835),P$2:P2835},D$2:D2835=D2836),2),(VLOOKUP(9^99,FILTER({ROW(P$2:P2835),P$2:P2835},D$2:D2835=D2836),2)*VLOOKUP(9^99,FILTER({ROW(O$2:O2835),O$2:O2835},D$2:D2835=D2836),2)-N283"&amp;"6)/O2836),J2836))"),"")</f>
        <v/>
      </c>
      <c r="Q2836" s="264" t="str">
        <f>IFERROR(__xludf.DUMMYFUNCTION("IFERROR(IF(F2836=""Crypto"",B2836,(IF(ISBLANK(D2836),"""",IF(D2836=""Cash"",B2836,IF(GOOGLEFINANCE(D2836,""CURRENCY"")=""GBX"",""GBP"",GOOGLEFINANCE(D2836,""CURRENCY"")))))),B2836)"),"")</f>
        <v/>
      </c>
      <c r="R2836" s="263" t="str">
        <f>IFERROR(__xludf.DUMMYFUNCTION("IF(ISBLANK(A2836),"""",IFERROR(IF(OR(Q2836=""GPB"",Q2836=""ZAR""),IF(Q2836=Dashboard!$L$1,K2836,(K2836*GOOGLEFINANCE(""CURRENCY:""&amp;Q2836&amp;""""&amp;Dashboard!$L$1&amp;""""))/100),IF(Q2836=Dashboard!$L$1,K2836,K2836*GOOGLEFINANCE(""CURRENCY:""&amp;Q2836&amp;""""&amp;Dashboard!$"&amp;"L$1&amp;""""))),K2836))"),"")</f>
        <v/>
      </c>
      <c r="S2836" s="266" t="str">
        <f>IFERROR(__xludf.DUMMYFUNCTION("IF(ISBLANK(A2836),"""",IFERROR(IF(OR(Q2836=""GPB"",Q2836=""ZAR""),IF(Q2836=Dashboard!$L$1,M2836,(M2836*GOOGLEFINANCE(""CURRENCY:""&amp;Q2836&amp;""""&amp;Dashboard!$L$1&amp;""""))/100),IF(Q2836=Dashboard!$L$1,M2836,M2836*GOOGLEFINANCE(""CURRENCY:""&amp;Q2836&amp;""""&amp;Dashboard!$"&amp;"L$1&amp;""""))),M2836))"),"")</f>
        <v/>
      </c>
      <c r="T2836" s="264" t="str">
        <f t="shared" si="4"/>
        <v/>
      </c>
      <c r="U2836" s="264" t="str">
        <f t="shared" si="5"/>
        <v/>
      </c>
      <c r="V2836" s="264" t="str">
        <f t="shared" si="6"/>
        <v/>
      </c>
      <c r="W2836" s="267" t="str">
        <f t="shared" si="8"/>
        <v/>
      </c>
      <c r="X2836" s="264" t="str">
        <f t="shared" si="7"/>
        <v/>
      </c>
    </row>
    <row r="2837" ht="15.75" customHeight="1">
      <c r="A2837" s="258"/>
      <c r="B2837" s="258"/>
      <c r="C2837" s="269"/>
      <c r="D2837" s="258"/>
      <c r="E2837" s="258"/>
      <c r="F2837" s="258"/>
      <c r="G2837" s="258"/>
      <c r="H2837" s="271"/>
      <c r="I2837" s="258"/>
      <c r="J2837" s="272"/>
      <c r="K2837" s="260"/>
      <c r="L2837" s="261"/>
      <c r="M2837" s="262" t="str">
        <f t="shared" si="1"/>
        <v/>
      </c>
      <c r="N2837" s="263" t="str">
        <f t="shared" si="2"/>
        <v/>
      </c>
      <c r="O2837" s="264" t="str">
        <f t="shared" si="3"/>
        <v/>
      </c>
      <c r="P2837" s="265" t="str">
        <f>IFERROR(__xludf.DUMMYFUNCTION("IF(ISBLANK(A2837),"""",IFERROR(IF(H2837=""Sell"",VLOOKUP(9^99,FILTER({ROW(P$2:P2836),P$2:P2836},D$2:D2836=D2837),2),(VLOOKUP(9^99,FILTER({ROW(P$2:P2836),P$2:P2836},D$2:D2836=D2837),2)*VLOOKUP(9^99,FILTER({ROW(O$2:O2836),O$2:O2836},D$2:D2836=D2837),2)-N283"&amp;"7)/O2837),J2837))"),"")</f>
        <v/>
      </c>
      <c r="Q2837" s="264" t="str">
        <f>IFERROR(__xludf.DUMMYFUNCTION("IFERROR(IF(F2837=""Crypto"",B2837,(IF(ISBLANK(D2837),"""",IF(D2837=""Cash"",B2837,IF(GOOGLEFINANCE(D2837,""CURRENCY"")=""GBX"",""GBP"",GOOGLEFINANCE(D2837,""CURRENCY"")))))),B2837)"),"")</f>
        <v/>
      </c>
      <c r="R2837" s="263" t="str">
        <f>IFERROR(__xludf.DUMMYFUNCTION("IF(ISBLANK(A2837),"""",IFERROR(IF(OR(Q2837=""GPB"",Q2837=""ZAR""),IF(Q2837=Dashboard!$L$1,K2837,(K2837*GOOGLEFINANCE(""CURRENCY:""&amp;Q2837&amp;""""&amp;Dashboard!$L$1&amp;""""))/100),IF(Q2837=Dashboard!$L$1,K2837,K2837*GOOGLEFINANCE(""CURRENCY:""&amp;Q2837&amp;""""&amp;Dashboard!$"&amp;"L$1&amp;""""))),K2837))"),"")</f>
        <v/>
      </c>
      <c r="S2837" s="266" t="str">
        <f>IFERROR(__xludf.DUMMYFUNCTION("IF(ISBLANK(A2837),"""",IFERROR(IF(OR(Q2837=""GPB"",Q2837=""ZAR""),IF(Q2837=Dashboard!$L$1,M2837,(M2837*GOOGLEFINANCE(""CURRENCY:""&amp;Q2837&amp;""""&amp;Dashboard!$L$1&amp;""""))/100),IF(Q2837=Dashboard!$L$1,M2837,M2837*GOOGLEFINANCE(""CURRENCY:""&amp;Q2837&amp;""""&amp;Dashboard!$"&amp;"L$1&amp;""""))),M2837))"),"")</f>
        <v/>
      </c>
      <c r="T2837" s="264" t="str">
        <f t="shared" si="4"/>
        <v/>
      </c>
      <c r="U2837" s="264" t="str">
        <f t="shared" si="5"/>
        <v/>
      </c>
      <c r="V2837" s="264" t="str">
        <f t="shared" si="6"/>
        <v/>
      </c>
      <c r="W2837" s="267" t="str">
        <f t="shared" si="8"/>
        <v/>
      </c>
      <c r="X2837" s="264" t="str">
        <f t="shared" si="7"/>
        <v/>
      </c>
    </row>
    <row r="2838" ht="15.75" customHeight="1">
      <c r="A2838" s="258"/>
      <c r="B2838" s="258"/>
      <c r="C2838" s="269"/>
      <c r="D2838" s="258"/>
      <c r="E2838" s="258"/>
      <c r="F2838" s="258"/>
      <c r="G2838" s="258"/>
      <c r="H2838" s="271"/>
      <c r="I2838" s="258"/>
      <c r="J2838" s="272"/>
      <c r="K2838" s="260"/>
      <c r="L2838" s="261"/>
      <c r="M2838" s="262" t="str">
        <f t="shared" si="1"/>
        <v/>
      </c>
      <c r="N2838" s="263" t="str">
        <f t="shared" si="2"/>
        <v/>
      </c>
      <c r="O2838" s="264" t="str">
        <f t="shared" si="3"/>
        <v/>
      </c>
      <c r="P2838" s="265" t="str">
        <f>IFERROR(__xludf.DUMMYFUNCTION("IF(ISBLANK(A2838),"""",IFERROR(IF(H2838=""Sell"",VLOOKUP(9^99,FILTER({ROW(P$2:P2837),P$2:P2837},D$2:D2837=D2838),2),(VLOOKUP(9^99,FILTER({ROW(P$2:P2837),P$2:P2837},D$2:D2837=D2838),2)*VLOOKUP(9^99,FILTER({ROW(O$2:O2837),O$2:O2837},D$2:D2837=D2838),2)-N283"&amp;"8)/O2838),J2838))"),"")</f>
        <v/>
      </c>
      <c r="Q2838" s="264" t="str">
        <f>IFERROR(__xludf.DUMMYFUNCTION("IFERROR(IF(F2838=""Crypto"",B2838,(IF(ISBLANK(D2838),"""",IF(D2838=""Cash"",B2838,IF(GOOGLEFINANCE(D2838,""CURRENCY"")=""GBX"",""GBP"",GOOGLEFINANCE(D2838,""CURRENCY"")))))),B2838)"),"")</f>
        <v/>
      </c>
      <c r="R2838" s="263" t="str">
        <f>IFERROR(__xludf.DUMMYFUNCTION("IF(ISBLANK(A2838),"""",IFERROR(IF(OR(Q2838=""GPB"",Q2838=""ZAR""),IF(Q2838=Dashboard!$L$1,K2838,(K2838*GOOGLEFINANCE(""CURRENCY:""&amp;Q2838&amp;""""&amp;Dashboard!$L$1&amp;""""))/100),IF(Q2838=Dashboard!$L$1,K2838,K2838*GOOGLEFINANCE(""CURRENCY:""&amp;Q2838&amp;""""&amp;Dashboard!$"&amp;"L$1&amp;""""))),K2838))"),"")</f>
        <v/>
      </c>
      <c r="S2838" s="266" t="str">
        <f>IFERROR(__xludf.DUMMYFUNCTION("IF(ISBLANK(A2838),"""",IFERROR(IF(OR(Q2838=""GPB"",Q2838=""ZAR""),IF(Q2838=Dashboard!$L$1,M2838,(M2838*GOOGLEFINANCE(""CURRENCY:""&amp;Q2838&amp;""""&amp;Dashboard!$L$1&amp;""""))/100),IF(Q2838=Dashboard!$L$1,M2838,M2838*GOOGLEFINANCE(""CURRENCY:""&amp;Q2838&amp;""""&amp;Dashboard!$"&amp;"L$1&amp;""""))),M2838))"),"")</f>
        <v/>
      </c>
      <c r="T2838" s="264" t="str">
        <f t="shared" si="4"/>
        <v/>
      </c>
      <c r="U2838" s="264" t="str">
        <f t="shared" si="5"/>
        <v/>
      </c>
      <c r="V2838" s="264" t="str">
        <f t="shared" si="6"/>
        <v/>
      </c>
      <c r="W2838" s="267" t="str">
        <f t="shared" si="8"/>
        <v/>
      </c>
      <c r="X2838" s="264" t="str">
        <f t="shared" si="7"/>
        <v/>
      </c>
    </row>
    <row r="2839" ht="15.75" customHeight="1">
      <c r="A2839" s="258"/>
      <c r="B2839" s="258"/>
      <c r="C2839" s="269"/>
      <c r="D2839" s="258"/>
      <c r="E2839" s="258"/>
      <c r="F2839" s="258"/>
      <c r="G2839" s="258"/>
      <c r="H2839" s="271"/>
      <c r="I2839" s="258"/>
      <c r="J2839" s="272"/>
      <c r="K2839" s="260"/>
      <c r="L2839" s="261"/>
      <c r="M2839" s="262" t="str">
        <f t="shared" si="1"/>
        <v/>
      </c>
      <c r="N2839" s="263" t="str">
        <f t="shared" si="2"/>
        <v/>
      </c>
      <c r="O2839" s="264" t="str">
        <f t="shared" si="3"/>
        <v/>
      </c>
      <c r="P2839" s="265" t="str">
        <f>IFERROR(__xludf.DUMMYFUNCTION("IF(ISBLANK(A2839),"""",IFERROR(IF(H2839=""Sell"",VLOOKUP(9^99,FILTER({ROW(P$2:P2838),P$2:P2838},D$2:D2838=D2839),2),(VLOOKUP(9^99,FILTER({ROW(P$2:P2838),P$2:P2838},D$2:D2838=D2839),2)*VLOOKUP(9^99,FILTER({ROW(O$2:O2838),O$2:O2838},D$2:D2838=D2839),2)-N283"&amp;"9)/O2839),J2839))"),"")</f>
        <v/>
      </c>
      <c r="Q2839" s="264" t="str">
        <f>IFERROR(__xludf.DUMMYFUNCTION("IFERROR(IF(F2839=""Crypto"",B2839,(IF(ISBLANK(D2839),"""",IF(D2839=""Cash"",B2839,IF(GOOGLEFINANCE(D2839,""CURRENCY"")=""GBX"",""GBP"",GOOGLEFINANCE(D2839,""CURRENCY"")))))),B2839)"),"")</f>
        <v/>
      </c>
      <c r="R2839" s="263" t="str">
        <f>IFERROR(__xludf.DUMMYFUNCTION("IF(ISBLANK(A2839),"""",IFERROR(IF(OR(Q2839=""GPB"",Q2839=""ZAR""),IF(Q2839=Dashboard!$L$1,K2839,(K2839*GOOGLEFINANCE(""CURRENCY:""&amp;Q2839&amp;""""&amp;Dashboard!$L$1&amp;""""))/100),IF(Q2839=Dashboard!$L$1,K2839,K2839*GOOGLEFINANCE(""CURRENCY:""&amp;Q2839&amp;""""&amp;Dashboard!$"&amp;"L$1&amp;""""))),K2839))"),"")</f>
        <v/>
      </c>
      <c r="S2839" s="266" t="str">
        <f>IFERROR(__xludf.DUMMYFUNCTION("IF(ISBLANK(A2839),"""",IFERROR(IF(OR(Q2839=""GPB"",Q2839=""ZAR""),IF(Q2839=Dashboard!$L$1,M2839,(M2839*GOOGLEFINANCE(""CURRENCY:""&amp;Q2839&amp;""""&amp;Dashboard!$L$1&amp;""""))/100),IF(Q2839=Dashboard!$L$1,M2839,M2839*GOOGLEFINANCE(""CURRENCY:""&amp;Q2839&amp;""""&amp;Dashboard!$"&amp;"L$1&amp;""""))),M2839))"),"")</f>
        <v/>
      </c>
      <c r="T2839" s="264" t="str">
        <f t="shared" si="4"/>
        <v/>
      </c>
      <c r="U2839" s="264" t="str">
        <f t="shared" si="5"/>
        <v/>
      </c>
      <c r="V2839" s="264" t="str">
        <f t="shared" si="6"/>
        <v/>
      </c>
      <c r="W2839" s="267" t="str">
        <f t="shared" si="8"/>
        <v/>
      </c>
      <c r="X2839" s="264" t="str">
        <f t="shared" si="7"/>
        <v/>
      </c>
    </row>
    <row r="2840" ht="15.75" customHeight="1">
      <c r="A2840" s="258"/>
      <c r="B2840" s="258"/>
      <c r="C2840" s="269"/>
      <c r="D2840" s="258"/>
      <c r="E2840" s="258"/>
      <c r="F2840" s="258"/>
      <c r="G2840" s="258"/>
      <c r="H2840" s="271"/>
      <c r="I2840" s="258"/>
      <c r="J2840" s="272"/>
      <c r="K2840" s="260"/>
      <c r="L2840" s="261"/>
      <c r="M2840" s="262" t="str">
        <f t="shared" si="1"/>
        <v/>
      </c>
      <c r="N2840" s="263" t="str">
        <f t="shared" si="2"/>
        <v/>
      </c>
      <c r="O2840" s="264" t="str">
        <f t="shared" si="3"/>
        <v/>
      </c>
      <c r="P2840" s="265" t="str">
        <f>IFERROR(__xludf.DUMMYFUNCTION("IF(ISBLANK(A2840),"""",IFERROR(IF(H2840=""Sell"",VLOOKUP(9^99,FILTER({ROW(P$2:P2839),P$2:P2839},D$2:D2839=D2840),2),(VLOOKUP(9^99,FILTER({ROW(P$2:P2839),P$2:P2839},D$2:D2839=D2840),2)*VLOOKUP(9^99,FILTER({ROW(O$2:O2839),O$2:O2839},D$2:D2839=D2840),2)-N284"&amp;"0)/O2840),J2840))"),"")</f>
        <v/>
      </c>
      <c r="Q2840" s="264" t="str">
        <f>IFERROR(__xludf.DUMMYFUNCTION("IFERROR(IF(F2840=""Crypto"",B2840,(IF(ISBLANK(D2840),"""",IF(D2840=""Cash"",B2840,IF(GOOGLEFINANCE(D2840,""CURRENCY"")=""GBX"",""GBP"",GOOGLEFINANCE(D2840,""CURRENCY"")))))),B2840)"),"")</f>
        <v/>
      </c>
      <c r="R2840" s="263" t="str">
        <f>IFERROR(__xludf.DUMMYFUNCTION("IF(ISBLANK(A2840),"""",IFERROR(IF(OR(Q2840=""GPB"",Q2840=""ZAR""),IF(Q2840=Dashboard!$L$1,K2840,(K2840*GOOGLEFINANCE(""CURRENCY:""&amp;Q2840&amp;""""&amp;Dashboard!$L$1&amp;""""))/100),IF(Q2840=Dashboard!$L$1,K2840,K2840*GOOGLEFINANCE(""CURRENCY:""&amp;Q2840&amp;""""&amp;Dashboard!$"&amp;"L$1&amp;""""))),K2840))"),"")</f>
        <v/>
      </c>
      <c r="S2840" s="266" t="str">
        <f>IFERROR(__xludf.DUMMYFUNCTION("IF(ISBLANK(A2840),"""",IFERROR(IF(OR(Q2840=""GPB"",Q2840=""ZAR""),IF(Q2840=Dashboard!$L$1,M2840,(M2840*GOOGLEFINANCE(""CURRENCY:""&amp;Q2840&amp;""""&amp;Dashboard!$L$1&amp;""""))/100),IF(Q2840=Dashboard!$L$1,M2840,M2840*GOOGLEFINANCE(""CURRENCY:""&amp;Q2840&amp;""""&amp;Dashboard!$"&amp;"L$1&amp;""""))),M2840))"),"")</f>
        <v/>
      </c>
      <c r="T2840" s="264" t="str">
        <f t="shared" si="4"/>
        <v/>
      </c>
      <c r="U2840" s="264" t="str">
        <f t="shared" si="5"/>
        <v/>
      </c>
      <c r="V2840" s="264" t="str">
        <f t="shared" si="6"/>
        <v/>
      </c>
      <c r="W2840" s="267" t="str">
        <f t="shared" si="8"/>
        <v/>
      </c>
      <c r="X2840" s="264" t="str">
        <f t="shared" si="7"/>
        <v/>
      </c>
    </row>
    <row r="2841" ht="15.75" customHeight="1">
      <c r="A2841" s="258"/>
      <c r="B2841" s="258"/>
      <c r="C2841" s="269"/>
      <c r="D2841" s="258"/>
      <c r="E2841" s="258"/>
      <c r="F2841" s="258"/>
      <c r="G2841" s="258"/>
      <c r="H2841" s="271"/>
      <c r="I2841" s="258"/>
      <c r="J2841" s="272"/>
      <c r="K2841" s="260"/>
      <c r="L2841" s="261"/>
      <c r="M2841" s="262" t="str">
        <f t="shared" si="1"/>
        <v/>
      </c>
      <c r="N2841" s="263" t="str">
        <f t="shared" si="2"/>
        <v/>
      </c>
      <c r="O2841" s="264" t="str">
        <f t="shared" si="3"/>
        <v/>
      </c>
      <c r="P2841" s="265" t="str">
        <f>IFERROR(__xludf.DUMMYFUNCTION("IF(ISBLANK(A2841),"""",IFERROR(IF(H2841=""Sell"",VLOOKUP(9^99,FILTER({ROW(P$2:P2840),P$2:P2840},D$2:D2840=D2841),2),(VLOOKUP(9^99,FILTER({ROW(P$2:P2840),P$2:P2840},D$2:D2840=D2841),2)*VLOOKUP(9^99,FILTER({ROW(O$2:O2840),O$2:O2840},D$2:D2840=D2841),2)-N284"&amp;"1)/O2841),J2841))"),"")</f>
        <v/>
      </c>
      <c r="Q2841" s="264" t="str">
        <f>IFERROR(__xludf.DUMMYFUNCTION("IFERROR(IF(F2841=""Crypto"",B2841,(IF(ISBLANK(D2841),"""",IF(D2841=""Cash"",B2841,IF(GOOGLEFINANCE(D2841,""CURRENCY"")=""GBX"",""GBP"",GOOGLEFINANCE(D2841,""CURRENCY"")))))),B2841)"),"")</f>
        <v/>
      </c>
      <c r="R2841" s="263" t="str">
        <f>IFERROR(__xludf.DUMMYFUNCTION("IF(ISBLANK(A2841),"""",IFERROR(IF(OR(Q2841=""GPB"",Q2841=""ZAR""),IF(Q2841=Dashboard!$L$1,K2841,(K2841*GOOGLEFINANCE(""CURRENCY:""&amp;Q2841&amp;""""&amp;Dashboard!$L$1&amp;""""))/100),IF(Q2841=Dashboard!$L$1,K2841,K2841*GOOGLEFINANCE(""CURRENCY:""&amp;Q2841&amp;""""&amp;Dashboard!$"&amp;"L$1&amp;""""))),K2841))"),"")</f>
        <v/>
      </c>
      <c r="S2841" s="266" t="str">
        <f>IFERROR(__xludf.DUMMYFUNCTION("IF(ISBLANK(A2841),"""",IFERROR(IF(OR(Q2841=""GPB"",Q2841=""ZAR""),IF(Q2841=Dashboard!$L$1,M2841,(M2841*GOOGLEFINANCE(""CURRENCY:""&amp;Q2841&amp;""""&amp;Dashboard!$L$1&amp;""""))/100),IF(Q2841=Dashboard!$L$1,M2841,M2841*GOOGLEFINANCE(""CURRENCY:""&amp;Q2841&amp;""""&amp;Dashboard!$"&amp;"L$1&amp;""""))),M2841))"),"")</f>
        <v/>
      </c>
      <c r="T2841" s="264" t="str">
        <f t="shared" si="4"/>
        <v/>
      </c>
      <c r="U2841" s="264" t="str">
        <f t="shared" si="5"/>
        <v/>
      </c>
      <c r="V2841" s="264" t="str">
        <f t="shared" si="6"/>
        <v/>
      </c>
      <c r="W2841" s="267" t="str">
        <f t="shared" si="8"/>
        <v/>
      </c>
      <c r="X2841" s="264" t="str">
        <f t="shared" si="7"/>
        <v/>
      </c>
    </row>
    <row r="2842" ht="15.75" customHeight="1">
      <c r="A2842" s="258"/>
      <c r="B2842" s="258"/>
      <c r="C2842" s="269"/>
      <c r="D2842" s="258"/>
      <c r="E2842" s="258"/>
      <c r="F2842" s="258"/>
      <c r="G2842" s="258"/>
      <c r="H2842" s="271"/>
      <c r="I2842" s="258"/>
      <c r="J2842" s="272"/>
      <c r="K2842" s="260"/>
      <c r="L2842" s="261"/>
      <c r="M2842" s="262" t="str">
        <f t="shared" si="1"/>
        <v/>
      </c>
      <c r="N2842" s="263" t="str">
        <f t="shared" si="2"/>
        <v/>
      </c>
      <c r="O2842" s="264" t="str">
        <f t="shared" si="3"/>
        <v/>
      </c>
      <c r="P2842" s="265" t="str">
        <f>IFERROR(__xludf.DUMMYFUNCTION("IF(ISBLANK(A2842),"""",IFERROR(IF(H2842=""Sell"",VLOOKUP(9^99,FILTER({ROW(P$2:P2841),P$2:P2841},D$2:D2841=D2842),2),(VLOOKUP(9^99,FILTER({ROW(P$2:P2841),P$2:P2841},D$2:D2841=D2842),2)*VLOOKUP(9^99,FILTER({ROW(O$2:O2841),O$2:O2841},D$2:D2841=D2842),2)-N284"&amp;"2)/O2842),J2842))"),"")</f>
        <v/>
      </c>
      <c r="Q2842" s="264" t="str">
        <f>IFERROR(__xludf.DUMMYFUNCTION("IFERROR(IF(F2842=""Crypto"",B2842,(IF(ISBLANK(D2842),"""",IF(D2842=""Cash"",B2842,IF(GOOGLEFINANCE(D2842,""CURRENCY"")=""GBX"",""GBP"",GOOGLEFINANCE(D2842,""CURRENCY"")))))),B2842)"),"")</f>
        <v/>
      </c>
      <c r="R2842" s="263" t="str">
        <f>IFERROR(__xludf.DUMMYFUNCTION("IF(ISBLANK(A2842),"""",IFERROR(IF(OR(Q2842=""GPB"",Q2842=""ZAR""),IF(Q2842=Dashboard!$L$1,K2842,(K2842*GOOGLEFINANCE(""CURRENCY:""&amp;Q2842&amp;""""&amp;Dashboard!$L$1&amp;""""))/100),IF(Q2842=Dashboard!$L$1,K2842,K2842*GOOGLEFINANCE(""CURRENCY:""&amp;Q2842&amp;""""&amp;Dashboard!$"&amp;"L$1&amp;""""))),K2842))"),"")</f>
        <v/>
      </c>
      <c r="S2842" s="266" t="str">
        <f>IFERROR(__xludf.DUMMYFUNCTION("IF(ISBLANK(A2842),"""",IFERROR(IF(OR(Q2842=""GPB"",Q2842=""ZAR""),IF(Q2842=Dashboard!$L$1,M2842,(M2842*GOOGLEFINANCE(""CURRENCY:""&amp;Q2842&amp;""""&amp;Dashboard!$L$1&amp;""""))/100),IF(Q2842=Dashboard!$L$1,M2842,M2842*GOOGLEFINANCE(""CURRENCY:""&amp;Q2842&amp;""""&amp;Dashboard!$"&amp;"L$1&amp;""""))),M2842))"),"")</f>
        <v/>
      </c>
      <c r="T2842" s="264" t="str">
        <f t="shared" si="4"/>
        <v/>
      </c>
      <c r="U2842" s="264" t="str">
        <f t="shared" si="5"/>
        <v/>
      </c>
      <c r="V2842" s="264" t="str">
        <f t="shared" si="6"/>
        <v/>
      </c>
      <c r="W2842" s="267" t="str">
        <f t="shared" si="8"/>
        <v/>
      </c>
      <c r="X2842" s="264" t="str">
        <f t="shared" si="7"/>
        <v/>
      </c>
    </row>
    <row r="2843" ht="15.75" customHeight="1">
      <c r="A2843" s="258"/>
      <c r="B2843" s="258"/>
      <c r="C2843" s="269"/>
      <c r="D2843" s="258"/>
      <c r="E2843" s="258"/>
      <c r="F2843" s="258"/>
      <c r="G2843" s="258"/>
      <c r="H2843" s="271"/>
      <c r="I2843" s="258"/>
      <c r="J2843" s="272"/>
      <c r="K2843" s="260"/>
      <c r="L2843" s="261"/>
      <c r="M2843" s="262" t="str">
        <f t="shared" si="1"/>
        <v/>
      </c>
      <c r="N2843" s="263" t="str">
        <f t="shared" si="2"/>
        <v/>
      </c>
      <c r="O2843" s="264" t="str">
        <f t="shared" si="3"/>
        <v/>
      </c>
      <c r="P2843" s="265" t="str">
        <f>IFERROR(__xludf.DUMMYFUNCTION("IF(ISBLANK(A2843),"""",IFERROR(IF(H2843=""Sell"",VLOOKUP(9^99,FILTER({ROW(P$2:P2842),P$2:P2842},D$2:D2842=D2843),2),(VLOOKUP(9^99,FILTER({ROW(P$2:P2842),P$2:P2842},D$2:D2842=D2843),2)*VLOOKUP(9^99,FILTER({ROW(O$2:O2842),O$2:O2842},D$2:D2842=D2843),2)-N284"&amp;"3)/O2843),J2843))"),"")</f>
        <v/>
      </c>
      <c r="Q2843" s="264" t="str">
        <f>IFERROR(__xludf.DUMMYFUNCTION("IFERROR(IF(F2843=""Crypto"",B2843,(IF(ISBLANK(D2843),"""",IF(D2843=""Cash"",B2843,IF(GOOGLEFINANCE(D2843,""CURRENCY"")=""GBX"",""GBP"",GOOGLEFINANCE(D2843,""CURRENCY"")))))),B2843)"),"")</f>
        <v/>
      </c>
      <c r="R2843" s="263" t="str">
        <f>IFERROR(__xludf.DUMMYFUNCTION("IF(ISBLANK(A2843),"""",IFERROR(IF(OR(Q2843=""GPB"",Q2843=""ZAR""),IF(Q2843=Dashboard!$L$1,K2843,(K2843*GOOGLEFINANCE(""CURRENCY:""&amp;Q2843&amp;""""&amp;Dashboard!$L$1&amp;""""))/100),IF(Q2843=Dashboard!$L$1,K2843,K2843*GOOGLEFINANCE(""CURRENCY:""&amp;Q2843&amp;""""&amp;Dashboard!$"&amp;"L$1&amp;""""))),K2843))"),"")</f>
        <v/>
      </c>
      <c r="S2843" s="266" t="str">
        <f>IFERROR(__xludf.DUMMYFUNCTION("IF(ISBLANK(A2843),"""",IFERROR(IF(OR(Q2843=""GPB"",Q2843=""ZAR""),IF(Q2843=Dashboard!$L$1,M2843,(M2843*GOOGLEFINANCE(""CURRENCY:""&amp;Q2843&amp;""""&amp;Dashboard!$L$1&amp;""""))/100),IF(Q2843=Dashboard!$L$1,M2843,M2843*GOOGLEFINANCE(""CURRENCY:""&amp;Q2843&amp;""""&amp;Dashboard!$"&amp;"L$1&amp;""""))),M2843))"),"")</f>
        <v/>
      </c>
      <c r="T2843" s="264" t="str">
        <f t="shared" si="4"/>
        <v/>
      </c>
      <c r="U2843" s="264" t="str">
        <f t="shared" si="5"/>
        <v/>
      </c>
      <c r="V2843" s="264" t="str">
        <f t="shared" si="6"/>
        <v/>
      </c>
      <c r="W2843" s="267" t="str">
        <f t="shared" si="8"/>
        <v/>
      </c>
      <c r="X2843" s="264" t="str">
        <f t="shared" si="7"/>
        <v/>
      </c>
    </row>
    <row r="2844" ht="15.75" customHeight="1">
      <c r="A2844" s="258"/>
      <c r="B2844" s="258"/>
      <c r="C2844" s="269"/>
      <c r="D2844" s="258"/>
      <c r="E2844" s="258"/>
      <c r="F2844" s="258"/>
      <c r="G2844" s="258"/>
      <c r="H2844" s="271"/>
      <c r="I2844" s="258"/>
      <c r="J2844" s="272"/>
      <c r="K2844" s="260"/>
      <c r="L2844" s="261"/>
      <c r="M2844" s="262" t="str">
        <f t="shared" si="1"/>
        <v/>
      </c>
      <c r="N2844" s="263" t="str">
        <f t="shared" si="2"/>
        <v/>
      </c>
      <c r="O2844" s="264" t="str">
        <f t="shared" si="3"/>
        <v/>
      </c>
      <c r="P2844" s="265" t="str">
        <f>IFERROR(__xludf.DUMMYFUNCTION("IF(ISBLANK(A2844),"""",IFERROR(IF(H2844=""Sell"",VLOOKUP(9^99,FILTER({ROW(P$2:P2843),P$2:P2843},D$2:D2843=D2844),2),(VLOOKUP(9^99,FILTER({ROW(P$2:P2843),P$2:P2843},D$2:D2843=D2844),2)*VLOOKUP(9^99,FILTER({ROW(O$2:O2843),O$2:O2843},D$2:D2843=D2844),2)-N284"&amp;"4)/O2844),J2844))"),"")</f>
        <v/>
      </c>
      <c r="Q2844" s="264" t="str">
        <f>IFERROR(__xludf.DUMMYFUNCTION("IFERROR(IF(F2844=""Crypto"",B2844,(IF(ISBLANK(D2844),"""",IF(D2844=""Cash"",B2844,IF(GOOGLEFINANCE(D2844,""CURRENCY"")=""GBX"",""GBP"",GOOGLEFINANCE(D2844,""CURRENCY"")))))),B2844)"),"")</f>
        <v/>
      </c>
      <c r="R2844" s="263" t="str">
        <f>IFERROR(__xludf.DUMMYFUNCTION("IF(ISBLANK(A2844),"""",IFERROR(IF(OR(Q2844=""GPB"",Q2844=""ZAR""),IF(Q2844=Dashboard!$L$1,K2844,(K2844*GOOGLEFINANCE(""CURRENCY:""&amp;Q2844&amp;""""&amp;Dashboard!$L$1&amp;""""))/100),IF(Q2844=Dashboard!$L$1,K2844,K2844*GOOGLEFINANCE(""CURRENCY:""&amp;Q2844&amp;""""&amp;Dashboard!$"&amp;"L$1&amp;""""))),K2844))"),"")</f>
        <v/>
      </c>
      <c r="S2844" s="266" t="str">
        <f>IFERROR(__xludf.DUMMYFUNCTION("IF(ISBLANK(A2844),"""",IFERROR(IF(OR(Q2844=""GPB"",Q2844=""ZAR""),IF(Q2844=Dashboard!$L$1,M2844,(M2844*GOOGLEFINANCE(""CURRENCY:""&amp;Q2844&amp;""""&amp;Dashboard!$L$1&amp;""""))/100),IF(Q2844=Dashboard!$L$1,M2844,M2844*GOOGLEFINANCE(""CURRENCY:""&amp;Q2844&amp;""""&amp;Dashboard!$"&amp;"L$1&amp;""""))),M2844))"),"")</f>
        <v/>
      </c>
      <c r="T2844" s="264" t="str">
        <f t="shared" si="4"/>
        <v/>
      </c>
      <c r="U2844" s="264" t="str">
        <f t="shared" si="5"/>
        <v/>
      </c>
      <c r="V2844" s="264" t="str">
        <f t="shared" si="6"/>
        <v/>
      </c>
      <c r="W2844" s="267" t="str">
        <f t="shared" si="8"/>
        <v/>
      </c>
      <c r="X2844" s="264" t="str">
        <f t="shared" si="7"/>
        <v/>
      </c>
    </row>
    <row r="2845" ht="15.75" customHeight="1">
      <c r="A2845" s="258"/>
      <c r="B2845" s="258"/>
      <c r="C2845" s="269"/>
      <c r="D2845" s="258"/>
      <c r="E2845" s="258"/>
      <c r="F2845" s="258"/>
      <c r="G2845" s="258"/>
      <c r="H2845" s="271"/>
      <c r="I2845" s="258"/>
      <c r="J2845" s="272"/>
      <c r="K2845" s="260"/>
      <c r="L2845" s="261"/>
      <c r="M2845" s="262" t="str">
        <f t="shared" si="1"/>
        <v/>
      </c>
      <c r="N2845" s="263" t="str">
        <f t="shared" si="2"/>
        <v/>
      </c>
      <c r="O2845" s="264" t="str">
        <f t="shared" si="3"/>
        <v/>
      </c>
      <c r="P2845" s="265" t="str">
        <f>IFERROR(__xludf.DUMMYFUNCTION("IF(ISBLANK(A2845),"""",IFERROR(IF(H2845=""Sell"",VLOOKUP(9^99,FILTER({ROW(P$2:P2844),P$2:P2844},D$2:D2844=D2845),2),(VLOOKUP(9^99,FILTER({ROW(P$2:P2844),P$2:P2844},D$2:D2844=D2845),2)*VLOOKUP(9^99,FILTER({ROW(O$2:O2844),O$2:O2844},D$2:D2844=D2845),2)-N284"&amp;"5)/O2845),J2845))"),"")</f>
        <v/>
      </c>
      <c r="Q2845" s="264" t="str">
        <f>IFERROR(__xludf.DUMMYFUNCTION("IFERROR(IF(F2845=""Crypto"",B2845,(IF(ISBLANK(D2845),"""",IF(D2845=""Cash"",B2845,IF(GOOGLEFINANCE(D2845,""CURRENCY"")=""GBX"",""GBP"",GOOGLEFINANCE(D2845,""CURRENCY"")))))),B2845)"),"")</f>
        <v/>
      </c>
      <c r="R2845" s="263" t="str">
        <f>IFERROR(__xludf.DUMMYFUNCTION("IF(ISBLANK(A2845),"""",IFERROR(IF(OR(Q2845=""GPB"",Q2845=""ZAR""),IF(Q2845=Dashboard!$L$1,K2845,(K2845*GOOGLEFINANCE(""CURRENCY:""&amp;Q2845&amp;""""&amp;Dashboard!$L$1&amp;""""))/100),IF(Q2845=Dashboard!$L$1,K2845,K2845*GOOGLEFINANCE(""CURRENCY:""&amp;Q2845&amp;""""&amp;Dashboard!$"&amp;"L$1&amp;""""))),K2845))"),"")</f>
        <v/>
      </c>
      <c r="S2845" s="266" t="str">
        <f>IFERROR(__xludf.DUMMYFUNCTION("IF(ISBLANK(A2845),"""",IFERROR(IF(OR(Q2845=""GPB"",Q2845=""ZAR""),IF(Q2845=Dashboard!$L$1,M2845,(M2845*GOOGLEFINANCE(""CURRENCY:""&amp;Q2845&amp;""""&amp;Dashboard!$L$1&amp;""""))/100),IF(Q2845=Dashboard!$L$1,M2845,M2845*GOOGLEFINANCE(""CURRENCY:""&amp;Q2845&amp;""""&amp;Dashboard!$"&amp;"L$1&amp;""""))),M2845))"),"")</f>
        <v/>
      </c>
      <c r="T2845" s="264" t="str">
        <f t="shared" si="4"/>
        <v/>
      </c>
      <c r="U2845" s="264" t="str">
        <f t="shared" si="5"/>
        <v/>
      </c>
      <c r="V2845" s="264" t="str">
        <f t="shared" si="6"/>
        <v/>
      </c>
      <c r="W2845" s="267" t="str">
        <f t="shared" si="8"/>
        <v/>
      </c>
      <c r="X2845" s="264" t="str">
        <f t="shared" si="7"/>
        <v/>
      </c>
    </row>
    <row r="2846" ht="15.75" customHeight="1">
      <c r="A2846" s="258"/>
      <c r="B2846" s="258"/>
      <c r="C2846" s="269"/>
      <c r="D2846" s="258"/>
      <c r="E2846" s="258"/>
      <c r="F2846" s="258"/>
      <c r="G2846" s="258"/>
      <c r="H2846" s="271"/>
      <c r="I2846" s="258"/>
      <c r="J2846" s="272"/>
      <c r="K2846" s="260"/>
      <c r="L2846" s="261"/>
      <c r="M2846" s="262" t="str">
        <f t="shared" si="1"/>
        <v/>
      </c>
      <c r="N2846" s="263" t="str">
        <f t="shared" si="2"/>
        <v/>
      </c>
      <c r="O2846" s="264" t="str">
        <f t="shared" si="3"/>
        <v/>
      </c>
      <c r="P2846" s="265" t="str">
        <f>IFERROR(__xludf.DUMMYFUNCTION("IF(ISBLANK(A2846),"""",IFERROR(IF(H2846=""Sell"",VLOOKUP(9^99,FILTER({ROW(P$2:P2845),P$2:P2845},D$2:D2845=D2846),2),(VLOOKUP(9^99,FILTER({ROW(P$2:P2845),P$2:P2845},D$2:D2845=D2846),2)*VLOOKUP(9^99,FILTER({ROW(O$2:O2845),O$2:O2845},D$2:D2845=D2846),2)-N284"&amp;"6)/O2846),J2846))"),"")</f>
        <v/>
      </c>
      <c r="Q2846" s="264" t="str">
        <f>IFERROR(__xludf.DUMMYFUNCTION("IFERROR(IF(F2846=""Crypto"",B2846,(IF(ISBLANK(D2846),"""",IF(D2846=""Cash"",B2846,IF(GOOGLEFINANCE(D2846,""CURRENCY"")=""GBX"",""GBP"",GOOGLEFINANCE(D2846,""CURRENCY"")))))),B2846)"),"")</f>
        <v/>
      </c>
      <c r="R2846" s="263" t="str">
        <f>IFERROR(__xludf.DUMMYFUNCTION("IF(ISBLANK(A2846),"""",IFERROR(IF(OR(Q2846=""GPB"",Q2846=""ZAR""),IF(Q2846=Dashboard!$L$1,K2846,(K2846*GOOGLEFINANCE(""CURRENCY:""&amp;Q2846&amp;""""&amp;Dashboard!$L$1&amp;""""))/100),IF(Q2846=Dashboard!$L$1,K2846,K2846*GOOGLEFINANCE(""CURRENCY:""&amp;Q2846&amp;""""&amp;Dashboard!$"&amp;"L$1&amp;""""))),K2846))"),"")</f>
        <v/>
      </c>
      <c r="S2846" s="266" t="str">
        <f>IFERROR(__xludf.DUMMYFUNCTION("IF(ISBLANK(A2846),"""",IFERROR(IF(OR(Q2846=""GPB"",Q2846=""ZAR""),IF(Q2846=Dashboard!$L$1,M2846,(M2846*GOOGLEFINANCE(""CURRENCY:""&amp;Q2846&amp;""""&amp;Dashboard!$L$1&amp;""""))/100),IF(Q2846=Dashboard!$L$1,M2846,M2846*GOOGLEFINANCE(""CURRENCY:""&amp;Q2846&amp;""""&amp;Dashboard!$"&amp;"L$1&amp;""""))),M2846))"),"")</f>
        <v/>
      </c>
      <c r="T2846" s="264" t="str">
        <f t="shared" si="4"/>
        <v/>
      </c>
      <c r="U2846" s="264" t="str">
        <f t="shared" si="5"/>
        <v/>
      </c>
      <c r="V2846" s="264" t="str">
        <f t="shared" si="6"/>
        <v/>
      </c>
      <c r="W2846" s="267" t="str">
        <f t="shared" si="8"/>
        <v/>
      </c>
      <c r="X2846" s="264" t="str">
        <f t="shared" si="7"/>
        <v/>
      </c>
    </row>
    <row r="2847" ht="15.75" customHeight="1">
      <c r="A2847" s="258"/>
      <c r="B2847" s="258"/>
      <c r="C2847" s="269"/>
      <c r="D2847" s="258"/>
      <c r="E2847" s="258"/>
      <c r="F2847" s="258"/>
      <c r="G2847" s="258"/>
      <c r="H2847" s="271"/>
      <c r="I2847" s="258"/>
      <c r="J2847" s="272"/>
      <c r="K2847" s="260"/>
      <c r="L2847" s="261"/>
      <c r="M2847" s="262" t="str">
        <f t="shared" si="1"/>
        <v/>
      </c>
      <c r="N2847" s="263" t="str">
        <f t="shared" si="2"/>
        <v/>
      </c>
      <c r="O2847" s="264" t="str">
        <f t="shared" si="3"/>
        <v/>
      </c>
      <c r="P2847" s="265" t="str">
        <f>IFERROR(__xludf.DUMMYFUNCTION("IF(ISBLANK(A2847),"""",IFERROR(IF(H2847=""Sell"",VLOOKUP(9^99,FILTER({ROW(P$2:P2846),P$2:P2846},D$2:D2846=D2847),2),(VLOOKUP(9^99,FILTER({ROW(P$2:P2846),P$2:P2846},D$2:D2846=D2847),2)*VLOOKUP(9^99,FILTER({ROW(O$2:O2846),O$2:O2846},D$2:D2846=D2847),2)-N284"&amp;"7)/O2847),J2847))"),"")</f>
        <v/>
      </c>
      <c r="Q2847" s="264" t="str">
        <f>IFERROR(__xludf.DUMMYFUNCTION("IFERROR(IF(F2847=""Crypto"",B2847,(IF(ISBLANK(D2847),"""",IF(D2847=""Cash"",B2847,IF(GOOGLEFINANCE(D2847,""CURRENCY"")=""GBX"",""GBP"",GOOGLEFINANCE(D2847,""CURRENCY"")))))),B2847)"),"")</f>
        <v/>
      </c>
      <c r="R2847" s="263" t="str">
        <f>IFERROR(__xludf.DUMMYFUNCTION("IF(ISBLANK(A2847),"""",IFERROR(IF(OR(Q2847=""GPB"",Q2847=""ZAR""),IF(Q2847=Dashboard!$L$1,K2847,(K2847*GOOGLEFINANCE(""CURRENCY:""&amp;Q2847&amp;""""&amp;Dashboard!$L$1&amp;""""))/100),IF(Q2847=Dashboard!$L$1,K2847,K2847*GOOGLEFINANCE(""CURRENCY:""&amp;Q2847&amp;""""&amp;Dashboard!$"&amp;"L$1&amp;""""))),K2847))"),"")</f>
        <v/>
      </c>
      <c r="S2847" s="266" t="str">
        <f>IFERROR(__xludf.DUMMYFUNCTION("IF(ISBLANK(A2847),"""",IFERROR(IF(OR(Q2847=""GPB"",Q2847=""ZAR""),IF(Q2847=Dashboard!$L$1,M2847,(M2847*GOOGLEFINANCE(""CURRENCY:""&amp;Q2847&amp;""""&amp;Dashboard!$L$1&amp;""""))/100),IF(Q2847=Dashboard!$L$1,M2847,M2847*GOOGLEFINANCE(""CURRENCY:""&amp;Q2847&amp;""""&amp;Dashboard!$"&amp;"L$1&amp;""""))),M2847))"),"")</f>
        <v/>
      </c>
      <c r="T2847" s="264" t="str">
        <f t="shared" si="4"/>
        <v/>
      </c>
      <c r="U2847" s="264" t="str">
        <f t="shared" si="5"/>
        <v/>
      </c>
      <c r="V2847" s="264" t="str">
        <f t="shared" si="6"/>
        <v/>
      </c>
      <c r="W2847" s="267" t="str">
        <f t="shared" si="8"/>
        <v/>
      </c>
      <c r="X2847" s="264" t="str">
        <f t="shared" si="7"/>
        <v/>
      </c>
    </row>
    <row r="2848" ht="15.75" customHeight="1">
      <c r="A2848" s="258"/>
      <c r="B2848" s="258"/>
      <c r="C2848" s="269"/>
      <c r="D2848" s="258"/>
      <c r="E2848" s="258"/>
      <c r="F2848" s="258"/>
      <c r="G2848" s="258"/>
      <c r="H2848" s="271"/>
      <c r="I2848" s="258"/>
      <c r="J2848" s="272"/>
      <c r="K2848" s="260"/>
      <c r="L2848" s="261"/>
      <c r="M2848" s="262" t="str">
        <f t="shared" si="1"/>
        <v/>
      </c>
      <c r="N2848" s="263" t="str">
        <f t="shared" si="2"/>
        <v/>
      </c>
      <c r="O2848" s="264" t="str">
        <f t="shared" si="3"/>
        <v/>
      </c>
      <c r="P2848" s="265" t="str">
        <f>IFERROR(__xludf.DUMMYFUNCTION("IF(ISBLANK(A2848),"""",IFERROR(IF(H2848=""Sell"",VLOOKUP(9^99,FILTER({ROW(P$2:P2847),P$2:P2847},D$2:D2847=D2848),2),(VLOOKUP(9^99,FILTER({ROW(P$2:P2847),P$2:P2847},D$2:D2847=D2848),2)*VLOOKUP(9^99,FILTER({ROW(O$2:O2847),O$2:O2847},D$2:D2847=D2848),2)-N284"&amp;"8)/O2848),J2848))"),"")</f>
        <v/>
      </c>
      <c r="Q2848" s="264" t="str">
        <f>IFERROR(__xludf.DUMMYFUNCTION("IFERROR(IF(F2848=""Crypto"",B2848,(IF(ISBLANK(D2848),"""",IF(D2848=""Cash"",B2848,IF(GOOGLEFINANCE(D2848,""CURRENCY"")=""GBX"",""GBP"",GOOGLEFINANCE(D2848,""CURRENCY"")))))),B2848)"),"")</f>
        <v/>
      </c>
      <c r="R2848" s="263" t="str">
        <f>IFERROR(__xludf.DUMMYFUNCTION("IF(ISBLANK(A2848),"""",IFERROR(IF(OR(Q2848=""GPB"",Q2848=""ZAR""),IF(Q2848=Dashboard!$L$1,K2848,(K2848*GOOGLEFINANCE(""CURRENCY:""&amp;Q2848&amp;""""&amp;Dashboard!$L$1&amp;""""))/100),IF(Q2848=Dashboard!$L$1,K2848,K2848*GOOGLEFINANCE(""CURRENCY:""&amp;Q2848&amp;""""&amp;Dashboard!$"&amp;"L$1&amp;""""))),K2848))"),"")</f>
        <v/>
      </c>
      <c r="S2848" s="266" t="str">
        <f>IFERROR(__xludf.DUMMYFUNCTION("IF(ISBLANK(A2848),"""",IFERROR(IF(OR(Q2848=""GPB"",Q2848=""ZAR""),IF(Q2848=Dashboard!$L$1,M2848,(M2848*GOOGLEFINANCE(""CURRENCY:""&amp;Q2848&amp;""""&amp;Dashboard!$L$1&amp;""""))/100),IF(Q2848=Dashboard!$L$1,M2848,M2848*GOOGLEFINANCE(""CURRENCY:""&amp;Q2848&amp;""""&amp;Dashboard!$"&amp;"L$1&amp;""""))),M2848))"),"")</f>
        <v/>
      </c>
      <c r="T2848" s="264" t="str">
        <f t="shared" si="4"/>
        <v/>
      </c>
      <c r="U2848" s="264" t="str">
        <f t="shared" si="5"/>
        <v/>
      </c>
      <c r="V2848" s="264" t="str">
        <f t="shared" si="6"/>
        <v/>
      </c>
      <c r="W2848" s="267" t="str">
        <f t="shared" si="8"/>
        <v/>
      </c>
      <c r="X2848" s="264" t="str">
        <f t="shared" si="7"/>
        <v/>
      </c>
    </row>
    <row r="2849" ht="15.75" customHeight="1">
      <c r="A2849" s="258"/>
      <c r="B2849" s="258"/>
      <c r="C2849" s="269"/>
      <c r="D2849" s="258"/>
      <c r="E2849" s="258"/>
      <c r="F2849" s="258"/>
      <c r="G2849" s="258"/>
      <c r="H2849" s="271"/>
      <c r="I2849" s="258"/>
      <c r="J2849" s="272"/>
      <c r="K2849" s="260"/>
      <c r="L2849" s="261"/>
      <c r="M2849" s="262" t="str">
        <f t="shared" si="1"/>
        <v/>
      </c>
      <c r="N2849" s="263" t="str">
        <f t="shared" si="2"/>
        <v/>
      </c>
      <c r="O2849" s="264" t="str">
        <f t="shared" si="3"/>
        <v/>
      </c>
      <c r="P2849" s="265" t="str">
        <f>IFERROR(__xludf.DUMMYFUNCTION("IF(ISBLANK(A2849),"""",IFERROR(IF(H2849=""Sell"",VLOOKUP(9^99,FILTER({ROW(P$2:P2848),P$2:P2848},D$2:D2848=D2849),2),(VLOOKUP(9^99,FILTER({ROW(P$2:P2848),P$2:P2848},D$2:D2848=D2849),2)*VLOOKUP(9^99,FILTER({ROW(O$2:O2848),O$2:O2848},D$2:D2848=D2849),2)-N284"&amp;"9)/O2849),J2849))"),"")</f>
        <v/>
      </c>
      <c r="Q2849" s="264" t="str">
        <f>IFERROR(__xludf.DUMMYFUNCTION("IFERROR(IF(F2849=""Crypto"",B2849,(IF(ISBLANK(D2849),"""",IF(D2849=""Cash"",B2849,IF(GOOGLEFINANCE(D2849,""CURRENCY"")=""GBX"",""GBP"",GOOGLEFINANCE(D2849,""CURRENCY"")))))),B2849)"),"")</f>
        <v/>
      </c>
      <c r="R2849" s="263" t="str">
        <f>IFERROR(__xludf.DUMMYFUNCTION("IF(ISBLANK(A2849),"""",IFERROR(IF(OR(Q2849=""GPB"",Q2849=""ZAR""),IF(Q2849=Dashboard!$L$1,K2849,(K2849*GOOGLEFINANCE(""CURRENCY:""&amp;Q2849&amp;""""&amp;Dashboard!$L$1&amp;""""))/100),IF(Q2849=Dashboard!$L$1,K2849,K2849*GOOGLEFINANCE(""CURRENCY:""&amp;Q2849&amp;""""&amp;Dashboard!$"&amp;"L$1&amp;""""))),K2849))"),"")</f>
        <v/>
      </c>
      <c r="S2849" s="266" t="str">
        <f>IFERROR(__xludf.DUMMYFUNCTION("IF(ISBLANK(A2849),"""",IFERROR(IF(OR(Q2849=""GPB"",Q2849=""ZAR""),IF(Q2849=Dashboard!$L$1,M2849,(M2849*GOOGLEFINANCE(""CURRENCY:""&amp;Q2849&amp;""""&amp;Dashboard!$L$1&amp;""""))/100),IF(Q2849=Dashboard!$L$1,M2849,M2849*GOOGLEFINANCE(""CURRENCY:""&amp;Q2849&amp;""""&amp;Dashboard!$"&amp;"L$1&amp;""""))),M2849))"),"")</f>
        <v/>
      </c>
      <c r="T2849" s="264" t="str">
        <f t="shared" si="4"/>
        <v/>
      </c>
      <c r="U2849" s="264" t="str">
        <f t="shared" si="5"/>
        <v/>
      </c>
      <c r="V2849" s="264" t="str">
        <f t="shared" si="6"/>
        <v/>
      </c>
      <c r="W2849" s="267" t="str">
        <f t="shared" si="8"/>
        <v/>
      </c>
      <c r="X2849" s="264" t="str">
        <f t="shared" si="7"/>
        <v/>
      </c>
    </row>
    <row r="2850" ht="15.75" customHeight="1">
      <c r="A2850" s="258"/>
      <c r="B2850" s="258"/>
      <c r="C2850" s="269"/>
      <c r="D2850" s="258"/>
      <c r="E2850" s="258"/>
      <c r="F2850" s="258"/>
      <c r="G2850" s="258"/>
      <c r="H2850" s="271"/>
      <c r="I2850" s="258"/>
      <c r="J2850" s="272"/>
      <c r="K2850" s="260"/>
      <c r="L2850" s="261"/>
      <c r="M2850" s="262" t="str">
        <f t="shared" si="1"/>
        <v/>
      </c>
      <c r="N2850" s="263" t="str">
        <f t="shared" si="2"/>
        <v/>
      </c>
      <c r="O2850" s="264" t="str">
        <f t="shared" si="3"/>
        <v/>
      </c>
      <c r="P2850" s="265" t="str">
        <f>IFERROR(__xludf.DUMMYFUNCTION("IF(ISBLANK(A2850),"""",IFERROR(IF(H2850=""Sell"",VLOOKUP(9^99,FILTER({ROW(P$2:P2849),P$2:P2849},D$2:D2849=D2850),2),(VLOOKUP(9^99,FILTER({ROW(P$2:P2849),P$2:P2849},D$2:D2849=D2850),2)*VLOOKUP(9^99,FILTER({ROW(O$2:O2849),O$2:O2849},D$2:D2849=D2850),2)-N285"&amp;"0)/O2850),J2850))"),"")</f>
        <v/>
      </c>
      <c r="Q2850" s="264" t="str">
        <f>IFERROR(__xludf.DUMMYFUNCTION("IFERROR(IF(F2850=""Crypto"",B2850,(IF(ISBLANK(D2850),"""",IF(D2850=""Cash"",B2850,IF(GOOGLEFINANCE(D2850,""CURRENCY"")=""GBX"",""GBP"",GOOGLEFINANCE(D2850,""CURRENCY"")))))),B2850)"),"")</f>
        <v/>
      </c>
      <c r="R2850" s="263" t="str">
        <f>IFERROR(__xludf.DUMMYFUNCTION("IF(ISBLANK(A2850),"""",IFERROR(IF(OR(Q2850=""GPB"",Q2850=""ZAR""),IF(Q2850=Dashboard!$L$1,K2850,(K2850*GOOGLEFINANCE(""CURRENCY:""&amp;Q2850&amp;""""&amp;Dashboard!$L$1&amp;""""))/100),IF(Q2850=Dashboard!$L$1,K2850,K2850*GOOGLEFINANCE(""CURRENCY:""&amp;Q2850&amp;""""&amp;Dashboard!$"&amp;"L$1&amp;""""))),K2850))"),"")</f>
        <v/>
      </c>
      <c r="S2850" s="266" t="str">
        <f>IFERROR(__xludf.DUMMYFUNCTION("IF(ISBLANK(A2850),"""",IFERROR(IF(OR(Q2850=""GPB"",Q2850=""ZAR""),IF(Q2850=Dashboard!$L$1,M2850,(M2850*GOOGLEFINANCE(""CURRENCY:""&amp;Q2850&amp;""""&amp;Dashboard!$L$1&amp;""""))/100),IF(Q2850=Dashboard!$L$1,M2850,M2850*GOOGLEFINANCE(""CURRENCY:""&amp;Q2850&amp;""""&amp;Dashboard!$"&amp;"L$1&amp;""""))),M2850))"),"")</f>
        <v/>
      </c>
      <c r="T2850" s="264" t="str">
        <f t="shared" si="4"/>
        <v/>
      </c>
      <c r="U2850" s="264" t="str">
        <f t="shared" si="5"/>
        <v/>
      </c>
      <c r="V2850" s="264" t="str">
        <f t="shared" si="6"/>
        <v/>
      </c>
      <c r="W2850" s="267" t="str">
        <f t="shared" si="8"/>
        <v/>
      </c>
      <c r="X2850" s="264" t="str">
        <f t="shared" si="7"/>
        <v/>
      </c>
    </row>
    <row r="2851" ht="15.75" customHeight="1">
      <c r="A2851" s="258"/>
      <c r="B2851" s="258"/>
      <c r="C2851" s="269"/>
      <c r="D2851" s="258"/>
      <c r="E2851" s="258"/>
      <c r="F2851" s="258"/>
      <c r="G2851" s="258"/>
      <c r="H2851" s="271"/>
      <c r="I2851" s="258"/>
      <c r="J2851" s="272"/>
      <c r="K2851" s="260"/>
      <c r="L2851" s="261"/>
      <c r="M2851" s="262" t="str">
        <f t="shared" si="1"/>
        <v/>
      </c>
      <c r="N2851" s="263" t="str">
        <f t="shared" si="2"/>
        <v/>
      </c>
      <c r="O2851" s="264" t="str">
        <f t="shared" si="3"/>
        <v/>
      </c>
      <c r="P2851" s="265" t="str">
        <f>IFERROR(__xludf.DUMMYFUNCTION("IF(ISBLANK(A2851),"""",IFERROR(IF(H2851=""Sell"",VLOOKUP(9^99,FILTER({ROW(P$2:P2850),P$2:P2850},D$2:D2850=D2851),2),(VLOOKUP(9^99,FILTER({ROW(P$2:P2850),P$2:P2850},D$2:D2850=D2851),2)*VLOOKUP(9^99,FILTER({ROW(O$2:O2850),O$2:O2850},D$2:D2850=D2851),2)-N285"&amp;"1)/O2851),J2851))"),"")</f>
        <v/>
      </c>
      <c r="Q2851" s="264" t="str">
        <f>IFERROR(__xludf.DUMMYFUNCTION("IFERROR(IF(F2851=""Crypto"",B2851,(IF(ISBLANK(D2851),"""",IF(D2851=""Cash"",B2851,IF(GOOGLEFINANCE(D2851,""CURRENCY"")=""GBX"",""GBP"",GOOGLEFINANCE(D2851,""CURRENCY"")))))),B2851)"),"")</f>
        <v/>
      </c>
      <c r="R2851" s="263" t="str">
        <f>IFERROR(__xludf.DUMMYFUNCTION("IF(ISBLANK(A2851),"""",IFERROR(IF(OR(Q2851=""GPB"",Q2851=""ZAR""),IF(Q2851=Dashboard!$L$1,K2851,(K2851*GOOGLEFINANCE(""CURRENCY:""&amp;Q2851&amp;""""&amp;Dashboard!$L$1&amp;""""))/100),IF(Q2851=Dashboard!$L$1,K2851,K2851*GOOGLEFINANCE(""CURRENCY:""&amp;Q2851&amp;""""&amp;Dashboard!$"&amp;"L$1&amp;""""))),K2851))"),"")</f>
        <v/>
      </c>
      <c r="S2851" s="266" t="str">
        <f>IFERROR(__xludf.DUMMYFUNCTION("IF(ISBLANK(A2851),"""",IFERROR(IF(OR(Q2851=""GPB"",Q2851=""ZAR""),IF(Q2851=Dashboard!$L$1,M2851,(M2851*GOOGLEFINANCE(""CURRENCY:""&amp;Q2851&amp;""""&amp;Dashboard!$L$1&amp;""""))/100),IF(Q2851=Dashboard!$L$1,M2851,M2851*GOOGLEFINANCE(""CURRENCY:""&amp;Q2851&amp;""""&amp;Dashboard!$"&amp;"L$1&amp;""""))),M2851))"),"")</f>
        <v/>
      </c>
      <c r="T2851" s="264" t="str">
        <f t="shared" si="4"/>
        <v/>
      </c>
      <c r="U2851" s="264" t="str">
        <f t="shared" si="5"/>
        <v/>
      </c>
      <c r="V2851" s="264" t="str">
        <f t="shared" si="6"/>
        <v/>
      </c>
      <c r="W2851" s="267" t="str">
        <f t="shared" si="8"/>
        <v/>
      </c>
      <c r="X2851" s="264" t="str">
        <f t="shared" si="7"/>
        <v/>
      </c>
    </row>
    <row r="2852" ht="15.75" customHeight="1">
      <c r="A2852" s="258"/>
      <c r="B2852" s="258"/>
      <c r="C2852" s="269"/>
      <c r="D2852" s="258"/>
      <c r="E2852" s="258"/>
      <c r="F2852" s="258"/>
      <c r="G2852" s="258"/>
      <c r="H2852" s="271"/>
      <c r="I2852" s="258"/>
      <c r="J2852" s="272"/>
      <c r="K2852" s="260"/>
      <c r="L2852" s="261"/>
      <c r="M2852" s="262" t="str">
        <f t="shared" si="1"/>
        <v/>
      </c>
      <c r="N2852" s="263" t="str">
        <f t="shared" si="2"/>
        <v/>
      </c>
      <c r="O2852" s="264" t="str">
        <f t="shared" si="3"/>
        <v/>
      </c>
      <c r="P2852" s="265" t="str">
        <f>IFERROR(__xludf.DUMMYFUNCTION("IF(ISBLANK(A2852),"""",IFERROR(IF(H2852=""Sell"",VLOOKUP(9^99,FILTER({ROW(P$2:P2851),P$2:P2851},D$2:D2851=D2852),2),(VLOOKUP(9^99,FILTER({ROW(P$2:P2851),P$2:P2851},D$2:D2851=D2852),2)*VLOOKUP(9^99,FILTER({ROW(O$2:O2851),O$2:O2851},D$2:D2851=D2852),2)-N285"&amp;"2)/O2852),J2852))"),"")</f>
        <v/>
      </c>
      <c r="Q2852" s="264" t="str">
        <f>IFERROR(__xludf.DUMMYFUNCTION("IFERROR(IF(F2852=""Crypto"",B2852,(IF(ISBLANK(D2852),"""",IF(D2852=""Cash"",B2852,IF(GOOGLEFINANCE(D2852,""CURRENCY"")=""GBX"",""GBP"",GOOGLEFINANCE(D2852,""CURRENCY"")))))),B2852)"),"")</f>
        <v/>
      </c>
      <c r="R2852" s="263" t="str">
        <f>IFERROR(__xludf.DUMMYFUNCTION("IF(ISBLANK(A2852),"""",IFERROR(IF(OR(Q2852=""GPB"",Q2852=""ZAR""),IF(Q2852=Dashboard!$L$1,K2852,(K2852*GOOGLEFINANCE(""CURRENCY:""&amp;Q2852&amp;""""&amp;Dashboard!$L$1&amp;""""))/100),IF(Q2852=Dashboard!$L$1,K2852,K2852*GOOGLEFINANCE(""CURRENCY:""&amp;Q2852&amp;""""&amp;Dashboard!$"&amp;"L$1&amp;""""))),K2852))"),"")</f>
        <v/>
      </c>
      <c r="S2852" s="266" t="str">
        <f>IFERROR(__xludf.DUMMYFUNCTION("IF(ISBLANK(A2852),"""",IFERROR(IF(OR(Q2852=""GPB"",Q2852=""ZAR""),IF(Q2852=Dashboard!$L$1,M2852,(M2852*GOOGLEFINANCE(""CURRENCY:""&amp;Q2852&amp;""""&amp;Dashboard!$L$1&amp;""""))/100),IF(Q2852=Dashboard!$L$1,M2852,M2852*GOOGLEFINANCE(""CURRENCY:""&amp;Q2852&amp;""""&amp;Dashboard!$"&amp;"L$1&amp;""""))),M2852))"),"")</f>
        <v/>
      </c>
      <c r="T2852" s="264" t="str">
        <f t="shared" si="4"/>
        <v/>
      </c>
      <c r="U2852" s="264" t="str">
        <f t="shared" si="5"/>
        <v/>
      </c>
      <c r="V2852" s="264" t="str">
        <f t="shared" si="6"/>
        <v/>
      </c>
      <c r="W2852" s="267" t="str">
        <f t="shared" si="8"/>
        <v/>
      </c>
      <c r="X2852" s="264" t="str">
        <f t="shared" si="7"/>
        <v/>
      </c>
    </row>
    <row r="2853" ht="15.75" customHeight="1">
      <c r="A2853" s="258"/>
      <c r="B2853" s="258"/>
      <c r="C2853" s="269"/>
      <c r="D2853" s="258"/>
      <c r="E2853" s="258"/>
      <c r="F2853" s="258"/>
      <c r="G2853" s="258"/>
      <c r="H2853" s="271"/>
      <c r="I2853" s="258"/>
      <c r="J2853" s="272"/>
      <c r="K2853" s="260"/>
      <c r="L2853" s="261"/>
      <c r="M2853" s="262" t="str">
        <f t="shared" si="1"/>
        <v/>
      </c>
      <c r="N2853" s="263" t="str">
        <f t="shared" si="2"/>
        <v/>
      </c>
      <c r="O2853" s="264" t="str">
        <f t="shared" si="3"/>
        <v/>
      </c>
      <c r="P2853" s="265" t="str">
        <f>IFERROR(__xludf.DUMMYFUNCTION("IF(ISBLANK(A2853),"""",IFERROR(IF(H2853=""Sell"",VLOOKUP(9^99,FILTER({ROW(P$2:P2852),P$2:P2852},D$2:D2852=D2853),2),(VLOOKUP(9^99,FILTER({ROW(P$2:P2852),P$2:P2852},D$2:D2852=D2853),2)*VLOOKUP(9^99,FILTER({ROW(O$2:O2852),O$2:O2852},D$2:D2852=D2853),2)-N285"&amp;"3)/O2853),J2853))"),"")</f>
        <v/>
      </c>
      <c r="Q2853" s="264" t="str">
        <f>IFERROR(__xludf.DUMMYFUNCTION("IFERROR(IF(F2853=""Crypto"",B2853,(IF(ISBLANK(D2853),"""",IF(D2853=""Cash"",B2853,IF(GOOGLEFINANCE(D2853,""CURRENCY"")=""GBX"",""GBP"",GOOGLEFINANCE(D2853,""CURRENCY"")))))),B2853)"),"")</f>
        <v/>
      </c>
      <c r="R2853" s="263" t="str">
        <f>IFERROR(__xludf.DUMMYFUNCTION("IF(ISBLANK(A2853),"""",IFERROR(IF(OR(Q2853=""GPB"",Q2853=""ZAR""),IF(Q2853=Dashboard!$L$1,K2853,(K2853*GOOGLEFINANCE(""CURRENCY:""&amp;Q2853&amp;""""&amp;Dashboard!$L$1&amp;""""))/100),IF(Q2853=Dashboard!$L$1,K2853,K2853*GOOGLEFINANCE(""CURRENCY:""&amp;Q2853&amp;""""&amp;Dashboard!$"&amp;"L$1&amp;""""))),K2853))"),"")</f>
        <v/>
      </c>
      <c r="S2853" s="266" t="str">
        <f>IFERROR(__xludf.DUMMYFUNCTION("IF(ISBLANK(A2853),"""",IFERROR(IF(OR(Q2853=""GPB"",Q2853=""ZAR""),IF(Q2853=Dashboard!$L$1,M2853,(M2853*GOOGLEFINANCE(""CURRENCY:""&amp;Q2853&amp;""""&amp;Dashboard!$L$1&amp;""""))/100),IF(Q2853=Dashboard!$L$1,M2853,M2853*GOOGLEFINANCE(""CURRENCY:""&amp;Q2853&amp;""""&amp;Dashboard!$"&amp;"L$1&amp;""""))),M2853))"),"")</f>
        <v/>
      </c>
      <c r="T2853" s="264" t="str">
        <f t="shared" si="4"/>
        <v/>
      </c>
      <c r="U2853" s="264" t="str">
        <f t="shared" si="5"/>
        <v/>
      </c>
      <c r="V2853" s="264" t="str">
        <f t="shared" si="6"/>
        <v/>
      </c>
      <c r="W2853" s="267" t="str">
        <f t="shared" si="8"/>
        <v/>
      </c>
      <c r="X2853" s="264" t="str">
        <f t="shared" si="7"/>
        <v/>
      </c>
    </row>
    <row r="2854" ht="15.75" customHeight="1">
      <c r="A2854" s="258"/>
      <c r="B2854" s="258"/>
      <c r="C2854" s="269"/>
      <c r="D2854" s="258"/>
      <c r="E2854" s="258"/>
      <c r="F2854" s="258"/>
      <c r="G2854" s="258"/>
      <c r="H2854" s="271"/>
      <c r="I2854" s="258"/>
      <c r="J2854" s="272"/>
      <c r="K2854" s="260"/>
      <c r="L2854" s="261"/>
      <c r="M2854" s="262" t="str">
        <f t="shared" si="1"/>
        <v/>
      </c>
      <c r="N2854" s="263" t="str">
        <f t="shared" si="2"/>
        <v/>
      </c>
      <c r="O2854" s="264" t="str">
        <f t="shared" si="3"/>
        <v/>
      </c>
      <c r="P2854" s="265" t="str">
        <f>IFERROR(__xludf.DUMMYFUNCTION("IF(ISBLANK(A2854),"""",IFERROR(IF(H2854=""Sell"",VLOOKUP(9^99,FILTER({ROW(P$2:P2853),P$2:P2853},D$2:D2853=D2854),2),(VLOOKUP(9^99,FILTER({ROW(P$2:P2853),P$2:P2853},D$2:D2853=D2854),2)*VLOOKUP(9^99,FILTER({ROW(O$2:O2853),O$2:O2853},D$2:D2853=D2854),2)-N285"&amp;"4)/O2854),J2854))"),"")</f>
        <v/>
      </c>
      <c r="Q2854" s="264" t="str">
        <f>IFERROR(__xludf.DUMMYFUNCTION("IFERROR(IF(F2854=""Crypto"",B2854,(IF(ISBLANK(D2854),"""",IF(D2854=""Cash"",B2854,IF(GOOGLEFINANCE(D2854,""CURRENCY"")=""GBX"",""GBP"",GOOGLEFINANCE(D2854,""CURRENCY"")))))),B2854)"),"")</f>
        <v/>
      </c>
      <c r="R2854" s="263" t="str">
        <f>IFERROR(__xludf.DUMMYFUNCTION("IF(ISBLANK(A2854),"""",IFERROR(IF(OR(Q2854=""GPB"",Q2854=""ZAR""),IF(Q2854=Dashboard!$L$1,K2854,(K2854*GOOGLEFINANCE(""CURRENCY:""&amp;Q2854&amp;""""&amp;Dashboard!$L$1&amp;""""))/100),IF(Q2854=Dashboard!$L$1,K2854,K2854*GOOGLEFINANCE(""CURRENCY:""&amp;Q2854&amp;""""&amp;Dashboard!$"&amp;"L$1&amp;""""))),K2854))"),"")</f>
        <v/>
      </c>
      <c r="S2854" s="266" t="str">
        <f>IFERROR(__xludf.DUMMYFUNCTION("IF(ISBLANK(A2854),"""",IFERROR(IF(OR(Q2854=""GPB"",Q2854=""ZAR""),IF(Q2854=Dashboard!$L$1,M2854,(M2854*GOOGLEFINANCE(""CURRENCY:""&amp;Q2854&amp;""""&amp;Dashboard!$L$1&amp;""""))/100),IF(Q2854=Dashboard!$L$1,M2854,M2854*GOOGLEFINANCE(""CURRENCY:""&amp;Q2854&amp;""""&amp;Dashboard!$"&amp;"L$1&amp;""""))),M2854))"),"")</f>
        <v/>
      </c>
      <c r="T2854" s="264" t="str">
        <f t="shared" si="4"/>
        <v/>
      </c>
      <c r="U2854" s="264" t="str">
        <f t="shared" si="5"/>
        <v/>
      </c>
      <c r="V2854" s="264" t="str">
        <f t="shared" si="6"/>
        <v/>
      </c>
      <c r="W2854" s="267" t="str">
        <f t="shared" si="8"/>
        <v/>
      </c>
      <c r="X2854" s="264" t="str">
        <f t="shared" si="7"/>
        <v/>
      </c>
    </row>
    <row r="2855" ht="15.75" customHeight="1">
      <c r="A2855" s="258"/>
      <c r="B2855" s="258"/>
      <c r="C2855" s="269"/>
      <c r="D2855" s="258"/>
      <c r="E2855" s="258"/>
      <c r="F2855" s="258"/>
      <c r="G2855" s="258"/>
      <c r="H2855" s="271"/>
      <c r="I2855" s="258"/>
      <c r="J2855" s="272"/>
      <c r="K2855" s="260"/>
      <c r="L2855" s="261"/>
      <c r="M2855" s="262" t="str">
        <f t="shared" si="1"/>
        <v/>
      </c>
      <c r="N2855" s="263" t="str">
        <f t="shared" si="2"/>
        <v/>
      </c>
      <c r="O2855" s="264" t="str">
        <f t="shared" si="3"/>
        <v/>
      </c>
      <c r="P2855" s="265" t="str">
        <f>IFERROR(__xludf.DUMMYFUNCTION("IF(ISBLANK(A2855),"""",IFERROR(IF(H2855=""Sell"",VLOOKUP(9^99,FILTER({ROW(P$2:P2854),P$2:P2854},D$2:D2854=D2855),2),(VLOOKUP(9^99,FILTER({ROW(P$2:P2854),P$2:P2854},D$2:D2854=D2855),2)*VLOOKUP(9^99,FILTER({ROW(O$2:O2854),O$2:O2854},D$2:D2854=D2855),2)-N285"&amp;"5)/O2855),J2855))"),"")</f>
        <v/>
      </c>
      <c r="Q2855" s="264" t="str">
        <f>IFERROR(__xludf.DUMMYFUNCTION("IFERROR(IF(F2855=""Crypto"",B2855,(IF(ISBLANK(D2855),"""",IF(D2855=""Cash"",B2855,IF(GOOGLEFINANCE(D2855,""CURRENCY"")=""GBX"",""GBP"",GOOGLEFINANCE(D2855,""CURRENCY"")))))),B2855)"),"")</f>
        <v/>
      </c>
      <c r="R2855" s="263" t="str">
        <f>IFERROR(__xludf.DUMMYFUNCTION("IF(ISBLANK(A2855),"""",IFERROR(IF(OR(Q2855=""GPB"",Q2855=""ZAR""),IF(Q2855=Dashboard!$L$1,K2855,(K2855*GOOGLEFINANCE(""CURRENCY:""&amp;Q2855&amp;""""&amp;Dashboard!$L$1&amp;""""))/100),IF(Q2855=Dashboard!$L$1,K2855,K2855*GOOGLEFINANCE(""CURRENCY:""&amp;Q2855&amp;""""&amp;Dashboard!$"&amp;"L$1&amp;""""))),K2855))"),"")</f>
        <v/>
      </c>
      <c r="S2855" s="266" t="str">
        <f>IFERROR(__xludf.DUMMYFUNCTION("IF(ISBLANK(A2855),"""",IFERROR(IF(OR(Q2855=""GPB"",Q2855=""ZAR""),IF(Q2855=Dashboard!$L$1,M2855,(M2855*GOOGLEFINANCE(""CURRENCY:""&amp;Q2855&amp;""""&amp;Dashboard!$L$1&amp;""""))/100),IF(Q2855=Dashboard!$L$1,M2855,M2855*GOOGLEFINANCE(""CURRENCY:""&amp;Q2855&amp;""""&amp;Dashboard!$"&amp;"L$1&amp;""""))),M2855))"),"")</f>
        <v/>
      </c>
      <c r="T2855" s="264" t="str">
        <f t="shared" si="4"/>
        <v/>
      </c>
      <c r="U2855" s="264" t="str">
        <f t="shared" si="5"/>
        <v/>
      </c>
      <c r="V2855" s="264" t="str">
        <f t="shared" si="6"/>
        <v/>
      </c>
      <c r="W2855" s="267" t="str">
        <f t="shared" si="8"/>
        <v/>
      </c>
      <c r="X2855" s="264" t="str">
        <f t="shared" si="7"/>
        <v/>
      </c>
    </row>
    <row r="2856" ht="15.75" customHeight="1">
      <c r="A2856" s="258"/>
      <c r="B2856" s="258"/>
      <c r="C2856" s="269"/>
      <c r="D2856" s="258"/>
      <c r="E2856" s="258"/>
      <c r="F2856" s="258"/>
      <c r="G2856" s="258"/>
      <c r="H2856" s="271"/>
      <c r="I2856" s="258"/>
      <c r="J2856" s="272"/>
      <c r="K2856" s="260"/>
      <c r="L2856" s="261"/>
      <c r="M2856" s="262" t="str">
        <f t="shared" si="1"/>
        <v/>
      </c>
      <c r="N2856" s="263" t="str">
        <f t="shared" si="2"/>
        <v/>
      </c>
      <c r="O2856" s="264" t="str">
        <f t="shared" si="3"/>
        <v/>
      </c>
      <c r="P2856" s="265" t="str">
        <f>IFERROR(__xludf.DUMMYFUNCTION("IF(ISBLANK(A2856),"""",IFERROR(IF(H2856=""Sell"",VLOOKUP(9^99,FILTER({ROW(P$2:P2855),P$2:P2855},D$2:D2855=D2856),2),(VLOOKUP(9^99,FILTER({ROW(P$2:P2855),P$2:P2855},D$2:D2855=D2856),2)*VLOOKUP(9^99,FILTER({ROW(O$2:O2855),O$2:O2855},D$2:D2855=D2856),2)-N285"&amp;"6)/O2856),J2856))"),"")</f>
        <v/>
      </c>
      <c r="Q2856" s="264" t="str">
        <f>IFERROR(__xludf.DUMMYFUNCTION("IFERROR(IF(F2856=""Crypto"",B2856,(IF(ISBLANK(D2856),"""",IF(D2856=""Cash"",B2856,IF(GOOGLEFINANCE(D2856,""CURRENCY"")=""GBX"",""GBP"",GOOGLEFINANCE(D2856,""CURRENCY"")))))),B2856)"),"")</f>
        <v/>
      </c>
      <c r="R2856" s="263" t="str">
        <f>IFERROR(__xludf.DUMMYFUNCTION("IF(ISBLANK(A2856),"""",IFERROR(IF(OR(Q2856=""GPB"",Q2856=""ZAR""),IF(Q2856=Dashboard!$L$1,K2856,(K2856*GOOGLEFINANCE(""CURRENCY:""&amp;Q2856&amp;""""&amp;Dashboard!$L$1&amp;""""))/100),IF(Q2856=Dashboard!$L$1,K2856,K2856*GOOGLEFINANCE(""CURRENCY:""&amp;Q2856&amp;""""&amp;Dashboard!$"&amp;"L$1&amp;""""))),K2856))"),"")</f>
        <v/>
      </c>
      <c r="S2856" s="266" t="str">
        <f>IFERROR(__xludf.DUMMYFUNCTION("IF(ISBLANK(A2856),"""",IFERROR(IF(OR(Q2856=""GPB"",Q2856=""ZAR""),IF(Q2856=Dashboard!$L$1,M2856,(M2856*GOOGLEFINANCE(""CURRENCY:""&amp;Q2856&amp;""""&amp;Dashboard!$L$1&amp;""""))/100),IF(Q2856=Dashboard!$L$1,M2856,M2856*GOOGLEFINANCE(""CURRENCY:""&amp;Q2856&amp;""""&amp;Dashboard!$"&amp;"L$1&amp;""""))),M2856))"),"")</f>
        <v/>
      </c>
      <c r="T2856" s="264" t="str">
        <f t="shared" si="4"/>
        <v/>
      </c>
      <c r="U2856" s="264" t="str">
        <f t="shared" si="5"/>
        <v/>
      </c>
      <c r="V2856" s="264" t="str">
        <f t="shared" si="6"/>
        <v/>
      </c>
      <c r="W2856" s="267" t="str">
        <f t="shared" si="8"/>
        <v/>
      </c>
      <c r="X2856" s="264" t="str">
        <f t="shared" si="7"/>
        <v/>
      </c>
    </row>
    <row r="2857" ht="15.75" customHeight="1">
      <c r="A2857" s="258"/>
      <c r="B2857" s="258"/>
      <c r="C2857" s="269"/>
      <c r="D2857" s="258"/>
      <c r="E2857" s="258"/>
      <c r="F2857" s="258"/>
      <c r="G2857" s="258"/>
      <c r="H2857" s="271"/>
      <c r="I2857" s="258"/>
      <c r="J2857" s="272"/>
      <c r="K2857" s="260"/>
      <c r="L2857" s="261"/>
      <c r="M2857" s="262" t="str">
        <f t="shared" si="1"/>
        <v/>
      </c>
      <c r="N2857" s="263" t="str">
        <f t="shared" si="2"/>
        <v/>
      </c>
      <c r="O2857" s="264" t="str">
        <f t="shared" si="3"/>
        <v/>
      </c>
      <c r="P2857" s="265" t="str">
        <f>IFERROR(__xludf.DUMMYFUNCTION("IF(ISBLANK(A2857),"""",IFERROR(IF(H2857=""Sell"",VLOOKUP(9^99,FILTER({ROW(P$2:P2856),P$2:P2856},D$2:D2856=D2857),2),(VLOOKUP(9^99,FILTER({ROW(P$2:P2856),P$2:P2856},D$2:D2856=D2857),2)*VLOOKUP(9^99,FILTER({ROW(O$2:O2856),O$2:O2856},D$2:D2856=D2857),2)-N285"&amp;"7)/O2857),J2857))"),"")</f>
        <v/>
      </c>
      <c r="Q2857" s="264" t="str">
        <f>IFERROR(__xludf.DUMMYFUNCTION("IFERROR(IF(F2857=""Crypto"",B2857,(IF(ISBLANK(D2857),"""",IF(D2857=""Cash"",B2857,IF(GOOGLEFINANCE(D2857,""CURRENCY"")=""GBX"",""GBP"",GOOGLEFINANCE(D2857,""CURRENCY"")))))),B2857)"),"")</f>
        <v/>
      </c>
      <c r="R2857" s="263" t="str">
        <f>IFERROR(__xludf.DUMMYFUNCTION("IF(ISBLANK(A2857),"""",IFERROR(IF(OR(Q2857=""GPB"",Q2857=""ZAR""),IF(Q2857=Dashboard!$L$1,K2857,(K2857*GOOGLEFINANCE(""CURRENCY:""&amp;Q2857&amp;""""&amp;Dashboard!$L$1&amp;""""))/100),IF(Q2857=Dashboard!$L$1,K2857,K2857*GOOGLEFINANCE(""CURRENCY:""&amp;Q2857&amp;""""&amp;Dashboard!$"&amp;"L$1&amp;""""))),K2857))"),"")</f>
        <v/>
      </c>
      <c r="S2857" s="266" t="str">
        <f>IFERROR(__xludf.DUMMYFUNCTION("IF(ISBLANK(A2857),"""",IFERROR(IF(OR(Q2857=""GPB"",Q2857=""ZAR""),IF(Q2857=Dashboard!$L$1,M2857,(M2857*GOOGLEFINANCE(""CURRENCY:""&amp;Q2857&amp;""""&amp;Dashboard!$L$1&amp;""""))/100),IF(Q2857=Dashboard!$L$1,M2857,M2857*GOOGLEFINANCE(""CURRENCY:""&amp;Q2857&amp;""""&amp;Dashboard!$"&amp;"L$1&amp;""""))),M2857))"),"")</f>
        <v/>
      </c>
      <c r="T2857" s="264" t="str">
        <f t="shared" si="4"/>
        <v/>
      </c>
      <c r="U2857" s="264" t="str">
        <f t="shared" si="5"/>
        <v/>
      </c>
      <c r="V2857" s="264" t="str">
        <f t="shared" si="6"/>
        <v/>
      </c>
      <c r="W2857" s="267" t="str">
        <f t="shared" si="8"/>
        <v/>
      </c>
      <c r="X2857" s="264" t="str">
        <f t="shared" si="7"/>
        <v/>
      </c>
    </row>
    <row r="2858" ht="15.75" customHeight="1">
      <c r="A2858" s="258"/>
      <c r="B2858" s="258"/>
      <c r="C2858" s="269"/>
      <c r="D2858" s="258"/>
      <c r="E2858" s="258"/>
      <c r="F2858" s="258"/>
      <c r="G2858" s="258"/>
      <c r="H2858" s="271"/>
      <c r="I2858" s="258"/>
      <c r="J2858" s="272"/>
      <c r="K2858" s="260"/>
      <c r="L2858" s="261"/>
      <c r="M2858" s="262" t="str">
        <f t="shared" si="1"/>
        <v/>
      </c>
      <c r="N2858" s="263" t="str">
        <f t="shared" si="2"/>
        <v/>
      </c>
      <c r="O2858" s="264" t="str">
        <f t="shared" si="3"/>
        <v/>
      </c>
      <c r="P2858" s="265" t="str">
        <f>IFERROR(__xludf.DUMMYFUNCTION("IF(ISBLANK(A2858),"""",IFERROR(IF(H2858=""Sell"",VLOOKUP(9^99,FILTER({ROW(P$2:P2857),P$2:P2857},D$2:D2857=D2858),2),(VLOOKUP(9^99,FILTER({ROW(P$2:P2857),P$2:P2857},D$2:D2857=D2858),2)*VLOOKUP(9^99,FILTER({ROW(O$2:O2857),O$2:O2857},D$2:D2857=D2858),2)-N285"&amp;"8)/O2858),J2858))"),"")</f>
        <v/>
      </c>
      <c r="Q2858" s="264" t="str">
        <f>IFERROR(__xludf.DUMMYFUNCTION("IFERROR(IF(F2858=""Crypto"",B2858,(IF(ISBLANK(D2858),"""",IF(D2858=""Cash"",B2858,IF(GOOGLEFINANCE(D2858,""CURRENCY"")=""GBX"",""GBP"",GOOGLEFINANCE(D2858,""CURRENCY"")))))),B2858)"),"")</f>
        <v/>
      </c>
      <c r="R2858" s="263" t="str">
        <f>IFERROR(__xludf.DUMMYFUNCTION("IF(ISBLANK(A2858),"""",IFERROR(IF(OR(Q2858=""GPB"",Q2858=""ZAR""),IF(Q2858=Dashboard!$L$1,K2858,(K2858*GOOGLEFINANCE(""CURRENCY:""&amp;Q2858&amp;""""&amp;Dashboard!$L$1&amp;""""))/100),IF(Q2858=Dashboard!$L$1,K2858,K2858*GOOGLEFINANCE(""CURRENCY:""&amp;Q2858&amp;""""&amp;Dashboard!$"&amp;"L$1&amp;""""))),K2858))"),"")</f>
        <v/>
      </c>
      <c r="S2858" s="266" t="str">
        <f>IFERROR(__xludf.DUMMYFUNCTION("IF(ISBLANK(A2858),"""",IFERROR(IF(OR(Q2858=""GPB"",Q2858=""ZAR""),IF(Q2858=Dashboard!$L$1,M2858,(M2858*GOOGLEFINANCE(""CURRENCY:""&amp;Q2858&amp;""""&amp;Dashboard!$L$1&amp;""""))/100),IF(Q2858=Dashboard!$L$1,M2858,M2858*GOOGLEFINANCE(""CURRENCY:""&amp;Q2858&amp;""""&amp;Dashboard!$"&amp;"L$1&amp;""""))),M2858))"),"")</f>
        <v/>
      </c>
      <c r="T2858" s="264" t="str">
        <f t="shared" si="4"/>
        <v/>
      </c>
      <c r="U2858" s="264" t="str">
        <f t="shared" si="5"/>
        <v/>
      </c>
      <c r="V2858" s="264" t="str">
        <f t="shared" si="6"/>
        <v/>
      </c>
      <c r="W2858" s="267" t="str">
        <f t="shared" si="8"/>
        <v/>
      </c>
      <c r="X2858" s="264" t="str">
        <f t="shared" si="7"/>
        <v/>
      </c>
    </row>
    <row r="2859" ht="15.75" customHeight="1">
      <c r="A2859" s="258"/>
      <c r="B2859" s="258"/>
      <c r="C2859" s="269"/>
      <c r="D2859" s="258"/>
      <c r="E2859" s="258"/>
      <c r="F2859" s="258"/>
      <c r="G2859" s="258"/>
      <c r="H2859" s="271"/>
      <c r="I2859" s="258"/>
      <c r="J2859" s="272"/>
      <c r="K2859" s="260"/>
      <c r="L2859" s="261"/>
      <c r="M2859" s="262" t="str">
        <f t="shared" si="1"/>
        <v/>
      </c>
      <c r="N2859" s="263" t="str">
        <f t="shared" si="2"/>
        <v/>
      </c>
      <c r="O2859" s="264" t="str">
        <f t="shared" si="3"/>
        <v/>
      </c>
      <c r="P2859" s="265" t="str">
        <f>IFERROR(__xludf.DUMMYFUNCTION("IF(ISBLANK(A2859),"""",IFERROR(IF(H2859=""Sell"",VLOOKUP(9^99,FILTER({ROW(P$2:P2858),P$2:P2858},D$2:D2858=D2859),2),(VLOOKUP(9^99,FILTER({ROW(P$2:P2858),P$2:P2858},D$2:D2858=D2859),2)*VLOOKUP(9^99,FILTER({ROW(O$2:O2858),O$2:O2858},D$2:D2858=D2859),2)-N285"&amp;"9)/O2859),J2859))"),"")</f>
        <v/>
      </c>
      <c r="Q2859" s="264" t="str">
        <f>IFERROR(__xludf.DUMMYFUNCTION("IFERROR(IF(F2859=""Crypto"",B2859,(IF(ISBLANK(D2859),"""",IF(D2859=""Cash"",B2859,IF(GOOGLEFINANCE(D2859,""CURRENCY"")=""GBX"",""GBP"",GOOGLEFINANCE(D2859,""CURRENCY"")))))),B2859)"),"")</f>
        <v/>
      </c>
      <c r="R2859" s="263" t="str">
        <f>IFERROR(__xludf.DUMMYFUNCTION("IF(ISBLANK(A2859),"""",IFERROR(IF(OR(Q2859=""GPB"",Q2859=""ZAR""),IF(Q2859=Dashboard!$L$1,K2859,(K2859*GOOGLEFINANCE(""CURRENCY:""&amp;Q2859&amp;""""&amp;Dashboard!$L$1&amp;""""))/100),IF(Q2859=Dashboard!$L$1,K2859,K2859*GOOGLEFINANCE(""CURRENCY:""&amp;Q2859&amp;""""&amp;Dashboard!$"&amp;"L$1&amp;""""))),K2859))"),"")</f>
        <v/>
      </c>
      <c r="S2859" s="266" t="str">
        <f>IFERROR(__xludf.DUMMYFUNCTION("IF(ISBLANK(A2859),"""",IFERROR(IF(OR(Q2859=""GPB"",Q2859=""ZAR""),IF(Q2859=Dashboard!$L$1,M2859,(M2859*GOOGLEFINANCE(""CURRENCY:""&amp;Q2859&amp;""""&amp;Dashboard!$L$1&amp;""""))/100),IF(Q2859=Dashboard!$L$1,M2859,M2859*GOOGLEFINANCE(""CURRENCY:""&amp;Q2859&amp;""""&amp;Dashboard!$"&amp;"L$1&amp;""""))),M2859))"),"")</f>
        <v/>
      </c>
      <c r="T2859" s="264" t="str">
        <f t="shared" si="4"/>
        <v/>
      </c>
      <c r="U2859" s="264" t="str">
        <f t="shared" si="5"/>
        <v/>
      </c>
      <c r="V2859" s="264" t="str">
        <f t="shared" si="6"/>
        <v/>
      </c>
      <c r="W2859" s="267" t="str">
        <f t="shared" si="8"/>
        <v/>
      </c>
      <c r="X2859" s="264" t="str">
        <f t="shared" si="7"/>
        <v/>
      </c>
    </row>
    <row r="2860" ht="15.75" customHeight="1">
      <c r="A2860" s="258"/>
      <c r="B2860" s="258"/>
      <c r="C2860" s="269"/>
      <c r="D2860" s="258"/>
      <c r="E2860" s="258"/>
      <c r="F2860" s="258"/>
      <c r="G2860" s="258"/>
      <c r="H2860" s="271"/>
      <c r="I2860" s="258"/>
      <c r="J2860" s="272"/>
      <c r="K2860" s="260"/>
      <c r="L2860" s="261"/>
      <c r="M2860" s="262" t="str">
        <f t="shared" si="1"/>
        <v/>
      </c>
      <c r="N2860" s="263" t="str">
        <f t="shared" si="2"/>
        <v/>
      </c>
      <c r="O2860" s="264" t="str">
        <f t="shared" si="3"/>
        <v/>
      </c>
      <c r="P2860" s="265" t="str">
        <f>IFERROR(__xludf.DUMMYFUNCTION("IF(ISBLANK(A2860),"""",IFERROR(IF(H2860=""Sell"",VLOOKUP(9^99,FILTER({ROW(P$2:P2859),P$2:P2859},D$2:D2859=D2860),2),(VLOOKUP(9^99,FILTER({ROW(P$2:P2859),P$2:P2859},D$2:D2859=D2860),2)*VLOOKUP(9^99,FILTER({ROW(O$2:O2859),O$2:O2859},D$2:D2859=D2860),2)-N286"&amp;"0)/O2860),J2860))"),"")</f>
        <v/>
      </c>
      <c r="Q2860" s="264" t="str">
        <f>IFERROR(__xludf.DUMMYFUNCTION("IFERROR(IF(F2860=""Crypto"",B2860,(IF(ISBLANK(D2860),"""",IF(D2860=""Cash"",B2860,IF(GOOGLEFINANCE(D2860,""CURRENCY"")=""GBX"",""GBP"",GOOGLEFINANCE(D2860,""CURRENCY"")))))),B2860)"),"")</f>
        <v/>
      </c>
      <c r="R2860" s="263" t="str">
        <f>IFERROR(__xludf.DUMMYFUNCTION("IF(ISBLANK(A2860),"""",IFERROR(IF(OR(Q2860=""GPB"",Q2860=""ZAR""),IF(Q2860=Dashboard!$L$1,K2860,(K2860*GOOGLEFINANCE(""CURRENCY:""&amp;Q2860&amp;""""&amp;Dashboard!$L$1&amp;""""))/100),IF(Q2860=Dashboard!$L$1,K2860,K2860*GOOGLEFINANCE(""CURRENCY:""&amp;Q2860&amp;""""&amp;Dashboard!$"&amp;"L$1&amp;""""))),K2860))"),"")</f>
        <v/>
      </c>
      <c r="S2860" s="266" t="str">
        <f>IFERROR(__xludf.DUMMYFUNCTION("IF(ISBLANK(A2860),"""",IFERROR(IF(OR(Q2860=""GPB"",Q2860=""ZAR""),IF(Q2860=Dashboard!$L$1,M2860,(M2860*GOOGLEFINANCE(""CURRENCY:""&amp;Q2860&amp;""""&amp;Dashboard!$L$1&amp;""""))/100),IF(Q2860=Dashboard!$L$1,M2860,M2860*GOOGLEFINANCE(""CURRENCY:""&amp;Q2860&amp;""""&amp;Dashboard!$"&amp;"L$1&amp;""""))),M2860))"),"")</f>
        <v/>
      </c>
      <c r="T2860" s="264" t="str">
        <f t="shared" si="4"/>
        <v/>
      </c>
      <c r="U2860" s="264" t="str">
        <f t="shared" si="5"/>
        <v/>
      </c>
      <c r="V2860" s="264" t="str">
        <f t="shared" si="6"/>
        <v/>
      </c>
      <c r="W2860" s="267" t="str">
        <f t="shared" si="8"/>
        <v/>
      </c>
      <c r="X2860" s="264" t="str">
        <f t="shared" si="7"/>
        <v/>
      </c>
    </row>
    <row r="2861" ht="15.75" customHeight="1">
      <c r="A2861" s="258"/>
      <c r="B2861" s="258"/>
      <c r="C2861" s="269"/>
      <c r="D2861" s="258"/>
      <c r="E2861" s="258"/>
      <c r="F2861" s="258"/>
      <c r="G2861" s="258"/>
      <c r="H2861" s="271"/>
      <c r="I2861" s="258"/>
      <c r="J2861" s="272"/>
      <c r="K2861" s="260"/>
      <c r="L2861" s="261"/>
      <c r="M2861" s="262" t="str">
        <f t="shared" si="1"/>
        <v/>
      </c>
      <c r="N2861" s="263" t="str">
        <f t="shared" si="2"/>
        <v/>
      </c>
      <c r="O2861" s="264" t="str">
        <f t="shared" si="3"/>
        <v/>
      </c>
      <c r="P2861" s="265" t="str">
        <f>IFERROR(__xludf.DUMMYFUNCTION("IF(ISBLANK(A2861),"""",IFERROR(IF(H2861=""Sell"",VLOOKUP(9^99,FILTER({ROW(P$2:P2860),P$2:P2860},D$2:D2860=D2861),2),(VLOOKUP(9^99,FILTER({ROW(P$2:P2860),P$2:P2860},D$2:D2860=D2861),2)*VLOOKUP(9^99,FILTER({ROW(O$2:O2860),O$2:O2860},D$2:D2860=D2861),2)-N286"&amp;"1)/O2861),J2861))"),"")</f>
        <v/>
      </c>
      <c r="Q2861" s="264" t="str">
        <f>IFERROR(__xludf.DUMMYFUNCTION("IFERROR(IF(F2861=""Crypto"",B2861,(IF(ISBLANK(D2861),"""",IF(D2861=""Cash"",B2861,IF(GOOGLEFINANCE(D2861,""CURRENCY"")=""GBX"",""GBP"",GOOGLEFINANCE(D2861,""CURRENCY"")))))),B2861)"),"")</f>
        <v/>
      </c>
      <c r="R2861" s="263" t="str">
        <f>IFERROR(__xludf.DUMMYFUNCTION("IF(ISBLANK(A2861),"""",IFERROR(IF(OR(Q2861=""GPB"",Q2861=""ZAR""),IF(Q2861=Dashboard!$L$1,K2861,(K2861*GOOGLEFINANCE(""CURRENCY:""&amp;Q2861&amp;""""&amp;Dashboard!$L$1&amp;""""))/100),IF(Q2861=Dashboard!$L$1,K2861,K2861*GOOGLEFINANCE(""CURRENCY:""&amp;Q2861&amp;""""&amp;Dashboard!$"&amp;"L$1&amp;""""))),K2861))"),"")</f>
        <v/>
      </c>
      <c r="S2861" s="266" t="str">
        <f>IFERROR(__xludf.DUMMYFUNCTION("IF(ISBLANK(A2861),"""",IFERROR(IF(OR(Q2861=""GPB"",Q2861=""ZAR""),IF(Q2861=Dashboard!$L$1,M2861,(M2861*GOOGLEFINANCE(""CURRENCY:""&amp;Q2861&amp;""""&amp;Dashboard!$L$1&amp;""""))/100),IF(Q2861=Dashboard!$L$1,M2861,M2861*GOOGLEFINANCE(""CURRENCY:""&amp;Q2861&amp;""""&amp;Dashboard!$"&amp;"L$1&amp;""""))),M2861))"),"")</f>
        <v/>
      </c>
      <c r="T2861" s="264" t="str">
        <f t="shared" si="4"/>
        <v/>
      </c>
      <c r="U2861" s="264" t="str">
        <f t="shared" si="5"/>
        <v/>
      </c>
      <c r="V2861" s="264" t="str">
        <f t="shared" si="6"/>
        <v/>
      </c>
      <c r="W2861" s="267" t="str">
        <f t="shared" si="8"/>
        <v/>
      </c>
      <c r="X2861" s="264" t="str">
        <f t="shared" si="7"/>
        <v/>
      </c>
    </row>
    <row r="2862" ht="15.75" customHeight="1">
      <c r="A2862" s="258"/>
      <c r="B2862" s="258"/>
      <c r="C2862" s="269"/>
      <c r="D2862" s="258"/>
      <c r="E2862" s="258"/>
      <c r="F2862" s="258"/>
      <c r="G2862" s="258"/>
      <c r="H2862" s="271"/>
      <c r="I2862" s="258"/>
      <c r="J2862" s="272"/>
      <c r="K2862" s="260"/>
      <c r="L2862" s="261"/>
      <c r="M2862" s="262" t="str">
        <f t="shared" si="1"/>
        <v/>
      </c>
      <c r="N2862" s="263" t="str">
        <f t="shared" si="2"/>
        <v/>
      </c>
      <c r="O2862" s="264" t="str">
        <f t="shared" si="3"/>
        <v/>
      </c>
      <c r="P2862" s="265" t="str">
        <f>IFERROR(__xludf.DUMMYFUNCTION("IF(ISBLANK(A2862),"""",IFERROR(IF(H2862=""Sell"",VLOOKUP(9^99,FILTER({ROW(P$2:P2861),P$2:P2861},D$2:D2861=D2862),2),(VLOOKUP(9^99,FILTER({ROW(P$2:P2861),P$2:P2861},D$2:D2861=D2862),2)*VLOOKUP(9^99,FILTER({ROW(O$2:O2861),O$2:O2861},D$2:D2861=D2862),2)-N286"&amp;"2)/O2862),J2862))"),"")</f>
        <v/>
      </c>
      <c r="Q2862" s="264" t="str">
        <f>IFERROR(__xludf.DUMMYFUNCTION("IFERROR(IF(F2862=""Crypto"",B2862,(IF(ISBLANK(D2862),"""",IF(D2862=""Cash"",B2862,IF(GOOGLEFINANCE(D2862,""CURRENCY"")=""GBX"",""GBP"",GOOGLEFINANCE(D2862,""CURRENCY"")))))),B2862)"),"")</f>
        <v/>
      </c>
      <c r="R2862" s="263" t="str">
        <f>IFERROR(__xludf.DUMMYFUNCTION("IF(ISBLANK(A2862),"""",IFERROR(IF(OR(Q2862=""GPB"",Q2862=""ZAR""),IF(Q2862=Dashboard!$L$1,K2862,(K2862*GOOGLEFINANCE(""CURRENCY:""&amp;Q2862&amp;""""&amp;Dashboard!$L$1&amp;""""))/100),IF(Q2862=Dashboard!$L$1,K2862,K2862*GOOGLEFINANCE(""CURRENCY:""&amp;Q2862&amp;""""&amp;Dashboard!$"&amp;"L$1&amp;""""))),K2862))"),"")</f>
        <v/>
      </c>
      <c r="S2862" s="266" t="str">
        <f>IFERROR(__xludf.DUMMYFUNCTION("IF(ISBLANK(A2862),"""",IFERROR(IF(OR(Q2862=""GPB"",Q2862=""ZAR""),IF(Q2862=Dashboard!$L$1,M2862,(M2862*GOOGLEFINANCE(""CURRENCY:""&amp;Q2862&amp;""""&amp;Dashboard!$L$1&amp;""""))/100),IF(Q2862=Dashboard!$L$1,M2862,M2862*GOOGLEFINANCE(""CURRENCY:""&amp;Q2862&amp;""""&amp;Dashboard!$"&amp;"L$1&amp;""""))),M2862))"),"")</f>
        <v/>
      </c>
      <c r="T2862" s="264" t="str">
        <f t="shared" si="4"/>
        <v/>
      </c>
      <c r="U2862" s="264" t="str">
        <f t="shared" si="5"/>
        <v/>
      </c>
      <c r="V2862" s="264" t="str">
        <f t="shared" si="6"/>
        <v/>
      </c>
      <c r="W2862" s="267" t="str">
        <f t="shared" si="8"/>
        <v/>
      </c>
      <c r="X2862" s="264" t="str">
        <f t="shared" si="7"/>
        <v/>
      </c>
    </row>
    <row r="2863" ht="15.75" customHeight="1">
      <c r="A2863" s="258"/>
      <c r="B2863" s="258"/>
      <c r="C2863" s="269"/>
      <c r="D2863" s="258"/>
      <c r="E2863" s="258"/>
      <c r="F2863" s="258"/>
      <c r="G2863" s="258"/>
      <c r="H2863" s="271"/>
      <c r="I2863" s="258"/>
      <c r="J2863" s="272"/>
      <c r="K2863" s="260"/>
      <c r="L2863" s="261"/>
      <c r="M2863" s="262" t="str">
        <f t="shared" si="1"/>
        <v/>
      </c>
      <c r="N2863" s="263" t="str">
        <f t="shared" si="2"/>
        <v/>
      </c>
      <c r="O2863" s="264" t="str">
        <f t="shared" si="3"/>
        <v/>
      </c>
      <c r="P2863" s="265" t="str">
        <f>IFERROR(__xludf.DUMMYFUNCTION("IF(ISBLANK(A2863),"""",IFERROR(IF(H2863=""Sell"",VLOOKUP(9^99,FILTER({ROW(P$2:P2862),P$2:P2862},D$2:D2862=D2863),2),(VLOOKUP(9^99,FILTER({ROW(P$2:P2862),P$2:P2862},D$2:D2862=D2863),2)*VLOOKUP(9^99,FILTER({ROW(O$2:O2862),O$2:O2862},D$2:D2862=D2863),2)-N286"&amp;"3)/O2863),J2863))"),"")</f>
        <v/>
      </c>
      <c r="Q2863" s="264" t="str">
        <f>IFERROR(__xludf.DUMMYFUNCTION("IFERROR(IF(F2863=""Crypto"",B2863,(IF(ISBLANK(D2863),"""",IF(D2863=""Cash"",B2863,IF(GOOGLEFINANCE(D2863,""CURRENCY"")=""GBX"",""GBP"",GOOGLEFINANCE(D2863,""CURRENCY"")))))),B2863)"),"")</f>
        <v/>
      </c>
      <c r="R2863" s="263" t="str">
        <f>IFERROR(__xludf.DUMMYFUNCTION("IF(ISBLANK(A2863),"""",IFERROR(IF(OR(Q2863=""GPB"",Q2863=""ZAR""),IF(Q2863=Dashboard!$L$1,K2863,(K2863*GOOGLEFINANCE(""CURRENCY:""&amp;Q2863&amp;""""&amp;Dashboard!$L$1&amp;""""))/100),IF(Q2863=Dashboard!$L$1,K2863,K2863*GOOGLEFINANCE(""CURRENCY:""&amp;Q2863&amp;""""&amp;Dashboard!$"&amp;"L$1&amp;""""))),K2863))"),"")</f>
        <v/>
      </c>
      <c r="S2863" s="266" t="str">
        <f>IFERROR(__xludf.DUMMYFUNCTION("IF(ISBLANK(A2863),"""",IFERROR(IF(OR(Q2863=""GPB"",Q2863=""ZAR""),IF(Q2863=Dashboard!$L$1,M2863,(M2863*GOOGLEFINANCE(""CURRENCY:""&amp;Q2863&amp;""""&amp;Dashboard!$L$1&amp;""""))/100),IF(Q2863=Dashboard!$L$1,M2863,M2863*GOOGLEFINANCE(""CURRENCY:""&amp;Q2863&amp;""""&amp;Dashboard!$"&amp;"L$1&amp;""""))),M2863))"),"")</f>
        <v/>
      </c>
      <c r="T2863" s="264" t="str">
        <f t="shared" si="4"/>
        <v/>
      </c>
      <c r="U2863" s="264" t="str">
        <f t="shared" si="5"/>
        <v/>
      </c>
      <c r="V2863" s="264" t="str">
        <f t="shared" si="6"/>
        <v/>
      </c>
      <c r="W2863" s="267" t="str">
        <f t="shared" si="8"/>
        <v/>
      </c>
      <c r="X2863" s="264" t="str">
        <f t="shared" si="7"/>
        <v/>
      </c>
    </row>
    <row r="2864" ht="15.75" customHeight="1">
      <c r="A2864" s="258"/>
      <c r="B2864" s="258"/>
      <c r="C2864" s="269"/>
      <c r="D2864" s="258"/>
      <c r="E2864" s="258"/>
      <c r="F2864" s="258"/>
      <c r="G2864" s="258"/>
      <c r="H2864" s="271"/>
      <c r="I2864" s="258"/>
      <c r="J2864" s="272"/>
      <c r="K2864" s="260"/>
      <c r="L2864" s="261"/>
      <c r="M2864" s="262" t="str">
        <f t="shared" si="1"/>
        <v/>
      </c>
      <c r="N2864" s="263" t="str">
        <f t="shared" si="2"/>
        <v/>
      </c>
      <c r="O2864" s="264" t="str">
        <f t="shared" si="3"/>
        <v/>
      </c>
      <c r="P2864" s="265" t="str">
        <f>IFERROR(__xludf.DUMMYFUNCTION("IF(ISBLANK(A2864),"""",IFERROR(IF(H2864=""Sell"",VLOOKUP(9^99,FILTER({ROW(P$2:P2863),P$2:P2863},D$2:D2863=D2864),2),(VLOOKUP(9^99,FILTER({ROW(P$2:P2863),P$2:P2863},D$2:D2863=D2864),2)*VLOOKUP(9^99,FILTER({ROW(O$2:O2863),O$2:O2863},D$2:D2863=D2864),2)-N286"&amp;"4)/O2864),J2864))"),"")</f>
        <v/>
      </c>
      <c r="Q2864" s="264" t="str">
        <f>IFERROR(__xludf.DUMMYFUNCTION("IFERROR(IF(F2864=""Crypto"",B2864,(IF(ISBLANK(D2864),"""",IF(D2864=""Cash"",B2864,IF(GOOGLEFINANCE(D2864,""CURRENCY"")=""GBX"",""GBP"",GOOGLEFINANCE(D2864,""CURRENCY"")))))),B2864)"),"")</f>
        <v/>
      </c>
      <c r="R2864" s="263" t="str">
        <f>IFERROR(__xludf.DUMMYFUNCTION("IF(ISBLANK(A2864),"""",IFERROR(IF(OR(Q2864=""GPB"",Q2864=""ZAR""),IF(Q2864=Dashboard!$L$1,K2864,(K2864*GOOGLEFINANCE(""CURRENCY:""&amp;Q2864&amp;""""&amp;Dashboard!$L$1&amp;""""))/100),IF(Q2864=Dashboard!$L$1,K2864,K2864*GOOGLEFINANCE(""CURRENCY:""&amp;Q2864&amp;""""&amp;Dashboard!$"&amp;"L$1&amp;""""))),K2864))"),"")</f>
        <v/>
      </c>
      <c r="S2864" s="266" t="str">
        <f>IFERROR(__xludf.DUMMYFUNCTION("IF(ISBLANK(A2864),"""",IFERROR(IF(OR(Q2864=""GPB"",Q2864=""ZAR""),IF(Q2864=Dashboard!$L$1,M2864,(M2864*GOOGLEFINANCE(""CURRENCY:""&amp;Q2864&amp;""""&amp;Dashboard!$L$1&amp;""""))/100),IF(Q2864=Dashboard!$L$1,M2864,M2864*GOOGLEFINANCE(""CURRENCY:""&amp;Q2864&amp;""""&amp;Dashboard!$"&amp;"L$1&amp;""""))),M2864))"),"")</f>
        <v/>
      </c>
      <c r="T2864" s="264" t="str">
        <f t="shared" si="4"/>
        <v/>
      </c>
      <c r="U2864" s="264" t="str">
        <f t="shared" si="5"/>
        <v/>
      </c>
      <c r="V2864" s="264" t="str">
        <f t="shared" si="6"/>
        <v/>
      </c>
      <c r="W2864" s="267" t="str">
        <f t="shared" si="8"/>
        <v/>
      </c>
      <c r="X2864" s="264" t="str">
        <f t="shared" si="7"/>
        <v/>
      </c>
    </row>
    <row r="2865" ht="15.75" customHeight="1">
      <c r="A2865" s="258"/>
      <c r="B2865" s="258"/>
      <c r="C2865" s="269"/>
      <c r="D2865" s="258"/>
      <c r="E2865" s="258"/>
      <c r="F2865" s="258"/>
      <c r="G2865" s="258"/>
      <c r="H2865" s="271"/>
      <c r="I2865" s="258"/>
      <c r="J2865" s="272"/>
      <c r="K2865" s="260"/>
      <c r="L2865" s="261"/>
      <c r="M2865" s="262" t="str">
        <f t="shared" si="1"/>
        <v/>
      </c>
      <c r="N2865" s="263" t="str">
        <f t="shared" si="2"/>
        <v/>
      </c>
      <c r="O2865" s="264" t="str">
        <f t="shared" si="3"/>
        <v/>
      </c>
      <c r="P2865" s="265" t="str">
        <f>IFERROR(__xludf.DUMMYFUNCTION("IF(ISBLANK(A2865),"""",IFERROR(IF(H2865=""Sell"",VLOOKUP(9^99,FILTER({ROW(P$2:P2864),P$2:P2864},D$2:D2864=D2865),2),(VLOOKUP(9^99,FILTER({ROW(P$2:P2864),P$2:P2864},D$2:D2864=D2865),2)*VLOOKUP(9^99,FILTER({ROW(O$2:O2864),O$2:O2864},D$2:D2864=D2865),2)-N286"&amp;"5)/O2865),J2865))"),"")</f>
        <v/>
      </c>
      <c r="Q2865" s="264" t="str">
        <f>IFERROR(__xludf.DUMMYFUNCTION("IFERROR(IF(F2865=""Crypto"",B2865,(IF(ISBLANK(D2865),"""",IF(D2865=""Cash"",B2865,IF(GOOGLEFINANCE(D2865,""CURRENCY"")=""GBX"",""GBP"",GOOGLEFINANCE(D2865,""CURRENCY"")))))),B2865)"),"")</f>
        <v/>
      </c>
      <c r="R2865" s="263" t="str">
        <f>IFERROR(__xludf.DUMMYFUNCTION("IF(ISBLANK(A2865),"""",IFERROR(IF(OR(Q2865=""GPB"",Q2865=""ZAR""),IF(Q2865=Dashboard!$L$1,K2865,(K2865*GOOGLEFINANCE(""CURRENCY:""&amp;Q2865&amp;""""&amp;Dashboard!$L$1&amp;""""))/100),IF(Q2865=Dashboard!$L$1,K2865,K2865*GOOGLEFINANCE(""CURRENCY:""&amp;Q2865&amp;""""&amp;Dashboard!$"&amp;"L$1&amp;""""))),K2865))"),"")</f>
        <v/>
      </c>
      <c r="S2865" s="266" t="str">
        <f>IFERROR(__xludf.DUMMYFUNCTION("IF(ISBLANK(A2865),"""",IFERROR(IF(OR(Q2865=""GPB"",Q2865=""ZAR""),IF(Q2865=Dashboard!$L$1,M2865,(M2865*GOOGLEFINANCE(""CURRENCY:""&amp;Q2865&amp;""""&amp;Dashboard!$L$1&amp;""""))/100),IF(Q2865=Dashboard!$L$1,M2865,M2865*GOOGLEFINANCE(""CURRENCY:""&amp;Q2865&amp;""""&amp;Dashboard!$"&amp;"L$1&amp;""""))),M2865))"),"")</f>
        <v/>
      </c>
      <c r="T2865" s="264" t="str">
        <f t="shared" si="4"/>
        <v/>
      </c>
      <c r="U2865" s="264" t="str">
        <f t="shared" si="5"/>
        <v/>
      </c>
      <c r="V2865" s="264" t="str">
        <f t="shared" si="6"/>
        <v/>
      </c>
      <c r="W2865" s="267" t="str">
        <f t="shared" si="8"/>
        <v/>
      </c>
      <c r="X2865" s="264" t="str">
        <f t="shared" si="7"/>
        <v/>
      </c>
    </row>
    <row r="2866" ht="15.75" customHeight="1">
      <c r="A2866" s="258"/>
      <c r="B2866" s="258"/>
      <c r="C2866" s="269"/>
      <c r="D2866" s="258"/>
      <c r="E2866" s="258"/>
      <c r="F2866" s="258"/>
      <c r="G2866" s="258"/>
      <c r="H2866" s="271"/>
      <c r="I2866" s="258"/>
      <c r="J2866" s="272"/>
      <c r="K2866" s="260"/>
      <c r="L2866" s="261"/>
      <c r="M2866" s="262" t="str">
        <f t="shared" si="1"/>
        <v/>
      </c>
      <c r="N2866" s="263" t="str">
        <f t="shared" si="2"/>
        <v/>
      </c>
      <c r="O2866" s="264" t="str">
        <f t="shared" si="3"/>
        <v/>
      </c>
      <c r="P2866" s="265" t="str">
        <f>IFERROR(__xludf.DUMMYFUNCTION("IF(ISBLANK(A2866),"""",IFERROR(IF(H2866=""Sell"",VLOOKUP(9^99,FILTER({ROW(P$2:P2865),P$2:P2865},D$2:D2865=D2866),2),(VLOOKUP(9^99,FILTER({ROW(P$2:P2865),P$2:P2865},D$2:D2865=D2866),2)*VLOOKUP(9^99,FILTER({ROW(O$2:O2865),O$2:O2865},D$2:D2865=D2866),2)-N286"&amp;"6)/O2866),J2866))"),"")</f>
        <v/>
      </c>
      <c r="Q2866" s="264" t="str">
        <f>IFERROR(__xludf.DUMMYFUNCTION("IFERROR(IF(F2866=""Crypto"",B2866,(IF(ISBLANK(D2866),"""",IF(D2866=""Cash"",B2866,IF(GOOGLEFINANCE(D2866,""CURRENCY"")=""GBX"",""GBP"",GOOGLEFINANCE(D2866,""CURRENCY"")))))),B2866)"),"")</f>
        <v/>
      </c>
      <c r="R2866" s="263" t="str">
        <f>IFERROR(__xludf.DUMMYFUNCTION("IF(ISBLANK(A2866),"""",IFERROR(IF(OR(Q2866=""GPB"",Q2866=""ZAR""),IF(Q2866=Dashboard!$L$1,K2866,(K2866*GOOGLEFINANCE(""CURRENCY:""&amp;Q2866&amp;""""&amp;Dashboard!$L$1&amp;""""))/100),IF(Q2866=Dashboard!$L$1,K2866,K2866*GOOGLEFINANCE(""CURRENCY:""&amp;Q2866&amp;""""&amp;Dashboard!$"&amp;"L$1&amp;""""))),K2866))"),"")</f>
        <v/>
      </c>
      <c r="S2866" s="266" t="str">
        <f>IFERROR(__xludf.DUMMYFUNCTION("IF(ISBLANK(A2866),"""",IFERROR(IF(OR(Q2866=""GPB"",Q2866=""ZAR""),IF(Q2866=Dashboard!$L$1,M2866,(M2866*GOOGLEFINANCE(""CURRENCY:""&amp;Q2866&amp;""""&amp;Dashboard!$L$1&amp;""""))/100),IF(Q2866=Dashboard!$L$1,M2866,M2866*GOOGLEFINANCE(""CURRENCY:""&amp;Q2866&amp;""""&amp;Dashboard!$"&amp;"L$1&amp;""""))),M2866))"),"")</f>
        <v/>
      </c>
      <c r="T2866" s="264" t="str">
        <f t="shared" si="4"/>
        <v/>
      </c>
      <c r="U2866" s="264" t="str">
        <f t="shared" si="5"/>
        <v/>
      </c>
      <c r="V2866" s="264" t="str">
        <f t="shared" si="6"/>
        <v/>
      </c>
      <c r="W2866" s="267" t="str">
        <f t="shared" si="8"/>
        <v/>
      </c>
      <c r="X2866" s="264" t="str">
        <f t="shared" si="7"/>
        <v/>
      </c>
    </row>
    <row r="2867" ht="15.75" customHeight="1">
      <c r="A2867" s="258"/>
      <c r="B2867" s="258"/>
      <c r="C2867" s="269"/>
      <c r="D2867" s="258"/>
      <c r="E2867" s="258"/>
      <c r="F2867" s="258"/>
      <c r="G2867" s="258"/>
      <c r="H2867" s="271"/>
      <c r="I2867" s="258"/>
      <c r="J2867" s="272"/>
      <c r="K2867" s="260"/>
      <c r="L2867" s="261"/>
      <c r="M2867" s="262" t="str">
        <f t="shared" si="1"/>
        <v/>
      </c>
      <c r="N2867" s="263" t="str">
        <f t="shared" si="2"/>
        <v/>
      </c>
      <c r="O2867" s="264" t="str">
        <f t="shared" si="3"/>
        <v/>
      </c>
      <c r="P2867" s="265" t="str">
        <f>IFERROR(__xludf.DUMMYFUNCTION("IF(ISBLANK(A2867),"""",IFERROR(IF(H2867=""Sell"",VLOOKUP(9^99,FILTER({ROW(P$2:P2866),P$2:P2866},D$2:D2866=D2867),2),(VLOOKUP(9^99,FILTER({ROW(P$2:P2866),P$2:P2866},D$2:D2866=D2867),2)*VLOOKUP(9^99,FILTER({ROW(O$2:O2866),O$2:O2866},D$2:D2866=D2867),2)-N286"&amp;"7)/O2867),J2867))"),"")</f>
        <v/>
      </c>
      <c r="Q2867" s="264" t="str">
        <f>IFERROR(__xludf.DUMMYFUNCTION("IFERROR(IF(F2867=""Crypto"",B2867,(IF(ISBLANK(D2867),"""",IF(D2867=""Cash"",B2867,IF(GOOGLEFINANCE(D2867,""CURRENCY"")=""GBX"",""GBP"",GOOGLEFINANCE(D2867,""CURRENCY"")))))),B2867)"),"")</f>
        <v/>
      </c>
      <c r="R2867" s="263" t="str">
        <f>IFERROR(__xludf.DUMMYFUNCTION("IF(ISBLANK(A2867),"""",IFERROR(IF(OR(Q2867=""GPB"",Q2867=""ZAR""),IF(Q2867=Dashboard!$L$1,K2867,(K2867*GOOGLEFINANCE(""CURRENCY:""&amp;Q2867&amp;""""&amp;Dashboard!$L$1&amp;""""))/100),IF(Q2867=Dashboard!$L$1,K2867,K2867*GOOGLEFINANCE(""CURRENCY:""&amp;Q2867&amp;""""&amp;Dashboard!$"&amp;"L$1&amp;""""))),K2867))"),"")</f>
        <v/>
      </c>
      <c r="S2867" s="266" t="str">
        <f>IFERROR(__xludf.DUMMYFUNCTION("IF(ISBLANK(A2867),"""",IFERROR(IF(OR(Q2867=""GPB"",Q2867=""ZAR""),IF(Q2867=Dashboard!$L$1,M2867,(M2867*GOOGLEFINANCE(""CURRENCY:""&amp;Q2867&amp;""""&amp;Dashboard!$L$1&amp;""""))/100),IF(Q2867=Dashboard!$L$1,M2867,M2867*GOOGLEFINANCE(""CURRENCY:""&amp;Q2867&amp;""""&amp;Dashboard!$"&amp;"L$1&amp;""""))),M2867))"),"")</f>
        <v/>
      </c>
      <c r="T2867" s="264" t="str">
        <f t="shared" si="4"/>
        <v/>
      </c>
      <c r="U2867" s="264" t="str">
        <f t="shared" si="5"/>
        <v/>
      </c>
      <c r="V2867" s="264" t="str">
        <f t="shared" si="6"/>
        <v/>
      </c>
      <c r="W2867" s="267" t="str">
        <f t="shared" si="8"/>
        <v/>
      </c>
      <c r="X2867" s="264" t="str">
        <f t="shared" si="7"/>
        <v/>
      </c>
    </row>
    <row r="2868" ht="15.75" customHeight="1">
      <c r="A2868" s="258"/>
      <c r="B2868" s="258"/>
      <c r="C2868" s="269"/>
      <c r="D2868" s="258"/>
      <c r="E2868" s="258"/>
      <c r="F2868" s="258"/>
      <c r="G2868" s="258"/>
      <c r="H2868" s="271"/>
      <c r="I2868" s="258"/>
      <c r="J2868" s="272"/>
      <c r="K2868" s="260"/>
      <c r="L2868" s="261"/>
      <c r="M2868" s="262" t="str">
        <f t="shared" si="1"/>
        <v/>
      </c>
      <c r="N2868" s="263" t="str">
        <f t="shared" si="2"/>
        <v/>
      </c>
      <c r="O2868" s="264" t="str">
        <f t="shared" si="3"/>
        <v/>
      </c>
      <c r="P2868" s="265" t="str">
        <f>IFERROR(__xludf.DUMMYFUNCTION("IF(ISBLANK(A2868),"""",IFERROR(IF(H2868=""Sell"",VLOOKUP(9^99,FILTER({ROW(P$2:P2867),P$2:P2867},D$2:D2867=D2868),2),(VLOOKUP(9^99,FILTER({ROW(P$2:P2867),P$2:P2867},D$2:D2867=D2868),2)*VLOOKUP(9^99,FILTER({ROW(O$2:O2867),O$2:O2867},D$2:D2867=D2868),2)-N286"&amp;"8)/O2868),J2868))"),"")</f>
        <v/>
      </c>
      <c r="Q2868" s="264" t="str">
        <f>IFERROR(__xludf.DUMMYFUNCTION("IFERROR(IF(F2868=""Crypto"",B2868,(IF(ISBLANK(D2868),"""",IF(D2868=""Cash"",B2868,IF(GOOGLEFINANCE(D2868,""CURRENCY"")=""GBX"",""GBP"",GOOGLEFINANCE(D2868,""CURRENCY"")))))),B2868)"),"")</f>
        <v/>
      </c>
      <c r="R2868" s="263" t="str">
        <f>IFERROR(__xludf.DUMMYFUNCTION("IF(ISBLANK(A2868),"""",IFERROR(IF(OR(Q2868=""GPB"",Q2868=""ZAR""),IF(Q2868=Dashboard!$L$1,K2868,(K2868*GOOGLEFINANCE(""CURRENCY:""&amp;Q2868&amp;""""&amp;Dashboard!$L$1&amp;""""))/100),IF(Q2868=Dashboard!$L$1,K2868,K2868*GOOGLEFINANCE(""CURRENCY:""&amp;Q2868&amp;""""&amp;Dashboard!$"&amp;"L$1&amp;""""))),K2868))"),"")</f>
        <v/>
      </c>
      <c r="S2868" s="266" t="str">
        <f>IFERROR(__xludf.DUMMYFUNCTION("IF(ISBLANK(A2868),"""",IFERROR(IF(OR(Q2868=""GPB"",Q2868=""ZAR""),IF(Q2868=Dashboard!$L$1,M2868,(M2868*GOOGLEFINANCE(""CURRENCY:""&amp;Q2868&amp;""""&amp;Dashboard!$L$1&amp;""""))/100),IF(Q2868=Dashboard!$L$1,M2868,M2868*GOOGLEFINANCE(""CURRENCY:""&amp;Q2868&amp;""""&amp;Dashboard!$"&amp;"L$1&amp;""""))),M2868))"),"")</f>
        <v/>
      </c>
      <c r="T2868" s="264" t="str">
        <f t="shared" si="4"/>
        <v/>
      </c>
      <c r="U2868" s="264" t="str">
        <f t="shared" si="5"/>
        <v/>
      </c>
      <c r="V2868" s="264" t="str">
        <f t="shared" si="6"/>
        <v/>
      </c>
      <c r="W2868" s="267" t="str">
        <f t="shared" si="8"/>
        <v/>
      </c>
      <c r="X2868" s="264" t="str">
        <f t="shared" si="7"/>
        <v/>
      </c>
    </row>
    <row r="2869" ht="15.75" customHeight="1">
      <c r="A2869" s="258"/>
      <c r="B2869" s="258"/>
      <c r="C2869" s="269"/>
      <c r="D2869" s="258"/>
      <c r="E2869" s="258"/>
      <c r="F2869" s="258"/>
      <c r="G2869" s="258"/>
      <c r="H2869" s="271"/>
      <c r="I2869" s="258"/>
      <c r="J2869" s="272"/>
      <c r="K2869" s="260"/>
      <c r="L2869" s="261"/>
      <c r="M2869" s="262" t="str">
        <f t="shared" si="1"/>
        <v/>
      </c>
      <c r="N2869" s="263" t="str">
        <f t="shared" si="2"/>
        <v/>
      </c>
      <c r="O2869" s="264" t="str">
        <f t="shared" si="3"/>
        <v/>
      </c>
      <c r="P2869" s="265" t="str">
        <f>IFERROR(__xludf.DUMMYFUNCTION("IF(ISBLANK(A2869),"""",IFERROR(IF(H2869=""Sell"",VLOOKUP(9^99,FILTER({ROW(P$2:P2868),P$2:P2868},D$2:D2868=D2869),2),(VLOOKUP(9^99,FILTER({ROW(P$2:P2868),P$2:P2868},D$2:D2868=D2869),2)*VLOOKUP(9^99,FILTER({ROW(O$2:O2868),O$2:O2868},D$2:D2868=D2869),2)-N286"&amp;"9)/O2869),J2869))"),"")</f>
        <v/>
      </c>
      <c r="Q2869" s="264" t="str">
        <f>IFERROR(__xludf.DUMMYFUNCTION("IFERROR(IF(F2869=""Crypto"",B2869,(IF(ISBLANK(D2869),"""",IF(D2869=""Cash"",B2869,IF(GOOGLEFINANCE(D2869,""CURRENCY"")=""GBX"",""GBP"",GOOGLEFINANCE(D2869,""CURRENCY"")))))),B2869)"),"")</f>
        <v/>
      </c>
      <c r="R2869" s="263" t="str">
        <f>IFERROR(__xludf.DUMMYFUNCTION("IF(ISBLANK(A2869),"""",IFERROR(IF(OR(Q2869=""GPB"",Q2869=""ZAR""),IF(Q2869=Dashboard!$L$1,K2869,(K2869*GOOGLEFINANCE(""CURRENCY:""&amp;Q2869&amp;""""&amp;Dashboard!$L$1&amp;""""))/100),IF(Q2869=Dashboard!$L$1,K2869,K2869*GOOGLEFINANCE(""CURRENCY:""&amp;Q2869&amp;""""&amp;Dashboard!$"&amp;"L$1&amp;""""))),K2869))"),"")</f>
        <v/>
      </c>
      <c r="S2869" s="266" t="str">
        <f>IFERROR(__xludf.DUMMYFUNCTION("IF(ISBLANK(A2869),"""",IFERROR(IF(OR(Q2869=""GPB"",Q2869=""ZAR""),IF(Q2869=Dashboard!$L$1,M2869,(M2869*GOOGLEFINANCE(""CURRENCY:""&amp;Q2869&amp;""""&amp;Dashboard!$L$1&amp;""""))/100),IF(Q2869=Dashboard!$L$1,M2869,M2869*GOOGLEFINANCE(""CURRENCY:""&amp;Q2869&amp;""""&amp;Dashboard!$"&amp;"L$1&amp;""""))),M2869))"),"")</f>
        <v/>
      </c>
      <c r="T2869" s="264" t="str">
        <f t="shared" si="4"/>
        <v/>
      </c>
      <c r="U2869" s="264" t="str">
        <f t="shared" si="5"/>
        <v/>
      </c>
      <c r="V2869" s="264" t="str">
        <f t="shared" si="6"/>
        <v/>
      </c>
      <c r="W2869" s="267" t="str">
        <f t="shared" si="8"/>
        <v/>
      </c>
      <c r="X2869" s="264" t="str">
        <f t="shared" si="7"/>
        <v/>
      </c>
    </row>
    <row r="2870" ht="15.75" customHeight="1">
      <c r="A2870" s="258"/>
      <c r="B2870" s="258"/>
      <c r="C2870" s="269"/>
      <c r="D2870" s="258"/>
      <c r="E2870" s="258"/>
      <c r="F2870" s="258"/>
      <c r="G2870" s="258"/>
      <c r="H2870" s="271"/>
      <c r="I2870" s="258"/>
      <c r="J2870" s="272"/>
      <c r="K2870" s="260"/>
      <c r="L2870" s="261"/>
      <c r="M2870" s="262" t="str">
        <f t="shared" si="1"/>
        <v/>
      </c>
      <c r="N2870" s="263" t="str">
        <f t="shared" si="2"/>
        <v/>
      </c>
      <c r="O2870" s="264" t="str">
        <f t="shared" si="3"/>
        <v/>
      </c>
      <c r="P2870" s="265" t="str">
        <f>IFERROR(__xludf.DUMMYFUNCTION("IF(ISBLANK(A2870),"""",IFERROR(IF(H2870=""Sell"",VLOOKUP(9^99,FILTER({ROW(P$2:P2869),P$2:P2869},D$2:D2869=D2870),2),(VLOOKUP(9^99,FILTER({ROW(P$2:P2869),P$2:P2869},D$2:D2869=D2870),2)*VLOOKUP(9^99,FILTER({ROW(O$2:O2869),O$2:O2869},D$2:D2869=D2870),2)-N287"&amp;"0)/O2870),J2870))"),"")</f>
        <v/>
      </c>
      <c r="Q2870" s="264" t="str">
        <f>IFERROR(__xludf.DUMMYFUNCTION("IFERROR(IF(F2870=""Crypto"",B2870,(IF(ISBLANK(D2870),"""",IF(D2870=""Cash"",B2870,IF(GOOGLEFINANCE(D2870,""CURRENCY"")=""GBX"",""GBP"",GOOGLEFINANCE(D2870,""CURRENCY"")))))),B2870)"),"")</f>
        <v/>
      </c>
      <c r="R2870" s="263" t="str">
        <f>IFERROR(__xludf.DUMMYFUNCTION("IF(ISBLANK(A2870),"""",IFERROR(IF(OR(Q2870=""GPB"",Q2870=""ZAR""),IF(Q2870=Dashboard!$L$1,K2870,(K2870*GOOGLEFINANCE(""CURRENCY:""&amp;Q2870&amp;""""&amp;Dashboard!$L$1&amp;""""))/100),IF(Q2870=Dashboard!$L$1,K2870,K2870*GOOGLEFINANCE(""CURRENCY:""&amp;Q2870&amp;""""&amp;Dashboard!$"&amp;"L$1&amp;""""))),K2870))"),"")</f>
        <v/>
      </c>
      <c r="S2870" s="266" t="str">
        <f>IFERROR(__xludf.DUMMYFUNCTION("IF(ISBLANK(A2870),"""",IFERROR(IF(OR(Q2870=""GPB"",Q2870=""ZAR""),IF(Q2870=Dashboard!$L$1,M2870,(M2870*GOOGLEFINANCE(""CURRENCY:""&amp;Q2870&amp;""""&amp;Dashboard!$L$1&amp;""""))/100),IF(Q2870=Dashboard!$L$1,M2870,M2870*GOOGLEFINANCE(""CURRENCY:""&amp;Q2870&amp;""""&amp;Dashboard!$"&amp;"L$1&amp;""""))),M2870))"),"")</f>
        <v/>
      </c>
      <c r="T2870" s="264" t="str">
        <f t="shared" si="4"/>
        <v/>
      </c>
      <c r="U2870" s="264" t="str">
        <f t="shared" si="5"/>
        <v/>
      </c>
      <c r="V2870" s="264" t="str">
        <f t="shared" si="6"/>
        <v/>
      </c>
      <c r="W2870" s="267" t="str">
        <f t="shared" si="8"/>
        <v/>
      </c>
      <c r="X2870" s="264" t="str">
        <f t="shared" si="7"/>
        <v/>
      </c>
    </row>
    <row r="2871" ht="15.75" customHeight="1">
      <c r="A2871" s="258"/>
      <c r="B2871" s="258"/>
      <c r="C2871" s="269"/>
      <c r="D2871" s="258"/>
      <c r="E2871" s="258"/>
      <c r="F2871" s="258"/>
      <c r="G2871" s="258"/>
      <c r="H2871" s="271"/>
      <c r="I2871" s="258"/>
      <c r="J2871" s="272"/>
      <c r="K2871" s="260"/>
      <c r="L2871" s="261"/>
      <c r="M2871" s="262" t="str">
        <f t="shared" si="1"/>
        <v/>
      </c>
      <c r="N2871" s="263" t="str">
        <f t="shared" si="2"/>
        <v/>
      </c>
      <c r="O2871" s="264" t="str">
        <f t="shared" si="3"/>
        <v/>
      </c>
      <c r="P2871" s="265" t="str">
        <f>IFERROR(__xludf.DUMMYFUNCTION("IF(ISBLANK(A2871),"""",IFERROR(IF(H2871=""Sell"",VLOOKUP(9^99,FILTER({ROW(P$2:P2870),P$2:P2870},D$2:D2870=D2871),2),(VLOOKUP(9^99,FILTER({ROW(P$2:P2870),P$2:P2870},D$2:D2870=D2871),2)*VLOOKUP(9^99,FILTER({ROW(O$2:O2870),O$2:O2870},D$2:D2870=D2871),2)-N287"&amp;"1)/O2871),J2871))"),"")</f>
        <v/>
      </c>
      <c r="Q2871" s="264" t="str">
        <f>IFERROR(__xludf.DUMMYFUNCTION("IFERROR(IF(F2871=""Crypto"",B2871,(IF(ISBLANK(D2871),"""",IF(D2871=""Cash"",B2871,IF(GOOGLEFINANCE(D2871,""CURRENCY"")=""GBX"",""GBP"",GOOGLEFINANCE(D2871,""CURRENCY"")))))),B2871)"),"")</f>
        <v/>
      </c>
      <c r="R2871" s="263" t="str">
        <f>IFERROR(__xludf.DUMMYFUNCTION("IF(ISBLANK(A2871),"""",IFERROR(IF(OR(Q2871=""GPB"",Q2871=""ZAR""),IF(Q2871=Dashboard!$L$1,K2871,(K2871*GOOGLEFINANCE(""CURRENCY:""&amp;Q2871&amp;""""&amp;Dashboard!$L$1&amp;""""))/100),IF(Q2871=Dashboard!$L$1,K2871,K2871*GOOGLEFINANCE(""CURRENCY:""&amp;Q2871&amp;""""&amp;Dashboard!$"&amp;"L$1&amp;""""))),K2871))"),"")</f>
        <v/>
      </c>
      <c r="S2871" s="266" t="str">
        <f>IFERROR(__xludf.DUMMYFUNCTION("IF(ISBLANK(A2871),"""",IFERROR(IF(OR(Q2871=""GPB"",Q2871=""ZAR""),IF(Q2871=Dashboard!$L$1,M2871,(M2871*GOOGLEFINANCE(""CURRENCY:""&amp;Q2871&amp;""""&amp;Dashboard!$L$1&amp;""""))/100),IF(Q2871=Dashboard!$L$1,M2871,M2871*GOOGLEFINANCE(""CURRENCY:""&amp;Q2871&amp;""""&amp;Dashboard!$"&amp;"L$1&amp;""""))),M2871))"),"")</f>
        <v/>
      </c>
      <c r="T2871" s="264" t="str">
        <f t="shared" si="4"/>
        <v/>
      </c>
      <c r="U2871" s="264" t="str">
        <f t="shared" si="5"/>
        <v/>
      </c>
      <c r="V2871" s="264" t="str">
        <f t="shared" si="6"/>
        <v/>
      </c>
      <c r="W2871" s="267" t="str">
        <f t="shared" si="8"/>
        <v/>
      </c>
      <c r="X2871" s="264" t="str">
        <f t="shared" si="7"/>
        <v/>
      </c>
    </row>
    <row r="2872" ht="15.75" customHeight="1">
      <c r="A2872" s="258"/>
      <c r="B2872" s="258"/>
      <c r="C2872" s="269"/>
      <c r="D2872" s="258"/>
      <c r="E2872" s="258"/>
      <c r="F2872" s="258"/>
      <c r="G2872" s="258"/>
      <c r="H2872" s="271"/>
      <c r="I2872" s="258"/>
      <c r="J2872" s="272"/>
      <c r="K2872" s="260"/>
      <c r="L2872" s="261"/>
      <c r="M2872" s="262" t="str">
        <f t="shared" si="1"/>
        <v/>
      </c>
      <c r="N2872" s="263" t="str">
        <f t="shared" si="2"/>
        <v/>
      </c>
      <c r="O2872" s="264" t="str">
        <f t="shared" si="3"/>
        <v/>
      </c>
      <c r="P2872" s="265" t="str">
        <f>IFERROR(__xludf.DUMMYFUNCTION("IF(ISBLANK(A2872),"""",IFERROR(IF(H2872=""Sell"",VLOOKUP(9^99,FILTER({ROW(P$2:P2871),P$2:P2871},D$2:D2871=D2872),2),(VLOOKUP(9^99,FILTER({ROW(P$2:P2871),P$2:P2871},D$2:D2871=D2872),2)*VLOOKUP(9^99,FILTER({ROW(O$2:O2871),O$2:O2871},D$2:D2871=D2872),2)-N287"&amp;"2)/O2872),J2872))"),"")</f>
        <v/>
      </c>
      <c r="Q2872" s="264" t="str">
        <f>IFERROR(__xludf.DUMMYFUNCTION("IFERROR(IF(F2872=""Crypto"",B2872,(IF(ISBLANK(D2872),"""",IF(D2872=""Cash"",B2872,IF(GOOGLEFINANCE(D2872,""CURRENCY"")=""GBX"",""GBP"",GOOGLEFINANCE(D2872,""CURRENCY"")))))),B2872)"),"")</f>
        <v/>
      </c>
      <c r="R2872" s="263" t="str">
        <f>IFERROR(__xludf.DUMMYFUNCTION("IF(ISBLANK(A2872),"""",IFERROR(IF(OR(Q2872=""GPB"",Q2872=""ZAR""),IF(Q2872=Dashboard!$L$1,K2872,(K2872*GOOGLEFINANCE(""CURRENCY:""&amp;Q2872&amp;""""&amp;Dashboard!$L$1&amp;""""))/100),IF(Q2872=Dashboard!$L$1,K2872,K2872*GOOGLEFINANCE(""CURRENCY:""&amp;Q2872&amp;""""&amp;Dashboard!$"&amp;"L$1&amp;""""))),K2872))"),"")</f>
        <v/>
      </c>
      <c r="S2872" s="266" t="str">
        <f>IFERROR(__xludf.DUMMYFUNCTION("IF(ISBLANK(A2872),"""",IFERROR(IF(OR(Q2872=""GPB"",Q2872=""ZAR""),IF(Q2872=Dashboard!$L$1,M2872,(M2872*GOOGLEFINANCE(""CURRENCY:""&amp;Q2872&amp;""""&amp;Dashboard!$L$1&amp;""""))/100),IF(Q2872=Dashboard!$L$1,M2872,M2872*GOOGLEFINANCE(""CURRENCY:""&amp;Q2872&amp;""""&amp;Dashboard!$"&amp;"L$1&amp;""""))),M2872))"),"")</f>
        <v/>
      </c>
      <c r="T2872" s="264" t="str">
        <f t="shared" si="4"/>
        <v/>
      </c>
      <c r="U2872" s="264" t="str">
        <f t="shared" si="5"/>
        <v/>
      </c>
      <c r="V2872" s="264" t="str">
        <f t="shared" si="6"/>
        <v/>
      </c>
      <c r="W2872" s="267" t="str">
        <f t="shared" si="8"/>
        <v/>
      </c>
      <c r="X2872" s="264" t="str">
        <f t="shared" si="7"/>
        <v/>
      </c>
    </row>
    <row r="2873" ht="15.75" customHeight="1">
      <c r="A2873" s="258"/>
      <c r="B2873" s="258"/>
      <c r="C2873" s="269"/>
      <c r="D2873" s="258"/>
      <c r="E2873" s="258"/>
      <c r="F2873" s="258"/>
      <c r="G2873" s="258"/>
      <c r="H2873" s="271"/>
      <c r="I2873" s="258"/>
      <c r="J2873" s="272"/>
      <c r="K2873" s="260"/>
      <c r="L2873" s="261"/>
      <c r="M2873" s="262" t="str">
        <f t="shared" si="1"/>
        <v/>
      </c>
      <c r="N2873" s="263" t="str">
        <f t="shared" si="2"/>
        <v/>
      </c>
      <c r="O2873" s="264" t="str">
        <f t="shared" si="3"/>
        <v/>
      </c>
      <c r="P2873" s="265" t="str">
        <f>IFERROR(__xludf.DUMMYFUNCTION("IF(ISBLANK(A2873),"""",IFERROR(IF(H2873=""Sell"",VLOOKUP(9^99,FILTER({ROW(P$2:P2872),P$2:P2872},D$2:D2872=D2873),2),(VLOOKUP(9^99,FILTER({ROW(P$2:P2872),P$2:P2872},D$2:D2872=D2873),2)*VLOOKUP(9^99,FILTER({ROW(O$2:O2872),O$2:O2872},D$2:D2872=D2873),2)-N287"&amp;"3)/O2873),J2873))"),"")</f>
        <v/>
      </c>
      <c r="Q2873" s="264" t="str">
        <f>IFERROR(__xludf.DUMMYFUNCTION("IFERROR(IF(F2873=""Crypto"",B2873,(IF(ISBLANK(D2873),"""",IF(D2873=""Cash"",B2873,IF(GOOGLEFINANCE(D2873,""CURRENCY"")=""GBX"",""GBP"",GOOGLEFINANCE(D2873,""CURRENCY"")))))),B2873)"),"")</f>
        <v/>
      </c>
      <c r="R2873" s="263" t="str">
        <f>IFERROR(__xludf.DUMMYFUNCTION("IF(ISBLANK(A2873),"""",IFERROR(IF(OR(Q2873=""GPB"",Q2873=""ZAR""),IF(Q2873=Dashboard!$L$1,K2873,(K2873*GOOGLEFINANCE(""CURRENCY:""&amp;Q2873&amp;""""&amp;Dashboard!$L$1&amp;""""))/100),IF(Q2873=Dashboard!$L$1,K2873,K2873*GOOGLEFINANCE(""CURRENCY:""&amp;Q2873&amp;""""&amp;Dashboard!$"&amp;"L$1&amp;""""))),K2873))"),"")</f>
        <v/>
      </c>
      <c r="S2873" s="266" t="str">
        <f>IFERROR(__xludf.DUMMYFUNCTION("IF(ISBLANK(A2873),"""",IFERROR(IF(OR(Q2873=""GPB"",Q2873=""ZAR""),IF(Q2873=Dashboard!$L$1,M2873,(M2873*GOOGLEFINANCE(""CURRENCY:""&amp;Q2873&amp;""""&amp;Dashboard!$L$1&amp;""""))/100),IF(Q2873=Dashboard!$L$1,M2873,M2873*GOOGLEFINANCE(""CURRENCY:""&amp;Q2873&amp;""""&amp;Dashboard!$"&amp;"L$1&amp;""""))),M2873))"),"")</f>
        <v/>
      </c>
      <c r="T2873" s="264" t="str">
        <f t="shared" si="4"/>
        <v/>
      </c>
      <c r="U2873" s="264" t="str">
        <f t="shared" si="5"/>
        <v/>
      </c>
      <c r="V2873" s="264" t="str">
        <f t="shared" si="6"/>
        <v/>
      </c>
      <c r="W2873" s="267" t="str">
        <f t="shared" si="8"/>
        <v/>
      </c>
      <c r="X2873" s="264" t="str">
        <f t="shared" si="7"/>
        <v/>
      </c>
    </row>
    <row r="2874" ht="15.75" customHeight="1">
      <c r="A2874" s="258"/>
      <c r="B2874" s="258"/>
      <c r="C2874" s="269"/>
      <c r="D2874" s="258"/>
      <c r="E2874" s="258"/>
      <c r="F2874" s="258"/>
      <c r="G2874" s="258"/>
      <c r="H2874" s="271"/>
      <c r="I2874" s="258"/>
      <c r="J2874" s="272"/>
      <c r="K2874" s="260"/>
      <c r="L2874" s="261"/>
      <c r="M2874" s="262" t="str">
        <f t="shared" si="1"/>
        <v/>
      </c>
      <c r="N2874" s="263" t="str">
        <f t="shared" si="2"/>
        <v/>
      </c>
      <c r="O2874" s="264" t="str">
        <f t="shared" si="3"/>
        <v/>
      </c>
      <c r="P2874" s="265" t="str">
        <f>IFERROR(__xludf.DUMMYFUNCTION("IF(ISBLANK(A2874),"""",IFERROR(IF(H2874=""Sell"",VLOOKUP(9^99,FILTER({ROW(P$2:P2873),P$2:P2873},D$2:D2873=D2874),2),(VLOOKUP(9^99,FILTER({ROW(P$2:P2873),P$2:P2873},D$2:D2873=D2874),2)*VLOOKUP(9^99,FILTER({ROW(O$2:O2873),O$2:O2873},D$2:D2873=D2874),2)-N287"&amp;"4)/O2874),J2874))"),"")</f>
        <v/>
      </c>
      <c r="Q2874" s="264" t="str">
        <f>IFERROR(__xludf.DUMMYFUNCTION("IFERROR(IF(F2874=""Crypto"",B2874,(IF(ISBLANK(D2874),"""",IF(D2874=""Cash"",B2874,IF(GOOGLEFINANCE(D2874,""CURRENCY"")=""GBX"",""GBP"",GOOGLEFINANCE(D2874,""CURRENCY"")))))),B2874)"),"")</f>
        <v/>
      </c>
      <c r="R2874" s="263" t="str">
        <f>IFERROR(__xludf.DUMMYFUNCTION("IF(ISBLANK(A2874),"""",IFERROR(IF(OR(Q2874=""GPB"",Q2874=""ZAR""),IF(Q2874=Dashboard!$L$1,K2874,(K2874*GOOGLEFINANCE(""CURRENCY:""&amp;Q2874&amp;""""&amp;Dashboard!$L$1&amp;""""))/100),IF(Q2874=Dashboard!$L$1,K2874,K2874*GOOGLEFINANCE(""CURRENCY:""&amp;Q2874&amp;""""&amp;Dashboard!$"&amp;"L$1&amp;""""))),K2874))"),"")</f>
        <v/>
      </c>
      <c r="S2874" s="266" t="str">
        <f>IFERROR(__xludf.DUMMYFUNCTION("IF(ISBLANK(A2874),"""",IFERROR(IF(OR(Q2874=""GPB"",Q2874=""ZAR""),IF(Q2874=Dashboard!$L$1,M2874,(M2874*GOOGLEFINANCE(""CURRENCY:""&amp;Q2874&amp;""""&amp;Dashboard!$L$1&amp;""""))/100),IF(Q2874=Dashboard!$L$1,M2874,M2874*GOOGLEFINANCE(""CURRENCY:""&amp;Q2874&amp;""""&amp;Dashboard!$"&amp;"L$1&amp;""""))),M2874))"),"")</f>
        <v/>
      </c>
      <c r="T2874" s="264" t="str">
        <f t="shared" si="4"/>
        <v/>
      </c>
      <c r="U2874" s="264" t="str">
        <f t="shared" si="5"/>
        <v/>
      </c>
      <c r="V2874" s="264" t="str">
        <f t="shared" si="6"/>
        <v/>
      </c>
      <c r="W2874" s="267" t="str">
        <f t="shared" si="8"/>
        <v/>
      </c>
      <c r="X2874" s="264" t="str">
        <f t="shared" si="7"/>
        <v/>
      </c>
    </row>
    <row r="2875" ht="15.75" customHeight="1">
      <c r="A2875" s="258"/>
      <c r="B2875" s="258"/>
      <c r="C2875" s="269"/>
      <c r="D2875" s="258"/>
      <c r="E2875" s="258"/>
      <c r="F2875" s="258"/>
      <c r="G2875" s="258"/>
      <c r="H2875" s="271"/>
      <c r="I2875" s="258"/>
      <c r="J2875" s="272"/>
      <c r="K2875" s="260"/>
      <c r="L2875" s="261"/>
      <c r="M2875" s="262" t="str">
        <f t="shared" si="1"/>
        <v/>
      </c>
      <c r="N2875" s="263" t="str">
        <f t="shared" si="2"/>
        <v/>
      </c>
      <c r="O2875" s="264" t="str">
        <f t="shared" si="3"/>
        <v/>
      </c>
      <c r="P2875" s="265" t="str">
        <f>IFERROR(__xludf.DUMMYFUNCTION("IF(ISBLANK(A2875),"""",IFERROR(IF(H2875=""Sell"",VLOOKUP(9^99,FILTER({ROW(P$2:P2874),P$2:P2874},D$2:D2874=D2875),2),(VLOOKUP(9^99,FILTER({ROW(P$2:P2874),P$2:P2874},D$2:D2874=D2875),2)*VLOOKUP(9^99,FILTER({ROW(O$2:O2874),O$2:O2874},D$2:D2874=D2875),2)-N287"&amp;"5)/O2875),J2875))"),"")</f>
        <v/>
      </c>
      <c r="Q2875" s="264" t="str">
        <f>IFERROR(__xludf.DUMMYFUNCTION("IFERROR(IF(F2875=""Crypto"",B2875,(IF(ISBLANK(D2875),"""",IF(D2875=""Cash"",B2875,IF(GOOGLEFINANCE(D2875,""CURRENCY"")=""GBX"",""GBP"",GOOGLEFINANCE(D2875,""CURRENCY"")))))),B2875)"),"")</f>
        <v/>
      </c>
      <c r="R2875" s="263" t="str">
        <f>IFERROR(__xludf.DUMMYFUNCTION("IF(ISBLANK(A2875),"""",IFERROR(IF(OR(Q2875=""GPB"",Q2875=""ZAR""),IF(Q2875=Dashboard!$L$1,K2875,(K2875*GOOGLEFINANCE(""CURRENCY:""&amp;Q2875&amp;""""&amp;Dashboard!$L$1&amp;""""))/100),IF(Q2875=Dashboard!$L$1,K2875,K2875*GOOGLEFINANCE(""CURRENCY:""&amp;Q2875&amp;""""&amp;Dashboard!$"&amp;"L$1&amp;""""))),K2875))"),"")</f>
        <v/>
      </c>
      <c r="S2875" s="266" t="str">
        <f>IFERROR(__xludf.DUMMYFUNCTION("IF(ISBLANK(A2875),"""",IFERROR(IF(OR(Q2875=""GPB"",Q2875=""ZAR""),IF(Q2875=Dashboard!$L$1,M2875,(M2875*GOOGLEFINANCE(""CURRENCY:""&amp;Q2875&amp;""""&amp;Dashboard!$L$1&amp;""""))/100),IF(Q2875=Dashboard!$L$1,M2875,M2875*GOOGLEFINANCE(""CURRENCY:""&amp;Q2875&amp;""""&amp;Dashboard!$"&amp;"L$1&amp;""""))),M2875))"),"")</f>
        <v/>
      </c>
      <c r="T2875" s="264" t="str">
        <f t="shared" si="4"/>
        <v/>
      </c>
      <c r="U2875" s="264" t="str">
        <f t="shared" si="5"/>
        <v/>
      </c>
      <c r="V2875" s="264" t="str">
        <f t="shared" si="6"/>
        <v/>
      </c>
      <c r="W2875" s="267" t="str">
        <f t="shared" si="8"/>
        <v/>
      </c>
      <c r="X2875" s="264" t="str">
        <f t="shared" si="7"/>
        <v/>
      </c>
    </row>
    <row r="2876" ht="15.75" customHeight="1">
      <c r="A2876" s="258"/>
      <c r="B2876" s="258"/>
      <c r="C2876" s="269"/>
      <c r="D2876" s="258"/>
      <c r="E2876" s="258"/>
      <c r="F2876" s="258"/>
      <c r="G2876" s="258"/>
      <c r="H2876" s="271"/>
      <c r="I2876" s="258"/>
      <c r="J2876" s="272"/>
      <c r="K2876" s="260"/>
      <c r="L2876" s="261"/>
      <c r="M2876" s="262" t="str">
        <f t="shared" si="1"/>
        <v/>
      </c>
      <c r="N2876" s="263" t="str">
        <f t="shared" si="2"/>
        <v/>
      </c>
      <c r="O2876" s="264" t="str">
        <f t="shared" si="3"/>
        <v/>
      </c>
      <c r="P2876" s="265" t="str">
        <f>IFERROR(__xludf.DUMMYFUNCTION("IF(ISBLANK(A2876),"""",IFERROR(IF(H2876=""Sell"",VLOOKUP(9^99,FILTER({ROW(P$2:P2875),P$2:P2875},D$2:D2875=D2876),2),(VLOOKUP(9^99,FILTER({ROW(P$2:P2875),P$2:P2875},D$2:D2875=D2876),2)*VLOOKUP(9^99,FILTER({ROW(O$2:O2875),O$2:O2875},D$2:D2875=D2876),2)-N287"&amp;"6)/O2876),J2876))"),"")</f>
        <v/>
      </c>
      <c r="Q2876" s="264" t="str">
        <f>IFERROR(__xludf.DUMMYFUNCTION("IFERROR(IF(F2876=""Crypto"",B2876,(IF(ISBLANK(D2876),"""",IF(D2876=""Cash"",B2876,IF(GOOGLEFINANCE(D2876,""CURRENCY"")=""GBX"",""GBP"",GOOGLEFINANCE(D2876,""CURRENCY"")))))),B2876)"),"")</f>
        <v/>
      </c>
      <c r="R2876" s="263" t="str">
        <f>IFERROR(__xludf.DUMMYFUNCTION("IF(ISBLANK(A2876),"""",IFERROR(IF(OR(Q2876=""GPB"",Q2876=""ZAR""),IF(Q2876=Dashboard!$L$1,K2876,(K2876*GOOGLEFINANCE(""CURRENCY:""&amp;Q2876&amp;""""&amp;Dashboard!$L$1&amp;""""))/100),IF(Q2876=Dashboard!$L$1,K2876,K2876*GOOGLEFINANCE(""CURRENCY:""&amp;Q2876&amp;""""&amp;Dashboard!$"&amp;"L$1&amp;""""))),K2876))"),"")</f>
        <v/>
      </c>
      <c r="S2876" s="266" t="str">
        <f>IFERROR(__xludf.DUMMYFUNCTION("IF(ISBLANK(A2876),"""",IFERROR(IF(OR(Q2876=""GPB"",Q2876=""ZAR""),IF(Q2876=Dashboard!$L$1,M2876,(M2876*GOOGLEFINANCE(""CURRENCY:""&amp;Q2876&amp;""""&amp;Dashboard!$L$1&amp;""""))/100),IF(Q2876=Dashboard!$L$1,M2876,M2876*GOOGLEFINANCE(""CURRENCY:""&amp;Q2876&amp;""""&amp;Dashboard!$"&amp;"L$1&amp;""""))),M2876))"),"")</f>
        <v/>
      </c>
      <c r="T2876" s="264" t="str">
        <f t="shared" si="4"/>
        <v/>
      </c>
      <c r="U2876" s="264" t="str">
        <f t="shared" si="5"/>
        <v/>
      </c>
      <c r="V2876" s="264" t="str">
        <f t="shared" si="6"/>
        <v/>
      </c>
      <c r="W2876" s="267" t="str">
        <f t="shared" si="8"/>
        <v/>
      </c>
      <c r="X2876" s="264" t="str">
        <f t="shared" si="7"/>
        <v/>
      </c>
    </row>
    <row r="2877" ht="15.75" customHeight="1">
      <c r="A2877" s="258"/>
      <c r="B2877" s="258"/>
      <c r="C2877" s="269"/>
      <c r="D2877" s="258"/>
      <c r="E2877" s="258"/>
      <c r="F2877" s="258"/>
      <c r="G2877" s="258"/>
      <c r="H2877" s="271"/>
      <c r="I2877" s="258"/>
      <c r="J2877" s="272"/>
      <c r="K2877" s="260"/>
      <c r="L2877" s="261"/>
      <c r="M2877" s="262" t="str">
        <f t="shared" si="1"/>
        <v/>
      </c>
      <c r="N2877" s="263" t="str">
        <f t="shared" si="2"/>
        <v/>
      </c>
      <c r="O2877" s="264" t="str">
        <f t="shared" si="3"/>
        <v/>
      </c>
      <c r="P2877" s="265" t="str">
        <f>IFERROR(__xludf.DUMMYFUNCTION("IF(ISBLANK(A2877),"""",IFERROR(IF(H2877=""Sell"",VLOOKUP(9^99,FILTER({ROW(P$2:P2876),P$2:P2876},D$2:D2876=D2877),2),(VLOOKUP(9^99,FILTER({ROW(P$2:P2876),P$2:P2876},D$2:D2876=D2877),2)*VLOOKUP(9^99,FILTER({ROW(O$2:O2876),O$2:O2876},D$2:D2876=D2877),2)-N287"&amp;"7)/O2877),J2877))"),"")</f>
        <v/>
      </c>
      <c r="Q2877" s="264" t="str">
        <f>IFERROR(__xludf.DUMMYFUNCTION("IFERROR(IF(F2877=""Crypto"",B2877,(IF(ISBLANK(D2877),"""",IF(D2877=""Cash"",B2877,IF(GOOGLEFINANCE(D2877,""CURRENCY"")=""GBX"",""GBP"",GOOGLEFINANCE(D2877,""CURRENCY"")))))),B2877)"),"")</f>
        <v/>
      </c>
      <c r="R2877" s="263" t="str">
        <f>IFERROR(__xludf.DUMMYFUNCTION("IF(ISBLANK(A2877),"""",IFERROR(IF(OR(Q2877=""GPB"",Q2877=""ZAR""),IF(Q2877=Dashboard!$L$1,K2877,(K2877*GOOGLEFINANCE(""CURRENCY:""&amp;Q2877&amp;""""&amp;Dashboard!$L$1&amp;""""))/100),IF(Q2877=Dashboard!$L$1,K2877,K2877*GOOGLEFINANCE(""CURRENCY:""&amp;Q2877&amp;""""&amp;Dashboard!$"&amp;"L$1&amp;""""))),K2877))"),"")</f>
        <v/>
      </c>
      <c r="S2877" s="266" t="str">
        <f>IFERROR(__xludf.DUMMYFUNCTION("IF(ISBLANK(A2877),"""",IFERROR(IF(OR(Q2877=""GPB"",Q2877=""ZAR""),IF(Q2877=Dashboard!$L$1,M2877,(M2877*GOOGLEFINANCE(""CURRENCY:""&amp;Q2877&amp;""""&amp;Dashboard!$L$1&amp;""""))/100),IF(Q2877=Dashboard!$L$1,M2877,M2877*GOOGLEFINANCE(""CURRENCY:""&amp;Q2877&amp;""""&amp;Dashboard!$"&amp;"L$1&amp;""""))),M2877))"),"")</f>
        <v/>
      </c>
      <c r="T2877" s="264" t="str">
        <f t="shared" si="4"/>
        <v/>
      </c>
      <c r="U2877" s="264" t="str">
        <f t="shared" si="5"/>
        <v/>
      </c>
      <c r="V2877" s="264" t="str">
        <f t="shared" si="6"/>
        <v/>
      </c>
      <c r="W2877" s="267" t="str">
        <f t="shared" si="8"/>
        <v/>
      </c>
      <c r="X2877" s="264" t="str">
        <f t="shared" si="7"/>
        <v/>
      </c>
    </row>
    <row r="2878" ht="15.75" customHeight="1">
      <c r="A2878" s="258"/>
      <c r="B2878" s="258"/>
      <c r="C2878" s="269"/>
      <c r="D2878" s="258"/>
      <c r="E2878" s="258"/>
      <c r="F2878" s="258"/>
      <c r="G2878" s="258"/>
      <c r="H2878" s="271"/>
      <c r="I2878" s="258"/>
      <c r="J2878" s="272"/>
      <c r="K2878" s="260"/>
      <c r="L2878" s="261"/>
      <c r="M2878" s="262" t="str">
        <f t="shared" si="1"/>
        <v/>
      </c>
      <c r="N2878" s="263" t="str">
        <f t="shared" si="2"/>
        <v/>
      </c>
      <c r="O2878" s="264" t="str">
        <f t="shared" si="3"/>
        <v/>
      </c>
      <c r="P2878" s="265" t="str">
        <f>IFERROR(__xludf.DUMMYFUNCTION("IF(ISBLANK(A2878),"""",IFERROR(IF(H2878=""Sell"",VLOOKUP(9^99,FILTER({ROW(P$2:P2877),P$2:P2877},D$2:D2877=D2878),2),(VLOOKUP(9^99,FILTER({ROW(P$2:P2877),P$2:P2877},D$2:D2877=D2878),2)*VLOOKUP(9^99,FILTER({ROW(O$2:O2877),O$2:O2877},D$2:D2877=D2878),2)-N287"&amp;"8)/O2878),J2878))"),"")</f>
        <v/>
      </c>
      <c r="Q2878" s="264" t="str">
        <f>IFERROR(__xludf.DUMMYFUNCTION("IFERROR(IF(F2878=""Crypto"",B2878,(IF(ISBLANK(D2878),"""",IF(D2878=""Cash"",B2878,IF(GOOGLEFINANCE(D2878,""CURRENCY"")=""GBX"",""GBP"",GOOGLEFINANCE(D2878,""CURRENCY"")))))),B2878)"),"")</f>
        <v/>
      </c>
      <c r="R2878" s="263" t="str">
        <f>IFERROR(__xludf.DUMMYFUNCTION("IF(ISBLANK(A2878),"""",IFERROR(IF(OR(Q2878=""GPB"",Q2878=""ZAR""),IF(Q2878=Dashboard!$L$1,K2878,(K2878*GOOGLEFINANCE(""CURRENCY:""&amp;Q2878&amp;""""&amp;Dashboard!$L$1&amp;""""))/100),IF(Q2878=Dashboard!$L$1,K2878,K2878*GOOGLEFINANCE(""CURRENCY:""&amp;Q2878&amp;""""&amp;Dashboard!$"&amp;"L$1&amp;""""))),K2878))"),"")</f>
        <v/>
      </c>
      <c r="S2878" s="266" t="str">
        <f>IFERROR(__xludf.DUMMYFUNCTION("IF(ISBLANK(A2878),"""",IFERROR(IF(OR(Q2878=""GPB"",Q2878=""ZAR""),IF(Q2878=Dashboard!$L$1,M2878,(M2878*GOOGLEFINANCE(""CURRENCY:""&amp;Q2878&amp;""""&amp;Dashboard!$L$1&amp;""""))/100),IF(Q2878=Dashboard!$L$1,M2878,M2878*GOOGLEFINANCE(""CURRENCY:""&amp;Q2878&amp;""""&amp;Dashboard!$"&amp;"L$1&amp;""""))),M2878))"),"")</f>
        <v/>
      </c>
      <c r="T2878" s="264" t="str">
        <f t="shared" si="4"/>
        <v/>
      </c>
      <c r="U2878" s="264" t="str">
        <f t="shared" si="5"/>
        <v/>
      </c>
      <c r="V2878" s="264" t="str">
        <f t="shared" si="6"/>
        <v/>
      </c>
      <c r="W2878" s="267" t="str">
        <f t="shared" si="8"/>
        <v/>
      </c>
      <c r="X2878" s="264" t="str">
        <f t="shared" si="7"/>
        <v/>
      </c>
    </row>
    <row r="2879" ht="15.75" customHeight="1">
      <c r="A2879" s="258"/>
      <c r="B2879" s="258"/>
      <c r="C2879" s="269"/>
      <c r="D2879" s="258"/>
      <c r="E2879" s="258"/>
      <c r="F2879" s="258"/>
      <c r="G2879" s="258"/>
      <c r="H2879" s="271"/>
      <c r="I2879" s="258"/>
      <c r="J2879" s="272"/>
      <c r="K2879" s="260"/>
      <c r="L2879" s="261"/>
      <c r="M2879" s="262" t="str">
        <f t="shared" si="1"/>
        <v/>
      </c>
      <c r="N2879" s="263" t="str">
        <f t="shared" si="2"/>
        <v/>
      </c>
      <c r="O2879" s="264" t="str">
        <f t="shared" si="3"/>
        <v/>
      </c>
      <c r="P2879" s="265" t="str">
        <f>IFERROR(__xludf.DUMMYFUNCTION("IF(ISBLANK(A2879),"""",IFERROR(IF(H2879=""Sell"",VLOOKUP(9^99,FILTER({ROW(P$2:P2878),P$2:P2878},D$2:D2878=D2879),2),(VLOOKUP(9^99,FILTER({ROW(P$2:P2878),P$2:P2878},D$2:D2878=D2879),2)*VLOOKUP(9^99,FILTER({ROW(O$2:O2878),O$2:O2878},D$2:D2878=D2879),2)-N287"&amp;"9)/O2879),J2879))"),"")</f>
        <v/>
      </c>
      <c r="Q2879" s="264" t="str">
        <f>IFERROR(__xludf.DUMMYFUNCTION("IFERROR(IF(F2879=""Crypto"",B2879,(IF(ISBLANK(D2879),"""",IF(D2879=""Cash"",B2879,IF(GOOGLEFINANCE(D2879,""CURRENCY"")=""GBX"",""GBP"",GOOGLEFINANCE(D2879,""CURRENCY"")))))),B2879)"),"")</f>
        <v/>
      </c>
      <c r="R2879" s="263" t="str">
        <f>IFERROR(__xludf.DUMMYFUNCTION("IF(ISBLANK(A2879),"""",IFERROR(IF(OR(Q2879=""GPB"",Q2879=""ZAR""),IF(Q2879=Dashboard!$L$1,K2879,(K2879*GOOGLEFINANCE(""CURRENCY:""&amp;Q2879&amp;""""&amp;Dashboard!$L$1&amp;""""))/100),IF(Q2879=Dashboard!$L$1,K2879,K2879*GOOGLEFINANCE(""CURRENCY:""&amp;Q2879&amp;""""&amp;Dashboard!$"&amp;"L$1&amp;""""))),K2879))"),"")</f>
        <v/>
      </c>
      <c r="S2879" s="266" t="str">
        <f>IFERROR(__xludf.DUMMYFUNCTION("IF(ISBLANK(A2879),"""",IFERROR(IF(OR(Q2879=""GPB"",Q2879=""ZAR""),IF(Q2879=Dashboard!$L$1,M2879,(M2879*GOOGLEFINANCE(""CURRENCY:""&amp;Q2879&amp;""""&amp;Dashboard!$L$1&amp;""""))/100),IF(Q2879=Dashboard!$L$1,M2879,M2879*GOOGLEFINANCE(""CURRENCY:""&amp;Q2879&amp;""""&amp;Dashboard!$"&amp;"L$1&amp;""""))),M2879))"),"")</f>
        <v/>
      </c>
      <c r="T2879" s="264" t="str">
        <f t="shared" si="4"/>
        <v/>
      </c>
      <c r="U2879" s="264" t="str">
        <f t="shared" si="5"/>
        <v/>
      </c>
      <c r="V2879" s="264" t="str">
        <f t="shared" si="6"/>
        <v/>
      </c>
      <c r="W2879" s="267" t="str">
        <f t="shared" si="8"/>
        <v/>
      </c>
      <c r="X2879" s="264" t="str">
        <f t="shared" si="7"/>
        <v/>
      </c>
    </row>
    <row r="2880" ht="15.75" customHeight="1">
      <c r="A2880" s="258"/>
      <c r="B2880" s="258"/>
      <c r="C2880" s="269"/>
      <c r="D2880" s="258"/>
      <c r="E2880" s="258"/>
      <c r="F2880" s="258"/>
      <c r="G2880" s="258"/>
      <c r="H2880" s="271"/>
      <c r="I2880" s="258"/>
      <c r="J2880" s="272"/>
      <c r="K2880" s="260"/>
      <c r="L2880" s="261"/>
      <c r="M2880" s="262" t="str">
        <f t="shared" si="1"/>
        <v/>
      </c>
      <c r="N2880" s="263" t="str">
        <f t="shared" si="2"/>
        <v/>
      </c>
      <c r="O2880" s="264" t="str">
        <f t="shared" si="3"/>
        <v/>
      </c>
      <c r="P2880" s="265" t="str">
        <f>IFERROR(__xludf.DUMMYFUNCTION("IF(ISBLANK(A2880),"""",IFERROR(IF(H2880=""Sell"",VLOOKUP(9^99,FILTER({ROW(P$2:P2879),P$2:P2879},D$2:D2879=D2880),2),(VLOOKUP(9^99,FILTER({ROW(P$2:P2879),P$2:P2879},D$2:D2879=D2880),2)*VLOOKUP(9^99,FILTER({ROW(O$2:O2879),O$2:O2879},D$2:D2879=D2880),2)-N288"&amp;"0)/O2880),J2880))"),"")</f>
        <v/>
      </c>
      <c r="Q2880" s="264" t="str">
        <f>IFERROR(__xludf.DUMMYFUNCTION("IFERROR(IF(F2880=""Crypto"",B2880,(IF(ISBLANK(D2880),"""",IF(D2880=""Cash"",B2880,IF(GOOGLEFINANCE(D2880,""CURRENCY"")=""GBX"",""GBP"",GOOGLEFINANCE(D2880,""CURRENCY"")))))),B2880)"),"")</f>
        <v/>
      </c>
      <c r="R2880" s="263" t="str">
        <f>IFERROR(__xludf.DUMMYFUNCTION("IF(ISBLANK(A2880),"""",IFERROR(IF(OR(Q2880=""GPB"",Q2880=""ZAR""),IF(Q2880=Dashboard!$L$1,K2880,(K2880*GOOGLEFINANCE(""CURRENCY:""&amp;Q2880&amp;""""&amp;Dashboard!$L$1&amp;""""))/100),IF(Q2880=Dashboard!$L$1,K2880,K2880*GOOGLEFINANCE(""CURRENCY:""&amp;Q2880&amp;""""&amp;Dashboard!$"&amp;"L$1&amp;""""))),K2880))"),"")</f>
        <v/>
      </c>
      <c r="S2880" s="266" t="str">
        <f>IFERROR(__xludf.DUMMYFUNCTION("IF(ISBLANK(A2880),"""",IFERROR(IF(OR(Q2880=""GPB"",Q2880=""ZAR""),IF(Q2880=Dashboard!$L$1,M2880,(M2880*GOOGLEFINANCE(""CURRENCY:""&amp;Q2880&amp;""""&amp;Dashboard!$L$1&amp;""""))/100),IF(Q2880=Dashboard!$L$1,M2880,M2880*GOOGLEFINANCE(""CURRENCY:""&amp;Q2880&amp;""""&amp;Dashboard!$"&amp;"L$1&amp;""""))),M2880))"),"")</f>
        <v/>
      </c>
      <c r="T2880" s="264" t="str">
        <f t="shared" si="4"/>
        <v/>
      </c>
      <c r="U2880" s="264" t="str">
        <f t="shared" si="5"/>
        <v/>
      </c>
      <c r="V2880" s="264" t="str">
        <f t="shared" si="6"/>
        <v/>
      </c>
      <c r="W2880" s="267" t="str">
        <f t="shared" si="8"/>
        <v/>
      </c>
      <c r="X2880" s="264" t="str">
        <f t="shared" si="7"/>
        <v/>
      </c>
    </row>
    <row r="2881" ht="15.75" customHeight="1">
      <c r="A2881" s="258"/>
      <c r="B2881" s="258"/>
      <c r="C2881" s="269"/>
      <c r="D2881" s="258"/>
      <c r="E2881" s="258"/>
      <c r="F2881" s="258"/>
      <c r="G2881" s="258"/>
      <c r="H2881" s="271"/>
      <c r="I2881" s="258"/>
      <c r="J2881" s="272"/>
      <c r="K2881" s="260"/>
      <c r="L2881" s="261"/>
      <c r="M2881" s="262" t="str">
        <f t="shared" si="1"/>
        <v/>
      </c>
      <c r="N2881" s="263" t="str">
        <f t="shared" si="2"/>
        <v/>
      </c>
      <c r="O2881" s="264" t="str">
        <f t="shared" si="3"/>
        <v/>
      </c>
      <c r="P2881" s="265" t="str">
        <f>IFERROR(__xludf.DUMMYFUNCTION("IF(ISBLANK(A2881),"""",IFERROR(IF(H2881=""Sell"",VLOOKUP(9^99,FILTER({ROW(P$2:P2880),P$2:P2880},D$2:D2880=D2881),2),(VLOOKUP(9^99,FILTER({ROW(P$2:P2880),P$2:P2880},D$2:D2880=D2881),2)*VLOOKUP(9^99,FILTER({ROW(O$2:O2880),O$2:O2880},D$2:D2880=D2881),2)-N288"&amp;"1)/O2881),J2881))"),"")</f>
        <v/>
      </c>
      <c r="Q2881" s="264" t="str">
        <f>IFERROR(__xludf.DUMMYFUNCTION("IFERROR(IF(F2881=""Crypto"",B2881,(IF(ISBLANK(D2881),"""",IF(D2881=""Cash"",B2881,IF(GOOGLEFINANCE(D2881,""CURRENCY"")=""GBX"",""GBP"",GOOGLEFINANCE(D2881,""CURRENCY"")))))),B2881)"),"")</f>
        <v/>
      </c>
      <c r="R2881" s="263" t="str">
        <f>IFERROR(__xludf.DUMMYFUNCTION("IF(ISBLANK(A2881),"""",IFERROR(IF(OR(Q2881=""GPB"",Q2881=""ZAR""),IF(Q2881=Dashboard!$L$1,K2881,(K2881*GOOGLEFINANCE(""CURRENCY:""&amp;Q2881&amp;""""&amp;Dashboard!$L$1&amp;""""))/100),IF(Q2881=Dashboard!$L$1,K2881,K2881*GOOGLEFINANCE(""CURRENCY:""&amp;Q2881&amp;""""&amp;Dashboard!$"&amp;"L$1&amp;""""))),K2881))"),"")</f>
        <v/>
      </c>
      <c r="S2881" s="266" t="str">
        <f>IFERROR(__xludf.DUMMYFUNCTION("IF(ISBLANK(A2881),"""",IFERROR(IF(OR(Q2881=""GPB"",Q2881=""ZAR""),IF(Q2881=Dashboard!$L$1,M2881,(M2881*GOOGLEFINANCE(""CURRENCY:""&amp;Q2881&amp;""""&amp;Dashboard!$L$1&amp;""""))/100),IF(Q2881=Dashboard!$L$1,M2881,M2881*GOOGLEFINANCE(""CURRENCY:""&amp;Q2881&amp;""""&amp;Dashboard!$"&amp;"L$1&amp;""""))),M2881))"),"")</f>
        <v/>
      </c>
      <c r="T2881" s="264" t="str">
        <f t="shared" si="4"/>
        <v/>
      </c>
      <c r="U2881" s="264" t="str">
        <f t="shared" si="5"/>
        <v/>
      </c>
      <c r="V2881" s="264" t="str">
        <f t="shared" si="6"/>
        <v/>
      </c>
      <c r="W2881" s="267" t="str">
        <f t="shared" si="8"/>
        <v/>
      </c>
      <c r="X2881" s="264" t="str">
        <f t="shared" si="7"/>
        <v/>
      </c>
    </row>
    <row r="2882" ht="15.75" customHeight="1">
      <c r="A2882" s="258"/>
      <c r="B2882" s="258"/>
      <c r="C2882" s="269"/>
      <c r="D2882" s="258"/>
      <c r="E2882" s="258"/>
      <c r="F2882" s="258"/>
      <c r="G2882" s="258"/>
      <c r="H2882" s="271"/>
      <c r="I2882" s="258"/>
      <c r="J2882" s="272"/>
      <c r="K2882" s="260"/>
      <c r="L2882" s="261"/>
      <c r="M2882" s="262" t="str">
        <f t="shared" si="1"/>
        <v/>
      </c>
      <c r="N2882" s="263" t="str">
        <f t="shared" si="2"/>
        <v/>
      </c>
      <c r="O2882" s="264" t="str">
        <f t="shared" si="3"/>
        <v/>
      </c>
      <c r="P2882" s="265" t="str">
        <f>IFERROR(__xludf.DUMMYFUNCTION("IF(ISBLANK(A2882),"""",IFERROR(IF(H2882=""Sell"",VLOOKUP(9^99,FILTER({ROW(P$2:P2881),P$2:P2881},D$2:D2881=D2882),2),(VLOOKUP(9^99,FILTER({ROW(P$2:P2881),P$2:P2881},D$2:D2881=D2882),2)*VLOOKUP(9^99,FILTER({ROW(O$2:O2881),O$2:O2881},D$2:D2881=D2882),2)-N288"&amp;"2)/O2882),J2882))"),"")</f>
        <v/>
      </c>
      <c r="Q2882" s="264" t="str">
        <f>IFERROR(__xludf.DUMMYFUNCTION("IFERROR(IF(F2882=""Crypto"",B2882,(IF(ISBLANK(D2882),"""",IF(D2882=""Cash"",B2882,IF(GOOGLEFINANCE(D2882,""CURRENCY"")=""GBX"",""GBP"",GOOGLEFINANCE(D2882,""CURRENCY"")))))),B2882)"),"")</f>
        <v/>
      </c>
      <c r="R2882" s="263" t="str">
        <f>IFERROR(__xludf.DUMMYFUNCTION("IF(ISBLANK(A2882),"""",IFERROR(IF(OR(Q2882=""GPB"",Q2882=""ZAR""),IF(Q2882=Dashboard!$L$1,K2882,(K2882*GOOGLEFINANCE(""CURRENCY:""&amp;Q2882&amp;""""&amp;Dashboard!$L$1&amp;""""))/100),IF(Q2882=Dashboard!$L$1,K2882,K2882*GOOGLEFINANCE(""CURRENCY:""&amp;Q2882&amp;""""&amp;Dashboard!$"&amp;"L$1&amp;""""))),K2882))"),"")</f>
        <v/>
      </c>
      <c r="S2882" s="266" t="str">
        <f>IFERROR(__xludf.DUMMYFUNCTION("IF(ISBLANK(A2882),"""",IFERROR(IF(OR(Q2882=""GPB"",Q2882=""ZAR""),IF(Q2882=Dashboard!$L$1,M2882,(M2882*GOOGLEFINANCE(""CURRENCY:""&amp;Q2882&amp;""""&amp;Dashboard!$L$1&amp;""""))/100),IF(Q2882=Dashboard!$L$1,M2882,M2882*GOOGLEFINANCE(""CURRENCY:""&amp;Q2882&amp;""""&amp;Dashboard!$"&amp;"L$1&amp;""""))),M2882))"),"")</f>
        <v/>
      </c>
      <c r="T2882" s="264" t="str">
        <f t="shared" si="4"/>
        <v/>
      </c>
      <c r="U2882" s="264" t="str">
        <f t="shared" si="5"/>
        <v/>
      </c>
      <c r="V2882" s="264" t="str">
        <f t="shared" si="6"/>
        <v/>
      </c>
      <c r="W2882" s="267" t="str">
        <f t="shared" si="8"/>
        <v/>
      </c>
      <c r="X2882" s="264" t="str">
        <f t="shared" si="7"/>
        <v/>
      </c>
    </row>
    <row r="2883" ht="15.75" customHeight="1">
      <c r="A2883" s="258"/>
      <c r="B2883" s="258"/>
      <c r="C2883" s="269"/>
      <c r="D2883" s="258"/>
      <c r="E2883" s="258"/>
      <c r="F2883" s="258"/>
      <c r="G2883" s="258"/>
      <c r="H2883" s="271"/>
      <c r="I2883" s="258"/>
      <c r="J2883" s="272"/>
      <c r="K2883" s="260"/>
      <c r="L2883" s="261"/>
      <c r="M2883" s="262" t="str">
        <f t="shared" si="1"/>
        <v/>
      </c>
      <c r="N2883" s="263" t="str">
        <f t="shared" si="2"/>
        <v/>
      </c>
      <c r="O2883" s="264" t="str">
        <f t="shared" si="3"/>
        <v/>
      </c>
      <c r="P2883" s="265" t="str">
        <f>IFERROR(__xludf.DUMMYFUNCTION("IF(ISBLANK(A2883),"""",IFERROR(IF(H2883=""Sell"",VLOOKUP(9^99,FILTER({ROW(P$2:P2882),P$2:P2882},D$2:D2882=D2883),2),(VLOOKUP(9^99,FILTER({ROW(P$2:P2882),P$2:P2882},D$2:D2882=D2883),2)*VLOOKUP(9^99,FILTER({ROW(O$2:O2882),O$2:O2882},D$2:D2882=D2883),2)-N288"&amp;"3)/O2883),J2883))"),"")</f>
        <v/>
      </c>
      <c r="Q2883" s="264" t="str">
        <f>IFERROR(__xludf.DUMMYFUNCTION("IFERROR(IF(F2883=""Crypto"",B2883,(IF(ISBLANK(D2883),"""",IF(D2883=""Cash"",B2883,IF(GOOGLEFINANCE(D2883,""CURRENCY"")=""GBX"",""GBP"",GOOGLEFINANCE(D2883,""CURRENCY"")))))),B2883)"),"")</f>
        <v/>
      </c>
      <c r="R2883" s="263" t="str">
        <f>IFERROR(__xludf.DUMMYFUNCTION("IF(ISBLANK(A2883),"""",IFERROR(IF(OR(Q2883=""GPB"",Q2883=""ZAR""),IF(Q2883=Dashboard!$L$1,K2883,(K2883*GOOGLEFINANCE(""CURRENCY:""&amp;Q2883&amp;""""&amp;Dashboard!$L$1&amp;""""))/100),IF(Q2883=Dashboard!$L$1,K2883,K2883*GOOGLEFINANCE(""CURRENCY:""&amp;Q2883&amp;""""&amp;Dashboard!$"&amp;"L$1&amp;""""))),K2883))"),"")</f>
        <v/>
      </c>
      <c r="S2883" s="266" t="str">
        <f>IFERROR(__xludf.DUMMYFUNCTION("IF(ISBLANK(A2883),"""",IFERROR(IF(OR(Q2883=""GPB"",Q2883=""ZAR""),IF(Q2883=Dashboard!$L$1,M2883,(M2883*GOOGLEFINANCE(""CURRENCY:""&amp;Q2883&amp;""""&amp;Dashboard!$L$1&amp;""""))/100),IF(Q2883=Dashboard!$L$1,M2883,M2883*GOOGLEFINANCE(""CURRENCY:""&amp;Q2883&amp;""""&amp;Dashboard!$"&amp;"L$1&amp;""""))),M2883))"),"")</f>
        <v/>
      </c>
      <c r="T2883" s="264" t="str">
        <f t="shared" si="4"/>
        <v/>
      </c>
      <c r="U2883" s="264" t="str">
        <f t="shared" si="5"/>
        <v/>
      </c>
      <c r="V2883" s="264" t="str">
        <f t="shared" si="6"/>
        <v/>
      </c>
      <c r="W2883" s="267" t="str">
        <f t="shared" si="8"/>
        <v/>
      </c>
      <c r="X2883" s="264" t="str">
        <f t="shared" si="7"/>
        <v/>
      </c>
    </row>
    <row r="2884" ht="15.75" customHeight="1">
      <c r="A2884" s="258"/>
      <c r="B2884" s="258"/>
      <c r="C2884" s="269"/>
      <c r="D2884" s="258"/>
      <c r="E2884" s="258"/>
      <c r="F2884" s="258"/>
      <c r="G2884" s="258"/>
      <c r="H2884" s="271"/>
      <c r="I2884" s="258"/>
      <c r="J2884" s="272"/>
      <c r="K2884" s="260"/>
      <c r="L2884" s="261"/>
      <c r="M2884" s="262" t="str">
        <f t="shared" si="1"/>
        <v/>
      </c>
      <c r="N2884" s="263" t="str">
        <f t="shared" si="2"/>
        <v/>
      </c>
      <c r="O2884" s="264" t="str">
        <f t="shared" si="3"/>
        <v/>
      </c>
      <c r="P2884" s="265" t="str">
        <f>IFERROR(__xludf.DUMMYFUNCTION("IF(ISBLANK(A2884),"""",IFERROR(IF(H2884=""Sell"",VLOOKUP(9^99,FILTER({ROW(P$2:P2883),P$2:P2883},D$2:D2883=D2884),2),(VLOOKUP(9^99,FILTER({ROW(P$2:P2883),P$2:P2883},D$2:D2883=D2884),2)*VLOOKUP(9^99,FILTER({ROW(O$2:O2883),O$2:O2883},D$2:D2883=D2884),2)-N288"&amp;"4)/O2884),J2884))"),"")</f>
        <v/>
      </c>
      <c r="Q2884" s="264" t="str">
        <f>IFERROR(__xludf.DUMMYFUNCTION("IFERROR(IF(F2884=""Crypto"",B2884,(IF(ISBLANK(D2884),"""",IF(D2884=""Cash"",B2884,IF(GOOGLEFINANCE(D2884,""CURRENCY"")=""GBX"",""GBP"",GOOGLEFINANCE(D2884,""CURRENCY"")))))),B2884)"),"")</f>
        <v/>
      </c>
      <c r="R2884" s="263" t="str">
        <f>IFERROR(__xludf.DUMMYFUNCTION("IF(ISBLANK(A2884),"""",IFERROR(IF(OR(Q2884=""GPB"",Q2884=""ZAR""),IF(Q2884=Dashboard!$L$1,K2884,(K2884*GOOGLEFINANCE(""CURRENCY:""&amp;Q2884&amp;""""&amp;Dashboard!$L$1&amp;""""))/100),IF(Q2884=Dashboard!$L$1,K2884,K2884*GOOGLEFINANCE(""CURRENCY:""&amp;Q2884&amp;""""&amp;Dashboard!$"&amp;"L$1&amp;""""))),K2884))"),"")</f>
        <v/>
      </c>
      <c r="S2884" s="266" t="str">
        <f>IFERROR(__xludf.DUMMYFUNCTION("IF(ISBLANK(A2884),"""",IFERROR(IF(OR(Q2884=""GPB"",Q2884=""ZAR""),IF(Q2884=Dashboard!$L$1,M2884,(M2884*GOOGLEFINANCE(""CURRENCY:""&amp;Q2884&amp;""""&amp;Dashboard!$L$1&amp;""""))/100),IF(Q2884=Dashboard!$L$1,M2884,M2884*GOOGLEFINANCE(""CURRENCY:""&amp;Q2884&amp;""""&amp;Dashboard!$"&amp;"L$1&amp;""""))),M2884))"),"")</f>
        <v/>
      </c>
      <c r="T2884" s="264" t="str">
        <f t="shared" si="4"/>
        <v/>
      </c>
      <c r="U2884" s="264" t="str">
        <f t="shared" si="5"/>
        <v/>
      </c>
      <c r="V2884" s="264" t="str">
        <f t="shared" si="6"/>
        <v/>
      </c>
      <c r="W2884" s="267" t="str">
        <f t="shared" si="8"/>
        <v/>
      </c>
      <c r="X2884" s="264" t="str">
        <f t="shared" si="7"/>
        <v/>
      </c>
    </row>
    <row r="2885" ht="15.75" customHeight="1">
      <c r="A2885" s="258"/>
      <c r="B2885" s="258"/>
      <c r="C2885" s="269"/>
      <c r="D2885" s="258"/>
      <c r="E2885" s="258"/>
      <c r="F2885" s="258"/>
      <c r="G2885" s="258"/>
      <c r="H2885" s="271"/>
      <c r="I2885" s="258"/>
      <c r="J2885" s="272"/>
      <c r="K2885" s="260"/>
      <c r="L2885" s="261"/>
      <c r="M2885" s="262" t="str">
        <f t="shared" si="1"/>
        <v/>
      </c>
      <c r="N2885" s="263" t="str">
        <f t="shared" si="2"/>
        <v/>
      </c>
      <c r="O2885" s="264" t="str">
        <f t="shared" si="3"/>
        <v/>
      </c>
      <c r="P2885" s="265" t="str">
        <f>IFERROR(__xludf.DUMMYFUNCTION("IF(ISBLANK(A2885),"""",IFERROR(IF(H2885=""Sell"",VLOOKUP(9^99,FILTER({ROW(P$2:P2884),P$2:P2884},D$2:D2884=D2885),2),(VLOOKUP(9^99,FILTER({ROW(P$2:P2884),P$2:P2884},D$2:D2884=D2885),2)*VLOOKUP(9^99,FILTER({ROW(O$2:O2884),O$2:O2884},D$2:D2884=D2885),2)-N288"&amp;"5)/O2885),J2885))"),"")</f>
        <v/>
      </c>
      <c r="Q2885" s="264" t="str">
        <f>IFERROR(__xludf.DUMMYFUNCTION("IFERROR(IF(F2885=""Crypto"",B2885,(IF(ISBLANK(D2885),"""",IF(D2885=""Cash"",B2885,IF(GOOGLEFINANCE(D2885,""CURRENCY"")=""GBX"",""GBP"",GOOGLEFINANCE(D2885,""CURRENCY"")))))),B2885)"),"")</f>
        <v/>
      </c>
      <c r="R2885" s="263" t="str">
        <f>IFERROR(__xludf.DUMMYFUNCTION("IF(ISBLANK(A2885),"""",IFERROR(IF(OR(Q2885=""GPB"",Q2885=""ZAR""),IF(Q2885=Dashboard!$L$1,K2885,(K2885*GOOGLEFINANCE(""CURRENCY:""&amp;Q2885&amp;""""&amp;Dashboard!$L$1&amp;""""))/100),IF(Q2885=Dashboard!$L$1,K2885,K2885*GOOGLEFINANCE(""CURRENCY:""&amp;Q2885&amp;""""&amp;Dashboard!$"&amp;"L$1&amp;""""))),K2885))"),"")</f>
        <v/>
      </c>
      <c r="S2885" s="266" t="str">
        <f>IFERROR(__xludf.DUMMYFUNCTION("IF(ISBLANK(A2885),"""",IFERROR(IF(OR(Q2885=""GPB"",Q2885=""ZAR""),IF(Q2885=Dashboard!$L$1,M2885,(M2885*GOOGLEFINANCE(""CURRENCY:""&amp;Q2885&amp;""""&amp;Dashboard!$L$1&amp;""""))/100),IF(Q2885=Dashboard!$L$1,M2885,M2885*GOOGLEFINANCE(""CURRENCY:""&amp;Q2885&amp;""""&amp;Dashboard!$"&amp;"L$1&amp;""""))),M2885))"),"")</f>
        <v/>
      </c>
      <c r="T2885" s="264" t="str">
        <f t="shared" si="4"/>
        <v/>
      </c>
      <c r="U2885" s="264" t="str">
        <f t="shared" si="5"/>
        <v/>
      </c>
      <c r="V2885" s="264" t="str">
        <f t="shared" si="6"/>
        <v/>
      </c>
      <c r="W2885" s="267" t="str">
        <f t="shared" si="8"/>
        <v/>
      </c>
      <c r="X2885" s="264" t="str">
        <f t="shared" si="7"/>
        <v/>
      </c>
    </row>
  </sheetData>
  <autoFilter ref="$A$2:$X$2885"/>
  <mergeCells count="4">
    <mergeCell ref="A1:M1"/>
    <mergeCell ref="N1:P1"/>
    <mergeCell ref="Q1:S1"/>
    <mergeCell ref="T1:W1"/>
  </mergeCells>
  <conditionalFormatting sqref="M3:M2885">
    <cfRule type="notContainsBlanks" dxfId="14" priority="1">
      <formula>LEN(TRIM(M3))&gt;0</formula>
    </cfRule>
  </conditionalFormatting>
  <conditionalFormatting sqref="K3:K2885">
    <cfRule type="cellIs" dxfId="15" priority="2" operator="greaterThan">
      <formula>0</formula>
    </cfRule>
  </conditionalFormatting>
  <conditionalFormatting sqref="H3:H2885">
    <cfRule type="cellIs" dxfId="16" priority="3" operator="equal">
      <formula>"Transfer Send"</formula>
    </cfRule>
  </conditionalFormatting>
  <conditionalFormatting sqref="H3:H2885">
    <cfRule type="cellIs" dxfId="17" priority="4" operator="equal">
      <formula>"Transfer Deposit"</formula>
    </cfRule>
  </conditionalFormatting>
  <conditionalFormatting sqref="H3:H2885">
    <cfRule type="cellIs" dxfId="18" priority="5" operator="equal">
      <formula>"DRIP"</formula>
    </cfRule>
  </conditionalFormatting>
  <conditionalFormatting sqref="H3:H2885">
    <cfRule type="cellIs" dxfId="18" priority="6" operator="equal">
      <formula>"Dividend"</formula>
    </cfRule>
  </conditionalFormatting>
  <conditionalFormatting sqref="H3:H2885">
    <cfRule type="cellIs" dxfId="18" priority="7" operator="equal">
      <formula>"Crypto Interest"</formula>
    </cfRule>
  </conditionalFormatting>
  <conditionalFormatting sqref="F3:F2885">
    <cfRule type="cellIs" dxfId="19" priority="8" operator="equal">
      <formula>"Cash"</formula>
    </cfRule>
  </conditionalFormatting>
  <conditionalFormatting sqref="A3:L2885">
    <cfRule type="expression" dxfId="20" priority="9">
      <formula>$A3&lt;&gt;""</formula>
    </cfRule>
  </conditionalFormatting>
  <conditionalFormatting sqref="R3:R2885">
    <cfRule type="cellIs" dxfId="21" priority="10" operator="greaterThan">
      <formula>0</formula>
    </cfRule>
  </conditionalFormatting>
  <conditionalFormatting sqref="N3:X2885">
    <cfRule type="notContainsBlanks" dxfId="22" priority="11">
      <formula>LEN(TRIM(N3))&gt;0</formula>
    </cfRule>
  </conditionalFormatting>
  <dataValidations>
    <dataValidation type="list" allowBlank="1" sqref="F3:F2885">
      <formula1>"Cash,Stock,ETF,Crypto,Stablecoin,Commodity,Managed Fund,REIT"</formula1>
    </dataValidation>
    <dataValidation type="list" allowBlank="1" sqref="G3:G2885">
      <formula1>"Energy,Materials,Industrials,Utilities,Healthcare,Financials,Consumer Discretionary,Consumer Staples,Information Technology,Communication Services,Real Estate,ETF,Crypto,Stablecoin,Managed Fund,Sport"</formula1>
    </dataValidation>
    <dataValidation type="list" allowBlank="1" sqref="H3:H2885">
      <formula1>"Cash Deposit,Buy,Sell,Transfer Send,Transfer Deposit,Crypto Interest,DRIP,Dividend,Cash Withdrawal"</formula1>
    </dataValidation>
    <dataValidation type="custom" allowBlank="1" showDropDown="1" sqref="C3:C2885">
      <formula1>OR(NOT(ISERROR(DATEVALUE(C3))), AND(ISNUMBER(C3), LEFT(CELL("format", C3))="D"))</formula1>
    </dataValidation>
  </dataValidation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Right="0"/>
  </sheetPr>
  <sheetViews>
    <sheetView showGridLines="0"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outlineLevelRow="1"/>
  <cols>
    <col customWidth="1" min="1" max="1" width="1.88"/>
    <col customWidth="1" min="2" max="2" width="12.63"/>
    <col customWidth="1" min="3" max="3" width="46.0"/>
    <col customWidth="1" min="4" max="4" width="9.63"/>
    <col customWidth="1" min="5" max="5" width="10.25"/>
    <col customWidth="1" min="6" max="6" width="8.63"/>
    <col customWidth="1" min="7" max="7" width="2.88"/>
    <col customWidth="1" min="8" max="8" width="5.5"/>
    <col customWidth="1" min="9" max="9" width="9.38"/>
    <col customWidth="1" min="10" max="10" width="8.63"/>
    <col customWidth="1" min="11" max="11" width="7.13"/>
    <col customWidth="1" min="12" max="12" width="6.63"/>
    <col customWidth="1" min="13" max="13" width="10.13"/>
    <col customWidth="1" min="14" max="14" width="7.25"/>
    <col customWidth="1" min="15" max="15" width="8.38"/>
    <col customWidth="1" min="16" max="16" width="11.5"/>
    <col customWidth="1" min="17" max="17" width="8.38"/>
    <col customWidth="1" min="18" max="18" width="11.88"/>
    <col customWidth="1" min="19" max="19" width="6.0"/>
    <col customWidth="1" min="20" max="20" width="11.88"/>
    <col customWidth="1" min="21" max="21" width="5.88"/>
    <col customWidth="1" min="22" max="22" width="11.75"/>
    <col customWidth="1" min="23" max="23" width="8.88"/>
    <col customWidth="1" min="24" max="24" width="8.63"/>
    <col customWidth="1" min="25" max="25" width="13.88"/>
    <col customWidth="1" min="26" max="26" width="13.5"/>
    <col customWidth="1" min="27" max="27" width="6.88"/>
    <col customWidth="1" min="28" max="28" width="5.5"/>
    <col customWidth="1" min="29" max="29" width="12.13"/>
    <col customWidth="1" min="30" max="31" width="10.75"/>
    <col customWidth="1" min="32" max="32" width="18.75"/>
    <col customWidth="1" min="33" max="33" width="1.63"/>
    <col customWidth="1" hidden="1" min="34" max="34" width="2.75"/>
    <col hidden="1" min="35" max="42" width="12.63"/>
  </cols>
  <sheetData>
    <row r="1" outlineLevel="1">
      <c r="A1" s="13"/>
      <c r="B1" s="273" t="s">
        <v>88</v>
      </c>
      <c r="C1" s="274" t="s">
        <v>12</v>
      </c>
      <c r="D1" s="274" t="s">
        <v>139</v>
      </c>
      <c r="E1" s="275" t="s">
        <v>140</v>
      </c>
      <c r="F1" s="274" t="s">
        <v>141</v>
      </c>
      <c r="G1" s="276">
        <v>90.0</v>
      </c>
      <c r="H1" s="274" t="s">
        <v>142</v>
      </c>
      <c r="I1" s="274" t="s">
        <v>16</v>
      </c>
      <c r="J1" s="274" t="s">
        <v>143</v>
      </c>
      <c r="K1" s="274" t="s">
        <v>144</v>
      </c>
      <c r="L1" s="274" t="s">
        <v>145</v>
      </c>
      <c r="M1" s="274" t="s">
        <v>96</v>
      </c>
      <c r="N1" s="274" t="s">
        <v>97</v>
      </c>
      <c r="O1" s="274" t="s">
        <v>32</v>
      </c>
      <c r="P1" s="274" t="s">
        <v>146</v>
      </c>
      <c r="Q1" s="274" t="s">
        <v>30</v>
      </c>
      <c r="R1" s="274" t="s">
        <v>147</v>
      </c>
      <c r="S1" s="274" t="s">
        <v>148</v>
      </c>
      <c r="T1" s="277">
        <v>0.5</v>
      </c>
      <c r="U1" s="274" t="s">
        <v>149</v>
      </c>
      <c r="V1" s="277">
        <v>0.85</v>
      </c>
      <c r="W1" s="274" t="s">
        <v>36</v>
      </c>
      <c r="X1" s="274" t="s">
        <v>143</v>
      </c>
      <c r="Y1" s="278">
        <v>5.0</v>
      </c>
      <c r="Z1" s="279">
        <v>5.0</v>
      </c>
      <c r="AA1" s="274" t="s">
        <v>21</v>
      </c>
      <c r="AB1" s="274" t="s">
        <v>25</v>
      </c>
      <c r="AC1" s="280">
        <v>250.0</v>
      </c>
      <c r="AD1" s="274" t="s">
        <v>102</v>
      </c>
      <c r="AE1" s="274" t="s">
        <v>150</v>
      </c>
      <c r="AF1" s="281" t="s">
        <v>112</v>
      </c>
      <c r="AG1" s="21"/>
      <c r="AH1" s="282"/>
      <c r="AI1" s="13"/>
      <c r="AJ1" s="13"/>
      <c r="AK1" s="13"/>
      <c r="AL1" s="13"/>
      <c r="AM1" s="13"/>
      <c r="AN1" s="13"/>
      <c r="AO1" s="13"/>
      <c r="AP1" s="13"/>
    </row>
    <row r="2" ht="18.75" customHeight="1" outlineLevel="1">
      <c r="A2" s="21"/>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83"/>
      <c r="AG2" s="21"/>
      <c r="AH2" s="284"/>
      <c r="AI2" s="285" t="s">
        <v>151</v>
      </c>
      <c r="AJ2" s="285" t="s">
        <v>152</v>
      </c>
      <c r="AK2" s="286"/>
      <c r="AL2" s="286"/>
      <c r="AM2" s="286"/>
      <c r="AN2" s="286"/>
      <c r="AO2" s="21"/>
      <c r="AP2" s="21"/>
    </row>
    <row r="3" ht="18.75" customHeight="1" outlineLevel="1">
      <c r="A3" s="21"/>
      <c r="B3" s="21"/>
      <c r="C3" s="21"/>
      <c r="D3" s="21"/>
      <c r="E3" s="21"/>
      <c r="F3" s="21"/>
      <c r="G3" s="21"/>
      <c r="H3" s="21"/>
      <c r="I3" s="21"/>
      <c r="J3" s="21"/>
      <c r="K3" s="21"/>
      <c r="L3" s="21"/>
      <c r="M3" s="21"/>
      <c r="N3" s="21"/>
      <c r="O3" s="21"/>
      <c r="P3" s="21"/>
      <c r="Q3" s="21"/>
      <c r="R3" s="21"/>
      <c r="S3" s="21"/>
      <c r="T3" s="21"/>
      <c r="U3" s="287" t="str">
        <f>IFERROR(__xludf.DUMMYFUNCTION("IFERROR(""Screener in ""&amp;GOOGLEFINANCE(W3,""CURRENCY""),""Screener"")"),"Screener in USD")</f>
        <v>Screener in USD</v>
      </c>
      <c r="V3" s="86"/>
      <c r="W3" s="288" t="s">
        <v>6</v>
      </c>
      <c r="X3" s="289">
        <v>30.0</v>
      </c>
      <c r="Y3" s="86"/>
      <c r="Z3" s="290">
        <v>365.0</v>
      </c>
      <c r="AA3" s="86"/>
      <c r="AB3" s="87"/>
      <c r="AC3" s="21"/>
      <c r="AD3" s="21"/>
      <c r="AE3" s="21"/>
      <c r="AF3" s="283"/>
      <c r="AG3" s="21"/>
      <c r="AH3" s="291"/>
      <c r="AI3" s="291" t="s">
        <v>16</v>
      </c>
      <c r="AJ3" s="292" t="s">
        <v>153</v>
      </c>
      <c r="AO3" s="21"/>
      <c r="AP3" s="21"/>
    </row>
    <row r="4" ht="18.75" customHeight="1" outlineLevel="1">
      <c r="A4" s="21"/>
      <c r="B4" s="21"/>
      <c r="C4" s="21"/>
      <c r="D4" s="21"/>
      <c r="E4" s="21"/>
      <c r="F4" s="21"/>
      <c r="G4" s="21"/>
      <c r="H4" s="21"/>
      <c r="I4" s="21"/>
      <c r="J4" s="21"/>
      <c r="K4" s="21"/>
      <c r="L4" s="21"/>
      <c r="M4" s="21"/>
      <c r="N4" s="21"/>
      <c r="O4" s="21"/>
      <c r="P4" s="21"/>
      <c r="Q4" s="21"/>
      <c r="R4" s="21"/>
      <c r="S4" s="21"/>
      <c r="T4" s="21"/>
      <c r="U4" s="293" t="s">
        <v>12</v>
      </c>
      <c r="W4" s="294" t="str">
        <f>IFERROR(__xludf.DUMMYFUNCTION("IFERROR(GOOGLEFINANCE(W3,""name""),""-"")"),"Tesla Inc")</f>
        <v>Tesla Inc</v>
      </c>
      <c r="X4" s="295" t="str">
        <f>IFERROR(__xludf.DUMMYFUNCTION("IFERROR(SPARKLINE(GOOGLEFINANCE(W3,""price"",today()-X3,today())),"""")"),"")</f>
        <v/>
      </c>
      <c r="Y4" s="16"/>
      <c r="Z4" s="296" t="str">
        <f>IFERROR(__xludf.DUMMYFUNCTION("IFERROR(SPARKLINE(GOOGLEFINANCE(W3,""price"",today()-Z3,today())),"""")"),"")</f>
        <v/>
      </c>
      <c r="AA4" s="19"/>
      <c r="AB4" s="16"/>
      <c r="AC4" s="21"/>
      <c r="AD4" s="21"/>
      <c r="AE4" s="21"/>
      <c r="AF4" s="283"/>
      <c r="AG4" s="21"/>
      <c r="AH4" s="291"/>
      <c r="AI4" s="291" t="s">
        <v>21</v>
      </c>
      <c r="AJ4" s="292" t="s">
        <v>154</v>
      </c>
      <c r="AO4" s="21"/>
      <c r="AP4" s="21"/>
    </row>
    <row r="5" ht="18.75" customHeight="1" outlineLevel="1">
      <c r="A5" s="21"/>
      <c r="B5" s="21"/>
      <c r="C5" s="21"/>
      <c r="D5" s="21"/>
      <c r="E5" s="21"/>
      <c r="F5" s="21"/>
      <c r="G5" s="21"/>
      <c r="H5" s="21"/>
      <c r="I5" s="21"/>
      <c r="J5" s="21"/>
      <c r="K5" s="21"/>
      <c r="L5" s="21"/>
      <c r="M5" s="21"/>
      <c r="N5" s="21"/>
      <c r="O5" s="21"/>
      <c r="P5" s="21"/>
      <c r="Q5" s="21"/>
      <c r="R5" s="21"/>
      <c r="S5" s="21"/>
      <c r="T5" s="21"/>
      <c r="U5" s="293" t="s">
        <v>16</v>
      </c>
      <c r="W5" s="297">
        <f>IFERROR(__xludf.DUMMYFUNCTION("IFERROR(IF(W3="""","""",GOOGLEFINANCE(W3)),IFERROR(GOOGLEFINANCE(""CURRENCY:""&amp;""USD""&amp;$D$15)*IMPORTXML(""https://coinmarketcap.com/currencies/""&amp;W3,$AJ$3),IMPORTXML(""https://coinmarketcap.com/currencies/""&amp;W3,$AJ$3)))"),177.57)</f>
        <v>177.57</v>
      </c>
      <c r="Y5" s="26"/>
      <c r="Z5" s="298"/>
      <c r="AB5" s="26"/>
      <c r="AC5" s="21"/>
      <c r="AD5" s="21"/>
      <c r="AE5" s="21"/>
      <c r="AF5" s="283"/>
      <c r="AG5" s="21"/>
      <c r="AH5" s="21"/>
      <c r="AI5" s="21"/>
      <c r="AJ5" s="21"/>
      <c r="AK5" s="21"/>
      <c r="AL5" s="21"/>
      <c r="AM5" s="21"/>
      <c r="AN5" s="21"/>
      <c r="AO5" s="21"/>
      <c r="AP5" s="21"/>
    </row>
    <row r="6" ht="18.75" customHeight="1" outlineLevel="1">
      <c r="A6" s="21"/>
      <c r="B6" s="21"/>
      <c r="C6" s="21"/>
      <c r="D6" s="21"/>
      <c r="E6" s="21"/>
      <c r="F6" s="21"/>
      <c r="G6" s="21"/>
      <c r="H6" s="21"/>
      <c r="I6" s="21"/>
      <c r="J6" s="21"/>
      <c r="K6" s="21"/>
      <c r="L6" s="21"/>
      <c r="M6" s="21"/>
      <c r="N6" s="21"/>
      <c r="O6" s="21"/>
      <c r="P6" s="21"/>
      <c r="Q6" s="21"/>
      <c r="R6" s="21"/>
      <c r="S6" s="21"/>
      <c r="T6" s="21"/>
      <c r="U6" s="293" t="s">
        <v>21</v>
      </c>
      <c r="W6" s="299" t="str">
        <f>IFERROR(__xludf.DUMMYFUNCTION("IF(ISBLANK(W3),"""",IFERROR(IFERROR(""$""&amp;Trunc(GOOGLEFINANCE(W3,""Marketcap"")/1000000000)&amp;"" B"",""$""&amp;Trunc(IMPORTXML(""https://coinmarketcap.com/currencies/""&amp;W3,$AJ$4)/1000000000)&amp;"" B""),""-""))"),"$556 B")</f>
        <v>$556 B</v>
      </c>
      <c r="Y6" s="26"/>
      <c r="Z6" s="298"/>
      <c r="AB6" s="26"/>
      <c r="AC6" s="21"/>
      <c r="AD6" s="21"/>
      <c r="AE6" s="21"/>
      <c r="AF6" s="283"/>
      <c r="AG6" s="21"/>
      <c r="AH6" s="21"/>
      <c r="AI6" s="21"/>
      <c r="AJ6" s="21"/>
      <c r="AK6" s="21"/>
      <c r="AL6" s="21"/>
      <c r="AM6" s="21"/>
      <c r="AN6" s="21"/>
      <c r="AO6" s="21"/>
      <c r="AP6" s="21"/>
    </row>
    <row r="7" ht="18.75" customHeight="1" outlineLevel="1">
      <c r="A7" s="21"/>
      <c r="B7" s="21"/>
      <c r="C7" s="21"/>
      <c r="D7" s="21"/>
      <c r="E7" s="21"/>
      <c r="F7" s="21"/>
      <c r="G7" s="21"/>
      <c r="H7" s="21"/>
      <c r="I7" s="21"/>
      <c r="J7" s="21"/>
      <c r="K7" s="21"/>
      <c r="L7" s="21"/>
      <c r="M7" s="21"/>
      <c r="N7" s="21"/>
      <c r="O7" s="21"/>
      <c r="P7" s="21"/>
      <c r="Q7" s="21"/>
      <c r="R7" s="21"/>
      <c r="S7" s="21"/>
      <c r="T7" s="21"/>
      <c r="U7" s="293" t="s">
        <v>24</v>
      </c>
      <c r="W7" s="300">
        <f>IFERROR(__xludf.DUMMYFUNCTION("IFERROR(GOOGLEFINANCE(W3,""volume""),""-"")"),1.3878238E7)</f>
        <v>13878238</v>
      </c>
      <c r="Y7" s="26"/>
      <c r="Z7" s="298"/>
      <c r="AB7" s="26"/>
      <c r="AC7" s="21"/>
      <c r="AD7" s="21"/>
      <c r="AE7" s="21"/>
      <c r="AF7" s="283"/>
      <c r="AG7" s="21"/>
      <c r="AH7" s="21"/>
      <c r="AI7" s="21"/>
      <c r="AJ7" s="21"/>
      <c r="AK7" s="21"/>
      <c r="AL7" s="21"/>
      <c r="AM7" s="21"/>
      <c r="AN7" s="21"/>
      <c r="AO7" s="21"/>
      <c r="AP7" s="21"/>
    </row>
    <row r="8" ht="18.75" customHeight="1" outlineLevel="1">
      <c r="A8" s="21"/>
      <c r="B8" s="21"/>
      <c r="C8" s="21"/>
      <c r="D8" s="21"/>
      <c r="E8" s="21"/>
      <c r="F8" s="21"/>
      <c r="G8" s="21"/>
      <c r="H8" s="21"/>
      <c r="I8" s="21"/>
      <c r="J8" s="21"/>
      <c r="K8" s="21"/>
      <c r="L8" s="21"/>
      <c r="M8" s="21"/>
      <c r="N8" s="21"/>
      <c r="O8" s="21"/>
      <c r="P8" s="21"/>
      <c r="Q8" s="21"/>
      <c r="R8" s="21"/>
      <c r="S8" s="21"/>
      <c r="T8" s="21"/>
      <c r="U8" s="293" t="s">
        <v>25</v>
      </c>
      <c r="W8" s="299">
        <f>IFERROR(__xludf.DUMMYFUNCTION("IFERROR(GOOGLEFINANCE(W3,""pe""),""-"")"),45.43)</f>
        <v>45.43</v>
      </c>
      <c r="Y8" s="26"/>
      <c r="Z8" s="298"/>
      <c r="AB8" s="26"/>
      <c r="AC8" s="21"/>
      <c r="AD8" s="21"/>
      <c r="AE8" s="21"/>
      <c r="AF8" s="283"/>
      <c r="AG8" s="21"/>
      <c r="AH8" s="21"/>
      <c r="AI8" s="21"/>
      <c r="AJ8" s="21"/>
      <c r="AK8" s="21"/>
      <c r="AL8" s="21"/>
      <c r="AM8" s="21"/>
      <c r="AN8" s="21"/>
      <c r="AO8" s="21"/>
      <c r="AP8" s="21"/>
    </row>
    <row r="9" ht="18.75" customHeight="1" outlineLevel="1">
      <c r="A9" s="21"/>
      <c r="B9" s="21"/>
      <c r="C9" s="21"/>
      <c r="D9" s="21"/>
      <c r="E9" s="21"/>
      <c r="F9" s="21"/>
      <c r="G9" s="21"/>
      <c r="H9" s="21"/>
      <c r="I9" s="21"/>
      <c r="J9" s="21"/>
      <c r="K9" s="21"/>
      <c r="L9" s="21"/>
      <c r="M9" s="21"/>
      <c r="N9" s="21"/>
      <c r="O9" s="21"/>
      <c r="P9" s="21"/>
      <c r="Q9" s="21"/>
      <c r="R9" s="21"/>
      <c r="S9" s="21"/>
      <c r="T9" s="21"/>
      <c r="U9" s="293" t="s">
        <v>26</v>
      </c>
      <c r="W9" s="299">
        <f>IFERROR(__xludf.DUMMYFUNCTION("IFERROR(GOOGLEFINANCE(W3,""beta""),""-"")"),2.41)</f>
        <v>2.41</v>
      </c>
      <c r="Y9" s="26"/>
      <c r="Z9" s="298"/>
      <c r="AB9" s="26"/>
      <c r="AC9" s="21"/>
      <c r="AD9" s="21"/>
      <c r="AE9" s="21"/>
      <c r="AF9" s="283"/>
      <c r="AG9" s="21"/>
      <c r="AH9" s="21"/>
      <c r="AI9" s="21"/>
      <c r="AJ9" s="21"/>
      <c r="AK9" s="21"/>
      <c r="AL9" s="21"/>
      <c r="AM9" s="21"/>
      <c r="AN9" s="21"/>
      <c r="AO9" s="21"/>
      <c r="AP9" s="21"/>
    </row>
    <row r="10" ht="18.75" customHeight="1" outlineLevel="1">
      <c r="A10" s="21"/>
      <c r="B10" s="21"/>
      <c r="C10" s="21"/>
      <c r="D10" s="21"/>
      <c r="E10" s="21"/>
      <c r="F10" s="21"/>
      <c r="G10" s="21"/>
      <c r="H10" s="21"/>
      <c r="I10" s="21"/>
      <c r="J10" s="21"/>
      <c r="K10" s="21"/>
      <c r="L10" s="21"/>
      <c r="M10" s="21"/>
      <c r="N10" s="21"/>
      <c r="O10" s="21"/>
      <c r="P10" s="21"/>
      <c r="Q10" s="21"/>
      <c r="R10" s="21"/>
      <c r="S10" s="21"/>
      <c r="T10" s="21"/>
      <c r="U10" s="293" t="s">
        <v>28</v>
      </c>
      <c r="W10" s="297">
        <f>IFERROR(__xludf.DUMMYFUNCTION("IFERROR(GOOGLEFINANCE(W3,""eps""),""-"")"),3.91)</f>
        <v>3.91</v>
      </c>
      <c r="Y10" s="26"/>
      <c r="Z10" s="298"/>
      <c r="AB10" s="26"/>
      <c r="AC10" s="21"/>
      <c r="AD10" s="21"/>
      <c r="AE10" s="21"/>
      <c r="AF10" s="283"/>
      <c r="AG10" s="21"/>
      <c r="AH10" s="21"/>
      <c r="AI10" s="21"/>
      <c r="AJ10" s="21"/>
      <c r="AK10" s="21"/>
      <c r="AL10" s="21"/>
      <c r="AM10" s="21"/>
      <c r="AN10" s="21"/>
      <c r="AO10" s="21"/>
      <c r="AP10" s="21"/>
    </row>
    <row r="11" ht="18.75" customHeight="1" outlineLevel="1">
      <c r="A11" s="21"/>
      <c r="B11" s="21"/>
      <c r="C11" s="21"/>
      <c r="D11" s="21"/>
      <c r="E11" s="21"/>
      <c r="F11" s="21"/>
      <c r="G11" s="21"/>
      <c r="H11" s="21"/>
      <c r="I11" s="21"/>
      <c r="J11" s="21"/>
      <c r="K11" s="21"/>
      <c r="L11" s="21"/>
      <c r="M11" s="21"/>
      <c r="N11" s="21"/>
      <c r="O11" s="21"/>
      <c r="P11" s="21"/>
      <c r="Q11" s="21"/>
      <c r="R11" s="21"/>
      <c r="S11" s="21"/>
      <c r="T11" s="21"/>
      <c r="U11" s="293" t="s">
        <v>30</v>
      </c>
      <c r="W11" s="301">
        <f>IFERROR(__xludf.DUMMYFUNCTION("IFERROR(GOOGLEFINANCE(W3,""high52""),""-"")"),299.29)</f>
        <v>299.29</v>
      </c>
      <c r="Y11" s="26"/>
      <c r="Z11" s="298"/>
      <c r="AB11" s="26"/>
      <c r="AC11" s="21"/>
      <c r="AD11" s="21"/>
      <c r="AE11" s="21"/>
      <c r="AF11" s="283"/>
      <c r="AG11" s="21"/>
      <c r="AH11" s="21"/>
      <c r="AI11" s="21"/>
      <c r="AJ11" s="21"/>
      <c r="AK11" s="21"/>
      <c r="AL11" s="21"/>
      <c r="AM11" s="21"/>
      <c r="AN11" s="21"/>
      <c r="AO11" s="21"/>
      <c r="AP11" s="21"/>
    </row>
    <row r="12" ht="18.75" customHeight="1" outlineLevel="1">
      <c r="A12" s="21"/>
      <c r="B12" s="21"/>
      <c r="C12" s="21"/>
      <c r="D12" s="21"/>
      <c r="E12" s="21"/>
      <c r="F12" s="21"/>
      <c r="G12" s="21"/>
      <c r="H12" s="21"/>
      <c r="I12" s="21"/>
      <c r="J12" s="21"/>
      <c r="K12" s="21"/>
      <c r="L12" s="21"/>
      <c r="M12" s="21"/>
      <c r="N12" s="21"/>
      <c r="O12" s="21"/>
      <c r="P12" s="21"/>
      <c r="Q12" s="21"/>
      <c r="R12" s="21"/>
      <c r="S12" s="21"/>
      <c r="T12" s="21"/>
      <c r="U12" s="293" t="s">
        <v>32</v>
      </c>
      <c r="W12" s="297">
        <f>IFERROR(__xludf.DUMMYFUNCTION("IFERROR(GOOGLEFINANCE(W3,""low52""),""-"")"),138.8)</f>
        <v>138.8</v>
      </c>
      <c r="Y12" s="26"/>
      <c r="Z12" s="298"/>
      <c r="AB12" s="26"/>
      <c r="AC12" s="21"/>
      <c r="AD12" s="21"/>
      <c r="AE12" s="21"/>
      <c r="AF12" s="283"/>
      <c r="AG12" s="21"/>
      <c r="AH12" s="21"/>
      <c r="AI12" s="21"/>
      <c r="AJ12" s="21"/>
      <c r="AK12" s="21"/>
      <c r="AL12" s="21"/>
      <c r="AM12" s="21"/>
      <c r="AN12" s="21"/>
      <c r="AO12" s="21"/>
      <c r="AP12" s="21"/>
    </row>
    <row r="13" ht="18.75" customHeight="1" outlineLevel="1">
      <c r="A13" s="21"/>
      <c r="B13" s="302" t="s">
        <v>155</v>
      </c>
      <c r="C13" s="303"/>
      <c r="D13" s="303" t="s">
        <v>95</v>
      </c>
      <c r="E13" s="21"/>
      <c r="F13" s="69"/>
      <c r="G13" s="21"/>
      <c r="H13" s="21"/>
      <c r="I13" s="21"/>
      <c r="J13" s="21"/>
      <c r="K13" s="21"/>
      <c r="L13" s="21"/>
      <c r="M13" s="21"/>
      <c r="N13" s="21"/>
      <c r="O13" s="21"/>
      <c r="P13" s="21"/>
      <c r="Q13" s="21"/>
      <c r="R13" s="21"/>
      <c r="S13" s="21"/>
      <c r="T13" s="21"/>
      <c r="U13" s="293" t="s">
        <v>156</v>
      </c>
      <c r="W13" s="304">
        <f>IFERROR(__xludf.DUMMYFUNCTION("IFERROR((GOOGLEFINANCE(W3,""price"")/INDEX(GOOGLEFINANCE(W3,""price"",DATEVALUE(TODAY()-365) ),2,2)-1),"""")"),-0.17011730616441556)</f>
        <v>-0.1701173062</v>
      </c>
      <c r="Y13" s="26"/>
      <c r="Z13" s="298"/>
      <c r="AB13" s="26"/>
      <c r="AC13" s="21"/>
      <c r="AD13" s="21"/>
      <c r="AE13" s="21"/>
      <c r="AF13" s="283"/>
      <c r="AG13" s="21"/>
      <c r="AH13" s="21"/>
      <c r="AI13" s="21"/>
      <c r="AJ13" s="21"/>
      <c r="AK13" s="21"/>
      <c r="AL13" s="21"/>
      <c r="AM13" s="21"/>
      <c r="AN13" s="21"/>
      <c r="AO13" s="21"/>
      <c r="AP13" s="21"/>
    </row>
    <row r="14" ht="18.75" customHeight="1" outlineLevel="1">
      <c r="A14" s="21"/>
      <c r="B14" s="21"/>
      <c r="C14" s="21"/>
      <c r="D14" s="21"/>
      <c r="E14" s="21"/>
      <c r="F14" s="69"/>
      <c r="G14" s="21"/>
      <c r="H14" s="21"/>
      <c r="I14" s="21"/>
      <c r="J14" s="21"/>
      <c r="K14" s="21"/>
      <c r="L14" s="21"/>
      <c r="M14" s="21"/>
      <c r="N14" s="21"/>
      <c r="O14" s="21"/>
      <c r="P14" s="21"/>
      <c r="Q14" s="21"/>
      <c r="R14" s="21"/>
      <c r="S14" s="21"/>
      <c r="T14" s="21"/>
      <c r="U14" s="293" t="s">
        <v>36</v>
      </c>
      <c r="W14" s="297" t="str">
        <f>IFERROR(IF(W5&lt;((W11-W12)*T17+W12),"Buy",IF(W5&gt;((W11-W12)*V17+W12),"Sell","Hodl")),"-")</f>
        <v>Buy</v>
      </c>
      <c r="Y14" s="26"/>
      <c r="Z14" s="298"/>
      <c r="AB14" s="26"/>
      <c r="AC14" s="21"/>
      <c r="AD14" s="21"/>
      <c r="AE14" s="21"/>
      <c r="AF14" s="283"/>
      <c r="AG14" s="21"/>
      <c r="AH14" s="21"/>
      <c r="AI14" s="21"/>
      <c r="AJ14" s="21"/>
      <c r="AK14" s="21"/>
      <c r="AL14" s="21"/>
      <c r="AM14" s="21"/>
      <c r="AN14" s="21"/>
      <c r="AO14" s="21"/>
      <c r="AP14" s="21"/>
    </row>
    <row r="15" ht="18.75" customHeight="1" outlineLevel="1">
      <c r="A15" s="21"/>
      <c r="B15" s="302" t="s">
        <v>157</v>
      </c>
      <c r="C15" s="303"/>
      <c r="D15" s="303" t="s">
        <v>158</v>
      </c>
      <c r="E15" s="21"/>
      <c r="F15" s="69"/>
      <c r="G15" s="21"/>
      <c r="H15" s="21"/>
      <c r="I15" s="21"/>
      <c r="J15" s="21"/>
      <c r="K15" s="21"/>
      <c r="L15" s="21"/>
      <c r="M15" s="21"/>
      <c r="N15" s="21"/>
      <c r="O15" s="21"/>
      <c r="P15" s="21"/>
      <c r="Q15" s="21"/>
      <c r="R15" s="21"/>
      <c r="S15" s="21"/>
      <c r="T15" s="21"/>
      <c r="U15" s="22"/>
      <c r="V15" s="4"/>
      <c r="W15" s="23"/>
      <c r="X15" s="4"/>
      <c r="Y15" s="23"/>
      <c r="Z15" s="22"/>
      <c r="AA15" s="4"/>
      <c r="AB15" s="23"/>
      <c r="AC15" s="21"/>
      <c r="AD15" s="21"/>
      <c r="AE15" s="21"/>
      <c r="AF15" s="283"/>
      <c r="AG15" s="21"/>
      <c r="AH15" s="21"/>
      <c r="AI15" s="21"/>
      <c r="AJ15" s="21"/>
      <c r="AK15" s="21"/>
      <c r="AL15" s="21"/>
      <c r="AM15" s="21"/>
      <c r="AN15" s="21"/>
      <c r="AO15" s="21"/>
      <c r="AP15" s="21"/>
    </row>
    <row r="16" ht="18.75" customHeight="1" outlineLevel="1">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83"/>
      <c r="AG16" s="21"/>
      <c r="AH16" s="21"/>
      <c r="AI16" s="21"/>
      <c r="AJ16" s="21"/>
      <c r="AK16" s="21"/>
      <c r="AL16" s="21"/>
      <c r="AM16" s="21"/>
      <c r="AN16" s="21"/>
      <c r="AO16" s="21"/>
      <c r="AP16" s="21"/>
    </row>
    <row r="17" outlineLevel="1">
      <c r="A17" s="13"/>
      <c r="B17" s="273" t="s">
        <v>88</v>
      </c>
      <c r="C17" s="274" t="s">
        <v>12</v>
      </c>
      <c r="D17" s="274" t="s">
        <v>139</v>
      </c>
      <c r="E17" s="275" t="s">
        <v>140</v>
      </c>
      <c r="F17" s="274" t="s">
        <v>141</v>
      </c>
      <c r="G17" s="276">
        <v>90.0</v>
      </c>
      <c r="H17" s="274" t="s">
        <v>142</v>
      </c>
      <c r="I17" s="274" t="s">
        <v>16</v>
      </c>
      <c r="J17" s="274" t="s">
        <v>143</v>
      </c>
      <c r="K17" s="274" t="s">
        <v>144</v>
      </c>
      <c r="L17" s="274" t="s">
        <v>145</v>
      </c>
      <c r="M17" s="274" t="s">
        <v>96</v>
      </c>
      <c r="N17" s="274" t="s">
        <v>97</v>
      </c>
      <c r="O17" s="274" t="s">
        <v>32</v>
      </c>
      <c r="P17" s="274" t="s">
        <v>146</v>
      </c>
      <c r="Q17" s="274" t="s">
        <v>30</v>
      </c>
      <c r="R17" s="274" t="s">
        <v>147</v>
      </c>
      <c r="S17" s="274" t="s">
        <v>148</v>
      </c>
      <c r="T17" s="277">
        <v>0.5</v>
      </c>
      <c r="U17" s="274" t="s">
        <v>149</v>
      </c>
      <c r="V17" s="277">
        <v>0.85</v>
      </c>
      <c r="W17" s="274" t="s">
        <v>36</v>
      </c>
      <c r="X17" s="274" t="s">
        <v>143</v>
      </c>
      <c r="Y17" s="278">
        <v>5.0</v>
      </c>
      <c r="Z17" s="279">
        <v>5.0</v>
      </c>
      <c r="AA17" s="274" t="s">
        <v>21</v>
      </c>
      <c r="AB17" s="274" t="s">
        <v>25</v>
      </c>
      <c r="AC17" s="280">
        <v>250.0</v>
      </c>
      <c r="AD17" s="274" t="s">
        <v>102</v>
      </c>
      <c r="AE17" s="274" t="s">
        <v>150</v>
      </c>
      <c r="AF17" s="281" t="s">
        <v>112</v>
      </c>
      <c r="AG17" s="21"/>
      <c r="AH17" s="282"/>
      <c r="AI17" s="13"/>
      <c r="AJ17" s="13"/>
      <c r="AK17" s="13"/>
      <c r="AL17" s="13"/>
      <c r="AM17" s="13"/>
      <c r="AN17" s="13"/>
      <c r="AO17" s="13"/>
      <c r="AP17" s="13"/>
    </row>
    <row r="18" ht="18.75" customHeight="1">
      <c r="A18" s="13"/>
      <c r="B18" s="305" t="s">
        <v>6</v>
      </c>
      <c r="C18" s="306" t="str">
        <f>IFERROR(__xludf.DUMMYFUNCTION("GOOGLEFINANCE(B18,""name"")
"),"Tesla Inc")</f>
        <v>Tesla Inc</v>
      </c>
      <c r="D18" s="307">
        <v>175.0</v>
      </c>
      <c r="E18" s="308">
        <v>200.0</v>
      </c>
      <c r="F18" s="13" t="str">
        <f t="shared" ref="F18:F250" si="1">IF(ISBLANK(B18),"",IF(I18&lt;D18,"Buy",IF(I18&gt;E18,"Sell","Hodl")))</f>
        <v>Hodl</v>
      </c>
      <c r="G18" s="309" t="str">
        <f>IFERROR(__xludf.DUMMYFUNCTION("IF(ISBLANK(B18),"""",IFERROR(SPARKLINE(INDEX(GOOGLEFINANCE(B18,""price"",TODAY()-$G$17,TODAY()),,2),{""charttype"",""column"";""color"",""17a7e0""}),""""))"),"")</f>
        <v/>
      </c>
      <c r="I18" s="309">
        <f>IFERROR(__xludf.DUMMYFUNCTION("IFERROR(IF(B18="""","""",GOOGLEFINANCE(B18)),IFERROR(GOOGLEFINANCE(""CURRENCY:""&amp;""USD""&amp;$D$15)*IMPORTXML(""https://coinmarketcap.com/currencies/""&amp;B18,$AJ$3),IMPORTXML(""https://coinmarketcap.com/currencies/""&amp;B18,$AJ$3)))"),177.57)</f>
        <v>177.57</v>
      </c>
      <c r="J18" s="310">
        <f t="shared" ref="J18:J250" si="2">IF(ISBLANK(B18),"",IFERROR((I18-D18)/D18,""))</f>
        <v>0.01468571429</v>
      </c>
      <c r="K18" s="310">
        <f>IFERROR(__xludf.DUMMYFUNCTION("IFERROR(IF(ISBLANK(B18),"""",GOOGLEFINANCE(B18,""changepct"")/100),"""")"),-0.0069)</f>
        <v>-0.0069</v>
      </c>
      <c r="L18" s="310">
        <f>IFERROR(__xludf.DUMMYFUNCTION("IF(ISBLANK(B18),"""",IFERROR((GOOGLEFINANCE(B18,""price"")/INDEX(GOOGLEFINANCE(B18,""price"",DATEVALUE(TODAY()-365) ),2,2)-1),""""))"),-0.17011730616441556)</f>
        <v>-0.1701173062</v>
      </c>
      <c r="M18" s="310">
        <f>IFERROR(__xludf.DUMMYFUNCTION("IF(ISBLANK(B18),"""",IFERROR((GOOGLEFINANCE($D$13,""price"")/INDEX(GOOGLEFINANCE($D$13,""price"",DATEVALUE(TODAY()-365) ),2,2)-1),""""))"),0.21881341406744403)</f>
        <v>0.2188134141</v>
      </c>
      <c r="N18" s="310">
        <f t="shared" ref="N18:N250" si="3">IF(ISBLANK(B18),"",IF(O18="","",IFERROR(L18-M18,"")))</f>
        <v>-0.3889307202</v>
      </c>
      <c r="O18" s="311">
        <f>IFERROR(__xludf.DUMMYFUNCTION("IFERROR(IF(ISBLANK(B18),"""",GOOGLEFINANCE(B18,""low52"")),"""")"),138.8)</f>
        <v>138.8</v>
      </c>
      <c r="P18" s="310">
        <f t="shared" ref="P18:P250" si="4">IF(ISBLANK(B18),"",IF(O18="","",(I18-O18)/O18))</f>
        <v>0.2793227666</v>
      </c>
      <c r="Q18" s="311">
        <f>IFERROR(__xludf.DUMMYFUNCTION("IFERROR(IF(ISBLANK(B18),"""",GOOGLEFINANCE(B18,""high52"")),"""")"),299.29)</f>
        <v>299.29</v>
      </c>
      <c r="R18" s="310">
        <f t="shared" ref="R18:R250" si="5">IF(ISBLANK(B18),"",IF(O18="","",(I18-Q18)/Q18))</f>
        <v>-0.4066958468</v>
      </c>
      <c r="S18" s="311">
        <f t="shared" ref="S18:S250" si="6">IF(ISBLANK(B18),"",IF(O18="","",((Q18-O18)*$T$17)+O18))</f>
        <v>219.045</v>
      </c>
      <c r="U18" s="311">
        <f t="shared" ref="U18:U250" si="7">IF(ISBLANK(B18),"",IF(O18="","",((Q18-O18)*$V$17)+O18))</f>
        <v>275.2165</v>
      </c>
      <c r="W18" s="13" t="str">
        <f t="shared" ref="W18:W250" si="8">IF(ISBLANK(B18),"",IF(O18="","",IF(I18&lt;S18,"Buy",IF(I18&gt;U18,"Sell","Hodl"))))</f>
        <v>Buy</v>
      </c>
      <c r="X18" s="310">
        <f t="shared" ref="X18:X250" si="9">IF(ISBLANK(B18),"",IFERROR((I18-S18)/S18,""))</f>
        <v>-0.1893446552</v>
      </c>
      <c r="Y18" s="311">
        <f>IFERROR(__xludf.DUMMYFUNCTION("IF(ISBLANK(B18),"""",IFERROR(INDEX(GOOGLEFINANCE(B18,""price"",WORKDAY(TODAY(),-$Y$17)),2,2),""""))"),176.75)</f>
        <v>176.75</v>
      </c>
      <c r="Z18" s="310">
        <f>IFERROR(__xludf.DUMMYFUNCTION("IF(ISBLANK(B18),"""",IFERROR(I18/(INDEX(GOOGLEFINANCE(B18,""price"",WORKDAY(TODAY(),-$Z$17)),2,2))-1,""""))"),0.004639321074964675)</f>
        <v>0.004639321075</v>
      </c>
      <c r="AA18" s="312" t="str">
        <f>IFERROR(__xludf.DUMMYFUNCTION("IF(ISBLANK(B18),"""",IFERROR(IFERROR(""$""&amp;Trunc(GOOGLEFINANCE(B18,""Marketcap"")/1000000000)&amp;"" B"",""$""&amp;Trunc(IMPORTXML(""https://coinmarketcap.com/currencies/""&amp;B18,$AJ$4)/1000000000)&amp;"" B""),""-""))"),"$556 B")</f>
        <v>$556 B</v>
      </c>
      <c r="AB18" s="13">
        <f>IFERROR(__xludf.DUMMYFUNCTION("IF(ISBLANK(B18),"""",IFERROR(GOOGLEFINANCE(B18,""pe""),""-""))"),45.43)</f>
        <v>45.43</v>
      </c>
      <c r="AC18" s="313" t="str">
        <f>IFERROR(__xludf.DUMMYFUNCTION("SPARKLINE(INDEX(GOOGLEFINANCE(B18,""price"",workday(today(),-$AC$17),today()),,2),{""charttype"",""column"";""color"",""green""})
"),"")</f>
        <v/>
      </c>
      <c r="AD18" s="313" t="str">
        <f>IFERROR(__xludf.DUMMYFUNCTION("IF(ISBLANK(B18),"""",IFERROR(INDEX(IMPORTXML(""https://eresearch.fidelity.com/eresearch/goto/evaluate/snapshot.jhtml?symbols=""&amp;B18&amp;"""",""//div[@class='sub-heading']//span[@class='right']""),1),""Enter Manually"")
)"),"Enter Manually")</f>
        <v>Enter Manually</v>
      </c>
      <c r="AE18" s="314" t="str">
        <f t="shared" ref="AE18:AE250" si="10">HYPERLINK("https://finance.yahoo.com/quote/"&amp;B18,"Info")</f>
        <v>Info</v>
      </c>
      <c r="AF18" s="315" t="s">
        <v>159</v>
      </c>
      <c r="AG18" s="21"/>
      <c r="AH18" s="310"/>
      <c r="AI18" s="13"/>
      <c r="AJ18" s="13"/>
      <c r="AK18" s="13"/>
      <c r="AL18" s="13"/>
      <c r="AM18" s="13"/>
      <c r="AN18" s="13"/>
      <c r="AO18" s="13"/>
      <c r="AP18" s="13"/>
    </row>
    <row r="19" ht="18.75" customHeight="1">
      <c r="A19" s="13"/>
      <c r="B19" s="316" t="s">
        <v>5</v>
      </c>
      <c r="C19" s="306" t="str">
        <f>IFERROR(__xludf.DUMMYFUNCTION("GOOGLEFINANCE(B19,""name"")
"),"Apple Inc")</f>
        <v>Apple Inc</v>
      </c>
      <c r="D19" s="317"/>
      <c r="E19" s="318"/>
      <c r="F19" s="13" t="str">
        <f t="shared" si="1"/>
        <v>Sell</v>
      </c>
      <c r="G19" s="309" t="str">
        <f>IFERROR(__xludf.DUMMYFUNCTION("IF(ISBLANK(B19),"""",IFERROR(SPARKLINE(INDEX(GOOGLEFINANCE(B19,""price"",TODAY()-$G$17,TODAY()),,2),{""charttype"",""column"";""color"",""17a7e0""}),""""))"),"")</f>
        <v/>
      </c>
      <c r="I19" s="309">
        <f>IFERROR(__xludf.DUMMYFUNCTION("IFERROR(IF(B19="""","""",GOOGLEFINANCE(B19)),IFERROR(GOOGLEFINANCE(""CURRENCY:""&amp;""USD""&amp;$D$15)*IMPORTXML(""https://coinmarketcap.com/currencies/""&amp;B19,$AJ$3),IMPORTXML(""https://coinmarketcap.com/currencies/""&amp;B19,$AJ$3)))"),191.53)</f>
        <v>191.53</v>
      </c>
      <c r="J19" s="310" t="str">
        <f t="shared" si="2"/>
        <v/>
      </c>
      <c r="K19" s="310">
        <f>IFERROR(__xludf.DUMMYFUNCTION("IFERROR(IF(ISBLANK(B19),"""",GOOGLEFINANCE(B19,""changepct"")/100),"""")"),0.0013)</f>
        <v>0.0013</v>
      </c>
      <c r="L19" s="310">
        <f>IFERROR(__xludf.DUMMYFUNCTION("IF(ISBLANK(B19),"""",IFERROR((GOOGLEFINANCE(B19,""price"")/INDEX(GOOGLEFINANCE(B19,""price"",DATEVALUE(TODAY()-365) ),2,2)-1),""""))"),0.05846919038408416)</f>
        <v>0.05846919038</v>
      </c>
      <c r="M19" s="310">
        <f>IFERROR(__xludf.DUMMYFUNCTION("IF(ISBLANK(B19),"""",IFERROR((GOOGLEFINANCE($D$13,""price"")/INDEX(GOOGLEFINANCE($D$13,""price"",DATEVALUE(TODAY()-365) ),2,2)-1),""""))"),0.21881341406744403)</f>
        <v>0.2188134141</v>
      </c>
      <c r="N19" s="310">
        <f t="shared" si="3"/>
        <v>-0.1603442237</v>
      </c>
      <c r="O19" s="311">
        <f>IFERROR(__xludf.DUMMYFUNCTION("IFERROR(IF(ISBLANK(B19),"""",GOOGLEFINANCE(B19,""low52"")),"""")"),164.08)</f>
        <v>164.08</v>
      </c>
      <c r="P19" s="310">
        <f t="shared" si="4"/>
        <v>0.1672964408</v>
      </c>
      <c r="Q19" s="311">
        <f>IFERROR(__xludf.DUMMYFUNCTION("IFERROR(IF(ISBLANK(B19),"""",GOOGLEFINANCE(B19,""high52"")),"""")"),199.62)</f>
        <v>199.62</v>
      </c>
      <c r="R19" s="310">
        <f t="shared" si="5"/>
        <v>-0.0405270013</v>
      </c>
      <c r="S19" s="311">
        <f t="shared" si="6"/>
        <v>181.85</v>
      </c>
      <c r="U19" s="311">
        <f t="shared" si="7"/>
        <v>194.289</v>
      </c>
      <c r="W19" s="13" t="str">
        <f t="shared" si="8"/>
        <v>Hodl</v>
      </c>
      <c r="X19" s="310">
        <f t="shared" si="9"/>
        <v>0.05323068463</v>
      </c>
      <c r="Y19" s="311">
        <f>IFERROR(__xludf.DUMMYFUNCTION("IF(ISBLANK(B19),"""",IFERROR(INDEX(GOOGLEFINANCE(B19,""price"",WORKDAY(TODAY(),-$Y$17)),2,2),""""))"),189.99)</f>
        <v>189.99</v>
      </c>
      <c r="Z19" s="310">
        <f>IFERROR(__xludf.DUMMYFUNCTION("IF(ISBLANK(B19),"""",IFERROR(I19/(INDEX(GOOGLEFINANCE(B19,""price"",WORKDAY(TODAY(),-$Z$17)),2,2))-1,""""))"),0.008105689773145963)</f>
        <v>0.008105689773</v>
      </c>
      <c r="AA19" s="312" t="str">
        <f>IFERROR(__xludf.DUMMYFUNCTION("IF(ISBLANK(B19),"""",IFERROR(IFERROR(""$""&amp;Trunc(GOOGLEFINANCE(B19,""Marketcap"")/1000000000)&amp;"" B"",""$""&amp;Trunc(IMPORTXML(""https://coinmarketcap.com/currencies/""&amp;B19,$AJ$4)/1000000000)&amp;"" B""),""-""))"),"$2938 B")</f>
        <v>$2938 B</v>
      </c>
      <c r="AB19" s="13">
        <f>IFERROR(__xludf.DUMMYFUNCTION("IF(ISBLANK(B19),"""",IFERROR(GOOGLEFINANCE(B19,""pe""),""-""))"),29.77)</f>
        <v>29.77</v>
      </c>
      <c r="AC19" s="313" t="str">
        <f>IFERROR(__xludf.DUMMYFUNCTION("SPARKLINE(INDEX(GOOGLEFINANCE(B19,""price"",workday(today(),-$AC$17),today()),,2),{""charttype"",""column"";""color"",""green""})
"),"")</f>
        <v/>
      </c>
      <c r="AD19" s="313" t="str">
        <f>IFERROR(__xludf.DUMMYFUNCTION("IF(ISBLANK(B19),"""",IFERROR(INDEX(IMPORTXML(""https://eresearch.fidelity.com/eresearch/goto/evaluate/snapshot.jhtml?symbols=""&amp;B19&amp;"""",""//div[@class='sub-heading']//span[@class='right']""),1),""Enter Manually"")
)"),"Enter Manually")</f>
        <v>Enter Manually</v>
      </c>
      <c r="AE19" s="314" t="str">
        <f t="shared" si="10"/>
        <v>Info</v>
      </c>
      <c r="AF19" s="319" t="s">
        <v>160</v>
      </c>
      <c r="AG19" s="320"/>
      <c r="AH19" s="13"/>
      <c r="AI19" s="13"/>
      <c r="AJ19" s="13"/>
      <c r="AK19" s="13"/>
      <c r="AL19" s="13"/>
      <c r="AM19" s="13"/>
      <c r="AN19" s="13"/>
      <c r="AO19" s="13"/>
      <c r="AP19" s="13"/>
    </row>
    <row r="20" ht="18.75" customHeight="1">
      <c r="A20" s="13"/>
      <c r="B20" s="316" t="s">
        <v>48</v>
      </c>
      <c r="C20" s="306" t="str">
        <f>IFERROR(__xludf.DUMMYFUNCTION("GOOGLEFINANCE(B20,""name"")
"),"#N/A")</f>
        <v>#N/A</v>
      </c>
      <c r="D20" s="317"/>
      <c r="E20" s="318"/>
      <c r="F20" s="13" t="str">
        <f t="shared" si="1"/>
        <v>Sell</v>
      </c>
      <c r="G20" s="309" t="str">
        <f>IFERROR(__xludf.DUMMYFUNCTION("IF(ISBLANK(B20),"""",IFERROR(SPARKLINE(INDEX(GOOGLEFINANCE(B20,""price"",TODAY()-$G$17,TODAY()),,2),{""charttype"",""column"";""color"",""17a7e0""}),""""))"),"")</f>
        <v/>
      </c>
      <c r="I20" s="309">
        <f>IFERROR(__xludf.DUMMYFUNCTION("IFERROR(IF(B20="""","""",GOOGLEFINANCE(B20)),IFERROR(GOOGLEFINANCE(""CURRENCY:""&amp;""USD""&amp;$D$15)*IMPORTXML(""https://coinmarketcap.com/currencies/""&amp;B20,$AJ$3),IMPORTXML(""https://coinmarketcap.com/currencies/""&amp;B20,$AJ$3)))"),62328.11718000001)</f>
        <v>62328.11718</v>
      </c>
      <c r="J20" s="310" t="str">
        <f t="shared" si="2"/>
        <v/>
      </c>
      <c r="K20" s="310" t="str">
        <f>IFERROR(__xludf.DUMMYFUNCTION("IFERROR(IF(ISBLANK(B20),"""",GOOGLEFINANCE(B20,""changepct"")/100),"""")"),"")</f>
        <v/>
      </c>
      <c r="L20" s="310" t="str">
        <f>IFERROR(__xludf.DUMMYFUNCTION("IF(ISBLANK(B20),"""",IFERROR((GOOGLEFINANCE(B20,""price"")/INDEX(GOOGLEFINANCE(B20,""price"",DATEVALUE(TODAY()-365) ),2,2)-1),""""))"),"")</f>
        <v/>
      </c>
      <c r="M20" s="310">
        <f>IFERROR(__xludf.DUMMYFUNCTION("IF(ISBLANK(B20),"""",IFERROR((GOOGLEFINANCE($D$13,""price"")/INDEX(GOOGLEFINANCE($D$13,""price"",DATEVALUE(TODAY()-365) ),2,2)-1),""""))"),0.21881341406744403)</f>
        <v>0.2188134141</v>
      </c>
      <c r="N20" s="310" t="str">
        <f t="shared" si="3"/>
        <v/>
      </c>
      <c r="O20" s="311" t="str">
        <f>IFERROR(__xludf.DUMMYFUNCTION("IFERROR(IF(ISBLANK(B20),"""",GOOGLEFINANCE(B20,""low52"")),"""")"),"")</f>
        <v/>
      </c>
      <c r="P20" s="310" t="str">
        <f t="shared" si="4"/>
        <v/>
      </c>
      <c r="Q20" s="311" t="str">
        <f>IFERROR(__xludf.DUMMYFUNCTION("IFERROR(IF(ISBLANK(B20),"""",GOOGLEFINANCE(B20,""high52"")),"""")"),"")</f>
        <v/>
      </c>
      <c r="R20" s="310" t="str">
        <f t="shared" si="5"/>
        <v/>
      </c>
      <c r="S20" s="13" t="str">
        <f t="shared" si="6"/>
        <v/>
      </c>
      <c r="U20" s="13" t="str">
        <f t="shared" si="7"/>
        <v/>
      </c>
      <c r="W20" s="13" t="str">
        <f t="shared" si="8"/>
        <v/>
      </c>
      <c r="X20" s="310" t="str">
        <f t="shared" si="9"/>
        <v/>
      </c>
      <c r="Y20" s="311">
        <f>IFERROR(__xludf.DUMMYFUNCTION("IF(ISBLANK(B20),"""",IFERROR(INDEX(GOOGLEFINANCE(B20,""price"",WORKDAY(TODAY(),-$Y$17)),2,2),""""))"),63870.88368)</f>
        <v>63870.88368</v>
      </c>
      <c r="Z20" s="310">
        <f>IFERROR(__xludf.DUMMYFUNCTION("IF(ISBLANK(B20),"""",IFERROR(I20/(INDEX(GOOGLEFINANCE(B20,""price"",WORKDAY(TODAY(),-$Z$17)),2,2))-1,""""))"),-0.02415445679019279)</f>
        <v>-0.02415445679</v>
      </c>
      <c r="AA20" s="312" t="str">
        <f>IFERROR(__xludf.DUMMYFUNCTION("IF(ISBLANK(B20),"""",IFERROR(IFERROR(""$""&amp;Trunc(GOOGLEFINANCE(B20,""Marketcap"")/1000000000)&amp;"" B"",""$""&amp;Trunc(IMPORTXML(""https://coinmarketcap.com/currencies/""&amp;B20,$AJ$4)/1000000000)&amp;"" B""),""-""))"),"-")</f>
        <v>-</v>
      </c>
      <c r="AB20" s="13" t="str">
        <f>IFERROR(__xludf.DUMMYFUNCTION("IF(ISBLANK(B20),"""",IFERROR(GOOGLEFINANCE(B20,""pe""),""-""))"),"-")</f>
        <v>-</v>
      </c>
      <c r="AC20" s="313" t="str">
        <f>IFERROR(__xludf.DUMMYFUNCTION("SPARKLINE(INDEX(GOOGLEFINANCE(B20,""price"",workday(today(),-$AC$17),today()),,2),{""charttype"",""column"";""color"",""green""})
"),"")</f>
        <v/>
      </c>
      <c r="AD20" s="313" t="str">
        <f>IFERROR(__xludf.DUMMYFUNCTION("IF(ISBLANK(B20),"""",IFERROR(INDEX(IMPORTXML(""https://eresearch.fidelity.com/eresearch/goto/evaluate/snapshot.jhtml?symbols=""&amp;B20&amp;"""",""//div[@class='sub-heading']//span[@class='right']""),1),""Enter Manually"")
)"),"Enter Manually")</f>
        <v>Enter Manually</v>
      </c>
      <c r="AE20" s="314" t="str">
        <f t="shared" si="10"/>
        <v>Info</v>
      </c>
      <c r="AF20" s="321"/>
      <c r="AG20" s="320"/>
      <c r="AH20" s="13"/>
      <c r="AI20" s="13"/>
      <c r="AJ20" s="13"/>
      <c r="AK20" s="13"/>
      <c r="AL20" s="13"/>
      <c r="AM20" s="13"/>
      <c r="AN20" s="13"/>
      <c r="AO20" s="13"/>
      <c r="AP20" s="13"/>
    </row>
    <row r="21" ht="18.75" customHeight="1">
      <c r="A21" s="13"/>
      <c r="B21" s="322" t="s">
        <v>161</v>
      </c>
      <c r="C21" s="306" t="str">
        <f>IFERROR(__xludf.DUMMYFUNCTION("GOOGLEFINANCE(B21,""name"")
"),"Vanguard Mega Cap Index Fund ETF")</f>
        <v>Vanguard Mega Cap Index Fund ETF</v>
      </c>
      <c r="D21" s="317"/>
      <c r="E21" s="318"/>
      <c r="F21" s="13" t="str">
        <f t="shared" si="1"/>
        <v>Sell</v>
      </c>
      <c r="G21" s="309" t="str">
        <f>IFERROR(__xludf.DUMMYFUNCTION("IF(ISBLANK(B21),"""",IFERROR(SPARKLINE(INDEX(GOOGLEFINANCE(B21,""price"",TODAY()-$G$17,TODAY()),,2),{""charttype"",""column"";""color"",""17a7e0""}),""""))"),"")</f>
        <v/>
      </c>
      <c r="I21" s="309">
        <f>IFERROR(__xludf.DUMMYFUNCTION("IFERROR(IF(B21="""","""",GOOGLEFINANCE(B21)),IFERROR(GOOGLEFINANCE(""CURRENCY:""&amp;""USD""&amp;$D$15)*IMPORTXML(""https://coinmarketcap.com/currencies/""&amp;B21,$AJ$3),IMPORTXML(""https://coinmarketcap.com/currencies/""&amp;B21,$AJ$3)))"),187.67)</f>
        <v>187.67</v>
      </c>
      <c r="J21" s="310" t="str">
        <f t="shared" si="2"/>
        <v/>
      </c>
      <c r="K21" s="310">
        <f>IFERROR(__xludf.DUMMYFUNCTION("IFERROR(IF(ISBLANK(B21),"""",GOOGLEFINANCE(B21,""changepct"")/100),"""")"),-6.0E-4)</f>
        <v>-0.0006</v>
      </c>
      <c r="L21" s="310">
        <f>IFERROR(__xludf.DUMMYFUNCTION("IF(ISBLANK(B21),"""",IFERROR((GOOGLEFINANCE(B21,""price"")/INDEX(GOOGLEFINANCE(B21,""price"",DATEVALUE(TODAY()-365) ),2,2)-1),""""))"),0.23931849699531127)</f>
        <v>0.239318497</v>
      </c>
      <c r="M21" s="310">
        <f>IFERROR(__xludf.DUMMYFUNCTION("IF(ISBLANK(B21),"""",IFERROR((GOOGLEFINANCE($D$13,""price"")/INDEX(GOOGLEFINANCE($D$13,""price"",DATEVALUE(TODAY()-365) ),2,2)-1),""""))"),0.21881341406744403)</f>
        <v>0.2188134141</v>
      </c>
      <c r="N21" s="310">
        <f t="shared" si="3"/>
        <v>0.02050508293</v>
      </c>
      <c r="O21" s="311">
        <f>IFERROR(__xludf.DUMMYFUNCTION("IFERROR(IF(ISBLANK(B21),"""",GOOGLEFINANCE(B21,""low52"")),"""")"),145.94)</f>
        <v>145.94</v>
      </c>
      <c r="P21" s="310">
        <f t="shared" si="4"/>
        <v>0.2859394272</v>
      </c>
      <c r="Q21" s="311">
        <f>IFERROR(__xludf.DUMMYFUNCTION("IFERROR(IF(ISBLANK(B21),"""",GOOGLEFINANCE(B21,""high52"")),"""")"),191.55)</f>
        <v>191.55</v>
      </c>
      <c r="R21" s="310">
        <f t="shared" si="5"/>
        <v>-0.02025580788</v>
      </c>
      <c r="S21" s="311">
        <f t="shared" si="6"/>
        <v>168.745</v>
      </c>
      <c r="U21" s="311">
        <f t="shared" si="7"/>
        <v>184.7085</v>
      </c>
      <c r="W21" s="13" t="str">
        <f t="shared" si="8"/>
        <v>Sell</v>
      </c>
      <c r="X21" s="310">
        <f t="shared" si="9"/>
        <v>0.1121514712</v>
      </c>
      <c r="Y21" s="311">
        <f>IFERROR(__xludf.DUMMYFUNCTION("IF(ISBLANK(B21),"""",IFERROR(INDEX(GOOGLEFINANCE(B21,""price"",WORKDAY(TODAY(),-$Y$17)),2,2),""""))"),190.61)</f>
        <v>190.61</v>
      </c>
      <c r="Z21" s="310">
        <f>IFERROR(__xludf.DUMMYFUNCTION("IF(ISBLANK(B21),"""",IFERROR(I21/(INDEX(GOOGLEFINANCE(B21,""price"",WORKDAY(TODAY(),-$Z$17)),2,2))-1,""""))"),-0.015424164524421746)</f>
        <v>-0.01542416452</v>
      </c>
      <c r="AA21" s="312" t="str">
        <f>IFERROR(__xludf.DUMMYFUNCTION("IF(ISBLANK(B21),"""",IFERROR(IFERROR(""$""&amp;Trunc(GOOGLEFINANCE(B21,""Marketcap"")/1000000000)&amp;"" B"",""$""&amp;Trunc(IMPORTXML(""https://coinmarketcap.com/currencies/""&amp;B21,$AJ$4)/1000000000)&amp;"" B""),""-""))"),"-")</f>
        <v>-</v>
      </c>
      <c r="AB21" s="13" t="str">
        <f>IFERROR(__xludf.DUMMYFUNCTION("IF(ISBLANK(B21),"""",IFERROR(GOOGLEFINANCE(B21,""pe""),""-""))"),"-")</f>
        <v>-</v>
      </c>
      <c r="AC21" s="313" t="str">
        <f>IFERROR(__xludf.DUMMYFUNCTION("SPARKLINE(INDEX(GOOGLEFINANCE(B21,""price"",workday(today(),-$AC$17),today()),,2),{""charttype"",""column"";""color"",""green""})
"),"")</f>
        <v/>
      </c>
      <c r="AD21" s="313" t="str">
        <f>IFERROR(__xludf.DUMMYFUNCTION("IF(ISBLANK(B21),"""",IFERROR(INDEX(IMPORTXML(""https://eresearch.fidelity.com/eresearch/goto/evaluate/snapshot.jhtml?symbols=""&amp;B21&amp;"""",""//div[@class='sub-heading']//span[@class='right']""),1),""Enter Manually"")
)"),"Enter Manually")</f>
        <v>Enter Manually</v>
      </c>
      <c r="AE21" s="314" t="str">
        <f t="shared" si="10"/>
        <v>Info</v>
      </c>
      <c r="AF21" s="321"/>
      <c r="AG21" s="320"/>
      <c r="AH21" s="13"/>
      <c r="AI21" s="13"/>
      <c r="AJ21" s="13"/>
      <c r="AK21" s="13"/>
      <c r="AL21" s="13"/>
      <c r="AM21" s="13"/>
      <c r="AN21" s="13"/>
      <c r="AO21" s="13"/>
      <c r="AP21" s="13"/>
    </row>
    <row r="22" ht="18.75" customHeight="1">
      <c r="A22" s="13"/>
      <c r="B22" s="322" t="s">
        <v>162</v>
      </c>
      <c r="C22" s="306" t="str">
        <f>IFERROR(__xludf.DUMMYFUNCTION("GOOGLEFINANCE(B22,""name"")
"),"iShares Russell 1000 Growth")</f>
        <v>iShares Russell 1000 Growth</v>
      </c>
      <c r="D22" s="317"/>
      <c r="E22" s="318"/>
      <c r="F22" s="13" t="str">
        <f t="shared" si="1"/>
        <v>Sell</v>
      </c>
      <c r="G22" s="309" t="str">
        <f>IFERROR(__xludf.DUMMYFUNCTION("IF(ISBLANK(B22),"""",IFERROR(SPARKLINE(INDEX(GOOGLEFINANCE(B22,""price"",TODAY()-$G$17,TODAY()),,2),{""charttype"",""column"";""color"",""17a7e0""}),""""))"),"")</f>
        <v/>
      </c>
      <c r="I22" s="309">
        <f>IFERROR(__xludf.DUMMYFUNCTION("IFERROR(IF(B22="""","""",GOOGLEFINANCE(B22)),IFERROR(GOOGLEFINANCE(""CURRENCY:""&amp;""USD""&amp;$D$15)*IMPORTXML(""https://coinmarketcap.com/currencies/""&amp;B22,$AJ$3),IMPORTXML(""https://coinmarketcap.com/currencies/""&amp;B22,$AJ$3)))"),339.0)</f>
        <v>339</v>
      </c>
      <c r="J22" s="310" t="str">
        <f t="shared" si="2"/>
        <v/>
      </c>
      <c r="K22" s="310">
        <f>IFERROR(__xludf.DUMMYFUNCTION("IFERROR(IF(ISBLANK(B22),"""",GOOGLEFINANCE(B22,""changepct"")/100),"""")"),-0.006999999999999999)</f>
        <v>-0.007</v>
      </c>
      <c r="L22" s="310">
        <f>IFERROR(__xludf.DUMMYFUNCTION("IF(ISBLANK(B22),"""",IFERROR((GOOGLEFINANCE(B22,""price"")/INDEX(GOOGLEFINANCE(B22,""price"",DATEVALUE(TODAY()-365) ),2,2)-1),""""))"),0.2813728454792863)</f>
        <v>0.2813728455</v>
      </c>
      <c r="M22" s="310">
        <f>IFERROR(__xludf.DUMMYFUNCTION("IF(ISBLANK(B22),"""",IFERROR((GOOGLEFINANCE($D$13,""price"")/INDEX(GOOGLEFINANCE($D$13,""price"",DATEVALUE(TODAY()-365) ),2,2)-1),""""))"),0.21881341406744403)</f>
        <v>0.2188134141</v>
      </c>
      <c r="N22" s="310">
        <f t="shared" si="3"/>
        <v>0.06255943141</v>
      </c>
      <c r="O22" s="311">
        <f>IFERROR(__xludf.DUMMYFUNCTION("IFERROR(IF(ISBLANK(B22),"""",GOOGLEFINANCE(B22,""low52"")),"""")"),256.01)</f>
        <v>256.01</v>
      </c>
      <c r="P22" s="310">
        <f t="shared" si="4"/>
        <v>0.3241670247</v>
      </c>
      <c r="Q22" s="311">
        <f>IFERROR(__xludf.DUMMYFUNCTION("IFERROR(IF(ISBLANK(B22),"""",GOOGLEFINANCE(B22,""high52"")),"""")"),348.07)</f>
        <v>348.07</v>
      </c>
      <c r="R22" s="310">
        <f t="shared" si="5"/>
        <v>-0.02605797684</v>
      </c>
      <c r="S22" s="311">
        <f t="shared" si="6"/>
        <v>302.04</v>
      </c>
      <c r="U22" s="311">
        <f t="shared" si="7"/>
        <v>334.261</v>
      </c>
      <c r="W22" s="13" t="str">
        <f t="shared" si="8"/>
        <v>Sell</v>
      </c>
      <c r="X22" s="310">
        <f t="shared" si="9"/>
        <v>0.1223678983</v>
      </c>
      <c r="Y22" s="311">
        <f>IFERROR(__xludf.DUMMYFUNCTION("IF(ISBLANK(B22),"""",IFERROR(INDEX(GOOGLEFINANCE(B22,""price"",WORKDAY(TODAY(),-$Y$17)),2,2),""""))"),347.56)</f>
        <v>347.56</v>
      </c>
      <c r="Z22" s="310">
        <f>IFERROR(__xludf.DUMMYFUNCTION("IF(ISBLANK(B22),"""",IFERROR(I22/(INDEX(GOOGLEFINANCE(B22,""price"",WORKDAY(TODAY(),-$Z$17)),2,2))-1,""""))"),-0.024628841063413565)</f>
        <v>-0.02462884106</v>
      </c>
      <c r="AA22" s="312" t="str">
        <f>IFERROR(__xludf.DUMMYFUNCTION("IF(ISBLANK(B22),"""",IFERROR(IFERROR(""$""&amp;Trunc(GOOGLEFINANCE(B22,""Marketcap"")/1000000000)&amp;"" B"",""$""&amp;Trunc(IMPORTXML(""https://coinmarketcap.com/currencies/""&amp;B22,$AJ$4)/1000000000)&amp;"" B""),""-""))"),"$8 B")</f>
        <v>$8 B</v>
      </c>
      <c r="AB22" s="13" t="str">
        <f>IFERROR(__xludf.DUMMYFUNCTION("IF(ISBLANK(B22),"""",IFERROR(GOOGLEFINANCE(B22,""pe""),""-""))"),"-")</f>
        <v>-</v>
      </c>
      <c r="AC22" s="313" t="str">
        <f>IFERROR(__xludf.DUMMYFUNCTION("SPARKLINE(INDEX(GOOGLEFINANCE(B22,""price"",workday(today(),-$AC$17),today()),,2),{""charttype"",""column"";""color"",""green""})
"),"")</f>
        <v/>
      </c>
      <c r="AD22" s="313" t="str">
        <f>IFERROR(__xludf.DUMMYFUNCTION("IF(ISBLANK(B22),"""",IFERROR(INDEX(IMPORTXML(""https://eresearch.fidelity.com/eresearch/goto/evaluate/snapshot.jhtml?symbols=""&amp;B22&amp;"""",""//div[@class='sub-heading']//span[@class='right']""),1),""Enter Manually"")
)"),"Enter Manually")</f>
        <v>Enter Manually</v>
      </c>
      <c r="AE22" s="314" t="str">
        <f t="shared" si="10"/>
        <v>Info</v>
      </c>
      <c r="AF22" s="321"/>
      <c r="AG22" s="320"/>
      <c r="AH22" s="13"/>
      <c r="AI22" s="13"/>
      <c r="AJ22" s="13"/>
      <c r="AK22" s="13"/>
      <c r="AL22" s="13"/>
      <c r="AM22" s="13"/>
      <c r="AN22" s="13"/>
      <c r="AO22" s="13"/>
      <c r="AP22" s="13"/>
    </row>
    <row r="23" ht="18.75" customHeight="1">
      <c r="A23" s="13"/>
      <c r="B23" s="322" t="s">
        <v>163</v>
      </c>
      <c r="C23" s="306" t="str">
        <f>IFERROR(__xludf.DUMMYFUNCTION("GOOGLEFINANCE(B23,""name"")
"),"iShares Russell 1000 Value ETF")</f>
        <v>iShares Russell 1000 Value ETF</v>
      </c>
      <c r="D23" s="317"/>
      <c r="E23" s="318"/>
      <c r="F23" s="13" t="str">
        <f t="shared" si="1"/>
        <v>Sell</v>
      </c>
      <c r="G23" s="309" t="str">
        <f>IFERROR(__xludf.DUMMYFUNCTION("IF(ISBLANK(B23),"""",IFERROR(SPARKLINE(INDEX(GOOGLEFINANCE(B23,""price"",TODAY()-$G$17,TODAY()),,2),{""charttype"",""column"";""color"",""17a7e0""}),""""))"),"")</f>
        <v/>
      </c>
      <c r="I23" s="309">
        <f>IFERROR(__xludf.DUMMYFUNCTION("IFERROR(IF(B23="""","""",GOOGLEFINANCE(B23)),IFERROR(GOOGLEFINANCE(""CURRENCY:""&amp;""USD""&amp;$D$15)*IMPORTXML(""https://coinmarketcap.com/currencies/""&amp;B23,$AJ$3),IMPORTXML(""https://coinmarketcap.com/currencies/""&amp;B23,$AJ$3)))"),174.71)</f>
        <v>174.71</v>
      </c>
      <c r="J23" s="310" t="str">
        <f t="shared" si="2"/>
        <v/>
      </c>
      <c r="K23" s="310">
        <f>IFERROR(__xludf.DUMMYFUNCTION("IFERROR(IF(ISBLANK(B23),"""",GOOGLEFINANCE(B23,""changepct"")/100),"""")"),0.0019)</f>
        <v>0.0019</v>
      </c>
      <c r="L23" s="310">
        <f>IFERROR(__xludf.DUMMYFUNCTION("IF(ISBLANK(B23),"""",IFERROR((GOOGLEFINANCE(B23,""price"")/INDEX(GOOGLEFINANCE(B23,""price"",DATEVALUE(TODAY()-365) ),2,2)-1),""""))"),0.14481357709193365)</f>
        <v>0.1448135771</v>
      </c>
      <c r="M23" s="310">
        <f>IFERROR(__xludf.DUMMYFUNCTION("IF(ISBLANK(B23),"""",IFERROR((GOOGLEFINANCE($D$13,""price"")/INDEX(GOOGLEFINANCE($D$13,""price"",DATEVALUE(TODAY()-365) ),2,2)-1),""""))"),0.21881341406744403)</f>
        <v>0.2188134141</v>
      </c>
      <c r="N23" s="310">
        <f t="shared" si="3"/>
        <v>-0.07399983698</v>
      </c>
      <c r="O23" s="311">
        <f>IFERROR(__xludf.DUMMYFUNCTION("IFERROR(IF(ISBLANK(B23),"""",GOOGLEFINANCE(B23,""low52"")),"""")"),143.34)</f>
        <v>143.34</v>
      </c>
      <c r="P23" s="310">
        <f t="shared" si="4"/>
        <v>0.218850286</v>
      </c>
      <c r="Q23" s="311">
        <f>IFERROR(__xludf.DUMMYFUNCTION("IFERROR(IF(ISBLANK(B23),"""",GOOGLEFINANCE(B23,""high52"")),"""")"),179.56)</f>
        <v>179.56</v>
      </c>
      <c r="R23" s="310">
        <f t="shared" si="5"/>
        <v>-0.02701047004</v>
      </c>
      <c r="S23" s="311">
        <f t="shared" si="6"/>
        <v>161.45</v>
      </c>
      <c r="U23" s="311">
        <f t="shared" si="7"/>
        <v>174.127</v>
      </c>
      <c r="W23" s="13" t="str">
        <f t="shared" si="8"/>
        <v>Sell</v>
      </c>
      <c r="X23" s="310">
        <f t="shared" si="9"/>
        <v>0.08213069062</v>
      </c>
      <c r="Y23" s="311">
        <f>IFERROR(__xludf.DUMMYFUNCTION("IF(ISBLANK(B23),"""",IFERROR(INDEX(GOOGLEFINANCE(B23,""price"",WORKDAY(TODAY(),-$Y$17)),2,2),""""))"),175.43)</f>
        <v>175.43</v>
      </c>
      <c r="Z23" s="310">
        <f>IFERROR(__xludf.DUMMYFUNCTION("IF(ISBLANK(B23),"""",IFERROR(I23/(INDEX(GOOGLEFINANCE(B23,""price"",WORKDAY(TODAY(),-$Z$17)),2,2))-1,""""))"),-0.004104201105854188)</f>
        <v>-0.004104201106</v>
      </c>
      <c r="AA23" s="312" t="str">
        <f>IFERROR(__xludf.DUMMYFUNCTION("IF(ISBLANK(B23),"""",IFERROR(IFERROR(""$""&amp;Trunc(GOOGLEFINANCE(B23,""Marketcap"")/1000000000)&amp;"" B"",""$""&amp;Trunc(IMPORTXML(""https://coinmarketcap.com/currencies/""&amp;B23,$AJ$4)/1000000000)&amp;"" B""),""-""))"),"$53 B")</f>
        <v>$53 B</v>
      </c>
      <c r="AB23" s="13" t="str">
        <f>IFERROR(__xludf.DUMMYFUNCTION("IF(ISBLANK(B23),"""",IFERROR(GOOGLEFINANCE(B23,""pe""),""-""))"),"-")</f>
        <v>-</v>
      </c>
      <c r="AC23" s="313" t="str">
        <f>IFERROR(__xludf.DUMMYFUNCTION("SPARKLINE(INDEX(GOOGLEFINANCE(B23,""price"",workday(today(),-$AC$17),today()),,2),{""charttype"",""column"";""color"",""green""})
"),"")</f>
        <v/>
      </c>
      <c r="AD23" s="313" t="str">
        <f>IFERROR(__xludf.DUMMYFUNCTION("IF(ISBLANK(B23),"""",IFERROR(INDEX(IMPORTXML(""https://eresearch.fidelity.com/eresearch/goto/evaluate/snapshot.jhtml?symbols=""&amp;B23&amp;"""",""//div[@class='sub-heading']//span[@class='right']""),1),""Enter Manually"")
)"),"Enter Manually")</f>
        <v>Enter Manually</v>
      </c>
      <c r="AE23" s="314" t="str">
        <f t="shared" si="10"/>
        <v>Info</v>
      </c>
      <c r="AF23" s="321"/>
      <c r="AG23" s="320"/>
      <c r="AH23" s="13"/>
      <c r="AI23" s="13"/>
      <c r="AJ23" s="13"/>
      <c r="AK23" s="13"/>
      <c r="AL23" s="13"/>
      <c r="AM23" s="13"/>
      <c r="AN23" s="13"/>
      <c r="AO23" s="13"/>
      <c r="AP23" s="13"/>
    </row>
    <row r="24" ht="18.75" customHeight="1">
      <c r="A24" s="13"/>
      <c r="B24" s="322" t="s">
        <v>164</v>
      </c>
      <c r="C24" s="306" t="str">
        <f>IFERROR(__xludf.DUMMYFUNCTION("GOOGLEFINANCE(B24,""name"")
"),"Super Micro Computer Inc")</f>
        <v>Super Micro Computer Inc</v>
      </c>
      <c r="D24" s="323">
        <v>900.0</v>
      </c>
      <c r="E24" s="324">
        <v>1200.0</v>
      </c>
      <c r="F24" s="13" t="str">
        <f t="shared" si="1"/>
        <v>Buy</v>
      </c>
      <c r="G24" s="309" t="str">
        <f>IFERROR(__xludf.DUMMYFUNCTION("IF(ISBLANK(B24),"""",IFERROR(SPARKLINE(INDEX(GOOGLEFINANCE(B24,""price"",TODAY()-$G$17,TODAY()),,2),{""charttype"",""column"";""color"",""17a7e0""}),""""))"),"")</f>
        <v/>
      </c>
      <c r="I24" s="309">
        <f>IFERROR(__xludf.DUMMYFUNCTION("IFERROR(IF(B24="""","""",GOOGLEFINANCE(B24)),IFERROR(GOOGLEFINANCE(""CURRENCY:""&amp;""USD""&amp;$D$15)*IMPORTXML(""https://coinmarketcap.com/currencies/""&amp;B24,$AJ$3),IMPORTXML(""https://coinmarketcap.com/currencies/""&amp;B24,$AJ$3)))"),772.0)</f>
        <v>772</v>
      </c>
      <c r="J24" s="310">
        <f t="shared" si="2"/>
        <v>-0.1422222222</v>
      </c>
      <c r="K24" s="310">
        <f>IFERROR(__xludf.DUMMYFUNCTION("IFERROR(IF(ISBLANK(B24),"""",GOOGLEFINANCE(B24,""changepct"")/100),"""")"),-0.0676)</f>
        <v>-0.0676</v>
      </c>
      <c r="L24" s="310">
        <f>IFERROR(__xludf.DUMMYFUNCTION("IF(ISBLANK(B24),"""",IFERROR((GOOGLEFINANCE(B24,""price"")/INDEX(GOOGLEFINANCE(B24,""price"",DATEVALUE(TODAY()-365) ),2,2)-1),""""))"),2.4784175903397316)</f>
        <v>2.47841759</v>
      </c>
      <c r="M24" s="310">
        <f>IFERROR(__xludf.DUMMYFUNCTION("IF(ISBLANK(B24),"""",IFERROR((GOOGLEFINANCE($D$13,""price"")/INDEX(GOOGLEFINANCE($D$13,""price"",DATEVALUE(TODAY()-365) ),2,2)-1),""""))"),0.21881341406744403)</f>
        <v>0.2188134141</v>
      </c>
      <c r="N24" s="310">
        <f t="shared" si="3"/>
        <v>2.259604176</v>
      </c>
      <c r="O24" s="311">
        <f>IFERROR(__xludf.DUMMYFUNCTION("IFERROR(IF(ISBLANK(B24),"""",GOOGLEFINANCE(B24,""low52"")),"""")"),213.08)</f>
        <v>213.08</v>
      </c>
      <c r="P24" s="310">
        <f t="shared" si="4"/>
        <v>2.623052375</v>
      </c>
      <c r="Q24" s="311">
        <f>IFERROR(__xludf.DUMMYFUNCTION("IFERROR(IF(ISBLANK(B24),"""",GOOGLEFINANCE(B24,""high52"")),"""")"),1229.0)</f>
        <v>1229</v>
      </c>
      <c r="R24" s="310">
        <f t="shared" si="5"/>
        <v>-0.3718470301</v>
      </c>
      <c r="S24" s="311">
        <f t="shared" si="6"/>
        <v>721.04</v>
      </c>
      <c r="U24" s="311">
        <f t="shared" si="7"/>
        <v>1076.612</v>
      </c>
      <c r="W24" s="13" t="str">
        <f t="shared" si="8"/>
        <v>Hodl</v>
      </c>
      <c r="X24" s="310">
        <f t="shared" si="9"/>
        <v>0.07067569067</v>
      </c>
      <c r="Y24" s="311">
        <f>IFERROR(__xludf.DUMMYFUNCTION("IF(ISBLANK(B24),"""",IFERROR(INDEX(GOOGLEFINANCE(B24,""price"",WORKDAY(TODAY(),-$Y$17)),2,2),""""))"),874.72)</f>
        <v>874.72</v>
      </c>
      <c r="Z24" s="310">
        <f>IFERROR(__xludf.DUMMYFUNCTION("IF(ISBLANK(B24),"""",IFERROR(I24/(INDEX(GOOGLEFINANCE(B24,""price"",WORKDAY(TODAY(),-$Z$17)),2,2))-1,""""))"),-0.11743186391073723)</f>
        <v>-0.1174318639</v>
      </c>
      <c r="AA24" s="312" t="str">
        <f>IFERROR(__xludf.DUMMYFUNCTION("IF(ISBLANK(B24),"""",IFERROR(IFERROR(""$""&amp;Trunc(GOOGLEFINANCE(B24,""Marketcap"")/1000000000)&amp;"" B"",""$""&amp;Trunc(IMPORTXML(""https://coinmarketcap.com/currencies/""&amp;B24,$AJ$4)/1000000000)&amp;"" B""),""-""))"),"$45 B")</f>
        <v>$45 B</v>
      </c>
      <c r="AB24" s="13">
        <f>IFERROR(__xludf.DUMMYFUNCTION("IF(ISBLANK(B24),"""",IFERROR(GOOGLEFINANCE(B24,""pe""),""-""))"),43.39)</f>
        <v>43.39</v>
      </c>
      <c r="AC24" s="313" t="str">
        <f>IFERROR(__xludf.DUMMYFUNCTION("SPARKLINE(INDEX(GOOGLEFINANCE(B24,""price"",workday(today(),-$AC$17),today()),,2),{""charttype"",""column"";""color"",""green""})
"),"")</f>
        <v/>
      </c>
      <c r="AD24" s="313" t="str">
        <f>IFERROR(__xludf.DUMMYFUNCTION("IF(ISBLANK(B24),"""",IFERROR(INDEX(IMPORTXML(""https://eresearch.fidelity.com/eresearch/goto/evaluate/snapshot.jhtml?symbols=""&amp;B24&amp;"""",""//div[@class='sub-heading']//span[@class='right']""),1),""Enter Manually"")
)"),"Enter Manually")</f>
        <v>Enter Manually</v>
      </c>
      <c r="AE24" s="314" t="str">
        <f t="shared" si="10"/>
        <v>Info</v>
      </c>
      <c r="AF24" s="321"/>
      <c r="AG24" s="320"/>
      <c r="AH24" s="13"/>
      <c r="AI24" s="13"/>
      <c r="AJ24" s="13"/>
      <c r="AK24" s="13"/>
      <c r="AL24" s="13"/>
      <c r="AM24" s="13"/>
      <c r="AN24" s="13"/>
      <c r="AO24" s="13"/>
      <c r="AP24" s="13"/>
    </row>
    <row r="25" ht="18.75" customHeight="1">
      <c r="A25" s="13"/>
      <c r="B25" s="316" t="s">
        <v>137</v>
      </c>
      <c r="C25" s="306" t="str">
        <f>IFERROR(__xludf.DUMMYFUNCTION("GOOGLEFINANCE(B25,""name"")
"),"Microsoft Corp")</f>
        <v>Microsoft Corp</v>
      </c>
      <c r="D25" s="325">
        <v>400.0</v>
      </c>
      <c r="E25" s="326">
        <v>600.0</v>
      </c>
      <c r="F25" s="13" t="str">
        <f t="shared" si="1"/>
        <v>Hodl</v>
      </c>
      <c r="G25" s="309" t="str">
        <f>IFERROR(__xludf.DUMMYFUNCTION("IF(ISBLANK(B25),"""",IFERROR(SPARKLINE(INDEX(GOOGLEFINANCE(B25,""price"",TODAY()-$G$17,TODAY()),,2),{""charttype"",""column"";""color"",""17a7e0""}),""""))"),"")</f>
        <v/>
      </c>
      <c r="I25" s="309">
        <f>IFERROR(__xludf.DUMMYFUNCTION("IFERROR(IF(B25="""","""",GOOGLEFINANCE(B25)),IFERROR(GOOGLEFINANCE(""CURRENCY:""&amp;""USD""&amp;$D$15)*IMPORTXML(""https://coinmarketcap.com/currencies/""&amp;B25,$AJ$3),IMPORTXML(""https://coinmarketcap.com/currencies/""&amp;B25,$AJ$3)))"),410.3)</f>
        <v>410.3</v>
      </c>
      <c r="J25" s="310">
        <f t="shared" si="2"/>
        <v>0.02575</v>
      </c>
      <c r="K25" s="310">
        <f>IFERROR(__xludf.DUMMYFUNCTION("IFERROR(IF(ISBLANK(B25),"""",GOOGLEFINANCE(B25,""changepct"")/100),"""")"),-0.0105)</f>
        <v>-0.0105</v>
      </c>
      <c r="L25" s="310">
        <f>IFERROR(__xludf.DUMMYFUNCTION("IF(ISBLANK(B25),"""",IFERROR((GOOGLEFINANCE(B25,""price"")/INDEX(GOOGLEFINANCE(B25,""price"",DATEVALUE(TODAY()-365) ),2,2)-1),""""))"),0.22331544424567684)</f>
        <v>0.2233154442</v>
      </c>
      <c r="M25" s="310">
        <f>IFERROR(__xludf.DUMMYFUNCTION("IF(ISBLANK(B25),"""",IFERROR((GOOGLEFINANCE($D$13,""price"")/INDEX(GOOGLEFINANCE($D$13,""price"",DATEVALUE(TODAY()-365) ),2,2)-1),""""))"),0.21881341406744403)</f>
        <v>0.2188134141</v>
      </c>
      <c r="N25" s="310">
        <f t="shared" si="3"/>
        <v>0.004502030178</v>
      </c>
      <c r="O25" s="311">
        <f>IFERROR(__xludf.DUMMYFUNCTION("IFERROR(IF(ISBLANK(B25),"""",GOOGLEFINANCE(B25,""low52"")),"""")"),309.45)</f>
        <v>309.45</v>
      </c>
      <c r="P25" s="310">
        <f t="shared" si="4"/>
        <v>0.3259007917</v>
      </c>
      <c r="Q25" s="311">
        <f>IFERROR(__xludf.DUMMYFUNCTION("IFERROR(IF(ISBLANK(B25),"""",GOOGLEFINANCE(B25,""high52"")),"""")"),433.6)</f>
        <v>433.6</v>
      </c>
      <c r="R25" s="310">
        <f t="shared" si="5"/>
        <v>-0.05373616236</v>
      </c>
      <c r="S25" s="311">
        <f t="shared" si="6"/>
        <v>371.525</v>
      </c>
      <c r="U25" s="311">
        <f t="shared" si="7"/>
        <v>414.9775</v>
      </c>
      <c r="W25" s="13" t="str">
        <f t="shared" si="8"/>
        <v>Hodl</v>
      </c>
      <c r="X25" s="310">
        <f t="shared" si="9"/>
        <v>0.1043671355</v>
      </c>
      <c r="Y25" s="311">
        <f>IFERROR(__xludf.DUMMYFUNCTION("IF(ISBLANK(B25),"""",IFERROR(INDEX(GOOGLEFINANCE(B25,""price"",WORKDAY(TODAY(),-$Y$17)),2,2),""""))"),430.32)</f>
        <v>430.32</v>
      </c>
      <c r="Z25" s="310">
        <f>IFERROR(__xludf.DUMMYFUNCTION("IF(ISBLANK(B25),"""",IFERROR(I25/(INDEX(GOOGLEFINANCE(B25,""price"",WORKDAY(TODAY(),-$Z$17)),2,2))-1,""""))"),-0.046523517382413004)</f>
        <v>-0.04652351738</v>
      </c>
      <c r="AA25" s="312" t="str">
        <f>IFERROR(__xludf.DUMMYFUNCTION("IF(ISBLANK(B25),"""",IFERROR(IFERROR(""$""&amp;Trunc(GOOGLEFINANCE(B25,""Marketcap"")/1000000000)&amp;"" B"",""$""&amp;Trunc(IMPORTXML(""https://coinmarketcap.com/currencies/""&amp;B25,$AJ$4)/1000000000)&amp;"" B""),""-""))"),"$3049 B")</f>
        <v>$3049 B</v>
      </c>
      <c r="AB25" s="13">
        <f>IFERROR(__xludf.DUMMYFUNCTION("IF(ISBLANK(B25),"""",IFERROR(GOOGLEFINANCE(B25,""pe""),""-""))"),35.55)</f>
        <v>35.55</v>
      </c>
      <c r="AC25" s="313" t="str">
        <f>IFERROR(__xludf.DUMMYFUNCTION("SPARKLINE(INDEX(GOOGLEFINANCE(B25,""price"",workday(today(),-$AC$17),today()),,2),{""charttype"",""column"";""color"",""green""})
"),"")</f>
        <v/>
      </c>
      <c r="AD25" s="313" t="str">
        <f>IFERROR(__xludf.DUMMYFUNCTION("IF(ISBLANK(B25),"""",IFERROR(INDEX(IMPORTXML(""https://eresearch.fidelity.com/eresearch/goto/evaluate/snapshot.jhtml?symbols=""&amp;B25&amp;"""",""//div[@class='sub-heading']//span[@class='right']""),1),""Enter Manually"")
)"),"Enter Manually")</f>
        <v>Enter Manually</v>
      </c>
      <c r="AE25" s="314" t="str">
        <f t="shared" si="10"/>
        <v>Info</v>
      </c>
      <c r="AF25" s="319" t="s">
        <v>165</v>
      </c>
      <c r="AG25" s="320"/>
      <c r="AH25" s="13"/>
      <c r="AI25" s="13"/>
      <c r="AJ25" s="13"/>
      <c r="AK25" s="13"/>
      <c r="AL25" s="13"/>
      <c r="AM25" s="13"/>
      <c r="AN25" s="13"/>
      <c r="AO25" s="13"/>
      <c r="AP25" s="13"/>
    </row>
    <row r="26" ht="18.75" customHeight="1">
      <c r="A26" s="13"/>
      <c r="B26" s="327" t="s">
        <v>135</v>
      </c>
      <c r="C26" s="306" t="str">
        <f>IFERROR(__xludf.DUMMYFUNCTION("GOOGLEFINANCE(B26,""name"")
"),"Netflix Inc")</f>
        <v>Netflix Inc</v>
      </c>
      <c r="D26" s="306"/>
      <c r="E26" s="328"/>
      <c r="F26" s="13" t="str">
        <f t="shared" si="1"/>
        <v>Sell</v>
      </c>
      <c r="G26" s="309" t="str">
        <f>IFERROR(__xludf.DUMMYFUNCTION("IF(ISBLANK(B26),"""",IFERROR(SPARKLINE(INDEX(GOOGLEFINANCE(B26,""price"",TODAY()-$G$17,TODAY()),,2),{""charttype"",""column"";""color"",""17a7e0""}),""""))"),"")</f>
        <v/>
      </c>
      <c r="I26" s="309">
        <f>IFERROR(__xludf.DUMMYFUNCTION("IFERROR(IF(B26="""","""",GOOGLEFINANCE(B26)),IFERROR(GOOGLEFINANCE(""CURRENCY:""&amp;""USD""&amp;$D$15)*IMPORTXML(""https://coinmarketcap.com/currencies/""&amp;B26,$AJ$3),IMPORTXML(""https://coinmarketcap.com/currencies/""&amp;B26,$AJ$3)))"),635.49)</f>
        <v>635.49</v>
      </c>
      <c r="J26" s="310" t="str">
        <f t="shared" si="2"/>
        <v/>
      </c>
      <c r="K26" s="310">
        <f>IFERROR(__xludf.DUMMYFUNCTION("IFERROR(IF(ISBLANK(B26),"""",GOOGLEFINANCE(B26,""changepct"")/100),"""")"),-0.018799999999999997)</f>
        <v>-0.0188</v>
      </c>
      <c r="L26" s="310">
        <f>IFERROR(__xludf.DUMMYFUNCTION("IF(ISBLANK(B26),"""",IFERROR((GOOGLEFINANCE(B26,""price"")/INDEX(GOOGLEFINANCE(B26,""price"",DATEVALUE(TODAY()-365) ),2,2)-1),""""))"),0.5868604389841934)</f>
        <v>0.586860439</v>
      </c>
      <c r="M26" s="310">
        <f>IFERROR(__xludf.DUMMYFUNCTION("IF(ISBLANK(B26),"""",IFERROR((GOOGLEFINANCE($D$13,""price"")/INDEX(GOOGLEFINANCE($D$13,""price"",DATEVALUE(TODAY()-365) ),2,2)-1),""""))"),0.21881341406744403)</f>
        <v>0.2188134141</v>
      </c>
      <c r="N26" s="310">
        <f t="shared" si="3"/>
        <v>0.3680470249</v>
      </c>
      <c r="O26" s="311">
        <f>IFERROR(__xludf.DUMMYFUNCTION("IFERROR(IF(ISBLANK(B26),"""",GOOGLEFINANCE(B26,""low52"")),"""")"),344.73)</f>
        <v>344.73</v>
      </c>
      <c r="P26" s="310">
        <f t="shared" si="4"/>
        <v>0.8434426943</v>
      </c>
      <c r="Q26" s="311">
        <f>IFERROR(__xludf.DUMMYFUNCTION("IFERROR(IF(ISBLANK(B26),"""",GOOGLEFINANCE(B26,""high52"")),"""")"),664.25)</f>
        <v>664.25</v>
      </c>
      <c r="R26" s="310">
        <f t="shared" si="5"/>
        <v>-0.04329695145</v>
      </c>
      <c r="S26" s="311">
        <f t="shared" si="6"/>
        <v>504.49</v>
      </c>
      <c r="U26" s="311">
        <f t="shared" si="7"/>
        <v>616.322</v>
      </c>
      <c r="W26" s="13" t="str">
        <f t="shared" si="8"/>
        <v>Sell</v>
      </c>
      <c r="X26" s="310">
        <f t="shared" si="9"/>
        <v>0.2596681797</v>
      </c>
      <c r="Y26" s="311">
        <f>IFERROR(__xludf.DUMMYFUNCTION("IF(ISBLANK(B26),"""",IFERROR(INDEX(GOOGLEFINANCE(B26,""price"",WORKDAY(TODAY(),-$Y$17)),2,2),""""))"),649.0)</f>
        <v>649</v>
      </c>
      <c r="Z26" s="310">
        <f>IFERROR(__xludf.DUMMYFUNCTION("IF(ISBLANK(B26),"""",IFERROR(I26/(INDEX(GOOGLEFINANCE(B26,""price"",WORKDAY(TODAY(),-$Z$17)),2,2))-1,""""))"),-0.02081664098613245)</f>
        <v>-0.02081664099</v>
      </c>
      <c r="AA26" s="312" t="str">
        <f>IFERROR(__xludf.DUMMYFUNCTION("IF(ISBLANK(B26),"""",IFERROR(IFERROR(""$""&amp;Trunc(GOOGLEFINANCE(B26,""Marketcap"")/1000000000)&amp;"" B"",""$""&amp;Trunc(IMPORTXML(""https://coinmarketcap.com/currencies/""&amp;B26,$AJ$4)/1000000000)&amp;"" B""),""-""))"),"$274 B")</f>
        <v>$274 B</v>
      </c>
      <c r="AB26" s="13">
        <f>IFERROR(__xludf.DUMMYFUNCTION("IF(ISBLANK(B26),"""",IFERROR(GOOGLEFINANCE(B26,""pe""),""-""))"),44.09)</f>
        <v>44.09</v>
      </c>
      <c r="AC26" s="313" t="str">
        <f>IFERROR(__xludf.DUMMYFUNCTION("SPARKLINE(INDEX(GOOGLEFINANCE(B26,""price"",workday(today(),-$AC$17),today()),,2),{""charttype"",""column"";""color"",""green""})
"),"")</f>
        <v/>
      </c>
      <c r="AD26" s="313" t="str">
        <f>IFERROR(__xludf.DUMMYFUNCTION("IF(ISBLANK(B26),"""",IFERROR(INDEX(IMPORTXML(""https://eresearch.fidelity.com/eresearch/goto/evaluate/snapshot.jhtml?symbols=""&amp;B26&amp;"""",""//div[@class='sub-heading']//span[@class='right']""),1),""Enter Manually"")
)"),"Enter Manually")</f>
        <v>Enter Manually</v>
      </c>
      <c r="AE26" s="314" t="str">
        <f t="shared" si="10"/>
        <v>Info</v>
      </c>
      <c r="AF26" s="321"/>
      <c r="AG26" s="320"/>
      <c r="AH26" s="13"/>
      <c r="AI26" s="13"/>
      <c r="AJ26" s="13"/>
      <c r="AK26" s="13"/>
      <c r="AL26" s="13"/>
      <c r="AM26" s="13"/>
      <c r="AN26" s="13"/>
      <c r="AO26" s="13"/>
      <c r="AP26" s="13"/>
    </row>
    <row r="27" ht="18.75" customHeight="1">
      <c r="A27" s="13"/>
      <c r="B27" s="327" t="s">
        <v>5</v>
      </c>
      <c r="C27" s="306" t="str">
        <f>IFERROR(__xludf.DUMMYFUNCTION("GOOGLEFINANCE(B27,""name"")
"),"Apple Inc")</f>
        <v>Apple Inc</v>
      </c>
      <c r="D27" s="306">
        <v>180.0</v>
      </c>
      <c r="E27" s="328">
        <v>220.0</v>
      </c>
      <c r="F27" s="13" t="str">
        <f t="shared" si="1"/>
        <v>Hodl</v>
      </c>
      <c r="G27" s="309" t="str">
        <f>IFERROR(__xludf.DUMMYFUNCTION("IF(ISBLANK(B27),"""",IFERROR(SPARKLINE(INDEX(GOOGLEFINANCE(B27,""price"",TODAY()-$G$17,TODAY()),,2),{""charttype"",""column"";""color"",""17a7e0""}),""""))"),"")</f>
        <v/>
      </c>
      <c r="I27" s="309">
        <f>IFERROR(__xludf.DUMMYFUNCTION("IFERROR(IF(B27="""","""",GOOGLEFINANCE(B27)),IFERROR(GOOGLEFINANCE(""CURRENCY:""&amp;""USD""&amp;$D$15)*IMPORTXML(""https://coinmarketcap.com/currencies/""&amp;B27,$AJ$3),IMPORTXML(""https://coinmarketcap.com/currencies/""&amp;B27,$AJ$3)))"),191.53)</f>
        <v>191.53</v>
      </c>
      <c r="J27" s="310">
        <f t="shared" si="2"/>
        <v>0.06405555556</v>
      </c>
      <c r="K27" s="310">
        <f>IFERROR(__xludf.DUMMYFUNCTION("IFERROR(IF(ISBLANK(B27),"""",GOOGLEFINANCE(B27,""changepct"")/100),"""")"),0.0013)</f>
        <v>0.0013</v>
      </c>
      <c r="L27" s="310">
        <f>IFERROR(__xludf.DUMMYFUNCTION("IF(ISBLANK(B27),"""",IFERROR((GOOGLEFINANCE(B27,""price"")/INDEX(GOOGLEFINANCE(B27,""price"",DATEVALUE(TODAY()-365) ),2,2)-1),""""))"),0.05846919038408416)</f>
        <v>0.05846919038</v>
      </c>
      <c r="M27" s="310">
        <f>IFERROR(__xludf.DUMMYFUNCTION("IF(ISBLANK(B27),"""",IFERROR((GOOGLEFINANCE($D$13,""price"")/INDEX(GOOGLEFINANCE($D$13,""price"",DATEVALUE(TODAY()-365) ),2,2)-1),""""))"),0.21881341406744403)</f>
        <v>0.2188134141</v>
      </c>
      <c r="N27" s="310">
        <f t="shared" si="3"/>
        <v>-0.1603442237</v>
      </c>
      <c r="O27" s="311">
        <f>IFERROR(__xludf.DUMMYFUNCTION("IFERROR(IF(ISBLANK(B27),"""",GOOGLEFINANCE(B27,""low52"")),"""")"),164.08)</f>
        <v>164.08</v>
      </c>
      <c r="P27" s="310">
        <f t="shared" si="4"/>
        <v>0.1672964408</v>
      </c>
      <c r="Q27" s="311">
        <f>IFERROR(__xludf.DUMMYFUNCTION("IFERROR(IF(ISBLANK(B27),"""",GOOGLEFINANCE(B27,""high52"")),"""")"),199.62)</f>
        <v>199.62</v>
      </c>
      <c r="R27" s="310">
        <f t="shared" si="5"/>
        <v>-0.0405270013</v>
      </c>
      <c r="S27" s="311">
        <f t="shared" si="6"/>
        <v>181.85</v>
      </c>
      <c r="U27" s="311">
        <f t="shared" si="7"/>
        <v>194.289</v>
      </c>
      <c r="W27" s="13" t="str">
        <f t="shared" si="8"/>
        <v>Hodl</v>
      </c>
      <c r="X27" s="310">
        <f t="shared" si="9"/>
        <v>0.05323068463</v>
      </c>
      <c r="Y27" s="311">
        <f>IFERROR(__xludf.DUMMYFUNCTION("IF(ISBLANK(B27),"""",IFERROR(INDEX(GOOGLEFINANCE(B27,""price"",WORKDAY(TODAY(),-$Y$17)),2,2),""""))"),189.99)</f>
        <v>189.99</v>
      </c>
      <c r="Z27" s="310">
        <f>IFERROR(__xludf.DUMMYFUNCTION("IF(ISBLANK(B27),"""",IFERROR(I27/(INDEX(GOOGLEFINANCE(B27,""price"",WORKDAY(TODAY(),-$Z$17)),2,2))-1,""""))"),0.008105689773145963)</f>
        <v>0.008105689773</v>
      </c>
      <c r="AA27" s="312" t="str">
        <f>IFERROR(__xludf.DUMMYFUNCTION("IF(ISBLANK(B27),"""",IFERROR(IFERROR(""$""&amp;Trunc(GOOGLEFINANCE(B27,""Marketcap"")/1000000000)&amp;"" B"",""$""&amp;Trunc(IMPORTXML(""https://coinmarketcap.com/currencies/""&amp;B27,$AJ$4)/1000000000)&amp;"" B""),""-""))"),"$2938 B")</f>
        <v>$2938 B</v>
      </c>
      <c r="AB27" s="13">
        <f>IFERROR(__xludf.DUMMYFUNCTION("IF(ISBLANK(B27),"""",IFERROR(GOOGLEFINANCE(B27,""pe""),""-""))"),29.77)</f>
        <v>29.77</v>
      </c>
      <c r="AC27" s="313" t="str">
        <f>IFERROR(__xludf.DUMMYFUNCTION("SPARKLINE(INDEX(GOOGLEFINANCE(B27,""price"",workday(today(),-$AC$17),today()),,2),{""charttype"",""column"";""color"",""green""})
"),"")</f>
        <v/>
      </c>
      <c r="AD27" s="313" t="str">
        <f>IFERROR(__xludf.DUMMYFUNCTION("IF(ISBLANK(B27),"""",IFERROR(INDEX(IMPORTXML(""https://eresearch.fidelity.com/eresearch/goto/evaluate/snapshot.jhtml?symbols=""&amp;B27&amp;"""",""//div[@class='sub-heading']//span[@class='right']""),1),""Enter Manually"")
)"),"Enter Manually")</f>
        <v>Enter Manually</v>
      </c>
      <c r="AE27" s="314" t="str">
        <f t="shared" si="10"/>
        <v>Info</v>
      </c>
      <c r="AF27" s="329" t="s">
        <v>166</v>
      </c>
      <c r="AG27" s="320"/>
      <c r="AH27" s="13"/>
      <c r="AI27" s="13"/>
      <c r="AJ27" s="13"/>
      <c r="AK27" s="13"/>
      <c r="AL27" s="13"/>
      <c r="AM27" s="13"/>
      <c r="AN27" s="13"/>
      <c r="AO27" s="13"/>
      <c r="AP27" s="13"/>
    </row>
    <row r="28" ht="18.75" customHeight="1">
      <c r="A28" s="13"/>
      <c r="B28" s="327"/>
      <c r="C28" s="306" t="str">
        <f>IFERROR(__xludf.DUMMYFUNCTION("GOOGLEFINANCE(B28,""name"")
"),"#N/A")</f>
        <v>#N/A</v>
      </c>
      <c r="D28" s="306"/>
      <c r="E28" s="328"/>
      <c r="F28" s="13" t="str">
        <f t="shared" si="1"/>
        <v/>
      </c>
      <c r="G28" s="309" t="str">
        <f>IFERROR(__xludf.DUMMYFUNCTION("IF(ISBLANK(B28),"""",IFERROR(SPARKLINE(INDEX(GOOGLEFINANCE(B28,""price"",TODAY()-$G$17,TODAY()),,2),{""charttype"",""column"";""color"",""17a7e0""}),""""))"),"")</f>
        <v/>
      </c>
      <c r="I28" s="309" t="str">
        <f>IFERROR(__xludf.DUMMYFUNCTION("IFERROR(IF(B28="""","""",GOOGLEFINANCE(B28)),IFERROR(GOOGLEFINANCE(""CURRENCY:""&amp;""USD""&amp;$D$15)*IMPORTXML(""https://coinmarketcap.com/currencies/""&amp;B28,$AJ$3),IMPORTXML(""https://coinmarketcap.com/currencies/""&amp;B28,$AJ$3)))"),"")</f>
        <v/>
      </c>
      <c r="J28" s="310" t="str">
        <f t="shared" si="2"/>
        <v/>
      </c>
      <c r="K28" s="310" t="str">
        <f>IFERROR(__xludf.DUMMYFUNCTION("IFERROR(IF(ISBLANK(B28),"""",GOOGLEFINANCE(B28,""changepct"")/100),"""")"),"")</f>
        <v/>
      </c>
      <c r="L28" s="310" t="str">
        <f>IFERROR(__xludf.DUMMYFUNCTION("IF(ISBLANK(B28),"""",IFERROR((GOOGLEFINANCE(B28,""price"")/INDEX(GOOGLEFINANCE(B28,""price"",DATEVALUE(TODAY()-365) ),2,2)-1),""""))"),"")</f>
        <v/>
      </c>
      <c r="M28" s="310" t="str">
        <f>IFERROR(__xludf.DUMMYFUNCTION("IF(ISBLANK(B28),"""",IFERROR((GOOGLEFINANCE($D$13,""price"")/INDEX(GOOGLEFINANCE($D$13,""price"",DATEVALUE(TODAY()-365) ),2,2)-1),""""))"),"")</f>
        <v/>
      </c>
      <c r="N28" s="310" t="str">
        <f t="shared" si="3"/>
        <v/>
      </c>
      <c r="O28" s="311" t="str">
        <f>IFERROR(__xludf.DUMMYFUNCTION("IFERROR(IF(ISBLANK(B28),"""",GOOGLEFINANCE(B28,""low52"")),"""")"),"")</f>
        <v/>
      </c>
      <c r="P28" s="310" t="str">
        <f t="shared" si="4"/>
        <v/>
      </c>
      <c r="Q28" s="311" t="str">
        <f>IFERROR(__xludf.DUMMYFUNCTION("IFERROR(IF(ISBLANK(B28),"""",GOOGLEFINANCE(B28,""high52"")),"""")"),"")</f>
        <v/>
      </c>
      <c r="R28" s="310" t="str">
        <f t="shared" si="5"/>
        <v/>
      </c>
      <c r="S28" s="13" t="str">
        <f t="shared" si="6"/>
        <v/>
      </c>
      <c r="U28" s="13" t="str">
        <f t="shared" si="7"/>
        <v/>
      </c>
      <c r="W28" s="13" t="str">
        <f t="shared" si="8"/>
        <v/>
      </c>
      <c r="X28" s="310" t="str">
        <f t="shared" si="9"/>
        <v/>
      </c>
      <c r="Y28" s="311" t="str">
        <f>IFERROR(__xludf.DUMMYFUNCTION("IF(ISBLANK(B28),"""",IFERROR(INDEX(GOOGLEFINANCE(B28,""price"",WORKDAY(TODAY(),-$Y$17)),2,2),""""))"),"")</f>
        <v/>
      </c>
      <c r="Z28" s="310" t="str">
        <f>IFERROR(__xludf.DUMMYFUNCTION("IF(ISBLANK(B28),"""",IFERROR(I28/(INDEX(GOOGLEFINANCE(B28,""price"",WORKDAY(TODAY(),-$Z$17)),2,2))-1,""""))"),"")</f>
        <v/>
      </c>
      <c r="AA28" s="312" t="str">
        <f>IFERROR(__xludf.DUMMYFUNCTION("IF(ISBLANK(B28),"""",IFERROR(IFERROR(""$""&amp;Trunc(GOOGLEFINANCE(B28,""Marketcap"")/1000000000)&amp;"" B"",""$""&amp;Trunc(IMPORTXML(""https://coinmarketcap.com/currencies/""&amp;B28,$AJ$4)/1000000000)&amp;"" B""),""-""))"),"")</f>
        <v/>
      </c>
      <c r="AB28" s="13" t="str">
        <f>IFERROR(__xludf.DUMMYFUNCTION("IF(ISBLANK(B28),"""",IFERROR(GOOGLEFINANCE(B28,""pe""),""-""))"),"")</f>
        <v/>
      </c>
      <c r="AC28" s="313" t="str">
        <f>IFERROR(__xludf.DUMMYFUNCTION("SPARKLINE(INDEX(GOOGLEFINANCE(B28,""price"",workday(today(),-$AC$17),today()),,2),{""charttype"",""column"";""color"",""green""})
"),"#N/A")</f>
        <v>#N/A</v>
      </c>
      <c r="AD28" s="313" t="str">
        <f>IFERROR(__xludf.DUMMYFUNCTION("IF(ISBLANK(B28),"""",IFERROR(INDEX(IMPORTXML(""https://eresearch.fidelity.com/eresearch/goto/evaluate/snapshot.jhtml?symbols=""&amp;B28&amp;"""",""//div[@class='sub-heading']//span[@class='right']""),1),""Enter Manually"")
)"),"")</f>
        <v/>
      </c>
      <c r="AE28" s="314" t="str">
        <f t="shared" si="10"/>
        <v>Info</v>
      </c>
      <c r="AF28" s="329"/>
      <c r="AG28" s="320"/>
      <c r="AH28" s="13"/>
      <c r="AI28" s="13"/>
      <c r="AJ28" s="13"/>
      <c r="AK28" s="13"/>
      <c r="AL28" s="13"/>
      <c r="AM28" s="13"/>
      <c r="AN28" s="13"/>
      <c r="AO28" s="13"/>
      <c r="AP28" s="13"/>
    </row>
    <row r="29" ht="18.75" customHeight="1">
      <c r="A29" s="13"/>
      <c r="B29" s="327"/>
      <c r="C29" s="306" t="str">
        <f>IFERROR(__xludf.DUMMYFUNCTION("GOOGLEFINANCE(B29,""name"")
"),"#N/A")</f>
        <v>#N/A</v>
      </c>
      <c r="D29" s="306"/>
      <c r="E29" s="328"/>
      <c r="F29" s="13" t="str">
        <f t="shared" si="1"/>
        <v/>
      </c>
      <c r="G29" s="309" t="str">
        <f>IFERROR(__xludf.DUMMYFUNCTION("IF(ISBLANK(B29),"""",IFERROR(SPARKLINE(INDEX(GOOGLEFINANCE(B29,""price"",TODAY()-$G$17,TODAY()),,2),{""charttype"",""column"";""color"",""17a7e0""}),""""))"),"")</f>
        <v/>
      </c>
      <c r="I29" s="309" t="str">
        <f>IFERROR(__xludf.DUMMYFUNCTION("IFERROR(IF(B29="""","""",GOOGLEFINANCE(B29)),IFERROR(GOOGLEFINANCE(""CURRENCY:""&amp;""USD""&amp;$D$15)*IMPORTXML(""https://coinmarketcap.com/currencies/""&amp;B29,$AJ$3),IMPORTXML(""https://coinmarketcap.com/currencies/""&amp;B29,$AJ$3)))"),"")</f>
        <v/>
      </c>
      <c r="J29" s="310" t="str">
        <f t="shared" si="2"/>
        <v/>
      </c>
      <c r="K29" s="310" t="str">
        <f>IFERROR(__xludf.DUMMYFUNCTION("IFERROR(IF(ISBLANK(B29),"""",GOOGLEFINANCE(B29,""changepct"")/100),"""")"),"")</f>
        <v/>
      </c>
      <c r="L29" s="310" t="str">
        <f>IFERROR(__xludf.DUMMYFUNCTION("IF(ISBLANK(B29),"""",IFERROR((GOOGLEFINANCE(B29,""price"")/INDEX(GOOGLEFINANCE(B29,""price"",DATEVALUE(TODAY()-365) ),2,2)-1),""""))"),"")</f>
        <v/>
      </c>
      <c r="M29" s="310" t="str">
        <f>IFERROR(__xludf.DUMMYFUNCTION("IF(ISBLANK(B29),"""",IFERROR((GOOGLEFINANCE($D$13,""price"")/INDEX(GOOGLEFINANCE($D$13,""price"",DATEVALUE(TODAY()-365) ),2,2)-1),""""))"),"")</f>
        <v/>
      </c>
      <c r="N29" s="310" t="str">
        <f t="shared" si="3"/>
        <v/>
      </c>
      <c r="O29" s="311" t="str">
        <f>IFERROR(__xludf.DUMMYFUNCTION("IFERROR(IF(ISBLANK(B29),"""",GOOGLEFINANCE(B29,""low52"")),"""")"),"")</f>
        <v/>
      </c>
      <c r="P29" s="310" t="str">
        <f t="shared" si="4"/>
        <v/>
      </c>
      <c r="Q29" s="311" t="str">
        <f>IFERROR(__xludf.DUMMYFUNCTION("IFERROR(IF(ISBLANK(B29),"""",GOOGLEFINANCE(B29,""high52"")),"""")"),"")</f>
        <v/>
      </c>
      <c r="R29" s="310" t="str">
        <f t="shared" si="5"/>
        <v/>
      </c>
      <c r="S29" s="13" t="str">
        <f t="shared" si="6"/>
        <v/>
      </c>
      <c r="U29" s="13" t="str">
        <f t="shared" si="7"/>
        <v/>
      </c>
      <c r="W29" s="13" t="str">
        <f t="shared" si="8"/>
        <v/>
      </c>
      <c r="X29" s="310" t="str">
        <f t="shared" si="9"/>
        <v/>
      </c>
      <c r="Y29" s="311" t="str">
        <f>IFERROR(__xludf.DUMMYFUNCTION("IF(ISBLANK(B29),"""",IFERROR(INDEX(GOOGLEFINANCE(B29,""price"",WORKDAY(TODAY(),-$Y$17)),2,2),""""))"),"")</f>
        <v/>
      </c>
      <c r="Z29" s="310" t="str">
        <f>IFERROR(__xludf.DUMMYFUNCTION("IF(ISBLANK(B29),"""",IFERROR(I29/(INDEX(GOOGLEFINANCE(B29,""price"",WORKDAY(TODAY(),-$Z$17)),2,2))-1,""""))"),"")</f>
        <v/>
      </c>
      <c r="AA29" s="312" t="str">
        <f>IFERROR(__xludf.DUMMYFUNCTION("IF(ISBLANK(B29),"""",IFERROR(IFERROR(""$""&amp;Trunc(GOOGLEFINANCE(B29,""Marketcap"")/1000000000)&amp;"" B"",""$""&amp;Trunc(IMPORTXML(""https://coinmarketcap.com/currencies/""&amp;B29,$AJ$4)/1000000000)&amp;"" B""),""-""))"),"")</f>
        <v/>
      </c>
      <c r="AB29" s="13" t="str">
        <f>IFERROR(__xludf.DUMMYFUNCTION("IF(ISBLANK(B29),"""",IFERROR(GOOGLEFINANCE(B29,""pe""),""-""))"),"")</f>
        <v/>
      </c>
      <c r="AC29" s="313" t="str">
        <f>IFERROR(__xludf.DUMMYFUNCTION("SPARKLINE(INDEX(GOOGLEFINANCE(B29,""price"",workday(today(),-$AC$17),today()),,2),{""charttype"",""column"";""color"",""green""})
"),"#N/A")</f>
        <v>#N/A</v>
      </c>
      <c r="AD29" s="313" t="str">
        <f>IFERROR(__xludf.DUMMYFUNCTION("IF(ISBLANK(B29),"""",IFERROR(INDEX(IMPORTXML(""https://eresearch.fidelity.com/eresearch/goto/evaluate/snapshot.jhtml?symbols=""&amp;B29&amp;"""",""//div[@class='sub-heading']//span[@class='right']""),1),""Enter Manually"")
)"),"")</f>
        <v/>
      </c>
      <c r="AE29" s="314" t="str">
        <f t="shared" si="10"/>
        <v>Info</v>
      </c>
      <c r="AF29" s="329"/>
      <c r="AG29" s="320"/>
      <c r="AH29" s="13"/>
      <c r="AI29" s="13"/>
      <c r="AJ29" s="13"/>
      <c r="AK29" s="13"/>
      <c r="AL29" s="13"/>
      <c r="AM29" s="13"/>
      <c r="AN29" s="13"/>
      <c r="AO29" s="13"/>
      <c r="AP29" s="13"/>
    </row>
    <row r="30" ht="18.75" customHeight="1">
      <c r="A30" s="13"/>
      <c r="B30" s="327"/>
      <c r="C30" s="306" t="str">
        <f>IFERROR(__xludf.DUMMYFUNCTION("GOOGLEFINANCE(B30,""name"")
"),"#N/A")</f>
        <v>#N/A</v>
      </c>
      <c r="D30" s="306"/>
      <c r="E30" s="328"/>
      <c r="F30" s="13" t="str">
        <f t="shared" si="1"/>
        <v/>
      </c>
      <c r="G30" s="309" t="str">
        <f>IFERROR(__xludf.DUMMYFUNCTION("IF(ISBLANK(B30),"""",IFERROR(SPARKLINE(INDEX(GOOGLEFINANCE(B30,""price"",TODAY()-$G$17,TODAY()),,2),{""charttype"",""column"";""color"",""17a7e0""}),""""))"),"")</f>
        <v/>
      </c>
      <c r="I30" s="309" t="str">
        <f>IFERROR(__xludf.DUMMYFUNCTION("IFERROR(IF(B30="""","""",GOOGLEFINANCE(B30)),IFERROR(GOOGLEFINANCE(""CURRENCY:""&amp;""USD""&amp;$D$15)*IMPORTXML(""https://coinmarketcap.com/currencies/""&amp;B30,$AJ$3),IMPORTXML(""https://coinmarketcap.com/currencies/""&amp;B30,$AJ$3)))"),"")</f>
        <v/>
      </c>
      <c r="J30" s="310" t="str">
        <f t="shared" si="2"/>
        <v/>
      </c>
      <c r="K30" s="310" t="str">
        <f>IFERROR(__xludf.DUMMYFUNCTION("IFERROR(IF(ISBLANK(B30),"""",GOOGLEFINANCE(B30,""changepct"")/100),"""")"),"")</f>
        <v/>
      </c>
      <c r="L30" s="310" t="str">
        <f>IFERROR(__xludf.DUMMYFUNCTION("IF(ISBLANK(B30),"""",IFERROR((GOOGLEFINANCE(B30,""price"")/INDEX(GOOGLEFINANCE(B30,""price"",DATEVALUE(TODAY()-365) ),2,2)-1),""""))"),"")</f>
        <v/>
      </c>
      <c r="M30" s="310" t="str">
        <f>IFERROR(__xludf.DUMMYFUNCTION("IF(ISBLANK(B30),"""",IFERROR((GOOGLEFINANCE($D$13,""price"")/INDEX(GOOGLEFINANCE($D$13,""price"",DATEVALUE(TODAY()-365) ),2,2)-1),""""))"),"")</f>
        <v/>
      </c>
      <c r="N30" s="310" t="str">
        <f t="shared" si="3"/>
        <v/>
      </c>
      <c r="O30" s="311" t="str">
        <f>IFERROR(__xludf.DUMMYFUNCTION("IFERROR(IF(ISBLANK(B30),"""",GOOGLEFINANCE(B30,""low52"")),"""")"),"")</f>
        <v/>
      </c>
      <c r="P30" s="310" t="str">
        <f t="shared" si="4"/>
        <v/>
      </c>
      <c r="Q30" s="311" t="str">
        <f>IFERROR(__xludf.DUMMYFUNCTION("IFERROR(IF(ISBLANK(B30),"""",GOOGLEFINANCE(B30,""high52"")),"""")"),"")</f>
        <v/>
      </c>
      <c r="R30" s="310" t="str">
        <f t="shared" si="5"/>
        <v/>
      </c>
      <c r="S30" s="13" t="str">
        <f t="shared" si="6"/>
        <v/>
      </c>
      <c r="U30" s="13" t="str">
        <f t="shared" si="7"/>
        <v/>
      </c>
      <c r="W30" s="13" t="str">
        <f t="shared" si="8"/>
        <v/>
      </c>
      <c r="X30" s="310" t="str">
        <f t="shared" si="9"/>
        <v/>
      </c>
      <c r="Y30" s="311" t="str">
        <f>IFERROR(__xludf.DUMMYFUNCTION("IF(ISBLANK(B30),"""",IFERROR(INDEX(GOOGLEFINANCE(B30,""price"",WORKDAY(TODAY(),-$Y$17)),2,2),""""))"),"")</f>
        <v/>
      </c>
      <c r="Z30" s="310" t="str">
        <f>IFERROR(__xludf.DUMMYFUNCTION("IF(ISBLANK(B30),"""",IFERROR(I30/(INDEX(GOOGLEFINANCE(B30,""price"",WORKDAY(TODAY(),-$Z$17)),2,2))-1,""""))"),"")</f>
        <v/>
      </c>
      <c r="AA30" s="312" t="str">
        <f>IFERROR(__xludf.DUMMYFUNCTION("IF(ISBLANK(B30),"""",IFERROR(IFERROR(""$""&amp;Trunc(GOOGLEFINANCE(B30,""Marketcap"")/1000000000)&amp;"" B"",""$""&amp;Trunc(IMPORTXML(""https://coinmarketcap.com/currencies/""&amp;B30,$AJ$4)/1000000000)&amp;"" B""),""-""))"),"")</f>
        <v/>
      </c>
      <c r="AB30" s="13" t="str">
        <f>IFERROR(__xludf.DUMMYFUNCTION("IF(ISBLANK(B30),"""",IFERROR(GOOGLEFINANCE(B30,""pe""),""-""))"),"")</f>
        <v/>
      </c>
      <c r="AC30" s="313" t="str">
        <f>IFERROR(__xludf.DUMMYFUNCTION("SPARKLINE(INDEX(GOOGLEFINANCE(B30,""price"",workday(today(),-$AC$17),today()),,2),{""charttype"",""column"";""color"",""green""})
"),"#N/A")</f>
        <v>#N/A</v>
      </c>
      <c r="AD30" s="313" t="str">
        <f>IFERROR(__xludf.DUMMYFUNCTION("IF(ISBLANK(B30),"""",IFERROR(INDEX(IMPORTXML(""https://eresearch.fidelity.com/eresearch/goto/evaluate/snapshot.jhtml?symbols=""&amp;B30&amp;"""",""//div[@class='sub-heading']//span[@class='right']""),1),""Enter Manually"")
)"),"")</f>
        <v/>
      </c>
      <c r="AE30" s="314" t="str">
        <f t="shared" si="10"/>
        <v>Info</v>
      </c>
      <c r="AF30" s="329"/>
      <c r="AG30" s="320"/>
      <c r="AH30" s="13"/>
      <c r="AI30" s="13"/>
      <c r="AJ30" s="13"/>
      <c r="AK30" s="13"/>
      <c r="AL30" s="13"/>
      <c r="AM30" s="13"/>
      <c r="AN30" s="13"/>
      <c r="AO30" s="13"/>
      <c r="AP30" s="13"/>
    </row>
    <row r="31" ht="18.75" customHeight="1">
      <c r="A31" s="13"/>
      <c r="B31" s="327"/>
      <c r="C31" s="306" t="str">
        <f>IFERROR(__xludf.DUMMYFUNCTION("GOOGLEFINANCE(B31,""name"")
"),"#N/A")</f>
        <v>#N/A</v>
      </c>
      <c r="D31" s="306"/>
      <c r="E31" s="328"/>
      <c r="F31" s="13" t="str">
        <f t="shared" si="1"/>
        <v/>
      </c>
      <c r="G31" s="309" t="str">
        <f>IFERROR(__xludf.DUMMYFUNCTION("IF(ISBLANK(B31),"""",IFERROR(SPARKLINE(INDEX(GOOGLEFINANCE(B31,""price"",TODAY()-$G$17,TODAY()),,2),{""charttype"",""column"";""color"",""17a7e0""}),""""))"),"")</f>
        <v/>
      </c>
      <c r="I31" s="309" t="str">
        <f>IFERROR(__xludf.DUMMYFUNCTION("IFERROR(IF(B31="""","""",GOOGLEFINANCE(B31)),IFERROR(GOOGLEFINANCE(""CURRENCY:""&amp;""USD""&amp;$D$15)*IMPORTXML(""https://coinmarketcap.com/currencies/""&amp;B31,$AJ$3),IMPORTXML(""https://coinmarketcap.com/currencies/""&amp;B31,$AJ$3)))"),"")</f>
        <v/>
      </c>
      <c r="J31" s="310" t="str">
        <f t="shared" si="2"/>
        <v/>
      </c>
      <c r="K31" s="310" t="str">
        <f>IFERROR(__xludf.DUMMYFUNCTION("IFERROR(IF(ISBLANK(B31),"""",GOOGLEFINANCE(B31,""changepct"")/100),"""")"),"")</f>
        <v/>
      </c>
      <c r="L31" s="310" t="str">
        <f>IFERROR(__xludf.DUMMYFUNCTION("IF(ISBLANK(B31),"""",IFERROR((GOOGLEFINANCE(B31,""price"")/INDEX(GOOGLEFINANCE(B31,""price"",DATEVALUE(TODAY()-365) ),2,2)-1),""""))"),"")</f>
        <v/>
      </c>
      <c r="M31" s="310" t="str">
        <f>IFERROR(__xludf.DUMMYFUNCTION("IF(ISBLANK(B31),"""",IFERROR((GOOGLEFINANCE($D$13,""price"")/INDEX(GOOGLEFINANCE($D$13,""price"",DATEVALUE(TODAY()-365) ),2,2)-1),""""))"),"")</f>
        <v/>
      </c>
      <c r="N31" s="310" t="str">
        <f t="shared" si="3"/>
        <v/>
      </c>
      <c r="O31" s="311" t="str">
        <f>IFERROR(__xludf.DUMMYFUNCTION("IFERROR(IF(ISBLANK(B31),"""",GOOGLEFINANCE(B31,""low52"")),"""")"),"")</f>
        <v/>
      </c>
      <c r="P31" s="310" t="str">
        <f t="shared" si="4"/>
        <v/>
      </c>
      <c r="Q31" s="311" t="str">
        <f>IFERROR(__xludf.DUMMYFUNCTION("IFERROR(IF(ISBLANK(B31),"""",GOOGLEFINANCE(B31,""high52"")),"""")"),"")</f>
        <v/>
      </c>
      <c r="R31" s="310" t="str">
        <f t="shared" si="5"/>
        <v/>
      </c>
      <c r="S31" s="13" t="str">
        <f t="shared" si="6"/>
        <v/>
      </c>
      <c r="U31" s="13" t="str">
        <f t="shared" si="7"/>
        <v/>
      </c>
      <c r="W31" s="13" t="str">
        <f t="shared" si="8"/>
        <v/>
      </c>
      <c r="X31" s="310" t="str">
        <f t="shared" si="9"/>
        <v/>
      </c>
      <c r="Y31" s="311" t="str">
        <f>IFERROR(__xludf.DUMMYFUNCTION("IF(ISBLANK(B31),"""",IFERROR(INDEX(GOOGLEFINANCE(B31,""price"",WORKDAY(TODAY(),-$Y$17)),2,2),""""))"),"")</f>
        <v/>
      </c>
      <c r="Z31" s="310" t="str">
        <f>IFERROR(__xludf.DUMMYFUNCTION("IF(ISBLANK(B31),"""",IFERROR(I31/(INDEX(GOOGLEFINANCE(B31,""price"",WORKDAY(TODAY(),-$Z$17)),2,2))-1,""""))"),"")</f>
        <v/>
      </c>
      <c r="AA31" s="312" t="str">
        <f>IFERROR(__xludf.DUMMYFUNCTION("IF(ISBLANK(B31),"""",IFERROR(IFERROR(""$""&amp;Trunc(GOOGLEFINANCE(B31,""Marketcap"")/1000000000)&amp;"" B"",""$""&amp;Trunc(IMPORTXML(""https://coinmarketcap.com/currencies/""&amp;B31,$AJ$4)/1000000000)&amp;"" B""),""-""))"),"")</f>
        <v/>
      </c>
      <c r="AB31" s="13" t="str">
        <f>IFERROR(__xludf.DUMMYFUNCTION("IF(ISBLANK(B31),"""",IFERROR(GOOGLEFINANCE(B31,""pe""),""-""))"),"")</f>
        <v/>
      </c>
      <c r="AC31" s="313" t="str">
        <f>IFERROR(__xludf.DUMMYFUNCTION("SPARKLINE(INDEX(GOOGLEFINANCE(B31,""price"",workday(today(),-$AC$17),today()),,2),{""charttype"",""column"";""color"",""green""})
"),"#N/A")</f>
        <v>#N/A</v>
      </c>
      <c r="AD31" s="313" t="str">
        <f>IFERROR(__xludf.DUMMYFUNCTION("IF(ISBLANK(B31),"""",IFERROR(INDEX(IMPORTXML(""https://eresearch.fidelity.com/eresearch/goto/evaluate/snapshot.jhtml?symbols=""&amp;B31&amp;"""",""//div[@class='sub-heading']//span[@class='right']""),1),""Enter Manually"")
)"),"")</f>
        <v/>
      </c>
      <c r="AE31" s="314" t="str">
        <f t="shared" si="10"/>
        <v>Info</v>
      </c>
      <c r="AF31" s="329"/>
      <c r="AG31" s="320"/>
      <c r="AH31" s="13"/>
      <c r="AI31" s="13"/>
      <c r="AJ31" s="13"/>
      <c r="AK31" s="13"/>
      <c r="AL31" s="13"/>
      <c r="AM31" s="13"/>
      <c r="AN31" s="13"/>
      <c r="AO31" s="13"/>
      <c r="AP31" s="13"/>
    </row>
    <row r="32" ht="18.75" customHeight="1">
      <c r="A32" s="13"/>
      <c r="B32" s="327"/>
      <c r="C32" s="306" t="str">
        <f>IFERROR(__xludf.DUMMYFUNCTION("GOOGLEFINANCE(B32,""name"")
"),"#N/A")</f>
        <v>#N/A</v>
      </c>
      <c r="D32" s="306"/>
      <c r="E32" s="328"/>
      <c r="F32" s="13" t="str">
        <f t="shared" si="1"/>
        <v/>
      </c>
      <c r="G32" s="309" t="str">
        <f>IFERROR(__xludf.DUMMYFUNCTION("IF(ISBLANK(B32),"""",IFERROR(SPARKLINE(INDEX(GOOGLEFINANCE(B32,""price"",TODAY()-$G$17,TODAY()),,2),{""charttype"",""column"";""color"",""17a7e0""}),""""))"),"")</f>
        <v/>
      </c>
      <c r="I32" s="309" t="str">
        <f>IFERROR(__xludf.DUMMYFUNCTION("IFERROR(IF(B32="""","""",GOOGLEFINANCE(B32)),IFERROR(GOOGLEFINANCE(""CURRENCY:""&amp;""USD""&amp;$D$15)*IMPORTXML(""https://coinmarketcap.com/currencies/""&amp;B32,$AJ$3),IMPORTXML(""https://coinmarketcap.com/currencies/""&amp;B32,$AJ$3)))"),"")</f>
        <v/>
      </c>
      <c r="J32" s="310" t="str">
        <f t="shared" si="2"/>
        <v/>
      </c>
      <c r="K32" s="310" t="str">
        <f>IFERROR(__xludf.DUMMYFUNCTION("IFERROR(IF(ISBLANK(B32),"""",GOOGLEFINANCE(B32,""changepct"")/100),"""")"),"")</f>
        <v/>
      </c>
      <c r="L32" s="310" t="str">
        <f>IFERROR(__xludf.DUMMYFUNCTION("IF(ISBLANK(B32),"""",IFERROR((GOOGLEFINANCE(B32,""price"")/INDEX(GOOGLEFINANCE(B32,""price"",DATEVALUE(TODAY()-365) ),2,2)-1),""""))"),"")</f>
        <v/>
      </c>
      <c r="M32" s="310" t="str">
        <f>IFERROR(__xludf.DUMMYFUNCTION("IF(ISBLANK(B32),"""",IFERROR((GOOGLEFINANCE($D$13,""price"")/INDEX(GOOGLEFINANCE($D$13,""price"",DATEVALUE(TODAY()-365) ),2,2)-1),""""))"),"")</f>
        <v/>
      </c>
      <c r="N32" s="310" t="str">
        <f t="shared" si="3"/>
        <v/>
      </c>
      <c r="O32" s="311" t="str">
        <f>IFERROR(__xludf.DUMMYFUNCTION("IFERROR(IF(ISBLANK(B32),"""",GOOGLEFINANCE(B32,""low52"")),"""")"),"")</f>
        <v/>
      </c>
      <c r="P32" s="310" t="str">
        <f t="shared" si="4"/>
        <v/>
      </c>
      <c r="Q32" s="311" t="str">
        <f>IFERROR(__xludf.DUMMYFUNCTION("IFERROR(IF(ISBLANK(B32),"""",GOOGLEFINANCE(B32,""high52"")),"""")"),"")</f>
        <v/>
      </c>
      <c r="R32" s="310" t="str">
        <f t="shared" si="5"/>
        <v/>
      </c>
      <c r="S32" s="13" t="str">
        <f t="shared" si="6"/>
        <v/>
      </c>
      <c r="U32" s="13" t="str">
        <f t="shared" si="7"/>
        <v/>
      </c>
      <c r="W32" s="13" t="str">
        <f t="shared" si="8"/>
        <v/>
      </c>
      <c r="X32" s="310" t="str">
        <f t="shared" si="9"/>
        <v/>
      </c>
      <c r="Y32" s="311" t="str">
        <f>IFERROR(__xludf.DUMMYFUNCTION("IF(ISBLANK(B32),"""",IFERROR(INDEX(GOOGLEFINANCE(B32,""price"",WORKDAY(TODAY(),-$Y$17)),2,2),""""))"),"")</f>
        <v/>
      </c>
      <c r="Z32" s="310" t="str">
        <f>IFERROR(__xludf.DUMMYFUNCTION("IF(ISBLANK(B32),"""",IFERROR(I32/(INDEX(GOOGLEFINANCE(B32,""price"",WORKDAY(TODAY(),-$Z$17)),2,2))-1,""""))"),"")</f>
        <v/>
      </c>
      <c r="AA32" s="312" t="str">
        <f>IFERROR(__xludf.DUMMYFUNCTION("IF(ISBLANK(B32),"""",IFERROR(IFERROR(""$""&amp;Trunc(GOOGLEFINANCE(B32,""Marketcap"")/1000000000)&amp;"" B"",""$""&amp;Trunc(IMPORTXML(""https://coinmarketcap.com/currencies/""&amp;B32,$AJ$4)/1000000000)&amp;"" B""),""-""))"),"")</f>
        <v/>
      </c>
      <c r="AB32" s="13" t="str">
        <f>IFERROR(__xludf.DUMMYFUNCTION("IF(ISBLANK(B32),"""",IFERROR(GOOGLEFINANCE(B32,""pe""),""-""))"),"")</f>
        <v/>
      </c>
      <c r="AC32" s="313" t="str">
        <f>IFERROR(__xludf.DUMMYFUNCTION("SPARKLINE(INDEX(GOOGLEFINANCE(B32,""price"",workday(today(),-$AC$17),today()),,2),{""charttype"",""column"";""color"",""green""})
"),"#N/A")</f>
        <v>#N/A</v>
      </c>
      <c r="AD32" s="313" t="str">
        <f>IFERROR(__xludf.DUMMYFUNCTION("IF(ISBLANK(B32),"""",IFERROR(INDEX(IMPORTXML(""https://eresearch.fidelity.com/eresearch/goto/evaluate/snapshot.jhtml?symbols=""&amp;B32&amp;"""",""//div[@class='sub-heading']//span[@class='right']""),1),""Enter Manually"")
)"),"")</f>
        <v/>
      </c>
      <c r="AE32" s="314" t="str">
        <f t="shared" si="10"/>
        <v>Info</v>
      </c>
      <c r="AF32" s="329"/>
      <c r="AG32" s="320"/>
      <c r="AH32" s="13"/>
      <c r="AI32" s="13"/>
      <c r="AJ32" s="13"/>
      <c r="AK32" s="13"/>
      <c r="AL32" s="13"/>
      <c r="AM32" s="13"/>
      <c r="AN32" s="13"/>
      <c r="AO32" s="13"/>
      <c r="AP32" s="13"/>
    </row>
    <row r="33" ht="18.75" customHeight="1">
      <c r="A33" s="13"/>
      <c r="B33" s="327"/>
      <c r="C33" s="306" t="str">
        <f>IFERROR(__xludf.DUMMYFUNCTION("GOOGLEFINANCE(B33,""name"")
"),"#N/A")</f>
        <v>#N/A</v>
      </c>
      <c r="D33" s="306"/>
      <c r="E33" s="328"/>
      <c r="F33" s="13" t="str">
        <f t="shared" si="1"/>
        <v/>
      </c>
      <c r="G33" s="309" t="str">
        <f>IFERROR(__xludf.DUMMYFUNCTION("IF(ISBLANK(B33),"""",IFERROR(SPARKLINE(INDEX(GOOGLEFINANCE(B33,""price"",TODAY()-$G$17,TODAY()),,2),{""charttype"",""column"";""color"",""17a7e0""}),""""))"),"")</f>
        <v/>
      </c>
      <c r="I33" s="309" t="str">
        <f>IFERROR(__xludf.DUMMYFUNCTION("IFERROR(IF(B33="""","""",GOOGLEFINANCE(B33)),IFERROR(GOOGLEFINANCE(""CURRENCY:""&amp;""USD""&amp;$D$15)*IMPORTXML(""https://coinmarketcap.com/currencies/""&amp;B33,$AJ$3),IMPORTXML(""https://coinmarketcap.com/currencies/""&amp;B33,$AJ$3)))"),"")</f>
        <v/>
      </c>
      <c r="J33" s="310" t="str">
        <f t="shared" si="2"/>
        <v/>
      </c>
      <c r="K33" s="310" t="str">
        <f>IFERROR(__xludf.DUMMYFUNCTION("IFERROR(IF(ISBLANK(B33),"""",GOOGLEFINANCE(B33,""changepct"")/100),"""")"),"")</f>
        <v/>
      </c>
      <c r="L33" s="310" t="str">
        <f>IFERROR(__xludf.DUMMYFUNCTION("IF(ISBLANK(B33),"""",IFERROR((GOOGLEFINANCE(B33,""price"")/INDEX(GOOGLEFINANCE(B33,""price"",DATEVALUE(TODAY()-365) ),2,2)-1),""""))"),"")</f>
        <v/>
      </c>
      <c r="M33" s="310" t="str">
        <f>IFERROR(__xludf.DUMMYFUNCTION("IF(ISBLANK(B33),"""",IFERROR((GOOGLEFINANCE($D$13,""price"")/INDEX(GOOGLEFINANCE($D$13,""price"",DATEVALUE(TODAY()-365) ),2,2)-1),""""))"),"")</f>
        <v/>
      </c>
      <c r="N33" s="310" t="str">
        <f t="shared" si="3"/>
        <v/>
      </c>
      <c r="O33" s="311" t="str">
        <f>IFERROR(__xludf.DUMMYFUNCTION("IFERROR(IF(ISBLANK(B33),"""",GOOGLEFINANCE(B33,""low52"")),"""")"),"")</f>
        <v/>
      </c>
      <c r="P33" s="310" t="str">
        <f t="shared" si="4"/>
        <v/>
      </c>
      <c r="Q33" s="311" t="str">
        <f>IFERROR(__xludf.DUMMYFUNCTION("IFERROR(IF(ISBLANK(B33),"""",GOOGLEFINANCE(B33,""high52"")),"""")"),"")</f>
        <v/>
      </c>
      <c r="R33" s="310" t="str">
        <f t="shared" si="5"/>
        <v/>
      </c>
      <c r="S33" s="13" t="str">
        <f t="shared" si="6"/>
        <v/>
      </c>
      <c r="U33" s="13" t="str">
        <f t="shared" si="7"/>
        <v/>
      </c>
      <c r="W33" s="13" t="str">
        <f t="shared" si="8"/>
        <v/>
      </c>
      <c r="X33" s="310" t="str">
        <f t="shared" si="9"/>
        <v/>
      </c>
      <c r="Y33" s="311" t="str">
        <f>IFERROR(__xludf.DUMMYFUNCTION("IF(ISBLANK(B33),"""",IFERROR(INDEX(GOOGLEFINANCE(B33,""price"",WORKDAY(TODAY(),-$Y$17)),2,2),""""))"),"")</f>
        <v/>
      </c>
      <c r="Z33" s="310" t="str">
        <f>IFERROR(__xludf.DUMMYFUNCTION("IF(ISBLANK(B33),"""",IFERROR(I33/(INDEX(GOOGLEFINANCE(B33,""price"",WORKDAY(TODAY(),-$Z$17)),2,2))-1,""""))"),"")</f>
        <v/>
      </c>
      <c r="AA33" s="312" t="str">
        <f>IFERROR(__xludf.DUMMYFUNCTION("IF(ISBLANK(B33),"""",IFERROR(IFERROR(""$""&amp;Trunc(GOOGLEFINANCE(B33,""Marketcap"")/1000000000)&amp;"" B"",""$""&amp;Trunc(IMPORTXML(""https://coinmarketcap.com/currencies/""&amp;B33,$AJ$4)/1000000000)&amp;"" B""),""-""))"),"")</f>
        <v/>
      </c>
      <c r="AB33" s="13" t="str">
        <f>IFERROR(__xludf.DUMMYFUNCTION("IF(ISBLANK(B33),"""",IFERROR(GOOGLEFINANCE(B33,""pe""),""-""))"),"")</f>
        <v/>
      </c>
      <c r="AC33" s="313" t="str">
        <f>IFERROR(__xludf.DUMMYFUNCTION("SPARKLINE(INDEX(GOOGLEFINANCE(B33,""price"",workday(today(),-$AC$17),today()),,2),{""charttype"",""column"";""color"",""green""})
"),"#N/A")</f>
        <v>#N/A</v>
      </c>
      <c r="AD33" s="313" t="str">
        <f>IFERROR(__xludf.DUMMYFUNCTION("IF(ISBLANK(B33),"""",IFERROR(INDEX(IMPORTXML(""https://eresearch.fidelity.com/eresearch/goto/evaluate/snapshot.jhtml?symbols=""&amp;B33&amp;"""",""//div[@class='sub-heading']//span[@class='right']""),1),""Enter Manually"")
)"),"")</f>
        <v/>
      </c>
      <c r="AE33" s="314" t="str">
        <f t="shared" si="10"/>
        <v>Info</v>
      </c>
      <c r="AF33" s="329"/>
      <c r="AG33" s="320"/>
      <c r="AH33" s="13"/>
      <c r="AI33" s="13"/>
      <c r="AJ33" s="13"/>
      <c r="AK33" s="13"/>
      <c r="AL33" s="13"/>
      <c r="AM33" s="13"/>
      <c r="AN33" s="13"/>
      <c r="AO33" s="13"/>
      <c r="AP33" s="13"/>
    </row>
    <row r="34" ht="18.75" customHeight="1">
      <c r="A34" s="13"/>
      <c r="B34" s="327"/>
      <c r="C34" s="306" t="str">
        <f>IFERROR(__xludf.DUMMYFUNCTION("GOOGLEFINANCE(B34,""name"")
"),"#N/A")</f>
        <v>#N/A</v>
      </c>
      <c r="D34" s="306"/>
      <c r="E34" s="328"/>
      <c r="F34" s="13" t="str">
        <f t="shared" si="1"/>
        <v/>
      </c>
      <c r="G34" s="309" t="str">
        <f>IFERROR(__xludf.DUMMYFUNCTION("IF(ISBLANK(B34),"""",IFERROR(SPARKLINE(INDEX(GOOGLEFINANCE(B34,""price"",TODAY()-$G$17,TODAY()),,2),{""charttype"",""column"";""color"",""17a7e0""}),""""))"),"")</f>
        <v/>
      </c>
      <c r="I34" s="309" t="str">
        <f>IFERROR(__xludf.DUMMYFUNCTION("IFERROR(IF(B34="""","""",GOOGLEFINANCE(B34)),IFERROR(GOOGLEFINANCE(""CURRENCY:""&amp;""USD""&amp;$D$15)*IMPORTXML(""https://coinmarketcap.com/currencies/""&amp;B34,$AJ$3),IMPORTXML(""https://coinmarketcap.com/currencies/""&amp;B34,$AJ$3)))"),"")</f>
        <v/>
      </c>
      <c r="J34" s="310" t="str">
        <f t="shared" si="2"/>
        <v/>
      </c>
      <c r="K34" s="310" t="str">
        <f>IFERROR(__xludf.DUMMYFUNCTION("IFERROR(IF(ISBLANK(B34),"""",GOOGLEFINANCE(B34,""changepct"")/100),"""")"),"")</f>
        <v/>
      </c>
      <c r="L34" s="310" t="str">
        <f>IFERROR(__xludf.DUMMYFUNCTION("IF(ISBLANK(B34),"""",IFERROR((GOOGLEFINANCE(B34,""price"")/INDEX(GOOGLEFINANCE(B34,""price"",DATEVALUE(TODAY()-365) ),2,2)-1),""""))"),"")</f>
        <v/>
      </c>
      <c r="M34" s="310" t="str">
        <f>IFERROR(__xludf.DUMMYFUNCTION("IF(ISBLANK(B34),"""",IFERROR((GOOGLEFINANCE($D$13,""price"")/INDEX(GOOGLEFINANCE($D$13,""price"",DATEVALUE(TODAY()-365) ),2,2)-1),""""))"),"")</f>
        <v/>
      </c>
      <c r="N34" s="310" t="str">
        <f t="shared" si="3"/>
        <v/>
      </c>
      <c r="O34" s="311" t="str">
        <f>IFERROR(__xludf.DUMMYFUNCTION("IFERROR(IF(ISBLANK(B34),"""",GOOGLEFINANCE(B34,""low52"")),"""")"),"")</f>
        <v/>
      </c>
      <c r="P34" s="310" t="str">
        <f t="shared" si="4"/>
        <v/>
      </c>
      <c r="Q34" s="311" t="str">
        <f>IFERROR(__xludf.DUMMYFUNCTION("IFERROR(IF(ISBLANK(B34),"""",GOOGLEFINANCE(B34,""high52"")),"""")"),"")</f>
        <v/>
      </c>
      <c r="R34" s="310" t="str">
        <f t="shared" si="5"/>
        <v/>
      </c>
      <c r="S34" s="13" t="str">
        <f t="shared" si="6"/>
        <v/>
      </c>
      <c r="U34" s="13" t="str">
        <f t="shared" si="7"/>
        <v/>
      </c>
      <c r="W34" s="13" t="str">
        <f t="shared" si="8"/>
        <v/>
      </c>
      <c r="X34" s="310" t="str">
        <f t="shared" si="9"/>
        <v/>
      </c>
      <c r="Y34" s="311" t="str">
        <f>IFERROR(__xludf.DUMMYFUNCTION("IF(ISBLANK(B34),"""",IFERROR(INDEX(GOOGLEFINANCE(B34,""price"",WORKDAY(TODAY(),-$Y$17)),2,2),""""))"),"")</f>
        <v/>
      </c>
      <c r="Z34" s="310" t="str">
        <f>IFERROR(__xludf.DUMMYFUNCTION("IF(ISBLANK(B34),"""",IFERROR(I34/(INDEX(GOOGLEFINANCE(B34,""price"",WORKDAY(TODAY(),-$Z$17)),2,2))-1,""""))"),"")</f>
        <v/>
      </c>
      <c r="AA34" s="312" t="str">
        <f>IFERROR(__xludf.DUMMYFUNCTION("IF(ISBLANK(B34),"""",IFERROR(IFERROR(""$""&amp;Trunc(GOOGLEFINANCE(B34,""Marketcap"")/1000000000)&amp;"" B"",""$""&amp;Trunc(IMPORTXML(""https://coinmarketcap.com/currencies/""&amp;B34,$AJ$4)/1000000000)&amp;"" B""),""-""))"),"")</f>
        <v/>
      </c>
      <c r="AB34" s="13" t="str">
        <f>IFERROR(__xludf.DUMMYFUNCTION("IF(ISBLANK(B34),"""",IFERROR(GOOGLEFINANCE(B34,""pe""),""-""))"),"")</f>
        <v/>
      </c>
      <c r="AC34" s="313" t="str">
        <f>IFERROR(__xludf.DUMMYFUNCTION("SPARKLINE(INDEX(GOOGLEFINANCE(B34,""price"",workday(today(),-$AC$17),today()),,2),{""charttype"",""column"";""color"",""green""})
"),"#N/A")</f>
        <v>#N/A</v>
      </c>
      <c r="AD34" s="313" t="str">
        <f>IFERROR(__xludf.DUMMYFUNCTION("IF(ISBLANK(B34),"""",IFERROR(INDEX(IMPORTXML(""https://eresearch.fidelity.com/eresearch/goto/evaluate/snapshot.jhtml?symbols=""&amp;B34&amp;"""",""//div[@class='sub-heading']//span[@class='right']""),1),""Enter Manually"")
)"),"")</f>
        <v/>
      </c>
      <c r="AE34" s="314" t="str">
        <f t="shared" si="10"/>
        <v>Info</v>
      </c>
      <c r="AF34" s="329"/>
      <c r="AG34" s="320"/>
      <c r="AH34" s="13"/>
      <c r="AI34" s="13"/>
      <c r="AJ34" s="13"/>
      <c r="AK34" s="13"/>
      <c r="AL34" s="13"/>
      <c r="AM34" s="13"/>
      <c r="AN34" s="13"/>
      <c r="AO34" s="13"/>
      <c r="AP34" s="13"/>
    </row>
    <row r="35" ht="18.75" customHeight="1">
      <c r="A35" s="13"/>
      <c r="B35" s="327"/>
      <c r="C35" s="306" t="str">
        <f>IFERROR(__xludf.DUMMYFUNCTION("GOOGLEFINANCE(B35,""name"")
"),"#N/A")</f>
        <v>#N/A</v>
      </c>
      <c r="D35" s="306"/>
      <c r="E35" s="328"/>
      <c r="F35" s="13" t="str">
        <f t="shared" si="1"/>
        <v/>
      </c>
      <c r="G35" s="309" t="str">
        <f>IFERROR(__xludf.DUMMYFUNCTION("IF(ISBLANK(B35),"""",IFERROR(SPARKLINE(INDEX(GOOGLEFINANCE(B35,""price"",TODAY()-$G$17,TODAY()),,2),{""charttype"",""column"";""color"",""17a7e0""}),""""))"),"")</f>
        <v/>
      </c>
      <c r="I35" s="309" t="str">
        <f>IFERROR(__xludf.DUMMYFUNCTION("IFERROR(IF(B35="""","""",GOOGLEFINANCE(B35)),IFERROR(GOOGLEFINANCE(""CURRENCY:""&amp;""USD""&amp;$D$15)*IMPORTXML(""https://coinmarketcap.com/currencies/""&amp;B35,$AJ$3),IMPORTXML(""https://coinmarketcap.com/currencies/""&amp;B35,$AJ$3)))"),"")</f>
        <v/>
      </c>
      <c r="J35" s="310" t="str">
        <f t="shared" si="2"/>
        <v/>
      </c>
      <c r="K35" s="310" t="str">
        <f>IFERROR(__xludf.DUMMYFUNCTION("IFERROR(IF(ISBLANK(B35),"""",GOOGLEFINANCE(B35,""changepct"")/100),"""")"),"")</f>
        <v/>
      </c>
      <c r="L35" s="310" t="str">
        <f>IFERROR(__xludf.DUMMYFUNCTION("IF(ISBLANK(B35),"""",IFERROR((GOOGLEFINANCE(B35,""price"")/INDEX(GOOGLEFINANCE(B35,""price"",DATEVALUE(TODAY()-365) ),2,2)-1),""""))"),"")</f>
        <v/>
      </c>
      <c r="M35" s="310" t="str">
        <f>IFERROR(__xludf.DUMMYFUNCTION("IF(ISBLANK(B35),"""",IFERROR((GOOGLEFINANCE($D$13,""price"")/INDEX(GOOGLEFINANCE($D$13,""price"",DATEVALUE(TODAY()-365) ),2,2)-1),""""))"),"")</f>
        <v/>
      </c>
      <c r="N35" s="310" t="str">
        <f t="shared" si="3"/>
        <v/>
      </c>
      <c r="O35" s="311" t="str">
        <f>IFERROR(__xludf.DUMMYFUNCTION("IFERROR(IF(ISBLANK(B35),"""",GOOGLEFINANCE(B35,""low52"")),"""")"),"")</f>
        <v/>
      </c>
      <c r="P35" s="310" t="str">
        <f t="shared" si="4"/>
        <v/>
      </c>
      <c r="Q35" s="311" t="str">
        <f>IFERROR(__xludf.DUMMYFUNCTION("IFERROR(IF(ISBLANK(B35),"""",GOOGLEFINANCE(B35,""high52"")),"""")"),"")</f>
        <v/>
      </c>
      <c r="R35" s="310" t="str">
        <f t="shared" si="5"/>
        <v/>
      </c>
      <c r="S35" s="13" t="str">
        <f t="shared" si="6"/>
        <v/>
      </c>
      <c r="U35" s="13" t="str">
        <f t="shared" si="7"/>
        <v/>
      </c>
      <c r="W35" s="13" t="str">
        <f t="shared" si="8"/>
        <v/>
      </c>
      <c r="X35" s="310" t="str">
        <f t="shared" si="9"/>
        <v/>
      </c>
      <c r="Y35" s="311" t="str">
        <f>IFERROR(__xludf.DUMMYFUNCTION("IF(ISBLANK(B35),"""",IFERROR(INDEX(GOOGLEFINANCE(B35,""price"",WORKDAY(TODAY(),-$Y$17)),2,2),""""))"),"")</f>
        <v/>
      </c>
      <c r="Z35" s="310" t="str">
        <f>IFERROR(__xludf.DUMMYFUNCTION("IF(ISBLANK(B35),"""",IFERROR(I35/(INDEX(GOOGLEFINANCE(B35,""price"",WORKDAY(TODAY(),-$Z$17)),2,2))-1,""""))"),"")</f>
        <v/>
      </c>
      <c r="AA35" s="312" t="str">
        <f>IFERROR(__xludf.DUMMYFUNCTION("IF(ISBLANK(B35),"""",IFERROR(IFERROR(""$""&amp;Trunc(GOOGLEFINANCE(B35,""Marketcap"")/1000000000)&amp;"" B"",""$""&amp;Trunc(IMPORTXML(""https://coinmarketcap.com/currencies/""&amp;B35,$AJ$4)/1000000000)&amp;"" B""),""-""))"),"")</f>
        <v/>
      </c>
      <c r="AB35" s="13" t="str">
        <f>IFERROR(__xludf.DUMMYFUNCTION("IF(ISBLANK(B35),"""",IFERROR(GOOGLEFINANCE(B35,""pe""),""-""))"),"")</f>
        <v/>
      </c>
      <c r="AC35" s="313" t="str">
        <f>IFERROR(__xludf.DUMMYFUNCTION("SPARKLINE(INDEX(GOOGLEFINANCE(B35,""price"",workday(today(),-$AC$17),today()),,2),{""charttype"",""column"";""color"",""green""})
"),"#N/A")</f>
        <v>#N/A</v>
      </c>
      <c r="AD35" s="313" t="str">
        <f>IFERROR(__xludf.DUMMYFUNCTION("IF(ISBLANK(B35),"""",IFERROR(INDEX(IMPORTXML(""https://eresearch.fidelity.com/eresearch/goto/evaluate/snapshot.jhtml?symbols=""&amp;B35&amp;"""",""//div[@class='sub-heading']//span[@class='right']""),1),""Enter Manually"")
)"),"")</f>
        <v/>
      </c>
      <c r="AE35" s="314" t="str">
        <f t="shared" si="10"/>
        <v>Info</v>
      </c>
      <c r="AF35" s="329"/>
      <c r="AG35" s="320"/>
      <c r="AH35" s="13"/>
      <c r="AI35" s="13"/>
      <c r="AJ35" s="13"/>
      <c r="AK35" s="13"/>
      <c r="AL35" s="13"/>
      <c r="AM35" s="13"/>
      <c r="AN35" s="13"/>
      <c r="AO35" s="13"/>
      <c r="AP35" s="13"/>
    </row>
    <row r="36" ht="18.75" customHeight="1">
      <c r="A36" s="13"/>
      <c r="B36" s="327"/>
      <c r="C36" s="306" t="str">
        <f>IFERROR(__xludf.DUMMYFUNCTION("GOOGLEFINANCE(B36,""name"")
"),"#N/A")</f>
        <v>#N/A</v>
      </c>
      <c r="D36" s="306"/>
      <c r="E36" s="328"/>
      <c r="F36" s="13" t="str">
        <f t="shared" si="1"/>
        <v/>
      </c>
      <c r="G36" s="309" t="str">
        <f>IFERROR(__xludf.DUMMYFUNCTION("IF(ISBLANK(B36),"""",IFERROR(SPARKLINE(INDEX(GOOGLEFINANCE(B36,""price"",TODAY()-$G$17,TODAY()),,2),{""charttype"",""column"";""color"",""17a7e0""}),""""))"),"")</f>
        <v/>
      </c>
      <c r="I36" s="309" t="str">
        <f>IFERROR(__xludf.DUMMYFUNCTION("IFERROR(IF(B36="""","""",GOOGLEFINANCE(B36)),IFERROR(GOOGLEFINANCE(""CURRENCY:""&amp;""USD""&amp;$D$15)*IMPORTXML(""https://coinmarketcap.com/currencies/""&amp;B36,$AJ$3),IMPORTXML(""https://coinmarketcap.com/currencies/""&amp;B36,$AJ$3)))"),"")</f>
        <v/>
      </c>
      <c r="J36" s="310" t="str">
        <f t="shared" si="2"/>
        <v/>
      </c>
      <c r="K36" s="310" t="str">
        <f>IFERROR(__xludf.DUMMYFUNCTION("IFERROR(IF(ISBLANK(B36),"""",GOOGLEFINANCE(B36,""changepct"")/100),"""")"),"")</f>
        <v/>
      </c>
      <c r="L36" s="310" t="str">
        <f>IFERROR(__xludf.DUMMYFUNCTION("IF(ISBLANK(B36),"""",IFERROR((GOOGLEFINANCE(B36,""price"")/INDEX(GOOGLEFINANCE(B36,""price"",DATEVALUE(TODAY()-365) ),2,2)-1),""""))"),"")</f>
        <v/>
      </c>
      <c r="M36" s="310" t="str">
        <f>IFERROR(__xludf.DUMMYFUNCTION("IF(ISBLANK(B36),"""",IFERROR((GOOGLEFINANCE($D$13,""price"")/INDEX(GOOGLEFINANCE($D$13,""price"",DATEVALUE(TODAY()-365) ),2,2)-1),""""))"),"")</f>
        <v/>
      </c>
      <c r="N36" s="310" t="str">
        <f t="shared" si="3"/>
        <v/>
      </c>
      <c r="O36" s="311" t="str">
        <f>IFERROR(__xludf.DUMMYFUNCTION("IFERROR(IF(ISBLANK(B36),"""",GOOGLEFINANCE(B36,""low52"")),"""")"),"")</f>
        <v/>
      </c>
      <c r="P36" s="310" t="str">
        <f t="shared" si="4"/>
        <v/>
      </c>
      <c r="Q36" s="311" t="str">
        <f>IFERROR(__xludf.DUMMYFUNCTION("IFERROR(IF(ISBLANK(B36),"""",GOOGLEFINANCE(B36,""high52"")),"""")"),"")</f>
        <v/>
      </c>
      <c r="R36" s="310" t="str">
        <f t="shared" si="5"/>
        <v/>
      </c>
      <c r="S36" s="13" t="str">
        <f t="shared" si="6"/>
        <v/>
      </c>
      <c r="U36" s="13" t="str">
        <f t="shared" si="7"/>
        <v/>
      </c>
      <c r="W36" s="13" t="str">
        <f t="shared" si="8"/>
        <v/>
      </c>
      <c r="X36" s="310" t="str">
        <f t="shared" si="9"/>
        <v/>
      </c>
      <c r="Y36" s="311" t="str">
        <f>IFERROR(__xludf.DUMMYFUNCTION("IF(ISBLANK(B36),"""",IFERROR(INDEX(GOOGLEFINANCE(B36,""price"",WORKDAY(TODAY(),-$Y$17)),2,2),""""))"),"")</f>
        <v/>
      </c>
      <c r="Z36" s="310" t="str">
        <f>IFERROR(__xludf.DUMMYFUNCTION("IF(ISBLANK(B36),"""",IFERROR(I36/(INDEX(GOOGLEFINANCE(B36,""price"",WORKDAY(TODAY(),-$Z$17)),2,2))-1,""""))"),"")</f>
        <v/>
      </c>
      <c r="AA36" s="312" t="str">
        <f>IFERROR(__xludf.DUMMYFUNCTION("IF(ISBLANK(B36),"""",IFERROR(IFERROR(""$""&amp;Trunc(GOOGLEFINANCE(B36,""Marketcap"")/1000000000)&amp;"" B"",""$""&amp;Trunc(IMPORTXML(""https://coinmarketcap.com/currencies/""&amp;B36,$AJ$4)/1000000000)&amp;"" B""),""-""))"),"")</f>
        <v/>
      </c>
      <c r="AB36" s="13" t="str">
        <f>IFERROR(__xludf.DUMMYFUNCTION("IF(ISBLANK(B36),"""",IFERROR(GOOGLEFINANCE(B36,""pe""),""-""))"),"")</f>
        <v/>
      </c>
      <c r="AC36" s="313" t="str">
        <f>IFERROR(__xludf.DUMMYFUNCTION("SPARKLINE(INDEX(GOOGLEFINANCE(B36,""price"",workday(today(),-$AC$17),today()),,2),{""charttype"",""column"";""color"",""green""})
"),"#N/A")</f>
        <v>#N/A</v>
      </c>
      <c r="AD36" s="313" t="str">
        <f>IFERROR(__xludf.DUMMYFUNCTION("IF(ISBLANK(B36),"""",IFERROR(INDEX(IMPORTXML(""https://eresearch.fidelity.com/eresearch/goto/evaluate/snapshot.jhtml?symbols=""&amp;B36&amp;"""",""//div[@class='sub-heading']//span[@class='right']""),1),""Enter Manually"")
)"),"")</f>
        <v/>
      </c>
      <c r="AE36" s="314" t="str">
        <f t="shared" si="10"/>
        <v>Info</v>
      </c>
      <c r="AF36" s="329"/>
      <c r="AG36" s="320"/>
      <c r="AH36" s="13"/>
      <c r="AI36" s="13"/>
      <c r="AJ36" s="13"/>
      <c r="AK36" s="13"/>
      <c r="AL36" s="13"/>
      <c r="AM36" s="13"/>
      <c r="AN36" s="13"/>
      <c r="AO36" s="13"/>
      <c r="AP36" s="13"/>
    </row>
    <row r="37" ht="18.75" customHeight="1">
      <c r="A37" s="13"/>
      <c r="B37" s="327"/>
      <c r="C37" s="306" t="str">
        <f>IFERROR(__xludf.DUMMYFUNCTION("GOOGLEFINANCE(B37,""name"")
"),"#N/A")</f>
        <v>#N/A</v>
      </c>
      <c r="D37" s="306"/>
      <c r="E37" s="328"/>
      <c r="F37" s="13" t="str">
        <f t="shared" si="1"/>
        <v/>
      </c>
      <c r="G37" s="309" t="str">
        <f>IFERROR(__xludf.DUMMYFUNCTION("IF(ISBLANK(B37),"""",IFERROR(SPARKLINE(INDEX(GOOGLEFINANCE(B37,""price"",TODAY()-$G$17,TODAY()),,2),{""charttype"",""column"";""color"",""17a7e0""}),""""))"),"")</f>
        <v/>
      </c>
      <c r="I37" s="309" t="str">
        <f>IFERROR(__xludf.DUMMYFUNCTION("IFERROR(IF(B37="""","""",GOOGLEFINANCE(B37)),IFERROR(GOOGLEFINANCE(""CURRENCY:""&amp;""USD""&amp;$D$15)*IMPORTXML(""https://coinmarketcap.com/currencies/""&amp;B37,$AJ$3),IMPORTXML(""https://coinmarketcap.com/currencies/""&amp;B37,$AJ$3)))"),"")</f>
        <v/>
      </c>
      <c r="J37" s="310" t="str">
        <f t="shared" si="2"/>
        <v/>
      </c>
      <c r="K37" s="310" t="str">
        <f>IFERROR(__xludf.DUMMYFUNCTION("IFERROR(IF(ISBLANK(B37),"""",GOOGLEFINANCE(B37,""changepct"")/100),"""")"),"")</f>
        <v/>
      </c>
      <c r="L37" s="310" t="str">
        <f>IFERROR(__xludf.DUMMYFUNCTION("IF(ISBLANK(B37),"""",IFERROR((GOOGLEFINANCE(B37,""price"")/INDEX(GOOGLEFINANCE(B37,""price"",DATEVALUE(TODAY()-365) ),2,2)-1),""""))"),"")</f>
        <v/>
      </c>
      <c r="M37" s="310" t="str">
        <f>IFERROR(__xludf.DUMMYFUNCTION("IF(ISBLANK(B37),"""",IFERROR((GOOGLEFINANCE($D$13,""price"")/INDEX(GOOGLEFINANCE($D$13,""price"",DATEVALUE(TODAY()-365) ),2,2)-1),""""))"),"")</f>
        <v/>
      </c>
      <c r="N37" s="310" t="str">
        <f t="shared" si="3"/>
        <v/>
      </c>
      <c r="O37" s="311" t="str">
        <f>IFERROR(__xludf.DUMMYFUNCTION("IFERROR(IF(ISBLANK(B37),"""",GOOGLEFINANCE(B37,""low52"")),"""")"),"")</f>
        <v/>
      </c>
      <c r="P37" s="310" t="str">
        <f t="shared" si="4"/>
        <v/>
      </c>
      <c r="Q37" s="311" t="str">
        <f>IFERROR(__xludf.DUMMYFUNCTION("IFERROR(IF(ISBLANK(B37),"""",GOOGLEFINANCE(B37,""high52"")),"""")"),"")</f>
        <v/>
      </c>
      <c r="R37" s="310" t="str">
        <f t="shared" si="5"/>
        <v/>
      </c>
      <c r="S37" s="13" t="str">
        <f t="shared" si="6"/>
        <v/>
      </c>
      <c r="U37" s="13" t="str">
        <f t="shared" si="7"/>
        <v/>
      </c>
      <c r="W37" s="13" t="str">
        <f t="shared" si="8"/>
        <v/>
      </c>
      <c r="X37" s="310" t="str">
        <f t="shared" si="9"/>
        <v/>
      </c>
      <c r="Y37" s="311" t="str">
        <f>IFERROR(__xludf.DUMMYFUNCTION("IF(ISBLANK(B37),"""",IFERROR(INDEX(GOOGLEFINANCE(B37,""price"",WORKDAY(TODAY(),-$Y$17)),2,2),""""))"),"")</f>
        <v/>
      </c>
      <c r="Z37" s="310" t="str">
        <f>IFERROR(__xludf.DUMMYFUNCTION("IF(ISBLANK(B37),"""",IFERROR(I37/(INDEX(GOOGLEFINANCE(B37,""price"",WORKDAY(TODAY(),-$Z$17)),2,2))-1,""""))"),"")</f>
        <v/>
      </c>
      <c r="AA37" s="312" t="str">
        <f>IFERROR(__xludf.DUMMYFUNCTION("IF(ISBLANK(B37),"""",IFERROR(IFERROR(""$""&amp;Trunc(GOOGLEFINANCE(B37,""Marketcap"")/1000000000)&amp;"" B"",""$""&amp;Trunc(IMPORTXML(""https://coinmarketcap.com/currencies/""&amp;B37,$AJ$4)/1000000000)&amp;"" B""),""-""))"),"")</f>
        <v/>
      </c>
      <c r="AB37" s="13" t="str">
        <f>IFERROR(__xludf.DUMMYFUNCTION("IF(ISBLANK(B37),"""",IFERROR(GOOGLEFINANCE(B37,""pe""),""-""))"),"")</f>
        <v/>
      </c>
      <c r="AC37" s="313" t="str">
        <f>IFERROR(__xludf.DUMMYFUNCTION("SPARKLINE(INDEX(GOOGLEFINANCE(B37,""price"",workday(today(),-$AC$17),today()),,2),{""charttype"",""column"";""color"",""green""})
"),"#N/A")</f>
        <v>#N/A</v>
      </c>
      <c r="AD37" s="313" t="str">
        <f>IFERROR(__xludf.DUMMYFUNCTION("IF(ISBLANK(B37),"""",IFERROR(INDEX(IMPORTXML(""https://eresearch.fidelity.com/eresearch/goto/evaluate/snapshot.jhtml?symbols=""&amp;B37&amp;"""",""//div[@class='sub-heading']//span[@class='right']""),1),""Enter Manually"")
)"),"")</f>
        <v/>
      </c>
      <c r="AE37" s="314" t="str">
        <f t="shared" si="10"/>
        <v>Info</v>
      </c>
      <c r="AF37" s="329"/>
      <c r="AG37" s="320"/>
      <c r="AH37" s="13"/>
      <c r="AI37" s="13"/>
      <c r="AJ37" s="13"/>
      <c r="AK37" s="13"/>
      <c r="AL37" s="13"/>
      <c r="AM37" s="13"/>
      <c r="AN37" s="13"/>
      <c r="AO37" s="13"/>
      <c r="AP37" s="13"/>
    </row>
    <row r="38" ht="18.75" customHeight="1">
      <c r="A38" s="13"/>
      <c r="B38" s="327"/>
      <c r="C38" s="306" t="str">
        <f>IFERROR(__xludf.DUMMYFUNCTION("GOOGLEFINANCE(B38,""name"")
"),"#N/A")</f>
        <v>#N/A</v>
      </c>
      <c r="D38" s="306"/>
      <c r="E38" s="328"/>
      <c r="F38" s="13" t="str">
        <f t="shared" si="1"/>
        <v/>
      </c>
      <c r="G38" s="309" t="str">
        <f>IFERROR(__xludf.DUMMYFUNCTION("IF(ISBLANK(B38),"""",IFERROR(SPARKLINE(INDEX(GOOGLEFINANCE(B38,""price"",TODAY()-$G$17,TODAY()),,2),{""charttype"",""column"";""color"",""17a7e0""}),""""))"),"")</f>
        <v/>
      </c>
      <c r="I38" s="309" t="str">
        <f>IFERROR(__xludf.DUMMYFUNCTION("IFERROR(IF(B38="""","""",GOOGLEFINANCE(B38)),IFERROR(GOOGLEFINANCE(""CURRENCY:""&amp;""USD""&amp;$D$15)*IMPORTXML(""https://coinmarketcap.com/currencies/""&amp;B38,$AJ$3),IMPORTXML(""https://coinmarketcap.com/currencies/""&amp;B38,$AJ$3)))"),"")</f>
        <v/>
      </c>
      <c r="J38" s="310" t="str">
        <f t="shared" si="2"/>
        <v/>
      </c>
      <c r="K38" s="310" t="str">
        <f>IFERROR(__xludf.DUMMYFUNCTION("IFERROR(IF(ISBLANK(B38),"""",GOOGLEFINANCE(B38,""changepct"")/100),"""")"),"")</f>
        <v/>
      </c>
      <c r="L38" s="310" t="str">
        <f>IFERROR(__xludf.DUMMYFUNCTION("IF(ISBLANK(B38),"""",IFERROR((GOOGLEFINANCE(B38,""price"")/INDEX(GOOGLEFINANCE(B38,""price"",DATEVALUE(TODAY()-365) ),2,2)-1),""""))"),"")</f>
        <v/>
      </c>
      <c r="M38" s="310" t="str">
        <f>IFERROR(__xludf.DUMMYFUNCTION("IF(ISBLANK(B38),"""",IFERROR((GOOGLEFINANCE($D$13,""price"")/INDEX(GOOGLEFINANCE($D$13,""price"",DATEVALUE(TODAY()-365) ),2,2)-1),""""))"),"")</f>
        <v/>
      </c>
      <c r="N38" s="310" t="str">
        <f t="shared" si="3"/>
        <v/>
      </c>
      <c r="O38" s="311" t="str">
        <f>IFERROR(__xludf.DUMMYFUNCTION("IFERROR(IF(ISBLANK(B38),"""",GOOGLEFINANCE(B38,""low52"")),"""")"),"")</f>
        <v/>
      </c>
      <c r="P38" s="310" t="str">
        <f t="shared" si="4"/>
        <v/>
      </c>
      <c r="Q38" s="311" t="str">
        <f>IFERROR(__xludf.DUMMYFUNCTION("IFERROR(IF(ISBLANK(B38),"""",GOOGLEFINANCE(B38,""high52"")),"""")"),"")</f>
        <v/>
      </c>
      <c r="R38" s="310" t="str">
        <f t="shared" si="5"/>
        <v/>
      </c>
      <c r="S38" s="13" t="str">
        <f t="shared" si="6"/>
        <v/>
      </c>
      <c r="U38" s="13" t="str">
        <f t="shared" si="7"/>
        <v/>
      </c>
      <c r="W38" s="13" t="str">
        <f t="shared" si="8"/>
        <v/>
      </c>
      <c r="X38" s="310" t="str">
        <f t="shared" si="9"/>
        <v/>
      </c>
      <c r="Y38" s="311" t="str">
        <f>IFERROR(__xludf.DUMMYFUNCTION("IF(ISBLANK(B38),"""",IFERROR(INDEX(GOOGLEFINANCE(B38,""price"",WORKDAY(TODAY(),-$Y$17)),2,2),""""))"),"")</f>
        <v/>
      </c>
      <c r="Z38" s="310" t="str">
        <f>IFERROR(__xludf.DUMMYFUNCTION("IF(ISBLANK(B38),"""",IFERROR(I38/(INDEX(GOOGLEFINANCE(B38,""price"",WORKDAY(TODAY(),-$Z$17)),2,2))-1,""""))"),"")</f>
        <v/>
      </c>
      <c r="AA38" s="312" t="str">
        <f>IFERROR(__xludf.DUMMYFUNCTION("IF(ISBLANK(B38),"""",IFERROR(IFERROR(""$""&amp;Trunc(GOOGLEFINANCE(B38,""Marketcap"")/1000000000)&amp;"" B"",""$""&amp;Trunc(IMPORTXML(""https://coinmarketcap.com/currencies/""&amp;B38,$AJ$4)/1000000000)&amp;"" B""),""-""))"),"")</f>
        <v/>
      </c>
      <c r="AB38" s="13" t="str">
        <f>IFERROR(__xludf.DUMMYFUNCTION("IF(ISBLANK(B38),"""",IFERROR(GOOGLEFINANCE(B38,""pe""),""-""))"),"")</f>
        <v/>
      </c>
      <c r="AC38" s="313" t="str">
        <f>IFERROR(__xludf.DUMMYFUNCTION("SPARKLINE(INDEX(GOOGLEFINANCE(B38,""price"",workday(today(),-$AC$17),today()),,2),{""charttype"",""column"";""color"",""green""})
"),"#N/A")</f>
        <v>#N/A</v>
      </c>
      <c r="AD38" s="313" t="str">
        <f>IFERROR(__xludf.DUMMYFUNCTION("IF(ISBLANK(B38),"""",IFERROR(INDEX(IMPORTXML(""https://eresearch.fidelity.com/eresearch/goto/evaluate/snapshot.jhtml?symbols=""&amp;B38&amp;"""",""//div[@class='sub-heading']//span[@class='right']""),1),""Enter Manually"")
)"),"")</f>
        <v/>
      </c>
      <c r="AE38" s="314" t="str">
        <f t="shared" si="10"/>
        <v>Info</v>
      </c>
      <c r="AF38" s="329"/>
      <c r="AG38" s="320"/>
      <c r="AH38" s="13"/>
      <c r="AI38" s="13"/>
      <c r="AJ38" s="13"/>
      <c r="AK38" s="13"/>
      <c r="AL38" s="13"/>
      <c r="AM38" s="13"/>
      <c r="AN38" s="13"/>
      <c r="AO38" s="13"/>
      <c r="AP38" s="13"/>
    </row>
    <row r="39" ht="18.75" customHeight="1">
      <c r="A39" s="13"/>
      <c r="B39" s="327"/>
      <c r="C39" s="306" t="str">
        <f>IFERROR(__xludf.DUMMYFUNCTION("GOOGLEFINANCE(B39,""name"")
"),"#N/A")</f>
        <v>#N/A</v>
      </c>
      <c r="D39" s="306"/>
      <c r="E39" s="328"/>
      <c r="F39" s="13" t="str">
        <f t="shared" si="1"/>
        <v/>
      </c>
      <c r="G39" s="309" t="str">
        <f>IFERROR(__xludf.DUMMYFUNCTION("IF(ISBLANK(B39),"""",IFERROR(SPARKLINE(INDEX(GOOGLEFINANCE(B39,""price"",TODAY()-$G$17,TODAY()),,2),{""charttype"",""column"";""color"",""17a7e0""}),""""))"),"")</f>
        <v/>
      </c>
      <c r="I39" s="309" t="str">
        <f>IFERROR(__xludf.DUMMYFUNCTION("IFERROR(IF(B39="""","""",GOOGLEFINANCE(B39)),IFERROR(GOOGLEFINANCE(""CURRENCY:""&amp;""USD""&amp;$D$15)*IMPORTXML(""https://coinmarketcap.com/currencies/""&amp;B39,$AJ$3),IMPORTXML(""https://coinmarketcap.com/currencies/""&amp;B39,$AJ$3)))"),"")</f>
        <v/>
      </c>
      <c r="J39" s="310" t="str">
        <f t="shared" si="2"/>
        <v/>
      </c>
      <c r="K39" s="310" t="str">
        <f>IFERROR(__xludf.DUMMYFUNCTION("IFERROR(IF(ISBLANK(B39),"""",GOOGLEFINANCE(B39,""changepct"")/100),"""")"),"")</f>
        <v/>
      </c>
      <c r="L39" s="310" t="str">
        <f>IFERROR(__xludf.DUMMYFUNCTION("IF(ISBLANK(B39),"""",IFERROR((GOOGLEFINANCE(B39,""price"")/INDEX(GOOGLEFINANCE(B39,""price"",DATEVALUE(TODAY()-365) ),2,2)-1),""""))"),"")</f>
        <v/>
      </c>
      <c r="M39" s="310" t="str">
        <f>IFERROR(__xludf.DUMMYFUNCTION("IF(ISBLANK(B39),"""",IFERROR((GOOGLEFINANCE($D$13,""price"")/INDEX(GOOGLEFINANCE($D$13,""price"",DATEVALUE(TODAY()-365) ),2,2)-1),""""))"),"")</f>
        <v/>
      </c>
      <c r="N39" s="310" t="str">
        <f t="shared" si="3"/>
        <v/>
      </c>
      <c r="O39" s="311" t="str">
        <f>IFERROR(__xludf.DUMMYFUNCTION("IFERROR(IF(ISBLANK(B39),"""",GOOGLEFINANCE(B39,""low52"")),"""")"),"")</f>
        <v/>
      </c>
      <c r="P39" s="310" t="str">
        <f t="shared" si="4"/>
        <v/>
      </c>
      <c r="Q39" s="311" t="str">
        <f>IFERROR(__xludf.DUMMYFUNCTION("IFERROR(IF(ISBLANK(B39),"""",GOOGLEFINANCE(B39,""high52"")),"""")"),"")</f>
        <v/>
      </c>
      <c r="R39" s="310" t="str">
        <f t="shared" si="5"/>
        <v/>
      </c>
      <c r="S39" s="13" t="str">
        <f t="shared" si="6"/>
        <v/>
      </c>
      <c r="U39" s="13" t="str">
        <f t="shared" si="7"/>
        <v/>
      </c>
      <c r="W39" s="13" t="str">
        <f t="shared" si="8"/>
        <v/>
      </c>
      <c r="X39" s="310" t="str">
        <f t="shared" si="9"/>
        <v/>
      </c>
      <c r="Y39" s="311" t="str">
        <f>IFERROR(__xludf.DUMMYFUNCTION("IF(ISBLANK(B39),"""",IFERROR(INDEX(GOOGLEFINANCE(B39,""price"",WORKDAY(TODAY(),-$Y$17)),2,2),""""))"),"")</f>
        <v/>
      </c>
      <c r="Z39" s="310" t="str">
        <f>IFERROR(__xludf.DUMMYFUNCTION("IF(ISBLANK(B39),"""",IFERROR(I39/(INDEX(GOOGLEFINANCE(B39,""price"",WORKDAY(TODAY(),-$Z$17)),2,2))-1,""""))"),"")</f>
        <v/>
      </c>
      <c r="AA39" s="312" t="str">
        <f>IFERROR(__xludf.DUMMYFUNCTION("IF(ISBLANK(B39),"""",IFERROR(IFERROR(""$""&amp;Trunc(GOOGLEFINANCE(B39,""Marketcap"")/1000000000)&amp;"" B"",""$""&amp;Trunc(IMPORTXML(""https://coinmarketcap.com/currencies/""&amp;B39,$AJ$4)/1000000000)&amp;"" B""),""-""))"),"")</f>
        <v/>
      </c>
      <c r="AB39" s="13" t="str">
        <f>IFERROR(__xludf.DUMMYFUNCTION("IF(ISBLANK(B39),"""",IFERROR(GOOGLEFINANCE(B39,""pe""),""-""))"),"")</f>
        <v/>
      </c>
      <c r="AC39" s="313" t="str">
        <f>IFERROR(__xludf.DUMMYFUNCTION("SPARKLINE(INDEX(GOOGLEFINANCE(B39,""price"",workday(today(),-$AC$17),today()),,2),{""charttype"",""column"";""color"",""green""})
"),"#N/A")</f>
        <v>#N/A</v>
      </c>
      <c r="AD39" s="313" t="str">
        <f>IFERROR(__xludf.DUMMYFUNCTION("IF(ISBLANK(B39),"""",IFERROR(INDEX(IMPORTXML(""https://eresearch.fidelity.com/eresearch/goto/evaluate/snapshot.jhtml?symbols=""&amp;B39&amp;"""",""//div[@class='sub-heading']//span[@class='right']""),1),""Enter Manually"")
)"),"")</f>
        <v/>
      </c>
      <c r="AE39" s="314" t="str">
        <f t="shared" si="10"/>
        <v>Info</v>
      </c>
      <c r="AF39" s="329"/>
      <c r="AG39" s="320"/>
      <c r="AH39" s="13"/>
      <c r="AI39" s="13"/>
      <c r="AJ39" s="13"/>
      <c r="AK39" s="13"/>
      <c r="AL39" s="13"/>
      <c r="AM39" s="13"/>
      <c r="AN39" s="13"/>
      <c r="AO39" s="13"/>
      <c r="AP39" s="13"/>
    </row>
    <row r="40" ht="18.75" customHeight="1">
      <c r="A40" s="13"/>
      <c r="B40" s="327"/>
      <c r="C40" s="306" t="str">
        <f>IFERROR(__xludf.DUMMYFUNCTION("GOOGLEFINANCE(B40,""name"")
"),"#N/A")</f>
        <v>#N/A</v>
      </c>
      <c r="D40" s="306"/>
      <c r="E40" s="328"/>
      <c r="F40" s="13" t="str">
        <f t="shared" si="1"/>
        <v/>
      </c>
      <c r="G40" s="309" t="str">
        <f>IFERROR(__xludf.DUMMYFUNCTION("IF(ISBLANK(B40),"""",IFERROR(SPARKLINE(INDEX(GOOGLEFINANCE(B40,""price"",TODAY()-$G$17,TODAY()),,2),{""charttype"",""column"";""color"",""17a7e0""}),""""))"),"")</f>
        <v/>
      </c>
      <c r="I40" s="309" t="str">
        <f>IFERROR(__xludf.DUMMYFUNCTION("IFERROR(IF(B40="""","""",GOOGLEFINANCE(B40)),IFERROR(GOOGLEFINANCE(""CURRENCY:""&amp;""USD""&amp;$D$15)*IMPORTXML(""https://coinmarketcap.com/currencies/""&amp;B40,$AJ$3),IMPORTXML(""https://coinmarketcap.com/currencies/""&amp;B40,$AJ$3)))"),"")</f>
        <v/>
      </c>
      <c r="J40" s="310" t="str">
        <f t="shared" si="2"/>
        <v/>
      </c>
      <c r="K40" s="310" t="str">
        <f>IFERROR(__xludf.DUMMYFUNCTION("IFERROR(IF(ISBLANK(B40),"""",GOOGLEFINANCE(B40,""changepct"")/100),"""")"),"")</f>
        <v/>
      </c>
      <c r="L40" s="310" t="str">
        <f>IFERROR(__xludf.DUMMYFUNCTION("IF(ISBLANK(B40),"""",IFERROR((GOOGLEFINANCE(B40,""price"")/INDEX(GOOGLEFINANCE(B40,""price"",DATEVALUE(TODAY()-365) ),2,2)-1),""""))"),"")</f>
        <v/>
      </c>
      <c r="M40" s="310" t="str">
        <f>IFERROR(__xludf.DUMMYFUNCTION("IF(ISBLANK(B40),"""",IFERROR((GOOGLEFINANCE($D$13,""price"")/INDEX(GOOGLEFINANCE($D$13,""price"",DATEVALUE(TODAY()-365) ),2,2)-1),""""))"),"")</f>
        <v/>
      </c>
      <c r="N40" s="310" t="str">
        <f t="shared" si="3"/>
        <v/>
      </c>
      <c r="O40" s="311" t="str">
        <f>IFERROR(__xludf.DUMMYFUNCTION("IFERROR(IF(ISBLANK(B40),"""",GOOGLEFINANCE(B40,""low52"")),"""")"),"")</f>
        <v/>
      </c>
      <c r="P40" s="310" t="str">
        <f t="shared" si="4"/>
        <v/>
      </c>
      <c r="Q40" s="311" t="str">
        <f>IFERROR(__xludf.DUMMYFUNCTION("IFERROR(IF(ISBLANK(B40),"""",GOOGLEFINANCE(B40,""high52"")),"""")"),"")</f>
        <v/>
      </c>
      <c r="R40" s="310" t="str">
        <f t="shared" si="5"/>
        <v/>
      </c>
      <c r="S40" s="13" t="str">
        <f t="shared" si="6"/>
        <v/>
      </c>
      <c r="U40" s="13" t="str">
        <f t="shared" si="7"/>
        <v/>
      </c>
      <c r="W40" s="13" t="str">
        <f t="shared" si="8"/>
        <v/>
      </c>
      <c r="X40" s="310" t="str">
        <f t="shared" si="9"/>
        <v/>
      </c>
      <c r="Y40" s="311" t="str">
        <f>IFERROR(__xludf.DUMMYFUNCTION("IF(ISBLANK(B40),"""",IFERROR(INDEX(GOOGLEFINANCE(B40,""price"",WORKDAY(TODAY(),-$Y$17)),2,2),""""))"),"")</f>
        <v/>
      </c>
      <c r="Z40" s="310" t="str">
        <f>IFERROR(__xludf.DUMMYFUNCTION("IF(ISBLANK(B40),"""",IFERROR(I40/(INDEX(GOOGLEFINANCE(B40,""price"",WORKDAY(TODAY(),-$Z$17)),2,2))-1,""""))"),"")</f>
        <v/>
      </c>
      <c r="AA40" s="312" t="str">
        <f>IFERROR(__xludf.DUMMYFUNCTION("IF(ISBLANK(B40),"""",IFERROR(IFERROR(""$""&amp;Trunc(GOOGLEFINANCE(B40,""Marketcap"")/1000000000)&amp;"" B"",""$""&amp;Trunc(IMPORTXML(""https://coinmarketcap.com/currencies/""&amp;B40,$AJ$4)/1000000000)&amp;"" B""),""-""))"),"")</f>
        <v/>
      </c>
      <c r="AB40" s="13" t="str">
        <f>IFERROR(__xludf.DUMMYFUNCTION("IF(ISBLANK(B40),"""",IFERROR(GOOGLEFINANCE(B40,""pe""),""-""))"),"")</f>
        <v/>
      </c>
      <c r="AC40" s="313" t="str">
        <f>IFERROR(__xludf.DUMMYFUNCTION("SPARKLINE(INDEX(GOOGLEFINANCE(B40,""price"",workday(today(),-$AC$17),today()),,2),{""charttype"",""column"";""color"",""green""})
"),"#N/A")</f>
        <v>#N/A</v>
      </c>
      <c r="AD40" s="313" t="str">
        <f>IFERROR(__xludf.DUMMYFUNCTION("IF(ISBLANK(B40),"""",IFERROR(INDEX(IMPORTXML(""https://eresearch.fidelity.com/eresearch/goto/evaluate/snapshot.jhtml?symbols=""&amp;B40&amp;"""",""//div[@class='sub-heading']//span[@class='right']""),1),""Enter Manually"")
)"),"")</f>
        <v/>
      </c>
      <c r="AE40" s="314" t="str">
        <f t="shared" si="10"/>
        <v>Info</v>
      </c>
      <c r="AF40" s="329"/>
      <c r="AG40" s="320"/>
      <c r="AH40" s="13"/>
      <c r="AI40" s="13"/>
      <c r="AJ40" s="13"/>
      <c r="AK40" s="13"/>
      <c r="AL40" s="13"/>
      <c r="AM40" s="13"/>
      <c r="AN40" s="13"/>
      <c r="AO40" s="13"/>
      <c r="AP40" s="13"/>
    </row>
    <row r="41" ht="18.75" customHeight="1">
      <c r="A41" s="13"/>
      <c r="B41" s="327"/>
      <c r="C41" s="306" t="str">
        <f>IFERROR(__xludf.DUMMYFUNCTION("GOOGLEFINANCE(B41,""name"")
"),"#N/A")</f>
        <v>#N/A</v>
      </c>
      <c r="D41" s="306"/>
      <c r="E41" s="328"/>
      <c r="F41" s="13" t="str">
        <f t="shared" si="1"/>
        <v/>
      </c>
      <c r="G41" s="309" t="str">
        <f>IFERROR(__xludf.DUMMYFUNCTION("IF(ISBLANK(B41),"""",IFERROR(SPARKLINE(INDEX(GOOGLEFINANCE(B41,""price"",TODAY()-$G$17,TODAY()),,2),{""charttype"",""column"";""color"",""17a7e0""}),""""))"),"")</f>
        <v/>
      </c>
      <c r="I41" s="309" t="str">
        <f>IFERROR(__xludf.DUMMYFUNCTION("IFERROR(IF(B41="""","""",GOOGLEFINANCE(B41)),IFERROR(GOOGLEFINANCE(""CURRENCY:""&amp;""USD""&amp;$D$15)*IMPORTXML(""https://coinmarketcap.com/currencies/""&amp;B41,$AJ$3),IMPORTXML(""https://coinmarketcap.com/currencies/""&amp;B41,$AJ$3)))"),"")</f>
        <v/>
      </c>
      <c r="J41" s="310" t="str">
        <f t="shared" si="2"/>
        <v/>
      </c>
      <c r="K41" s="310" t="str">
        <f>IFERROR(__xludf.DUMMYFUNCTION("IFERROR(IF(ISBLANK(B41),"""",GOOGLEFINANCE(B41,""changepct"")/100),"""")"),"")</f>
        <v/>
      </c>
      <c r="L41" s="310" t="str">
        <f>IFERROR(__xludf.DUMMYFUNCTION("IF(ISBLANK(B41),"""",IFERROR((GOOGLEFINANCE(B41,""price"")/INDEX(GOOGLEFINANCE(B41,""price"",DATEVALUE(TODAY()-365) ),2,2)-1),""""))"),"")</f>
        <v/>
      </c>
      <c r="M41" s="310" t="str">
        <f>IFERROR(__xludf.DUMMYFUNCTION("IF(ISBLANK(B41),"""",IFERROR((GOOGLEFINANCE($D$13,""price"")/INDEX(GOOGLEFINANCE($D$13,""price"",DATEVALUE(TODAY()-365) ),2,2)-1),""""))"),"")</f>
        <v/>
      </c>
      <c r="N41" s="310" t="str">
        <f t="shared" si="3"/>
        <v/>
      </c>
      <c r="O41" s="311" t="str">
        <f>IFERROR(__xludf.DUMMYFUNCTION("IFERROR(IF(ISBLANK(B41),"""",GOOGLEFINANCE(B41,""low52"")),"""")"),"")</f>
        <v/>
      </c>
      <c r="P41" s="310" t="str">
        <f t="shared" si="4"/>
        <v/>
      </c>
      <c r="Q41" s="311" t="str">
        <f>IFERROR(__xludf.DUMMYFUNCTION("IFERROR(IF(ISBLANK(B41),"""",GOOGLEFINANCE(B41,""high52"")),"""")"),"")</f>
        <v/>
      </c>
      <c r="R41" s="310" t="str">
        <f t="shared" si="5"/>
        <v/>
      </c>
      <c r="S41" s="13" t="str">
        <f t="shared" si="6"/>
        <v/>
      </c>
      <c r="U41" s="13" t="str">
        <f t="shared" si="7"/>
        <v/>
      </c>
      <c r="W41" s="13" t="str">
        <f t="shared" si="8"/>
        <v/>
      </c>
      <c r="X41" s="310" t="str">
        <f t="shared" si="9"/>
        <v/>
      </c>
      <c r="Y41" s="311" t="str">
        <f>IFERROR(__xludf.DUMMYFUNCTION("IF(ISBLANK(B41),"""",IFERROR(INDEX(GOOGLEFINANCE(B41,""price"",WORKDAY(TODAY(),-$Y$17)),2,2),""""))"),"")</f>
        <v/>
      </c>
      <c r="Z41" s="310" t="str">
        <f>IFERROR(__xludf.DUMMYFUNCTION("IF(ISBLANK(B41),"""",IFERROR(I41/(INDEX(GOOGLEFINANCE(B41,""price"",WORKDAY(TODAY(),-$Z$17)),2,2))-1,""""))"),"")</f>
        <v/>
      </c>
      <c r="AA41" s="312" t="str">
        <f>IFERROR(__xludf.DUMMYFUNCTION("IF(ISBLANK(B41),"""",IFERROR(IFERROR(""$""&amp;Trunc(GOOGLEFINANCE(B41,""Marketcap"")/1000000000)&amp;"" B"",""$""&amp;Trunc(IMPORTXML(""https://coinmarketcap.com/currencies/""&amp;B41,$AJ$4)/1000000000)&amp;"" B""),""-""))"),"")</f>
        <v/>
      </c>
      <c r="AB41" s="13" t="str">
        <f>IFERROR(__xludf.DUMMYFUNCTION("IF(ISBLANK(B41),"""",IFERROR(GOOGLEFINANCE(B41,""pe""),""-""))"),"")</f>
        <v/>
      </c>
      <c r="AC41" s="313" t="str">
        <f>IFERROR(__xludf.DUMMYFUNCTION("SPARKLINE(INDEX(GOOGLEFINANCE(B41,""price"",workday(today(),-$AC$17),today()),,2),{""charttype"",""column"";""color"",""green""})
"),"#N/A")</f>
        <v>#N/A</v>
      </c>
      <c r="AD41" s="313" t="str">
        <f>IFERROR(__xludf.DUMMYFUNCTION("IF(ISBLANK(B41),"""",IFERROR(INDEX(IMPORTXML(""https://eresearch.fidelity.com/eresearch/goto/evaluate/snapshot.jhtml?symbols=""&amp;B41&amp;"""",""//div[@class='sub-heading']//span[@class='right']""),1),""Enter Manually"")
)"),"")</f>
        <v/>
      </c>
      <c r="AE41" s="314" t="str">
        <f t="shared" si="10"/>
        <v>Info</v>
      </c>
      <c r="AF41" s="329"/>
      <c r="AG41" s="320"/>
      <c r="AH41" s="13"/>
      <c r="AI41" s="13"/>
      <c r="AJ41" s="13"/>
      <c r="AK41" s="13"/>
      <c r="AL41" s="13"/>
      <c r="AM41" s="13"/>
      <c r="AN41" s="13"/>
      <c r="AO41" s="13"/>
      <c r="AP41" s="13"/>
    </row>
    <row r="42" ht="18.75" customHeight="1">
      <c r="A42" s="13"/>
      <c r="B42" s="327"/>
      <c r="C42" s="306" t="str">
        <f>IFERROR(__xludf.DUMMYFUNCTION("GOOGLEFINANCE(B42,""name"")
"),"#N/A")</f>
        <v>#N/A</v>
      </c>
      <c r="D42" s="306"/>
      <c r="E42" s="328"/>
      <c r="F42" s="13" t="str">
        <f t="shared" si="1"/>
        <v/>
      </c>
      <c r="G42" s="309" t="str">
        <f>IFERROR(__xludf.DUMMYFUNCTION("IF(ISBLANK(B42),"""",IFERROR(SPARKLINE(INDEX(GOOGLEFINANCE(B42,""price"",TODAY()-$G$17,TODAY()),,2),{""charttype"",""column"";""color"",""17a7e0""}),""""))"),"")</f>
        <v/>
      </c>
      <c r="I42" s="309" t="str">
        <f>IFERROR(__xludf.DUMMYFUNCTION("IFERROR(IF(B42="""","""",GOOGLEFINANCE(B42)),IFERROR(GOOGLEFINANCE(""CURRENCY:""&amp;""USD""&amp;$D$15)*IMPORTXML(""https://coinmarketcap.com/currencies/""&amp;B42,$AJ$3),IMPORTXML(""https://coinmarketcap.com/currencies/""&amp;B42,$AJ$3)))"),"")</f>
        <v/>
      </c>
      <c r="J42" s="310" t="str">
        <f t="shared" si="2"/>
        <v/>
      </c>
      <c r="K42" s="310" t="str">
        <f>IFERROR(__xludf.DUMMYFUNCTION("IFERROR(IF(ISBLANK(B42),"""",GOOGLEFINANCE(B42,""changepct"")/100),"""")"),"")</f>
        <v/>
      </c>
      <c r="L42" s="310" t="str">
        <f>IFERROR(__xludf.DUMMYFUNCTION("IF(ISBLANK(B42),"""",IFERROR((GOOGLEFINANCE(B42,""price"")/INDEX(GOOGLEFINANCE(B42,""price"",DATEVALUE(TODAY()-365) ),2,2)-1),""""))"),"")</f>
        <v/>
      </c>
      <c r="M42" s="310" t="str">
        <f>IFERROR(__xludf.DUMMYFUNCTION("IF(ISBLANK(B42),"""",IFERROR((GOOGLEFINANCE($D$13,""price"")/INDEX(GOOGLEFINANCE($D$13,""price"",DATEVALUE(TODAY()-365) ),2,2)-1),""""))"),"")</f>
        <v/>
      </c>
      <c r="N42" s="310" t="str">
        <f t="shared" si="3"/>
        <v/>
      </c>
      <c r="O42" s="311" t="str">
        <f>IFERROR(__xludf.DUMMYFUNCTION("IFERROR(IF(ISBLANK(B42),"""",GOOGLEFINANCE(B42,""low52"")),"""")"),"")</f>
        <v/>
      </c>
      <c r="P42" s="310" t="str">
        <f t="shared" si="4"/>
        <v/>
      </c>
      <c r="Q42" s="311" t="str">
        <f>IFERROR(__xludf.DUMMYFUNCTION("IFERROR(IF(ISBLANK(B42),"""",GOOGLEFINANCE(B42,""high52"")),"""")"),"")</f>
        <v/>
      </c>
      <c r="R42" s="310" t="str">
        <f t="shared" si="5"/>
        <v/>
      </c>
      <c r="S42" s="13" t="str">
        <f t="shared" si="6"/>
        <v/>
      </c>
      <c r="U42" s="13" t="str">
        <f t="shared" si="7"/>
        <v/>
      </c>
      <c r="W42" s="13" t="str">
        <f t="shared" si="8"/>
        <v/>
      </c>
      <c r="X42" s="310" t="str">
        <f t="shared" si="9"/>
        <v/>
      </c>
      <c r="Y42" s="311" t="str">
        <f>IFERROR(__xludf.DUMMYFUNCTION("IF(ISBLANK(B42),"""",IFERROR(INDEX(GOOGLEFINANCE(B42,""price"",WORKDAY(TODAY(),-$Y$17)),2,2),""""))"),"")</f>
        <v/>
      </c>
      <c r="Z42" s="310" t="str">
        <f>IFERROR(__xludf.DUMMYFUNCTION("IF(ISBLANK(B42),"""",IFERROR(I42/(INDEX(GOOGLEFINANCE(B42,""price"",WORKDAY(TODAY(),-$Z$17)),2,2))-1,""""))"),"")</f>
        <v/>
      </c>
      <c r="AA42" s="312" t="str">
        <f>IFERROR(__xludf.DUMMYFUNCTION("IF(ISBLANK(B42),"""",IFERROR(IFERROR(""$""&amp;Trunc(GOOGLEFINANCE(B42,""Marketcap"")/1000000000)&amp;"" B"",""$""&amp;Trunc(IMPORTXML(""https://coinmarketcap.com/currencies/""&amp;B42,$AJ$4)/1000000000)&amp;"" B""),""-""))"),"")</f>
        <v/>
      </c>
      <c r="AB42" s="13" t="str">
        <f>IFERROR(__xludf.DUMMYFUNCTION("IF(ISBLANK(B42),"""",IFERROR(GOOGLEFINANCE(B42,""pe""),""-""))"),"")</f>
        <v/>
      </c>
      <c r="AC42" s="313" t="str">
        <f>IFERROR(__xludf.DUMMYFUNCTION("SPARKLINE(INDEX(GOOGLEFINANCE(B42,""price"",workday(today(),-$AC$17),today()),,2),{""charttype"",""column"";""color"",""green""})
"),"#N/A")</f>
        <v>#N/A</v>
      </c>
      <c r="AD42" s="313" t="str">
        <f>IFERROR(__xludf.DUMMYFUNCTION("IF(ISBLANK(B42),"""",IFERROR(INDEX(IMPORTXML(""https://eresearch.fidelity.com/eresearch/goto/evaluate/snapshot.jhtml?symbols=""&amp;B42&amp;"""",""//div[@class='sub-heading']//span[@class='right']""),1),""Enter Manually"")
)"),"")</f>
        <v/>
      </c>
      <c r="AE42" s="314" t="str">
        <f t="shared" si="10"/>
        <v>Info</v>
      </c>
      <c r="AF42" s="329"/>
      <c r="AG42" s="320"/>
      <c r="AH42" s="13"/>
      <c r="AI42" s="13"/>
      <c r="AJ42" s="13"/>
      <c r="AK42" s="13"/>
      <c r="AL42" s="13"/>
      <c r="AM42" s="13"/>
      <c r="AN42" s="13"/>
      <c r="AO42" s="13"/>
      <c r="AP42" s="13"/>
    </row>
    <row r="43" ht="18.75" customHeight="1">
      <c r="A43" s="13"/>
      <c r="B43" s="327"/>
      <c r="C43" s="306" t="str">
        <f>IFERROR(__xludf.DUMMYFUNCTION("GOOGLEFINANCE(B43,""name"")
"),"#N/A")</f>
        <v>#N/A</v>
      </c>
      <c r="D43" s="306"/>
      <c r="E43" s="328"/>
      <c r="F43" s="13" t="str">
        <f t="shared" si="1"/>
        <v/>
      </c>
      <c r="G43" s="309" t="str">
        <f>IFERROR(__xludf.DUMMYFUNCTION("IF(ISBLANK(B43),"""",IFERROR(SPARKLINE(INDEX(GOOGLEFINANCE(B43,""price"",TODAY()-$G$17,TODAY()),,2),{""charttype"",""column"";""color"",""17a7e0""}),""""))"),"")</f>
        <v/>
      </c>
      <c r="I43" s="309" t="str">
        <f>IFERROR(__xludf.DUMMYFUNCTION("IFERROR(IF(B43="""","""",GOOGLEFINANCE(B43)),IFERROR(GOOGLEFINANCE(""CURRENCY:""&amp;""USD""&amp;$D$15)*IMPORTXML(""https://coinmarketcap.com/currencies/""&amp;B43,$AJ$3),IMPORTXML(""https://coinmarketcap.com/currencies/""&amp;B43,$AJ$3)))"),"")</f>
        <v/>
      </c>
      <c r="J43" s="310" t="str">
        <f t="shared" si="2"/>
        <v/>
      </c>
      <c r="K43" s="310" t="str">
        <f>IFERROR(__xludf.DUMMYFUNCTION("IFERROR(IF(ISBLANK(B43),"""",GOOGLEFINANCE(B43,""changepct"")/100),"""")"),"")</f>
        <v/>
      </c>
      <c r="L43" s="310" t="str">
        <f>IFERROR(__xludf.DUMMYFUNCTION("IF(ISBLANK(B43),"""",IFERROR((GOOGLEFINANCE(B43,""price"")/INDEX(GOOGLEFINANCE(B43,""price"",DATEVALUE(TODAY()-365) ),2,2)-1),""""))"),"")</f>
        <v/>
      </c>
      <c r="M43" s="310" t="str">
        <f>IFERROR(__xludf.DUMMYFUNCTION("IF(ISBLANK(B43),"""",IFERROR((GOOGLEFINANCE($D$13,""price"")/INDEX(GOOGLEFINANCE($D$13,""price"",DATEVALUE(TODAY()-365) ),2,2)-1),""""))"),"")</f>
        <v/>
      </c>
      <c r="N43" s="310" t="str">
        <f t="shared" si="3"/>
        <v/>
      </c>
      <c r="O43" s="311" t="str">
        <f>IFERROR(__xludf.DUMMYFUNCTION("IFERROR(IF(ISBLANK(B43),"""",GOOGLEFINANCE(B43,""low52"")),"""")"),"")</f>
        <v/>
      </c>
      <c r="P43" s="310" t="str">
        <f t="shared" si="4"/>
        <v/>
      </c>
      <c r="Q43" s="311" t="str">
        <f>IFERROR(__xludf.DUMMYFUNCTION("IFERROR(IF(ISBLANK(B43),"""",GOOGLEFINANCE(B43,""high52"")),"""")"),"")</f>
        <v/>
      </c>
      <c r="R43" s="310" t="str">
        <f t="shared" si="5"/>
        <v/>
      </c>
      <c r="S43" s="13" t="str">
        <f t="shared" si="6"/>
        <v/>
      </c>
      <c r="U43" s="13" t="str">
        <f t="shared" si="7"/>
        <v/>
      </c>
      <c r="W43" s="13" t="str">
        <f t="shared" si="8"/>
        <v/>
      </c>
      <c r="X43" s="310" t="str">
        <f t="shared" si="9"/>
        <v/>
      </c>
      <c r="Y43" s="311" t="str">
        <f>IFERROR(__xludf.DUMMYFUNCTION("IF(ISBLANK(B43),"""",IFERROR(INDEX(GOOGLEFINANCE(B43,""price"",WORKDAY(TODAY(),-$Y$17)),2,2),""""))"),"")</f>
        <v/>
      </c>
      <c r="Z43" s="310" t="str">
        <f>IFERROR(__xludf.DUMMYFUNCTION("IF(ISBLANK(B43),"""",IFERROR(I43/(INDEX(GOOGLEFINANCE(B43,""price"",WORKDAY(TODAY(),-$Z$17)),2,2))-1,""""))"),"")</f>
        <v/>
      </c>
      <c r="AA43" s="312" t="str">
        <f>IFERROR(__xludf.DUMMYFUNCTION("IF(ISBLANK(B43),"""",IFERROR(IFERROR(""$""&amp;Trunc(GOOGLEFINANCE(B43,""Marketcap"")/1000000000)&amp;"" B"",""$""&amp;Trunc(IMPORTXML(""https://coinmarketcap.com/currencies/""&amp;B43,$AJ$4)/1000000000)&amp;"" B""),""-""))"),"")</f>
        <v/>
      </c>
      <c r="AB43" s="13" t="str">
        <f>IFERROR(__xludf.DUMMYFUNCTION("IF(ISBLANK(B43),"""",IFERROR(GOOGLEFINANCE(B43,""pe""),""-""))"),"")</f>
        <v/>
      </c>
      <c r="AC43" s="313" t="str">
        <f>IFERROR(__xludf.DUMMYFUNCTION("SPARKLINE(INDEX(GOOGLEFINANCE(B43,""price"",workday(today(),-$AC$17),today()),,2),{""charttype"",""column"";""color"",""green""})
"),"#N/A")</f>
        <v>#N/A</v>
      </c>
      <c r="AD43" s="313" t="str">
        <f>IFERROR(__xludf.DUMMYFUNCTION("IF(ISBLANK(B43),"""",IFERROR(INDEX(IMPORTXML(""https://eresearch.fidelity.com/eresearch/goto/evaluate/snapshot.jhtml?symbols=""&amp;B43&amp;"""",""//div[@class='sub-heading']//span[@class='right']""),1),""Enter Manually"")
)"),"")</f>
        <v/>
      </c>
      <c r="AE43" s="314" t="str">
        <f t="shared" si="10"/>
        <v>Info</v>
      </c>
      <c r="AF43" s="329"/>
      <c r="AG43" s="320"/>
      <c r="AH43" s="13"/>
      <c r="AI43" s="13"/>
      <c r="AJ43" s="13"/>
      <c r="AK43" s="13"/>
      <c r="AL43" s="13"/>
      <c r="AM43" s="13"/>
      <c r="AN43" s="13"/>
      <c r="AO43" s="13"/>
      <c r="AP43" s="13"/>
    </row>
    <row r="44" ht="18.75" customHeight="1">
      <c r="A44" s="13"/>
      <c r="B44" s="327"/>
      <c r="C44" s="306" t="str">
        <f>IFERROR(__xludf.DUMMYFUNCTION("GOOGLEFINANCE(B44,""name"")
"),"#N/A")</f>
        <v>#N/A</v>
      </c>
      <c r="D44" s="306"/>
      <c r="E44" s="328"/>
      <c r="F44" s="13" t="str">
        <f t="shared" si="1"/>
        <v/>
      </c>
      <c r="G44" s="309" t="str">
        <f>IFERROR(__xludf.DUMMYFUNCTION("IF(ISBLANK(B44),"""",IFERROR(SPARKLINE(INDEX(GOOGLEFINANCE(B44,""price"",TODAY()-$G$17,TODAY()),,2),{""charttype"",""column"";""color"",""17a7e0""}),""""))"),"")</f>
        <v/>
      </c>
      <c r="I44" s="309" t="str">
        <f>IFERROR(__xludf.DUMMYFUNCTION("IFERROR(IF(B44="""","""",GOOGLEFINANCE(B44)),IFERROR(GOOGLEFINANCE(""CURRENCY:""&amp;""USD""&amp;$D$15)*IMPORTXML(""https://coinmarketcap.com/currencies/""&amp;B44,$AJ$3),IMPORTXML(""https://coinmarketcap.com/currencies/""&amp;B44,$AJ$3)))"),"")</f>
        <v/>
      </c>
      <c r="J44" s="310" t="str">
        <f t="shared" si="2"/>
        <v/>
      </c>
      <c r="K44" s="310" t="str">
        <f>IFERROR(__xludf.DUMMYFUNCTION("IFERROR(IF(ISBLANK(B44),"""",GOOGLEFINANCE(B44,""changepct"")/100),"""")"),"")</f>
        <v/>
      </c>
      <c r="L44" s="310" t="str">
        <f>IFERROR(__xludf.DUMMYFUNCTION("IF(ISBLANK(B44),"""",IFERROR((GOOGLEFINANCE(B44,""price"")/INDEX(GOOGLEFINANCE(B44,""price"",DATEVALUE(TODAY()-365) ),2,2)-1),""""))"),"")</f>
        <v/>
      </c>
      <c r="M44" s="310" t="str">
        <f>IFERROR(__xludf.DUMMYFUNCTION("IF(ISBLANK(B44),"""",IFERROR((GOOGLEFINANCE($D$13,""price"")/INDEX(GOOGLEFINANCE($D$13,""price"",DATEVALUE(TODAY()-365) ),2,2)-1),""""))"),"")</f>
        <v/>
      </c>
      <c r="N44" s="310" t="str">
        <f t="shared" si="3"/>
        <v/>
      </c>
      <c r="O44" s="311" t="str">
        <f>IFERROR(__xludf.DUMMYFUNCTION("IFERROR(IF(ISBLANK(B44),"""",GOOGLEFINANCE(B44,""low52"")),"""")"),"")</f>
        <v/>
      </c>
      <c r="P44" s="310" t="str">
        <f t="shared" si="4"/>
        <v/>
      </c>
      <c r="Q44" s="311" t="str">
        <f>IFERROR(__xludf.DUMMYFUNCTION("IFERROR(IF(ISBLANK(B44),"""",GOOGLEFINANCE(B44,""high52"")),"""")"),"")</f>
        <v/>
      </c>
      <c r="R44" s="310" t="str">
        <f t="shared" si="5"/>
        <v/>
      </c>
      <c r="S44" s="13" t="str">
        <f t="shared" si="6"/>
        <v/>
      </c>
      <c r="U44" s="13" t="str">
        <f t="shared" si="7"/>
        <v/>
      </c>
      <c r="W44" s="13" t="str">
        <f t="shared" si="8"/>
        <v/>
      </c>
      <c r="X44" s="310" t="str">
        <f t="shared" si="9"/>
        <v/>
      </c>
      <c r="Y44" s="311" t="str">
        <f>IFERROR(__xludf.DUMMYFUNCTION("IF(ISBLANK(B44),"""",IFERROR(INDEX(GOOGLEFINANCE(B44,""price"",WORKDAY(TODAY(),-$Y$17)),2,2),""""))"),"")</f>
        <v/>
      </c>
      <c r="Z44" s="310" t="str">
        <f>IFERROR(__xludf.DUMMYFUNCTION("IF(ISBLANK(B44),"""",IFERROR(I44/(INDEX(GOOGLEFINANCE(B44,""price"",WORKDAY(TODAY(),-$Z$17)),2,2))-1,""""))"),"")</f>
        <v/>
      </c>
      <c r="AA44" s="312" t="str">
        <f>IFERROR(__xludf.DUMMYFUNCTION("IF(ISBLANK(B44),"""",IFERROR(IFERROR(""$""&amp;Trunc(GOOGLEFINANCE(B44,""Marketcap"")/1000000000)&amp;"" B"",""$""&amp;Trunc(IMPORTXML(""https://coinmarketcap.com/currencies/""&amp;B44,$AJ$4)/1000000000)&amp;"" B""),""-""))"),"")</f>
        <v/>
      </c>
      <c r="AB44" s="13" t="str">
        <f>IFERROR(__xludf.DUMMYFUNCTION("IF(ISBLANK(B44),"""",IFERROR(GOOGLEFINANCE(B44,""pe""),""-""))"),"")</f>
        <v/>
      </c>
      <c r="AC44" s="313" t="str">
        <f>IFERROR(__xludf.DUMMYFUNCTION("SPARKLINE(INDEX(GOOGLEFINANCE(B44,""price"",workday(today(),-$AC$17),today()),,2),{""charttype"",""column"";""color"",""green""})
"),"#N/A")</f>
        <v>#N/A</v>
      </c>
      <c r="AD44" s="313" t="str">
        <f>IFERROR(__xludf.DUMMYFUNCTION("IF(ISBLANK(B44),"""",IFERROR(INDEX(IMPORTXML(""https://eresearch.fidelity.com/eresearch/goto/evaluate/snapshot.jhtml?symbols=""&amp;B44&amp;"""",""//div[@class='sub-heading']//span[@class='right']""),1),""Enter Manually"")
)"),"")</f>
        <v/>
      </c>
      <c r="AE44" s="314" t="str">
        <f t="shared" si="10"/>
        <v>Info</v>
      </c>
      <c r="AF44" s="329"/>
      <c r="AG44" s="320"/>
      <c r="AH44" s="13"/>
      <c r="AI44" s="13"/>
      <c r="AJ44" s="13"/>
      <c r="AK44" s="13"/>
      <c r="AL44" s="13"/>
      <c r="AM44" s="13"/>
      <c r="AN44" s="13"/>
      <c r="AO44" s="13"/>
      <c r="AP44" s="13"/>
    </row>
    <row r="45" ht="18.75" customHeight="1">
      <c r="A45" s="13"/>
      <c r="B45" s="327"/>
      <c r="C45" s="306" t="str">
        <f>IFERROR(__xludf.DUMMYFUNCTION("GOOGLEFINANCE(B45,""name"")
"),"#N/A")</f>
        <v>#N/A</v>
      </c>
      <c r="D45" s="306"/>
      <c r="E45" s="328"/>
      <c r="F45" s="13" t="str">
        <f t="shared" si="1"/>
        <v/>
      </c>
      <c r="G45" s="309" t="str">
        <f>IFERROR(__xludf.DUMMYFUNCTION("IF(ISBLANK(B45),"""",IFERROR(SPARKLINE(INDEX(GOOGLEFINANCE(B45,""price"",TODAY()-$G$17,TODAY()),,2),{""charttype"",""column"";""color"",""17a7e0""}),""""))"),"")</f>
        <v/>
      </c>
      <c r="I45" s="309" t="str">
        <f>IFERROR(__xludf.DUMMYFUNCTION("IFERROR(IF(B45="""","""",GOOGLEFINANCE(B45)),IFERROR(GOOGLEFINANCE(""CURRENCY:""&amp;""USD""&amp;$D$15)*IMPORTXML(""https://coinmarketcap.com/currencies/""&amp;B45,$AJ$3),IMPORTXML(""https://coinmarketcap.com/currencies/""&amp;B45,$AJ$3)))"),"")</f>
        <v/>
      </c>
      <c r="J45" s="310" t="str">
        <f t="shared" si="2"/>
        <v/>
      </c>
      <c r="K45" s="310" t="str">
        <f>IFERROR(__xludf.DUMMYFUNCTION("IFERROR(IF(ISBLANK(B45),"""",GOOGLEFINANCE(B45,""changepct"")/100),"""")"),"")</f>
        <v/>
      </c>
      <c r="L45" s="310" t="str">
        <f>IFERROR(__xludf.DUMMYFUNCTION("IF(ISBLANK(B45),"""",IFERROR((GOOGLEFINANCE(B45,""price"")/INDEX(GOOGLEFINANCE(B45,""price"",DATEVALUE(TODAY()-365) ),2,2)-1),""""))"),"")</f>
        <v/>
      </c>
      <c r="M45" s="310" t="str">
        <f>IFERROR(__xludf.DUMMYFUNCTION("IF(ISBLANK(B45),"""",IFERROR((GOOGLEFINANCE($D$13,""price"")/INDEX(GOOGLEFINANCE($D$13,""price"",DATEVALUE(TODAY()-365) ),2,2)-1),""""))"),"")</f>
        <v/>
      </c>
      <c r="N45" s="310" t="str">
        <f t="shared" si="3"/>
        <v/>
      </c>
      <c r="O45" s="311" t="str">
        <f>IFERROR(__xludf.DUMMYFUNCTION("IFERROR(IF(ISBLANK(B45),"""",GOOGLEFINANCE(B45,""low52"")),"""")"),"")</f>
        <v/>
      </c>
      <c r="P45" s="310" t="str">
        <f t="shared" si="4"/>
        <v/>
      </c>
      <c r="Q45" s="311" t="str">
        <f>IFERROR(__xludf.DUMMYFUNCTION("IFERROR(IF(ISBLANK(B45),"""",GOOGLEFINANCE(B45,""high52"")),"""")"),"")</f>
        <v/>
      </c>
      <c r="R45" s="310" t="str">
        <f t="shared" si="5"/>
        <v/>
      </c>
      <c r="S45" s="13" t="str">
        <f t="shared" si="6"/>
        <v/>
      </c>
      <c r="U45" s="13" t="str">
        <f t="shared" si="7"/>
        <v/>
      </c>
      <c r="W45" s="13" t="str">
        <f t="shared" si="8"/>
        <v/>
      </c>
      <c r="X45" s="310" t="str">
        <f t="shared" si="9"/>
        <v/>
      </c>
      <c r="Y45" s="311" t="str">
        <f>IFERROR(__xludf.DUMMYFUNCTION("IF(ISBLANK(B45),"""",IFERROR(INDEX(GOOGLEFINANCE(B45,""price"",WORKDAY(TODAY(),-$Y$17)),2,2),""""))"),"")</f>
        <v/>
      </c>
      <c r="Z45" s="310" t="str">
        <f>IFERROR(__xludf.DUMMYFUNCTION("IF(ISBLANK(B45),"""",IFERROR(I45/(INDEX(GOOGLEFINANCE(B45,""price"",WORKDAY(TODAY(),-$Z$17)),2,2))-1,""""))"),"")</f>
        <v/>
      </c>
      <c r="AA45" s="312" t="str">
        <f>IFERROR(__xludf.DUMMYFUNCTION("IF(ISBLANK(B45),"""",IFERROR(IFERROR(""$""&amp;Trunc(GOOGLEFINANCE(B45,""Marketcap"")/1000000000)&amp;"" B"",""$""&amp;Trunc(IMPORTXML(""https://coinmarketcap.com/currencies/""&amp;B45,$AJ$4)/1000000000)&amp;"" B""),""-""))"),"")</f>
        <v/>
      </c>
      <c r="AB45" s="13" t="str">
        <f>IFERROR(__xludf.DUMMYFUNCTION("IF(ISBLANK(B45),"""",IFERROR(GOOGLEFINANCE(B45,""pe""),""-""))"),"")</f>
        <v/>
      </c>
      <c r="AC45" s="313" t="str">
        <f>IFERROR(__xludf.DUMMYFUNCTION("SPARKLINE(INDEX(GOOGLEFINANCE(B45,""price"",workday(today(),-$AC$17),today()),,2),{""charttype"",""column"";""color"",""green""})
"),"#N/A")</f>
        <v>#N/A</v>
      </c>
      <c r="AD45" s="313" t="str">
        <f>IFERROR(__xludf.DUMMYFUNCTION("IF(ISBLANK(B45),"""",IFERROR(INDEX(IMPORTXML(""https://eresearch.fidelity.com/eresearch/goto/evaluate/snapshot.jhtml?symbols=""&amp;B45&amp;"""",""//div[@class='sub-heading']//span[@class='right']""),1),""Enter Manually"")
)"),"")</f>
        <v/>
      </c>
      <c r="AE45" s="314" t="str">
        <f t="shared" si="10"/>
        <v>Info</v>
      </c>
      <c r="AF45" s="329"/>
      <c r="AG45" s="320"/>
      <c r="AH45" s="13"/>
      <c r="AI45" s="13"/>
      <c r="AJ45" s="13"/>
      <c r="AK45" s="13"/>
      <c r="AL45" s="13"/>
      <c r="AM45" s="13"/>
      <c r="AN45" s="13"/>
      <c r="AO45" s="13"/>
      <c r="AP45" s="13"/>
    </row>
    <row r="46" ht="18.75" customHeight="1">
      <c r="A46" s="13"/>
      <c r="B46" s="327"/>
      <c r="C46" s="306" t="str">
        <f>IFERROR(__xludf.DUMMYFUNCTION("GOOGLEFINANCE(B46,""name"")
"),"#N/A")</f>
        <v>#N/A</v>
      </c>
      <c r="D46" s="306"/>
      <c r="E46" s="328"/>
      <c r="F46" s="13" t="str">
        <f t="shared" si="1"/>
        <v/>
      </c>
      <c r="G46" s="309" t="str">
        <f>IFERROR(__xludf.DUMMYFUNCTION("IF(ISBLANK(B46),"""",IFERROR(SPARKLINE(INDEX(GOOGLEFINANCE(B46,""price"",TODAY()-$G$17,TODAY()),,2),{""charttype"",""column"";""color"",""17a7e0""}),""""))"),"")</f>
        <v/>
      </c>
      <c r="I46" s="309" t="str">
        <f>IFERROR(__xludf.DUMMYFUNCTION("IFERROR(IF(B46="""","""",GOOGLEFINANCE(B46)),IFERROR(GOOGLEFINANCE(""CURRENCY:""&amp;""USD""&amp;$D$15)*IMPORTXML(""https://coinmarketcap.com/currencies/""&amp;B46,$AJ$3),IMPORTXML(""https://coinmarketcap.com/currencies/""&amp;B46,$AJ$3)))"),"")</f>
        <v/>
      </c>
      <c r="J46" s="310" t="str">
        <f t="shared" si="2"/>
        <v/>
      </c>
      <c r="K46" s="310" t="str">
        <f>IFERROR(__xludf.DUMMYFUNCTION("IFERROR(IF(ISBLANK(B46),"""",GOOGLEFINANCE(B46,""changepct"")/100),"""")"),"")</f>
        <v/>
      </c>
      <c r="L46" s="310" t="str">
        <f>IFERROR(__xludf.DUMMYFUNCTION("IF(ISBLANK(B46),"""",IFERROR((GOOGLEFINANCE(B46,""price"")/INDEX(GOOGLEFINANCE(B46,""price"",DATEVALUE(TODAY()-365) ),2,2)-1),""""))"),"")</f>
        <v/>
      </c>
      <c r="M46" s="310" t="str">
        <f>IFERROR(__xludf.DUMMYFUNCTION("IF(ISBLANK(B46),"""",IFERROR((GOOGLEFINANCE($D$13,""price"")/INDEX(GOOGLEFINANCE($D$13,""price"",DATEVALUE(TODAY()-365) ),2,2)-1),""""))"),"")</f>
        <v/>
      </c>
      <c r="N46" s="310" t="str">
        <f t="shared" si="3"/>
        <v/>
      </c>
      <c r="O46" s="311" t="str">
        <f>IFERROR(__xludf.DUMMYFUNCTION("IFERROR(IF(ISBLANK(B46),"""",GOOGLEFINANCE(B46,""low52"")),"""")"),"")</f>
        <v/>
      </c>
      <c r="P46" s="310" t="str">
        <f t="shared" si="4"/>
        <v/>
      </c>
      <c r="Q46" s="311" t="str">
        <f>IFERROR(__xludf.DUMMYFUNCTION("IFERROR(IF(ISBLANK(B46),"""",GOOGLEFINANCE(B46,""high52"")),"""")"),"")</f>
        <v/>
      </c>
      <c r="R46" s="310" t="str">
        <f t="shared" si="5"/>
        <v/>
      </c>
      <c r="S46" s="13" t="str">
        <f t="shared" si="6"/>
        <v/>
      </c>
      <c r="U46" s="13" t="str">
        <f t="shared" si="7"/>
        <v/>
      </c>
      <c r="W46" s="13" t="str">
        <f t="shared" si="8"/>
        <v/>
      </c>
      <c r="X46" s="310" t="str">
        <f t="shared" si="9"/>
        <v/>
      </c>
      <c r="Y46" s="311" t="str">
        <f>IFERROR(__xludf.DUMMYFUNCTION("IF(ISBLANK(B46),"""",IFERROR(INDEX(GOOGLEFINANCE(B46,""price"",WORKDAY(TODAY(),-$Y$17)),2,2),""""))"),"")</f>
        <v/>
      </c>
      <c r="Z46" s="310" t="str">
        <f>IFERROR(__xludf.DUMMYFUNCTION("IF(ISBLANK(B46),"""",IFERROR(I46/(INDEX(GOOGLEFINANCE(B46,""price"",WORKDAY(TODAY(),-$Z$17)),2,2))-1,""""))"),"")</f>
        <v/>
      </c>
      <c r="AA46" s="312" t="str">
        <f>IFERROR(__xludf.DUMMYFUNCTION("IF(ISBLANK(B46),"""",IFERROR(IFERROR(""$""&amp;Trunc(GOOGLEFINANCE(B46,""Marketcap"")/1000000000)&amp;"" B"",""$""&amp;Trunc(IMPORTXML(""https://coinmarketcap.com/currencies/""&amp;B46,$AJ$4)/1000000000)&amp;"" B""),""-""))"),"")</f>
        <v/>
      </c>
      <c r="AB46" s="13" t="str">
        <f>IFERROR(__xludf.DUMMYFUNCTION("IF(ISBLANK(B46),"""",IFERROR(GOOGLEFINANCE(B46,""pe""),""-""))"),"")</f>
        <v/>
      </c>
      <c r="AC46" s="313" t="str">
        <f>IFERROR(__xludf.DUMMYFUNCTION("SPARKLINE(INDEX(GOOGLEFINANCE(B46,""price"",workday(today(),-$AC$17),today()),,2),{""charttype"",""column"";""color"",""green""})
"),"#N/A")</f>
        <v>#N/A</v>
      </c>
      <c r="AD46" s="313" t="str">
        <f>IFERROR(__xludf.DUMMYFUNCTION("IF(ISBLANK(B46),"""",IFERROR(INDEX(IMPORTXML(""https://eresearch.fidelity.com/eresearch/goto/evaluate/snapshot.jhtml?symbols=""&amp;B46&amp;"""",""//div[@class='sub-heading']//span[@class='right']""),1),""Enter Manually"")
)"),"")</f>
        <v/>
      </c>
      <c r="AE46" s="314" t="str">
        <f t="shared" si="10"/>
        <v>Info</v>
      </c>
      <c r="AF46" s="329"/>
      <c r="AG46" s="320"/>
      <c r="AH46" s="13"/>
      <c r="AI46" s="13"/>
      <c r="AJ46" s="13"/>
      <c r="AK46" s="13"/>
      <c r="AL46" s="13"/>
      <c r="AM46" s="13"/>
      <c r="AN46" s="13"/>
      <c r="AO46" s="13"/>
      <c r="AP46" s="13"/>
    </row>
    <row r="47" ht="18.75" customHeight="1">
      <c r="A47" s="13"/>
      <c r="B47" s="327"/>
      <c r="C47" s="306" t="str">
        <f>IFERROR(__xludf.DUMMYFUNCTION("GOOGLEFINANCE(B47,""name"")
"),"#N/A")</f>
        <v>#N/A</v>
      </c>
      <c r="D47" s="306"/>
      <c r="E47" s="328"/>
      <c r="F47" s="13" t="str">
        <f t="shared" si="1"/>
        <v/>
      </c>
      <c r="G47" s="309" t="str">
        <f>IFERROR(__xludf.DUMMYFUNCTION("IF(ISBLANK(B47),"""",IFERROR(SPARKLINE(INDEX(GOOGLEFINANCE(B47,""price"",TODAY()-$G$17,TODAY()),,2),{""charttype"",""column"";""color"",""17a7e0""}),""""))"),"")</f>
        <v/>
      </c>
      <c r="I47" s="309" t="str">
        <f>IFERROR(__xludf.DUMMYFUNCTION("IFERROR(IF(B47="""","""",GOOGLEFINANCE(B47)),IFERROR(GOOGLEFINANCE(""CURRENCY:""&amp;""USD""&amp;$D$15)*IMPORTXML(""https://coinmarketcap.com/currencies/""&amp;B47,$AJ$3),IMPORTXML(""https://coinmarketcap.com/currencies/""&amp;B47,$AJ$3)))"),"")</f>
        <v/>
      </c>
      <c r="J47" s="310" t="str">
        <f t="shared" si="2"/>
        <v/>
      </c>
      <c r="K47" s="310" t="str">
        <f>IFERROR(__xludf.DUMMYFUNCTION("IFERROR(IF(ISBLANK(B47),"""",GOOGLEFINANCE(B47,""changepct"")/100),"""")"),"")</f>
        <v/>
      </c>
      <c r="L47" s="310" t="str">
        <f>IFERROR(__xludf.DUMMYFUNCTION("IF(ISBLANK(B47),"""",IFERROR((GOOGLEFINANCE(B47,""price"")/INDEX(GOOGLEFINANCE(B47,""price"",DATEVALUE(TODAY()-365) ),2,2)-1),""""))"),"")</f>
        <v/>
      </c>
      <c r="M47" s="310" t="str">
        <f>IFERROR(__xludf.DUMMYFUNCTION("IF(ISBLANK(B47),"""",IFERROR((GOOGLEFINANCE($D$13,""price"")/INDEX(GOOGLEFINANCE($D$13,""price"",DATEVALUE(TODAY()-365) ),2,2)-1),""""))"),"")</f>
        <v/>
      </c>
      <c r="N47" s="310" t="str">
        <f t="shared" si="3"/>
        <v/>
      </c>
      <c r="O47" s="311" t="str">
        <f>IFERROR(__xludf.DUMMYFUNCTION("IFERROR(IF(ISBLANK(B47),"""",GOOGLEFINANCE(B47,""low52"")),"""")"),"")</f>
        <v/>
      </c>
      <c r="P47" s="310" t="str">
        <f t="shared" si="4"/>
        <v/>
      </c>
      <c r="Q47" s="311" t="str">
        <f>IFERROR(__xludf.DUMMYFUNCTION("IFERROR(IF(ISBLANK(B47),"""",GOOGLEFINANCE(B47,""high52"")),"""")"),"")</f>
        <v/>
      </c>
      <c r="R47" s="310" t="str">
        <f t="shared" si="5"/>
        <v/>
      </c>
      <c r="S47" s="13" t="str">
        <f t="shared" si="6"/>
        <v/>
      </c>
      <c r="U47" s="13" t="str">
        <f t="shared" si="7"/>
        <v/>
      </c>
      <c r="W47" s="13" t="str">
        <f t="shared" si="8"/>
        <v/>
      </c>
      <c r="X47" s="310" t="str">
        <f t="shared" si="9"/>
        <v/>
      </c>
      <c r="Y47" s="311" t="str">
        <f>IFERROR(__xludf.DUMMYFUNCTION("IF(ISBLANK(B47),"""",IFERROR(INDEX(GOOGLEFINANCE(B47,""price"",WORKDAY(TODAY(),-$Y$17)),2,2),""""))"),"")</f>
        <v/>
      </c>
      <c r="Z47" s="310" t="str">
        <f>IFERROR(__xludf.DUMMYFUNCTION("IF(ISBLANK(B47),"""",IFERROR(I47/(INDEX(GOOGLEFINANCE(B47,""price"",WORKDAY(TODAY(),-$Z$17)),2,2))-1,""""))"),"")</f>
        <v/>
      </c>
      <c r="AA47" s="312" t="str">
        <f>IFERROR(__xludf.DUMMYFUNCTION("IF(ISBLANK(B47),"""",IFERROR(IFERROR(""$""&amp;Trunc(GOOGLEFINANCE(B47,""Marketcap"")/1000000000)&amp;"" B"",""$""&amp;Trunc(IMPORTXML(""https://coinmarketcap.com/currencies/""&amp;B47,$AJ$4)/1000000000)&amp;"" B""),""-""))"),"")</f>
        <v/>
      </c>
      <c r="AB47" s="13" t="str">
        <f>IFERROR(__xludf.DUMMYFUNCTION("IF(ISBLANK(B47),"""",IFERROR(GOOGLEFINANCE(B47,""pe""),""-""))"),"")</f>
        <v/>
      </c>
      <c r="AC47" s="313" t="str">
        <f>IFERROR(__xludf.DUMMYFUNCTION("SPARKLINE(INDEX(GOOGLEFINANCE(B47,""price"",workday(today(),-$AC$17),today()),,2),{""charttype"",""column"";""color"",""green""})
"),"#N/A")</f>
        <v>#N/A</v>
      </c>
      <c r="AD47" s="313" t="str">
        <f>IFERROR(__xludf.DUMMYFUNCTION("IF(ISBLANK(B47),"""",IFERROR(INDEX(IMPORTXML(""https://eresearch.fidelity.com/eresearch/goto/evaluate/snapshot.jhtml?symbols=""&amp;B47&amp;"""",""//div[@class='sub-heading']//span[@class='right']""),1),""Enter Manually"")
)"),"")</f>
        <v/>
      </c>
      <c r="AE47" s="314" t="str">
        <f t="shared" si="10"/>
        <v>Info</v>
      </c>
      <c r="AF47" s="329"/>
      <c r="AG47" s="320"/>
      <c r="AH47" s="13"/>
      <c r="AI47" s="13"/>
      <c r="AJ47" s="13"/>
      <c r="AK47" s="13"/>
      <c r="AL47" s="13"/>
      <c r="AM47" s="13"/>
      <c r="AN47" s="13"/>
      <c r="AO47" s="13"/>
      <c r="AP47" s="13"/>
    </row>
    <row r="48" ht="18.75" customHeight="1">
      <c r="A48" s="13"/>
      <c r="B48" s="327"/>
      <c r="C48" s="306" t="str">
        <f>IFERROR(__xludf.DUMMYFUNCTION("GOOGLEFINANCE(B48,""name"")
"),"#N/A")</f>
        <v>#N/A</v>
      </c>
      <c r="D48" s="306"/>
      <c r="E48" s="328"/>
      <c r="F48" s="13" t="str">
        <f t="shared" si="1"/>
        <v/>
      </c>
      <c r="G48" s="309" t="str">
        <f>IFERROR(__xludf.DUMMYFUNCTION("IF(ISBLANK(B48),"""",IFERROR(SPARKLINE(INDEX(GOOGLEFINANCE(B48,""price"",TODAY()-$G$17,TODAY()),,2),{""charttype"",""column"";""color"",""17a7e0""}),""""))"),"")</f>
        <v/>
      </c>
      <c r="I48" s="309" t="str">
        <f>IFERROR(__xludf.DUMMYFUNCTION("IFERROR(IF(B48="""","""",GOOGLEFINANCE(B48)),IFERROR(GOOGLEFINANCE(""CURRENCY:""&amp;""USD""&amp;$D$15)*IMPORTXML(""https://coinmarketcap.com/currencies/""&amp;B48,$AJ$3),IMPORTXML(""https://coinmarketcap.com/currencies/""&amp;B48,$AJ$3)))"),"")</f>
        <v/>
      </c>
      <c r="J48" s="310" t="str">
        <f t="shared" si="2"/>
        <v/>
      </c>
      <c r="K48" s="310" t="str">
        <f>IFERROR(__xludf.DUMMYFUNCTION("IFERROR(IF(ISBLANK(B48),"""",GOOGLEFINANCE(B48,""changepct"")/100),"""")"),"")</f>
        <v/>
      </c>
      <c r="L48" s="310" t="str">
        <f>IFERROR(__xludf.DUMMYFUNCTION("IF(ISBLANK(B48),"""",IFERROR((GOOGLEFINANCE(B48,""price"")/INDEX(GOOGLEFINANCE(B48,""price"",DATEVALUE(TODAY()-365) ),2,2)-1),""""))"),"")</f>
        <v/>
      </c>
      <c r="M48" s="310" t="str">
        <f>IFERROR(__xludf.DUMMYFUNCTION("IF(ISBLANK(B48),"""",IFERROR((GOOGLEFINANCE($D$13,""price"")/INDEX(GOOGLEFINANCE($D$13,""price"",DATEVALUE(TODAY()-365) ),2,2)-1),""""))"),"")</f>
        <v/>
      </c>
      <c r="N48" s="310" t="str">
        <f t="shared" si="3"/>
        <v/>
      </c>
      <c r="O48" s="311" t="str">
        <f>IFERROR(__xludf.DUMMYFUNCTION("IFERROR(IF(ISBLANK(B48),"""",GOOGLEFINANCE(B48,""low52"")),"""")"),"")</f>
        <v/>
      </c>
      <c r="P48" s="310" t="str">
        <f t="shared" si="4"/>
        <v/>
      </c>
      <c r="Q48" s="311" t="str">
        <f>IFERROR(__xludf.DUMMYFUNCTION("IFERROR(IF(ISBLANK(B48),"""",GOOGLEFINANCE(B48,""high52"")),"""")"),"")</f>
        <v/>
      </c>
      <c r="R48" s="310" t="str">
        <f t="shared" si="5"/>
        <v/>
      </c>
      <c r="S48" s="13" t="str">
        <f t="shared" si="6"/>
        <v/>
      </c>
      <c r="U48" s="13" t="str">
        <f t="shared" si="7"/>
        <v/>
      </c>
      <c r="W48" s="13" t="str">
        <f t="shared" si="8"/>
        <v/>
      </c>
      <c r="X48" s="310" t="str">
        <f t="shared" si="9"/>
        <v/>
      </c>
      <c r="Y48" s="311" t="str">
        <f>IFERROR(__xludf.DUMMYFUNCTION("IF(ISBLANK(B48),"""",IFERROR(INDEX(GOOGLEFINANCE(B48,""price"",WORKDAY(TODAY(),-$Y$17)),2,2),""""))"),"")</f>
        <v/>
      </c>
      <c r="Z48" s="310" t="str">
        <f>IFERROR(__xludf.DUMMYFUNCTION("IF(ISBLANK(B48),"""",IFERROR(I48/(INDEX(GOOGLEFINANCE(B48,""price"",WORKDAY(TODAY(),-$Z$17)),2,2))-1,""""))"),"")</f>
        <v/>
      </c>
      <c r="AA48" s="312" t="str">
        <f>IFERROR(__xludf.DUMMYFUNCTION("IF(ISBLANK(B48),"""",IFERROR(IFERROR(""$""&amp;Trunc(GOOGLEFINANCE(B48,""Marketcap"")/1000000000)&amp;"" B"",""$""&amp;Trunc(IMPORTXML(""https://coinmarketcap.com/currencies/""&amp;B48,$AJ$4)/1000000000)&amp;"" B""),""-""))"),"")</f>
        <v/>
      </c>
      <c r="AB48" s="13" t="str">
        <f>IFERROR(__xludf.DUMMYFUNCTION("IF(ISBLANK(B48),"""",IFERROR(GOOGLEFINANCE(B48,""pe""),""-""))"),"")</f>
        <v/>
      </c>
      <c r="AC48" s="313" t="str">
        <f>IFERROR(__xludf.DUMMYFUNCTION("SPARKLINE(INDEX(GOOGLEFINANCE(B48,""price"",workday(today(),-$AC$17),today()),,2),{""charttype"",""column"";""color"",""green""})
"),"#N/A")</f>
        <v>#N/A</v>
      </c>
      <c r="AD48" s="313" t="str">
        <f>IFERROR(__xludf.DUMMYFUNCTION("IF(ISBLANK(B48),"""",IFERROR(INDEX(IMPORTXML(""https://eresearch.fidelity.com/eresearch/goto/evaluate/snapshot.jhtml?symbols=""&amp;B48&amp;"""",""//div[@class='sub-heading']//span[@class='right']""),1),""Enter Manually"")
)"),"")</f>
        <v/>
      </c>
      <c r="AE48" s="314" t="str">
        <f t="shared" si="10"/>
        <v>Info</v>
      </c>
      <c r="AF48" s="329"/>
      <c r="AG48" s="320"/>
      <c r="AH48" s="13"/>
      <c r="AI48" s="13"/>
      <c r="AJ48" s="13"/>
      <c r="AK48" s="13"/>
      <c r="AL48" s="13"/>
      <c r="AM48" s="13"/>
      <c r="AN48" s="13"/>
      <c r="AO48" s="13"/>
      <c r="AP48" s="13"/>
    </row>
    <row r="49" ht="18.75" customHeight="1">
      <c r="A49" s="13"/>
      <c r="B49" s="327"/>
      <c r="C49" s="306" t="str">
        <f>IFERROR(__xludf.DUMMYFUNCTION("GOOGLEFINANCE(B49,""name"")
"),"#N/A")</f>
        <v>#N/A</v>
      </c>
      <c r="D49" s="306"/>
      <c r="E49" s="328"/>
      <c r="F49" s="13" t="str">
        <f t="shared" si="1"/>
        <v/>
      </c>
      <c r="G49" s="309" t="str">
        <f>IFERROR(__xludf.DUMMYFUNCTION("IF(ISBLANK(B49),"""",IFERROR(SPARKLINE(INDEX(GOOGLEFINANCE(B49,""price"",TODAY()-$G$17,TODAY()),,2),{""charttype"",""column"";""color"",""17a7e0""}),""""))"),"")</f>
        <v/>
      </c>
      <c r="I49" s="309" t="str">
        <f>IFERROR(__xludf.DUMMYFUNCTION("IFERROR(IF(B49="""","""",GOOGLEFINANCE(B49)),IFERROR(GOOGLEFINANCE(""CURRENCY:""&amp;""USD""&amp;$D$15)*IMPORTXML(""https://coinmarketcap.com/currencies/""&amp;B49,$AJ$3),IMPORTXML(""https://coinmarketcap.com/currencies/""&amp;B49,$AJ$3)))"),"")</f>
        <v/>
      </c>
      <c r="J49" s="310" t="str">
        <f t="shared" si="2"/>
        <v/>
      </c>
      <c r="K49" s="310" t="str">
        <f>IFERROR(__xludf.DUMMYFUNCTION("IFERROR(IF(ISBLANK(B49),"""",GOOGLEFINANCE(B49,""changepct"")/100),"""")"),"")</f>
        <v/>
      </c>
      <c r="L49" s="310" t="str">
        <f>IFERROR(__xludf.DUMMYFUNCTION("IF(ISBLANK(B49),"""",IFERROR((GOOGLEFINANCE(B49,""price"")/INDEX(GOOGLEFINANCE(B49,""price"",DATEVALUE(TODAY()-365) ),2,2)-1),""""))"),"")</f>
        <v/>
      </c>
      <c r="M49" s="310" t="str">
        <f>IFERROR(__xludf.DUMMYFUNCTION("IF(ISBLANK(B49),"""",IFERROR((GOOGLEFINANCE($D$13,""price"")/INDEX(GOOGLEFINANCE($D$13,""price"",DATEVALUE(TODAY()-365) ),2,2)-1),""""))"),"")</f>
        <v/>
      </c>
      <c r="N49" s="310" t="str">
        <f t="shared" si="3"/>
        <v/>
      </c>
      <c r="O49" s="311" t="str">
        <f>IFERROR(__xludf.DUMMYFUNCTION("IFERROR(IF(ISBLANK(B49),"""",GOOGLEFINANCE(B49,""low52"")),"""")"),"")</f>
        <v/>
      </c>
      <c r="P49" s="310" t="str">
        <f t="shared" si="4"/>
        <v/>
      </c>
      <c r="Q49" s="311" t="str">
        <f>IFERROR(__xludf.DUMMYFUNCTION("IFERROR(IF(ISBLANK(B49),"""",GOOGLEFINANCE(B49,""high52"")),"""")"),"")</f>
        <v/>
      </c>
      <c r="R49" s="310" t="str">
        <f t="shared" si="5"/>
        <v/>
      </c>
      <c r="S49" s="13" t="str">
        <f t="shared" si="6"/>
        <v/>
      </c>
      <c r="U49" s="13" t="str">
        <f t="shared" si="7"/>
        <v/>
      </c>
      <c r="W49" s="13" t="str">
        <f t="shared" si="8"/>
        <v/>
      </c>
      <c r="X49" s="310" t="str">
        <f t="shared" si="9"/>
        <v/>
      </c>
      <c r="Y49" s="311" t="str">
        <f>IFERROR(__xludf.DUMMYFUNCTION("IF(ISBLANK(B49),"""",IFERROR(INDEX(GOOGLEFINANCE(B49,""price"",WORKDAY(TODAY(),-$Y$17)),2,2),""""))"),"")</f>
        <v/>
      </c>
      <c r="Z49" s="310" t="str">
        <f>IFERROR(__xludf.DUMMYFUNCTION("IF(ISBLANK(B49),"""",IFERROR(I49/(INDEX(GOOGLEFINANCE(B49,""price"",WORKDAY(TODAY(),-$Z$17)),2,2))-1,""""))"),"")</f>
        <v/>
      </c>
      <c r="AA49" s="312" t="str">
        <f>IFERROR(__xludf.DUMMYFUNCTION("IF(ISBLANK(B49),"""",IFERROR(IFERROR(""$""&amp;Trunc(GOOGLEFINANCE(B49,""Marketcap"")/1000000000)&amp;"" B"",""$""&amp;Trunc(IMPORTXML(""https://coinmarketcap.com/currencies/""&amp;B49,$AJ$4)/1000000000)&amp;"" B""),""-""))"),"")</f>
        <v/>
      </c>
      <c r="AB49" s="13" t="str">
        <f>IFERROR(__xludf.DUMMYFUNCTION("IF(ISBLANK(B49),"""",IFERROR(GOOGLEFINANCE(B49,""pe""),""-""))"),"")</f>
        <v/>
      </c>
      <c r="AC49" s="313" t="str">
        <f>IFERROR(__xludf.DUMMYFUNCTION("SPARKLINE(INDEX(GOOGLEFINANCE(B49,""price"",workday(today(),-$AC$17),today()),,2),{""charttype"",""column"";""color"",""green""})
"),"#N/A")</f>
        <v>#N/A</v>
      </c>
      <c r="AD49" s="313" t="str">
        <f>IFERROR(__xludf.DUMMYFUNCTION("IF(ISBLANK(B49),"""",IFERROR(INDEX(IMPORTXML(""https://eresearch.fidelity.com/eresearch/goto/evaluate/snapshot.jhtml?symbols=""&amp;B49&amp;"""",""//div[@class='sub-heading']//span[@class='right']""),1),""Enter Manually"")
)"),"")</f>
        <v/>
      </c>
      <c r="AE49" s="314" t="str">
        <f t="shared" si="10"/>
        <v>Info</v>
      </c>
      <c r="AF49" s="329"/>
      <c r="AG49" s="320"/>
      <c r="AH49" s="13"/>
      <c r="AI49" s="13"/>
      <c r="AJ49" s="13"/>
      <c r="AK49" s="13"/>
      <c r="AL49" s="13"/>
      <c r="AM49" s="13"/>
      <c r="AN49" s="13"/>
      <c r="AO49" s="13"/>
      <c r="AP49" s="13"/>
    </row>
    <row r="50" ht="18.75" customHeight="1">
      <c r="A50" s="13"/>
      <c r="B50" s="327"/>
      <c r="C50" s="306" t="str">
        <f>IFERROR(__xludf.DUMMYFUNCTION("GOOGLEFINANCE(B50,""name"")
"),"#N/A")</f>
        <v>#N/A</v>
      </c>
      <c r="D50" s="306"/>
      <c r="E50" s="328"/>
      <c r="F50" s="13" t="str">
        <f t="shared" si="1"/>
        <v/>
      </c>
      <c r="G50" s="309" t="str">
        <f>IFERROR(__xludf.DUMMYFUNCTION("IF(ISBLANK(B50),"""",IFERROR(SPARKLINE(INDEX(GOOGLEFINANCE(B50,""price"",TODAY()-$G$17,TODAY()),,2),{""charttype"",""column"";""color"",""17a7e0""}),""""))"),"")</f>
        <v/>
      </c>
      <c r="I50" s="309" t="str">
        <f>IFERROR(__xludf.DUMMYFUNCTION("IFERROR(IF(B50="""","""",GOOGLEFINANCE(B50)),IFERROR(GOOGLEFINANCE(""CURRENCY:""&amp;""USD""&amp;$D$15)*IMPORTXML(""https://coinmarketcap.com/currencies/""&amp;B50,$AJ$3),IMPORTXML(""https://coinmarketcap.com/currencies/""&amp;B50,$AJ$3)))"),"")</f>
        <v/>
      </c>
      <c r="J50" s="310" t="str">
        <f t="shared" si="2"/>
        <v/>
      </c>
      <c r="K50" s="310" t="str">
        <f>IFERROR(__xludf.DUMMYFUNCTION("IFERROR(IF(ISBLANK(B50),"""",GOOGLEFINANCE(B50,""changepct"")/100),"""")"),"")</f>
        <v/>
      </c>
      <c r="L50" s="310" t="str">
        <f>IFERROR(__xludf.DUMMYFUNCTION("IF(ISBLANK(B50),"""",IFERROR((GOOGLEFINANCE(B50,""price"")/INDEX(GOOGLEFINANCE(B50,""price"",DATEVALUE(TODAY()-365) ),2,2)-1),""""))"),"")</f>
        <v/>
      </c>
      <c r="M50" s="310" t="str">
        <f>IFERROR(__xludf.DUMMYFUNCTION("IF(ISBLANK(B50),"""",IFERROR((GOOGLEFINANCE($D$13,""price"")/INDEX(GOOGLEFINANCE($D$13,""price"",DATEVALUE(TODAY()-365) ),2,2)-1),""""))"),"")</f>
        <v/>
      </c>
      <c r="N50" s="310" t="str">
        <f t="shared" si="3"/>
        <v/>
      </c>
      <c r="O50" s="311" t="str">
        <f>IFERROR(__xludf.DUMMYFUNCTION("IFERROR(IF(ISBLANK(B50),"""",GOOGLEFINANCE(B50,""low52"")),"""")"),"")</f>
        <v/>
      </c>
      <c r="P50" s="310" t="str">
        <f t="shared" si="4"/>
        <v/>
      </c>
      <c r="Q50" s="311" t="str">
        <f>IFERROR(__xludf.DUMMYFUNCTION("IFERROR(IF(ISBLANK(B50),"""",GOOGLEFINANCE(B50,""high52"")),"""")"),"")</f>
        <v/>
      </c>
      <c r="R50" s="310" t="str">
        <f t="shared" si="5"/>
        <v/>
      </c>
      <c r="S50" s="13" t="str">
        <f t="shared" si="6"/>
        <v/>
      </c>
      <c r="U50" s="13" t="str">
        <f t="shared" si="7"/>
        <v/>
      </c>
      <c r="W50" s="13" t="str">
        <f t="shared" si="8"/>
        <v/>
      </c>
      <c r="X50" s="310" t="str">
        <f t="shared" si="9"/>
        <v/>
      </c>
      <c r="Y50" s="311" t="str">
        <f>IFERROR(__xludf.DUMMYFUNCTION("IF(ISBLANK(B50),"""",IFERROR(INDEX(GOOGLEFINANCE(B50,""price"",WORKDAY(TODAY(),-$Y$17)),2,2),""""))"),"")</f>
        <v/>
      </c>
      <c r="Z50" s="310" t="str">
        <f>IFERROR(__xludf.DUMMYFUNCTION("IF(ISBLANK(B50),"""",IFERROR(I50/(INDEX(GOOGLEFINANCE(B50,""price"",WORKDAY(TODAY(),-$Z$17)),2,2))-1,""""))"),"")</f>
        <v/>
      </c>
      <c r="AA50" s="312" t="str">
        <f>IFERROR(__xludf.DUMMYFUNCTION("IF(ISBLANK(B50),"""",IFERROR(IFERROR(""$""&amp;Trunc(GOOGLEFINANCE(B50,""Marketcap"")/1000000000)&amp;"" B"",""$""&amp;Trunc(IMPORTXML(""https://coinmarketcap.com/currencies/""&amp;B50,$AJ$4)/1000000000)&amp;"" B""),""-""))"),"")</f>
        <v/>
      </c>
      <c r="AB50" s="13" t="str">
        <f>IFERROR(__xludf.DUMMYFUNCTION("IF(ISBLANK(B50),"""",IFERROR(GOOGLEFINANCE(B50,""pe""),""-""))"),"")</f>
        <v/>
      </c>
      <c r="AC50" s="313" t="str">
        <f>IFERROR(__xludf.DUMMYFUNCTION("SPARKLINE(INDEX(GOOGLEFINANCE(B50,""price"",workday(today(),-$AC$17),today()),,2),{""charttype"",""column"";""color"",""green""})
"),"#N/A")</f>
        <v>#N/A</v>
      </c>
      <c r="AD50" s="313" t="str">
        <f>IFERROR(__xludf.DUMMYFUNCTION("IF(ISBLANK(B50),"""",IFERROR(INDEX(IMPORTXML(""https://eresearch.fidelity.com/eresearch/goto/evaluate/snapshot.jhtml?symbols=""&amp;B50&amp;"""",""//div[@class='sub-heading']//span[@class='right']""),1),""Enter Manually"")
)"),"")</f>
        <v/>
      </c>
      <c r="AE50" s="314" t="str">
        <f t="shared" si="10"/>
        <v>Info</v>
      </c>
      <c r="AF50" s="329"/>
      <c r="AG50" s="320"/>
      <c r="AH50" s="13"/>
      <c r="AI50" s="13"/>
      <c r="AJ50" s="13"/>
      <c r="AK50" s="13"/>
      <c r="AL50" s="13"/>
      <c r="AM50" s="13"/>
      <c r="AN50" s="13"/>
      <c r="AO50" s="13"/>
      <c r="AP50" s="13"/>
    </row>
    <row r="51" ht="18.75" customHeight="1">
      <c r="A51" s="13"/>
      <c r="B51" s="327"/>
      <c r="C51" s="306" t="str">
        <f>IFERROR(__xludf.DUMMYFUNCTION("GOOGLEFINANCE(B51,""name"")
"),"#N/A")</f>
        <v>#N/A</v>
      </c>
      <c r="D51" s="306"/>
      <c r="E51" s="328"/>
      <c r="F51" s="13" t="str">
        <f t="shared" si="1"/>
        <v/>
      </c>
      <c r="G51" s="309" t="str">
        <f>IFERROR(__xludf.DUMMYFUNCTION("IF(ISBLANK(B51),"""",IFERROR(SPARKLINE(INDEX(GOOGLEFINANCE(B51,""price"",TODAY()-$G$17,TODAY()),,2),{""charttype"",""column"";""color"",""17a7e0""}),""""))"),"")</f>
        <v/>
      </c>
      <c r="I51" s="309" t="str">
        <f>IFERROR(__xludf.DUMMYFUNCTION("IFERROR(IF(B51="""","""",GOOGLEFINANCE(B51)),IFERROR(GOOGLEFINANCE(""CURRENCY:""&amp;""USD""&amp;$D$15)*IMPORTXML(""https://coinmarketcap.com/currencies/""&amp;B51,$AJ$3),IMPORTXML(""https://coinmarketcap.com/currencies/""&amp;B51,$AJ$3)))"),"")</f>
        <v/>
      </c>
      <c r="J51" s="310" t="str">
        <f t="shared" si="2"/>
        <v/>
      </c>
      <c r="K51" s="310" t="str">
        <f>IFERROR(__xludf.DUMMYFUNCTION("IFERROR(IF(ISBLANK(B51),"""",GOOGLEFINANCE(B51,""changepct"")/100),"""")"),"")</f>
        <v/>
      </c>
      <c r="L51" s="310" t="str">
        <f>IFERROR(__xludf.DUMMYFUNCTION("IF(ISBLANK(B51),"""",IFERROR((GOOGLEFINANCE(B51,""price"")/INDEX(GOOGLEFINANCE(B51,""price"",DATEVALUE(TODAY()-365) ),2,2)-1),""""))"),"")</f>
        <v/>
      </c>
      <c r="M51" s="310" t="str">
        <f>IFERROR(__xludf.DUMMYFUNCTION("IF(ISBLANK(B51),"""",IFERROR((GOOGLEFINANCE($D$13,""price"")/INDEX(GOOGLEFINANCE($D$13,""price"",DATEVALUE(TODAY()-365) ),2,2)-1),""""))"),"")</f>
        <v/>
      </c>
      <c r="N51" s="310" t="str">
        <f t="shared" si="3"/>
        <v/>
      </c>
      <c r="O51" s="311" t="str">
        <f>IFERROR(__xludf.DUMMYFUNCTION("IFERROR(IF(ISBLANK(B51),"""",GOOGLEFINANCE(B51,""low52"")),"""")"),"")</f>
        <v/>
      </c>
      <c r="P51" s="310" t="str">
        <f t="shared" si="4"/>
        <v/>
      </c>
      <c r="Q51" s="311" t="str">
        <f>IFERROR(__xludf.DUMMYFUNCTION("IFERROR(IF(ISBLANK(B51),"""",GOOGLEFINANCE(B51,""high52"")),"""")"),"")</f>
        <v/>
      </c>
      <c r="R51" s="310" t="str">
        <f t="shared" si="5"/>
        <v/>
      </c>
      <c r="S51" s="13" t="str">
        <f t="shared" si="6"/>
        <v/>
      </c>
      <c r="U51" s="13" t="str">
        <f t="shared" si="7"/>
        <v/>
      </c>
      <c r="W51" s="13" t="str">
        <f t="shared" si="8"/>
        <v/>
      </c>
      <c r="X51" s="310" t="str">
        <f t="shared" si="9"/>
        <v/>
      </c>
      <c r="Y51" s="311" t="str">
        <f>IFERROR(__xludf.DUMMYFUNCTION("IF(ISBLANK(B51),"""",IFERROR(INDEX(GOOGLEFINANCE(B51,""price"",WORKDAY(TODAY(),-$Y$17)),2,2),""""))"),"")</f>
        <v/>
      </c>
      <c r="Z51" s="310" t="str">
        <f>IFERROR(__xludf.DUMMYFUNCTION("IF(ISBLANK(B51),"""",IFERROR(I51/(INDEX(GOOGLEFINANCE(B51,""price"",WORKDAY(TODAY(),-$Z$17)),2,2))-1,""""))"),"")</f>
        <v/>
      </c>
      <c r="AA51" s="312" t="str">
        <f>IFERROR(__xludf.DUMMYFUNCTION("IF(ISBLANK(B51),"""",IFERROR(IFERROR(""$""&amp;Trunc(GOOGLEFINANCE(B51,""Marketcap"")/1000000000)&amp;"" B"",""$""&amp;Trunc(IMPORTXML(""https://coinmarketcap.com/currencies/""&amp;B51,$AJ$4)/1000000000)&amp;"" B""),""-""))"),"")</f>
        <v/>
      </c>
      <c r="AB51" s="13" t="str">
        <f>IFERROR(__xludf.DUMMYFUNCTION("IF(ISBLANK(B51),"""",IFERROR(GOOGLEFINANCE(B51,""pe""),""-""))"),"")</f>
        <v/>
      </c>
      <c r="AC51" s="313" t="str">
        <f>IFERROR(__xludf.DUMMYFUNCTION("SPARKLINE(INDEX(GOOGLEFINANCE(B51,""price"",workday(today(),-$AC$17),today()),,2),{""charttype"",""column"";""color"",""green""})
"),"#N/A")</f>
        <v>#N/A</v>
      </c>
      <c r="AD51" s="313" t="str">
        <f>IFERROR(__xludf.DUMMYFUNCTION("IF(ISBLANK(B51),"""",IFERROR(INDEX(IMPORTXML(""https://eresearch.fidelity.com/eresearch/goto/evaluate/snapshot.jhtml?symbols=""&amp;B51&amp;"""",""//div[@class='sub-heading']//span[@class='right']""),1),""Enter Manually"")
)"),"")</f>
        <v/>
      </c>
      <c r="AE51" s="314" t="str">
        <f t="shared" si="10"/>
        <v>Info</v>
      </c>
      <c r="AF51" s="329"/>
      <c r="AG51" s="320"/>
      <c r="AH51" s="13"/>
      <c r="AI51" s="13"/>
      <c r="AJ51" s="13"/>
      <c r="AK51" s="13"/>
      <c r="AL51" s="13"/>
      <c r="AM51" s="13"/>
      <c r="AN51" s="13"/>
      <c r="AO51" s="13"/>
      <c r="AP51" s="13"/>
    </row>
    <row r="52" ht="18.75" customHeight="1">
      <c r="A52" s="13"/>
      <c r="B52" s="327"/>
      <c r="C52" s="306" t="str">
        <f>IFERROR(__xludf.DUMMYFUNCTION("GOOGLEFINANCE(B52,""name"")
"),"#N/A")</f>
        <v>#N/A</v>
      </c>
      <c r="D52" s="306"/>
      <c r="E52" s="328"/>
      <c r="F52" s="13" t="str">
        <f t="shared" si="1"/>
        <v/>
      </c>
      <c r="G52" s="309" t="str">
        <f>IFERROR(__xludf.DUMMYFUNCTION("IF(ISBLANK(B52),"""",IFERROR(SPARKLINE(INDEX(GOOGLEFINANCE(B52,""price"",TODAY()-$G$17,TODAY()),,2),{""charttype"",""column"";""color"",""17a7e0""}),""""))"),"")</f>
        <v/>
      </c>
      <c r="I52" s="309" t="str">
        <f>IFERROR(__xludf.DUMMYFUNCTION("IFERROR(IF(B52="""","""",GOOGLEFINANCE(B52)),IFERROR(GOOGLEFINANCE(""CURRENCY:""&amp;""USD""&amp;$D$15)*IMPORTXML(""https://coinmarketcap.com/currencies/""&amp;B52,$AJ$3),IMPORTXML(""https://coinmarketcap.com/currencies/""&amp;B52,$AJ$3)))"),"")</f>
        <v/>
      </c>
      <c r="J52" s="310" t="str">
        <f t="shared" si="2"/>
        <v/>
      </c>
      <c r="K52" s="310" t="str">
        <f>IFERROR(__xludf.DUMMYFUNCTION("IFERROR(IF(ISBLANK(B52),"""",GOOGLEFINANCE(B52,""changepct"")/100),"""")"),"")</f>
        <v/>
      </c>
      <c r="L52" s="310" t="str">
        <f>IFERROR(__xludf.DUMMYFUNCTION("IF(ISBLANK(B52),"""",IFERROR((GOOGLEFINANCE(B52,""price"")/INDEX(GOOGLEFINANCE(B52,""price"",DATEVALUE(TODAY()-365) ),2,2)-1),""""))"),"")</f>
        <v/>
      </c>
      <c r="M52" s="310" t="str">
        <f>IFERROR(__xludf.DUMMYFUNCTION("IF(ISBLANK(B52),"""",IFERROR((GOOGLEFINANCE($D$13,""price"")/INDEX(GOOGLEFINANCE($D$13,""price"",DATEVALUE(TODAY()-365) ),2,2)-1),""""))"),"")</f>
        <v/>
      </c>
      <c r="N52" s="310" t="str">
        <f t="shared" si="3"/>
        <v/>
      </c>
      <c r="O52" s="311" t="str">
        <f>IFERROR(__xludf.DUMMYFUNCTION("IFERROR(IF(ISBLANK(B52),"""",GOOGLEFINANCE(B52,""low52"")),"""")"),"")</f>
        <v/>
      </c>
      <c r="P52" s="310" t="str">
        <f t="shared" si="4"/>
        <v/>
      </c>
      <c r="Q52" s="311" t="str">
        <f>IFERROR(__xludf.DUMMYFUNCTION("IFERROR(IF(ISBLANK(B52),"""",GOOGLEFINANCE(B52,""high52"")),"""")"),"")</f>
        <v/>
      </c>
      <c r="R52" s="310" t="str">
        <f t="shared" si="5"/>
        <v/>
      </c>
      <c r="S52" s="13" t="str">
        <f t="shared" si="6"/>
        <v/>
      </c>
      <c r="U52" s="13" t="str">
        <f t="shared" si="7"/>
        <v/>
      </c>
      <c r="W52" s="13" t="str">
        <f t="shared" si="8"/>
        <v/>
      </c>
      <c r="X52" s="310" t="str">
        <f t="shared" si="9"/>
        <v/>
      </c>
      <c r="Y52" s="311" t="str">
        <f>IFERROR(__xludf.DUMMYFUNCTION("IF(ISBLANK(B52),"""",IFERROR(INDEX(GOOGLEFINANCE(B52,""price"",WORKDAY(TODAY(),-$Y$17)),2,2),""""))"),"")</f>
        <v/>
      </c>
      <c r="Z52" s="310" t="str">
        <f>IFERROR(__xludf.DUMMYFUNCTION("IF(ISBLANK(B52),"""",IFERROR(I52/(INDEX(GOOGLEFINANCE(B52,""price"",WORKDAY(TODAY(),-$Z$17)),2,2))-1,""""))"),"")</f>
        <v/>
      </c>
      <c r="AA52" s="312" t="str">
        <f>IFERROR(__xludf.DUMMYFUNCTION("IF(ISBLANK(B52),"""",IFERROR(IFERROR(""$""&amp;Trunc(GOOGLEFINANCE(B52,""Marketcap"")/1000000000)&amp;"" B"",""$""&amp;Trunc(IMPORTXML(""https://coinmarketcap.com/currencies/""&amp;B52,$AJ$4)/1000000000)&amp;"" B""),""-""))"),"")</f>
        <v/>
      </c>
      <c r="AB52" s="13" t="str">
        <f>IFERROR(__xludf.DUMMYFUNCTION("IF(ISBLANK(B52),"""",IFERROR(GOOGLEFINANCE(B52,""pe""),""-""))"),"")</f>
        <v/>
      </c>
      <c r="AC52" s="313" t="str">
        <f>IFERROR(__xludf.DUMMYFUNCTION("SPARKLINE(INDEX(GOOGLEFINANCE(B52,""price"",workday(today(),-$AC$17),today()),,2),{""charttype"",""column"";""color"",""green""})
"),"#N/A")</f>
        <v>#N/A</v>
      </c>
      <c r="AD52" s="313" t="str">
        <f>IFERROR(__xludf.DUMMYFUNCTION("IF(ISBLANK(B52),"""",IFERROR(INDEX(IMPORTXML(""https://eresearch.fidelity.com/eresearch/goto/evaluate/snapshot.jhtml?symbols=""&amp;B52&amp;"""",""//div[@class='sub-heading']//span[@class='right']""),1),""Enter Manually"")
)"),"")</f>
        <v/>
      </c>
      <c r="AE52" s="314" t="str">
        <f t="shared" si="10"/>
        <v>Info</v>
      </c>
      <c r="AF52" s="329"/>
      <c r="AG52" s="320"/>
      <c r="AH52" s="13"/>
      <c r="AI52" s="13"/>
      <c r="AJ52" s="13"/>
      <c r="AK52" s="13"/>
      <c r="AL52" s="13"/>
      <c r="AM52" s="13"/>
      <c r="AN52" s="13"/>
      <c r="AO52" s="13"/>
      <c r="AP52" s="13"/>
    </row>
    <row r="53" ht="18.75" customHeight="1">
      <c r="A53" s="13"/>
      <c r="B53" s="327"/>
      <c r="C53" s="306" t="str">
        <f>IFERROR(__xludf.DUMMYFUNCTION("GOOGLEFINANCE(B53,""name"")
"),"#N/A")</f>
        <v>#N/A</v>
      </c>
      <c r="D53" s="306"/>
      <c r="E53" s="328"/>
      <c r="F53" s="13" t="str">
        <f t="shared" si="1"/>
        <v/>
      </c>
      <c r="G53" s="309" t="str">
        <f>IFERROR(__xludf.DUMMYFUNCTION("IF(ISBLANK(B53),"""",IFERROR(SPARKLINE(INDEX(GOOGLEFINANCE(B53,""price"",TODAY()-$G$17,TODAY()),,2),{""charttype"",""column"";""color"",""17a7e0""}),""""))"),"")</f>
        <v/>
      </c>
      <c r="I53" s="309" t="str">
        <f>IFERROR(__xludf.DUMMYFUNCTION("IFERROR(IF(B53="""","""",GOOGLEFINANCE(B53)),IFERROR(GOOGLEFINANCE(""CURRENCY:""&amp;""USD""&amp;$D$15)*IMPORTXML(""https://coinmarketcap.com/currencies/""&amp;B53,$AJ$3),IMPORTXML(""https://coinmarketcap.com/currencies/""&amp;B53,$AJ$3)))"),"")</f>
        <v/>
      </c>
      <c r="J53" s="310" t="str">
        <f t="shared" si="2"/>
        <v/>
      </c>
      <c r="K53" s="310" t="str">
        <f>IFERROR(__xludf.DUMMYFUNCTION("IFERROR(IF(ISBLANK(B53),"""",GOOGLEFINANCE(B53,""changepct"")/100),"""")"),"")</f>
        <v/>
      </c>
      <c r="L53" s="310" t="str">
        <f>IFERROR(__xludf.DUMMYFUNCTION("IF(ISBLANK(B53),"""",IFERROR((GOOGLEFINANCE(B53,""price"")/INDEX(GOOGLEFINANCE(B53,""price"",DATEVALUE(TODAY()-365) ),2,2)-1),""""))"),"")</f>
        <v/>
      </c>
      <c r="M53" s="310" t="str">
        <f>IFERROR(__xludf.DUMMYFUNCTION("IF(ISBLANK(B53),"""",IFERROR((GOOGLEFINANCE($D$13,""price"")/INDEX(GOOGLEFINANCE($D$13,""price"",DATEVALUE(TODAY()-365) ),2,2)-1),""""))"),"")</f>
        <v/>
      </c>
      <c r="N53" s="310" t="str">
        <f t="shared" si="3"/>
        <v/>
      </c>
      <c r="O53" s="311" t="str">
        <f>IFERROR(__xludf.DUMMYFUNCTION("IFERROR(IF(ISBLANK(B53),"""",GOOGLEFINANCE(B53,""low52"")),"""")"),"")</f>
        <v/>
      </c>
      <c r="P53" s="310" t="str">
        <f t="shared" si="4"/>
        <v/>
      </c>
      <c r="Q53" s="311" t="str">
        <f>IFERROR(__xludf.DUMMYFUNCTION("IFERROR(IF(ISBLANK(B53),"""",GOOGLEFINANCE(B53,""high52"")),"""")"),"")</f>
        <v/>
      </c>
      <c r="R53" s="310" t="str">
        <f t="shared" si="5"/>
        <v/>
      </c>
      <c r="S53" s="13" t="str">
        <f t="shared" si="6"/>
        <v/>
      </c>
      <c r="U53" s="13" t="str">
        <f t="shared" si="7"/>
        <v/>
      </c>
      <c r="W53" s="13" t="str">
        <f t="shared" si="8"/>
        <v/>
      </c>
      <c r="X53" s="310" t="str">
        <f t="shared" si="9"/>
        <v/>
      </c>
      <c r="Y53" s="311" t="str">
        <f>IFERROR(__xludf.DUMMYFUNCTION("IF(ISBLANK(B53),"""",IFERROR(INDEX(GOOGLEFINANCE(B53,""price"",WORKDAY(TODAY(),-$Y$17)),2,2),""""))"),"")</f>
        <v/>
      </c>
      <c r="Z53" s="310" t="str">
        <f>IFERROR(__xludf.DUMMYFUNCTION("IF(ISBLANK(B53),"""",IFERROR(I53/(INDEX(GOOGLEFINANCE(B53,""price"",WORKDAY(TODAY(),-$Z$17)),2,2))-1,""""))"),"")</f>
        <v/>
      </c>
      <c r="AA53" s="312" t="str">
        <f>IFERROR(__xludf.DUMMYFUNCTION("IF(ISBLANK(B53),"""",IFERROR(IFERROR(""$""&amp;Trunc(GOOGLEFINANCE(B53,""Marketcap"")/1000000000)&amp;"" B"",""$""&amp;Trunc(IMPORTXML(""https://coinmarketcap.com/currencies/""&amp;B53,$AJ$4)/1000000000)&amp;"" B""),""-""))"),"")</f>
        <v/>
      </c>
      <c r="AB53" s="13" t="str">
        <f>IFERROR(__xludf.DUMMYFUNCTION("IF(ISBLANK(B53),"""",IFERROR(GOOGLEFINANCE(B53,""pe""),""-""))"),"")</f>
        <v/>
      </c>
      <c r="AC53" s="313" t="str">
        <f>IFERROR(__xludf.DUMMYFUNCTION("SPARKLINE(INDEX(GOOGLEFINANCE(B53,""price"",workday(today(),-$AC$17),today()),,2),{""charttype"",""column"";""color"",""green""})
"),"#N/A")</f>
        <v>#N/A</v>
      </c>
      <c r="AD53" s="313" t="str">
        <f>IFERROR(__xludf.DUMMYFUNCTION("IF(ISBLANK(B53),"""",IFERROR(INDEX(IMPORTXML(""https://eresearch.fidelity.com/eresearch/goto/evaluate/snapshot.jhtml?symbols=""&amp;B53&amp;"""",""//div[@class='sub-heading']//span[@class='right']""),1),""Enter Manually"")
)"),"")</f>
        <v/>
      </c>
      <c r="AE53" s="314" t="str">
        <f t="shared" si="10"/>
        <v>Info</v>
      </c>
      <c r="AF53" s="329"/>
      <c r="AG53" s="320"/>
      <c r="AH53" s="13"/>
      <c r="AI53" s="13"/>
      <c r="AJ53" s="13"/>
      <c r="AK53" s="13"/>
      <c r="AL53" s="13"/>
      <c r="AM53" s="13"/>
      <c r="AN53" s="13"/>
      <c r="AO53" s="13"/>
      <c r="AP53" s="13"/>
    </row>
    <row r="54" ht="18.75" customHeight="1">
      <c r="A54" s="13"/>
      <c r="B54" s="327"/>
      <c r="C54" s="306" t="str">
        <f>IFERROR(__xludf.DUMMYFUNCTION("GOOGLEFINANCE(B54,""name"")
"),"#N/A")</f>
        <v>#N/A</v>
      </c>
      <c r="D54" s="306"/>
      <c r="E54" s="328"/>
      <c r="F54" s="13" t="str">
        <f t="shared" si="1"/>
        <v/>
      </c>
      <c r="G54" s="309" t="str">
        <f>IFERROR(__xludf.DUMMYFUNCTION("IF(ISBLANK(B54),"""",IFERROR(SPARKLINE(INDEX(GOOGLEFINANCE(B54,""price"",TODAY()-$G$17,TODAY()),,2),{""charttype"",""column"";""color"",""17a7e0""}),""""))"),"")</f>
        <v/>
      </c>
      <c r="I54" s="309" t="str">
        <f>IFERROR(__xludf.DUMMYFUNCTION("IFERROR(IF(B54="""","""",GOOGLEFINANCE(B54)),IFERROR(GOOGLEFINANCE(""CURRENCY:""&amp;""USD""&amp;$D$15)*IMPORTXML(""https://coinmarketcap.com/currencies/""&amp;B54,$AJ$3),IMPORTXML(""https://coinmarketcap.com/currencies/""&amp;B54,$AJ$3)))"),"")</f>
        <v/>
      </c>
      <c r="J54" s="310" t="str">
        <f t="shared" si="2"/>
        <v/>
      </c>
      <c r="K54" s="310" t="str">
        <f>IFERROR(__xludf.DUMMYFUNCTION("IFERROR(IF(ISBLANK(B54),"""",GOOGLEFINANCE(B54,""changepct"")/100),"""")"),"")</f>
        <v/>
      </c>
      <c r="L54" s="310" t="str">
        <f>IFERROR(__xludf.DUMMYFUNCTION("IF(ISBLANK(B54),"""",IFERROR((GOOGLEFINANCE(B54,""price"")/INDEX(GOOGLEFINANCE(B54,""price"",DATEVALUE(TODAY()-365) ),2,2)-1),""""))"),"")</f>
        <v/>
      </c>
      <c r="M54" s="310" t="str">
        <f>IFERROR(__xludf.DUMMYFUNCTION("IF(ISBLANK(B54),"""",IFERROR((GOOGLEFINANCE($D$13,""price"")/INDEX(GOOGLEFINANCE($D$13,""price"",DATEVALUE(TODAY()-365) ),2,2)-1),""""))"),"")</f>
        <v/>
      </c>
      <c r="N54" s="310" t="str">
        <f t="shared" si="3"/>
        <v/>
      </c>
      <c r="O54" s="311" t="str">
        <f>IFERROR(__xludf.DUMMYFUNCTION("IFERROR(IF(ISBLANK(B54),"""",GOOGLEFINANCE(B54,""low52"")),"""")"),"")</f>
        <v/>
      </c>
      <c r="P54" s="310" t="str">
        <f t="shared" si="4"/>
        <v/>
      </c>
      <c r="Q54" s="311" t="str">
        <f>IFERROR(__xludf.DUMMYFUNCTION("IFERROR(IF(ISBLANK(B54),"""",GOOGLEFINANCE(B54,""high52"")),"""")"),"")</f>
        <v/>
      </c>
      <c r="R54" s="310" t="str">
        <f t="shared" si="5"/>
        <v/>
      </c>
      <c r="S54" s="13" t="str">
        <f t="shared" si="6"/>
        <v/>
      </c>
      <c r="U54" s="13" t="str">
        <f t="shared" si="7"/>
        <v/>
      </c>
      <c r="W54" s="13" t="str">
        <f t="shared" si="8"/>
        <v/>
      </c>
      <c r="X54" s="310" t="str">
        <f t="shared" si="9"/>
        <v/>
      </c>
      <c r="Y54" s="311" t="str">
        <f>IFERROR(__xludf.DUMMYFUNCTION("IF(ISBLANK(B54),"""",IFERROR(INDEX(GOOGLEFINANCE(B54,""price"",WORKDAY(TODAY(),-$Y$17)),2,2),""""))"),"")</f>
        <v/>
      </c>
      <c r="Z54" s="310" t="str">
        <f>IFERROR(__xludf.DUMMYFUNCTION("IF(ISBLANK(B54),"""",IFERROR(I54/(INDEX(GOOGLEFINANCE(B54,""price"",WORKDAY(TODAY(),-$Z$17)),2,2))-1,""""))"),"")</f>
        <v/>
      </c>
      <c r="AA54" s="312" t="str">
        <f>IFERROR(__xludf.DUMMYFUNCTION("IF(ISBLANK(B54),"""",IFERROR(IFERROR(""$""&amp;Trunc(GOOGLEFINANCE(B54,""Marketcap"")/1000000000)&amp;"" B"",""$""&amp;Trunc(IMPORTXML(""https://coinmarketcap.com/currencies/""&amp;B54,$AJ$4)/1000000000)&amp;"" B""),""-""))"),"")</f>
        <v/>
      </c>
      <c r="AB54" s="13" t="str">
        <f>IFERROR(__xludf.DUMMYFUNCTION("IF(ISBLANK(B54),"""",IFERROR(GOOGLEFINANCE(B54,""pe""),""-""))"),"")</f>
        <v/>
      </c>
      <c r="AC54" s="313" t="str">
        <f>IFERROR(__xludf.DUMMYFUNCTION("SPARKLINE(INDEX(GOOGLEFINANCE(B54,""price"",workday(today(),-$AC$17),today()),,2),{""charttype"",""column"";""color"",""green""})
"),"#N/A")</f>
        <v>#N/A</v>
      </c>
      <c r="AD54" s="313" t="str">
        <f>IFERROR(__xludf.DUMMYFUNCTION("IF(ISBLANK(B54),"""",IFERROR(INDEX(IMPORTXML(""https://eresearch.fidelity.com/eresearch/goto/evaluate/snapshot.jhtml?symbols=""&amp;B54&amp;"""",""//div[@class='sub-heading']//span[@class='right']""),1),""Enter Manually"")
)"),"")</f>
        <v/>
      </c>
      <c r="AE54" s="314" t="str">
        <f t="shared" si="10"/>
        <v>Info</v>
      </c>
      <c r="AF54" s="329"/>
      <c r="AG54" s="320"/>
      <c r="AH54" s="13"/>
      <c r="AI54" s="13"/>
      <c r="AJ54" s="13"/>
      <c r="AK54" s="13"/>
      <c r="AL54" s="13"/>
      <c r="AM54" s="13"/>
      <c r="AN54" s="13"/>
      <c r="AO54" s="13"/>
      <c r="AP54" s="13"/>
    </row>
    <row r="55" ht="18.75" customHeight="1">
      <c r="A55" s="13"/>
      <c r="B55" s="327"/>
      <c r="C55" s="306" t="str">
        <f>IFERROR(__xludf.DUMMYFUNCTION("GOOGLEFINANCE(B55,""name"")
"),"#N/A")</f>
        <v>#N/A</v>
      </c>
      <c r="D55" s="306"/>
      <c r="E55" s="328"/>
      <c r="F55" s="13" t="str">
        <f t="shared" si="1"/>
        <v/>
      </c>
      <c r="G55" s="309" t="str">
        <f>IFERROR(__xludf.DUMMYFUNCTION("IF(ISBLANK(B55),"""",IFERROR(SPARKLINE(INDEX(GOOGLEFINANCE(B55,""price"",TODAY()-$G$17,TODAY()),,2),{""charttype"",""column"";""color"",""17a7e0""}),""""))"),"")</f>
        <v/>
      </c>
      <c r="I55" s="309" t="str">
        <f>IFERROR(__xludf.DUMMYFUNCTION("IFERROR(IF(B55="""","""",GOOGLEFINANCE(B55)),IFERROR(GOOGLEFINANCE(""CURRENCY:""&amp;""USD""&amp;$D$15)*IMPORTXML(""https://coinmarketcap.com/currencies/""&amp;B55,$AJ$3),IMPORTXML(""https://coinmarketcap.com/currencies/""&amp;B55,$AJ$3)))"),"")</f>
        <v/>
      </c>
      <c r="J55" s="310" t="str">
        <f t="shared" si="2"/>
        <v/>
      </c>
      <c r="K55" s="310" t="str">
        <f>IFERROR(__xludf.DUMMYFUNCTION("IFERROR(IF(ISBLANK(B55),"""",GOOGLEFINANCE(B55,""changepct"")/100),"""")"),"")</f>
        <v/>
      </c>
      <c r="L55" s="310" t="str">
        <f>IFERROR(__xludf.DUMMYFUNCTION("IF(ISBLANK(B55),"""",IFERROR((GOOGLEFINANCE(B55,""price"")/INDEX(GOOGLEFINANCE(B55,""price"",DATEVALUE(TODAY()-365) ),2,2)-1),""""))"),"")</f>
        <v/>
      </c>
      <c r="M55" s="310" t="str">
        <f>IFERROR(__xludf.DUMMYFUNCTION("IF(ISBLANK(B55),"""",IFERROR((GOOGLEFINANCE($D$13,""price"")/INDEX(GOOGLEFINANCE($D$13,""price"",DATEVALUE(TODAY()-365) ),2,2)-1),""""))"),"")</f>
        <v/>
      </c>
      <c r="N55" s="310" t="str">
        <f t="shared" si="3"/>
        <v/>
      </c>
      <c r="O55" s="311" t="str">
        <f>IFERROR(__xludf.DUMMYFUNCTION("IFERROR(IF(ISBLANK(B55),"""",GOOGLEFINANCE(B55,""low52"")),"""")"),"")</f>
        <v/>
      </c>
      <c r="P55" s="310" t="str">
        <f t="shared" si="4"/>
        <v/>
      </c>
      <c r="Q55" s="311" t="str">
        <f>IFERROR(__xludf.DUMMYFUNCTION("IFERROR(IF(ISBLANK(B55),"""",GOOGLEFINANCE(B55,""high52"")),"""")"),"")</f>
        <v/>
      </c>
      <c r="R55" s="310" t="str">
        <f t="shared" si="5"/>
        <v/>
      </c>
      <c r="S55" s="13" t="str">
        <f t="shared" si="6"/>
        <v/>
      </c>
      <c r="U55" s="13" t="str">
        <f t="shared" si="7"/>
        <v/>
      </c>
      <c r="W55" s="13" t="str">
        <f t="shared" si="8"/>
        <v/>
      </c>
      <c r="X55" s="310" t="str">
        <f t="shared" si="9"/>
        <v/>
      </c>
      <c r="Y55" s="311" t="str">
        <f>IFERROR(__xludf.DUMMYFUNCTION("IF(ISBLANK(B55),"""",IFERROR(INDEX(GOOGLEFINANCE(B55,""price"",WORKDAY(TODAY(),-$Y$17)),2,2),""""))"),"")</f>
        <v/>
      </c>
      <c r="Z55" s="310" t="str">
        <f>IFERROR(__xludf.DUMMYFUNCTION("IF(ISBLANK(B55),"""",IFERROR(I55/(INDEX(GOOGLEFINANCE(B55,""price"",WORKDAY(TODAY(),-$Z$17)),2,2))-1,""""))"),"")</f>
        <v/>
      </c>
      <c r="AA55" s="312" t="str">
        <f>IFERROR(__xludf.DUMMYFUNCTION("IF(ISBLANK(B55),"""",IFERROR(IFERROR(""$""&amp;Trunc(GOOGLEFINANCE(B55,""Marketcap"")/1000000000)&amp;"" B"",""$""&amp;Trunc(IMPORTXML(""https://coinmarketcap.com/currencies/""&amp;B55,$AJ$4)/1000000000)&amp;"" B""),""-""))"),"")</f>
        <v/>
      </c>
      <c r="AB55" s="13" t="str">
        <f>IFERROR(__xludf.DUMMYFUNCTION("IF(ISBLANK(B55),"""",IFERROR(GOOGLEFINANCE(B55,""pe""),""-""))"),"")</f>
        <v/>
      </c>
      <c r="AC55" s="313" t="str">
        <f>IFERROR(__xludf.DUMMYFUNCTION("SPARKLINE(INDEX(GOOGLEFINANCE(B55,""price"",workday(today(),-$AC$17),today()),,2),{""charttype"",""column"";""color"",""green""})
"),"#N/A")</f>
        <v>#N/A</v>
      </c>
      <c r="AD55" s="313" t="str">
        <f>IFERROR(__xludf.DUMMYFUNCTION("IF(ISBLANK(B55),"""",IFERROR(INDEX(IMPORTXML(""https://eresearch.fidelity.com/eresearch/goto/evaluate/snapshot.jhtml?symbols=""&amp;B55&amp;"""",""//div[@class='sub-heading']//span[@class='right']""),1),""Enter Manually"")
)"),"")</f>
        <v/>
      </c>
      <c r="AE55" s="314" t="str">
        <f t="shared" si="10"/>
        <v>Info</v>
      </c>
      <c r="AF55" s="329"/>
      <c r="AG55" s="320"/>
      <c r="AH55" s="13"/>
      <c r="AI55" s="13"/>
      <c r="AJ55" s="13"/>
      <c r="AK55" s="13"/>
      <c r="AL55" s="13"/>
      <c r="AM55" s="13"/>
      <c r="AN55" s="13"/>
      <c r="AO55" s="13"/>
      <c r="AP55" s="13"/>
    </row>
    <row r="56" ht="18.75" customHeight="1">
      <c r="A56" s="13"/>
      <c r="B56" s="327"/>
      <c r="C56" s="306" t="str">
        <f>IFERROR(__xludf.DUMMYFUNCTION("GOOGLEFINANCE(B56,""name"")
"),"#N/A")</f>
        <v>#N/A</v>
      </c>
      <c r="D56" s="306"/>
      <c r="E56" s="328"/>
      <c r="F56" s="13" t="str">
        <f t="shared" si="1"/>
        <v/>
      </c>
      <c r="G56" s="309" t="str">
        <f>IFERROR(__xludf.DUMMYFUNCTION("IF(ISBLANK(B56),"""",IFERROR(SPARKLINE(INDEX(GOOGLEFINANCE(B56,""price"",TODAY()-$G$17,TODAY()),,2),{""charttype"",""column"";""color"",""17a7e0""}),""""))"),"")</f>
        <v/>
      </c>
      <c r="I56" s="309" t="str">
        <f>IFERROR(__xludf.DUMMYFUNCTION("IFERROR(IF(B56="""","""",GOOGLEFINANCE(B56)),IFERROR(GOOGLEFINANCE(""CURRENCY:""&amp;""USD""&amp;$D$15)*IMPORTXML(""https://coinmarketcap.com/currencies/""&amp;B56,$AJ$3),IMPORTXML(""https://coinmarketcap.com/currencies/""&amp;B56,$AJ$3)))"),"")</f>
        <v/>
      </c>
      <c r="J56" s="310" t="str">
        <f t="shared" si="2"/>
        <v/>
      </c>
      <c r="K56" s="310" t="str">
        <f>IFERROR(__xludf.DUMMYFUNCTION("IFERROR(IF(ISBLANK(B56),"""",GOOGLEFINANCE(B56,""changepct"")/100),"""")"),"")</f>
        <v/>
      </c>
      <c r="L56" s="310" t="str">
        <f>IFERROR(__xludf.DUMMYFUNCTION("IF(ISBLANK(B56),"""",IFERROR((GOOGLEFINANCE(B56,""price"")/INDEX(GOOGLEFINANCE(B56,""price"",DATEVALUE(TODAY()-365) ),2,2)-1),""""))"),"")</f>
        <v/>
      </c>
      <c r="M56" s="310" t="str">
        <f>IFERROR(__xludf.DUMMYFUNCTION("IF(ISBLANK(B56),"""",IFERROR((GOOGLEFINANCE($D$13,""price"")/INDEX(GOOGLEFINANCE($D$13,""price"",DATEVALUE(TODAY()-365) ),2,2)-1),""""))"),"")</f>
        <v/>
      </c>
      <c r="N56" s="310" t="str">
        <f t="shared" si="3"/>
        <v/>
      </c>
      <c r="O56" s="311" t="str">
        <f>IFERROR(__xludf.DUMMYFUNCTION("IFERROR(IF(ISBLANK(B56),"""",GOOGLEFINANCE(B56,""low52"")),"""")"),"")</f>
        <v/>
      </c>
      <c r="P56" s="310" t="str">
        <f t="shared" si="4"/>
        <v/>
      </c>
      <c r="Q56" s="311" t="str">
        <f>IFERROR(__xludf.DUMMYFUNCTION("IFERROR(IF(ISBLANK(B56),"""",GOOGLEFINANCE(B56,""high52"")),"""")"),"")</f>
        <v/>
      </c>
      <c r="R56" s="310" t="str">
        <f t="shared" si="5"/>
        <v/>
      </c>
      <c r="S56" s="13" t="str">
        <f t="shared" si="6"/>
        <v/>
      </c>
      <c r="U56" s="13" t="str">
        <f t="shared" si="7"/>
        <v/>
      </c>
      <c r="W56" s="13" t="str">
        <f t="shared" si="8"/>
        <v/>
      </c>
      <c r="X56" s="310" t="str">
        <f t="shared" si="9"/>
        <v/>
      </c>
      <c r="Y56" s="311" t="str">
        <f>IFERROR(__xludf.DUMMYFUNCTION("IF(ISBLANK(B56),"""",IFERROR(INDEX(GOOGLEFINANCE(B56,""price"",WORKDAY(TODAY(),-$Y$17)),2,2),""""))"),"")</f>
        <v/>
      </c>
      <c r="Z56" s="310" t="str">
        <f>IFERROR(__xludf.DUMMYFUNCTION("IF(ISBLANK(B56),"""",IFERROR(I56/(INDEX(GOOGLEFINANCE(B56,""price"",WORKDAY(TODAY(),-$Z$17)),2,2))-1,""""))"),"")</f>
        <v/>
      </c>
      <c r="AA56" s="312" t="str">
        <f>IFERROR(__xludf.DUMMYFUNCTION("IF(ISBLANK(B56),"""",IFERROR(IFERROR(""$""&amp;Trunc(GOOGLEFINANCE(B56,""Marketcap"")/1000000000)&amp;"" B"",""$""&amp;Trunc(IMPORTXML(""https://coinmarketcap.com/currencies/""&amp;B56,$AJ$4)/1000000000)&amp;"" B""),""-""))"),"")</f>
        <v/>
      </c>
      <c r="AB56" s="13" t="str">
        <f>IFERROR(__xludf.DUMMYFUNCTION("IF(ISBLANK(B56),"""",IFERROR(GOOGLEFINANCE(B56,""pe""),""-""))"),"")</f>
        <v/>
      </c>
      <c r="AC56" s="313" t="str">
        <f>IFERROR(__xludf.DUMMYFUNCTION("SPARKLINE(INDEX(GOOGLEFINANCE(B56,""price"",workday(today(),-$AC$17),today()),,2),{""charttype"",""column"";""color"",""green""})
"),"#N/A")</f>
        <v>#N/A</v>
      </c>
      <c r="AD56" s="313" t="str">
        <f>IFERROR(__xludf.DUMMYFUNCTION("IF(ISBLANK(B56),"""",IFERROR(INDEX(IMPORTXML(""https://eresearch.fidelity.com/eresearch/goto/evaluate/snapshot.jhtml?symbols=""&amp;B56&amp;"""",""//div[@class='sub-heading']//span[@class='right']""),1),""Enter Manually"")
)"),"")</f>
        <v/>
      </c>
      <c r="AE56" s="314" t="str">
        <f t="shared" si="10"/>
        <v>Info</v>
      </c>
      <c r="AF56" s="329"/>
      <c r="AG56" s="320"/>
      <c r="AH56" s="13"/>
      <c r="AI56" s="13"/>
      <c r="AJ56" s="13"/>
      <c r="AK56" s="13"/>
      <c r="AL56" s="13"/>
      <c r="AM56" s="13"/>
      <c r="AN56" s="13"/>
      <c r="AO56" s="13"/>
      <c r="AP56" s="13"/>
    </row>
    <row r="57" ht="18.75" customHeight="1">
      <c r="A57" s="13"/>
      <c r="B57" s="327"/>
      <c r="C57" s="306" t="str">
        <f>IFERROR(__xludf.DUMMYFUNCTION("GOOGLEFINANCE(B57,""name"")
"),"#N/A")</f>
        <v>#N/A</v>
      </c>
      <c r="D57" s="306"/>
      <c r="E57" s="328"/>
      <c r="F57" s="13" t="str">
        <f t="shared" si="1"/>
        <v/>
      </c>
      <c r="G57" s="309" t="str">
        <f>IFERROR(__xludf.DUMMYFUNCTION("IF(ISBLANK(B57),"""",IFERROR(SPARKLINE(INDEX(GOOGLEFINANCE(B57,""price"",TODAY()-$G$17,TODAY()),,2),{""charttype"",""column"";""color"",""17a7e0""}),""""))"),"")</f>
        <v/>
      </c>
      <c r="I57" s="309" t="str">
        <f>IFERROR(__xludf.DUMMYFUNCTION("IFERROR(IF(B57="""","""",GOOGLEFINANCE(B57)),IFERROR(GOOGLEFINANCE(""CURRENCY:""&amp;""USD""&amp;$D$15)*IMPORTXML(""https://coinmarketcap.com/currencies/""&amp;B57,$AJ$3),IMPORTXML(""https://coinmarketcap.com/currencies/""&amp;B57,$AJ$3)))"),"")</f>
        <v/>
      </c>
      <c r="J57" s="310" t="str">
        <f t="shared" si="2"/>
        <v/>
      </c>
      <c r="K57" s="310" t="str">
        <f>IFERROR(__xludf.DUMMYFUNCTION("IFERROR(IF(ISBLANK(B57),"""",GOOGLEFINANCE(B57,""changepct"")/100),"""")"),"")</f>
        <v/>
      </c>
      <c r="L57" s="310" t="str">
        <f>IFERROR(__xludf.DUMMYFUNCTION("IF(ISBLANK(B57),"""",IFERROR((GOOGLEFINANCE(B57,""price"")/INDEX(GOOGLEFINANCE(B57,""price"",DATEVALUE(TODAY()-365) ),2,2)-1),""""))"),"")</f>
        <v/>
      </c>
      <c r="M57" s="310" t="str">
        <f>IFERROR(__xludf.DUMMYFUNCTION("IF(ISBLANK(B57),"""",IFERROR((GOOGLEFINANCE($D$13,""price"")/INDEX(GOOGLEFINANCE($D$13,""price"",DATEVALUE(TODAY()-365) ),2,2)-1),""""))"),"")</f>
        <v/>
      </c>
      <c r="N57" s="310" t="str">
        <f t="shared" si="3"/>
        <v/>
      </c>
      <c r="O57" s="311" t="str">
        <f>IFERROR(__xludf.DUMMYFUNCTION("IFERROR(IF(ISBLANK(B57),"""",GOOGLEFINANCE(B57,""low52"")),"""")"),"")</f>
        <v/>
      </c>
      <c r="P57" s="310" t="str">
        <f t="shared" si="4"/>
        <v/>
      </c>
      <c r="Q57" s="311" t="str">
        <f>IFERROR(__xludf.DUMMYFUNCTION("IFERROR(IF(ISBLANK(B57),"""",GOOGLEFINANCE(B57,""high52"")),"""")"),"")</f>
        <v/>
      </c>
      <c r="R57" s="310" t="str">
        <f t="shared" si="5"/>
        <v/>
      </c>
      <c r="S57" s="13" t="str">
        <f t="shared" si="6"/>
        <v/>
      </c>
      <c r="U57" s="13" t="str">
        <f t="shared" si="7"/>
        <v/>
      </c>
      <c r="W57" s="13" t="str">
        <f t="shared" si="8"/>
        <v/>
      </c>
      <c r="X57" s="310" t="str">
        <f t="shared" si="9"/>
        <v/>
      </c>
      <c r="Y57" s="311" t="str">
        <f>IFERROR(__xludf.DUMMYFUNCTION("IF(ISBLANK(B57),"""",IFERROR(INDEX(GOOGLEFINANCE(B57,""price"",WORKDAY(TODAY(),-$Y$17)),2,2),""""))"),"")</f>
        <v/>
      </c>
      <c r="Z57" s="310" t="str">
        <f>IFERROR(__xludf.DUMMYFUNCTION("IF(ISBLANK(B57),"""",IFERROR(I57/(INDEX(GOOGLEFINANCE(B57,""price"",WORKDAY(TODAY(),-$Z$17)),2,2))-1,""""))"),"")</f>
        <v/>
      </c>
      <c r="AA57" s="312" t="str">
        <f>IFERROR(__xludf.DUMMYFUNCTION("IF(ISBLANK(B57),"""",IFERROR(IFERROR(""$""&amp;Trunc(GOOGLEFINANCE(B57,""Marketcap"")/1000000000)&amp;"" B"",""$""&amp;Trunc(IMPORTXML(""https://coinmarketcap.com/currencies/""&amp;B57,$AJ$4)/1000000000)&amp;"" B""),""-""))"),"")</f>
        <v/>
      </c>
      <c r="AB57" s="13" t="str">
        <f>IFERROR(__xludf.DUMMYFUNCTION("IF(ISBLANK(B57),"""",IFERROR(GOOGLEFINANCE(B57,""pe""),""-""))"),"")</f>
        <v/>
      </c>
      <c r="AC57" s="313" t="str">
        <f>IFERROR(__xludf.DUMMYFUNCTION("SPARKLINE(INDEX(GOOGLEFINANCE(B57,""price"",workday(today(),-$AC$17),today()),,2),{""charttype"",""column"";""color"",""green""})
"),"#N/A")</f>
        <v>#N/A</v>
      </c>
      <c r="AD57" s="313" t="str">
        <f>IFERROR(__xludf.DUMMYFUNCTION("IF(ISBLANK(B57),"""",IFERROR(INDEX(IMPORTXML(""https://eresearch.fidelity.com/eresearch/goto/evaluate/snapshot.jhtml?symbols=""&amp;B57&amp;"""",""//div[@class='sub-heading']//span[@class='right']""),1),""Enter Manually"")
)"),"")</f>
        <v/>
      </c>
      <c r="AE57" s="314" t="str">
        <f t="shared" si="10"/>
        <v>Info</v>
      </c>
      <c r="AF57" s="329"/>
      <c r="AG57" s="320"/>
      <c r="AH57" s="13"/>
      <c r="AI57" s="13"/>
      <c r="AJ57" s="13"/>
      <c r="AK57" s="13"/>
      <c r="AL57" s="13"/>
      <c r="AM57" s="13"/>
      <c r="AN57" s="13"/>
      <c r="AO57" s="13"/>
      <c r="AP57" s="13"/>
    </row>
    <row r="58" ht="18.75" customHeight="1">
      <c r="A58" s="13"/>
      <c r="B58" s="327"/>
      <c r="C58" s="306" t="str">
        <f>IFERROR(__xludf.DUMMYFUNCTION("GOOGLEFINANCE(B58,""name"")
"),"#N/A")</f>
        <v>#N/A</v>
      </c>
      <c r="D58" s="306"/>
      <c r="E58" s="328"/>
      <c r="F58" s="13" t="str">
        <f t="shared" si="1"/>
        <v/>
      </c>
      <c r="G58" s="309" t="str">
        <f>IFERROR(__xludf.DUMMYFUNCTION("IF(ISBLANK(B58),"""",IFERROR(SPARKLINE(INDEX(GOOGLEFINANCE(B58,""price"",TODAY()-$G$17,TODAY()),,2),{""charttype"",""column"";""color"",""17a7e0""}),""""))"),"")</f>
        <v/>
      </c>
      <c r="I58" s="309" t="str">
        <f>IFERROR(__xludf.DUMMYFUNCTION("IFERROR(IF(B58="""","""",GOOGLEFINANCE(B58)),IFERROR(GOOGLEFINANCE(""CURRENCY:""&amp;""USD""&amp;$D$15)*IMPORTXML(""https://coinmarketcap.com/currencies/""&amp;B58,$AJ$3),IMPORTXML(""https://coinmarketcap.com/currencies/""&amp;B58,$AJ$3)))"),"")</f>
        <v/>
      </c>
      <c r="J58" s="310" t="str">
        <f t="shared" si="2"/>
        <v/>
      </c>
      <c r="K58" s="310" t="str">
        <f>IFERROR(__xludf.DUMMYFUNCTION("IFERROR(IF(ISBLANK(B58),"""",GOOGLEFINANCE(B58,""changepct"")/100),"""")"),"")</f>
        <v/>
      </c>
      <c r="L58" s="310" t="str">
        <f>IFERROR(__xludf.DUMMYFUNCTION("IF(ISBLANK(B58),"""",IFERROR((GOOGLEFINANCE(B58,""price"")/INDEX(GOOGLEFINANCE(B58,""price"",DATEVALUE(TODAY()-365) ),2,2)-1),""""))"),"")</f>
        <v/>
      </c>
      <c r="M58" s="310" t="str">
        <f>IFERROR(__xludf.DUMMYFUNCTION("IF(ISBLANK(B58),"""",IFERROR((GOOGLEFINANCE($D$13,""price"")/INDEX(GOOGLEFINANCE($D$13,""price"",DATEVALUE(TODAY()-365) ),2,2)-1),""""))"),"")</f>
        <v/>
      </c>
      <c r="N58" s="310" t="str">
        <f t="shared" si="3"/>
        <v/>
      </c>
      <c r="O58" s="311" t="str">
        <f>IFERROR(__xludf.DUMMYFUNCTION("IFERROR(IF(ISBLANK(B58),"""",GOOGLEFINANCE(B58,""low52"")),"""")"),"")</f>
        <v/>
      </c>
      <c r="P58" s="310" t="str">
        <f t="shared" si="4"/>
        <v/>
      </c>
      <c r="Q58" s="311" t="str">
        <f>IFERROR(__xludf.DUMMYFUNCTION("IFERROR(IF(ISBLANK(B58),"""",GOOGLEFINANCE(B58,""high52"")),"""")"),"")</f>
        <v/>
      </c>
      <c r="R58" s="310" t="str">
        <f t="shared" si="5"/>
        <v/>
      </c>
      <c r="S58" s="13" t="str">
        <f t="shared" si="6"/>
        <v/>
      </c>
      <c r="U58" s="13" t="str">
        <f t="shared" si="7"/>
        <v/>
      </c>
      <c r="W58" s="13" t="str">
        <f t="shared" si="8"/>
        <v/>
      </c>
      <c r="X58" s="310" t="str">
        <f t="shared" si="9"/>
        <v/>
      </c>
      <c r="Y58" s="311" t="str">
        <f>IFERROR(__xludf.DUMMYFUNCTION("IF(ISBLANK(B58),"""",IFERROR(INDEX(GOOGLEFINANCE(B58,""price"",WORKDAY(TODAY(),-$Y$17)),2,2),""""))"),"")</f>
        <v/>
      </c>
      <c r="Z58" s="310" t="str">
        <f>IFERROR(__xludf.DUMMYFUNCTION("IF(ISBLANK(B58),"""",IFERROR(I58/(INDEX(GOOGLEFINANCE(B58,""price"",WORKDAY(TODAY(),-$Z$17)),2,2))-1,""""))"),"")</f>
        <v/>
      </c>
      <c r="AA58" s="312" t="str">
        <f>IFERROR(__xludf.DUMMYFUNCTION("IF(ISBLANK(B58),"""",IFERROR(IFERROR(""$""&amp;Trunc(GOOGLEFINANCE(B58,""Marketcap"")/1000000000)&amp;"" B"",""$""&amp;Trunc(IMPORTXML(""https://coinmarketcap.com/currencies/""&amp;B58,$AJ$4)/1000000000)&amp;"" B""),""-""))"),"")</f>
        <v/>
      </c>
      <c r="AB58" s="13" t="str">
        <f>IFERROR(__xludf.DUMMYFUNCTION("IF(ISBLANK(B58),"""",IFERROR(GOOGLEFINANCE(B58,""pe""),""-""))"),"")</f>
        <v/>
      </c>
      <c r="AC58" s="313" t="str">
        <f>IFERROR(__xludf.DUMMYFUNCTION("SPARKLINE(INDEX(GOOGLEFINANCE(B58,""price"",workday(today(),-$AC$17),today()),,2),{""charttype"",""column"";""color"",""green""})
"),"#N/A")</f>
        <v>#N/A</v>
      </c>
      <c r="AD58" s="313" t="str">
        <f>IFERROR(__xludf.DUMMYFUNCTION("IF(ISBLANK(B58),"""",IFERROR(INDEX(IMPORTXML(""https://eresearch.fidelity.com/eresearch/goto/evaluate/snapshot.jhtml?symbols=""&amp;B58&amp;"""",""//div[@class='sub-heading']//span[@class='right']""),1),""Enter Manually"")
)"),"")</f>
        <v/>
      </c>
      <c r="AE58" s="314" t="str">
        <f t="shared" si="10"/>
        <v>Info</v>
      </c>
      <c r="AF58" s="329"/>
      <c r="AG58" s="320"/>
      <c r="AH58" s="13"/>
      <c r="AI58" s="13"/>
      <c r="AJ58" s="13"/>
      <c r="AK58" s="13"/>
      <c r="AL58" s="13"/>
      <c r="AM58" s="13"/>
      <c r="AN58" s="13"/>
      <c r="AO58" s="13"/>
      <c r="AP58" s="13"/>
    </row>
    <row r="59" ht="18.75" customHeight="1">
      <c r="A59" s="13"/>
      <c r="B59" s="327"/>
      <c r="C59" s="306" t="str">
        <f>IFERROR(__xludf.DUMMYFUNCTION("GOOGLEFINANCE(B59,""name"")
"),"#N/A")</f>
        <v>#N/A</v>
      </c>
      <c r="D59" s="306"/>
      <c r="E59" s="328"/>
      <c r="F59" s="13" t="str">
        <f t="shared" si="1"/>
        <v/>
      </c>
      <c r="G59" s="309" t="str">
        <f>IFERROR(__xludf.DUMMYFUNCTION("IF(ISBLANK(B59),"""",IFERROR(SPARKLINE(INDEX(GOOGLEFINANCE(B59,""price"",TODAY()-$G$17,TODAY()),,2),{""charttype"",""column"";""color"",""17a7e0""}),""""))"),"")</f>
        <v/>
      </c>
      <c r="I59" s="309" t="str">
        <f>IFERROR(__xludf.DUMMYFUNCTION("IFERROR(IF(B59="""","""",GOOGLEFINANCE(B59)),IFERROR(GOOGLEFINANCE(""CURRENCY:""&amp;""USD""&amp;$D$15)*IMPORTXML(""https://coinmarketcap.com/currencies/""&amp;B59,$AJ$3),IMPORTXML(""https://coinmarketcap.com/currencies/""&amp;B59,$AJ$3)))"),"")</f>
        <v/>
      </c>
      <c r="J59" s="310" t="str">
        <f t="shared" si="2"/>
        <v/>
      </c>
      <c r="K59" s="310" t="str">
        <f>IFERROR(__xludf.DUMMYFUNCTION("IFERROR(IF(ISBLANK(B59),"""",GOOGLEFINANCE(B59,""changepct"")/100),"""")"),"")</f>
        <v/>
      </c>
      <c r="L59" s="310" t="str">
        <f>IFERROR(__xludf.DUMMYFUNCTION("IF(ISBLANK(B59),"""",IFERROR((GOOGLEFINANCE(B59,""price"")/INDEX(GOOGLEFINANCE(B59,""price"",DATEVALUE(TODAY()-365) ),2,2)-1),""""))"),"")</f>
        <v/>
      </c>
      <c r="M59" s="310" t="str">
        <f>IFERROR(__xludf.DUMMYFUNCTION("IF(ISBLANK(B59),"""",IFERROR((GOOGLEFINANCE($D$13,""price"")/INDEX(GOOGLEFINANCE($D$13,""price"",DATEVALUE(TODAY()-365) ),2,2)-1),""""))"),"")</f>
        <v/>
      </c>
      <c r="N59" s="310" t="str">
        <f t="shared" si="3"/>
        <v/>
      </c>
      <c r="O59" s="311" t="str">
        <f>IFERROR(__xludf.DUMMYFUNCTION("IFERROR(IF(ISBLANK(B59),"""",GOOGLEFINANCE(B59,""low52"")),"""")"),"")</f>
        <v/>
      </c>
      <c r="P59" s="310" t="str">
        <f t="shared" si="4"/>
        <v/>
      </c>
      <c r="Q59" s="311" t="str">
        <f>IFERROR(__xludf.DUMMYFUNCTION("IFERROR(IF(ISBLANK(B59),"""",GOOGLEFINANCE(B59,""high52"")),"""")"),"")</f>
        <v/>
      </c>
      <c r="R59" s="310" t="str">
        <f t="shared" si="5"/>
        <v/>
      </c>
      <c r="S59" s="13" t="str">
        <f t="shared" si="6"/>
        <v/>
      </c>
      <c r="U59" s="13" t="str">
        <f t="shared" si="7"/>
        <v/>
      </c>
      <c r="W59" s="13" t="str">
        <f t="shared" si="8"/>
        <v/>
      </c>
      <c r="X59" s="310" t="str">
        <f t="shared" si="9"/>
        <v/>
      </c>
      <c r="Y59" s="311" t="str">
        <f>IFERROR(__xludf.DUMMYFUNCTION("IF(ISBLANK(B59),"""",IFERROR(INDEX(GOOGLEFINANCE(B59,""price"",WORKDAY(TODAY(),-$Y$17)),2,2),""""))"),"")</f>
        <v/>
      </c>
      <c r="Z59" s="310" t="str">
        <f>IFERROR(__xludf.DUMMYFUNCTION("IF(ISBLANK(B59),"""",IFERROR(I59/(INDEX(GOOGLEFINANCE(B59,""price"",WORKDAY(TODAY(),-$Z$17)),2,2))-1,""""))"),"")</f>
        <v/>
      </c>
      <c r="AA59" s="312" t="str">
        <f>IFERROR(__xludf.DUMMYFUNCTION("IF(ISBLANK(B59),"""",IFERROR(IFERROR(""$""&amp;Trunc(GOOGLEFINANCE(B59,""Marketcap"")/1000000000)&amp;"" B"",""$""&amp;Trunc(IMPORTXML(""https://coinmarketcap.com/currencies/""&amp;B59,$AJ$4)/1000000000)&amp;"" B""),""-""))"),"")</f>
        <v/>
      </c>
      <c r="AB59" s="13" t="str">
        <f>IFERROR(__xludf.DUMMYFUNCTION("IF(ISBLANK(B59),"""",IFERROR(GOOGLEFINANCE(B59,""pe""),""-""))"),"")</f>
        <v/>
      </c>
      <c r="AC59" s="313" t="str">
        <f>IFERROR(__xludf.DUMMYFUNCTION("SPARKLINE(INDEX(GOOGLEFINANCE(B59,""price"",workday(today(),-$AC$17),today()),,2),{""charttype"",""column"";""color"",""green""})
"),"#N/A")</f>
        <v>#N/A</v>
      </c>
      <c r="AD59" s="313" t="str">
        <f>IFERROR(__xludf.DUMMYFUNCTION("IF(ISBLANK(B59),"""",IFERROR(INDEX(IMPORTXML(""https://eresearch.fidelity.com/eresearch/goto/evaluate/snapshot.jhtml?symbols=""&amp;B59&amp;"""",""//div[@class='sub-heading']//span[@class='right']""),1),""Enter Manually"")
)"),"")</f>
        <v/>
      </c>
      <c r="AE59" s="314" t="str">
        <f t="shared" si="10"/>
        <v>Info</v>
      </c>
      <c r="AF59" s="329"/>
      <c r="AG59" s="320"/>
      <c r="AH59" s="13"/>
      <c r="AI59" s="13"/>
      <c r="AJ59" s="13"/>
      <c r="AK59" s="13"/>
      <c r="AL59" s="13"/>
      <c r="AM59" s="13"/>
      <c r="AN59" s="13"/>
      <c r="AO59" s="13"/>
      <c r="AP59" s="13"/>
    </row>
    <row r="60" ht="18.75" customHeight="1">
      <c r="A60" s="13"/>
      <c r="B60" s="327"/>
      <c r="C60" s="306" t="str">
        <f>IFERROR(__xludf.DUMMYFUNCTION("GOOGLEFINANCE(B60,""name"")
"),"#N/A")</f>
        <v>#N/A</v>
      </c>
      <c r="D60" s="306"/>
      <c r="E60" s="328"/>
      <c r="F60" s="13" t="str">
        <f t="shared" si="1"/>
        <v/>
      </c>
      <c r="G60" s="309" t="str">
        <f>IFERROR(__xludf.DUMMYFUNCTION("IF(ISBLANK(B60),"""",IFERROR(SPARKLINE(INDEX(GOOGLEFINANCE(B60,""price"",TODAY()-$G$17,TODAY()),,2),{""charttype"",""column"";""color"",""17a7e0""}),""""))"),"")</f>
        <v/>
      </c>
      <c r="I60" s="309" t="str">
        <f>IFERROR(__xludf.DUMMYFUNCTION("IFERROR(IF(B60="""","""",GOOGLEFINANCE(B60)),IFERROR(GOOGLEFINANCE(""CURRENCY:""&amp;""USD""&amp;$D$15)*IMPORTXML(""https://coinmarketcap.com/currencies/""&amp;B60,$AJ$3),IMPORTXML(""https://coinmarketcap.com/currencies/""&amp;B60,$AJ$3)))"),"")</f>
        <v/>
      </c>
      <c r="J60" s="310" t="str">
        <f t="shared" si="2"/>
        <v/>
      </c>
      <c r="K60" s="310" t="str">
        <f>IFERROR(__xludf.DUMMYFUNCTION("IFERROR(IF(ISBLANK(B60),"""",GOOGLEFINANCE(B60,""changepct"")/100),"""")"),"")</f>
        <v/>
      </c>
      <c r="L60" s="310" t="str">
        <f>IFERROR(__xludf.DUMMYFUNCTION("IF(ISBLANK(B60),"""",IFERROR((GOOGLEFINANCE(B60,""price"")/INDEX(GOOGLEFINANCE(B60,""price"",DATEVALUE(TODAY()-365) ),2,2)-1),""""))"),"")</f>
        <v/>
      </c>
      <c r="M60" s="310" t="str">
        <f>IFERROR(__xludf.DUMMYFUNCTION("IF(ISBLANK(B60),"""",IFERROR((GOOGLEFINANCE($D$13,""price"")/INDEX(GOOGLEFINANCE($D$13,""price"",DATEVALUE(TODAY()-365) ),2,2)-1),""""))"),"")</f>
        <v/>
      </c>
      <c r="N60" s="310" t="str">
        <f t="shared" si="3"/>
        <v/>
      </c>
      <c r="O60" s="311" t="str">
        <f>IFERROR(__xludf.DUMMYFUNCTION("IFERROR(IF(ISBLANK(B60),"""",GOOGLEFINANCE(B60,""low52"")),"""")"),"")</f>
        <v/>
      </c>
      <c r="P60" s="310" t="str">
        <f t="shared" si="4"/>
        <v/>
      </c>
      <c r="Q60" s="311" t="str">
        <f>IFERROR(__xludf.DUMMYFUNCTION("IFERROR(IF(ISBLANK(B60),"""",GOOGLEFINANCE(B60,""high52"")),"""")"),"")</f>
        <v/>
      </c>
      <c r="R60" s="310" t="str">
        <f t="shared" si="5"/>
        <v/>
      </c>
      <c r="S60" s="13" t="str">
        <f t="shared" si="6"/>
        <v/>
      </c>
      <c r="U60" s="13" t="str">
        <f t="shared" si="7"/>
        <v/>
      </c>
      <c r="W60" s="13" t="str">
        <f t="shared" si="8"/>
        <v/>
      </c>
      <c r="X60" s="310" t="str">
        <f t="shared" si="9"/>
        <v/>
      </c>
      <c r="Y60" s="311" t="str">
        <f>IFERROR(__xludf.DUMMYFUNCTION("IF(ISBLANK(B60),"""",IFERROR(INDEX(GOOGLEFINANCE(B60,""price"",WORKDAY(TODAY(),-$Y$17)),2,2),""""))"),"")</f>
        <v/>
      </c>
      <c r="Z60" s="310" t="str">
        <f>IFERROR(__xludf.DUMMYFUNCTION("IF(ISBLANK(B60),"""",IFERROR(I60/(INDEX(GOOGLEFINANCE(B60,""price"",WORKDAY(TODAY(),-$Z$17)),2,2))-1,""""))"),"")</f>
        <v/>
      </c>
      <c r="AA60" s="312" t="str">
        <f>IFERROR(__xludf.DUMMYFUNCTION("IF(ISBLANK(B60),"""",IFERROR(IFERROR(""$""&amp;Trunc(GOOGLEFINANCE(B60,""Marketcap"")/1000000000)&amp;"" B"",""$""&amp;Trunc(IMPORTXML(""https://coinmarketcap.com/currencies/""&amp;B60,$AJ$4)/1000000000)&amp;"" B""),""-""))"),"")</f>
        <v/>
      </c>
      <c r="AB60" s="13" t="str">
        <f>IFERROR(__xludf.DUMMYFUNCTION("IF(ISBLANK(B60),"""",IFERROR(GOOGLEFINANCE(B60,""pe""),""-""))"),"")</f>
        <v/>
      </c>
      <c r="AC60" s="313" t="str">
        <f>IFERROR(__xludf.DUMMYFUNCTION("SPARKLINE(INDEX(GOOGLEFINANCE(B60,""price"",workday(today(),-$AC$17),today()),,2),{""charttype"",""column"";""color"",""green""})
"),"#N/A")</f>
        <v>#N/A</v>
      </c>
      <c r="AD60" s="313" t="str">
        <f>IFERROR(__xludf.DUMMYFUNCTION("IF(ISBLANK(B60),"""",IFERROR(INDEX(IMPORTXML(""https://eresearch.fidelity.com/eresearch/goto/evaluate/snapshot.jhtml?symbols=""&amp;B60&amp;"""",""//div[@class='sub-heading']//span[@class='right']""),1),""Enter Manually"")
)"),"")</f>
        <v/>
      </c>
      <c r="AE60" s="314" t="str">
        <f t="shared" si="10"/>
        <v>Info</v>
      </c>
      <c r="AF60" s="329"/>
      <c r="AG60" s="320"/>
      <c r="AH60" s="13"/>
      <c r="AI60" s="13"/>
      <c r="AJ60" s="13"/>
      <c r="AK60" s="13"/>
      <c r="AL60" s="13"/>
      <c r="AM60" s="13"/>
      <c r="AN60" s="13"/>
      <c r="AO60" s="13"/>
      <c r="AP60" s="13"/>
    </row>
    <row r="61" ht="18.75" customHeight="1">
      <c r="A61" s="13"/>
      <c r="B61" s="327"/>
      <c r="C61" s="306" t="str">
        <f>IFERROR(__xludf.DUMMYFUNCTION("GOOGLEFINANCE(B61,""name"")
"),"#N/A")</f>
        <v>#N/A</v>
      </c>
      <c r="D61" s="306"/>
      <c r="E61" s="328"/>
      <c r="F61" s="13" t="str">
        <f t="shared" si="1"/>
        <v/>
      </c>
      <c r="G61" s="309" t="str">
        <f>IFERROR(__xludf.DUMMYFUNCTION("IF(ISBLANK(B61),"""",IFERROR(SPARKLINE(INDEX(GOOGLEFINANCE(B61,""price"",TODAY()-$G$17,TODAY()),,2),{""charttype"",""column"";""color"",""17a7e0""}),""""))"),"")</f>
        <v/>
      </c>
      <c r="I61" s="309" t="str">
        <f>IFERROR(__xludf.DUMMYFUNCTION("IFERROR(IF(B61="""","""",GOOGLEFINANCE(B61)),IFERROR(GOOGLEFINANCE(""CURRENCY:""&amp;""USD""&amp;$D$15)*IMPORTXML(""https://coinmarketcap.com/currencies/""&amp;B61,$AJ$3),IMPORTXML(""https://coinmarketcap.com/currencies/""&amp;B61,$AJ$3)))"),"")</f>
        <v/>
      </c>
      <c r="J61" s="310" t="str">
        <f t="shared" si="2"/>
        <v/>
      </c>
      <c r="K61" s="310" t="str">
        <f>IFERROR(__xludf.DUMMYFUNCTION("IFERROR(IF(ISBLANK(B61),"""",GOOGLEFINANCE(B61,""changepct"")/100),"""")"),"")</f>
        <v/>
      </c>
      <c r="L61" s="310" t="str">
        <f>IFERROR(__xludf.DUMMYFUNCTION("IF(ISBLANK(B61),"""",IFERROR((GOOGLEFINANCE(B61,""price"")/INDEX(GOOGLEFINANCE(B61,""price"",DATEVALUE(TODAY()-365) ),2,2)-1),""""))"),"")</f>
        <v/>
      </c>
      <c r="M61" s="310" t="str">
        <f>IFERROR(__xludf.DUMMYFUNCTION("IF(ISBLANK(B61),"""",IFERROR((GOOGLEFINANCE($D$13,""price"")/INDEX(GOOGLEFINANCE($D$13,""price"",DATEVALUE(TODAY()-365) ),2,2)-1),""""))"),"")</f>
        <v/>
      </c>
      <c r="N61" s="310" t="str">
        <f t="shared" si="3"/>
        <v/>
      </c>
      <c r="O61" s="311" t="str">
        <f>IFERROR(__xludf.DUMMYFUNCTION("IFERROR(IF(ISBLANK(B61),"""",GOOGLEFINANCE(B61,""low52"")),"""")"),"")</f>
        <v/>
      </c>
      <c r="P61" s="310" t="str">
        <f t="shared" si="4"/>
        <v/>
      </c>
      <c r="Q61" s="311" t="str">
        <f>IFERROR(__xludf.DUMMYFUNCTION("IFERROR(IF(ISBLANK(B61),"""",GOOGLEFINANCE(B61,""high52"")),"""")"),"")</f>
        <v/>
      </c>
      <c r="R61" s="310" t="str">
        <f t="shared" si="5"/>
        <v/>
      </c>
      <c r="S61" s="13" t="str">
        <f t="shared" si="6"/>
        <v/>
      </c>
      <c r="U61" s="13" t="str">
        <f t="shared" si="7"/>
        <v/>
      </c>
      <c r="W61" s="13" t="str">
        <f t="shared" si="8"/>
        <v/>
      </c>
      <c r="X61" s="310" t="str">
        <f t="shared" si="9"/>
        <v/>
      </c>
      <c r="Y61" s="311" t="str">
        <f>IFERROR(__xludf.DUMMYFUNCTION("IF(ISBLANK(B61),"""",IFERROR(INDEX(GOOGLEFINANCE(B61,""price"",WORKDAY(TODAY(),-$Y$17)),2,2),""""))"),"")</f>
        <v/>
      </c>
      <c r="Z61" s="310" t="str">
        <f>IFERROR(__xludf.DUMMYFUNCTION("IF(ISBLANK(B61),"""",IFERROR(I61/(INDEX(GOOGLEFINANCE(B61,""price"",WORKDAY(TODAY(),-$Z$17)),2,2))-1,""""))"),"")</f>
        <v/>
      </c>
      <c r="AA61" s="312" t="str">
        <f>IFERROR(__xludf.DUMMYFUNCTION("IF(ISBLANK(B61),"""",IFERROR(IFERROR(""$""&amp;Trunc(GOOGLEFINANCE(B61,""Marketcap"")/1000000000)&amp;"" B"",""$""&amp;Trunc(IMPORTXML(""https://coinmarketcap.com/currencies/""&amp;B61,$AJ$4)/1000000000)&amp;"" B""),""-""))"),"")</f>
        <v/>
      </c>
      <c r="AB61" s="13" t="str">
        <f>IFERROR(__xludf.DUMMYFUNCTION("IF(ISBLANK(B61),"""",IFERROR(GOOGLEFINANCE(B61,""pe""),""-""))"),"")</f>
        <v/>
      </c>
      <c r="AC61" s="313" t="str">
        <f>IFERROR(__xludf.DUMMYFUNCTION("SPARKLINE(INDEX(GOOGLEFINANCE(B61,""price"",workday(today(),-$AC$17),today()),,2),{""charttype"",""column"";""color"",""green""})
"),"#N/A")</f>
        <v>#N/A</v>
      </c>
      <c r="AD61" s="313" t="str">
        <f>IFERROR(__xludf.DUMMYFUNCTION("IF(ISBLANK(B61),"""",IFERROR(INDEX(IMPORTXML(""https://eresearch.fidelity.com/eresearch/goto/evaluate/snapshot.jhtml?symbols=""&amp;B61&amp;"""",""//div[@class='sub-heading']//span[@class='right']""),1),""Enter Manually"")
)"),"")</f>
        <v/>
      </c>
      <c r="AE61" s="314" t="str">
        <f t="shared" si="10"/>
        <v>Info</v>
      </c>
      <c r="AF61" s="329"/>
      <c r="AG61" s="320"/>
      <c r="AH61" s="13"/>
      <c r="AI61" s="13"/>
      <c r="AJ61" s="13"/>
      <c r="AK61" s="13"/>
      <c r="AL61" s="13"/>
      <c r="AM61" s="13"/>
      <c r="AN61" s="13"/>
      <c r="AO61" s="13"/>
      <c r="AP61" s="13"/>
    </row>
    <row r="62" ht="18.75" customHeight="1">
      <c r="A62" s="13"/>
      <c r="B62" s="327"/>
      <c r="C62" s="306" t="str">
        <f>IFERROR(__xludf.DUMMYFUNCTION("GOOGLEFINANCE(B62,""name"")
"),"#N/A")</f>
        <v>#N/A</v>
      </c>
      <c r="D62" s="306"/>
      <c r="E62" s="328"/>
      <c r="F62" s="13" t="str">
        <f t="shared" si="1"/>
        <v/>
      </c>
      <c r="G62" s="309" t="str">
        <f>IFERROR(__xludf.DUMMYFUNCTION("IF(ISBLANK(B62),"""",IFERROR(SPARKLINE(INDEX(GOOGLEFINANCE(B62,""price"",TODAY()-$G$17,TODAY()),,2),{""charttype"",""column"";""color"",""17a7e0""}),""""))"),"")</f>
        <v/>
      </c>
      <c r="I62" s="309" t="str">
        <f>IFERROR(__xludf.DUMMYFUNCTION("IFERROR(IF(B62="""","""",GOOGLEFINANCE(B62)),IFERROR(GOOGLEFINANCE(""CURRENCY:""&amp;""USD""&amp;$D$15)*IMPORTXML(""https://coinmarketcap.com/currencies/""&amp;B62,$AJ$3),IMPORTXML(""https://coinmarketcap.com/currencies/""&amp;B62,$AJ$3)))"),"")</f>
        <v/>
      </c>
      <c r="J62" s="310" t="str">
        <f t="shared" si="2"/>
        <v/>
      </c>
      <c r="K62" s="310" t="str">
        <f>IFERROR(__xludf.DUMMYFUNCTION("IFERROR(IF(ISBLANK(B62),"""",GOOGLEFINANCE(B62,""changepct"")/100),"""")"),"")</f>
        <v/>
      </c>
      <c r="L62" s="310" t="str">
        <f>IFERROR(__xludf.DUMMYFUNCTION("IF(ISBLANK(B62),"""",IFERROR((GOOGLEFINANCE(B62,""price"")/INDEX(GOOGLEFINANCE(B62,""price"",DATEVALUE(TODAY()-365) ),2,2)-1),""""))"),"")</f>
        <v/>
      </c>
      <c r="M62" s="310" t="str">
        <f>IFERROR(__xludf.DUMMYFUNCTION("IF(ISBLANK(B62),"""",IFERROR((GOOGLEFINANCE($D$13,""price"")/INDEX(GOOGLEFINANCE($D$13,""price"",DATEVALUE(TODAY()-365) ),2,2)-1),""""))"),"")</f>
        <v/>
      </c>
      <c r="N62" s="310" t="str">
        <f t="shared" si="3"/>
        <v/>
      </c>
      <c r="O62" s="311" t="str">
        <f>IFERROR(__xludf.DUMMYFUNCTION("IFERROR(IF(ISBLANK(B62),"""",GOOGLEFINANCE(B62,""low52"")),"""")"),"")</f>
        <v/>
      </c>
      <c r="P62" s="310" t="str">
        <f t="shared" si="4"/>
        <v/>
      </c>
      <c r="Q62" s="311" t="str">
        <f>IFERROR(__xludf.DUMMYFUNCTION("IFERROR(IF(ISBLANK(B62),"""",GOOGLEFINANCE(B62,""high52"")),"""")"),"")</f>
        <v/>
      </c>
      <c r="R62" s="310" t="str">
        <f t="shared" si="5"/>
        <v/>
      </c>
      <c r="S62" s="13" t="str">
        <f t="shared" si="6"/>
        <v/>
      </c>
      <c r="U62" s="13" t="str">
        <f t="shared" si="7"/>
        <v/>
      </c>
      <c r="W62" s="13" t="str">
        <f t="shared" si="8"/>
        <v/>
      </c>
      <c r="X62" s="310" t="str">
        <f t="shared" si="9"/>
        <v/>
      </c>
      <c r="Y62" s="311" t="str">
        <f>IFERROR(__xludf.DUMMYFUNCTION("IF(ISBLANK(B62),"""",IFERROR(INDEX(GOOGLEFINANCE(B62,""price"",WORKDAY(TODAY(),-$Y$17)),2,2),""""))"),"")</f>
        <v/>
      </c>
      <c r="Z62" s="310" t="str">
        <f>IFERROR(__xludf.DUMMYFUNCTION("IF(ISBLANK(B62),"""",IFERROR(I62/(INDEX(GOOGLEFINANCE(B62,""price"",WORKDAY(TODAY(),-$Z$17)),2,2))-1,""""))"),"")</f>
        <v/>
      </c>
      <c r="AA62" s="312" t="str">
        <f>IFERROR(__xludf.DUMMYFUNCTION("IF(ISBLANK(B62),"""",IFERROR(IFERROR(""$""&amp;Trunc(GOOGLEFINANCE(B62,""Marketcap"")/1000000000)&amp;"" B"",""$""&amp;Trunc(IMPORTXML(""https://coinmarketcap.com/currencies/""&amp;B62,$AJ$4)/1000000000)&amp;"" B""),""-""))"),"")</f>
        <v/>
      </c>
      <c r="AB62" s="13" t="str">
        <f>IFERROR(__xludf.DUMMYFUNCTION("IF(ISBLANK(B62),"""",IFERROR(GOOGLEFINANCE(B62,""pe""),""-""))"),"")</f>
        <v/>
      </c>
      <c r="AC62" s="313" t="str">
        <f>IFERROR(__xludf.DUMMYFUNCTION("SPARKLINE(INDEX(GOOGLEFINANCE(B62,""price"",workday(today(),-$AC$17),today()),,2),{""charttype"",""column"";""color"",""green""})
"),"#N/A")</f>
        <v>#N/A</v>
      </c>
      <c r="AD62" s="313" t="str">
        <f>IFERROR(__xludf.DUMMYFUNCTION("IF(ISBLANK(B62),"""",IFERROR(INDEX(IMPORTXML(""https://eresearch.fidelity.com/eresearch/goto/evaluate/snapshot.jhtml?symbols=""&amp;B62&amp;"""",""//div[@class='sub-heading']//span[@class='right']""),1),""Enter Manually"")
)"),"")</f>
        <v/>
      </c>
      <c r="AE62" s="314" t="str">
        <f t="shared" si="10"/>
        <v>Info</v>
      </c>
      <c r="AF62" s="329"/>
      <c r="AG62" s="320"/>
      <c r="AH62" s="13"/>
      <c r="AI62" s="13"/>
      <c r="AJ62" s="13"/>
      <c r="AK62" s="13"/>
      <c r="AL62" s="13"/>
      <c r="AM62" s="13"/>
      <c r="AN62" s="13"/>
      <c r="AO62" s="13"/>
      <c r="AP62" s="13"/>
    </row>
    <row r="63" ht="18.75" customHeight="1">
      <c r="A63" s="13"/>
      <c r="B63" s="327"/>
      <c r="C63" s="306" t="str">
        <f>IFERROR(__xludf.DUMMYFUNCTION("GOOGLEFINANCE(B63,""name"")
"),"#N/A")</f>
        <v>#N/A</v>
      </c>
      <c r="D63" s="306"/>
      <c r="E63" s="328"/>
      <c r="F63" s="13" t="str">
        <f t="shared" si="1"/>
        <v/>
      </c>
      <c r="G63" s="309" t="str">
        <f>IFERROR(__xludf.DUMMYFUNCTION("IF(ISBLANK(B63),"""",IFERROR(SPARKLINE(INDEX(GOOGLEFINANCE(B63,""price"",TODAY()-$G$17,TODAY()),,2),{""charttype"",""column"";""color"",""17a7e0""}),""""))"),"")</f>
        <v/>
      </c>
      <c r="I63" s="309" t="str">
        <f>IFERROR(__xludf.DUMMYFUNCTION("IFERROR(IF(B63="""","""",GOOGLEFINANCE(B63)),IFERROR(GOOGLEFINANCE(""CURRENCY:""&amp;""USD""&amp;$D$15)*IMPORTXML(""https://coinmarketcap.com/currencies/""&amp;B63,$AJ$3),IMPORTXML(""https://coinmarketcap.com/currencies/""&amp;B63,$AJ$3)))"),"")</f>
        <v/>
      </c>
      <c r="J63" s="310" t="str">
        <f t="shared" si="2"/>
        <v/>
      </c>
      <c r="K63" s="310" t="str">
        <f>IFERROR(__xludf.DUMMYFUNCTION("IFERROR(IF(ISBLANK(B63),"""",GOOGLEFINANCE(B63,""changepct"")/100),"""")"),"")</f>
        <v/>
      </c>
      <c r="L63" s="310" t="str">
        <f>IFERROR(__xludf.DUMMYFUNCTION("IF(ISBLANK(B63),"""",IFERROR((GOOGLEFINANCE(B63,""price"")/INDEX(GOOGLEFINANCE(B63,""price"",DATEVALUE(TODAY()-365) ),2,2)-1),""""))"),"")</f>
        <v/>
      </c>
      <c r="M63" s="310" t="str">
        <f>IFERROR(__xludf.DUMMYFUNCTION("IF(ISBLANK(B63),"""",IFERROR((GOOGLEFINANCE($D$13,""price"")/INDEX(GOOGLEFINANCE($D$13,""price"",DATEVALUE(TODAY()-365) ),2,2)-1),""""))"),"")</f>
        <v/>
      </c>
      <c r="N63" s="310" t="str">
        <f t="shared" si="3"/>
        <v/>
      </c>
      <c r="O63" s="311" t="str">
        <f>IFERROR(__xludf.DUMMYFUNCTION("IFERROR(IF(ISBLANK(B63),"""",GOOGLEFINANCE(B63,""low52"")),"""")"),"")</f>
        <v/>
      </c>
      <c r="P63" s="310" t="str">
        <f t="shared" si="4"/>
        <v/>
      </c>
      <c r="Q63" s="311" t="str">
        <f>IFERROR(__xludf.DUMMYFUNCTION("IFERROR(IF(ISBLANK(B63),"""",GOOGLEFINANCE(B63,""high52"")),"""")"),"")</f>
        <v/>
      </c>
      <c r="R63" s="310" t="str">
        <f t="shared" si="5"/>
        <v/>
      </c>
      <c r="S63" s="13" t="str">
        <f t="shared" si="6"/>
        <v/>
      </c>
      <c r="U63" s="13" t="str">
        <f t="shared" si="7"/>
        <v/>
      </c>
      <c r="W63" s="13" t="str">
        <f t="shared" si="8"/>
        <v/>
      </c>
      <c r="X63" s="310" t="str">
        <f t="shared" si="9"/>
        <v/>
      </c>
      <c r="Y63" s="311" t="str">
        <f>IFERROR(__xludf.DUMMYFUNCTION("IF(ISBLANK(B63),"""",IFERROR(INDEX(GOOGLEFINANCE(B63,""price"",WORKDAY(TODAY(),-$Y$17)),2,2),""""))"),"")</f>
        <v/>
      </c>
      <c r="Z63" s="310" t="str">
        <f>IFERROR(__xludf.DUMMYFUNCTION("IF(ISBLANK(B63),"""",IFERROR(I63/(INDEX(GOOGLEFINANCE(B63,""price"",WORKDAY(TODAY(),-$Z$17)),2,2))-1,""""))"),"")</f>
        <v/>
      </c>
      <c r="AA63" s="312" t="str">
        <f>IFERROR(__xludf.DUMMYFUNCTION("IF(ISBLANK(B63),"""",IFERROR(IFERROR(""$""&amp;Trunc(GOOGLEFINANCE(B63,""Marketcap"")/1000000000)&amp;"" B"",""$""&amp;Trunc(IMPORTXML(""https://coinmarketcap.com/currencies/""&amp;B63,$AJ$4)/1000000000)&amp;"" B""),""-""))"),"")</f>
        <v/>
      </c>
      <c r="AB63" s="13" t="str">
        <f>IFERROR(__xludf.DUMMYFUNCTION("IF(ISBLANK(B63),"""",IFERROR(GOOGLEFINANCE(B63,""pe""),""-""))"),"")</f>
        <v/>
      </c>
      <c r="AC63" s="313" t="str">
        <f>IFERROR(__xludf.DUMMYFUNCTION("SPARKLINE(INDEX(GOOGLEFINANCE(B63,""price"",workday(today(),-$AC$17),today()),,2),{""charttype"",""column"";""color"",""green""})
"),"#N/A")</f>
        <v>#N/A</v>
      </c>
      <c r="AD63" s="313" t="str">
        <f>IFERROR(__xludf.DUMMYFUNCTION("IF(ISBLANK(B63),"""",IFERROR(INDEX(IMPORTXML(""https://eresearch.fidelity.com/eresearch/goto/evaluate/snapshot.jhtml?symbols=""&amp;B63&amp;"""",""//div[@class='sub-heading']//span[@class='right']""),1),""Enter Manually"")
)"),"")</f>
        <v/>
      </c>
      <c r="AE63" s="314" t="str">
        <f t="shared" si="10"/>
        <v>Info</v>
      </c>
      <c r="AF63" s="329"/>
      <c r="AG63" s="320"/>
      <c r="AH63" s="13"/>
      <c r="AI63" s="13"/>
      <c r="AJ63" s="13"/>
      <c r="AK63" s="13"/>
      <c r="AL63" s="13"/>
      <c r="AM63" s="13"/>
      <c r="AN63" s="13"/>
      <c r="AO63" s="13"/>
      <c r="AP63" s="13"/>
    </row>
    <row r="64" ht="18.75" customHeight="1">
      <c r="A64" s="13"/>
      <c r="B64" s="327"/>
      <c r="C64" s="306" t="str">
        <f>IFERROR(__xludf.DUMMYFUNCTION("GOOGLEFINANCE(B64,""name"")
"),"#N/A")</f>
        <v>#N/A</v>
      </c>
      <c r="D64" s="306"/>
      <c r="E64" s="328"/>
      <c r="F64" s="13" t="str">
        <f t="shared" si="1"/>
        <v/>
      </c>
      <c r="G64" s="309" t="str">
        <f>IFERROR(__xludf.DUMMYFUNCTION("IF(ISBLANK(B64),"""",IFERROR(SPARKLINE(INDEX(GOOGLEFINANCE(B64,""price"",TODAY()-$G$17,TODAY()),,2),{""charttype"",""column"";""color"",""17a7e0""}),""""))"),"")</f>
        <v/>
      </c>
      <c r="I64" s="309" t="str">
        <f>IFERROR(__xludf.DUMMYFUNCTION("IFERROR(IF(B64="""","""",GOOGLEFINANCE(B64)),IFERROR(GOOGLEFINANCE(""CURRENCY:""&amp;""USD""&amp;$D$15)*IMPORTXML(""https://coinmarketcap.com/currencies/""&amp;B64,$AJ$3),IMPORTXML(""https://coinmarketcap.com/currencies/""&amp;B64,$AJ$3)))"),"")</f>
        <v/>
      </c>
      <c r="J64" s="310" t="str">
        <f t="shared" si="2"/>
        <v/>
      </c>
      <c r="K64" s="310" t="str">
        <f>IFERROR(__xludf.DUMMYFUNCTION("IFERROR(IF(ISBLANK(B64),"""",GOOGLEFINANCE(B64,""changepct"")/100),"""")"),"")</f>
        <v/>
      </c>
      <c r="L64" s="310" t="str">
        <f>IFERROR(__xludf.DUMMYFUNCTION("IF(ISBLANK(B64),"""",IFERROR((GOOGLEFINANCE(B64,""price"")/INDEX(GOOGLEFINANCE(B64,""price"",DATEVALUE(TODAY()-365) ),2,2)-1),""""))"),"")</f>
        <v/>
      </c>
      <c r="M64" s="310" t="str">
        <f>IFERROR(__xludf.DUMMYFUNCTION("IF(ISBLANK(B64),"""",IFERROR((GOOGLEFINANCE($D$13,""price"")/INDEX(GOOGLEFINANCE($D$13,""price"",DATEVALUE(TODAY()-365) ),2,2)-1),""""))"),"")</f>
        <v/>
      </c>
      <c r="N64" s="310" t="str">
        <f t="shared" si="3"/>
        <v/>
      </c>
      <c r="O64" s="311" t="str">
        <f>IFERROR(__xludf.DUMMYFUNCTION("IFERROR(IF(ISBLANK(B64),"""",GOOGLEFINANCE(B64,""low52"")),"""")"),"")</f>
        <v/>
      </c>
      <c r="P64" s="310" t="str">
        <f t="shared" si="4"/>
        <v/>
      </c>
      <c r="Q64" s="311" t="str">
        <f>IFERROR(__xludf.DUMMYFUNCTION("IFERROR(IF(ISBLANK(B64),"""",GOOGLEFINANCE(B64,""high52"")),"""")"),"")</f>
        <v/>
      </c>
      <c r="R64" s="310" t="str">
        <f t="shared" si="5"/>
        <v/>
      </c>
      <c r="S64" s="13" t="str">
        <f t="shared" si="6"/>
        <v/>
      </c>
      <c r="U64" s="13" t="str">
        <f t="shared" si="7"/>
        <v/>
      </c>
      <c r="W64" s="13" t="str">
        <f t="shared" si="8"/>
        <v/>
      </c>
      <c r="X64" s="310" t="str">
        <f t="shared" si="9"/>
        <v/>
      </c>
      <c r="Y64" s="311" t="str">
        <f>IFERROR(__xludf.DUMMYFUNCTION("IF(ISBLANK(B64),"""",IFERROR(INDEX(GOOGLEFINANCE(B64,""price"",WORKDAY(TODAY(),-$Y$17)),2,2),""""))"),"")</f>
        <v/>
      </c>
      <c r="Z64" s="310" t="str">
        <f>IFERROR(__xludf.DUMMYFUNCTION("IF(ISBLANK(B64),"""",IFERROR(I64/(INDEX(GOOGLEFINANCE(B64,""price"",WORKDAY(TODAY(),-$Z$17)),2,2))-1,""""))"),"")</f>
        <v/>
      </c>
      <c r="AA64" s="312" t="str">
        <f>IFERROR(__xludf.DUMMYFUNCTION("IF(ISBLANK(B64),"""",IFERROR(IFERROR(""$""&amp;Trunc(GOOGLEFINANCE(B64,""Marketcap"")/1000000000)&amp;"" B"",""$""&amp;Trunc(IMPORTXML(""https://coinmarketcap.com/currencies/""&amp;B64,$AJ$4)/1000000000)&amp;"" B""),""-""))"),"")</f>
        <v/>
      </c>
      <c r="AB64" s="13" t="str">
        <f>IFERROR(__xludf.DUMMYFUNCTION("IF(ISBLANK(B64),"""",IFERROR(GOOGLEFINANCE(B64,""pe""),""-""))"),"")</f>
        <v/>
      </c>
      <c r="AC64" s="313" t="str">
        <f>IFERROR(__xludf.DUMMYFUNCTION("SPARKLINE(INDEX(GOOGLEFINANCE(B64,""price"",workday(today(),-$AC$17),today()),,2),{""charttype"",""column"";""color"",""green""})
"),"#N/A")</f>
        <v>#N/A</v>
      </c>
      <c r="AD64" s="313" t="str">
        <f>IFERROR(__xludf.DUMMYFUNCTION("IF(ISBLANK(B64),"""",IFERROR(INDEX(IMPORTXML(""https://eresearch.fidelity.com/eresearch/goto/evaluate/snapshot.jhtml?symbols=""&amp;B64&amp;"""",""//div[@class='sub-heading']//span[@class='right']""),1),""Enter Manually"")
)"),"")</f>
        <v/>
      </c>
      <c r="AE64" s="314" t="str">
        <f t="shared" si="10"/>
        <v>Info</v>
      </c>
      <c r="AF64" s="329"/>
      <c r="AG64" s="320"/>
      <c r="AH64" s="13"/>
      <c r="AI64" s="13"/>
      <c r="AJ64" s="13"/>
      <c r="AK64" s="13"/>
      <c r="AL64" s="13"/>
      <c r="AM64" s="13"/>
      <c r="AN64" s="13"/>
      <c r="AO64" s="13"/>
      <c r="AP64" s="13"/>
    </row>
    <row r="65" ht="18.75" customHeight="1">
      <c r="A65" s="13"/>
      <c r="B65" s="327"/>
      <c r="C65" s="306" t="str">
        <f>IFERROR(__xludf.DUMMYFUNCTION("GOOGLEFINANCE(B65,""name"")
"),"#N/A")</f>
        <v>#N/A</v>
      </c>
      <c r="D65" s="306"/>
      <c r="E65" s="328"/>
      <c r="F65" s="13" t="str">
        <f t="shared" si="1"/>
        <v/>
      </c>
      <c r="G65" s="309" t="str">
        <f>IFERROR(__xludf.DUMMYFUNCTION("IF(ISBLANK(B65),"""",IFERROR(SPARKLINE(INDEX(GOOGLEFINANCE(B65,""price"",TODAY()-$G$17,TODAY()),,2),{""charttype"",""column"";""color"",""17a7e0""}),""""))"),"")</f>
        <v/>
      </c>
      <c r="I65" s="309" t="str">
        <f>IFERROR(__xludf.DUMMYFUNCTION("IFERROR(IF(B65="""","""",GOOGLEFINANCE(B65)),IFERROR(GOOGLEFINANCE(""CURRENCY:""&amp;""USD""&amp;$D$15)*IMPORTXML(""https://coinmarketcap.com/currencies/""&amp;B65,$AJ$3),IMPORTXML(""https://coinmarketcap.com/currencies/""&amp;B65,$AJ$3)))"),"")</f>
        <v/>
      </c>
      <c r="J65" s="310" t="str">
        <f t="shared" si="2"/>
        <v/>
      </c>
      <c r="K65" s="310" t="str">
        <f>IFERROR(__xludf.DUMMYFUNCTION("IFERROR(IF(ISBLANK(B65),"""",GOOGLEFINANCE(B65,""changepct"")/100),"""")"),"")</f>
        <v/>
      </c>
      <c r="L65" s="310" t="str">
        <f>IFERROR(__xludf.DUMMYFUNCTION("IF(ISBLANK(B65),"""",IFERROR((GOOGLEFINANCE(B65,""price"")/INDEX(GOOGLEFINANCE(B65,""price"",DATEVALUE(TODAY()-365) ),2,2)-1),""""))"),"")</f>
        <v/>
      </c>
      <c r="M65" s="310" t="str">
        <f>IFERROR(__xludf.DUMMYFUNCTION("IF(ISBLANK(B65),"""",IFERROR((GOOGLEFINANCE($D$13,""price"")/INDEX(GOOGLEFINANCE($D$13,""price"",DATEVALUE(TODAY()-365) ),2,2)-1),""""))"),"")</f>
        <v/>
      </c>
      <c r="N65" s="310" t="str">
        <f t="shared" si="3"/>
        <v/>
      </c>
      <c r="O65" s="311" t="str">
        <f>IFERROR(__xludf.DUMMYFUNCTION("IFERROR(IF(ISBLANK(B65),"""",GOOGLEFINANCE(B65,""low52"")),"""")"),"")</f>
        <v/>
      </c>
      <c r="P65" s="310" t="str">
        <f t="shared" si="4"/>
        <v/>
      </c>
      <c r="Q65" s="311" t="str">
        <f>IFERROR(__xludf.DUMMYFUNCTION("IFERROR(IF(ISBLANK(B65),"""",GOOGLEFINANCE(B65,""high52"")),"""")"),"")</f>
        <v/>
      </c>
      <c r="R65" s="310" t="str">
        <f t="shared" si="5"/>
        <v/>
      </c>
      <c r="S65" s="13" t="str">
        <f t="shared" si="6"/>
        <v/>
      </c>
      <c r="U65" s="13" t="str">
        <f t="shared" si="7"/>
        <v/>
      </c>
      <c r="W65" s="13" t="str">
        <f t="shared" si="8"/>
        <v/>
      </c>
      <c r="X65" s="310" t="str">
        <f t="shared" si="9"/>
        <v/>
      </c>
      <c r="Y65" s="311" t="str">
        <f>IFERROR(__xludf.DUMMYFUNCTION("IF(ISBLANK(B65),"""",IFERROR(INDEX(GOOGLEFINANCE(B65,""price"",WORKDAY(TODAY(),-$Y$17)),2,2),""""))"),"")</f>
        <v/>
      </c>
      <c r="Z65" s="310" t="str">
        <f>IFERROR(__xludf.DUMMYFUNCTION("IF(ISBLANK(B65),"""",IFERROR(I65/(INDEX(GOOGLEFINANCE(B65,""price"",WORKDAY(TODAY(),-$Z$17)),2,2))-1,""""))"),"")</f>
        <v/>
      </c>
      <c r="AA65" s="312" t="str">
        <f>IFERROR(__xludf.DUMMYFUNCTION("IF(ISBLANK(B65),"""",IFERROR(IFERROR(""$""&amp;Trunc(GOOGLEFINANCE(B65,""Marketcap"")/1000000000)&amp;"" B"",""$""&amp;Trunc(IMPORTXML(""https://coinmarketcap.com/currencies/""&amp;B65,$AJ$4)/1000000000)&amp;"" B""),""-""))"),"")</f>
        <v/>
      </c>
      <c r="AB65" s="13" t="str">
        <f>IFERROR(__xludf.DUMMYFUNCTION("IF(ISBLANK(B65),"""",IFERROR(GOOGLEFINANCE(B65,""pe""),""-""))"),"")</f>
        <v/>
      </c>
      <c r="AC65" s="313" t="str">
        <f>IFERROR(__xludf.DUMMYFUNCTION("SPARKLINE(INDEX(GOOGLEFINANCE(B65,""price"",workday(today(),-$AC$17),today()),,2),{""charttype"",""column"";""color"",""green""})
"),"#N/A")</f>
        <v>#N/A</v>
      </c>
      <c r="AD65" s="313" t="str">
        <f>IFERROR(__xludf.DUMMYFUNCTION("IF(ISBLANK(B65),"""",IFERROR(INDEX(IMPORTXML(""https://eresearch.fidelity.com/eresearch/goto/evaluate/snapshot.jhtml?symbols=""&amp;B65&amp;"""",""//div[@class='sub-heading']//span[@class='right']""),1),""Enter Manually"")
)"),"")</f>
        <v/>
      </c>
      <c r="AE65" s="314" t="str">
        <f t="shared" si="10"/>
        <v>Info</v>
      </c>
      <c r="AF65" s="329"/>
      <c r="AG65" s="320"/>
      <c r="AH65" s="13"/>
      <c r="AI65" s="13"/>
      <c r="AJ65" s="13"/>
      <c r="AK65" s="13"/>
      <c r="AL65" s="13"/>
      <c r="AM65" s="13"/>
      <c r="AN65" s="13"/>
      <c r="AO65" s="13"/>
      <c r="AP65" s="13"/>
    </row>
    <row r="66" ht="18.75" customHeight="1">
      <c r="A66" s="13"/>
      <c r="B66" s="327"/>
      <c r="C66" s="306" t="str">
        <f>IFERROR(__xludf.DUMMYFUNCTION("GOOGLEFINANCE(B66,""name"")
"),"#N/A")</f>
        <v>#N/A</v>
      </c>
      <c r="D66" s="306"/>
      <c r="E66" s="328"/>
      <c r="F66" s="13" t="str">
        <f t="shared" si="1"/>
        <v/>
      </c>
      <c r="G66" s="309" t="str">
        <f>IFERROR(__xludf.DUMMYFUNCTION("IF(ISBLANK(B66),"""",IFERROR(SPARKLINE(INDEX(GOOGLEFINANCE(B66,""price"",TODAY()-$G$17,TODAY()),,2),{""charttype"",""column"";""color"",""17a7e0""}),""""))"),"")</f>
        <v/>
      </c>
      <c r="I66" s="309" t="str">
        <f>IFERROR(__xludf.DUMMYFUNCTION("IFERROR(IF(B66="""","""",GOOGLEFINANCE(B66)),IFERROR(GOOGLEFINANCE(""CURRENCY:""&amp;""USD""&amp;$D$15)*IMPORTXML(""https://coinmarketcap.com/currencies/""&amp;B66,$AJ$3),IMPORTXML(""https://coinmarketcap.com/currencies/""&amp;B66,$AJ$3)))"),"")</f>
        <v/>
      </c>
      <c r="J66" s="310" t="str">
        <f t="shared" si="2"/>
        <v/>
      </c>
      <c r="K66" s="310" t="str">
        <f>IFERROR(__xludf.DUMMYFUNCTION("IFERROR(IF(ISBLANK(B66),"""",GOOGLEFINANCE(B66,""changepct"")/100),"""")"),"")</f>
        <v/>
      </c>
      <c r="L66" s="310" t="str">
        <f>IFERROR(__xludf.DUMMYFUNCTION("IF(ISBLANK(B66),"""",IFERROR((GOOGLEFINANCE(B66,""price"")/INDEX(GOOGLEFINANCE(B66,""price"",DATEVALUE(TODAY()-365) ),2,2)-1),""""))"),"")</f>
        <v/>
      </c>
      <c r="M66" s="310" t="str">
        <f>IFERROR(__xludf.DUMMYFUNCTION("IF(ISBLANK(B66),"""",IFERROR((GOOGLEFINANCE($D$13,""price"")/INDEX(GOOGLEFINANCE($D$13,""price"",DATEVALUE(TODAY()-365) ),2,2)-1),""""))"),"")</f>
        <v/>
      </c>
      <c r="N66" s="310" t="str">
        <f t="shared" si="3"/>
        <v/>
      </c>
      <c r="O66" s="311" t="str">
        <f>IFERROR(__xludf.DUMMYFUNCTION("IFERROR(IF(ISBLANK(B66),"""",GOOGLEFINANCE(B66,""low52"")),"""")"),"")</f>
        <v/>
      </c>
      <c r="P66" s="310" t="str">
        <f t="shared" si="4"/>
        <v/>
      </c>
      <c r="Q66" s="311" t="str">
        <f>IFERROR(__xludf.DUMMYFUNCTION("IFERROR(IF(ISBLANK(B66),"""",GOOGLEFINANCE(B66,""high52"")),"""")"),"")</f>
        <v/>
      </c>
      <c r="R66" s="310" t="str">
        <f t="shared" si="5"/>
        <v/>
      </c>
      <c r="S66" s="13" t="str">
        <f t="shared" si="6"/>
        <v/>
      </c>
      <c r="U66" s="13" t="str">
        <f t="shared" si="7"/>
        <v/>
      </c>
      <c r="W66" s="13" t="str">
        <f t="shared" si="8"/>
        <v/>
      </c>
      <c r="X66" s="310" t="str">
        <f t="shared" si="9"/>
        <v/>
      </c>
      <c r="Y66" s="311" t="str">
        <f>IFERROR(__xludf.DUMMYFUNCTION("IF(ISBLANK(B66),"""",IFERROR(INDEX(GOOGLEFINANCE(B66,""price"",WORKDAY(TODAY(),-$Y$17)),2,2),""""))"),"")</f>
        <v/>
      </c>
      <c r="Z66" s="310" t="str">
        <f>IFERROR(__xludf.DUMMYFUNCTION("IF(ISBLANK(B66),"""",IFERROR(I66/(INDEX(GOOGLEFINANCE(B66,""price"",WORKDAY(TODAY(),-$Z$17)),2,2))-1,""""))"),"")</f>
        <v/>
      </c>
      <c r="AA66" s="312" t="str">
        <f>IFERROR(__xludf.DUMMYFUNCTION("IF(ISBLANK(B66),"""",IFERROR(IFERROR(""$""&amp;Trunc(GOOGLEFINANCE(B66,""Marketcap"")/1000000000)&amp;"" B"",""$""&amp;Trunc(IMPORTXML(""https://coinmarketcap.com/currencies/""&amp;B66,$AJ$4)/1000000000)&amp;"" B""),""-""))"),"")</f>
        <v/>
      </c>
      <c r="AB66" s="13" t="str">
        <f>IFERROR(__xludf.DUMMYFUNCTION("IF(ISBLANK(B66),"""",IFERROR(GOOGLEFINANCE(B66,""pe""),""-""))"),"")</f>
        <v/>
      </c>
      <c r="AC66" s="313" t="str">
        <f>IFERROR(__xludf.DUMMYFUNCTION("SPARKLINE(INDEX(GOOGLEFINANCE(B66,""price"",workday(today(),-$AC$17),today()),,2),{""charttype"",""column"";""color"",""green""})
"),"#N/A")</f>
        <v>#N/A</v>
      </c>
      <c r="AD66" s="313" t="str">
        <f>IFERROR(__xludf.DUMMYFUNCTION("IF(ISBLANK(B66),"""",IFERROR(INDEX(IMPORTXML(""https://eresearch.fidelity.com/eresearch/goto/evaluate/snapshot.jhtml?symbols=""&amp;B66&amp;"""",""//div[@class='sub-heading']//span[@class='right']""),1),""Enter Manually"")
)"),"")</f>
        <v/>
      </c>
      <c r="AE66" s="314" t="str">
        <f t="shared" si="10"/>
        <v>Info</v>
      </c>
      <c r="AF66" s="329"/>
      <c r="AG66" s="320"/>
      <c r="AH66" s="13"/>
      <c r="AI66" s="13"/>
      <c r="AJ66" s="13"/>
      <c r="AK66" s="13"/>
      <c r="AL66" s="13"/>
      <c r="AM66" s="13"/>
      <c r="AN66" s="13"/>
      <c r="AO66" s="13"/>
      <c r="AP66" s="13"/>
    </row>
    <row r="67" ht="18.75" customHeight="1">
      <c r="A67" s="13"/>
      <c r="B67" s="327"/>
      <c r="C67" s="306" t="str">
        <f>IFERROR(__xludf.DUMMYFUNCTION("GOOGLEFINANCE(B67,""name"")
"),"#N/A")</f>
        <v>#N/A</v>
      </c>
      <c r="D67" s="306"/>
      <c r="E67" s="328"/>
      <c r="F67" s="13" t="str">
        <f t="shared" si="1"/>
        <v/>
      </c>
      <c r="G67" s="309" t="str">
        <f>IFERROR(__xludf.DUMMYFUNCTION("IF(ISBLANK(B67),"""",IFERROR(SPARKLINE(INDEX(GOOGLEFINANCE(B67,""price"",TODAY()-$G$17,TODAY()),,2),{""charttype"",""column"";""color"",""17a7e0""}),""""))"),"")</f>
        <v/>
      </c>
      <c r="I67" s="309" t="str">
        <f>IFERROR(__xludf.DUMMYFUNCTION("IFERROR(IF(B67="""","""",GOOGLEFINANCE(B67)),IFERROR(GOOGLEFINANCE(""CURRENCY:""&amp;""USD""&amp;$D$15)*IMPORTXML(""https://coinmarketcap.com/currencies/""&amp;B67,$AJ$3),IMPORTXML(""https://coinmarketcap.com/currencies/""&amp;B67,$AJ$3)))"),"")</f>
        <v/>
      </c>
      <c r="J67" s="310" t="str">
        <f t="shared" si="2"/>
        <v/>
      </c>
      <c r="K67" s="310" t="str">
        <f>IFERROR(__xludf.DUMMYFUNCTION("IFERROR(IF(ISBLANK(B67),"""",GOOGLEFINANCE(B67,""changepct"")/100),"""")"),"")</f>
        <v/>
      </c>
      <c r="L67" s="310" t="str">
        <f>IFERROR(__xludf.DUMMYFUNCTION("IF(ISBLANK(B67),"""",IFERROR((GOOGLEFINANCE(B67,""price"")/INDEX(GOOGLEFINANCE(B67,""price"",DATEVALUE(TODAY()-365) ),2,2)-1),""""))"),"")</f>
        <v/>
      </c>
      <c r="M67" s="310" t="str">
        <f>IFERROR(__xludf.DUMMYFUNCTION("IF(ISBLANK(B67),"""",IFERROR((GOOGLEFINANCE($D$13,""price"")/INDEX(GOOGLEFINANCE($D$13,""price"",DATEVALUE(TODAY()-365) ),2,2)-1),""""))"),"")</f>
        <v/>
      </c>
      <c r="N67" s="310" t="str">
        <f t="shared" si="3"/>
        <v/>
      </c>
      <c r="O67" s="311" t="str">
        <f>IFERROR(__xludf.DUMMYFUNCTION("IFERROR(IF(ISBLANK(B67),"""",GOOGLEFINANCE(B67,""low52"")),"""")"),"")</f>
        <v/>
      </c>
      <c r="P67" s="310" t="str">
        <f t="shared" si="4"/>
        <v/>
      </c>
      <c r="Q67" s="311" t="str">
        <f>IFERROR(__xludf.DUMMYFUNCTION("IFERROR(IF(ISBLANK(B67),"""",GOOGLEFINANCE(B67,""high52"")),"""")"),"")</f>
        <v/>
      </c>
      <c r="R67" s="310" t="str">
        <f t="shared" si="5"/>
        <v/>
      </c>
      <c r="S67" s="13" t="str">
        <f t="shared" si="6"/>
        <v/>
      </c>
      <c r="U67" s="13" t="str">
        <f t="shared" si="7"/>
        <v/>
      </c>
      <c r="W67" s="13" t="str">
        <f t="shared" si="8"/>
        <v/>
      </c>
      <c r="X67" s="310" t="str">
        <f t="shared" si="9"/>
        <v/>
      </c>
      <c r="Y67" s="311" t="str">
        <f>IFERROR(__xludf.DUMMYFUNCTION("IF(ISBLANK(B67),"""",IFERROR(INDEX(GOOGLEFINANCE(B67,""price"",WORKDAY(TODAY(),-$Y$17)),2,2),""""))"),"")</f>
        <v/>
      </c>
      <c r="Z67" s="310" t="str">
        <f>IFERROR(__xludf.DUMMYFUNCTION("IF(ISBLANK(B67),"""",IFERROR(I67/(INDEX(GOOGLEFINANCE(B67,""price"",WORKDAY(TODAY(),-$Z$17)),2,2))-1,""""))"),"")</f>
        <v/>
      </c>
      <c r="AA67" s="312" t="str">
        <f>IFERROR(__xludf.DUMMYFUNCTION("IF(ISBLANK(B67),"""",IFERROR(IFERROR(""$""&amp;Trunc(GOOGLEFINANCE(B67,""Marketcap"")/1000000000)&amp;"" B"",""$""&amp;Trunc(IMPORTXML(""https://coinmarketcap.com/currencies/""&amp;B67,$AJ$4)/1000000000)&amp;"" B""),""-""))"),"")</f>
        <v/>
      </c>
      <c r="AB67" s="13" t="str">
        <f>IFERROR(__xludf.DUMMYFUNCTION("IF(ISBLANK(B67),"""",IFERROR(GOOGLEFINANCE(B67,""pe""),""-""))"),"")</f>
        <v/>
      </c>
      <c r="AC67" s="313" t="str">
        <f>IFERROR(__xludf.DUMMYFUNCTION("SPARKLINE(INDEX(GOOGLEFINANCE(B67,""price"",workday(today(),-$AC$17),today()),,2),{""charttype"",""column"";""color"",""green""})
"),"#N/A")</f>
        <v>#N/A</v>
      </c>
      <c r="AD67" s="313" t="str">
        <f>IFERROR(__xludf.DUMMYFUNCTION("IF(ISBLANK(B67),"""",IFERROR(INDEX(IMPORTXML(""https://eresearch.fidelity.com/eresearch/goto/evaluate/snapshot.jhtml?symbols=""&amp;B67&amp;"""",""//div[@class='sub-heading']//span[@class='right']""),1),""Enter Manually"")
)"),"")</f>
        <v/>
      </c>
      <c r="AE67" s="314" t="str">
        <f t="shared" si="10"/>
        <v>Info</v>
      </c>
      <c r="AF67" s="329"/>
      <c r="AG67" s="320"/>
      <c r="AH67" s="13"/>
      <c r="AI67" s="13"/>
      <c r="AJ67" s="13"/>
      <c r="AK67" s="13"/>
      <c r="AL67" s="13"/>
      <c r="AM67" s="13"/>
      <c r="AN67" s="13"/>
      <c r="AO67" s="13"/>
      <c r="AP67" s="13"/>
    </row>
    <row r="68" ht="18.75" customHeight="1">
      <c r="A68" s="13"/>
      <c r="B68" s="327"/>
      <c r="C68" s="306" t="str">
        <f>IFERROR(__xludf.DUMMYFUNCTION("GOOGLEFINANCE(B68,""name"")
"),"#N/A")</f>
        <v>#N/A</v>
      </c>
      <c r="D68" s="306"/>
      <c r="E68" s="328"/>
      <c r="F68" s="13" t="str">
        <f t="shared" si="1"/>
        <v/>
      </c>
      <c r="G68" s="309" t="str">
        <f>IFERROR(__xludf.DUMMYFUNCTION("IF(ISBLANK(B68),"""",IFERROR(SPARKLINE(INDEX(GOOGLEFINANCE(B68,""price"",TODAY()-$G$17,TODAY()),,2),{""charttype"",""column"";""color"",""17a7e0""}),""""))"),"")</f>
        <v/>
      </c>
      <c r="I68" s="309" t="str">
        <f>IFERROR(__xludf.DUMMYFUNCTION("IFERROR(IF(B68="""","""",GOOGLEFINANCE(B68)),IFERROR(GOOGLEFINANCE(""CURRENCY:""&amp;""USD""&amp;$D$15)*IMPORTXML(""https://coinmarketcap.com/currencies/""&amp;B68,$AJ$3),IMPORTXML(""https://coinmarketcap.com/currencies/""&amp;B68,$AJ$3)))"),"")</f>
        <v/>
      </c>
      <c r="J68" s="310" t="str">
        <f t="shared" si="2"/>
        <v/>
      </c>
      <c r="K68" s="310" t="str">
        <f>IFERROR(__xludf.DUMMYFUNCTION("IFERROR(IF(ISBLANK(B68),"""",GOOGLEFINANCE(B68,""changepct"")/100),"""")"),"")</f>
        <v/>
      </c>
      <c r="L68" s="310" t="str">
        <f>IFERROR(__xludf.DUMMYFUNCTION("IF(ISBLANK(B68),"""",IFERROR((GOOGLEFINANCE(B68,""price"")/INDEX(GOOGLEFINANCE(B68,""price"",DATEVALUE(TODAY()-365) ),2,2)-1),""""))"),"")</f>
        <v/>
      </c>
      <c r="M68" s="310" t="str">
        <f>IFERROR(__xludf.DUMMYFUNCTION("IF(ISBLANK(B68),"""",IFERROR((GOOGLEFINANCE($D$13,""price"")/INDEX(GOOGLEFINANCE($D$13,""price"",DATEVALUE(TODAY()-365) ),2,2)-1),""""))"),"")</f>
        <v/>
      </c>
      <c r="N68" s="310" t="str">
        <f t="shared" si="3"/>
        <v/>
      </c>
      <c r="O68" s="311" t="str">
        <f>IFERROR(__xludf.DUMMYFUNCTION("IFERROR(IF(ISBLANK(B68),"""",GOOGLEFINANCE(B68,""low52"")),"""")"),"")</f>
        <v/>
      </c>
      <c r="P68" s="310" t="str">
        <f t="shared" si="4"/>
        <v/>
      </c>
      <c r="Q68" s="311" t="str">
        <f>IFERROR(__xludf.DUMMYFUNCTION("IFERROR(IF(ISBLANK(B68),"""",GOOGLEFINANCE(B68,""high52"")),"""")"),"")</f>
        <v/>
      </c>
      <c r="R68" s="310" t="str">
        <f t="shared" si="5"/>
        <v/>
      </c>
      <c r="S68" s="13" t="str">
        <f t="shared" si="6"/>
        <v/>
      </c>
      <c r="U68" s="13" t="str">
        <f t="shared" si="7"/>
        <v/>
      </c>
      <c r="W68" s="13" t="str">
        <f t="shared" si="8"/>
        <v/>
      </c>
      <c r="X68" s="310" t="str">
        <f t="shared" si="9"/>
        <v/>
      </c>
      <c r="Y68" s="311" t="str">
        <f>IFERROR(__xludf.DUMMYFUNCTION("IF(ISBLANK(B68),"""",IFERROR(INDEX(GOOGLEFINANCE(B68,""price"",WORKDAY(TODAY(),-$Y$17)),2,2),""""))"),"")</f>
        <v/>
      </c>
      <c r="Z68" s="310" t="str">
        <f>IFERROR(__xludf.DUMMYFUNCTION("IF(ISBLANK(B68),"""",IFERROR(I68/(INDEX(GOOGLEFINANCE(B68,""price"",WORKDAY(TODAY(),-$Z$17)),2,2))-1,""""))"),"")</f>
        <v/>
      </c>
      <c r="AA68" s="312" t="str">
        <f>IFERROR(__xludf.DUMMYFUNCTION("IF(ISBLANK(B68),"""",IFERROR(IFERROR(""$""&amp;Trunc(GOOGLEFINANCE(B68,""Marketcap"")/1000000000)&amp;"" B"",""$""&amp;Trunc(IMPORTXML(""https://coinmarketcap.com/currencies/""&amp;B68,$AJ$4)/1000000000)&amp;"" B""),""-""))"),"")</f>
        <v/>
      </c>
      <c r="AB68" s="13" t="str">
        <f>IFERROR(__xludf.DUMMYFUNCTION("IF(ISBLANK(B68),"""",IFERROR(GOOGLEFINANCE(B68,""pe""),""-""))"),"")</f>
        <v/>
      </c>
      <c r="AC68" s="313" t="str">
        <f>IFERROR(__xludf.DUMMYFUNCTION("SPARKLINE(INDEX(GOOGLEFINANCE(B68,""price"",workday(today(),-$AC$17),today()),,2),{""charttype"",""column"";""color"",""green""})
"),"#N/A")</f>
        <v>#N/A</v>
      </c>
      <c r="AD68" s="313" t="str">
        <f>IFERROR(__xludf.DUMMYFUNCTION("IF(ISBLANK(B68),"""",IFERROR(INDEX(IMPORTXML(""https://eresearch.fidelity.com/eresearch/goto/evaluate/snapshot.jhtml?symbols=""&amp;B68&amp;"""",""//div[@class='sub-heading']//span[@class='right']""),1),""Enter Manually"")
)"),"")</f>
        <v/>
      </c>
      <c r="AE68" s="314" t="str">
        <f t="shared" si="10"/>
        <v>Info</v>
      </c>
      <c r="AF68" s="329"/>
      <c r="AG68" s="320"/>
      <c r="AH68" s="13"/>
      <c r="AI68" s="13"/>
      <c r="AJ68" s="13"/>
      <c r="AK68" s="13"/>
      <c r="AL68" s="13"/>
      <c r="AM68" s="13"/>
      <c r="AN68" s="13"/>
      <c r="AO68" s="13"/>
      <c r="AP68" s="13"/>
    </row>
    <row r="69" ht="18.75" customHeight="1">
      <c r="A69" s="13"/>
      <c r="B69" s="327"/>
      <c r="C69" s="306" t="str">
        <f>IFERROR(__xludf.DUMMYFUNCTION("GOOGLEFINANCE(B69,""name"")
"),"#N/A")</f>
        <v>#N/A</v>
      </c>
      <c r="D69" s="306"/>
      <c r="E69" s="328"/>
      <c r="F69" s="13" t="str">
        <f t="shared" si="1"/>
        <v/>
      </c>
      <c r="G69" s="309" t="str">
        <f>IFERROR(__xludf.DUMMYFUNCTION("IF(ISBLANK(B69),"""",IFERROR(SPARKLINE(INDEX(GOOGLEFINANCE(B69,""price"",TODAY()-$G$17,TODAY()),,2),{""charttype"",""column"";""color"",""17a7e0""}),""""))"),"")</f>
        <v/>
      </c>
      <c r="I69" s="309" t="str">
        <f>IFERROR(__xludf.DUMMYFUNCTION("IFERROR(IF(B69="""","""",GOOGLEFINANCE(B69)),IFERROR(GOOGLEFINANCE(""CURRENCY:""&amp;""USD""&amp;$D$15)*IMPORTXML(""https://coinmarketcap.com/currencies/""&amp;B69,$AJ$3),IMPORTXML(""https://coinmarketcap.com/currencies/""&amp;B69,$AJ$3)))"),"")</f>
        <v/>
      </c>
      <c r="J69" s="310" t="str">
        <f t="shared" si="2"/>
        <v/>
      </c>
      <c r="K69" s="310" t="str">
        <f>IFERROR(__xludf.DUMMYFUNCTION("IFERROR(IF(ISBLANK(B69),"""",GOOGLEFINANCE(B69,""changepct"")/100),"""")"),"")</f>
        <v/>
      </c>
      <c r="L69" s="310" t="str">
        <f>IFERROR(__xludf.DUMMYFUNCTION("IF(ISBLANK(B69),"""",IFERROR((GOOGLEFINANCE(B69,""price"")/INDEX(GOOGLEFINANCE(B69,""price"",DATEVALUE(TODAY()-365) ),2,2)-1),""""))"),"")</f>
        <v/>
      </c>
      <c r="M69" s="310" t="str">
        <f>IFERROR(__xludf.DUMMYFUNCTION("IF(ISBLANK(B69),"""",IFERROR((GOOGLEFINANCE($D$13,""price"")/INDEX(GOOGLEFINANCE($D$13,""price"",DATEVALUE(TODAY()-365) ),2,2)-1),""""))"),"")</f>
        <v/>
      </c>
      <c r="N69" s="310" t="str">
        <f t="shared" si="3"/>
        <v/>
      </c>
      <c r="O69" s="311" t="str">
        <f>IFERROR(__xludf.DUMMYFUNCTION("IFERROR(IF(ISBLANK(B69),"""",GOOGLEFINANCE(B69,""low52"")),"""")"),"")</f>
        <v/>
      </c>
      <c r="P69" s="310" t="str">
        <f t="shared" si="4"/>
        <v/>
      </c>
      <c r="Q69" s="311" t="str">
        <f>IFERROR(__xludf.DUMMYFUNCTION("IFERROR(IF(ISBLANK(B69),"""",GOOGLEFINANCE(B69,""high52"")),"""")"),"")</f>
        <v/>
      </c>
      <c r="R69" s="310" t="str">
        <f t="shared" si="5"/>
        <v/>
      </c>
      <c r="S69" s="13" t="str">
        <f t="shared" si="6"/>
        <v/>
      </c>
      <c r="U69" s="13" t="str">
        <f t="shared" si="7"/>
        <v/>
      </c>
      <c r="W69" s="13" t="str">
        <f t="shared" si="8"/>
        <v/>
      </c>
      <c r="X69" s="310" t="str">
        <f t="shared" si="9"/>
        <v/>
      </c>
      <c r="Y69" s="311" t="str">
        <f>IFERROR(__xludf.DUMMYFUNCTION("IF(ISBLANK(B69),"""",IFERROR(INDEX(GOOGLEFINANCE(B69,""price"",WORKDAY(TODAY(),-$Y$17)),2,2),""""))"),"")</f>
        <v/>
      </c>
      <c r="Z69" s="310" t="str">
        <f>IFERROR(__xludf.DUMMYFUNCTION("IF(ISBLANK(B69),"""",IFERROR(I69/(INDEX(GOOGLEFINANCE(B69,""price"",WORKDAY(TODAY(),-$Z$17)),2,2))-1,""""))"),"")</f>
        <v/>
      </c>
      <c r="AA69" s="312" t="str">
        <f>IFERROR(__xludf.DUMMYFUNCTION("IF(ISBLANK(B69),"""",IFERROR(IFERROR(""$""&amp;Trunc(GOOGLEFINANCE(B69,""Marketcap"")/1000000000)&amp;"" B"",""$""&amp;Trunc(IMPORTXML(""https://coinmarketcap.com/currencies/""&amp;B69,$AJ$4)/1000000000)&amp;"" B""),""-""))"),"")</f>
        <v/>
      </c>
      <c r="AB69" s="13" t="str">
        <f>IFERROR(__xludf.DUMMYFUNCTION("IF(ISBLANK(B69),"""",IFERROR(GOOGLEFINANCE(B69,""pe""),""-""))"),"")</f>
        <v/>
      </c>
      <c r="AC69" s="313" t="str">
        <f>IFERROR(__xludf.DUMMYFUNCTION("SPARKLINE(INDEX(GOOGLEFINANCE(B69,""price"",workday(today(),-$AC$17),today()),,2),{""charttype"",""column"";""color"",""green""})
"),"#N/A")</f>
        <v>#N/A</v>
      </c>
      <c r="AD69" s="313" t="str">
        <f>IFERROR(__xludf.DUMMYFUNCTION("IF(ISBLANK(B69),"""",IFERROR(INDEX(IMPORTXML(""https://eresearch.fidelity.com/eresearch/goto/evaluate/snapshot.jhtml?symbols=""&amp;B69&amp;"""",""//div[@class='sub-heading']//span[@class='right']""),1),""Enter Manually"")
)"),"")</f>
        <v/>
      </c>
      <c r="AE69" s="314" t="str">
        <f t="shared" si="10"/>
        <v>Info</v>
      </c>
      <c r="AF69" s="329"/>
      <c r="AG69" s="320"/>
      <c r="AH69" s="13"/>
      <c r="AI69" s="13"/>
      <c r="AJ69" s="13"/>
      <c r="AK69" s="13"/>
      <c r="AL69" s="13"/>
      <c r="AM69" s="13"/>
      <c r="AN69" s="13"/>
      <c r="AO69" s="13"/>
      <c r="AP69" s="13"/>
    </row>
    <row r="70" ht="18.75" customHeight="1">
      <c r="A70" s="13"/>
      <c r="B70" s="327"/>
      <c r="C70" s="306" t="str">
        <f>IFERROR(__xludf.DUMMYFUNCTION("GOOGLEFINANCE(B70,""name"")
"),"#N/A")</f>
        <v>#N/A</v>
      </c>
      <c r="D70" s="306"/>
      <c r="E70" s="328"/>
      <c r="F70" s="13" t="str">
        <f t="shared" si="1"/>
        <v/>
      </c>
      <c r="G70" s="309" t="str">
        <f>IFERROR(__xludf.DUMMYFUNCTION("IF(ISBLANK(B70),"""",IFERROR(SPARKLINE(INDEX(GOOGLEFINANCE(B70,""price"",TODAY()-$G$17,TODAY()),,2),{""charttype"",""column"";""color"",""17a7e0""}),""""))"),"")</f>
        <v/>
      </c>
      <c r="I70" s="309" t="str">
        <f>IFERROR(__xludf.DUMMYFUNCTION("IFERROR(IF(B70="""","""",GOOGLEFINANCE(B70)),IFERROR(GOOGLEFINANCE(""CURRENCY:""&amp;""USD""&amp;$D$15)*IMPORTXML(""https://coinmarketcap.com/currencies/""&amp;B70,$AJ$3),IMPORTXML(""https://coinmarketcap.com/currencies/""&amp;B70,$AJ$3)))"),"")</f>
        <v/>
      </c>
      <c r="J70" s="310" t="str">
        <f t="shared" si="2"/>
        <v/>
      </c>
      <c r="K70" s="310" t="str">
        <f>IFERROR(__xludf.DUMMYFUNCTION("IFERROR(IF(ISBLANK(B70),"""",GOOGLEFINANCE(B70,""changepct"")/100),"""")"),"")</f>
        <v/>
      </c>
      <c r="L70" s="310" t="str">
        <f>IFERROR(__xludf.DUMMYFUNCTION("IF(ISBLANK(B70),"""",IFERROR((GOOGLEFINANCE(B70,""price"")/INDEX(GOOGLEFINANCE(B70,""price"",DATEVALUE(TODAY()-365) ),2,2)-1),""""))"),"")</f>
        <v/>
      </c>
      <c r="M70" s="310" t="str">
        <f>IFERROR(__xludf.DUMMYFUNCTION("IF(ISBLANK(B70),"""",IFERROR((GOOGLEFINANCE($D$13,""price"")/INDEX(GOOGLEFINANCE($D$13,""price"",DATEVALUE(TODAY()-365) ),2,2)-1),""""))"),"")</f>
        <v/>
      </c>
      <c r="N70" s="310" t="str">
        <f t="shared" si="3"/>
        <v/>
      </c>
      <c r="O70" s="311" t="str">
        <f>IFERROR(__xludf.DUMMYFUNCTION("IFERROR(IF(ISBLANK(B70),"""",GOOGLEFINANCE(B70,""low52"")),"""")"),"")</f>
        <v/>
      </c>
      <c r="P70" s="310" t="str">
        <f t="shared" si="4"/>
        <v/>
      </c>
      <c r="Q70" s="311" t="str">
        <f>IFERROR(__xludf.DUMMYFUNCTION("IFERROR(IF(ISBLANK(B70),"""",GOOGLEFINANCE(B70,""high52"")),"""")"),"")</f>
        <v/>
      </c>
      <c r="R70" s="310" t="str">
        <f t="shared" si="5"/>
        <v/>
      </c>
      <c r="S70" s="13" t="str">
        <f t="shared" si="6"/>
        <v/>
      </c>
      <c r="U70" s="13" t="str">
        <f t="shared" si="7"/>
        <v/>
      </c>
      <c r="W70" s="13" t="str">
        <f t="shared" si="8"/>
        <v/>
      </c>
      <c r="X70" s="310" t="str">
        <f t="shared" si="9"/>
        <v/>
      </c>
      <c r="Y70" s="311" t="str">
        <f>IFERROR(__xludf.DUMMYFUNCTION("IF(ISBLANK(B70),"""",IFERROR(INDEX(GOOGLEFINANCE(B70,""price"",WORKDAY(TODAY(),-$Y$17)),2,2),""""))"),"")</f>
        <v/>
      </c>
      <c r="Z70" s="310" t="str">
        <f>IFERROR(__xludf.DUMMYFUNCTION("IF(ISBLANK(B70),"""",IFERROR(I70/(INDEX(GOOGLEFINANCE(B70,""price"",WORKDAY(TODAY(),-$Z$17)),2,2))-1,""""))"),"")</f>
        <v/>
      </c>
      <c r="AA70" s="312" t="str">
        <f>IFERROR(__xludf.DUMMYFUNCTION("IF(ISBLANK(B70),"""",IFERROR(IFERROR(""$""&amp;Trunc(GOOGLEFINANCE(B70,""Marketcap"")/1000000000)&amp;"" B"",""$""&amp;Trunc(IMPORTXML(""https://coinmarketcap.com/currencies/""&amp;B70,$AJ$4)/1000000000)&amp;"" B""),""-""))"),"")</f>
        <v/>
      </c>
      <c r="AB70" s="13" t="str">
        <f>IFERROR(__xludf.DUMMYFUNCTION("IF(ISBLANK(B70),"""",IFERROR(GOOGLEFINANCE(B70,""pe""),""-""))"),"")</f>
        <v/>
      </c>
      <c r="AC70" s="313" t="str">
        <f>IFERROR(__xludf.DUMMYFUNCTION("SPARKLINE(INDEX(GOOGLEFINANCE(B70,""price"",workday(today(),-$AC$17),today()),,2),{""charttype"",""column"";""color"",""green""})
"),"#N/A")</f>
        <v>#N/A</v>
      </c>
      <c r="AD70" s="313" t="str">
        <f>IFERROR(__xludf.DUMMYFUNCTION("IF(ISBLANK(B70),"""",IFERROR(INDEX(IMPORTXML(""https://eresearch.fidelity.com/eresearch/goto/evaluate/snapshot.jhtml?symbols=""&amp;B70&amp;"""",""//div[@class='sub-heading']//span[@class='right']""),1),""Enter Manually"")
)"),"")</f>
        <v/>
      </c>
      <c r="AE70" s="314" t="str">
        <f t="shared" si="10"/>
        <v>Info</v>
      </c>
      <c r="AF70" s="329"/>
      <c r="AG70" s="320"/>
      <c r="AH70" s="13"/>
      <c r="AI70" s="13"/>
      <c r="AJ70" s="13"/>
      <c r="AK70" s="13"/>
      <c r="AL70" s="13"/>
      <c r="AM70" s="13"/>
      <c r="AN70" s="13"/>
      <c r="AO70" s="13"/>
      <c r="AP70" s="13"/>
    </row>
    <row r="71" ht="18.75" customHeight="1">
      <c r="A71" s="13"/>
      <c r="B71" s="327"/>
      <c r="C71" s="306" t="str">
        <f>IFERROR(__xludf.DUMMYFUNCTION("GOOGLEFINANCE(B71,""name"")
"),"#N/A")</f>
        <v>#N/A</v>
      </c>
      <c r="D71" s="306"/>
      <c r="E71" s="328"/>
      <c r="F71" s="13" t="str">
        <f t="shared" si="1"/>
        <v/>
      </c>
      <c r="G71" s="309" t="str">
        <f>IFERROR(__xludf.DUMMYFUNCTION("IF(ISBLANK(B71),"""",IFERROR(SPARKLINE(INDEX(GOOGLEFINANCE(B71,""price"",TODAY()-$G$17,TODAY()),,2),{""charttype"",""column"";""color"",""17a7e0""}),""""))"),"")</f>
        <v/>
      </c>
      <c r="I71" s="309" t="str">
        <f>IFERROR(__xludf.DUMMYFUNCTION("IFERROR(IF(B71="""","""",GOOGLEFINANCE(B71)),IFERROR(GOOGLEFINANCE(""CURRENCY:""&amp;""USD""&amp;$D$15)*IMPORTXML(""https://coinmarketcap.com/currencies/""&amp;B71,$AJ$3),IMPORTXML(""https://coinmarketcap.com/currencies/""&amp;B71,$AJ$3)))"),"")</f>
        <v/>
      </c>
      <c r="J71" s="310" t="str">
        <f t="shared" si="2"/>
        <v/>
      </c>
      <c r="K71" s="310" t="str">
        <f>IFERROR(__xludf.DUMMYFUNCTION("IFERROR(IF(ISBLANK(B71),"""",GOOGLEFINANCE(B71,""changepct"")/100),"""")"),"")</f>
        <v/>
      </c>
      <c r="L71" s="310" t="str">
        <f>IFERROR(__xludf.DUMMYFUNCTION("IF(ISBLANK(B71),"""",IFERROR((GOOGLEFINANCE(B71,""price"")/INDEX(GOOGLEFINANCE(B71,""price"",DATEVALUE(TODAY()-365) ),2,2)-1),""""))"),"")</f>
        <v/>
      </c>
      <c r="M71" s="310" t="str">
        <f>IFERROR(__xludf.DUMMYFUNCTION("IF(ISBLANK(B71),"""",IFERROR((GOOGLEFINANCE($D$13,""price"")/INDEX(GOOGLEFINANCE($D$13,""price"",DATEVALUE(TODAY()-365) ),2,2)-1),""""))"),"")</f>
        <v/>
      </c>
      <c r="N71" s="310" t="str">
        <f t="shared" si="3"/>
        <v/>
      </c>
      <c r="O71" s="311" t="str">
        <f>IFERROR(__xludf.DUMMYFUNCTION("IFERROR(IF(ISBLANK(B71),"""",GOOGLEFINANCE(B71,""low52"")),"""")"),"")</f>
        <v/>
      </c>
      <c r="P71" s="310" t="str">
        <f t="shared" si="4"/>
        <v/>
      </c>
      <c r="Q71" s="311" t="str">
        <f>IFERROR(__xludf.DUMMYFUNCTION("IFERROR(IF(ISBLANK(B71),"""",GOOGLEFINANCE(B71,""high52"")),"""")"),"")</f>
        <v/>
      </c>
      <c r="R71" s="310" t="str">
        <f t="shared" si="5"/>
        <v/>
      </c>
      <c r="S71" s="13" t="str">
        <f t="shared" si="6"/>
        <v/>
      </c>
      <c r="U71" s="13" t="str">
        <f t="shared" si="7"/>
        <v/>
      </c>
      <c r="W71" s="13" t="str">
        <f t="shared" si="8"/>
        <v/>
      </c>
      <c r="X71" s="310" t="str">
        <f t="shared" si="9"/>
        <v/>
      </c>
      <c r="Y71" s="311" t="str">
        <f>IFERROR(__xludf.DUMMYFUNCTION("IF(ISBLANK(B71),"""",IFERROR(INDEX(GOOGLEFINANCE(B71,""price"",WORKDAY(TODAY(),-$Y$17)),2,2),""""))"),"")</f>
        <v/>
      </c>
      <c r="Z71" s="310" t="str">
        <f>IFERROR(__xludf.DUMMYFUNCTION("IF(ISBLANK(B71),"""",IFERROR(I71/(INDEX(GOOGLEFINANCE(B71,""price"",WORKDAY(TODAY(),-$Z$17)),2,2))-1,""""))"),"")</f>
        <v/>
      </c>
      <c r="AA71" s="312" t="str">
        <f>IFERROR(__xludf.DUMMYFUNCTION("IF(ISBLANK(B71),"""",IFERROR(IFERROR(""$""&amp;Trunc(GOOGLEFINANCE(B71,""Marketcap"")/1000000000)&amp;"" B"",""$""&amp;Trunc(IMPORTXML(""https://coinmarketcap.com/currencies/""&amp;B71,$AJ$4)/1000000000)&amp;"" B""),""-""))"),"")</f>
        <v/>
      </c>
      <c r="AB71" s="13" t="str">
        <f>IFERROR(__xludf.DUMMYFUNCTION("IF(ISBLANK(B71),"""",IFERROR(GOOGLEFINANCE(B71,""pe""),""-""))"),"")</f>
        <v/>
      </c>
      <c r="AC71" s="313" t="str">
        <f>IFERROR(__xludf.DUMMYFUNCTION("SPARKLINE(INDEX(GOOGLEFINANCE(B71,""price"",workday(today(),-$AC$17),today()),,2),{""charttype"",""column"";""color"",""green""})
"),"#N/A")</f>
        <v>#N/A</v>
      </c>
      <c r="AD71" s="313" t="str">
        <f>IFERROR(__xludf.DUMMYFUNCTION("IF(ISBLANK(B71),"""",IFERROR(INDEX(IMPORTXML(""https://eresearch.fidelity.com/eresearch/goto/evaluate/snapshot.jhtml?symbols=""&amp;B71&amp;"""",""//div[@class='sub-heading']//span[@class='right']""),1),""Enter Manually"")
)"),"")</f>
        <v/>
      </c>
      <c r="AE71" s="314" t="str">
        <f t="shared" si="10"/>
        <v>Info</v>
      </c>
      <c r="AF71" s="329"/>
      <c r="AG71" s="320"/>
      <c r="AH71" s="13"/>
      <c r="AI71" s="13"/>
      <c r="AJ71" s="13"/>
      <c r="AK71" s="13"/>
      <c r="AL71" s="13"/>
      <c r="AM71" s="13"/>
      <c r="AN71" s="13"/>
      <c r="AO71" s="13"/>
      <c r="AP71" s="13"/>
    </row>
    <row r="72" ht="18.75" customHeight="1">
      <c r="A72" s="13"/>
      <c r="B72" s="327"/>
      <c r="C72" s="306" t="str">
        <f>IFERROR(__xludf.DUMMYFUNCTION("GOOGLEFINANCE(B72,""name"")
"),"#N/A")</f>
        <v>#N/A</v>
      </c>
      <c r="D72" s="306"/>
      <c r="E72" s="328"/>
      <c r="F72" s="13" t="str">
        <f t="shared" si="1"/>
        <v/>
      </c>
      <c r="G72" s="309" t="str">
        <f>IFERROR(__xludf.DUMMYFUNCTION("IF(ISBLANK(B72),"""",IFERROR(SPARKLINE(INDEX(GOOGLEFINANCE(B72,""price"",TODAY()-$G$17,TODAY()),,2),{""charttype"",""column"";""color"",""17a7e0""}),""""))"),"")</f>
        <v/>
      </c>
      <c r="I72" s="309" t="str">
        <f>IFERROR(__xludf.DUMMYFUNCTION("IFERROR(IF(B72="""","""",GOOGLEFINANCE(B72)),IFERROR(GOOGLEFINANCE(""CURRENCY:""&amp;""USD""&amp;$D$15)*IMPORTXML(""https://coinmarketcap.com/currencies/""&amp;B72,$AJ$3),IMPORTXML(""https://coinmarketcap.com/currencies/""&amp;B72,$AJ$3)))"),"")</f>
        <v/>
      </c>
      <c r="J72" s="310" t="str">
        <f t="shared" si="2"/>
        <v/>
      </c>
      <c r="K72" s="310" t="str">
        <f>IFERROR(__xludf.DUMMYFUNCTION("IFERROR(IF(ISBLANK(B72),"""",GOOGLEFINANCE(B72,""changepct"")/100),"""")"),"")</f>
        <v/>
      </c>
      <c r="L72" s="310" t="str">
        <f>IFERROR(__xludf.DUMMYFUNCTION("IF(ISBLANK(B72),"""",IFERROR((GOOGLEFINANCE(B72,""price"")/INDEX(GOOGLEFINANCE(B72,""price"",DATEVALUE(TODAY()-365) ),2,2)-1),""""))"),"")</f>
        <v/>
      </c>
      <c r="M72" s="310" t="str">
        <f>IFERROR(__xludf.DUMMYFUNCTION("IF(ISBLANK(B72),"""",IFERROR((GOOGLEFINANCE($D$13,""price"")/INDEX(GOOGLEFINANCE($D$13,""price"",DATEVALUE(TODAY()-365) ),2,2)-1),""""))"),"")</f>
        <v/>
      </c>
      <c r="N72" s="310" t="str">
        <f t="shared" si="3"/>
        <v/>
      </c>
      <c r="O72" s="311" t="str">
        <f>IFERROR(__xludf.DUMMYFUNCTION("IFERROR(IF(ISBLANK(B72),"""",GOOGLEFINANCE(B72,""low52"")),"""")"),"")</f>
        <v/>
      </c>
      <c r="P72" s="310" t="str">
        <f t="shared" si="4"/>
        <v/>
      </c>
      <c r="Q72" s="311" t="str">
        <f>IFERROR(__xludf.DUMMYFUNCTION("IFERROR(IF(ISBLANK(B72),"""",GOOGLEFINANCE(B72,""high52"")),"""")"),"")</f>
        <v/>
      </c>
      <c r="R72" s="310" t="str">
        <f t="shared" si="5"/>
        <v/>
      </c>
      <c r="S72" s="13" t="str">
        <f t="shared" si="6"/>
        <v/>
      </c>
      <c r="U72" s="13" t="str">
        <f t="shared" si="7"/>
        <v/>
      </c>
      <c r="W72" s="13" t="str">
        <f t="shared" si="8"/>
        <v/>
      </c>
      <c r="X72" s="310" t="str">
        <f t="shared" si="9"/>
        <v/>
      </c>
      <c r="Y72" s="311" t="str">
        <f>IFERROR(__xludf.DUMMYFUNCTION("IF(ISBLANK(B72),"""",IFERROR(INDEX(GOOGLEFINANCE(B72,""price"",WORKDAY(TODAY(),-$Y$17)),2,2),""""))"),"")</f>
        <v/>
      </c>
      <c r="Z72" s="310" t="str">
        <f>IFERROR(__xludf.DUMMYFUNCTION("IF(ISBLANK(B72),"""",IFERROR(I72/(INDEX(GOOGLEFINANCE(B72,""price"",WORKDAY(TODAY(),-$Z$17)),2,2))-1,""""))"),"")</f>
        <v/>
      </c>
      <c r="AA72" s="312" t="str">
        <f>IFERROR(__xludf.DUMMYFUNCTION("IF(ISBLANK(B72),"""",IFERROR(IFERROR(""$""&amp;Trunc(GOOGLEFINANCE(B72,""Marketcap"")/1000000000)&amp;"" B"",""$""&amp;Trunc(IMPORTXML(""https://coinmarketcap.com/currencies/""&amp;B72,$AJ$4)/1000000000)&amp;"" B""),""-""))"),"")</f>
        <v/>
      </c>
      <c r="AB72" s="13" t="str">
        <f>IFERROR(__xludf.DUMMYFUNCTION("IF(ISBLANK(B72),"""",IFERROR(GOOGLEFINANCE(B72,""pe""),""-""))"),"")</f>
        <v/>
      </c>
      <c r="AC72" s="313" t="str">
        <f>IFERROR(__xludf.DUMMYFUNCTION("SPARKLINE(INDEX(GOOGLEFINANCE(B72,""price"",workday(today(),-$AC$17),today()),,2),{""charttype"",""column"";""color"",""green""})
"),"#N/A")</f>
        <v>#N/A</v>
      </c>
      <c r="AD72" s="313" t="str">
        <f>IFERROR(__xludf.DUMMYFUNCTION("IF(ISBLANK(B72),"""",IFERROR(INDEX(IMPORTXML(""https://eresearch.fidelity.com/eresearch/goto/evaluate/snapshot.jhtml?symbols=""&amp;B72&amp;"""",""//div[@class='sub-heading']//span[@class='right']""),1),""Enter Manually"")
)"),"")</f>
        <v/>
      </c>
      <c r="AE72" s="314" t="str">
        <f t="shared" si="10"/>
        <v>Info</v>
      </c>
      <c r="AF72" s="329"/>
      <c r="AG72" s="320"/>
      <c r="AH72" s="13"/>
      <c r="AI72" s="13"/>
      <c r="AJ72" s="13"/>
      <c r="AK72" s="13"/>
      <c r="AL72" s="13"/>
      <c r="AM72" s="13"/>
      <c r="AN72" s="13"/>
      <c r="AO72" s="13"/>
      <c r="AP72" s="13"/>
    </row>
    <row r="73" ht="18.75" customHeight="1">
      <c r="A73" s="13"/>
      <c r="B73" s="327"/>
      <c r="C73" s="306" t="str">
        <f>IFERROR(__xludf.DUMMYFUNCTION("GOOGLEFINANCE(B73,""name"")
"),"#N/A")</f>
        <v>#N/A</v>
      </c>
      <c r="D73" s="306"/>
      <c r="E73" s="328"/>
      <c r="F73" s="13" t="str">
        <f t="shared" si="1"/>
        <v/>
      </c>
      <c r="G73" s="309" t="str">
        <f>IFERROR(__xludf.DUMMYFUNCTION("IF(ISBLANK(B73),"""",IFERROR(SPARKLINE(INDEX(GOOGLEFINANCE(B73,""price"",TODAY()-$G$17,TODAY()),,2),{""charttype"",""column"";""color"",""17a7e0""}),""""))"),"")</f>
        <v/>
      </c>
      <c r="I73" s="309" t="str">
        <f>IFERROR(__xludf.DUMMYFUNCTION("IFERROR(IF(B73="""","""",GOOGLEFINANCE(B73)),IFERROR(GOOGLEFINANCE(""CURRENCY:""&amp;""USD""&amp;$D$15)*IMPORTXML(""https://coinmarketcap.com/currencies/""&amp;B73,$AJ$3),IMPORTXML(""https://coinmarketcap.com/currencies/""&amp;B73,$AJ$3)))"),"")</f>
        <v/>
      </c>
      <c r="J73" s="310" t="str">
        <f t="shared" si="2"/>
        <v/>
      </c>
      <c r="K73" s="310" t="str">
        <f>IFERROR(__xludf.DUMMYFUNCTION("IFERROR(IF(ISBLANK(B73),"""",GOOGLEFINANCE(B73,""changepct"")/100),"""")"),"")</f>
        <v/>
      </c>
      <c r="L73" s="310" t="str">
        <f>IFERROR(__xludf.DUMMYFUNCTION("IF(ISBLANK(B73),"""",IFERROR((GOOGLEFINANCE(B73,""price"")/INDEX(GOOGLEFINANCE(B73,""price"",DATEVALUE(TODAY()-365) ),2,2)-1),""""))"),"")</f>
        <v/>
      </c>
      <c r="M73" s="310" t="str">
        <f>IFERROR(__xludf.DUMMYFUNCTION("IF(ISBLANK(B73),"""",IFERROR((GOOGLEFINANCE($D$13,""price"")/INDEX(GOOGLEFINANCE($D$13,""price"",DATEVALUE(TODAY()-365) ),2,2)-1),""""))"),"")</f>
        <v/>
      </c>
      <c r="N73" s="310" t="str">
        <f t="shared" si="3"/>
        <v/>
      </c>
      <c r="O73" s="311" t="str">
        <f>IFERROR(__xludf.DUMMYFUNCTION("IFERROR(IF(ISBLANK(B73),"""",GOOGLEFINANCE(B73,""low52"")),"""")"),"")</f>
        <v/>
      </c>
      <c r="P73" s="310" t="str">
        <f t="shared" si="4"/>
        <v/>
      </c>
      <c r="Q73" s="311" t="str">
        <f>IFERROR(__xludf.DUMMYFUNCTION("IFERROR(IF(ISBLANK(B73),"""",GOOGLEFINANCE(B73,""high52"")),"""")"),"")</f>
        <v/>
      </c>
      <c r="R73" s="310" t="str">
        <f t="shared" si="5"/>
        <v/>
      </c>
      <c r="S73" s="13" t="str">
        <f t="shared" si="6"/>
        <v/>
      </c>
      <c r="U73" s="13" t="str">
        <f t="shared" si="7"/>
        <v/>
      </c>
      <c r="W73" s="13" t="str">
        <f t="shared" si="8"/>
        <v/>
      </c>
      <c r="X73" s="310" t="str">
        <f t="shared" si="9"/>
        <v/>
      </c>
      <c r="Y73" s="311" t="str">
        <f>IFERROR(__xludf.DUMMYFUNCTION("IF(ISBLANK(B73),"""",IFERROR(INDEX(GOOGLEFINANCE(B73,""price"",WORKDAY(TODAY(),-$Y$17)),2,2),""""))"),"")</f>
        <v/>
      </c>
      <c r="Z73" s="310" t="str">
        <f>IFERROR(__xludf.DUMMYFUNCTION("IF(ISBLANK(B73),"""",IFERROR(I73/(INDEX(GOOGLEFINANCE(B73,""price"",WORKDAY(TODAY(),-$Z$17)),2,2))-1,""""))"),"")</f>
        <v/>
      </c>
      <c r="AA73" s="312" t="str">
        <f>IFERROR(__xludf.DUMMYFUNCTION("IF(ISBLANK(B73),"""",IFERROR(IFERROR(""$""&amp;Trunc(GOOGLEFINANCE(B73,""Marketcap"")/1000000000)&amp;"" B"",""$""&amp;Trunc(IMPORTXML(""https://coinmarketcap.com/currencies/""&amp;B73,$AJ$4)/1000000000)&amp;"" B""),""-""))"),"")</f>
        <v/>
      </c>
      <c r="AB73" s="13" t="str">
        <f>IFERROR(__xludf.DUMMYFUNCTION("IF(ISBLANK(B73),"""",IFERROR(GOOGLEFINANCE(B73,""pe""),""-""))"),"")</f>
        <v/>
      </c>
      <c r="AC73" s="313" t="str">
        <f>IFERROR(__xludf.DUMMYFUNCTION("SPARKLINE(INDEX(GOOGLEFINANCE(B73,""price"",workday(today(),-$AC$17),today()),,2),{""charttype"",""column"";""color"",""green""})
"),"#N/A")</f>
        <v>#N/A</v>
      </c>
      <c r="AD73" s="313" t="str">
        <f>IFERROR(__xludf.DUMMYFUNCTION("IF(ISBLANK(B73),"""",IFERROR(INDEX(IMPORTXML(""https://eresearch.fidelity.com/eresearch/goto/evaluate/snapshot.jhtml?symbols=""&amp;B73&amp;"""",""//div[@class='sub-heading']//span[@class='right']""),1),""Enter Manually"")
)"),"")</f>
        <v/>
      </c>
      <c r="AE73" s="314" t="str">
        <f t="shared" si="10"/>
        <v>Info</v>
      </c>
      <c r="AF73" s="329"/>
      <c r="AG73" s="320"/>
      <c r="AH73" s="13"/>
      <c r="AI73" s="13"/>
      <c r="AJ73" s="13"/>
      <c r="AK73" s="13"/>
      <c r="AL73" s="13"/>
      <c r="AM73" s="13"/>
      <c r="AN73" s="13"/>
      <c r="AO73" s="13"/>
      <c r="AP73" s="13"/>
    </row>
    <row r="74" ht="18.75" customHeight="1">
      <c r="A74" s="13"/>
      <c r="B74" s="327"/>
      <c r="C74" s="306" t="str">
        <f>IFERROR(__xludf.DUMMYFUNCTION("GOOGLEFINANCE(B74,""name"")
"),"#N/A")</f>
        <v>#N/A</v>
      </c>
      <c r="D74" s="306"/>
      <c r="E74" s="328"/>
      <c r="F74" s="13" t="str">
        <f t="shared" si="1"/>
        <v/>
      </c>
      <c r="G74" s="309" t="str">
        <f>IFERROR(__xludf.DUMMYFUNCTION("IF(ISBLANK(B74),"""",IFERROR(SPARKLINE(INDEX(GOOGLEFINANCE(B74,""price"",TODAY()-$G$17,TODAY()),,2),{""charttype"",""column"";""color"",""17a7e0""}),""""))"),"")</f>
        <v/>
      </c>
      <c r="I74" s="309" t="str">
        <f>IFERROR(__xludf.DUMMYFUNCTION("IFERROR(IF(B74="""","""",GOOGLEFINANCE(B74)),IFERROR(GOOGLEFINANCE(""CURRENCY:""&amp;""USD""&amp;$D$15)*IMPORTXML(""https://coinmarketcap.com/currencies/""&amp;B74,$AJ$3),IMPORTXML(""https://coinmarketcap.com/currencies/""&amp;B74,$AJ$3)))"),"")</f>
        <v/>
      </c>
      <c r="J74" s="310" t="str">
        <f t="shared" si="2"/>
        <v/>
      </c>
      <c r="K74" s="310" t="str">
        <f>IFERROR(__xludf.DUMMYFUNCTION("IFERROR(IF(ISBLANK(B74),"""",GOOGLEFINANCE(B74,""changepct"")/100),"""")"),"")</f>
        <v/>
      </c>
      <c r="L74" s="310" t="str">
        <f>IFERROR(__xludf.DUMMYFUNCTION("IF(ISBLANK(B74),"""",IFERROR((GOOGLEFINANCE(B74,""price"")/INDEX(GOOGLEFINANCE(B74,""price"",DATEVALUE(TODAY()-365) ),2,2)-1),""""))"),"")</f>
        <v/>
      </c>
      <c r="M74" s="310" t="str">
        <f>IFERROR(__xludf.DUMMYFUNCTION("IF(ISBLANK(B74),"""",IFERROR((GOOGLEFINANCE($D$13,""price"")/INDEX(GOOGLEFINANCE($D$13,""price"",DATEVALUE(TODAY()-365) ),2,2)-1),""""))"),"")</f>
        <v/>
      </c>
      <c r="N74" s="310" t="str">
        <f t="shared" si="3"/>
        <v/>
      </c>
      <c r="O74" s="311" t="str">
        <f>IFERROR(__xludf.DUMMYFUNCTION("IFERROR(IF(ISBLANK(B74),"""",GOOGLEFINANCE(B74,""low52"")),"""")"),"")</f>
        <v/>
      </c>
      <c r="P74" s="310" t="str">
        <f t="shared" si="4"/>
        <v/>
      </c>
      <c r="Q74" s="311" t="str">
        <f>IFERROR(__xludf.DUMMYFUNCTION("IFERROR(IF(ISBLANK(B74),"""",GOOGLEFINANCE(B74,""high52"")),"""")"),"")</f>
        <v/>
      </c>
      <c r="R74" s="310" t="str">
        <f t="shared" si="5"/>
        <v/>
      </c>
      <c r="S74" s="13" t="str">
        <f t="shared" si="6"/>
        <v/>
      </c>
      <c r="U74" s="13" t="str">
        <f t="shared" si="7"/>
        <v/>
      </c>
      <c r="W74" s="13" t="str">
        <f t="shared" si="8"/>
        <v/>
      </c>
      <c r="X74" s="310" t="str">
        <f t="shared" si="9"/>
        <v/>
      </c>
      <c r="Y74" s="311" t="str">
        <f>IFERROR(__xludf.DUMMYFUNCTION("IF(ISBLANK(B74),"""",IFERROR(INDEX(GOOGLEFINANCE(B74,""price"",WORKDAY(TODAY(),-$Y$17)),2,2),""""))"),"")</f>
        <v/>
      </c>
      <c r="Z74" s="310" t="str">
        <f>IFERROR(__xludf.DUMMYFUNCTION("IF(ISBLANK(B74),"""",IFERROR(I74/(INDEX(GOOGLEFINANCE(B74,""price"",WORKDAY(TODAY(),-$Z$17)),2,2))-1,""""))"),"")</f>
        <v/>
      </c>
      <c r="AA74" s="312" t="str">
        <f>IFERROR(__xludf.DUMMYFUNCTION("IF(ISBLANK(B74),"""",IFERROR(IFERROR(""$""&amp;Trunc(GOOGLEFINANCE(B74,""Marketcap"")/1000000000)&amp;"" B"",""$""&amp;Trunc(IMPORTXML(""https://coinmarketcap.com/currencies/""&amp;B74,$AJ$4)/1000000000)&amp;"" B""),""-""))"),"")</f>
        <v/>
      </c>
      <c r="AB74" s="13" t="str">
        <f>IFERROR(__xludf.DUMMYFUNCTION("IF(ISBLANK(B74),"""",IFERROR(GOOGLEFINANCE(B74,""pe""),""-""))"),"")</f>
        <v/>
      </c>
      <c r="AC74" s="313" t="str">
        <f>IFERROR(__xludf.DUMMYFUNCTION("SPARKLINE(INDEX(GOOGLEFINANCE(B74,""price"",workday(today(),-$AC$17),today()),,2),{""charttype"",""column"";""color"",""green""})
"),"#N/A")</f>
        <v>#N/A</v>
      </c>
      <c r="AD74" s="313" t="str">
        <f>IFERROR(__xludf.DUMMYFUNCTION("IF(ISBLANK(B74),"""",IFERROR(INDEX(IMPORTXML(""https://eresearch.fidelity.com/eresearch/goto/evaluate/snapshot.jhtml?symbols=""&amp;B74&amp;"""",""//div[@class='sub-heading']//span[@class='right']""),1),""Enter Manually"")
)"),"")</f>
        <v/>
      </c>
      <c r="AE74" s="314" t="str">
        <f t="shared" si="10"/>
        <v>Info</v>
      </c>
      <c r="AF74" s="329"/>
      <c r="AG74" s="320"/>
      <c r="AH74" s="13"/>
      <c r="AI74" s="13"/>
      <c r="AJ74" s="13"/>
      <c r="AK74" s="13"/>
      <c r="AL74" s="13"/>
      <c r="AM74" s="13"/>
      <c r="AN74" s="13"/>
      <c r="AO74" s="13"/>
      <c r="AP74" s="13"/>
    </row>
    <row r="75" ht="18.75" customHeight="1">
      <c r="A75" s="13"/>
      <c r="B75" s="327"/>
      <c r="C75" s="306" t="str">
        <f>IFERROR(__xludf.DUMMYFUNCTION("GOOGLEFINANCE(B75,""name"")
"),"#N/A")</f>
        <v>#N/A</v>
      </c>
      <c r="D75" s="306"/>
      <c r="E75" s="328"/>
      <c r="F75" s="13" t="str">
        <f t="shared" si="1"/>
        <v/>
      </c>
      <c r="G75" s="309" t="str">
        <f>IFERROR(__xludf.DUMMYFUNCTION("IF(ISBLANK(B75),"""",IFERROR(SPARKLINE(INDEX(GOOGLEFINANCE(B75,""price"",TODAY()-$G$17,TODAY()),,2),{""charttype"",""column"";""color"",""17a7e0""}),""""))"),"")</f>
        <v/>
      </c>
      <c r="I75" s="309" t="str">
        <f>IFERROR(__xludf.DUMMYFUNCTION("IFERROR(IF(B75="""","""",GOOGLEFINANCE(B75)),IFERROR(GOOGLEFINANCE(""CURRENCY:""&amp;""USD""&amp;$D$15)*IMPORTXML(""https://coinmarketcap.com/currencies/""&amp;B75,$AJ$3),IMPORTXML(""https://coinmarketcap.com/currencies/""&amp;B75,$AJ$3)))"),"")</f>
        <v/>
      </c>
      <c r="J75" s="310" t="str">
        <f t="shared" si="2"/>
        <v/>
      </c>
      <c r="K75" s="310" t="str">
        <f>IFERROR(__xludf.DUMMYFUNCTION("IFERROR(IF(ISBLANK(B75),"""",GOOGLEFINANCE(B75,""changepct"")/100),"""")"),"")</f>
        <v/>
      </c>
      <c r="L75" s="310" t="str">
        <f>IFERROR(__xludf.DUMMYFUNCTION("IF(ISBLANK(B75),"""",IFERROR((GOOGLEFINANCE(B75,""price"")/INDEX(GOOGLEFINANCE(B75,""price"",DATEVALUE(TODAY()-365) ),2,2)-1),""""))"),"")</f>
        <v/>
      </c>
      <c r="M75" s="310" t="str">
        <f>IFERROR(__xludf.DUMMYFUNCTION("IF(ISBLANK(B75),"""",IFERROR((GOOGLEFINANCE($D$13,""price"")/INDEX(GOOGLEFINANCE($D$13,""price"",DATEVALUE(TODAY()-365) ),2,2)-1),""""))"),"")</f>
        <v/>
      </c>
      <c r="N75" s="310" t="str">
        <f t="shared" si="3"/>
        <v/>
      </c>
      <c r="O75" s="311" t="str">
        <f>IFERROR(__xludf.DUMMYFUNCTION("IFERROR(IF(ISBLANK(B75),"""",GOOGLEFINANCE(B75,""low52"")),"""")"),"")</f>
        <v/>
      </c>
      <c r="P75" s="310" t="str">
        <f t="shared" si="4"/>
        <v/>
      </c>
      <c r="Q75" s="311" t="str">
        <f>IFERROR(__xludf.DUMMYFUNCTION("IFERROR(IF(ISBLANK(B75),"""",GOOGLEFINANCE(B75,""high52"")),"""")"),"")</f>
        <v/>
      </c>
      <c r="R75" s="310" t="str">
        <f t="shared" si="5"/>
        <v/>
      </c>
      <c r="S75" s="13" t="str">
        <f t="shared" si="6"/>
        <v/>
      </c>
      <c r="U75" s="13" t="str">
        <f t="shared" si="7"/>
        <v/>
      </c>
      <c r="W75" s="13" t="str">
        <f t="shared" si="8"/>
        <v/>
      </c>
      <c r="X75" s="310" t="str">
        <f t="shared" si="9"/>
        <v/>
      </c>
      <c r="Y75" s="311" t="str">
        <f>IFERROR(__xludf.DUMMYFUNCTION("IF(ISBLANK(B75),"""",IFERROR(INDEX(GOOGLEFINANCE(B75,""price"",WORKDAY(TODAY(),-$Y$17)),2,2),""""))"),"")</f>
        <v/>
      </c>
      <c r="Z75" s="310" t="str">
        <f>IFERROR(__xludf.DUMMYFUNCTION("IF(ISBLANK(B75),"""",IFERROR(I75/(INDEX(GOOGLEFINANCE(B75,""price"",WORKDAY(TODAY(),-$Z$17)),2,2))-1,""""))"),"")</f>
        <v/>
      </c>
      <c r="AA75" s="312" t="str">
        <f>IFERROR(__xludf.DUMMYFUNCTION("IF(ISBLANK(B75),"""",IFERROR(IFERROR(""$""&amp;Trunc(GOOGLEFINANCE(B75,""Marketcap"")/1000000000)&amp;"" B"",""$""&amp;Trunc(IMPORTXML(""https://coinmarketcap.com/currencies/""&amp;B75,$AJ$4)/1000000000)&amp;"" B""),""-""))"),"")</f>
        <v/>
      </c>
      <c r="AB75" s="13" t="str">
        <f>IFERROR(__xludf.DUMMYFUNCTION("IF(ISBLANK(B75),"""",IFERROR(GOOGLEFINANCE(B75,""pe""),""-""))"),"")</f>
        <v/>
      </c>
      <c r="AC75" s="313" t="str">
        <f>IFERROR(__xludf.DUMMYFUNCTION("SPARKLINE(INDEX(GOOGLEFINANCE(B75,""price"",workday(today(),-$AC$17),today()),,2),{""charttype"",""column"";""color"",""green""})
"),"#N/A")</f>
        <v>#N/A</v>
      </c>
      <c r="AD75" s="313" t="str">
        <f>IFERROR(__xludf.DUMMYFUNCTION("IF(ISBLANK(B75),"""",IFERROR(INDEX(IMPORTXML(""https://eresearch.fidelity.com/eresearch/goto/evaluate/snapshot.jhtml?symbols=""&amp;B75&amp;"""",""//div[@class='sub-heading']//span[@class='right']""),1),""Enter Manually"")
)"),"")</f>
        <v/>
      </c>
      <c r="AE75" s="314" t="str">
        <f t="shared" si="10"/>
        <v>Info</v>
      </c>
      <c r="AF75" s="329"/>
      <c r="AG75" s="320"/>
      <c r="AH75" s="13"/>
      <c r="AI75" s="13"/>
      <c r="AJ75" s="13"/>
      <c r="AK75" s="13"/>
      <c r="AL75" s="13"/>
      <c r="AM75" s="13"/>
      <c r="AN75" s="13"/>
      <c r="AO75" s="13"/>
      <c r="AP75" s="13"/>
    </row>
    <row r="76" ht="18.75" customHeight="1">
      <c r="A76" s="13"/>
      <c r="B76" s="327"/>
      <c r="C76" s="306" t="str">
        <f>IFERROR(__xludf.DUMMYFUNCTION("GOOGLEFINANCE(B76,""name"")
"),"#N/A")</f>
        <v>#N/A</v>
      </c>
      <c r="D76" s="306"/>
      <c r="E76" s="328"/>
      <c r="F76" s="13" t="str">
        <f t="shared" si="1"/>
        <v/>
      </c>
      <c r="G76" s="309" t="str">
        <f>IFERROR(__xludf.DUMMYFUNCTION("IF(ISBLANK(B76),"""",IFERROR(SPARKLINE(INDEX(GOOGLEFINANCE(B76,""price"",TODAY()-$G$17,TODAY()),,2),{""charttype"",""column"";""color"",""17a7e0""}),""""))"),"")</f>
        <v/>
      </c>
      <c r="I76" s="309" t="str">
        <f>IFERROR(__xludf.DUMMYFUNCTION("IFERROR(IF(B76="""","""",GOOGLEFINANCE(B76)),IFERROR(GOOGLEFINANCE(""CURRENCY:""&amp;""USD""&amp;$D$15)*IMPORTXML(""https://coinmarketcap.com/currencies/""&amp;B76,$AJ$3),IMPORTXML(""https://coinmarketcap.com/currencies/""&amp;B76,$AJ$3)))"),"")</f>
        <v/>
      </c>
      <c r="J76" s="310" t="str">
        <f t="shared" si="2"/>
        <v/>
      </c>
      <c r="K76" s="310" t="str">
        <f>IFERROR(__xludf.DUMMYFUNCTION("IFERROR(IF(ISBLANK(B76),"""",GOOGLEFINANCE(B76,""changepct"")/100),"""")"),"")</f>
        <v/>
      </c>
      <c r="L76" s="310" t="str">
        <f>IFERROR(__xludf.DUMMYFUNCTION("IF(ISBLANK(B76),"""",IFERROR((GOOGLEFINANCE(B76,""price"")/INDEX(GOOGLEFINANCE(B76,""price"",DATEVALUE(TODAY()-365) ),2,2)-1),""""))"),"")</f>
        <v/>
      </c>
      <c r="M76" s="310" t="str">
        <f>IFERROR(__xludf.DUMMYFUNCTION("IF(ISBLANK(B76),"""",IFERROR((GOOGLEFINANCE($D$13,""price"")/INDEX(GOOGLEFINANCE($D$13,""price"",DATEVALUE(TODAY()-365) ),2,2)-1),""""))"),"")</f>
        <v/>
      </c>
      <c r="N76" s="310" t="str">
        <f t="shared" si="3"/>
        <v/>
      </c>
      <c r="O76" s="311" t="str">
        <f>IFERROR(__xludf.DUMMYFUNCTION("IFERROR(IF(ISBLANK(B76),"""",GOOGLEFINANCE(B76,""low52"")),"""")"),"")</f>
        <v/>
      </c>
      <c r="P76" s="310" t="str">
        <f t="shared" si="4"/>
        <v/>
      </c>
      <c r="Q76" s="311" t="str">
        <f>IFERROR(__xludf.DUMMYFUNCTION("IFERROR(IF(ISBLANK(B76),"""",GOOGLEFINANCE(B76,""high52"")),"""")"),"")</f>
        <v/>
      </c>
      <c r="R76" s="310" t="str">
        <f t="shared" si="5"/>
        <v/>
      </c>
      <c r="S76" s="13" t="str">
        <f t="shared" si="6"/>
        <v/>
      </c>
      <c r="U76" s="13" t="str">
        <f t="shared" si="7"/>
        <v/>
      </c>
      <c r="W76" s="13" t="str">
        <f t="shared" si="8"/>
        <v/>
      </c>
      <c r="X76" s="310" t="str">
        <f t="shared" si="9"/>
        <v/>
      </c>
      <c r="Y76" s="311" t="str">
        <f>IFERROR(__xludf.DUMMYFUNCTION("IF(ISBLANK(B76),"""",IFERROR(INDEX(GOOGLEFINANCE(B76,""price"",WORKDAY(TODAY(),-$Y$17)),2,2),""""))"),"")</f>
        <v/>
      </c>
      <c r="Z76" s="310" t="str">
        <f>IFERROR(__xludf.DUMMYFUNCTION("IF(ISBLANK(B76),"""",IFERROR(I76/(INDEX(GOOGLEFINANCE(B76,""price"",WORKDAY(TODAY(),-$Z$17)),2,2))-1,""""))"),"")</f>
        <v/>
      </c>
      <c r="AA76" s="312" t="str">
        <f>IFERROR(__xludf.DUMMYFUNCTION("IF(ISBLANK(B76),"""",IFERROR(IFERROR(""$""&amp;Trunc(GOOGLEFINANCE(B76,""Marketcap"")/1000000000)&amp;"" B"",""$""&amp;Trunc(IMPORTXML(""https://coinmarketcap.com/currencies/""&amp;B76,$AJ$4)/1000000000)&amp;"" B""),""-""))"),"")</f>
        <v/>
      </c>
      <c r="AB76" s="13" t="str">
        <f>IFERROR(__xludf.DUMMYFUNCTION("IF(ISBLANK(B76),"""",IFERROR(GOOGLEFINANCE(B76,""pe""),""-""))"),"")</f>
        <v/>
      </c>
      <c r="AC76" s="313" t="str">
        <f>IFERROR(__xludf.DUMMYFUNCTION("SPARKLINE(INDEX(GOOGLEFINANCE(B76,""price"",workday(today(),-$AC$17),today()),,2),{""charttype"",""column"";""color"",""green""})
"),"#N/A")</f>
        <v>#N/A</v>
      </c>
      <c r="AD76" s="313" t="str">
        <f>IFERROR(__xludf.DUMMYFUNCTION("IF(ISBLANK(B76),"""",IFERROR(INDEX(IMPORTXML(""https://eresearch.fidelity.com/eresearch/goto/evaluate/snapshot.jhtml?symbols=""&amp;B76&amp;"""",""//div[@class='sub-heading']//span[@class='right']""),1),""Enter Manually"")
)"),"")</f>
        <v/>
      </c>
      <c r="AE76" s="314" t="str">
        <f t="shared" si="10"/>
        <v>Info</v>
      </c>
      <c r="AF76" s="329"/>
      <c r="AG76" s="320"/>
      <c r="AH76" s="13"/>
      <c r="AI76" s="13"/>
      <c r="AJ76" s="13"/>
      <c r="AK76" s="13"/>
      <c r="AL76" s="13"/>
      <c r="AM76" s="13"/>
      <c r="AN76" s="13"/>
      <c r="AO76" s="13"/>
      <c r="AP76" s="13"/>
    </row>
    <row r="77" ht="18.75" customHeight="1">
      <c r="A77" s="13"/>
      <c r="B77" s="327"/>
      <c r="C77" s="306" t="str">
        <f>IFERROR(__xludf.DUMMYFUNCTION("GOOGLEFINANCE(B77,""name"")
"),"#N/A")</f>
        <v>#N/A</v>
      </c>
      <c r="D77" s="306"/>
      <c r="E77" s="328"/>
      <c r="F77" s="13" t="str">
        <f t="shared" si="1"/>
        <v/>
      </c>
      <c r="G77" s="309" t="str">
        <f>IFERROR(__xludf.DUMMYFUNCTION("IF(ISBLANK(B77),"""",IFERROR(SPARKLINE(INDEX(GOOGLEFINANCE(B77,""price"",TODAY()-$G$17,TODAY()),,2),{""charttype"",""column"";""color"",""17a7e0""}),""""))"),"")</f>
        <v/>
      </c>
      <c r="I77" s="309" t="str">
        <f>IFERROR(__xludf.DUMMYFUNCTION("IFERROR(IF(B77="""","""",GOOGLEFINANCE(B77)),IFERROR(GOOGLEFINANCE(""CURRENCY:""&amp;""USD""&amp;$D$15)*IMPORTXML(""https://coinmarketcap.com/currencies/""&amp;B77,$AJ$3),IMPORTXML(""https://coinmarketcap.com/currencies/""&amp;B77,$AJ$3)))"),"")</f>
        <v/>
      </c>
      <c r="J77" s="310" t="str">
        <f t="shared" si="2"/>
        <v/>
      </c>
      <c r="K77" s="310" t="str">
        <f>IFERROR(__xludf.DUMMYFUNCTION("IFERROR(IF(ISBLANK(B77),"""",GOOGLEFINANCE(B77,""changepct"")/100),"""")"),"")</f>
        <v/>
      </c>
      <c r="L77" s="310" t="str">
        <f>IFERROR(__xludf.DUMMYFUNCTION("IF(ISBLANK(B77),"""",IFERROR((GOOGLEFINANCE(B77,""price"")/INDEX(GOOGLEFINANCE(B77,""price"",DATEVALUE(TODAY()-365) ),2,2)-1),""""))"),"")</f>
        <v/>
      </c>
      <c r="M77" s="310" t="str">
        <f>IFERROR(__xludf.DUMMYFUNCTION("IF(ISBLANK(B77),"""",IFERROR((GOOGLEFINANCE($D$13,""price"")/INDEX(GOOGLEFINANCE($D$13,""price"",DATEVALUE(TODAY()-365) ),2,2)-1),""""))"),"")</f>
        <v/>
      </c>
      <c r="N77" s="310" t="str">
        <f t="shared" si="3"/>
        <v/>
      </c>
      <c r="O77" s="311" t="str">
        <f>IFERROR(__xludf.DUMMYFUNCTION("IFERROR(IF(ISBLANK(B77),"""",GOOGLEFINANCE(B77,""low52"")),"""")"),"")</f>
        <v/>
      </c>
      <c r="P77" s="310" t="str">
        <f t="shared" si="4"/>
        <v/>
      </c>
      <c r="Q77" s="311" t="str">
        <f>IFERROR(__xludf.DUMMYFUNCTION("IFERROR(IF(ISBLANK(B77),"""",GOOGLEFINANCE(B77,""high52"")),"""")"),"")</f>
        <v/>
      </c>
      <c r="R77" s="310" t="str">
        <f t="shared" si="5"/>
        <v/>
      </c>
      <c r="S77" s="13" t="str">
        <f t="shared" si="6"/>
        <v/>
      </c>
      <c r="U77" s="13" t="str">
        <f t="shared" si="7"/>
        <v/>
      </c>
      <c r="W77" s="13" t="str">
        <f t="shared" si="8"/>
        <v/>
      </c>
      <c r="X77" s="310" t="str">
        <f t="shared" si="9"/>
        <v/>
      </c>
      <c r="Y77" s="311" t="str">
        <f>IFERROR(__xludf.DUMMYFUNCTION("IF(ISBLANK(B77),"""",IFERROR(INDEX(GOOGLEFINANCE(B77,""price"",WORKDAY(TODAY(),-$Y$17)),2,2),""""))"),"")</f>
        <v/>
      </c>
      <c r="Z77" s="310" t="str">
        <f>IFERROR(__xludf.DUMMYFUNCTION("IF(ISBLANK(B77),"""",IFERROR(I77/(INDEX(GOOGLEFINANCE(B77,""price"",WORKDAY(TODAY(),-$Z$17)),2,2))-1,""""))"),"")</f>
        <v/>
      </c>
      <c r="AA77" s="312" t="str">
        <f>IFERROR(__xludf.DUMMYFUNCTION("IF(ISBLANK(B77),"""",IFERROR(IFERROR(""$""&amp;Trunc(GOOGLEFINANCE(B77,""Marketcap"")/1000000000)&amp;"" B"",""$""&amp;Trunc(IMPORTXML(""https://coinmarketcap.com/currencies/""&amp;B77,$AJ$4)/1000000000)&amp;"" B""),""-""))"),"")</f>
        <v/>
      </c>
      <c r="AB77" s="13" t="str">
        <f>IFERROR(__xludf.DUMMYFUNCTION("IF(ISBLANK(B77),"""",IFERROR(GOOGLEFINANCE(B77,""pe""),""-""))"),"")</f>
        <v/>
      </c>
      <c r="AC77" s="313" t="str">
        <f>IFERROR(__xludf.DUMMYFUNCTION("SPARKLINE(INDEX(GOOGLEFINANCE(B77,""price"",workday(today(),-$AC$17),today()),,2),{""charttype"",""column"";""color"",""green""})
"),"#N/A")</f>
        <v>#N/A</v>
      </c>
      <c r="AD77" s="313" t="str">
        <f>IFERROR(__xludf.DUMMYFUNCTION("IF(ISBLANK(B77),"""",IFERROR(INDEX(IMPORTXML(""https://eresearch.fidelity.com/eresearch/goto/evaluate/snapshot.jhtml?symbols=""&amp;B77&amp;"""",""//div[@class='sub-heading']//span[@class='right']""),1),""Enter Manually"")
)"),"")</f>
        <v/>
      </c>
      <c r="AE77" s="314" t="str">
        <f t="shared" si="10"/>
        <v>Info</v>
      </c>
      <c r="AF77" s="329"/>
      <c r="AG77" s="320"/>
      <c r="AH77" s="13"/>
      <c r="AI77" s="13"/>
      <c r="AJ77" s="13"/>
      <c r="AK77" s="13"/>
      <c r="AL77" s="13"/>
      <c r="AM77" s="13"/>
      <c r="AN77" s="13"/>
      <c r="AO77" s="13"/>
      <c r="AP77" s="13"/>
    </row>
    <row r="78" ht="18.75" customHeight="1">
      <c r="A78" s="13"/>
      <c r="B78" s="327"/>
      <c r="C78" s="306" t="str">
        <f>IFERROR(__xludf.DUMMYFUNCTION("GOOGLEFINANCE(B78,""name"")
"),"#N/A")</f>
        <v>#N/A</v>
      </c>
      <c r="D78" s="306"/>
      <c r="E78" s="328"/>
      <c r="F78" s="13" t="str">
        <f t="shared" si="1"/>
        <v/>
      </c>
      <c r="G78" s="309" t="str">
        <f>IFERROR(__xludf.DUMMYFUNCTION("IF(ISBLANK(B78),"""",IFERROR(SPARKLINE(INDEX(GOOGLEFINANCE(B78,""price"",TODAY()-$G$17,TODAY()),,2),{""charttype"",""column"";""color"",""17a7e0""}),""""))"),"")</f>
        <v/>
      </c>
      <c r="I78" s="309" t="str">
        <f>IFERROR(__xludf.DUMMYFUNCTION("IFERROR(IF(B78="""","""",GOOGLEFINANCE(B78)),IFERROR(GOOGLEFINANCE(""CURRENCY:""&amp;""USD""&amp;$D$15)*IMPORTXML(""https://coinmarketcap.com/currencies/""&amp;B78,$AJ$3),IMPORTXML(""https://coinmarketcap.com/currencies/""&amp;B78,$AJ$3)))"),"")</f>
        <v/>
      </c>
      <c r="J78" s="310" t="str">
        <f t="shared" si="2"/>
        <v/>
      </c>
      <c r="K78" s="310" t="str">
        <f>IFERROR(__xludf.DUMMYFUNCTION("IFERROR(IF(ISBLANK(B78),"""",GOOGLEFINANCE(B78,""changepct"")/100),"""")"),"")</f>
        <v/>
      </c>
      <c r="L78" s="310" t="str">
        <f>IFERROR(__xludf.DUMMYFUNCTION("IF(ISBLANK(B78),"""",IFERROR((GOOGLEFINANCE(B78,""price"")/INDEX(GOOGLEFINANCE(B78,""price"",DATEVALUE(TODAY()-365) ),2,2)-1),""""))"),"")</f>
        <v/>
      </c>
      <c r="M78" s="310" t="str">
        <f>IFERROR(__xludf.DUMMYFUNCTION("IF(ISBLANK(B78),"""",IFERROR((GOOGLEFINANCE($D$13,""price"")/INDEX(GOOGLEFINANCE($D$13,""price"",DATEVALUE(TODAY()-365) ),2,2)-1),""""))"),"")</f>
        <v/>
      </c>
      <c r="N78" s="310" t="str">
        <f t="shared" si="3"/>
        <v/>
      </c>
      <c r="O78" s="311" t="str">
        <f>IFERROR(__xludf.DUMMYFUNCTION("IFERROR(IF(ISBLANK(B78),"""",GOOGLEFINANCE(B78,""low52"")),"""")"),"")</f>
        <v/>
      </c>
      <c r="P78" s="310" t="str">
        <f t="shared" si="4"/>
        <v/>
      </c>
      <c r="Q78" s="311" t="str">
        <f>IFERROR(__xludf.DUMMYFUNCTION("IFERROR(IF(ISBLANK(B78),"""",GOOGLEFINANCE(B78,""high52"")),"""")"),"")</f>
        <v/>
      </c>
      <c r="R78" s="310" t="str">
        <f t="shared" si="5"/>
        <v/>
      </c>
      <c r="S78" s="13" t="str">
        <f t="shared" si="6"/>
        <v/>
      </c>
      <c r="U78" s="13" t="str">
        <f t="shared" si="7"/>
        <v/>
      </c>
      <c r="W78" s="13" t="str">
        <f t="shared" si="8"/>
        <v/>
      </c>
      <c r="X78" s="310" t="str">
        <f t="shared" si="9"/>
        <v/>
      </c>
      <c r="Y78" s="311" t="str">
        <f>IFERROR(__xludf.DUMMYFUNCTION("IF(ISBLANK(B78),"""",IFERROR(INDEX(GOOGLEFINANCE(B78,""price"",WORKDAY(TODAY(),-$Y$17)),2,2),""""))"),"")</f>
        <v/>
      </c>
      <c r="Z78" s="310" t="str">
        <f>IFERROR(__xludf.DUMMYFUNCTION("IF(ISBLANK(B78),"""",IFERROR(I78/(INDEX(GOOGLEFINANCE(B78,""price"",WORKDAY(TODAY(),-$Z$17)),2,2))-1,""""))"),"")</f>
        <v/>
      </c>
      <c r="AA78" s="312" t="str">
        <f>IFERROR(__xludf.DUMMYFUNCTION("IF(ISBLANK(B78),"""",IFERROR(IFERROR(""$""&amp;Trunc(GOOGLEFINANCE(B78,""Marketcap"")/1000000000)&amp;"" B"",""$""&amp;Trunc(IMPORTXML(""https://coinmarketcap.com/currencies/""&amp;B78,$AJ$4)/1000000000)&amp;"" B""),""-""))"),"")</f>
        <v/>
      </c>
      <c r="AB78" s="13" t="str">
        <f>IFERROR(__xludf.DUMMYFUNCTION("IF(ISBLANK(B78),"""",IFERROR(GOOGLEFINANCE(B78,""pe""),""-""))"),"")</f>
        <v/>
      </c>
      <c r="AC78" s="313" t="str">
        <f>IFERROR(__xludf.DUMMYFUNCTION("SPARKLINE(INDEX(GOOGLEFINANCE(B78,""price"",workday(today(),-$AC$17),today()),,2),{""charttype"",""column"";""color"",""green""})
"),"#N/A")</f>
        <v>#N/A</v>
      </c>
      <c r="AD78" s="313" t="str">
        <f>IFERROR(__xludf.DUMMYFUNCTION("IF(ISBLANK(B78),"""",IFERROR(INDEX(IMPORTXML(""https://eresearch.fidelity.com/eresearch/goto/evaluate/snapshot.jhtml?symbols=""&amp;B78&amp;"""",""//div[@class='sub-heading']//span[@class='right']""),1),""Enter Manually"")
)"),"")</f>
        <v/>
      </c>
      <c r="AE78" s="314" t="str">
        <f t="shared" si="10"/>
        <v>Info</v>
      </c>
      <c r="AF78" s="329"/>
      <c r="AG78" s="320"/>
      <c r="AH78" s="13"/>
      <c r="AI78" s="13"/>
      <c r="AJ78" s="13"/>
      <c r="AK78" s="13"/>
      <c r="AL78" s="13"/>
      <c r="AM78" s="13"/>
      <c r="AN78" s="13"/>
      <c r="AO78" s="13"/>
      <c r="AP78" s="13"/>
    </row>
    <row r="79" ht="18.75" customHeight="1">
      <c r="A79" s="13"/>
      <c r="B79" s="327"/>
      <c r="C79" s="306" t="str">
        <f>IFERROR(__xludf.DUMMYFUNCTION("GOOGLEFINANCE(B79,""name"")
"),"#N/A")</f>
        <v>#N/A</v>
      </c>
      <c r="D79" s="306"/>
      <c r="E79" s="328"/>
      <c r="F79" s="13" t="str">
        <f t="shared" si="1"/>
        <v/>
      </c>
      <c r="G79" s="309" t="str">
        <f>IFERROR(__xludf.DUMMYFUNCTION("IF(ISBLANK(B79),"""",IFERROR(SPARKLINE(INDEX(GOOGLEFINANCE(B79,""price"",TODAY()-$G$17,TODAY()),,2),{""charttype"",""column"";""color"",""17a7e0""}),""""))"),"")</f>
        <v/>
      </c>
      <c r="I79" s="309" t="str">
        <f>IFERROR(__xludf.DUMMYFUNCTION("IFERROR(IF(B79="""","""",GOOGLEFINANCE(B79)),IFERROR(GOOGLEFINANCE(""CURRENCY:""&amp;""USD""&amp;$D$15)*IMPORTXML(""https://coinmarketcap.com/currencies/""&amp;B79,$AJ$3),IMPORTXML(""https://coinmarketcap.com/currencies/""&amp;B79,$AJ$3)))"),"")</f>
        <v/>
      </c>
      <c r="J79" s="310" t="str">
        <f t="shared" si="2"/>
        <v/>
      </c>
      <c r="K79" s="310" t="str">
        <f>IFERROR(__xludf.DUMMYFUNCTION("IFERROR(IF(ISBLANK(B79),"""",GOOGLEFINANCE(B79,""changepct"")/100),"""")"),"")</f>
        <v/>
      </c>
      <c r="L79" s="310" t="str">
        <f>IFERROR(__xludf.DUMMYFUNCTION("IF(ISBLANK(B79),"""",IFERROR((GOOGLEFINANCE(B79,""price"")/INDEX(GOOGLEFINANCE(B79,""price"",DATEVALUE(TODAY()-365) ),2,2)-1),""""))"),"")</f>
        <v/>
      </c>
      <c r="M79" s="310" t="str">
        <f>IFERROR(__xludf.DUMMYFUNCTION("IF(ISBLANK(B79),"""",IFERROR((GOOGLEFINANCE($D$13,""price"")/INDEX(GOOGLEFINANCE($D$13,""price"",DATEVALUE(TODAY()-365) ),2,2)-1),""""))"),"")</f>
        <v/>
      </c>
      <c r="N79" s="310" t="str">
        <f t="shared" si="3"/>
        <v/>
      </c>
      <c r="O79" s="311" t="str">
        <f>IFERROR(__xludf.DUMMYFUNCTION("IFERROR(IF(ISBLANK(B79),"""",GOOGLEFINANCE(B79,""low52"")),"""")"),"")</f>
        <v/>
      </c>
      <c r="P79" s="310" t="str">
        <f t="shared" si="4"/>
        <v/>
      </c>
      <c r="Q79" s="311" t="str">
        <f>IFERROR(__xludf.DUMMYFUNCTION("IFERROR(IF(ISBLANK(B79),"""",GOOGLEFINANCE(B79,""high52"")),"""")"),"")</f>
        <v/>
      </c>
      <c r="R79" s="310" t="str">
        <f t="shared" si="5"/>
        <v/>
      </c>
      <c r="S79" s="13" t="str">
        <f t="shared" si="6"/>
        <v/>
      </c>
      <c r="U79" s="13" t="str">
        <f t="shared" si="7"/>
        <v/>
      </c>
      <c r="W79" s="13" t="str">
        <f t="shared" si="8"/>
        <v/>
      </c>
      <c r="X79" s="310" t="str">
        <f t="shared" si="9"/>
        <v/>
      </c>
      <c r="Y79" s="311" t="str">
        <f>IFERROR(__xludf.DUMMYFUNCTION("IF(ISBLANK(B79),"""",IFERROR(INDEX(GOOGLEFINANCE(B79,""price"",WORKDAY(TODAY(),-$Y$17)),2,2),""""))"),"")</f>
        <v/>
      </c>
      <c r="Z79" s="310" t="str">
        <f>IFERROR(__xludf.DUMMYFUNCTION("IF(ISBLANK(B79),"""",IFERROR(I79/(INDEX(GOOGLEFINANCE(B79,""price"",WORKDAY(TODAY(),-$Z$17)),2,2))-1,""""))"),"")</f>
        <v/>
      </c>
      <c r="AA79" s="312" t="str">
        <f>IFERROR(__xludf.DUMMYFUNCTION("IF(ISBLANK(B79),"""",IFERROR(IFERROR(""$""&amp;Trunc(GOOGLEFINANCE(B79,""Marketcap"")/1000000000)&amp;"" B"",""$""&amp;Trunc(IMPORTXML(""https://coinmarketcap.com/currencies/""&amp;B79,$AJ$4)/1000000000)&amp;"" B""),""-""))"),"")</f>
        <v/>
      </c>
      <c r="AB79" s="13" t="str">
        <f>IFERROR(__xludf.DUMMYFUNCTION("IF(ISBLANK(B79),"""",IFERROR(GOOGLEFINANCE(B79,""pe""),""-""))"),"")</f>
        <v/>
      </c>
      <c r="AC79" s="313" t="str">
        <f>IFERROR(__xludf.DUMMYFUNCTION("SPARKLINE(INDEX(GOOGLEFINANCE(B79,""price"",workday(today(),-$AC$17),today()),,2),{""charttype"",""column"";""color"",""green""})
"),"#N/A")</f>
        <v>#N/A</v>
      </c>
      <c r="AD79" s="313" t="str">
        <f>IFERROR(__xludf.DUMMYFUNCTION("IF(ISBLANK(B79),"""",IFERROR(INDEX(IMPORTXML(""https://eresearch.fidelity.com/eresearch/goto/evaluate/snapshot.jhtml?symbols=""&amp;B79&amp;"""",""//div[@class='sub-heading']//span[@class='right']""),1),""Enter Manually"")
)"),"")</f>
        <v/>
      </c>
      <c r="AE79" s="314" t="str">
        <f t="shared" si="10"/>
        <v>Info</v>
      </c>
      <c r="AF79" s="329"/>
      <c r="AG79" s="320"/>
      <c r="AH79" s="13"/>
      <c r="AI79" s="13"/>
      <c r="AJ79" s="13"/>
      <c r="AK79" s="13"/>
      <c r="AL79" s="13"/>
      <c r="AM79" s="13"/>
      <c r="AN79" s="13"/>
      <c r="AO79" s="13"/>
      <c r="AP79" s="13"/>
    </row>
    <row r="80" ht="18.75" customHeight="1">
      <c r="A80" s="13"/>
      <c r="B80" s="327"/>
      <c r="C80" s="306" t="str">
        <f>IFERROR(__xludf.DUMMYFUNCTION("GOOGLEFINANCE(B80,""name"")
"),"#N/A")</f>
        <v>#N/A</v>
      </c>
      <c r="D80" s="306"/>
      <c r="E80" s="328"/>
      <c r="F80" s="13" t="str">
        <f t="shared" si="1"/>
        <v/>
      </c>
      <c r="G80" s="309" t="str">
        <f>IFERROR(__xludf.DUMMYFUNCTION("IF(ISBLANK(B80),"""",IFERROR(SPARKLINE(INDEX(GOOGLEFINANCE(B80,""price"",TODAY()-$G$17,TODAY()),,2),{""charttype"",""column"";""color"",""17a7e0""}),""""))"),"")</f>
        <v/>
      </c>
      <c r="I80" s="309" t="str">
        <f>IFERROR(__xludf.DUMMYFUNCTION("IFERROR(IF(B80="""","""",GOOGLEFINANCE(B80)),IFERROR(GOOGLEFINANCE(""CURRENCY:""&amp;""USD""&amp;$D$15)*IMPORTXML(""https://coinmarketcap.com/currencies/""&amp;B80,$AJ$3),IMPORTXML(""https://coinmarketcap.com/currencies/""&amp;B80,$AJ$3)))"),"")</f>
        <v/>
      </c>
      <c r="J80" s="310" t="str">
        <f t="shared" si="2"/>
        <v/>
      </c>
      <c r="K80" s="310" t="str">
        <f>IFERROR(__xludf.DUMMYFUNCTION("IFERROR(IF(ISBLANK(B80),"""",GOOGLEFINANCE(B80,""changepct"")/100),"""")"),"")</f>
        <v/>
      </c>
      <c r="L80" s="310" t="str">
        <f>IFERROR(__xludf.DUMMYFUNCTION("IF(ISBLANK(B80),"""",IFERROR((GOOGLEFINANCE(B80,""price"")/INDEX(GOOGLEFINANCE(B80,""price"",DATEVALUE(TODAY()-365) ),2,2)-1),""""))"),"")</f>
        <v/>
      </c>
      <c r="M80" s="310" t="str">
        <f>IFERROR(__xludf.DUMMYFUNCTION("IF(ISBLANK(B80),"""",IFERROR((GOOGLEFINANCE($D$13,""price"")/INDEX(GOOGLEFINANCE($D$13,""price"",DATEVALUE(TODAY()-365) ),2,2)-1),""""))"),"")</f>
        <v/>
      </c>
      <c r="N80" s="310" t="str">
        <f t="shared" si="3"/>
        <v/>
      </c>
      <c r="O80" s="311" t="str">
        <f>IFERROR(__xludf.DUMMYFUNCTION("IFERROR(IF(ISBLANK(B80),"""",GOOGLEFINANCE(B80,""low52"")),"""")"),"")</f>
        <v/>
      </c>
      <c r="P80" s="310" t="str">
        <f t="shared" si="4"/>
        <v/>
      </c>
      <c r="Q80" s="311" t="str">
        <f>IFERROR(__xludf.DUMMYFUNCTION("IFERROR(IF(ISBLANK(B80),"""",GOOGLEFINANCE(B80,""high52"")),"""")"),"")</f>
        <v/>
      </c>
      <c r="R80" s="310" t="str">
        <f t="shared" si="5"/>
        <v/>
      </c>
      <c r="S80" s="13" t="str">
        <f t="shared" si="6"/>
        <v/>
      </c>
      <c r="U80" s="13" t="str">
        <f t="shared" si="7"/>
        <v/>
      </c>
      <c r="W80" s="13" t="str">
        <f t="shared" si="8"/>
        <v/>
      </c>
      <c r="X80" s="310" t="str">
        <f t="shared" si="9"/>
        <v/>
      </c>
      <c r="Y80" s="311" t="str">
        <f>IFERROR(__xludf.DUMMYFUNCTION("IF(ISBLANK(B80),"""",IFERROR(INDEX(GOOGLEFINANCE(B80,""price"",WORKDAY(TODAY(),-$Y$17)),2,2),""""))"),"")</f>
        <v/>
      </c>
      <c r="Z80" s="310" t="str">
        <f>IFERROR(__xludf.DUMMYFUNCTION("IF(ISBLANK(B80),"""",IFERROR(I80/(INDEX(GOOGLEFINANCE(B80,""price"",WORKDAY(TODAY(),-$Z$17)),2,2))-1,""""))"),"")</f>
        <v/>
      </c>
      <c r="AA80" s="312" t="str">
        <f>IFERROR(__xludf.DUMMYFUNCTION("IF(ISBLANK(B80),"""",IFERROR(IFERROR(""$""&amp;Trunc(GOOGLEFINANCE(B80,""Marketcap"")/1000000000)&amp;"" B"",""$""&amp;Trunc(IMPORTXML(""https://coinmarketcap.com/currencies/""&amp;B80,$AJ$4)/1000000000)&amp;"" B""),""-""))"),"")</f>
        <v/>
      </c>
      <c r="AB80" s="13" t="str">
        <f>IFERROR(__xludf.DUMMYFUNCTION("IF(ISBLANK(B80),"""",IFERROR(GOOGLEFINANCE(B80,""pe""),""-""))"),"")</f>
        <v/>
      </c>
      <c r="AC80" s="313" t="str">
        <f>IFERROR(__xludf.DUMMYFUNCTION("SPARKLINE(INDEX(GOOGLEFINANCE(B80,""price"",workday(today(),-$AC$17),today()),,2),{""charttype"",""column"";""color"",""green""})
"),"#N/A")</f>
        <v>#N/A</v>
      </c>
      <c r="AD80" s="313" t="str">
        <f>IFERROR(__xludf.DUMMYFUNCTION("IF(ISBLANK(B80),"""",IFERROR(INDEX(IMPORTXML(""https://eresearch.fidelity.com/eresearch/goto/evaluate/snapshot.jhtml?symbols=""&amp;B80&amp;"""",""//div[@class='sub-heading']//span[@class='right']""),1),""Enter Manually"")
)"),"")</f>
        <v/>
      </c>
      <c r="AE80" s="314" t="str">
        <f t="shared" si="10"/>
        <v>Info</v>
      </c>
      <c r="AF80" s="329"/>
      <c r="AG80" s="320"/>
      <c r="AH80" s="13"/>
      <c r="AI80" s="13"/>
      <c r="AJ80" s="13"/>
      <c r="AK80" s="13"/>
      <c r="AL80" s="13"/>
      <c r="AM80" s="13"/>
      <c r="AN80" s="13"/>
      <c r="AO80" s="13"/>
      <c r="AP80" s="13"/>
    </row>
    <row r="81" ht="18.75" customHeight="1">
      <c r="A81" s="13"/>
      <c r="B81" s="327"/>
      <c r="C81" s="306" t="str">
        <f>IFERROR(__xludf.DUMMYFUNCTION("GOOGLEFINANCE(B81,""name"")
"),"#N/A")</f>
        <v>#N/A</v>
      </c>
      <c r="D81" s="306"/>
      <c r="E81" s="328"/>
      <c r="F81" s="13" t="str">
        <f t="shared" si="1"/>
        <v/>
      </c>
      <c r="G81" s="309" t="str">
        <f>IFERROR(__xludf.DUMMYFUNCTION("IF(ISBLANK(B81),"""",IFERROR(SPARKLINE(INDEX(GOOGLEFINANCE(B81,""price"",TODAY()-$G$17,TODAY()),,2),{""charttype"",""column"";""color"",""17a7e0""}),""""))"),"")</f>
        <v/>
      </c>
      <c r="I81" s="309" t="str">
        <f>IFERROR(__xludf.DUMMYFUNCTION("IFERROR(IF(B81="""","""",GOOGLEFINANCE(B81)),IFERROR(GOOGLEFINANCE(""CURRENCY:""&amp;""USD""&amp;$D$15)*IMPORTXML(""https://coinmarketcap.com/currencies/""&amp;B81,$AJ$3),IMPORTXML(""https://coinmarketcap.com/currencies/""&amp;B81,$AJ$3)))"),"")</f>
        <v/>
      </c>
      <c r="J81" s="310" t="str">
        <f t="shared" si="2"/>
        <v/>
      </c>
      <c r="K81" s="310" t="str">
        <f>IFERROR(__xludf.DUMMYFUNCTION("IFERROR(IF(ISBLANK(B81),"""",GOOGLEFINANCE(B81,""changepct"")/100),"""")"),"")</f>
        <v/>
      </c>
      <c r="L81" s="310" t="str">
        <f>IFERROR(__xludf.DUMMYFUNCTION("IF(ISBLANK(B81),"""",IFERROR((GOOGLEFINANCE(B81,""price"")/INDEX(GOOGLEFINANCE(B81,""price"",DATEVALUE(TODAY()-365) ),2,2)-1),""""))"),"")</f>
        <v/>
      </c>
      <c r="M81" s="310" t="str">
        <f>IFERROR(__xludf.DUMMYFUNCTION("IF(ISBLANK(B81),"""",IFERROR((GOOGLEFINANCE($D$13,""price"")/INDEX(GOOGLEFINANCE($D$13,""price"",DATEVALUE(TODAY()-365) ),2,2)-1),""""))"),"")</f>
        <v/>
      </c>
      <c r="N81" s="310" t="str">
        <f t="shared" si="3"/>
        <v/>
      </c>
      <c r="O81" s="311" t="str">
        <f>IFERROR(__xludf.DUMMYFUNCTION("IFERROR(IF(ISBLANK(B81),"""",GOOGLEFINANCE(B81,""low52"")),"""")"),"")</f>
        <v/>
      </c>
      <c r="P81" s="310" t="str">
        <f t="shared" si="4"/>
        <v/>
      </c>
      <c r="Q81" s="311" t="str">
        <f>IFERROR(__xludf.DUMMYFUNCTION("IFERROR(IF(ISBLANK(B81),"""",GOOGLEFINANCE(B81,""high52"")),"""")"),"")</f>
        <v/>
      </c>
      <c r="R81" s="310" t="str">
        <f t="shared" si="5"/>
        <v/>
      </c>
      <c r="S81" s="13" t="str">
        <f t="shared" si="6"/>
        <v/>
      </c>
      <c r="U81" s="13" t="str">
        <f t="shared" si="7"/>
        <v/>
      </c>
      <c r="W81" s="13" t="str">
        <f t="shared" si="8"/>
        <v/>
      </c>
      <c r="X81" s="310" t="str">
        <f t="shared" si="9"/>
        <v/>
      </c>
      <c r="Y81" s="311" t="str">
        <f>IFERROR(__xludf.DUMMYFUNCTION("IF(ISBLANK(B81),"""",IFERROR(INDEX(GOOGLEFINANCE(B81,""price"",WORKDAY(TODAY(),-$Y$17)),2,2),""""))"),"")</f>
        <v/>
      </c>
      <c r="Z81" s="310" t="str">
        <f>IFERROR(__xludf.DUMMYFUNCTION("IF(ISBLANK(B81),"""",IFERROR(I81/(INDEX(GOOGLEFINANCE(B81,""price"",WORKDAY(TODAY(),-$Z$17)),2,2))-1,""""))"),"")</f>
        <v/>
      </c>
      <c r="AA81" s="312" t="str">
        <f>IFERROR(__xludf.DUMMYFUNCTION("IF(ISBLANK(B81),"""",IFERROR(IFERROR(""$""&amp;Trunc(GOOGLEFINANCE(B81,""Marketcap"")/1000000000)&amp;"" B"",""$""&amp;Trunc(IMPORTXML(""https://coinmarketcap.com/currencies/""&amp;B81,$AJ$4)/1000000000)&amp;"" B""),""-""))"),"")</f>
        <v/>
      </c>
      <c r="AB81" s="13" t="str">
        <f>IFERROR(__xludf.DUMMYFUNCTION("IF(ISBLANK(B81),"""",IFERROR(GOOGLEFINANCE(B81,""pe""),""-""))"),"")</f>
        <v/>
      </c>
      <c r="AC81" s="313" t="str">
        <f>IFERROR(__xludf.DUMMYFUNCTION("SPARKLINE(INDEX(GOOGLEFINANCE(B81,""price"",workday(today(),-$AC$17),today()),,2),{""charttype"",""column"";""color"",""green""})
"),"#N/A")</f>
        <v>#N/A</v>
      </c>
      <c r="AD81" s="313" t="str">
        <f>IFERROR(__xludf.DUMMYFUNCTION("IF(ISBLANK(B81),"""",IFERROR(INDEX(IMPORTXML(""https://eresearch.fidelity.com/eresearch/goto/evaluate/snapshot.jhtml?symbols=""&amp;B81&amp;"""",""//div[@class='sub-heading']//span[@class='right']""),1),""Enter Manually"")
)"),"")</f>
        <v/>
      </c>
      <c r="AE81" s="314" t="str">
        <f t="shared" si="10"/>
        <v>Info</v>
      </c>
      <c r="AF81" s="329"/>
      <c r="AG81" s="320"/>
      <c r="AH81" s="13"/>
      <c r="AI81" s="13"/>
      <c r="AJ81" s="13"/>
      <c r="AK81" s="13"/>
      <c r="AL81" s="13"/>
      <c r="AM81" s="13"/>
      <c r="AN81" s="13"/>
      <c r="AO81" s="13"/>
      <c r="AP81" s="13"/>
    </row>
    <row r="82" ht="18.75" customHeight="1">
      <c r="A82" s="13"/>
      <c r="B82" s="327"/>
      <c r="C82" s="306" t="str">
        <f>IFERROR(__xludf.DUMMYFUNCTION("GOOGLEFINANCE(B82,""name"")
"),"#N/A")</f>
        <v>#N/A</v>
      </c>
      <c r="D82" s="306"/>
      <c r="E82" s="328"/>
      <c r="F82" s="13" t="str">
        <f t="shared" si="1"/>
        <v/>
      </c>
      <c r="G82" s="309" t="str">
        <f>IFERROR(__xludf.DUMMYFUNCTION("IF(ISBLANK(B82),"""",IFERROR(SPARKLINE(INDEX(GOOGLEFINANCE(B82,""price"",TODAY()-$G$17,TODAY()),,2),{""charttype"",""column"";""color"",""17a7e0""}),""""))"),"")</f>
        <v/>
      </c>
      <c r="I82" s="309" t="str">
        <f>IFERROR(__xludf.DUMMYFUNCTION("IFERROR(IF(B82="""","""",GOOGLEFINANCE(B82)),IFERROR(GOOGLEFINANCE(""CURRENCY:""&amp;""USD""&amp;$D$15)*IMPORTXML(""https://coinmarketcap.com/currencies/""&amp;B82,$AJ$3),IMPORTXML(""https://coinmarketcap.com/currencies/""&amp;B82,$AJ$3)))"),"")</f>
        <v/>
      </c>
      <c r="J82" s="310" t="str">
        <f t="shared" si="2"/>
        <v/>
      </c>
      <c r="K82" s="310" t="str">
        <f>IFERROR(__xludf.DUMMYFUNCTION("IFERROR(IF(ISBLANK(B82),"""",GOOGLEFINANCE(B82,""changepct"")/100),"""")"),"")</f>
        <v/>
      </c>
      <c r="L82" s="310" t="str">
        <f>IFERROR(__xludf.DUMMYFUNCTION("IF(ISBLANK(B82),"""",IFERROR((GOOGLEFINANCE(B82,""price"")/INDEX(GOOGLEFINANCE(B82,""price"",DATEVALUE(TODAY()-365) ),2,2)-1),""""))"),"")</f>
        <v/>
      </c>
      <c r="M82" s="310" t="str">
        <f>IFERROR(__xludf.DUMMYFUNCTION("IF(ISBLANK(B82),"""",IFERROR((GOOGLEFINANCE($D$13,""price"")/INDEX(GOOGLEFINANCE($D$13,""price"",DATEVALUE(TODAY()-365) ),2,2)-1),""""))"),"")</f>
        <v/>
      </c>
      <c r="N82" s="310" t="str">
        <f t="shared" si="3"/>
        <v/>
      </c>
      <c r="O82" s="311" t="str">
        <f>IFERROR(__xludf.DUMMYFUNCTION("IFERROR(IF(ISBLANK(B82),"""",GOOGLEFINANCE(B82,""low52"")),"""")"),"")</f>
        <v/>
      </c>
      <c r="P82" s="310" t="str">
        <f t="shared" si="4"/>
        <v/>
      </c>
      <c r="Q82" s="311" t="str">
        <f>IFERROR(__xludf.DUMMYFUNCTION("IFERROR(IF(ISBLANK(B82),"""",GOOGLEFINANCE(B82,""high52"")),"""")"),"")</f>
        <v/>
      </c>
      <c r="R82" s="310" t="str">
        <f t="shared" si="5"/>
        <v/>
      </c>
      <c r="S82" s="13" t="str">
        <f t="shared" si="6"/>
        <v/>
      </c>
      <c r="U82" s="13" t="str">
        <f t="shared" si="7"/>
        <v/>
      </c>
      <c r="W82" s="13" t="str">
        <f t="shared" si="8"/>
        <v/>
      </c>
      <c r="X82" s="310" t="str">
        <f t="shared" si="9"/>
        <v/>
      </c>
      <c r="Y82" s="311" t="str">
        <f>IFERROR(__xludf.DUMMYFUNCTION("IF(ISBLANK(B82),"""",IFERROR(INDEX(GOOGLEFINANCE(B82,""price"",WORKDAY(TODAY(),-$Y$17)),2,2),""""))"),"")</f>
        <v/>
      </c>
      <c r="Z82" s="310" t="str">
        <f>IFERROR(__xludf.DUMMYFUNCTION("IF(ISBLANK(B82),"""",IFERROR(I82/(INDEX(GOOGLEFINANCE(B82,""price"",WORKDAY(TODAY(),-$Z$17)),2,2))-1,""""))"),"")</f>
        <v/>
      </c>
      <c r="AA82" s="312" t="str">
        <f>IFERROR(__xludf.DUMMYFUNCTION("IF(ISBLANK(B82),"""",IFERROR(IFERROR(""$""&amp;Trunc(GOOGLEFINANCE(B82,""Marketcap"")/1000000000)&amp;"" B"",""$""&amp;Trunc(IMPORTXML(""https://coinmarketcap.com/currencies/""&amp;B82,$AJ$4)/1000000000)&amp;"" B""),""-""))"),"")</f>
        <v/>
      </c>
      <c r="AB82" s="13" t="str">
        <f>IFERROR(__xludf.DUMMYFUNCTION("IF(ISBLANK(B82),"""",IFERROR(GOOGLEFINANCE(B82,""pe""),""-""))"),"")</f>
        <v/>
      </c>
      <c r="AC82" s="313" t="str">
        <f>IFERROR(__xludf.DUMMYFUNCTION("SPARKLINE(INDEX(GOOGLEFINANCE(B82,""price"",workday(today(),-$AC$17),today()),,2),{""charttype"",""column"";""color"",""green""})
"),"#N/A")</f>
        <v>#N/A</v>
      </c>
      <c r="AD82" s="313" t="str">
        <f>IFERROR(__xludf.DUMMYFUNCTION("IF(ISBLANK(B82),"""",IFERROR(INDEX(IMPORTXML(""https://eresearch.fidelity.com/eresearch/goto/evaluate/snapshot.jhtml?symbols=""&amp;B82&amp;"""",""//div[@class='sub-heading']//span[@class='right']""),1),""Enter Manually"")
)"),"")</f>
        <v/>
      </c>
      <c r="AE82" s="314" t="str">
        <f t="shared" si="10"/>
        <v>Info</v>
      </c>
      <c r="AF82" s="329"/>
      <c r="AG82" s="320"/>
      <c r="AH82" s="13"/>
      <c r="AI82" s="13"/>
      <c r="AJ82" s="13"/>
      <c r="AK82" s="13"/>
      <c r="AL82" s="13"/>
      <c r="AM82" s="13"/>
      <c r="AN82" s="13"/>
      <c r="AO82" s="13"/>
      <c r="AP82" s="13"/>
    </row>
    <row r="83" ht="18.75" customHeight="1">
      <c r="A83" s="13"/>
      <c r="B83" s="327"/>
      <c r="C83" s="306" t="str">
        <f>IFERROR(__xludf.DUMMYFUNCTION("GOOGLEFINANCE(B83,""name"")
"),"#N/A")</f>
        <v>#N/A</v>
      </c>
      <c r="D83" s="306"/>
      <c r="E83" s="328"/>
      <c r="F83" s="13" t="str">
        <f t="shared" si="1"/>
        <v/>
      </c>
      <c r="G83" s="309" t="str">
        <f>IFERROR(__xludf.DUMMYFUNCTION("IF(ISBLANK(B83),"""",IFERROR(SPARKLINE(INDEX(GOOGLEFINANCE(B83,""price"",TODAY()-$G$17,TODAY()),,2),{""charttype"",""column"";""color"",""17a7e0""}),""""))"),"")</f>
        <v/>
      </c>
      <c r="I83" s="309" t="str">
        <f>IFERROR(__xludf.DUMMYFUNCTION("IFERROR(IF(B83="""","""",GOOGLEFINANCE(B83)),IFERROR(GOOGLEFINANCE(""CURRENCY:""&amp;""USD""&amp;$D$15)*IMPORTXML(""https://coinmarketcap.com/currencies/""&amp;B83,$AJ$3),IMPORTXML(""https://coinmarketcap.com/currencies/""&amp;B83,$AJ$3)))"),"")</f>
        <v/>
      </c>
      <c r="J83" s="310" t="str">
        <f t="shared" si="2"/>
        <v/>
      </c>
      <c r="K83" s="310" t="str">
        <f>IFERROR(__xludf.DUMMYFUNCTION("IFERROR(IF(ISBLANK(B83),"""",GOOGLEFINANCE(B83,""changepct"")/100),"""")"),"")</f>
        <v/>
      </c>
      <c r="L83" s="310" t="str">
        <f>IFERROR(__xludf.DUMMYFUNCTION("IF(ISBLANK(B83),"""",IFERROR((GOOGLEFINANCE(B83,""price"")/INDEX(GOOGLEFINANCE(B83,""price"",DATEVALUE(TODAY()-365) ),2,2)-1),""""))"),"")</f>
        <v/>
      </c>
      <c r="M83" s="310" t="str">
        <f>IFERROR(__xludf.DUMMYFUNCTION("IF(ISBLANK(B83),"""",IFERROR((GOOGLEFINANCE($D$13,""price"")/INDEX(GOOGLEFINANCE($D$13,""price"",DATEVALUE(TODAY()-365) ),2,2)-1),""""))"),"")</f>
        <v/>
      </c>
      <c r="N83" s="310" t="str">
        <f t="shared" si="3"/>
        <v/>
      </c>
      <c r="O83" s="311" t="str">
        <f>IFERROR(__xludf.DUMMYFUNCTION("IFERROR(IF(ISBLANK(B83),"""",GOOGLEFINANCE(B83,""low52"")),"""")"),"")</f>
        <v/>
      </c>
      <c r="P83" s="310" t="str">
        <f t="shared" si="4"/>
        <v/>
      </c>
      <c r="Q83" s="311" t="str">
        <f>IFERROR(__xludf.DUMMYFUNCTION("IFERROR(IF(ISBLANK(B83),"""",GOOGLEFINANCE(B83,""high52"")),"""")"),"")</f>
        <v/>
      </c>
      <c r="R83" s="310" t="str">
        <f t="shared" si="5"/>
        <v/>
      </c>
      <c r="S83" s="13" t="str">
        <f t="shared" si="6"/>
        <v/>
      </c>
      <c r="U83" s="13" t="str">
        <f t="shared" si="7"/>
        <v/>
      </c>
      <c r="W83" s="13" t="str">
        <f t="shared" si="8"/>
        <v/>
      </c>
      <c r="X83" s="310" t="str">
        <f t="shared" si="9"/>
        <v/>
      </c>
      <c r="Y83" s="311" t="str">
        <f>IFERROR(__xludf.DUMMYFUNCTION("IF(ISBLANK(B83),"""",IFERROR(INDEX(GOOGLEFINANCE(B83,""price"",WORKDAY(TODAY(),-$Y$17)),2,2),""""))"),"")</f>
        <v/>
      </c>
      <c r="Z83" s="310" t="str">
        <f>IFERROR(__xludf.DUMMYFUNCTION("IF(ISBLANK(B83),"""",IFERROR(I83/(INDEX(GOOGLEFINANCE(B83,""price"",WORKDAY(TODAY(),-$Z$17)),2,2))-1,""""))"),"")</f>
        <v/>
      </c>
      <c r="AA83" s="312" t="str">
        <f>IFERROR(__xludf.DUMMYFUNCTION("IF(ISBLANK(B83),"""",IFERROR(IFERROR(""$""&amp;Trunc(GOOGLEFINANCE(B83,""Marketcap"")/1000000000)&amp;"" B"",""$""&amp;Trunc(IMPORTXML(""https://coinmarketcap.com/currencies/""&amp;B83,$AJ$4)/1000000000)&amp;"" B""),""-""))"),"")</f>
        <v/>
      </c>
      <c r="AB83" s="13" t="str">
        <f>IFERROR(__xludf.DUMMYFUNCTION("IF(ISBLANK(B83),"""",IFERROR(GOOGLEFINANCE(B83,""pe""),""-""))"),"")</f>
        <v/>
      </c>
      <c r="AC83" s="313" t="str">
        <f>IFERROR(__xludf.DUMMYFUNCTION("SPARKLINE(INDEX(GOOGLEFINANCE(B83,""price"",workday(today(),-$AC$17),today()),,2),{""charttype"",""column"";""color"",""green""})
"),"#N/A")</f>
        <v>#N/A</v>
      </c>
      <c r="AD83" s="313" t="str">
        <f>IFERROR(__xludf.DUMMYFUNCTION("IF(ISBLANK(B83),"""",IFERROR(INDEX(IMPORTXML(""https://eresearch.fidelity.com/eresearch/goto/evaluate/snapshot.jhtml?symbols=""&amp;B83&amp;"""",""//div[@class='sub-heading']//span[@class='right']""),1),""Enter Manually"")
)"),"")</f>
        <v/>
      </c>
      <c r="AE83" s="314" t="str">
        <f t="shared" si="10"/>
        <v>Info</v>
      </c>
      <c r="AF83" s="329"/>
      <c r="AG83" s="320"/>
      <c r="AH83" s="13"/>
      <c r="AI83" s="13"/>
      <c r="AJ83" s="13"/>
      <c r="AK83" s="13"/>
      <c r="AL83" s="13"/>
      <c r="AM83" s="13"/>
      <c r="AN83" s="13"/>
      <c r="AO83" s="13"/>
      <c r="AP83" s="13"/>
    </row>
    <row r="84" ht="18.75" customHeight="1">
      <c r="A84" s="13"/>
      <c r="B84" s="327"/>
      <c r="C84" s="306" t="str">
        <f>IFERROR(__xludf.DUMMYFUNCTION("GOOGLEFINANCE(B84,""name"")
"),"#N/A")</f>
        <v>#N/A</v>
      </c>
      <c r="D84" s="306"/>
      <c r="E84" s="328"/>
      <c r="F84" s="13" t="str">
        <f t="shared" si="1"/>
        <v/>
      </c>
      <c r="G84" s="309" t="str">
        <f>IFERROR(__xludf.DUMMYFUNCTION("IF(ISBLANK(B84),"""",IFERROR(SPARKLINE(INDEX(GOOGLEFINANCE(B84,""price"",TODAY()-$G$17,TODAY()),,2),{""charttype"",""column"";""color"",""17a7e0""}),""""))"),"")</f>
        <v/>
      </c>
      <c r="I84" s="309" t="str">
        <f>IFERROR(__xludf.DUMMYFUNCTION("IFERROR(IF(B84="""","""",GOOGLEFINANCE(B84)),IFERROR(GOOGLEFINANCE(""CURRENCY:""&amp;""USD""&amp;$D$15)*IMPORTXML(""https://coinmarketcap.com/currencies/""&amp;B84,$AJ$3),IMPORTXML(""https://coinmarketcap.com/currencies/""&amp;B84,$AJ$3)))"),"")</f>
        <v/>
      </c>
      <c r="J84" s="310" t="str">
        <f t="shared" si="2"/>
        <v/>
      </c>
      <c r="K84" s="310" t="str">
        <f>IFERROR(__xludf.DUMMYFUNCTION("IFERROR(IF(ISBLANK(B84),"""",GOOGLEFINANCE(B84,""changepct"")/100),"""")"),"")</f>
        <v/>
      </c>
      <c r="L84" s="310" t="str">
        <f>IFERROR(__xludf.DUMMYFUNCTION("IF(ISBLANK(B84),"""",IFERROR((GOOGLEFINANCE(B84,""price"")/INDEX(GOOGLEFINANCE(B84,""price"",DATEVALUE(TODAY()-365) ),2,2)-1),""""))"),"")</f>
        <v/>
      </c>
      <c r="M84" s="310" t="str">
        <f>IFERROR(__xludf.DUMMYFUNCTION("IF(ISBLANK(B84),"""",IFERROR((GOOGLEFINANCE($D$13,""price"")/INDEX(GOOGLEFINANCE($D$13,""price"",DATEVALUE(TODAY()-365) ),2,2)-1),""""))"),"")</f>
        <v/>
      </c>
      <c r="N84" s="310" t="str">
        <f t="shared" si="3"/>
        <v/>
      </c>
      <c r="O84" s="311" t="str">
        <f>IFERROR(__xludf.DUMMYFUNCTION("IFERROR(IF(ISBLANK(B84),"""",GOOGLEFINANCE(B84,""low52"")),"""")"),"")</f>
        <v/>
      </c>
      <c r="P84" s="310" t="str">
        <f t="shared" si="4"/>
        <v/>
      </c>
      <c r="Q84" s="311" t="str">
        <f>IFERROR(__xludf.DUMMYFUNCTION("IFERROR(IF(ISBLANK(B84),"""",GOOGLEFINANCE(B84,""high52"")),"""")"),"")</f>
        <v/>
      </c>
      <c r="R84" s="310" t="str">
        <f t="shared" si="5"/>
        <v/>
      </c>
      <c r="S84" s="13" t="str">
        <f t="shared" si="6"/>
        <v/>
      </c>
      <c r="U84" s="13" t="str">
        <f t="shared" si="7"/>
        <v/>
      </c>
      <c r="W84" s="13" t="str">
        <f t="shared" si="8"/>
        <v/>
      </c>
      <c r="X84" s="310" t="str">
        <f t="shared" si="9"/>
        <v/>
      </c>
      <c r="Y84" s="311" t="str">
        <f>IFERROR(__xludf.DUMMYFUNCTION("IF(ISBLANK(B84),"""",IFERROR(INDEX(GOOGLEFINANCE(B84,""price"",WORKDAY(TODAY(),-$Y$17)),2,2),""""))"),"")</f>
        <v/>
      </c>
      <c r="Z84" s="310" t="str">
        <f>IFERROR(__xludf.DUMMYFUNCTION("IF(ISBLANK(B84),"""",IFERROR(I84/(INDEX(GOOGLEFINANCE(B84,""price"",WORKDAY(TODAY(),-$Z$17)),2,2))-1,""""))"),"")</f>
        <v/>
      </c>
      <c r="AA84" s="312" t="str">
        <f>IFERROR(__xludf.DUMMYFUNCTION("IF(ISBLANK(B84),"""",IFERROR(IFERROR(""$""&amp;Trunc(GOOGLEFINANCE(B84,""Marketcap"")/1000000000)&amp;"" B"",""$""&amp;Trunc(IMPORTXML(""https://coinmarketcap.com/currencies/""&amp;B84,$AJ$4)/1000000000)&amp;"" B""),""-""))"),"")</f>
        <v/>
      </c>
      <c r="AB84" s="13" t="str">
        <f>IFERROR(__xludf.DUMMYFUNCTION("IF(ISBLANK(B84),"""",IFERROR(GOOGLEFINANCE(B84,""pe""),""-""))"),"")</f>
        <v/>
      </c>
      <c r="AC84" s="313" t="str">
        <f>IFERROR(__xludf.DUMMYFUNCTION("SPARKLINE(INDEX(GOOGLEFINANCE(B84,""price"",workday(today(),-$AC$17),today()),,2),{""charttype"",""column"";""color"",""green""})
"),"#N/A")</f>
        <v>#N/A</v>
      </c>
      <c r="AD84" s="313" t="str">
        <f>IFERROR(__xludf.DUMMYFUNCTION("IF(ISBLANK(B84),"""",IFERROR(INDEX(IMPORTXML(""https://eresearch.fidelity.com/eresearch/goto/evaluate/snapshot.jhtml?symbols=""&amp;B84&amp;"""",""//div[@class='sub-heading']//span[@class='right']""),1),""Enter Manually"")
)"),"")</f>
        <v/>
      </c>
      <c r="AE84" s="314" t="str">
        <f t="shared" si="10"/>
        <v>Info</v>
      </c>
      <c r="AF84" s="329"/>
      <c r="AG84" s="320"/>
      <c r="AH84" s="13"/>
      <c r="AI84" s="13"/>
      <c r="AJ84" s="13"/>
      <c r="AK84" s="13"/>
      <c r="AL84" s="13"/>
      <c r="AM84" s="13"/>
      <c r="AN84" s="13"/>
      <c r="AO84" s="13"/>
      <c r="AP84" s="13"/>
    </row>
    <row r="85" ht="18.75" customHeight="1">
      <c r="A85" s="13"/>
      <c r="B85" s="327"/>
      <c r="C85" s="306" t="str">
        <f>IFERROR(__xludf.DUMMYFUNCTION("GOOGLEFINANCE(B85,""name"")
"),"#N/A")</f>
        <v>#N/A</v>
      </c>
      <c r="D85" s="306"/>
      <c r="E85" s="328"/>
      <c r="F85" s="13" t="str">
        <f t="shared" si="1"/>
        <v/>
      </c>
      <c r="G85" s="309" t="str">
        <f>IFERROR(__xludf.DUMMYFUNCTION("IF(ISBLANK(B85),"""",IFERROR(SPARKLINE(INDEX(GOOGLEFINANCE(B85,""price"",TODAY()-$G$17,TODAY()),,2),{""charttype"",""column"";""color"",""17a7e0""}),""""))"),"")</f>
        <v/>
      </c>
      <c r="I85" s="309" t="str">
        <f>IFERROR(__xludf.DUMMYFUNCTION("IFERROR(IF(B85="""","""",GOOGLEFINANCE(B85)),IFERROR(GOOGLEFINANCE(""CURRENCY:""&amp;""USD""&amp;$D$15)*IMPORTXML(""https://coinmarketcap.com/currencies/""&amp;B85,$AJ$3),IMPORTXML(""https://coinmarketcap.com/currencies/""&amp;B85,$AJ$3)))"),"")</f>
        <v/>
      </c>
      <c r="J85" s="310" t="str">
        <f t="shared" si="2"/>
        <v/>
      </c>
      <c r="K85" s="310" t="str">
        <f>IFERROR(__xludf.DUMMYFUNCTION("IFERROR(IF(ISBLANK(B85),"""",GOOGLEFINANCE(B85,""changepct"")/100),"""")"),"")</f>
        <v/>
      </c>
      <c r="L85" s="310" t="str">
        <f>IFERROR(__xludf.DUMMYFUNCTION("IF(ISBLANK(B85),"""",IFERROR((GOOGLEFINANCE(B85,""price"")/INDEX(GOOGLEFINANCE(B85,""price"",DATEVALUE(TODAY()-365) ),2,2)-1),""""))"),"")</f>
        <v/>
      </c>
      <c r="M85" s="310" t="str">
        <f>IFERROR(__xludf.DUMMYFUNCTION("IF(ISBLANK(B85),"""",IFERROR((GOOGLEFINANCE($D$13,""price"")/INDEX(GOOGLEFINANCE($D$13,""price"",DATEVALUE(TODAY()-365) ),2,2)-1),""""))"),"")</f>
        <v/>
      </c>
      <c r="N85" s="310" t="str">
        <f t="shared" si="3"/>
        <v/>
      </c>
      <c r="O85" s="311" t="str">
        <f>IFERROR(__xludf.DUMMYFUNCTION("IFERROR(IF(ISBLANK(B85),"""",GOOGLEFINANCE(B85,""low52"")),"""")"),"")</f>
        <v/>
      </c>
      <c r="P85" s="310" t="str">
        <f t="shared" si="4"/>
        <v/>
      </c>
      <c r="Q85" s="311" t="str">
        <f>IFERROR(__xludf.DUMMYFUNCTION("IFERROR(IF(ISBLANK(B85),"""",GOOGLEFINANCE(B85,""high52"")),"""")"),"")</f>
        <v/>
      </c>
      <c r="R85" s="310" t="str">
        <f t="shared" si="5"/>
        <v/>
      </c>
      <c r="S85" s="13" t="str">
        <f t="shared" si="6"/>
        <v/>
      </c>
      <c r="U85" s="13" t="str">
        <f t="shared" si="7"/>
        <v/>
      </c>
      <c r="W85" s="13" t="str">
        <f t="shared" si="8"/>
        <v/>
      </c>
      <c r="X85" s="310" t="str">
        <f t="shared" si="9"/>
        <v/>
      </c>
      <c r="Y85" s="311" t="str">
        <f>IFERROR(__xludf.DUMMYFUNCTION("IF(ISBLANK(B85),"""",IFERROR(INDEX(GOOGLEFINANCE(B85,""price"",WORKDAY(TODAY(),-$Y$17)),2,2),""""))"),"")</f>
        <v/>
      </c>
      <c r="Z85" s="310" t="str">
        <f>IFERROR(__xludf.DUMMYFUNCTION("IF(ISBLANK(B85),"""",IFERROR(I85/(INDEX(GOOGLEFINANCE(B85,""price"",WORKDAY(TODAY(),-$Z$17)),2,2))-1,""""))"),"")</f>
        <v/>
      </c>
      <c r="AA85" s="312" t="str">
        <f>IFERROR(__xludf.DUMMYFUNCTION("IF(ISBLANK(B85),"""",IFERROR(IFERROR(""$""&amp;Trunc(GOOGLEFINANCE(B85,""Marketcap"")/1000000000)&amp;"" B"",""$""&amp;Trunc(IMPORTXML(""https://coinmarketcap.com/currencies/""&amp;B85,$AJ$4)/1000000000)&amp;"" B""),""-""))"),"")</f>
        <v/>
      </c>
      <c r="AB85" s="13" t="str">
        <f>IFERROR(__xludf.DUMMYFUNCTION("IF(ISBLANK(B85),"""",IFERROR(GOOGLEFINANCE(B85,""pe""),""-""))"),"")</f>
        <v/>
      </c>
      <c r="AC85" s="313" t="str">
        <f>IFERROR(__xludf.DUMMYFUNCTION("SPARKLINE(INDEX(GOOGLEFINANCE(B85,""price"",workday(today(),-$AC$17),today()),,2),{""charttype"",""column"";""color"",""green""})
"),"#N/A")</f>
        <v>#N/A</v>
      </c>
      <c r="AD85" s="313" t="str">
        <f>IFERROR(__xludf.DUMMYFUNCTION("IF(ISBLANK(B85),"""",IFERROR(INDEX(IMPORTXML(""https://eresearch.fidelity.com/eresearch/goto/evaluate/snapshot.jhtml?symbols=""&amp;B85&amp;"""",""//div[@class='sub-heading']//span[@class='right']""),1),""Enter Manually"")
)"),"")</f>
        <v/>
      </c>
      <c r="AE85" s="314" t="str">
        <f t="shared" si="10"/>
        <v>Info</v>
      </c>
      <c r="AF85" s="329"/>
      <c r="AG85" s="320"/>
      <c r="AH85" s="13"/>
      <c r="AI85" s="13"/>
      <c r="AJ85" s="13"/>
      <c r="AK85" s="13"/>
      <c r="AL85" s="13"/>
      <c r="AM85" s="13"/>
      <c r="AN85" s="13"/>
      <c r="AO85" s="13"/>
      <c r="AP85" s="13"/>
    </row>
    <row r="86" ht="18.75" customHeight="1">
      <c r="A86" s="13"/>
      <c r="B86" s="327"/>
      <c r="C86" s="306" t="str">
        <f>IFERROR(__xludf.DUMMYFUNCTION("GOOGLEFINANCE(B86,""name"")
"),"#N/A")</f>
        <v>#N/A</v>
      </c>
      <c r="D86" s="306"/>
      <c r="E86" s="328"/>
      <c r="F86" s="13" t="str">
        <f t="shared" si="1"/>
        <v/>
      </c>
      <c r="G86" s="309" t="str">
        <f>IFERROR(__xludf.DUMMYFUNCTION("IF(ISBLANK(B86),"""",IFERROR(SPARKLINE(INDEX(GOOGLEFINANCE(B86,""price"",TODAY()-$G$17,TODAY()),,2),{""charttype"",""column"";""color"",""17a7e0""}),""""))"),"")</f>
        <v/>
      </c>
      <c r="I86" s="309" t="str">
        <f>IFERROR(__xludf.DUMMYFUNCTION("IFERROR(IF(B86="""","""",GOOGLEFINANCE(B86)),IFERROR(GOOGLEFINANCE(""CURRENCY:""&amp;""USD""&amp;$D$15)*IMPORTXML(""https://coinmarketcap.com/currencies/""&amp;B86,$AJ$3),IMPORTXML(""https://coinmarketcap.com/currencies/""&amp;B86,$AJ$3)))"),"")</f>
        <v/>
      </c>
      <c r="J86" s="310" t="str">
        <f t="shared" si="2"/>
        <v/>
      </c>
      <c r="K86" s="310" t="str">
        <f>IFERROR(__xludf.DUMMYFUNCTION("IFERROR(IF(ISBLANK(B86),"""",GOOGLEFINANCE(B86,""changepct"")/100),"""")"),"")</f>
        <v/>
      </c>
      <c r="L86" s="310" t="str">
        <f>IFERROR(__xludf.DUMMYFUNCTION("IF(ISBLANK(B86),"""",IFERROR((GOOGLEFINANCE(B86,""price"")/INDEX(GOOGLEFINANCE(B86,""price"",DATEVALUE(TODAY()-365) ),2,2)-1),""""))"),"")</f>
        <v/>
      </c>
      <c r="M86" s="310" t="str">
        <f>IFERROR(__xludf.DUMMYFUNCTION("IF(ISBLANK(B86),"""",IFERROR((GOOGLEFINANCE($D$13,""price"")/INDEX(GOOGLEFINANCE($D$13,""price"",DATEVALUE(TODAY()-365) ),2,2)-1),""""))"),"")</f>
        <v/>
      </c>
      <c r="N86" s="310" t="str">
        <f t="shared" si="3"/>
        <v/>
      </c>
      <c r="O86" s="311" t="str">
        <f>IFERROR(__xludf.DUMMYFUNCTION("IFERROR(IF(ISBLANK(B86),"""",GOOGLEFINANCE(B86,""low52"")),"""")"),"")</f>
        <v/>
      </c>
      <c r="P86" s="310" t="str">
        <f t="shared" si="4"/>
        <v/>
      </c>
      <c r="Q86" s="311" t="str">
        <f>IFERROR(__xludf.DUMMYFUNCTION("IFERROR(IF(ISBLANK(B86),"""",GOOGLEFINANCE(B86,""high52"")),"""")"),"")</f>
        <v/>
      </c>
      <c r="R86" s="310" t="str">
        <f t="shared" si="5"/>
        <v/>
      </c>
      <c r="S86" s="13" t="str">
        <f t="shared" si="6"/>
        <v/>
      </c>
      <c r="U86" s="13" t="str">
        <f t="shared" si="7"/>
        <v/>
      </c>
      <c r="W86" s="13" t="str">
        <f t="shared" si="8"/>
        <v/>
      </c>
      <c r="X86" s="310" t="str">
        <f t="shared" si="9"/>
        <v/>
      </c>
      <c r="Y86" s="311" t="str">
        <f>IFERROR(__xludf.DUMMYFUNCTION("IF(ISBLANK(B86),"""",IFERROR(INDEX(GOOGLEFINANCE(B86,""price"",WORKDAY(TODAY(),-$Y$17)),2,2),""""))"),"")</f>
        <v/>
      </c>
      <c r="Z86" s="310" t="str">
        <f>IFERROR(__xludf.DUMMYFUNCTION("IF(ISBLANK(B86),"""",IFERROR(I86/(INDEX(GOOGLEFINANCE(B86,""price"",WORKDAY(TODAY(),-$Z$17)),2,2))-1,""""))"),"")</f>
        <v/>
      </c>
      <c r="AA86" s="312" t="str">
        <f>IFERROR(__xludf.DUMMYFUNCTION("IF(ISBLANK(B86),"""",IFERROR(IFERROR(""$""&amp;Trunc(GOOGLEFINANCE(B86,""Marketcap"")/1000000000)&amp;"" B"",""$""&amp;Trunc(IMPORTXML(""https://coinmarketcap.com/currencies/""&amp;B86,$AJ$4)/1000000000)&amp;"" B""),""-""))"),"")</f>
        <v/>
      </c>
      <c r="AB86" s="13" t="str">
        <f>IFERROR(__xludf.DUMMYFUNCTION("IF(ISBLANK(B86),"""",IFERROR(GOOGLEFINANCE(B86,""pe""),""-""))"),"")</f>
        <v/>
      </c>
      <c r="AC86" s="313" t="str">
        <f>IFERROR(__xludf.DUMMYFUNCTION("SPARKLINE(INDEX(GOOGLEFINANCE(B86,""price"",workday(today(),-$AC$17),today()),,2),{""charttype"",""column"";""color"",""green""})
"),"#N/A")</f>
        <v>#N/A</v>
      </c>
      <c r="AD86" s="313" t="str">
        <f>IFERROR(__xludf.DUMMYFUNCTION("IF(ISBLANK(B86),"""",IFERROR(INDEX(IMPORTXML(""https://eresearch.fidelity.com/eresearch/goto/evaluate/snapshot.jhtml?symbols=""&amp;B86&amp;"""",""//div[@class='sub-heading']//span[@class='right']""),1),""Enter Manually"")
)"),"")</f>
        <v/>
      </c>
      <c r="AE86" s="314" t="str">
        <f t="shared" si="10"/>
        <v>Info</v>
      </c>
      <c r="AF86" s="329"/>
      <c r="AG86" s="320"/>
      <c r="AH86" s="13"/>
      <c r="AI86" s="13"/>
      <c r="AJ86" s="13"/>
      <c r="AK86" s="13"/>
      <c r="AL86" s="13"/>
      <c r="AM86" s="13"/>
      <c r="AN86" s="13"/>
      <c r="AO86" s="13"/>
      <c r="AP86" s="13"/>
    </row>
    <row r="87" ht="18.75" customHeight="1">
      <c r="A87" s="13"/>
      <c r="B87" s="327"/>
      <c r="C87" s="306" t="str">
        <f>IFERROR(__xludf.DUMMYFUNCTION("GOOGLEFINANCE(B87,""name"")
"),"#N/A")</f>
        <v>#N/A</v>
      </c>
      <c r="D87" s="306"/>
      <c r="E87" s="328"/>
      <c r="F87" s="13" t="str">
        <f t="shared" si="1"/>
        <v/>
      </c>
      <c r="G87" s="309" t="str">
        <f>IFERROR(__xludf.DUMMYFUNCTION("IF(ISBLANK(B87),"""",IFERROR(SPARKLINE(INDEX(GOOGLEFINANCE(B87,""price"",TODAY()-$G$17,TODAY()),,2),{""charttype"",""column"";""color"",""17a7e0""}),""""))"),"")</f>
        <v/>
      </c>
      <c r="I87" s="309" t="str">
        <f>IFERROR(__xludf.DUMMYFUNCTION("IFERROR(IF(B87="""","""",GOOGLEFINANCE(B87)),IFERROR(GOOGLEFINANCE(""CURRENCY:""&amp;""USD""&amp;$D$15)*IMPORTXML(""https://coinmarketcap.com/currencies/""&amp;B87,$AJ$3),IMPORTXML(""https://coinmarketcap.com/currencies/""&amp;B87,$AJ$3)))"),"")</f>
        <v/>
      </c>
      <c r="J87" s="310" t="str">
        <f t="shared" si="2"/>
        <v/>
      </c>
      <c r="K87" s="310" t="str">
        <f>IFERROR(__xludf.DUMMYFUNCTION("IFERROR(IF(ISBLANK(B87),"""",GOOGLEFINANCE(B87,""changepct"")/100),"""")"),"")</f>
        <v/>
      </c>
      <c r="L87" s="310" t="str">
        <f>IFERROR(__xludf.DUMMYFUNCTION("IF(ISBLANK(B87),"""",IFERROR((GOOGLEFINANCE(B87,""price"")/INDEX(GOOGLEFINANCE(B87,""price"",DATEVALUE(TODAY()-365) ),2,2)-1),""""))"),"")</f>
        <v/>
      </c>
      <c r="M87" s="310" t="str">
        <f>IFERROR(__xludf.DUMMYFUNCTION("IF(ISBLANK(B87),"""",IFERROR((GOOGLEFINANCE($D$13,""price"")/INDEX(GOOGLEFINANCE($D$13,""price"",DATEVALUE(TODAY()-365) ),2,2)-1),""""))"),"")</f>
        <v/>
      </c>
      <c r="N87" s="310" t="str">
        <f t="shared" si="3"/>
        <v/>
      </c>
      <c r="O87" s="311" t="str">
        <f>IFERROR(__xludf.DUMMYFUNCTION("IFERROR(IF(ISBLANK(B87),"""",GOOGLEFINANCE(B87,""low52"")),"""")"),"")</f>
        <v/>
      </c>
      <c r="P87" s="310" t="str">
        <f t="shared" si="4"/>
        <v/>
      </c>
      <c r="Q87" s="311" t="str">
        <f>IFERROR(__xludf.DUMMYFUNCTION("IFERROR(IF(ISBLANK(B87),"""",GOOGLEFINANCE(B87,""high52"")),"""")"),"")</f>
        <v/>
      </c>
      <c r="R87" s="310" t="str">
        <f t="shared" si="5"/>
        <v/>
      </c>
      <c r="S87" s="13" t="str">
        <f t="shared" si="6"/>
        <v/>
      </c>
      <c r="U87" s="13" t="str">
        <f t="shared" si="7"/>
        <v/>
      </c>
      <c r="W87" s="13" t="str">
        <f t="shared" si="8"/>
        <v/>
      </c>
      <c r="X87" s="310" t="str">
        <f t="shared" si="9"/>
        <v/>
      </c>
      <c r="Y87" s="311" t="str">
        <f>IFERROR(__xludf.DUMMYFUNCTION("IF(ISBLANK(B87),"""",IFERROR(INDEX(GOOGLEFINANCE(B87,""price"",WORKDAY(TODAY(),-$Y$17)),2,2),""""))"),"")</f>
        <v/>
      </c>
      <c r="Z87" s="310" t="str">
        <f>IFERROR(__xludf.DUMMYFUNCTION("IF(ISBLANK(B87),"""",IFERROR(I87/(INDEX(GOOGLEFINANCE(B87,""price"",WORKDAY(TODAY(),-$Z$17)),2,2))-1,""""))"),"")</f>
        <v/>
      </c>
      <c r="AA87" s="312" t="str">
        <f>IFERROR(__xludf.DUMMYFUNCTION("IF(ISBLANK(B87),"""",IFERROR(IFERROR(""$""&amp;Trunc(GOOGLEFINANCE(B87,""Marketcap"")/1000000000)&amp;"" B"",""$""&amp;Trunc(IMPORTXML(""https://coinmarketcap.com/currencies/""&amp;B87,$AJ$4)/1000000000)&amp;"" B""),""-""))"),"")</f>
        <v/>
      </c>
      <c r="AB87" s="13" t="str">
        <f>IFERROR(__xludf.DUMMYFUNCTION("IF(ISBLANK(B87),"""",IFERROR(GOOGLEFINANCE(B87,""pe""),""-""))"),"")</f>
        <v/>
      </c>
      <c r="AC87" s="313" t="str">
        <f>IFERROR(__xludf.DUMMYFUNCTION("SPARKLINE(INDEX(GOOGLEFINANCE(B87,""price"",workday(today(),-$AC$17),today()),,2),{""charttype"",""column"";""color"",""green""})
"),"#N/A")</f>
        <v>#N/A</v>
      </c>
      <c r="AD87" s="313" t="str">
        <f>IFERROR(__xludf.DUMMYFUNCTION("IF(ISBLANK(B87),"""",IFERROR(INDEX(IMPORTXML(""https://eresearch.fidelity.com/eresearch/goto/evaluate/snapshot.jhtml?symbols=""&amp;B87&amp;"""",""//div[@class='sub-heading']//span[@class='right']""),1),""Enter Manually"")
)"),"")</f>
        <v/>
      </c>
      <c r="AE87" s="314" t="str">
        <f t="shared" si="10"/>
        <v>Info</v>
      </c>
      <c r="AF87" s="329"/>
      <c r="AG87" s="320"/>
      <c r="AH87" s="13"/>
      <c r="AI87" s="13"/>
      <c r="AJ87" s="13"/>
      <c r="AK87" s="13"/>
      <c r="AL87" s="13"/>
      <c r="AM87" s="13"/>
      <c r="AN87" s="13"/>
      <c r="AO87" s="13"/>
      <c r="AP87" s="13"/>
    </row>
    <row r="88" ht="18.75" customHeight="1">
      <c r="A88" s="13"/>
      <c r="B88" s="327"/>
      <c r="C88" s="306" t="str">
        <f>IFERROR(__xludf.DUMMYFUNCTION("GOOGLEFINANCE(B88,""name"")
"),"#N/A")</f>
        <v>#N/A</v>
      </c>
      <c r="D88" s="306"/>
      <c r="E88" s="328"/>
      <c r="F88" s="13" t="str">
        <f t="shared" si="1"/>
        <v/>
      </c>
      <c r="G88" s="309" t="str">
        <f>IFERROR(__xludf.DUMMYFUNCTION("IF(ISBLANK(B88),"""",IFERROR(SPARKLINE(INDEX(GOOGLEFINANCE(B88,""price"",TODAY()-$G$17,TODAY()),,2),{""charttype"",""column"";""color"",""17a7e0""}),""""))"),"")</f>
        <v/>
      </c>
      <c r="I88" s="309" t="str">
        <f>IFERROR(__xludf.DUMMYFUNCTION("IFERROR(IF(B88="""","""",GOOGLEFINANCE(B88)),IFERROR(GOOGLEFINANCE(""CURRENCY:""&amp;""USD""&amp;$D$15)*IMPORTXML(""https://coinmarketcap.com/currencies/""&amp;B88,$AJ$3),IMPORTXML(""https://coinmarketcap.com/currencies/""&amp;B88,$AJ$3)))"),"")</f>
        <v/>
      </c>
      <c r="J88" s="310" t="str">
        <f t="shared" si="2"/>
        <v/>
      </c>
      <c r="K88" s="310" t="str">
        <f>IFERROR(__xludf.DUMMYFUNCTION("IFERROR(IF(ISBLANK(B88),"""",GOOGLEFINANCE(B88,""changepct"")/100),"""")"),"")</f>
        <v/>
      </c>
      <c r="L88" s="310" t="str">
        <f>IFERROR(__xludf.DUMMYFUNCTION("IF(ISBLANK(B88),"""",IFERROR((GOOGLEFINANCE(B88,""price"")/INDEX(GOOGLEFINANCE(B88,""price"",DATEVALUE(TODAY()-365) ),2,2)-1),""""))"),"")</f>
        <v/>
      </c>
      <c r="M88" s="310" t="str">
        <f>IFERROR(__xludf.DUMMYFUNCTION("IF(ISBLANK(B88),"""",IFERROR((GOOGLEFINANCE($D$13,""price"")/INDEX(GOOGLEFINANCE($D$13,""price"",DATEVALUE(TODAY()-365) ),2,2)-1),""""))"),"")</f>
        <v/>
      </c>
      <c r="N88" s="310" t="str">
        <f t="shared" si="3"/>
        <v/>
      </c>
      <c r="O88" s="311" t="str">
        <f>IFERROR(__xludf.DUMMYFUNCTION("IFERROR(IF(ISBLANK(B88),"""",GOOGLEFINANCE(B88,""low52"")),"""")"),"")</f>
        <v/>
      </c>
      <c r="P88" s="310" t="str">
        <f t="shared" si="4"/>
        <v/>
      </c>
      <c r="Q88" s="311" t="str">
        <f>IFERROR(__xludf.DUMMYFUNCTION("IFERROR(IF(ISBLANK(B88),"""",GOOGLEFINANCE(B88,""high52"")),"""")"),"")</f>
        <v/>
      </c>
      <c r="R88" s="310" t="str">
        <f t="shared" si="5"/>
        <v/>
      </c>
      <c r="S88" s="13" t="str">
        <f t="shared" si="6"/>
        <v/>
      </c>
      <c r="U88" s="13" t="str">
        <f t="shared" si="7"/>
        <v/>
      </c>
      <c r="W88" s="13" t="str">
        <f t="shared" si="8"/>
        <v/>
      </c>
      <c r="X88" s="310" t="str">
        <f t="shared" si="9"/>
        <v/>
      </c>
      <c r="Y88" s="311" t="str">
        <f>IFERROR(__xludf.DUMMYFUNCTION("IF(ISBLANK(B88),"""",IFERROR(INDEX(GOOGLEFINANCE(B88,""price"",WORKDAY(TODAY(),-$Y$17)),2,2),""""))"),"")</f>
        <v/>
      </c>
      <c r="Z88" s="310" t="str">
        <f>IFERROR(__xludf.DUMMYFUNCTION("IF(ISBLANK(B88),"""",IFERROR(I88/(INDEX(GOOGLEFINANCE(B88,""price"",WORKDAY(TODAY(),-$Z$17)),2,2))-1,""""))"),"")</f>
        <v/>
      </c>
      <c r="AA88" s="312" t="str">
        <f>IFERROR(__xludf.DUMMYFUNCTION("IF(ISBLANK(B88),"""",IFERROR(IFERROR(""$""&amp;Trunc(GOOGLEFINANCE(B88,""Marketcap"")/1000000000)&amp;"" B"",""$""&amp;Trunc(IMPORTXML(""https://coinmarketcap.com/currencies/""&amp;B88,$AJ$4)/1000000000)&amp;"" B""),""-""))"),"")</f>
        <v/>
      </c>
      <c r="AB88" s="13" t="str">
        <f>IFERROR(__xludf.DUMMYFUNCTION("IF(ISBLANK(B88),"""",IFERROR(GOOGLEFINANCE(B88,""pe""),""-""))"),"")</f>
        <v/>
      </c>
      <c r="AC88" s="313" t="str">
        <f>IFERROR(__xludf.DUMMYFUNCTION("SPARKLINE(INDEX(GOOGLEFINANCE(B88,""price"",workday(today(),-$AC$17),today()),,2),{""charttype"",""column"";""color"",""green""})
"),"#N/A")</f>
        <v>#N/A</v>
      </c>
      <c r="AD88" s="313" t="str">
        <f>IFERROR(__xludf.DUMMYFUNCTION("IF(ISBLANK(B88),"""",IFERROR(INDEX(IMPORTXML(""https://eresearch.fidelity.com/eresearch/goto/evaluate/snapshot.jhtml?symbols=""&amp;B88&amp;"""",""//div[@class='sub-heading']//span[@class='right']""),1),""Enter Manually"")
)"),"")</f>
        <v/>
      </c>
      <c r="AE88" s="314" t="str">
        <f t="shared" si="10"/>
        <v>Info</v>
      </c>
      <c r="AF88" s="329"/>
      <c r="AG88" s="320"/>
      <c r="AH88" s="13"/>
      <c r="AI88" s="13"/>
      <c r="AJ88" s="13"/>
      <c r="AK88" s="13"/>
      <c r="AL88" s="13"/>
      <c r="AM88" s="13"/>
      <c r="AN88" s="13"/>
      <c r="AO88" s="13"/>
      <c r="AP88" s="13"/>
    </row>
    <row r="89" ht="18.75" customHeight="1">
      <c r="A89" s="13"/>
      <c r="B89" s="327"/>
      <c r="C89" s="306" t="str">
        <f>IFERROR(__xludf.DUMMYFUNCTION("GOOGLEFINANCE(B89,""name"")
"),"#N/A")</f>
        <v>#N/A</v>
      </c>
      <c r="D89" s="306"/>
      <c r="E89" s="328"/>
      <c r="F89" s="13" t="str">
        <f t="shared" si="1"/>
        <v/>
      </c>
      <c r="G89" s="309" t="str">
        <f>IFERROR(__xludf.DUMMYFUNCTION("IF(ISBLANK(B89),"""",IFERROR(SPARKLINE(INDEX(GOOGLEFINANCE(B89,""price"",TODAY()-$G$17,TODAY()),,2),{""charttype"",""column"";""color"",""17a7e0""}),""""))"),"")</f>
        <v/>
      </c>
      <c r="I89" s="309" t="str">
        <f>IFERROR(__xludf.DUMMYFUNCTION("IFERROR(IF(B89="""","""",GOOGLEFINANCE(B89)),IFERROR(GOOGLEFINANCE(""CURRENCY:""&amp;""USD""&amp;$D$15)*IMPORTXML(""https://coinmarketcap.com/currencies/""&amp;B89,$AJ$3),IMPORTXML(""https://coinmarketcap.com/currencies/""&amp;B89,$AJ$3)))"),"")</f>
        <v/>
      </c>
      <c r="J89" s="310" t="str">
        <f t="shared" si="2"/>
        <v/>
      </c>
      <c r="K89" s="310" t="str">
        <f>IFERROR(__xludf.DUMMYFUNCTION("IFERROR(IF(ISBLANK(B89),"""",GOOGLEFINANCE(B89,""changepct"")/100),"""")"),"")</f>
        <v/>
      </c>
      <c r="L89" s="310" t="str">
        <f>IFERROR(__xludf.DUMMYFUNCTION("IF(ISBLANK(B89),"""",IFERROR((GOOGLEFINANCE(B89,""price"")/INDEX(GOOGLEFINANCE(B89,""price"",DATEVALUE(TODAY()-365) ),2,2)-1),""""))"),"")</f>
        <v/>
      </c>
      <c r="M89" s="310" t="str">
        <f>IFERROR(__xludf.DUMMYFUNCTION("IF(ISBLANK(B89),"""",IFERROR((GOOGLEFINANCE($D$13,""price"")/INDEX(GOOGLEFINANCE($D$13,""price"",DATEVALUE(TODAY()-365) ),2,2)-1),""""))"),"")</f>
        <v/>
      </c>
      <c r="N89" s="310" t="str">
        <f t="shared" si="3"/>
        <v/>
      </c>
      <c r="O89" s="311" t="str">
        <f>IFERROR(__xludf.DUMMYFUNCTION("IFERROR(IF(ISBLANK(B89),"""",GOOGLEFINANCE(B89,""low52"")),"""")"),"")</f>
        <v/>
      </c>
      <c r="P89" s="310" t="str">
        <f t="shared" si="4"/>
        <v/>
      </c>
      <c r="Q89" s="311" t="str">
        <f>IFERROR(__xludf.DUMMYFUNCTION("IFERROR(IF(ISBLANK(B89),"""",GOOGLEFINANCE(B89,""high52"")),"""")"),"")</f>
        <v/>
      </c>
      <c r="R89" s="310" t="str">
        <f t="shared" si="5"/>
        <v/>
      </c>
      <c r="S89" s="13" t="str">
        <f t="shared" si="6"/>
        <v/>
      </c>
      <c r="U89" s="13" t="str">
        <f t="shared" si="7"/>
        <v/>
      </c>
      <c r="W89" s="13" t="str">
        <f t="shared" si="8"/>
        <v/>
      </c>
      <c r="X89" s="310" t="str">
        <f t="shared" si="9"/>
        <v/>
      </c>
      <c r="Y89" s="311" t="str">
        <f>IFERROR(__xludf.DUMMYFUNCTION("IF(ISBLANK(B89),"""",IFERROR(INDEX(GOOGLEFINANCE(B89,""price"",WORKDAY(TODAY(),-$Y$17)),2,2),""""))"),"")</f>
        <v/>
      </c>
      <c r="Z89" s="310" t="str">
        <f>IFERROR(__xludf.DUMMYFUNCTION("IF(ISBLANK(B89),"""",IFERROR(I89/(INDEX(GOOGLEFINANCE(B89,""price"",WORKDAY(TODAY(),-$Z$17)),2,2))-1,""""))"),"")</f>
        <v/>
      </c>
      <c r="AA89" s="312" t="str">
        <f>IFERROR(__xludf.DUMMYFUNCTION("IF(ISBLANK(B89),"""",IFERROR(IFERROR(""$""&amp;Trunc(GOOGLEFINANCE(B89,""Marketcap"")/1000000000)&amp;"" B"",""$""&amp;Trunc(IMPORTXML(""https://coinmarketcap.com/currencies/""&amp;B89,$AJ$4)/1000000000)&amp;"" B""),""-""))"),"")</f>
        <v/>
      </c>
      <c r="AB89" s="13" t="str">
        <f>IFERROR(__xludf.DUMMYFUNCTION("IF(ISBLANK(B89),"""",IFERROR(GOOGLEFINANCE(B89,""pe""),""-""))"),"")</f>
        <v/>
      </c>
      <c r="AC89" s="313" t="str">
        <f>IFERROR(__xludf.DUMMYFUNCTION("SPARKLINE(INDEX(GOOGLEFINANCE(B89,""price"",workday(today(),-$AC$17),today()),,2),{""charttype"",""column"";""color"",""green""})
"),"#N/A")</f>
        <v>#N/A</v>
      </c>
      <c r="AD89" s="313" t="str">
        <f>IFERROR(__xludf.DUMMYFUNCTION("IF(ISBLANK(B89),"""",IFERROR(INDEX(IMPORTXML(""https://eresearch.fidelity.com/eresearch/goto/evaluate/snapshot.jhtml?symbols=""&amp;B89&amp;"""",""//div[@class='sub-heading']//span[@class='right']""),1),""Enter Manually"")
)"),"")</f>
        <v/>
      </c>
      <c r="AE89" s="314" t="str">
        <f t="shared" si="10"/>
        <v>Info</v>
      </c>
      <c r="AF89" s="329"/>
      <c r="AG89" s="320"/>
      <c r="AH89" s="13"/>
      <c r="AI89" s="13"/>
      <c r="AJ89" s="13"/>
      <c r="AK89" s="13"/>
      <c r="AL89" s="13"/>
      <c r="AM89" s="13"/>
      <c r="AN89" s="13"/>
      <c r="AO89" s="13"/>
      <c r="AP89" s="13"/>
    </row>
    <row r="90" ht="18.75" customHeight="1">
      <c r="A90" s="13"/>
      <c r="B90" s="327"/>
      <c r="C90" s="306" t="str">
        <f>IFERROR(__xludf.DUMMYFUNCTION("GOOGLEFINANCE(B90,""name"")
"),"#N/A")</f>
        <v>#N/A</v>
      </c>
      <c r="D90" s="306"/>
      <c r="E90" s="328"/>
      <c r="F90" s="13" t="str">
        <f t="shared" si="1"/>
        <v/>
      </c>
      <c r="G90" s="309" t="str">
        <f>IFERROR(__xludf.DUMMYFUNCTION("IF(ISBLANK(B90),"""",IFERROR(SPARKLINE(INDEX(GOOGLEFINANCE(B90,""price"",TODAY()-$G$17,TODAY()),,2),{""charttype"",""column"";""color"",""17a7e0""}),""""))"),"")</f>
        <v/>
      </c>
      <c r="I90" s="309" t="str">
        <f>IFERROR(__xludf.DUMMYFUNCTION("IFERROR(IF(B90="""","""",GOOGLEFINANCE(B90)),IFERROR(GOOGLEFINANCE(""CURRENCY:""&amp;""USD""&amp;$D$15)*IMPORTXML(""https://coinmarketcap.com/currencies/""&amp;B90,$AJ$3),IMPORTXML(""https://coinmarketcap.com/currencies/""&amp;B90,$AJ$3)))"),"")</f>
        <v/>
      </c>
      <c r="J90" s="310" t="str">
        <f t="shared" si="2"/>
        <v/>
      </c>
      <c r="K90" s="310" t="str">
        <f>IFERROR(__xludf.DUMMYFUNCTION("IFERROR(IF(ISBLANK(B90),"""",GOOGLEFINANCE(B90,""changepct"")/100),"""")"),"")</f>
        <v/>
      </c>
      <c r="L90" s="310" t="str">
        <f>IFERROR(__xludf.DUMMYFUNCTION("IF(ISBLANK(B90),"""",IFERROR((GOOGLEFINANCE(B90,""price"")/INDEX(GOOGLEFINANCE(B90,""price"",DATEVALUE(TODAY()-365) ),2,2)-1),""""))"),"")</f>
        <v/>
      </c>
      <c r="M90" s="310" t="str">
        <f>IFERROR(__xludf.DUMMYFUNCTION("IF(ISBLANK(B90),"""",IFERROR((GOOGLEFINANCE($D$13,""price"")/INDEX(GOOGLEFINANCE($D$13,""price"",DATEVALUE(TODAY()-365) ),2,2)-1),""""))"),"")</f>
        <v/>
      </c>
      <c r="N90" s="310" t="str">
        <f t="shared" si="3"/>
        <v/>
      </c>
      <c r="O90" s="311" t="str">
        <f>IFERROR(__xludf.DUMMYFUNCTION("IFERROR(IF(ISBLANK(B90),"""",GOOGLEFINANCE(B90,""low52"")),"""")"),"")</f>
        <v/>
      </c>
      <c r="P90" s="310" t="str">
        <f t="shared" si="4"/>
        <v/>
      </c>
      <c r="Q90" s="311" t="str">
        <f>IFERROR(__xludf.DUMMYFUNCTION("IFERROR(IF(ISBLANK(B90),"""",GOOGLEFINANCE(B90,""high52"")),"""")"),"")</f>
        <v/>
      </c>
      <c r="R90" s="310" t="str">
        <f t="shared" si="5"/>
        <v/>
      </c>
      <c r="S90" s="13" t="str">
        <f t="shared" si="6"/>
        <v/>
      </c>
      <c r="U90" s="13" t="str">
        <f t="shared" si="7"/>
        <v/>
      </c>
      <c r="W90" s="13" t="str">
        <f t="shared" si="8"/>
        <v/>
      </c>
      <c r="X90" s="310" t="str">
        <f t="shared" si="9"/>
        <v/>
      </c>
      <c r="Y90" s="311" t="str">
        <f>IFERROR(__xludf.DUMMYFUNCTION("IF(ISBLANK(B90),"""",IFERROR(INDEX(GOOGLEFINANCE(B90,""price"",WORKDAY(TODAY(),-$Y$17)),2,2),""""))"),"")</f>
        <v/>
      </c>
      <c r="Z90" s="310" t="str">
        <f>IFERROR(__xludf.DUMMYFUNCTION("IF(ISBLANK(B90),"""",IFERROR(I90/(INDEX(GOOGLEFINANCE(B90,""price"",WORKDAY(TODAY(),-$Z$17)),2,2))-1,""""))"),"")</f>
        <v/>
      </c>
      <c r="AA90" s="312" t="str">
        <f>IFERROR(__xludf.DUMMYFUNCTION("IF(ISBLANK(B90),"""",IFERROR(IFERROR(""$""&amp;Trunc(GOOGLEFINANCE(B90,""Marketcap"")/1000000000)&amp;"" B"",""$""&amp;Trunc(IMPORTXML(""https://coinmarketcap.com/currencies/""&amp;B90,$AJ$4)/1000000000)&amp;"" B""),""-""))"),"")</f>
        <v/>
      </c>
      <c r="AB90" s="13" t="str">
        <f>IFERROR(__xludf.DUMMYFUNCTION("IF(ISBLANK(B90),"""",IFERROR(GOOGLEFINANCE(B90,""pe""),""-""))"),"")</f>
        <v/>
      </c>
      <c r="AC90" s="313" t="str">
        <f>IFERROR(__xludf.DUMMYFUNCTION("SPARKLINE(INDEX(GOOGLEFINANCE(B90,""price"",workday(today(),-$AC$17),today()),,2),{""charttype"",""column"";""color"",""green""})
"),"#N/A")</f>
        <v>#N/A</v>
      </c>
      <c r="AD90" s="313" t="str">
        <f>IFERROR(__xludf.DUMMYFUNCTION("IF(ISBLANK(B90),"""",IFERROR(INDEX(IMPORTXML(""https://eresearch.fidelity.com/eresearch/goto/evaluate/snapshot.jhtml?symbols=""&amp;B90&amp;"""",""//div[@class='sub-heading']//span[@class='right']""),1),""Enter Manually"")
)"),"")</f>
        <v/>
      </c>
      <c r="AE90" s="314" t="str">
        <f t="shared" si="10"/>
        <v>Info</v>
      </c>
      <c r="AF90" s="329"/>
      <c r="AG90" s="320"/>
      <c r="AH90" s="13"/>
      <c r="AI90" s="13"/>
      <c r="AJ90" s="13"/>
      <c r="AK90" s="13"/>
      <c r="AL90" s="13"/>
      <c r="AM90" s="13"/>
      <c r="AN90" s="13"/>
      <c r="AO90" s="13"/>
      <c r="AP90" s="13"/>
    </row>
    <row r="91" ht="18.75" customHeight="1">
      <c r="A91" s="13"/>
      <c r="B91" s="327"/>
      <c r="C91" s="306" t="str">
        <f>IFERROR(__xludf.DUMMYFUNCTION("GOOGLEFINANCE(B91,""name"")
"),"#N/A")</f>
        <v>#N/A</v>
      </c>
      <c r="D91" s="306"/>
      <c r="E91" s="328"/>
      <c r="F91" s="13" t="str">
        <f t="shared" si="1"/>
        <v/>
      </c>
      <c r="G91" s="309" t="str">
        <f>IFERROR(__xludf.DUMMYFUNCTION("IF(ISBLANK(B91),"""",IFERROR(SPARKLINE(INDEX(GOOGLEFINANCE(B91,""price"",TODAY()-$G$17,TODAY()),,2),{""charttype"",""column"";""color"",""17a7e0""}),""""))"),"")</f>
        <v/>
      </c>
      <c r="I91" s="309" t="str">
        <f>IFERROR(__xludf.DUMMYFUNCTION("IFERROR(IF(B91="""","""",GOOGLEFINANCE(B91)),IFERROR(GOOGLEFINANCE(""CURRENCY:""&amp;""USD""&amp;$D$15)*IMPORTXML(""https://coinmarketcap.com/currencies/""&amp;B91,$AJ$3),IMPORTXML(""https://coinmarketcap.com/currencies/""&amp;B91,$AJ$3)))"),"")</f>
        <v/>
      </c>
      <c r="J91" s="310" t="str">
        <f t="shared" si="2"/>
        <v/>
      </c>
      <c r="K91" s="310" t="str">
        <f>IFERROR(__xludf.DUMMYFUNCTION("IFERROR(IF(ISBLANK(B91),"""",GOOGLEFINANCE(B91,""changepct"")/100),"""")"),"")</f>
        <v/>
      </c>
      <c r="L91" s="310" t="str">
        <f>IFERROR(__xludf.DUMMYFUNCTION("IF(ISBLANK(B91),"""",IFERROR((GOOGLEFINANCE(B91,""price"")/INDEX(GOOGLEFINANCE(B91,""price"",DATEVALUE(TODAY()-365) ),2,2)-1),""""))"),"")</f>
        <v/>
      </c>
      <c r="M91" s="310" t="str">
        <f>IFERROR(__xludf.DUMMYFUNCTION("IF(ISBLANK(B91),"""",IFERROR((GOOGLEFINANCE($D$13,""price"")/INDEX(GOOGLEFINANCE($D$13,""price"",DATEVALUE(TODAY()-365) ),2,2)-1),""""))"),"")</f>
        <v/>
      </c>
      <c r="N91" s="310" t="str">
        <f t="shared" si="3"/>
        <v/>
      </c>
      <c r="O91" s="311" t="str">
        <f>IFERROR(__xludf.DUMMYFUNCTION("IFERROR(IF(ISBLANK(B91),"""",GOOGLEFINANCE(B91,""low52"")),"""")"),"")</f>
        <v/>
      </c>
      <c r="P91" s="310" t="str">
        <f t="shared" si="4"/>
        <v/>
      </c>
      <c r="Q91" s="311" t="str">
        <f>IFERROR(__xludf.DUMMYFUNCTION("IFERROR(IF(ISBLANK(B91),"""",GOOGLEFINANCE(B91,""high52"")),"""")"),"")</f>
        <v/>
      </c>
      <c r="R91" s="310" t="str">
        <f t="shared" si="5"/>
        <v/>
      </c>
      <c r="S91" s="13" t="str">
        <f t="shared" si="6"/>
        <v/>
      </c>
      <c r="U91" s="13" t="str">
        <f t="shared" si="7"/>
        <v/>
      </c>
      <c r="W91" s="13" t="str">
        <f t="shared" si="8"/>
        <v/>
      </c>
      <c r="X91" s="310" t="str">
        <f t="shared" si="9"/>
        <v/>
      </c>
      <c r="Y91" s="311" t="str">
        <f>IFERROR(__xludf.DUMMYFUNCTION("IF(ISBLANK(B91),"""",IFERROR(INDEX(GOOGLEFINANCE(B91,""price"",WORKDAY(TODAY(),-$Y$17)),2,2),""""))"),"")</f>
        <v/>
      </c>
      <c r="Z91" s="310" t="str">
        <f>IFERROR(__xludf.DUMMYFUNCTION("IF(ISBLANK(B91),"""",IFERROR(I91/(INDEX(GOOGLEFINANCE(B91,""price"",WORKDAY(TODAY(),-$Z$17)),2,2))-1,""""))"),"")</f>
        <v/>
      </c>
      <c r="AA91" s="312" t="str">
        <f>IFERROR(__xludf.DUMMYFUNCTION("IF(ISBLANK(B91),"""",IFERROR(IFERROR(""$""&amp;Trunc(GOOGLEFINANCE(B91,""Marketcap"")/1000000000)&amp;"" B"",""$""&amp;Trunc(IMPORTXML(""https://coinmarketcap.com/currencies/""&amp;B91,$AJ$4)/1000000000)&amp;"" B""),""-""))"),"")</f>
        <v/>
      </c>
      <c r="AB91" s="13" t="str">
        <f>IFERROR(__xludf.DUMMYFUNCTION("IF(ISBLANK(B91),"""",IFERROR(GOOGLEFINANCE(B91,""pe""),""-""))"),"")</f>
        <v/>
      </c>
      <c r="AC91" s="313" t="str">
        <f>IFERROR(__xludf.DUMMYFUNCTION("SPARKLINE(INDEX(GOOGLEFINANCE(B91,""price"",workday(today(),-$AC$17),today()),,2),{""charttype"",""column"";""color"",""green""})
"),"#N/A")</f>
        <v>#N/A</v>
      </c>
      <c r="AD91" s="313" t="str">
        <f>IFERROR(__xludf.DUMMYFUNCTION("IF(ISBLANK(B91),"""",IFERROR(INDEX(IMPORTXML(""https://eresearch.fidelity.com/eresearch/goto/evaluate/snapshot.jhtml?symbols=""&amp;B91&amp;"""",""//div[@class='sub-heading']//span[@class='right']""),1),""Enter Manually"")
)"),"")</f>
        <v/>
      </c>
      <c r="AE91" s="314" t="str">
        <f t="shared" si="10"/>
        <v>Info</v>
      </c>
      <c r="AF91" s="329"/>
      <c r="AG91" s="320"/>
      <c r="AH91" s="13"/>
      <c r="AI91" s="13"/>
      <c r="AJ91" s="13"/>
      <c r="AK91" s="13"/>
      <c r="AL91" s="13"/>
      <c r="AM91" s="13"/>
      <c r="AN91" s="13"/>
      <c r="AO91" s="13"/>
      <c r="AP91" s="13"/>
    </row>
    <row r="92" ht="18.75" customHeight="1">
      <c r="A92" s="13"/>
      <c r="B92" s="327"/>
      <c r="C92" s="306" t="str">
        <f>IFERROR(__xludf.DUMMYFUNCTION("GOOGLEFINANCE(B92,""name"")
"),"#N/A")</f>
        <v>#N/A</v>
      </c>
      <c r="D92" s="306"/>
      <c r="E92" s="328"/>
      <c r="F92" s="13" t="str">
        <f t="shared" si="1"/>
        <v/>
      </c>
      <c r="G92" s="309" t="str">
        <f>IFERROR(__xludf.DUMMYFUNCTION("IF(ISBLANK(B92),"""",IFERROR(SPARKLINE(INDEX(GOOGLEFINANCE(B92,""price"",TODAY()-$G$17,TODAY()),,2),{""charttype"",""column"";""color"",""17a7e0""}),""""))"),"")</f>
        <v/>
      </c>
      <c r="I92" s="309" t="str">
        <f>IFERROR(__xludf.DUMMYFUNCTION("IFERROR(IF(B92="""","""",GOOGLEFINANCE(B92)),IFERROR(GOOGLEFINANCE(""CURRENCY:""&amp;""USD""&amp;$D$15)*IMPORTXML(""https://coinmarketcap.com/currencies/""&amp;B92,$AJ$3),IMPORTXML(""https://coinmarketcap.com/currencies/""&amp;B92,$AJ$3)))"),"")</f>
        <v/>
      </c>
      <c r="J92" s="310" t="str">
        <f t="shared" si="2"/>
        <v/>
      </c>
      <c r="K92" s="310" t="str">
        <f>IFERROR(__xludf.DUMMYFUNCTION("IFERROR(IF(ISBLANK(B92),"""",GOOGLEFINANCE(B92,""changepct"")/100),"""")"),"")</f>
        <v/>
      </c>
      <c r="L92" s="310" t="str">
        <f>IFERROR(__xludf.DUMMYFUNCTION("IF(ISBLANK(B92),"""",IFERROR((GOOGLEFINANCE(B92,""price"")/INDEX(GOOGLEFINANCE(B92,""price"",DATEVALUE(TODAY()-365) ),2,2)-1),""""))"),"")</f>
        <v/>
      </c>
      <c r="M92" s="310" t="str">
        <f>IFERROR(__xludf.DUMMYFUNCTION("IF(ISBLANK(B92),"""",IFERROR((GOOGLEFINANCE($D$13,""price"")/INDEX(GOOGLEFINANCE($D$13,""price"",DATEVALUE(TODAY()-365) ),2,2)-1),""""))"),"")</f>
        <v/>
      </c>
      <c r="N92" s="310" t="str">
        <f t="shared" si="3"/>
        <v/>
      </c>
      <c r="O92" s="311" t="str">
        <f>IFERROR(__xludf.DUMMYFUNCTION("IFERROR(IF(ISBLANK(B92),"""",GOOGLEFINANCE(B92,""low52"")),"""")"),"")</f>
        <v/>
      </c>
      <c r="P92" s="310" t="str">
        <f t="shared" si="4"/>
        <v/>
      </c>
      <c r="Q92" s="311" t="str">
        <f>IFERROR(__xludf.DUMMYFUNCTION("IFERROR(IF(ISBLANK(B92),"""",GOOGLEFINANCE(B92,""high52"")),"""")"),"")</f>
        <v/>
      </c>
      <c r="R92" s="310" t="str">
        <f t="shared" si="5"/>
        <v/>
      </c>
      <c r="S92" s="13" t="str">
        <f t="shared" si="6"/>
        <v/>
      </c>
      <c r="U92" s="13" t="str">
        <f t="shared" si="7"/>
        <v/>
      </c>
      <c r="W92" s="13" t="str">
        <f t="shared" si="8"/>
        <v/>
      </c>
      <c r="X92" s="310" t="str">
        <f t="shared" si="9"/>
        <v/>
      </c>
      <c r="Y92" s="311" t="str">
        <f>IFERROR(__xludf.DUMMYFUNCTION("IF(ISBLANK(B92),"""",IFERROR(INDEX(GOOGLEFINANCE(B92,""price"",WORKDAY(TODAY(),-$Y$17)),2,2),""""))"),"")</f>
        <v/>
      </c>
      <c r="Z92" s="310" t="str">
        <f>IFERROR(__xludf.DUMMYFUNCTION("IF(ISBLANK(B92),"""",IFERROR(I92/(INDEX(GOOGLEFINANCE(B92,""price"",WORKDAY(TODAY(),-$Z$17)),2,2))-1,""""))"),"")</f>
        <v/>
      </c>
      <c r="AA92" s="312" t="str">
        <f>IFERROR(__xludf.DUMMYFUNCTION("IF(ISBLANK(B92),"""",IFERROR(IFERROR(""$""&amp;Trunc(GOOGLEFINANCE(B92,""Marketcap"")/1000000000)&amp;"" B"",""$""&amp;Trunc(IMPORTXML(""https://coinmarketcap.com/currencies/""&amp;B92,$AJ$4)/1000000000)&amp;"" B""),""-""))"),"")</f>
        <v/>
      </c>
      <c r="AB92" s="13" t="str">
        <f>IFERROR(__xludf.DUMMYFUNCTION("IF(ISBLANK(B92),"""",IFERROR(GOOGLEFINANCE(B92,""pe""),""-""))"),"")</f>
        <v/>
      </c>
      <c r="AC92" s="313" t="str">
        <f>IFERROR(__xludf.DUMMYFUNCTION("SPARKLINE(INDEX(GOOGLEFINANCE(B92,""price"",workday(today(),-$AC$17),today()),,2),{""charttype"",""column"";""color"",""green""})
"),"#N/A")</f>
        <v>#N/A</v>
      </c>
      <c r="AD92" s="313" t="str">
        <f>IFERROR(__xludf.DUMMYFUNCTION("IF(ISBLANK(B92),"""",IFERROR(INDEX(IMPORTXML(""https://eresearch.fidelity.com/eresearch/goto/evaluate/snapshot.jhtml?symbols=""&amp;B92&amp;"""",""//div[@class='sub-heading']//span[@class='right']""),1),""Enter Manually"")
)"),"")</f>
        <v/>
      </c>
      <c r="AE92" s="314" t="str">
        <f t="shared" si="10"/>
        <v>Info</v>
      </c>
      <c r="AF92" s="329"/>
      <c r="AG92" s="320"/>
      <c r="AH92" s="13"/>
      <c r="AI92" s="13"/>
      <c r="AJ92" s="13"/>
      <c r="AK92" s="13"/>
      <c r="AL92" s="13"/>
      <c r="AM92" s="13"/>
      <c r="AN92" s="13"/>
      <c r="AO92" s="13"/>
      <c r="AP92" s="13"/>
    </row>
    <row r="93" ht="18.75" customHeight="1">
      <c r="A93" s="13"/>
      <c r="B93" s="327"/>
      <c r="C93" s="306" t="str">
        <f>IFERROR(__xludf.DUMMYFUNCTION("GOOGLEFINANCE(B93,""name"")
"),"#N/A")</f>
        <v>#N/A</v>
      </c>
      <c r="D93" s="306"/>
      <c r="E93" s="328"/>
      <c r="F93" s="13" t="str">
        <f t="shared" si="1"/>
        <v/>
      </c>
      <c r="G93" s="309" t="str">
        <f>IFERROR(__xludf.DUMMYFUNCTION("IF(ISBLANK(B93),"""",IFERROR(SPARKLINE(INDEX(GOOGLEFINANCE(B93,""price"",TODAY()-$G$17,TODAY()),,2),{""charttype"",""column"";""color"",""17a7e0""}),""""))"),"")</f>
        <v/>
      </c>
      <c r="I93" s="309" t="str">
        <f>IFERROR(__xludf.DUMMYFUNCTION("IFERROR(IF(B93="""","""",GOOGLEFINANCE(B93)),IFERROR(GOOGLEFINANCE(""CURRENCY:""&amp;""USD""&amp;$D$15)*IMPORTXML(""https://coinmarketcap.com/currencies/""&amp;B93,$AJ$3),IMPORTXML(""https://coinmarketcap.com/currencies/""&amp;B93,$AJ$3)))"),"")</f>
        <v/>
      </c>
      <c r="J93" s="310" t="str">
        <f t="shared" si="2"/>
        <v/>
      </c>
      <c r="K93" s="310" t="str">
        <f>IFERROR(__xludf.DUMMYFUNCTION("IFERROR(IF(ISBLANK(B93),"""",GOOGLEFINANCE(B93,""changepct"")/100),"""")"),"")</f>
        <v/>
      </c>
      <c r="L93" s="310" t="str">
        <f>IFERROR(__xludf.DUMMYFUNCTION("IF(ISBLANK(B93),"""",IFERROR((GOOGLEFINANCE(B93,""price"")/INDEX(GOOGLEFINANCE(B93,""price"",DATEVALUE(TODAY()-365) ),2,2)-1),""""))"),"")</f>
        <v/>
      </c>
      <c r="M93" s="310" t="str">
        <f>IFERROR(__xludf.DUMMYFUNCTION("IF(ISBLANK(B93),"""",IFERROR((GOOGLEFINANCE($D$13,""price"")/INDEX(GOOGLEFINANCE($D$13,""price"",DATEVALUE(TODAY()-365) ),2,2)-1),""""))"),"")</f>
        <v/>
      </c>
      <c r="N93" s="310" t="str">
        <f t="shared" si="3"/>
        <v/>
      </c>
      <c r="O93" s="311" t="str">
        <f>IFERROR(__xludf.DUMMYFUNCTION("IFERROR(IF(ISBLANK(B93),"""",GOOGLEFINANCE(B93,""low52"")),"""")"),"")</f>
        <v/>
      </c>
      <c r="P93" s="310" t="str">
        <f t="shared" si="4"/>
        <v/>
      </c>
      <c r="Q93" s="311" t="str">
        <f>IFERROR(__xludf.DUMMYFUNCTION("IFERROR(IF(ISBLANK(B93),"""",GOOGLEFINANCE(B93,""high52"")),"""")"),"")</f>
        <v/>
      </c>
      <c r="R93" s="310" t="str">
        <f t="shared" si="5"/>
        <v/>
      </c>
      <c r="S93" s="13" t="str">
        <f t="shared" si="6"/>
        <v/>
      </c>
      <c r="U93" s="13" t="str">
        <f t="shared" si="7"/>
        <v/>
      </c>
      <c r="W93" s="13" t="str">
        <f t="shared" si="8"/>
        <v/>
      </c>
      <c r="X93" s="310" t="str">
        <f t="shared" si="9"/>
        <v/>
      </c>
      <c r="Y93" s="311" t="str">
        <f>IFERROR(__xludf.DUMMYFUNCTION("IF(ISBLANK(B93),"""",IFERROR(INDEX(GOOGLEFINANCE(B93,""price"",WORKDAY(TODAY(),-$Y$17)),2,2),""""))"),"")</f>
        <v/>
      </c>
      <c r="Z93" s="310" t="str">
        <f>IFERROR(__xludf.DUMMYFUNCTION("IF(ISBLANK(B93),"""",IFERROR(I93/(INDEX(GOOGLEFINANCE(B93,""price"",WORKDAY(TODAY(),-$Z$17)),2,2))-1,""""))"),"")</f>
        <v/>
      </c>
      <c r="AA93" s="312" t="str">
        <f>IFERROR(__xludf.DUMMYFUNCTION("IF(ISBLANK(B93),"""",IFERROR(IFERROR(""$""&amp;Trunc(GOOGLEFINANCE(B93,""Marketcap"")/1000000000)&amp;"" B"",""$""&amp;Trunc(IMPORTXML(""https://coinmarketcap.com/currencies/""&amp;B93,$AJ$4)/1000000000)&amp;"" B""),""-""))"),"")</f>
        <v/>
      </c>
      <c r="AB93" s="13" t="str">
        <f>IFERROR(__xludf.DUMMYFUNCTION("IF(ISBLANK(B93),"""",IFERROR(GOOGLEFINANCE(B93,""pe""),""-""))"),"")</f>
        <v/>
      </c>
      <c r="AC93" s="313" t="str">
        <f>IFERROR(__xludf.DUMMYFUNCTION("SPARKLINE(INDEX(GOOGLEFINANCE(B93,""price"",workday(today(),-$AC$17),today()),,2),{""charttype"",""column"";""color"",""green""})
"),"#N/A")</f>
        <v>#N/A</v>
      </c>
      <c r="AD93" s="313" t="str">
        <f>IFERROR(__xludf.DUMMYFUNCTION("IF(ISBLANK(B93),"""",IFERROR(INDEX(IMPORTXML(""https://eresearch.fidelity.com/eresearch/goto/evaluate/snapshot.jhtml?symbols=""&amp;B93&amp;"""",""//div[@class='sub-heading']//span[@class='right']""),1),""Enter Manually"")
)"),"")</f>
        <v/>
      </c>
      <c r="AE93" s="314" t="str">
        <f t="shared" si="10"/>
        <v>Info</v>
      </c>
      <c r="AF93" s="329"/>
      <c r="AG93" s="320"/>
      <c r="AH93" s="13"/>
      <c r="AI93" s="13"/>
      <c r="AJ93" s="13"/>
      <c r="AK93" s="13"/>
      <c r="AL93" s="13"/>
      <c r="AM93" s="13"/>
      <c r="AN93" s="13"/>
      <c r="AO93" s="13"/>
      <c r="AP93" s="13"/>
    </row>
    <row r="94" ht="18.75" customHeight="1">
      <c r="A94" s="13"/>
      <c r="B94" s="327"/>
      <c r="C94" s="306" t="str">
        <f>IFERROR(__xludf.DUMMYFUNCTION("GOOGLEFINANCE(B94,""name"")
"),"#N/A")</f>
        <v>#N/A</v>
      </c>
      <c r="D94" s="306"/>
      <c r="E94" s="328"/>
      <c r="F94" s="13" t="str">
        <f t="shared" si="1"/>
        <v/>
      </c>
      <c r="G94" s="309" t="str">
        <f>IFERROR(__xludf.DUMMYFUNCTION("IF(ISBLANK(B94),"""",IFERROR(SPARKLINE(INDEX(GOOGLEFINANCE(B94,""price"",TODAY()-$G$17,TODAY()),,2),{""charttype"",""column"";""color"",""17a7e0""}),""""))"),"")</f>
        <v/>
      </c>
      <c r="I94" s="309" t="str">
        <f>IFERROR(__xludf.DUMMYFUNCTION("IFERROR(IF(B94="""","""",GOOGLEFINANCE(B94)),IFERROR(GOOGLEFINANCE(""CURRENCY:""&amp;""USD""&amp;$D$15)*IMPORTXML(""https://coinmarketcap.com/currencies/""&amp;B94,$AJ$3),IMPORTXML(""https://coinmarketcap.com/currencies/""&amp;B94,$AJ$3)))"),"")</f>
        <v/>
      </c>
      <c r="J94" s="310" t="str">
        <f t="shared" si="2"/>
        <v/>
      </c>
      <c r="K94" s="310" t="str">
        <f>IFERROR(__xludf.DUMMYFUNCTION("IFERROR(IF(ISBLANK(B94),"""",GOOGLEFINANCE(B94,""changepct"")/100),"""")"),"")</f>
        <v/>
      </c>
      <c r="L94" s="310" t="str">
        <f>IFERROR(__xludf.DUMMYFUNCTION("IF(ISBLANK(B94),"""",IFERROR((GOOGLEFINANCE(B94,""price"")/INDEX(GOOGLEFINANCE(B94,""price"",DATEVALUE(TODAY()-365) ),2,2)-1),""""))"),"")</f>
        <v/>
      </c>
      <c r="M94" s="310" t="str">
        <f>IFERROR(__xludf.DUMMYFUNCTION("IF(ISBLANK(B94),"""",IFERROR((GOOGLEFINANCE($D$13,""price"")/INDEX(GOOGLEFINANCE($D$13,""price"",DATEVALUE(TODAY()-365) ),2,2)-1),""""))"),"")</f>
        <v/>
      </c>
      <c r="N94" s="310" t="str">
        <f t="shared" si="3"/>
        <v/>
      </c>
      <c r="O94" s="311" t="str">
        <f>IFERROR(__xludf.DUMMYFUNCTION("IFERROR(IF(ISBLANK(B94),"""",GOOGLEFINANCE(B94,""low52"")),"""")"),"")</f>
        <v/>
      </c>
      <c r="P94" s="310" t="str">
        <f t="shared" si="4"/>
        <v/>
      </c>
      <c r="Q94" s="311" t="str">
        <f>IFERROR(__xludf.DUMMYFUNCTION("IFERROR(IF(ISBLANK(B94),"""",GOOGLEFINANCE(B94,""high52"")),"""")"),"")</f>
        <v/>
      </c>
      <c r="R94" s="310" t="str">
        <f t="shared" si="5"/>
        <v/>
      </c>
      <c r="S94" s="13" t="str">
        <f t="shared" si="6"/>
        <v/>
      </c>
      <c r="U94" s="13" t="str">
        <f t="shared" si="7"/>
        <v/>
      </c>
      <c r="W94" s="13" t="str">
        <f t="shared" si="8"/>
        <v/>
      </c>
      <c r="X94" s="310" t="str">
        <f t="shared" si="9"/>
        <v/>
      </c>
      <c r="Y94" s="311" t="str">
        <f>IFERROR(__xludf.DUMMYFUNCTION("IF(ISBLANK(B94),"""",IFERROR(INDEX(GOOGLEFINANCE(B94,""price"",WORKDAY(TODAY(),-$Y$17)),2,2),""""))"),"")</f>
        <v/>
      </c>
      <c r="Z94" s="310" t="str">
        <f>IFERROR(__xludf.DUMMYFUNCTION("IF(ISBLANK(B94),"""",IFERROR(I94/(INDEX(GOOGLEFINANCE(B94,""price"",WORKDAY(TODAY(),-$Z$17)),2,2))-1,""""))"),"")</f>
        <v/>
      </c>
      <c r="AA94" s="312" t="str">
        <f>IFERROR(__xludf.DUMMYFUNCTION("IF(ISBLANK(B94),"""",IFERROR(IFERROR(""$""&amp;Trunc(GOOGLEFINANCE(B94,""Marketcap"")/1000000000)&amp;"" B"",""$""&amp;Trunc(IMPORTXML(""https://coinmarketcap.com/currencies/""&amp;B94,$AJ$4)/1000000000)&amp;"" B""),""-""))"),"")</f>
        <v/>
      </c>
      <c r="AB94" s="13" t="str">
        <f>IFERROR(__xludf.DUMMYFUNCTION("IF(ISBLANK(B94),"""",IFERROR(GOOGLEFINANCE(B94,""pe""),""-""))"),"")</f>
        <v/>
      </c>
      <c r="AC94" s="313" t="str">
        <f>IFERROR(__xludf.DUMMYFUNCTION("SPARKLINE(INDEX(GOOGLEFINANCE(B94,""price"",workday(today(),-$AC$17),today()),,2),{""charttype"",""column"";""color"",""green""})
"),"#N/A")</f>
        <v>#N/A</v>
      </c>
      <c r="AD94" s="313" t="str">
        <f>IFERROR(__xludf.DUMMYFUNCTION("IF(ISBLANK(B94),"""",IFERROR(INDEX(IMPORTXML(""https://eresearch.fidelity.com/eresearch/goto/evaluate/snapshot.jhtml?symbols=""&amp;B94&amp;"""",""//div[@class='sub-heading']//span[@class='right']""),1),""Enter Manually"")
)"),"")</f>
        <v/>
      </c>
      <c r="AE94" s="314" t="str">
        <f t="shared" si="10"/>
        <v>Info</v>
      </c>
      <c r="AF94" s="329"/>
      <c r="AG94" s="320"/>
      <c r="AH94" s="13"/>
      <c r="AI94" s="13"/>
      <c r="AJ94" s="13"/>
      <c r="AK94" s="13"/>
      <c r="AL94" s="13"/>
      <c r="AM94" s="13"/>
      <c r="AN94" s="13"/>
      <c r="AO94" s="13"/>
      <c r="AP94" s="13"/>
    </row>
    <row r="95" ht="18.75" customHeight="1">
      <c r="A95" s="13"/>
      <c r="B95" s="327"/>
      <c r="C95" s="306" t="str">
        <f>IFERROR(__xludf.DUMMYFUNCTION("GOOGLEFINANCE(B95,""name"")
"),"#N/A")</f>
        <v>#N/A</v>
      </c>
      <c r="D95" s="306"/>
      <c r="E95" s="328"/>
      <c r="F95" s="13" t="str">
        <f t="shared" si="1"/>
        <v/>
      </c>
      <c r="G95" s="309" t="str">
        <f>IFERROR(__xludf.DUMMYFUNCTION("IF(ISBLANK(B95),"""",IFERROR(SPARKLINE(INDEX(GOOGLEFINANCE(B95,""price"",TODAY()-$G$17,TODAY()),,2),{""charttype"",""column"";""color"",""17a7e0""}),""""))"),"")</f>
        <v/>
      </c>
      <c r="I95" s="309" t="str">
        <f>IFERROR(__xludf.DUMMYFUNCTION("IFERROR(IF(B95="""","""",GOOGLEFINANCE(B95)),IFERROR(GOOGLEFINANCE(""CURRENCY:""&amp;""USD""&amp;$D$15)*IMPORTXML(""https://coinmarketcap.com/currencies/""&amp;B95,$AJ$3),IMPORTXML(""https://coinmarketcap.com/currencies/""&amp;B95,$AJ$3)))"),"")</f>
        <v/>
      </c>
      <c r="J95" s="310" t="str">
        <f t="shared" si="2"/>
        <v/>
      </c>
      <c r="K95" s="310" t="str">
        <f>IFERROR(__xludf.DUMMYFUNCTION("IFERROR(IF(ISBLANK(B95),"""",GOOGLEFINANCE(B95,""changepct"")/100),"""")"),"")</f>
        <v/>
      </c>
      <c r="L95" s="310" t="str">
        <f>IFERROR(__xludf.DUMMYFUNCTION("IF(ISBLANK(B95),"""",IFERROR((GOOGLEFINANCE(B95,""price"")/INDEX(GOOGLEFINANCE(B95,""price"",DATEVALUE(TODAY()-365) ),2,2)-1),""""))"),"")</f>
        <v/>
      </c>
      <c r="M95" s="310" t="str">
        <f>IFERROR(__xludf.DUMMYFUNCTION("IF(ISBLANK(B95),"""",IFERROR((GOOGLEFINANCE($D$13,""price"")/INDEX(GOOGLEFINANCE($D$13,""price"",DATEVALUE(TODAY()-365) ),2,2)-1),""""))"),"")</f>
        <v/>
      </c>
      <c r="N95" s="310" t="str">
        <f t="shared" si="3"/>
        <v/>
      </c>
      <c r="O95" s="311" t="str">
        <f>IFERROR(__xludf.DUMMYFUNCTION("IFERROR(IF(ISBLANK(B95),"""",GOOGLEFINANCE(B95,""low52"")),"""")"),"")</f>
        <v/>
      </c>
      <c r="P95" s="310" t="str">
        <f t="shared" si="4"/>
        <v/>
      </c>
      <c r="Q95" s="311" t="str">
        <f>IFERROR(__xludf.DUMMYFUNCTION("IFERROR(IF(ISBLANK(B95),"""",GOOGLEFINANCE(B95,""high52"")),"""")"),"")</f>
        <v/>
      </c>
      <c r="R95" s="310" t="str">
        <f t="shared" si="5"/>
        <v/>
      </c>
      <c r="S95" s="13" t="str">
        <f t="shared" si="6"/>
        <v/>
      </c>
      <c r="U95" s="13" t="str">
        <f t="shared" si="7"/>
        <v/>
      </c>
      <c r="W95" s="13" t="str">
        <f t="shared" si="8"/>
        <v/>
      </c>
      <c r="X95" s="310" t="str">
        <f t="shared" si="9"/>
        <v/>
      </c>
      <c r="Y95" s="311" t="str">
        <f>IFERROR(__xludf.DUMMYFUNCTION("IF(ISBLANK(B95),"""",IFERROR(INDEX(GOOGLEFINANCE(B95,""price"",WORKDAY(TODAY(),-$Y$17)),2,2),""""))"),"")</f>
        <v/>
      </c>
      <c r="Z95" s="310" t="str">
        <f>IFERROR(__xludf.DUMMYFUNCTION("IF(ISBLANK(B95),"""",IFERROR(I95/(INDEX(GOOGLEFINANCE(B95,""price"",WORKDAY(TODAY(),-$Z$17)),2,2))-1,""""))"),"")</f>
        <v/>
      </c>
      <c r="AA95" s="312" t="str">
        <f>IFERROR(__xludf.DUMMYFUNCTION("IF(ISBLANK(B95),"""",IFERROR(IFERROR(""$""&amp;Trunc(GOOGLEFINANCE(B95,""Marketcap"")/1000000000)&amp;"" B"",""$""&amp;Trunc(IMPORTXML(""https://coinmarketcap.com/currencies/""&amp;B95,$AJ$4)/1000000000)&amp;"" B""),""-""))"),"")</f>
        <v/>
      </c>
      <c r="AB95" s="13" t="str">
        <f>IFERROR(__xludf.DUMMYFUNCTION("IF(ISBLANK(B95),"""",IFERROR(GOOGLEFINANCE(B95,""pe""),""-""))"),"")</f>
        <v/>
      </c>
      <c r="AC95" s="313" t="str">
        <f>IFERROR(__xludf.DUMMYFUNCTION("SPARKLINE(INDEX(GOOGLEFINANCE(B95,""price"",workday(today(),-$AC$17),today()),,2),{""charttype"",""column"";""color"",""green""})
"),"#N/A")</f>
        <v>#N/A</v>
      </c>
      <c r="AD95" s="313" t="str">
        <f>IFERROR(__xludf.DUMMYFUNCTION("IF(ISBLANK(B95),"""",IFERROR(INDEX(IMPORTXML(""https://eresearch.fidelity.com/eresearch/goto/evaluate/snapshot.jhtml?symbols=""&amp;B95&amp;"""",""//div[@class='sub-heading']//span[@class='right']""),1),""Enter Manually"")
)"),"")</f>
        <v/>
      </c>
      <c r="AE95" s="314" t="str">
        <f t="shared" si="10"/>
        <v>Info</v>
      </c>
      <c r="AF95" s="329"/>
      <c r="AG95" s="320"/>
      <c r="AH95" s="13"/>
      <c r="AI95" s="13"/>
      <c r="AJ95" s="13"/>
      <c r="AK95" s="13"/>
      <c r="AL95" s="13"/>
      <c r="AM95" s="13"/>
      <c r="AN95" s="13"/>
      <c r="AO95" s="13"/>
      <c r="AP95" s="13"/>
    </row>
    <row r="96" ht="18.75" customHeight="1">
      <c r="A96" s="13"/>
      <c r="B96" s="327"/>
      <c r="C96" s="306" t="str">
        <f>IFERROR(__xludf.DUMMYFUNCTION("GOOGLEFINANCE(B96,""name"")
"),"#N/A")</f>
        <v>#N/A</v>
      </c>
      <c r="D96" s="306"/>
      <c r="E96" s="328"/>
      <c r="F96" s="13" t="str">
        <f t="shared" si="1"/>
        <v/>
      </c>
      <c r="G96" s="309" t="str">
        <f>IFERROR(__xludf.DUMMYFUNCTION("IF(ISBLANK(B96),"""",IFERROR(SPARKLINE(INDEX(GOOGLEFINANCE(B96,""price"",TODAY()-$G$17,TODAY()),,2),{""charttype"",""column"";""color"",""17a7e0""}),""""))"),"")</f>
        <v/>
      </c>
      <c r="I96" s="309" t="str">
        <f>IFERROR(__xludf.DUMMYFUNCTION("IFERROR(IF(B96="""","""",GOOGLEFINANCE(B96)),IFERROR(GOOGLEFINANCE(""CURRENCY:""&amp;""USD""&amp;$D$15)*IMPORTXML(""https://coinmarketcap.com/currencies/""&amp;B96,$AJ$3),IMPORTXML(""https://coinmarketcap.com/currencies/""&amp;B96,$AJ$3)))"),"")</f>
        <v/>
      </c>
      <c r="J96" s="310" t="str">
        <f t="shared" si="2"/>
        <v/>
      </c>
      <c r="K96" s="310" t="str">
        <f>IFERROR(__xludf.DUMMYFUNCTION("IFERROR(IF(ISBLANK(B96),"""",GOOGLEFINANCE(B96,""changepct"")/100),"""")"),"")</f>
        <v/>
      </c>
      <c r="L96" s="310" t="str">
        <f>IFERROR(__xludf.DUMMYFUNCTION("IF(ISBLANK(B96),"""",IFERROR((GOOGLEFINANCE(B96,""price"")/INDEX(GOOGLEFINANCE(B96,""price"",DATEVALUE(TODAY()-365) ),2,2)-1),""""))"),"")</f>
        <v/>
      </c>
      <c r="M96" s="310" t="str">
        <f>IFERROR(__xludf.DUMMYFUNCTION("IF(ISBLANK(B96),"""",IFERROR((GOOGLEFINANCE($D$13,""price"")/INDEX(GOOGLEFINANCE($D$13,""price"",DATEVALUE(TODAY()-365) ),2,2)-1),""""))"),"")</f>
        <v/>
      </c>
      <c r="N96" s="310" t="str">
        <f t="shared" si="3"/>
        <v/>
      </c>
      <c r="O96" s="311" t="str">
        <f>IFERROR(__xludf.DUMMYFUNCTION("IFERROR(IF(ISBLANK(B96),"""",GOOGLEFINANCE(B96,""low52"")),"""")"),"")</f>
        <v/>
      </c>
      <c r="P96" s="310" t="str">
        <f t="shared" si="4"/>
        <v/>
      </c>
      <c r="Q96" s="311" t="str">
        <f>IFERROR(__xludf.DUMMYFUNCTION("IFERROR(IF(ISBLANK(B96),"""",GOOGLEFINANCE(B96,""high52"")),"""")"),"")</f>
        <v/>
      </c>
      <c r="R96" s="310" t="str">
        <f t="shared" si="5"/>
        <v/>
      </c>
      <c r="S96" s="13" t="str">
        <f t="shared" si="6"/>
        <v/>
      </c>
      <c r="U96" s="13" t="str">
        <f t="shared" si="7"/>
        <v/>
      </c>
      <c r="W96" s="13" t="str">
        <f t="shared" si="8"/>
        <v/>
      </c>
      <c r="X96" s="310" t="str">
        <f t="shared" si="9"/>
        <v/>
      </c>
      <c r="Y96" s="311" t="str">
        <f>IFERROR(__xludf.DUMMYFUNCTION("IF(ISBLANK(B96),"""",IFERROR(INDEX(GOOGLEFINANCE(B96,""price"",WORKDAY(TODAY(),-$Y$17)),2,2),""""))"),"")</f>
        <v/>
      </c>
      <c r="Z96" s="310" t="str">
        <f>IFERROR(__xludf.DUMMYFUNCTION("IF(ISBLANK(B96),"""",IFERROR(I96/(INDEX(GOOGLEFINANCE(B96,""price"",WORKDAY(TODAY(),-$Z$17)),2,2))-1,""""))"),"")</f>
        <v/>
      </c>
      <c r="AA96" s="312" t="str">
        <f>IFERROR(__xludf.DUMMYFUNCTION("IF(ISBLANK(B96),"""",IFERROR(IFERROR(""$""&amp;Trunc(GOOGLEFINANCE(B96,""Marketcap"")/1000000000)&amp;"" B"",""$""&amp;Trunc(IMPORTXML(""https://coinmarketcap.com/currencies/""&amp;B96,$AJ$4)/1000000000)&amp;"" B""),""-""))"),"")</f>
        <v/>
      </c>
      <c r="AB96" s="13" t="str">
        <f>IFERROR(__xludf.DUMMYFUNCTION("IF(ISBLANK(B96),"""",IFERROR(GOOGLEFINANCE(B96,""pe""),""-""))"),"")</f>
        <v/>
      </c>
      <c r="AC96" s="313" t="str">
        <f>IFERROR(__xludf.DUMMYFUNCTION("SPARKLINE(INDEX(GOOGLEFINANCE(B96,""price"",workday(today(),-$AC$17),today()),,2),{""charttype"",""column"";""color"",""green""})
"),"#N/A")</f>
        <v>#N/A</v>
      </c>
      <c r="AD96" s="313" t="str">
        <f>IFERROR(__xludf.DUMMYFUNCTION("IF(ISBLANK(B96),"""",IFERROR(INDEX(IMPORTXML(""https://eresearch.fidelity.com/eresearch/goto/evaluate/snapshot.jhtml?symbols=""&amp;B96&amp;"""",""//div[@class='sub-heading']//span[@class='right']""),1),""Enter Manually"")
)"),"")</f>
        <v/>
      </c>
      <c r="AE96" s="314" t="str">
        <f t="shared" si="10"/>
        <v>Info</v>
      </c>
      <c r="AF96" s="329"/>
      <c r="AG96" s="320"/>
      <c r="AH96" s="13"/>
      <c r="AI96" s="13"/>
      <c r="AJ96" s="13"/>
      <c r="AK96" s="13"/>
      <c r="AL96" s="13"/>
      <c r="AM96" s="13"/>
      <c r="AN96" s="13"/>
      <c r="AO96" s="13"/>
      <c r="AP96" s="13"/>
    </row>
    <row r="97" ht="18.75" customHeight="1">
      <c r="A97" s="13"/>
      <c r="B97" s="327"/>
      <c r="C97" s="306" t="str">
        <f>IFERROR(__xludf.DUMMYFUNCTION("GOOGLEFINANCE(B97,""name"")
"),"#N/A")</f>
        <v>#N/A</v>
      </c>
      <c r="D97" s="306"/>
      <c r="E97" s="328"/>
      <c r="F97" s="13" t="str">
        <f t="shared" si="1"/>
        <v/>
      </c>
      <c r="G97" s="309" t="str">
        <f>IFERROR(__xludf.DUMMYFUNCTION("IF(ISBLANK(B97),"""",IFERROR(SPARKLINE(INDEX(GOOGLEFINANCE(B97,""price"",TODAY()-$G$17,TODAY()),,2),{""charttype"",""column"";""color"",""17a7e0""}),""""))"),"")</f>
        <v/>
      </c>
      <c r="I97" s="309" t="str">
        <f>IFERROR(__xludf.DUMMYFUNCTION("IFERROR(IF(B97="""","""",GOOGLEFINANCE(B97)),IFERROR(GOOGLEFINANCE(""CURRENCY:""&amp;""USD""&amp;$D$15)*IMPORTXML(""https://coinmarketcap.com/currencies/""&amp;B97,$AJ$3),IMPORTXML(""https://coinmarketcap.com/currencies/""&amp;B97,$AJ$3)))"),"")</f>
        <v/>
      </c>
      <c r="J97" s="310" t="str">
        <f t="shared" si="2"/>
        <v/>
      </c>
      <c r="K97" s="310" t="str">
        <f>IFERROR(__xludf.DUMMYFUNCTION("IFERROR(IF(ISBLANK(B97),"""",GOOGLEFINANCE(B97,""changepct"")/100),"""")"),"")</f>
        <v/>
      </c>
      <c r="L97" s="310" t="str">
        <f>IFERROR(__xludf.DUMMYFUNCTION("IF(ISBLANK(B97),"""",IFERROR((GOOGLEFINANCE(B97,""price"")/INDEX(GOOGLEFINANCE(B97,""price"",DATEVALUE(TODAY()-365) ),2,2)-1),""""))"),"")</f>
        <v/>
      </c>
      <c r="M97" s="310" t="str">
        <f>IFERROR(__xludf.DUMMYFUNCTION("IF(ISBLANK(B97),"""",IFERROR((GOOGLEFINANCE($D$13,""price"")/INDEX(GOOGLEFINANCE($D$13,""price"",DATEVALUE(TODAY()-365) ),2,2)-1),""""))"),"")</f>
        <v/>
      </c>
      <c r="N97" s="310" t="str">
        <f t="shared" si="3"/>
        <v/>
      </c>
      <c r="O97" s="311" t="str">
        <f>IFERROR(__xludf.DUMMYFUNCTION("IFERROR(IF(ISBLANK(B97),"""",GOOGLEFINANCE(B97,""low52"")),"""")"),"")</f>
        <v/>
      </c>
      <c r="P97" s="310" t="str">
        <f t="shared" si="4"/>
        <v/>
      </c>
      <c r="Q97" s="311" t="str">
        <f>IFERROR(__xludf.DUMMYFUNCTION("IFERROR(IF(ISBLANK(B97),"""",GOOGLEFINANCE(B97,""high52"")),"""")"),"")</f>
        <v/>
      </c>
      <c r="R97" s="310" t="str">
        <f t="shared" si="5"/>
        <v/>
      </c>
      <c r="S97" s="13" t="str">
        <f t="shared" si="6"/>
        <v/>
      </c>
      <c r="U97" s="13" t="str">
        <f t="shared" si="7"/>
        <v/>
      </c>
      <c r="W97" s="13" t="str">
        <f t="shared" si="8"/>
        <v/>
      </c>
      <c r="X97" s="310" t="str">
        <f t="shared" si="9"/>
        <v/>
      </c>
      <c r="Y97" s="311" t="str">
        <f>IFERROR(__xludf.DUMMYFUNCTION("IF(ISBLANK(B97),"""",IFERROR(INDEX(GOOGLEFINANCE(B97,""price"",WORKDAY(TODAY(),-$Y$17)),2,2),""""))"),"")</f>
        <v/>
      </c>
      <c r="Z97" s="310" t="str">
        <f>IFERROR(__xludf.DUMMYFUNCTION("IF(ISBLANK(B97),"""",IFERROR(I97/(INDEX(GOOGLEFINANCE(B97,""price"",WORKDAY(TODAY(),-$Z$17)),2,2))-1,""""))"),"")</f>
        <v/>
      </c>
      <c r="AA97" s="312" t="str">
        <f>IFERROR(__xludf.DUMMYFUNCTION("IF(ISBLANK(B97),"""",IFERROR(IFERROR(""$""&amp;Trunc(GOOGLEFINANCE(B97,""Marketcap"")/1000000000)&amp;"" B"",""$""&amp;Trunc(IMPORTXML(""https://coinmarketcap.com/currencies/""&amp;B97,$AJ$4)/1000000000)&amp;"" B""),""-""))"),"")</f>
        <v/>
      </c>
      <c r="AB97" s="13" t="str">
        <f>IFERROR(__xludf.DUMMYFUNCTION("IF(ISBLANK(B97),"""",IFERROR(GOOGLEFINANCE(B97,""pe""),""-""))"),"")</f>
        <v/>
      </c>
      <c r="AC97" s="313" t="str">
        <f>IFERROR(__xludf.DUMMYFUNCTION("SPARKLINE(INDEX(GOOGLEFINANCE(B97,""price"",workday(today(),-$AC$17),today()),,2),{""charttype"",""column"";""color"",""green""})
"),"#N/A")</f>
        <v>#N/A</v>
      </c>
      <c r="AD97" s="313" t="str">
        <f>IFERROR(__xludf.DUMMYFUNCTION("IF(ISBLANK(B97),"""",IFERROR(INDEX(IMPORTXML(""https://eresearch.fidelity.com/eresearch/goto/evaluate/snapshot.jhtml?symbols=""&amp;B97&amp;"""",""//div[@class='sub-heading']//span[@class='right']""),1),""Enter Manually"")
)"),"")</f>
        <v/>
      </c>
      <c r="AE97" s="314" t="str">
        <f t="shared" si="10"/>
        <v>Info</v>
      </c>
      <c r="AF97" s="329"/>
      <c r="AG97" s="320"/>
      <c r="AH97" s="13"/>
      <c r="AI97" s="13"/>
      <c r="AJ97" s="13"/>
      <c r="AK97" s="13"/>
      <c r="AL97" s="13"/>
      <c r="AM97" s="13"/>
      <c r="AN97" s="13"/>
      <c r="AO97" s="13"/>
      <c r="AP97" s="13"/>
    </row>
    <row r="98" ht="18.75" customHeight="1">
      <c r="A98" s="13"/>
      <c r="B98" s="327"/>
      <c r="C98" s="306" t="str">
        <f>IFERROR(__xludf.DUMMYFUNCTION("GOOGLEFINANCE(B98,""name"")
"),"#N/A")</f>
        <v>#N/A</v>
      </c>
      <c r="D98" s="306"/>
      <c r="E98" s="328"/>
      <c r="F98" s="13" t="str">
        <f t="shared" si="1"/>
        <v/>
      </c>
      <c r="G98" s="309" t="str">
        <f>IFERROR(__xludf.DUMMYFUNCTION("IF(ISBLANK(B98),"""",IFERROR(SPARKLINE(INDEX(GOOGLEFINANCE(B98,""price"",TODAY()-$G$17,TODAY()),,2),{""charttype"",""column"";""color"",""17a7e0""}),""""))"),"")</f>
        <v/>
      </c>
      <c r="I98" s="309" t="str">
        <f>IFERROR(__xludf.DUMMYFUNCTION("IFERROR(IF(B98="""","""",GOOGLEFINANCE(B98)),IFERROR(GOOGLEFINANCE(""CURRENCY:""&amp;""USD""&amp;$D$15)*IMPORTXML(""https://coinmarketcap.com/currencies/""&amp;B98,$AJ$3),IMPORTXML(""https://coinmarketcap.com/currencies/""&amp;B98,$AJ$3)))"),"")</f>
        <v/>
      </c>
      <c r="J98" s="310" t="str">
        <f t="shared" si="2"/>
        <v/>
      </c>
      <c r="K98" s="310" t="str">
        <f>IFERROR(__xludf.DUMMYFUNCTION("IFERROR(IF(ISBLANK(B98),"""",GOOGLEFINANCE(B98,""changepct"")/100),"""")"),"")</f>
        <v/>
      </c>
      <c r="L98" s="310" t="str">
        <f>IFERROR(__xludf.DUMMYFUNCTION("IF(ISBLANK(B98),"""",IFERROR((GOOGLEFINANCE(B98,""price"")/INDEX(GOOGLEFINANCE(B98,""price"",DATEVALUE(TODAY()-365) ),2,2)-1),""""))"),"")</f>
        <v/>
      </c>
      <c r="M98" s="310" t="str">
        <f>IFERROR(__xludf.DUMMYFUNCTION("IF(ISBLANK(B98),"""",IFERROR((GOOGLEFINANCE($D$13,""price"")/INDEX(GOOGLEFINANCE($D$13,""price"",DATEVALUE(TODAY()-365) ),2,2)-1),""""))"),"")</f>
        <v/>
      </c>
      <c r="N98" s="310" t="str">
        <f t="shared" si="3"/>
        <v/>
      </c>
      <c r="O98" s="311" t="str">
        <f>IFERROR(__xludf.DUMMYFUNCTION("IFERROR(IF(ISBLANK(B98),"""",GOOGLEFINANCE(B98,""low52"")),"""")"),"")</f>
        <v/>
      </c>
      <c r="P98" s="310" t="str">
        <f t="shared" si="4"/>
        <v/>
      </c>
      <c r="Q98" s="311" t="str">
        <f>IFERROR(__xludf.DUMMYFUNCTION("IFERROR(IF(ISBLANK(B98),"""",GOOGLEFINANCE(B98,""high52"")),"""")"),"")</f>
        <v/>
      </c>
      <c r="R98" s="310" t="str">
        <f t="shared" si="5"/>
        <v/>
      </c>
      <c r="S98" s="13" t="str">
        <f t="shared" si="6"/>
        <v/>
      </c>
      <c r="U98" s="13" t="str">
        <f t="shared" si="7"/>
        <v/>
      </c>
      <c r="W98" s="13" t="str">
        <f t="shared" si="8"/>
        <v/>
      </c>
      <c r="X98" s="310" t="str">
        <f t="shared" si="9"/>
        <v/>
      </c>
      <c r="Y98" s="311" t="str">
        <f>IFERROR(__xludf.DUMMYFUNCTION("IF(ISBLANK(B98),"""",IFERROR(INDEX(GOOGLEFINANCE(B98,""price"",WORKDAY(TODAY(),-$Y$17)),2,2),""""))"),"")</f>
        <v/>
      </c>
      <c r="Z98" s="310" t="str">
        <f>IFERROR(__xludf.DUMMYFUNCTION("IF(ISBLANK(B98),"""",IFERROR(I98/(INDEX(GOOGLEFINANCE(B98,""price"",WORKDAY(TODAY(),-$Z$17)),2,2))-1,""""))"),"")</f>
        <v/>
      </c>
      <c r="AA98" s="312" t="str">
        <f>IFERROR(__xludf.DUMMYFUNCTION("IF(ISBLANK(B98),"""",IFERROR(IFERROR(""$""&amp;Trunc(GOOGLEFINANCE(B98,""Marketcap"")/1000000000)&amp;"" B"",""$""&amp;Trunc(IMPORTXML(""https://coinmarketcap.com/currencies/""&amp;B98,$AJ$4)/1000000000)&amp;"" B""),""-""))"),"")</f>
        <v/>
      </c>
      <c r="AB98" s="13" t="str">
        <f>IFERROR(__xludf.DUMMYFUNCTION("IF(ISBLANK(B98),"""",IFERROR(GOOGLEFINANCE(B98,""pe""),""-""))"),"")</f>
        <v/>
      </c>
      <c r="AC98" s="313" t="str">
        <f>IFERROR(__xludf.DUMMYFUNCTION("SPARKLINE(INDEX(GOOGLEFINANCE(B98,""price"",workday(today(),-$AC$17),today()),,2),{""charttype"",""column"";""color"",""green""})
"),"#N/A")</f>
        <v>#N/A</v>
      </c>
      <c r="AD98" s="313" t="str">
        <f>IFERROR(__xludf.DUMMYFUNCTION("IF(ISBLANK(B98),"""",IFERROR(INDEX(IMPORTXML(""https://eresearch.fidelity.com/eresearch/goto/evaluate/snapshot.jhtml?symbols=""&amp;B98&amp;"""",""//div[@class='sub-heading']//span[@class='right']""),1),""Enter Manually"")
)"),"")</f>
        <v/>
      </c>
      <c r="AE98" s="314" t="str">
        <f t="shared" si="10"/>
        <v>Info</v>
      </c>
      <c r="AF98" s="329"/>
      <c r="AG98" s="320"/>
      <c r="AH98" s="13"/>
      <c r="AI98" s="13"/>
      <c r="AJ98" s="13"/>
      <c r="AK98" s="13"/>
      <c r="AL98" s="13"/>
      <c r="AM98" s="13"/>
      <c r="AN98" s="13"/>
      <c r="AO98" s="13"/>
      <c r="AP98" s="13"/>
    </row>
    <row r="99" ht="18.75" customHeight="1">
      <c r="A99" s="13"/>
      <c r="B99" s="327"/>
      <c r="C99" s="306" t="str">
        <f>IFERROR(__xludf.DUMMYFUNCTION("GOOGLEFINANCE(B99,""name"")
"),"#N/A")</f>
        <v>#N/A</v>
      </c>
      <c r="D99" s="306"/>
      <c r="E99" s="328"/>
      <c r="F99" s="13" t="str">
        <f t="shared" si="1"/>
        <v/>
      </c>
      <c r="G99" s="309" t="str">
        <f>IFERROR(__xludf.DUMMYFUNCTION("IF(ISBLANK(B99),"""",IFERROR(SPARKLINE(INDEX(GOOGLEFINANCE(B99,""price"",TODAY()-$G$17,TODAY()),,2),{""charttype"",""column"";""color"",""17a7e0""}),""""))"),"")</f>
        <v/>
      </c>
      <c r="I99" s="309" t="str">
        <f>IFERROR(__xludf.DUMMYFUNCTION("IFERROR(IF(B99="""","""",GOOGLEFINANCE(B99)),IFERROR(GOOGLEFINANCE(""CURRENCY:""&amp;""USD""&amp;$D$15)*IMPORTXML(""https://coinmarketcap.com/currencies/""&amp;B99,$AJ$3),IMPORTXML(""https://coinmarketcap.com/currencies/""&amp;B99,$AJ$3)))"),"")</f>
        <v/>
      </c>
      <c r="J99" s="310" t="str">
        <f t="shared" si="2"/>
        <v/>
      </c>
      <c r="K99" s="310" t="str">
        <f>IFERROR(__xludf.DUMMYFUNCTION("IFERROR(IF(ISBLANK(B99),"""",GOOGLEFINANCE(B99,""changepct"")/100),"""")"),"")</f>
        <v/>
      </c>
      <c r="L99" s="310" t="str">
        <f>IFERROR(__xludf.DUMMYFUNCTION("IF(ISBLANK(B99),"""",IFERROR((GOOGLEFINANCE(B99,""price"")/INDEX(GOOGLEFINANCE(B99,""price"",DATEVALUE(TODAY()-365) ),2,2)-1),""""))"),"")</f>
        <v/>
      </c>
      <c r="M99" s="310" t="str">
        <f>IFERROR(__xludf.DUMMYFUNCTION("IF(ISBLANK(B99),"""",IFERROR((GOOGLEFINANCE($D$13,""price"")/INDEX(GOOGLEFINANCE($D$13,""price"",DATEVALUE(TODAY()-365) ),2,2)-1),""""))"),"")</f>
        <v/>
      </c>
      <c r="N99" s="310" t="str">
        <f t="shared" si="3"/>
        <v/>
      </c>
      <c r="O99" s="311" t="str">
        <f>IFERROR(__xludf.DUMMYFUNCTION("IFERROR(IF(ISBLANK(B99),"""",GOOGLEFINANCE(B99,""low52"")),"""")"),"")</f>
        <v/>
      </c>
      <c r="P99" s="310" t="str">
        <f t="shared" si="4"/>
        <v/>
      </c>
      <c r="Q99" s="311" t="str">
        <f>IFERROR(__xludf.DUMMYFUNCTION("IFERROR(IF(ISBLANK(B99),"""",GOOGLEFINANCE(B99,""high52"")),"""")"),"")</f>
        <v/>
      </c>
      <c r="R99" s="310" t="str">
        <f t="shared" si="5"/>
        <v/>
      </c>
      <c r="S99" s="13" t="str">
        <f t="shared" si="6"/>
        <v/>
      </c>
      <c r="U99" s="13" t="str">
        <f t="shared" si="7"/>
        <v/>
      </c>
      <c r="W99" s="13" t="str">
        <f t="shared" si="8"/>
        <v/>
      </c>
      <c r="X99" s="310" t="str">
        <f t="shared" si="9"/>
        <v/>
      </c>
      <c r="Y99" s="311" t="str">
        <f>IFERROR(__xludf.DUMMYFUNCTION("IF(ISBLANK(B99),"""",IFERROR(INDEX(GOOGLEFINANCE(B99,""price"",WORKDAY(TODAY(),-$Y$17)),2,2),""""))"),"")</f>
        <v/>
      </c>
      <c r="Z99" s="310" t="str">
        <f>IFERROR(__xludf.DUMMYFUNCTION("IF(ISBLANK(B99),"""",IFERROR(I99/(INDEX(GOOGLEFINANCE(B99,""price"",WORKDAY(TODAY(),-$Z$17)),2,2))-1,""""))"),"")</f>
        <v/>
      </c>
      <c r="AA99" s="312" t="str">
        <f>IFERROR(__xludf.DUMMYFUNCTION("IF(ISBLANK(B99),"""",IFERROR(IFERROR(""$""&amp;Trunc(GOOGLEFINANCE(B99,""Marketcap"")/1000000000)&amp;"" B"",""$""&amp;Trunc(IMPORTXML(""https://coinmarketcap.com/currencies/""&amp;B99,$AJ$4)/1000000000)&amp;"" B""),""-""))"),"")</f>
        <v/>
      </c>
      <c r="AB99" s="13" t="str">
        <f>IFERROR(__xludf.DUMMYFUNCTION("IF(ISBLANK(B99),"""",IFERROR(GOOGLEFINANCE(B99,""pe""),""-""))"),"")</f>
        <v/>
      </c>
      <c r="AC99" s="313" t="str">
        <f>IFERROR(__xludf.DUMMYFUNCTION("SPARKLINE(INDEX(GOOGLEFINANCE(B99,""price"",workday(today(),-$AC$17),today()),,2),{""charttype"",""column"";""color"",""green""})
"),"#N/A")</f>
        <v>#N/A</v>
      </c>
      <c r="AD99" s="313" t="str">
        <f>IFERROR(__xludf.DUMMYFUNCTION("IF(ISBLANK(B99),"""",IFERROR(INDEX(IMPORTXML(""https://eresearch.fidelity.com/eresearch/goto/evaluate/snapshot.jhtml?symbols=""&amp;B99&amp;"""",""//div[@class='sub-heading']//span[@class='right']""),1),""Enter Manually"")
)"),"")</f>
        <v/>
      </c>
      <c r="AE99" s="314" t="str">
        <f t="shared" si="10"/>
        <v>Info</v>
      </c>
      <c r="AF99" s="329"/>
      <c r="AG99" s="320"/>
      <c r="AH99" s="13"/>
      <c r="AI99" s="13"/>
      <c r="AJ99" s="13"/>
      <c r="AK99" s="13"/>
      <c r="AL99" s="13"/>
      <c r="AM99" s="13"/>
      <c r="AN99" s="13"/>
      <c r="AO99" s="13"/>
      <c r="AP99" s="13"/>
    </row>
    <row r="100" ht="18.75" customHeight="1">
      <c r="A100" s="13"/>
      <c r="B100" s="327"/>
      <c r="C100" s="306" t="str">
        <f>IFERROR(__xludf.DUMMYFUNCTION("GOOGLEFINANCE(B100,""name"")
"),"#N/A")</f>
        <v>#N/A</v>
      </c>
      <c r="D100" s="306"/>
      <c r="E100" s="328"/>
      <c r="F100" s="13" t="str">
        <f t="shared" si="1"/>
        <v/>
      </c>
      <c r="G100" s="309" t="str">
        <f>IFERROR(__xludf.DUMMYFUNCTION("IF(ISBLANK(B100),"""",IFERROR(SPARKLINE(INDEX(GOOGLEFINANCE(B100,""price"",TODAY()-$G$17,TODAY()),,2),{""charttype"",""column"";""color"",""17a7e0""}),""""))"),"")</f>
        <v/>
      </c>
      <c r="I100" s="309" t="str">
        <f>IFERROR(__xludf.DUMMYFUNCTION("IFERROR(IF(B100="""","""",GOOGLEFINANCE(B100)),IFERROR(GOOGLEFINANCE(""CURRENCY:""&amp;""USD""&amp;$D$15)*IMPORTXML(""https://coinmarketcap.com/currencies/""&amp;B100,$AJ$3),IMPORTXML(""https://coinmarketcap.com/currencies/""&amp;B100,$AJ$3)))"),"")</f>
        <v/>
      </c>
      <c r="J100" s="310" t="str">
        <f t="shared" si="2"/>
        <v/>
      </c>
      <c r="K100" s="310" t="str">
        <f>IFERROR(__xludf.DUMMYFUNCTION("IFERROR(IF(ISBLANK(B100),"""",GOOGLEFINANCE(B100,""changepct"")/100),"""")"),"")</f>
        <v/>
      </c>
      <c r="L100" s="310" t="str">
        <f>IFERROR(__xludf.DUMMYFUNCTION("IF(ISBLANK(B100),"""",IFERROR((GOOGLEFINANCE(B100,""price"")/INDEX(GOOGLEFINANCE(B100,""price"",DATEVALUE(TODAY()-365) ),2,2)-1),""""))"),"")</f>
        <v/>
      </c>
      <c r="M100" s="310" t="str">
        <f>IFERROR(__xludf.DUMMYFUNCTION("IF(ISBLANK(B100),"""",IFERROR((GOOGLEFINANCE($D$13,""price"")/INDEX(GOOGLEFINANCE($D$13,""price"",DATEVALUE(TODAY()-365) ),2,2)-1),""""))"),"")</f>
        <v/>
      </c>
      <c r="N100" s="310" t="str">
        <f t="shared" si="3"/>
        <v/>
      </c>
      <c r="O100" s="311" t="str">
        <f>IFERROR(__xludf.DUMMYFUNCTION("IFERROR(IF(ISBLANK(B100),"""",GOOGLEFINANCE(B100,""low52"")),"""")"),"")</f>
        <v/>
      </c>
      <c r="P100" s="310" t="str">
        <f t="shared" si="4"/>
        <v/>
      </c>
      <c r="Q100" s="311" t="str">
        <f>IFERROR(__xludf.DUMMYFUNCTION("IFERROR(IF(ISBLANK(B100),"""",GOOGLEFINANCE(B100,""high52"")),"""")"),"")</f>
        <v/>
      </c>
      <c r="R100" s="310" t="str">
        <f t="shared" si="5"/>
        <v/>
      </c>
      <c r="S100" s="13" t="str">
        <f t="shared" si="6"/>
        <v/>
      </c>
      <c r="U100" s="13" t="str">
        <f t="shared" si="7"/>
        <v/>
      </c>
      <c r="W100" s="13" t="str">
        <f t="shared" si="8"/>
        <v/>
      </c>
      <c r="X100" s="310" t="str">
        <f t="shared" si="9"/>
        <v/>
      </c>
      <c r="Y100" s="311" t="str">
        <f>IFERROR(__xludf.DUMMYFUNCTION("IF(ISBLANK(B100),"""",IFERROR(INDEX(GOOGLEFINANCE(B100,""price"",WORKDAY(TODAY(),-$Y$17)),2,2),""""))"),"")</f>
        <v/>
      </c>
      <c r="Z100" s="310" t="str">
        <f>IFERROR(__xludf.DUMMYFUNCTION("IF(ISBLANK(B100),"""",IFERROR(I100/(INDEX(GOOGLEFINANCE(B100,""price"",WORKDAY(TODAY(),-$Z$17)),2,2))-1,""""))"),"")</f>
        <v/>
      </c>
      <c r="AA100" s="312" t="str">
        <f>IFERROR(__xludf.DUMMYFUNCTION("IF(ISBLANK(B100),"""",IFERROR(IFERROR(""$""&amp;Trunc(GOOGLEFINANCE(B100,""Marketcap"")/1000000000)&amp;"" B"",""$""&amp;Trunc(IMPORTXML(""https://coinmarketcap.com/currencies/""&amp;B100,$AJ$4)/1000000000)&amp;"" B""),""-""))"),"")</f>
        <v/>
      </c>
      <c r="AB100" s="13" t="str">
        <f>IFERROR(__xludf.DUMMYFUNCTION("IF(ISBLANK(B100),"""",IFERROR(GOOGLEFINANCE(B100,""pe""),""-""))"),"")</f>
        <v/>
      </c>
      <c r="AC100" s="313" t="str">
        <f>IFERROR(__xludf.DUMMYFUNCTION("SPARKLINE(INDEX(GOOGLEFINANCE(B100,""price"",workday(today(),-$AC$17),today()),,2),{""charttype"",""column"";""color"",""green""})
"),"#N/A")</f>
        <v>#N/A</v>
      </c>
      <c r="AD100" s="313" t="str">
        <f>IFERROR(__xludf.DUMMYFUNCTION("IF(ISBLANK(B100),"""",IFERROR(INDEX(IMPORTXML(""https://eresearch.fidelity.com/eresearch/goto/evaluate/snapshot.jhtml?symbols=""&amp;B100&amp;"""",""//div[@class='sub-heading']//span[@class='right']""),1),""Enter Manually"")
)"),"")</f>
        <v/>
      </c>
      <c r="AE100" s="314" t="str">
        <f t="shared" si="10"/>
        <v>Info</v>
      </c>
      <c r="AF100" s="329"/>
      <c r="AG100" s="320"/>
      <c r="AH100" s="13"/>
      <c r="AI100" s="13"/>
      <c r="AJ100" s="13"/>
      <c r="AK100" s="13"/>
      <c r="AL100" s="13"/>
      <c r="AM100" s="13"/>
      <c r="AN100" s="13"/>
      <c r="AO100" s="13"/>
      <c r="AP100" s="13"/>
    </row>
    <row r="101" ht="18.75" customHeight="1">
      <c r="A101" s="13"/>
      <c r="B101" s="327"/>
      <c r="C101" s="306" t="str">
        <f>IFERROR(__xludf.DUMMYFUNCTION("GOOGLEFINANCE(B101,""name"")
"),"#N/A")</f>
        <v>#N/A</v>
      </c>
      <c r="D101" s="306"/>
      <c r="E101" s="328"/>
      <c r="F101" s="13" t="str">
        <f t="shared" si="1"/>
        <v/>
      </c>
      <c r="G101" s="309" t="str">
        <f>IFERROR(__xludf.DUMMYFUNCTION("IF(ISBLANK(B101),"""",IFERROR(SPARKLINE(INDEX(GOOGLEFINANCE(B101,""price"",TODAY()-$G$17,TODAY()),,2),{""charttype"",""column"";""color"",""17a7e0""}),""""))"),"")</f>
        <v/>
      </c>
      <c r="I101" s="309" t="str">
        <f>IFERROR(__xludf.DUMMYFUNCTION("IFERROR(IF(B101="""","""",GOOGLEFINANCE(B101)),IFERROR(GOOGLEFINANCE(""CURRENCY:""&amp;""USD""&amp;$D$15)*IMPORTXML(""https://coinmarketcap.com/currencies/""&amp;B101,$AJ$3),IMPORTXML(""https://coinmarketcap.com/currencies/""&amp;B101,$AJ$3)))"),"")</f>
        <v/>
      </c>
      <c r="J101" s="310" t="str">
        <f t="shared" si="2"/>
        <v/>
      </c>
      <c r="K101" s="310" t="str">
        <f>IFERROR(__xludf.DUMMYFUNCTION("IFERROR(IF(ISBLANK(B101),"""",GOOGLEFINANCE(B101,""changepct"")/100),"""")"),"")</f>
        <v/>
      </c>
      <c r="L101" s="310" t="str">
        <f>IFERROR(__xludf.DUMMYFUNCTION("IF(ISBLANK(B101),"""",IFERROR((GOOGLEFINANCE(B101,""price"")/INDEX(GOOGLEFINANCE(B101,""price"",DATEVALUE(TODAY()-365) ),2,2)-1),""""))"),"")</f>
        <v/>
      </c>
      <c r="M101" s="310" t="str">
        <f>IFERROR(__xludf.DUMMYFUNCTION("IF(ISBLANK(B101),"""",IFERROR((GOOGLEFINANCE($D$13,""price"")/INDEX(GOOGLEFINANCE($D$13,""price"",DATEVALUE(TODAY()-365) ),2,2)-1),""""))"),"")</f>
        <v/>
      </c>
      <c r="N101" s="310" t="str">
        <f t="shared" si="3"/>
        <v/>
      </c>
      <c r="O101" s="311" t="str">
        <f>IFERROR(__xludf.DUMMYFUNCTION("IFERROR(IF(ISBLANK(B101),"""",GOOGLEFINANCE(B101,""low52"")),"""")"),"")</f>
        <v/>
      </c>
      <c r="P101" s="310" t="str">
        <f t="shared" si="4"/>
        <v/>
      </c>
      <c r="Q101" s="311" t="str">
        <f>IFERROR(__xludf.DUMMYFUNCTION("IFERROR(IF(ISBLANK(B101),"""",GOOGLEFINANCE(B101,""high52"")),"""")"),"")</f>
        <v/>
      </c>
      <c r="R101" s="310" t="str">
        <f t="shared" si="5"/>
        <v/>
      </c>
      <c r="S101" s="13" t="str">
        <f t="shared" si="6"/>
        <v/>
      </c>
      <c r="U101" s="13" t="str">
        <f t="shared" si="7"/>
        <v/>
      </c>
      <c r="W101" s="13" t="str">
        <f t="shared" si="8"/>
        <v/>
      </c>
      <c r="X101" s="310" t="str">
        <f t="shared" si="9"/>
        <v/>
      </c>
      <c r="Y101" s="311" t="str">
        <f>IFERROR(__xludf.DUMMYFUNCTION("IF(ISBLANK(B101),"""",IFERROR(INDEX(GOOGLEFINANCE(B101,""price"",WORKDAY(TODAY(),-$Y$17)),2,2),""""))"),"")</f>
        <v/>
      </c>
      <c r="Z101" s="310" t="str">
        <f>IFERROR(__xludf.DUMMYFUNCTION("IF(ISBLANK(B101),"""",IFERROR(I101/(INDEX(GOOGLEFINANCE(B101,""price"",WORKDAY(TODAY(),-$Z$17)),2,2))-1,""""))"),"")</f>
        <v/>
      </c>
      <c r="AA101" s="312" t="str">
        <f>IFERROR(__xludf.DUMMYFUNCTION("IF(ISBLANK(B101),"""",IFERROR(IFERROR(""$""&amp;Trunc(GOOGLEFINANCE(B101,""Marketcap"")/1000000000)&amp;"" B"",""$""&amp;Trunc(IMPORTXML(""https://coinmarketcap.com/currencies/""&amp;B101,$AJ$4)/1000000000)&amp;"" B""),""-""))"),"")</f>
        <v/>
      </c>
      <c r="AB101" s="13" t="str">
        <f>IFERROR(__xludf.DUMMYFUNCTION("IF(ISBLANK(B101),"""",IFERROR(GOOGLEFINANCE(B101,""pe""),""-""))"),"")</f>
        <v/>
      </c>
      <c r="AC101" s="313" t="str">
        <f>IFERROR(__xludf.DUMMYFUNCTION("SPARKLINE(INDEX(GOOGLEFINANCE(B101,""price"",workday(today(),-$AC$17),today()),,2),{""charttype"",""column"";""color"",""green""})
"),"#N/A")</f>
        <v>#N/A</v>
      </c>
      <c r="AD101" s="313" t="str">
        <f>IFERROR(__xludf.DUMMYFUNCTION("IF(ISBLANK(B101),"""",IFERROR(INDEX(IMPORTXML(""https://eresearch.fidelity.com/eresearch/goto/evaluate/snapshot.jhtml?symbols=""&amp;B101&amp;"""",""//div[@class='sub-heading']//span[@class='right']""),1),""Enter Manually"")
)"),"")</f>
        <v/>
      </c>
      <c r="AE101" s="314" t="str">
        <f t="shared" si="10"/>
        <v>Info</v>
      </c>
      <c r="AF101" s="329"/>
      <c r="AG101" s="320"/>
      <c r="AH101" s="13"/>
      <c r="AI101" s="13"/>
      <c r="AJ101" s="13"/>
      <c r="AK101" s="13"/>
      <c r="AL101" s="13"/>
      <c r="AM101" s="13"/>
      <c r="AN101" s="13"/>
      <c r="AO101" s="13"/>
      <c r="AP101" s="13"/>
    </row>
    <row r="102" ht="18.75" customHeight="1">
      <c r="A102" s="13"/>
      <c r="B102" s="327"/>
      <c r="C102" s="306" t="str">
        <f>IFERROR(__xludf.DUMMYFUNCTION("GOOGLEFINANCE(B102,""name"")
"),"#N/A")</f>
        <v>#N/A</v>
      </c>
      <c r="D102" s="306"/>
      <c r="E102" s="328"/>
      <c r="F102" s="13" t="str">
        <f t="shared" si="1"/>
        <v/>
      </c>
      <c r="G102" s="309" t="str">
        <f>IFERROR(__xludf.DUMMYFUNCTION("IF(ISBLANK(B102),"""",IFERROR(SPARKLINE(INDEX(GOOGLEFINANCE(B102,""price"",TODAY()-$G$17,TODAY()),,2),{""charttype"",""column"";""color"",""17a7e0""}),""""))"),"")</f>
        <v/>
      </c>
      <c r="I102" s="309" t="str">
        <f>IFERROR(__xludf.DUMMYFUNCTION("IFERROR(IF(B102="""","""",GOOGLEFINANCE(B102)),IFERROR(GOOGLEFINANCE(""CURRENCY:""&amp;""USD""&amp;$D$15)*IMPORTXML(""https://coinmarketcap.com/currencies/""&amp;B102,$AJ$3),IMPORTXML(""https://coinmarketcap.com/currencies/""&amp;B102,$AJ$3)))"),"")</f>
        <v/>
      </c>
      <c r="J102" s="310" t="str">
        <f t="shared" si="2"/>
        <v/>
      </c>
      <c r="K102" s="310" t="str">
        <f>IFERROR(__xludf.DUMMYFUNCTION("IFERROR(IF(ISBLANK(B102),"""",GOOGLEFINANCE(B102,""changepct"")/100),"""")"),"")</f>
        <v/>
      </c>
      <c r="L102" s="310" t="str">
        <f>IFERROR(__xludf.DUMMYFUNCTION("IF(ISBLANK(B102),"""",IFERROR((GOOGLEFINANCE(B102,""price"")/INDEX(GOOGLEFINANCE(B102,""price"",DATEVALUE(TODAY()-365) ),2,2)-1),""""))"),"")</f>
        <v/>
      </c>
      <c r="M102" s="310" t="str">
        <f>IFERROR(__xludf.DUMMYFUNCTION("IF(ISBLANK(B102),"""",IFERROR((GOOGLEFINANCE($D$13,""price"")/INDEX(GOOGLEFINANCE($D$13,""price"",DATEVALUE(TODAY()-365) ),2,2)-1),""""))"),"")</f>
        <v/>
      </c>
      <c r="N102" s="310" t="str">
        <f t="shared" si="3"/>
        <v/>
      </c>
      <c r="O102" s="311" t="str">
        <f>IFERROR(__xludf.DUMMYFUNCTION("IFERROR(IF(ISBLANK(B102),"""",GOOGLEFINANCE(B102,""low52"")),"""")"),"")</f>
        <v/>
      </c>
      <c r="P102" s="310" t="str">
        <f t="shared" si="4"/>
        <v/>
      </c>
      <c r="Q102" s="311" t="str">
        <f>IFERROR(__xludf.DUMMYFUNCTION("IFERROR(IF(ISBLANK(B102),"""",GOOGLEFINANCE(B102,""high52"")),"""")"),"")</f>
        <v/>
      </c>
      <c r="R102" s="310" t="str">
        <f t="shared" si="5"/>
        <v/>
      </c>
      <c r="S102" s="13" t="str">
        <f t="shared" si="6"/>
        <v/>
      </c>
      <c r="U102" s="13" t="str">
        <f t="shared" si="7"/>
        <v/>
      </c>
      <c r="W102" s="13" t="str">
        <f t="shared" si="8"/>
        <v/>
      </c>
      <c r="X102" s="310" t="str">
        <f t="shared" si="9"/>
        <v/>
      </c>
      <c r="Y102" s="311" t="str">
        <f>IFERROR(__xludf.DUMMYFUNCTION("IF(ISBLANK(B102),"""",IFERROR(INDEX(GOOGLEFINANCE(B102,""price"",WORKDAY(TODAY(),-$Y$17)),2,2),""""))"),"")</f>
        <v/>
      </c>
      <c r="Z102" s="310" t="str">
        <f>IFERROR(__xludf.DUMMYFUNCTION("IF(ISBLANK(B102),"""",IFERROR(I102/(INDEX(GOOGLEFINANCE(B102,""price"",WORKDAY(TODAY(),-$Z$17)),2,2))-1,""""))"),"")</f>
        <v/>
      </c>
      <c r="AA102" s="312" t="str">
        <f>IFERROR(__xludf.DUMMYFUNCTION("IF(ISBLANK(B102),"""",IFERROR(IFERROR(""$""&amp;Trunc(GOOGLEFINANCE(B102,""Marketcap"")/1000000000)&amp;"" B"",""$""&amp;Trunc(IMPORTXML(""https://coinmarketcap.com/currencies/""&amp;B102,$AJ$4)/1000000000)&amp;"" B""),""-""))"),"")</f>
        <v/>
      </c>
      <c r="AB102" s="13" t="str">
        <f>IFERROR(__xludf.DUMMYFUNCTION("IF(ISBLANK(B102),"""",IFERROR(GOOGLEFINANCE(B102,""pe""),""-""))"),"")</f>
        <v/>
      </c>
      <c r="AC102" s="313" t="str">
        <f>IFERROR(__xludf.DUMMYFUNCTION("SPARKLINE(INDEX(GOOGLEFINANCE(B102,""price"",workday(today(),-$AC$17),today()),,2),{""charttype"",""column"";""color"",""green""})
"),"#N/A")</f>
        <v>#N/A</v>
      </c>
      <c r="AD102" s="313" t="str">
        <f>IFERROR(__xludf.DUMMYFUNCTION("IF(ISBLANK(B102),"""",IFERROR(INDEX(IMPORTXML(""https://eresearch.fidelity.com/eresearch/goto/evaluate/snapshot.jhtml?symbols=""&amp;B102&amp;"""",""//div[@class='sub-heading']//span[@class='right']""),1),""Enter Manually"")
)"),"")</f>
        <v/>
      </c>
      <c r="AE102" s="314" t="str">
        <f t="shared" si="10"/>
        <v>Info</v>
      </c>
      <c r="AF102" s="329"/>
      <c r="AG102" s="320"/>
      <c r="AH102" s="13"/>
      <c r="AI102" s="13"/>
      <c r="AJ102" s="13"/>
      <c r="AK102" s="13"/>
      <c r="AL102" s="13"/>
      <c r="AM102" s="13"/>
      <c r="AN102" s="13"/>
      <c r="AO102" s="13"/>
      <c r="AP102" s="13"/>
    </row>
    <row r="103" ht="18.75" customHeight="1">
      <c r="A103" s="13"/>
      <c r="B103" s="327"/>
      <c r="C103" s="306" t="str">
        <f>IFERROR(__xludf.DUMMYFUNCTION("GOOGLEFINANCE(B103,""name"")
"),"#N/A")</f>
        <v>#N/A</v>
      </c>
      <c r="D103" s="306"/>
      <c r="E103" s="328"/>
      <c r="F103" s="13" t="str">
        <f t="shared" si="1"/>
        <v/>
      </c>
      <c r="G103" s="309" t="str">
        <f>IFERROR(__xludf.DUMMYFUNCTION("IF(ISBLANK(B103),"""",IFERROR(SPARKLINE(INDEX(GOOGLEFINANCE(B103,""price"",TODAY()-$G$17,TODAY()),,2),{""charttype"",""column"";""color"",""17a7e0""}),""""))"),"")</f>
        <v/>
      </c>
      <c r="I103" s="309" t="str">
        <f>IFERROR(__xludf.DUMMYFUNCTION("IFERROR(IF(B103="""","""",GOOGLEFINANCE(B103)),IFERROR(GOOGLEFINANCE(""CURRENCY:""&amp;""USD""&amp;$D$15)*IMPORTXML(""https://coinmarketcap.com/currencies/""&amp;B103,$AJ$3),IMPORTXML(""https://coinmarketcap.com/currencies/""&amp;B103,$AJ$3)))"),"")</f>
        <v/>
      </c>
      <c r="J103" s="310" t="str">
        <f t="shared" si="2"/>
        <v/>
      </c>
      <c r="K103" s="310" t="str">
        <f>IFERROR(__xludf.DUMMYFUNCTION("IFERROR(IF(ISBLANK(B103),"""",GOOGLEFINANCE(B103,""changepct"")/100),"""")"),"")</f>
        <v/>
      </c>
      <c r="L103" s="310" t="str">
        <f>IFERROR(__xludf.DUMMYFUNCTION("IF(ISBLANK(B103),"""",IFERROR((GOOGLEFINANCE(B103,""price"")/INDEX(GOOGLEFINANCE(B103,""price"",DATEVALUE(TODAY()-365) ),2,2)-1),""""))"),"")</f>
        <v/>
      </c>
      <c r="M103" s="310" t="str">
        <f>IFERROR(__xludf.DUMMYFUNCTION("IF(ISBLANK(B103),"""",IFERROR((GOOGLEFINANCE($D$13,""price"")/INDEX(GOOGLEFINANCE($D$13,""price"",DATEVALUE(TODAY()-365) ),2,2)-1),""""))"),"")</f>
        <v/>
      </c>
      <c r="N103" s="310" t="str">
        <f t="shared" si="3"/>
        <v/>
      </c>
      <c r="O103" s="311" t="str">
        <f>IFERROR(__xludf.DUMMYFUNCTION("IFERROR(IF(ISBLANK(B103),"""",GOOGLEFINANCE(B103,""low52"")),"""")"),"")</f>
        <v/>
      </c>
      <c r="P103" s="310" t="str">
        <f t="shared" si="4"/>
        <v/>
      </c>
      <c r="Q103" s="311" t="str">
        <f>IFERROR(__xludf.DUMMYFUNCTION("IFERROR(IF(ISBLANK(B103),"""",GOOGLEFINANCE(B103,""high52"")),"""")"),"")</f>
        <v/>
      </c>
      <c r="R103" s="310" t="str">
        <f t="shared" si="5"/>
        <v/>
      </c>
      <c r="S103" s="13" t="str">
        <f t="shared" si="6"/>
        <v/>
      </c>
      <c r="U103" s="13" t="str">
        <f t="shared" si="7"/>
        <v/>
      </c>
      <c r="W103" s="13" t="str">
        <f t="shared" si="8"/>
        <v/>
      </c>
      <c r="X103" s="310" t="str">
        <f t="shared" si="9"/>
        <v/>
      </c>
      <c r="Y103" s="311" t="str">
        <f>IFERROR(__xludf.DUMMYFUNCTION("IF(ISBLANK(B103),"""",IFERROR(INDEX(GOOGLEFINANCE(B103,""price"",WORKDAY(TODAY(),-$Y$17)),2,2),""""))"),"")</f>
        <v/>
      </c>
      <c r="Z103" s="310" t="str">
        <f>IFERROR(__xludf.DUMMYFUNCTION("IF(ISBLANK(B103),"""",IFERROR(I103/(INDEX(GOOGLEFINANCE(B103,""price"",WORKDAY(TODAY(),-$Z$17)),2,2))-1,""""))"),"")</f>
        <v/>
      </c>
      <c r="AA103" s="312" t="str">
        <f>IFERROR(__xludf.DUMMYFUNCTION("IF(ISBLANK(B103),"""",IFERROR(IFERROR(""$""&amp;Trunc(GOOGLEFINANCE(B103,""Marketcap"")/1000000000)&amp;"" B"",""$""&amp;Trunc(IMPORTXML(""https://coinmarketcap.com/currencies/""&amp;B103,$AJ$4)/1000000000)&amp;"" B""),""-""))"),"")</f>
        <v/>
      </c>
      <c r="AB103" s="13" t="str">
        <f>IFERROR(__xludf.DUMMYFUNCTION("IF(ISBLANK(B103),"""",IFERROR(GOOGLEFINANCE(B103,""pe""),""-""))"),"")</f>
        <v/>
      </c>
      <c r="AC103" s="313" t="str">
        <f>IFERROR(__xludf.DUMMYFUNCTION("SPARKLINE(INDEX(GOOGLEFINANCE(B103,""price"",workday(today(),-$AC$17),today()),,2),{""charttype"",""column"";""color"",""green""})
"),"#N/A")</f>
        <v>#N/A</v>
      </c>
      <c r="AD103" s="313" t="str">
        <f>IFERROR(__xludf.DUMMYFUNCTION("IF(ISBLANK(B103),"""",IFERROR(INDEX(IMPORTXML(""https://eresearch.fidelity.com/eresearch/goto/evaluate/snapshot.jhtml?symbols=""&amp;B103&amp;"""",""//div[@class='sub-heading']//span[@class='right']""),1),""Enter Manually"")
)"),"")</f>
        <v/>
      </c>
      <c r="AE103" s="314" t="str">
        <f t="shared" si="10"/>
        <v>Info</v>
      </c>
      <c r="AF103" s="329"/>
      <c r="AG103" s="320"/>
      <c r="AH103" s="13"/>
      <c r="AI103" s="13"/>
      <c r="AJ103" s="13"/>
      <c r="AK103" s="13"/>
      <c r="AL103" s="13"/>
      <c r="AM103" s="13"/>
      <c r="AN103" s="13"/>
      <c r="AO103" s="13"/>
      <c r="AP103" s="13"/>
    </row>
    <row r="104" ht="18.75" customHeight="1">
      <c r="A104" s="13"/>
      <c r="B104" s="327"/>
      <c r="C104" s="306" t="str">
        <f>IFERROR(__xludf.DUMMYFUNCTION("GOOGLEFINANCE(B104,""name"")
"),"#N/A")</f>
        <v>#N/A</v>
      </c>
      <c r="D104" s="306"/>
      <c r="E104" s="328"/>
      <c r="F104" s="13" t="str">
        <f t="shared" si="1"/>
        <v/>
      </c>
      <c r="G104" s="309" t="str">
        <f>IFERROR(__xludf.DUMMYFUNCTION("IF(ISBLANK(B104),"""",IFERROR(SPARKLINE(INDEX(GOOGLEFINANCE(B104,""price"",TODAY()-$G$17,TODAY()),,2),{""charttype"",""column"";""color"",""17a7e0""}),""""))"),"")</f>
        <v/>
      </c>
      <c r="I104" s="309" t="str">
        <f>IFERROR(__xludf.DUMMYFUNCTION("IFERROR(IF(B104="""","""",GOOGLEFINANCE(B104)),IFERROR(GOOGLEFINANCE(""CURRENCY:""&amp;""USD""&amp;$D$15)*IMPORTXML(""https://coinmarketcap.com/currencies/""&amp;B104,$AJ$3),IMPORTXML(""https://coinmarketcap.com/currencies/""&amp;B104,$AJ$3)))"),"")</f>
        <v/>
      </c>
      <c r="J104" s="310" t="str">
        <f t="shared" si="2"/>
        <v/>
      </c>
      <c r="K104" s="310" t="str">
        <f>IFERROR(__xludf.DUMMYFUNCTION("IFERROR(IF(ISBLANK(B104),"""",GOOGLEFINANCE(B104,""changepct"")/100),"""")"),"")</f>
        <v/>
      </c>
      <c r="L104" s="310" t="str">
        <f>IFERROR(__xludf.DUMMYFUNCTION("IF(ISBLANK(B104),"""",IFERROR((GOOGLEFINANCE(B104,""price"")/INDEX(GOOGLEFINANCE(B104,""price"",DATEVALUE(TODAY()-365) ),2,2)-1),""""))"),"")</f>
        <v/>
      </c>
      <c r="M104" s="310" t="str">
        <f>IFERROR(__xludf.DUMMYFUNCTION("IF(ISBLANK(B104),"""",IFERROR((GOOGLEFINANCE($D$13,""price"")/INDEX(GOOGLEFINANCE($D$13,""price"",DATEVALUE(TODAY()-365) ),2,2)-1),""""))"),"")</f>
        <v/>
      </c>
      <c r="N104" s="310" t="str">
        <f t="shared" si="3"/>
        <v/>
      </c>
      <c r="O104" s="311" t="str">
        <f>IFERROR(__xludf.DUMMYFUNCTION("IFERROR(IF(ISBLANK(B104),"""",GOOGLEFINANCE(B104,""low52"")),"""")"),"")</f>
        <v/>
      </c>
      <c r="P104" s="310" t="str">
        <f t="shared" si="4"/>
        <v/>
      </c>
      <c r="Q104" s="311" t="str">
        <f>IFERROR(__xludf.DUMMYFUNCTION("IFERROR(IF(ISBLANK(B104),"""",GOOGLEFINANCE(B104,""high52"")),"""")"),"")</f>
        <v/>
      </c>
      <c r="R104" s="310" t="str">
        <f t="shared" si="5"/>
        <v/>
      </c>
      <c r="S104" s="13" t="str">
        <f t="shared" si="6"/>
        <v/>
      </c>
      <c r="U104" s="13" t="str">
        <f t="shared" si="7"/>
        <v/>
      </c>
      <c r="W104" s="13" t="str">
        <f t="shared" si="8"/>
        <v/>
      </c>
      <c r="X104" s="310" t="str">
        <f t="shared" si="9"/>
        <v/>
      </c>
      <c r="Y104" s="311" t="str">
        <f>IFERROR(__xludf.DUMMYFUNCTION("IF(ISBLANK(B104),"""",IFERROR(INDEX(GOOGLEFINANCE(B104,""price"",WORKDAY(TODAY(),-$Y$17)),2,2),""""))"),"")</f>
        <v/>
      </c>
      <c r="Z104" s="310" t="str">
        <f>IFERROR(__xludf.DUMMYFUNCTION("IF(ISBLANK(B104),"""",IFERROR(I104/(INDEX(GOOGLEFINANCE(B104,""price"",WORKDAY(TODAY(),-$Z$17)),2,2))-1,""""))"),"")</f>
        <v/>
      </c>
      <c r="AA104" s="312" t="str">
        <f>IFERROR(__xludf.DUMMYFUNCTION("IF(ISBLANK(B104),"""",IFERROR(IFERROR(""$""&amp;Trunc(GOOGLEFINANCE(B104,""Marketcap"")/1000000000)&amp;"" B"",""$""&amp;Trunc(IMPORTXML(""https://coinmarketcap.com/currencies/""&amp;B104,$AJ$4)/1000000000)&amp;"" B""),""-""))"),"")</f>
        <v/>
      </c>
      <c r="AB104" s="13" t="str">
        <f>IFERROR(__xludf.DUMMYFUNCTION("IF(ISBLANK(B104),"""",IFERROR(GOOGLEFINANCE(B104,""pe""),""-""))"),"")</f>
        <v/>
      </c>
      <c r="AC104" s="313" t="str">
        <f>IFERROR(__xludf.DUMMYFUNCTION("SPARKLINE(INDEX(GOOGLEFINANCE(B104,""price"",workday(today(),-$AC$17),today()),,2),{""charttype"",""column"";""color"",""green""})
"),"#N/A")</f>
        <v>#N/A</v>
      </c>
      <c r="AD104" s="313" t="str">
        <f>IFERROR(__xludf.DUMMYFUNCTION("IF(ISBLANK(B104),"""",IFERROR(INDEX(IMPORTXML(""https://eresearch.fidelity.com/eresearch/goto/evaluate/snapshot.jhtml?symbols=""&amp;B104&amp;"""",""//div[@class='sub-heading']//span[@class='right']""),1),""Enter Manually"")
)"),"")</f>
        <v/>
      </c>
      <c r="AE104" s="314" t="str">
        <f t="shared" si="10"/>
        <v>Info</v>
      </c>
      <c r="AF104" s="329"/>
      <c r="AG104" s="320"/>
      <c r="AH104" s="13"/>
      <c r="AI104" s="13"/>
      <c r="AJ104" s="13"/>
      <c r="AK104" s="13"/>
      <c r="AL104" s="13"/>
      <c r="AM104" s="13"/>
      <c r="AN104" s="13"/>
      <c r="AO104" s="13"/>
      <c r="AP104" s="13"/>
    </row>
    <row r="105" ht="18.75" customHeight="1">
      <c r="A105" s="13"/>
      <c r="B105" s="327"/>
      <c r="C105" s="306" t="str">
        <f>IFERROR(__xludf.DUMMYFUNCTION("GOOGLEFINANCE(B105,""name"")
"),"#N/A")</f>
        <v>#N/A</v>
      </c>
      <c r="D105" s="306"/>
      <c r="E105" s="328"/>
      <c r="F105" s="13" t="str">
        <f t="shared" si="1"/>
        <v/>
      </c>
      <c r="G105" s="309" t="str">
        <f>IFERROR(__xludf.DUMMYFUNCTION("IF(ISBLANK(B105),"""",IFERROR(SPARKLINE(INDEX(GOOGLEFINANCE(B105,""price"",TODAY()-$G$17,TODAY()),,2),{""charttype"",""column"";""color"",""17a7e0""}),""""))"),"")</f>
        <v/>
      </c>
      <c r="I105" s="309" t="str">
        <f>IFERROR(__xludf.DUMMYFUNCTION("IFERROR(IF(B105="""","""",GOOGLEFINANCE(B105)),IFERROR(GOOGLEFINANCE(""CURRENCY:""&amp;""USD""&amp;$D$15)*IMPORTXML(""https://coinmarketcap.com/currencies/""&amp;B105,$AJ$3),IMPORTXML(""https://coinmarketcap.com/currencies/""&amp;B105,$AJ$3)))"),"")</f>
        <v/>
      </c>
      <c r="J105" s="310" t="str">
        <f t="shared" si="2"/>
        <v/>
      </c>
      <c r="K105" s="310" t="str">
        <f>IFERROR(__xludf.DUMMYFUNCTION("IFERROR(IF(ISBLANK(B105),"""",GOOGLEFINANCE(B105,""changepct"")/100),"""")"),"")</f>
        <v/>
      </c>
      <c r="L105" s="310" t="str">
        <f>IFERROR(__xludf.DUMMYFUNCTION("IF(ISBLANK(B105),"""",IFERROR((GOOGLEFINANCE(B105,""price"")/INDEX(GOOGLEFINANCE(B105,""price"",DATEVALUE(TODAY()-365) ),2,2)-1),""""))"),"")</f>
        <v/>
      </c>
      <c r="M105" s="310" t="str">
        <f>IFERROR(__xludf.DUMMYFUNCTION("IF(ISBLANK(B105),"""",IFERROR((GOOGLEFINANCE($D$13,""price"")/INDEX(GOOGLEFINANCE($D$13,""price"",DATEVALUE(TODAY()-365) ),2,2)-1),""""))"),"")</f>
        <v/>
      </c>
      <c r="N105" s="310" t="str">
        <f t="shared" si="3"/>
        <v/>
      </c>
      <c r="O105" s="311" t="str">
        <f>IFERROR(__xludf.DUMMYFUNCTION("IFERROR(IF(ISBLANK(B105),"""",GOOGLEFINANCE(B105,""low52"")),"""")"),"")</f>
        <v/>
      </c>
      <c r="P105" s="310" t="str">
        <f t="shared" si="4"/>
        <v/>
      </c>
      <c r="Q105" s="311" t="str">
        <f>IFERROR(__xludf.DUMMYFUNCTION("IFERROR(IF(ISBLANK(B105),"""",GOOGLEFINANCE(B105,""high52"")),"""")"),"")</f>
        <v/>
      </c>
      <c r="R105" s="310" t="str">
        <f t="shared" si="5"/>
        <v/>
      </c>
      <c r="S105" s="13" t="str">
        <f t="shared" si="6"/>
        <v/>
      </c>
      <c r="U105" s="13" t="str">
        <f t="shared" si="7"/>
        <v/>
      </c>
      <c r="W105" s="13" t="str">
        <f t="shared" si="8"/>
        <v/>
      </c>
      <c r="X105" s="310" t="str">
        <f t="shared" si="9"/>
        <v/>
      </c>
      <c r="Y105" s="311" t="str">
        <f>IFERROR(__xludf.DUMMYFUNCTION("IF(ISBLANK(B105),"""",IFERROR(INDEX(GOOGLEFINANCE(B105,""price"",WORKDAY(TODAY(),-$Y$17)),2,2),""""))"),"")</f>
        <v/>
      </c>
      <c r="Z105" s="310" t="str">
        <f>IFERROR(__xludf.DUMMYFUNCTION("IF(ISBLANK(B105),"""",IFERROR(I105/(INDEX(GOOGLEFINANCE(B105,""price"",WORKDAY(TODAY(),-$Z$17)),2,2))-1,""""))"),"")</f>
        <v/>
      </c>
      <c r="AA105" s="312" t="str">
        <f>IFERROR(__xludf.DUMMYFUNCTION("IF(ISBLANK(B105),"""",IFERROR(IFERROR(""$""&amp;Trunc(GOOGLEFINANCE(B105,""Marketcap"")/1000000000)&amp;"" B"",""$""&amp;Trunc(IMPORTXML(""https://coinmarketcap.com/currencies/""&amp;B105,$AJ$4)/1000000000)&amp;"" B""),""-""))"),"")</f>
        <v/>
      </c>
      <c r="AB105" s="13" t="str">
        <f>IFERROR(__xludf.DUMMYFUNCTION("IF(ISBLANK(B105),"""",IFERROR(GOOGLEFINANCE(B105,""pe""),""-""))"),"")</f>
        <v/>
      </c>
      <c r="AC105" s="313" t="str">
        <f>IFERROR(__xludf.DUMMYFUNCTION("SPARKLINE(INDEX(GOOGLEFINANCE(B105,""price"",workday(today(),-$AC$17),today()),,2),{""charttype"",""column"";""color"",""green""})
"),"#N/A")</f>
        <v>#N/A</v>
      </c>
      <c r="AD105" s="313" t="str">
        <f>IFERROR(__xludf.DUMMYFUNCTION("IF(ISBLANK(B105),"""",IFERROR(INDEX(IMPORTXML(""https://eresearch.fidelity.com/eresearch/goto/evaluate/snapshot.jhtml?symbols=""&amp;B105&amp;"""",""//div[@class='sub-heading']//span[@class='right']""),1),""Enter Manually"")
)"),"")</f>
        <v/>
      </c>
      <c r="AE105" s="314" t="str">
        <f t="shared" si="10"/>
        <v>Info</v>
      </c>
      <c r="AF105" s="329"/>
      <c r="AG105" s="320"/>
      <c r="AH105" s="13"/>
      <c r="AI105" s="13"/>
      <c r="AJ105" s="13"/>
      <c r="AK105" s="13"/>
      <c r="AL105" s="13"/>
      <c r="AM105" s="13"/>
      <c r="AN105" s="13"/>
      <c r="AO105" s="13"/>
      <c r="AP105" s="13"/>
    </row>
    <row r="106" ht="18.75" customHeight="1">
      <c r="A106" s="13"/>
      <c r="B106" s="327"/>
      <c r="C106" s="306" t="str">
        <f>IFERROR(__xludf.DUMMYFUNCTION("GOOGLEFINANCE(B106,""name"")
"),"#N/A")</f>
        <v>#N/A</v>
      </c>
      <c r="D106" s="306"/>
      <c r="E106" s="328"/>
      <c r="F106" s="13" t="str">
        <f t="shared" si="1"/>
        <v/>
      </c>
      <c r="G106" s="309" t="str">
        <f>IFERROR(__xludf.DUMMYFUNCTION("IF(ISBLANK(B106),"""",IFERROR(SPARKLINE(INDEX(GOOGLEFINANCE(B106,""price"",TODAY()-$G$17,TODAY()),,2),{""charttype"",""column"";""color"",""17a7e0""}),""""))"),"")</f>
        <v/>
      </c>
      <c r="I106" s="309" t="str">
        <f>IFERROR(__xludf.DUMMYFUNCTION("IFERROR(IF(B106="""","""",GOOGLEFINANCE(B106)),IFERROR(GOOGLEFINANCE(""CURRENCY:""&amp;""USD""&amp;$D$15)*IMPORTXML(""https://coinmarketcap.com/currencies/""&amp;B106,$AJ$3),IMPORTXML(""https://coinmarketcap.com/currencies/""&amp;B106,$AJ$3)))"),"")</f>
        <v/>
      </c>
      <c r="J106" s="310" t="str">
        <f t="shared" si="2"/>
        <v/>
      </c>
      <c r="K106" s="310" t="str">
        <f>IFERROR(__xludf.DUMMYFUNCTION("IFERROR(IF(ISBLANK(B106),"""",GOOGLEFINANCE(B106,""changepct"")/100),"""")"),"")</f>
        <v/>
      </c>
      <c r="L106" s="310" t="str">
        <f>IFERROR(__xludf.DUMMYFUNCTION("IF(ISBLANK(B106),"""",IFERROR((GOOGLEFINANCE(B106,""price"")/INDEX(GOOGLEFINANCE(B106,""price"",DATEVALUE(TODAY()-365) ),2,2)-1),""""))"),"")</f>
        <v/>
      </c>
      <c r="M106" s="310" t="str">
        <f>IFERROR(__xludf.DUMMYFUNCTION("IF(ISBLANK(B106),"""",IFERROR((GOOGLEFINANCE($D$13,""price"")/INDEX(GOOGLEFINANCE($D$13,""price"",DATEVALUE(TODAY()-365) ),2,2)-1),""""))"),"")</f>
        <v/>
      </c>
      <c r="N106" s="310" t="str">
        <f t="shared" si="3"/>
        <v/>
      </c>
      <c r="O106" s="311" t="str">
        <f>IFERROR(__xludf.DUMMYFUNCTION("IFERROR(IF(ISBLANK(B106),"""",GOOGLEFINANCE(B106,""low52"")),"""")"),"")</f>
        <v/>
      </c>
      <c r="P106" s="310" t="str">
        <f t="shared" si="4"/>
        <v/>
      </c>
      <c r="Q106" s="311" t="str">
        <f>IFERROR(__xludf.DUMMYFUNCTION("IFERROR(IF(ISBLANK(B106),"""",GOOGLEFINANCE(B106,""high52"")),"""")"),"")</f>
        <v/>
      </c>
      <c r="R106" s="310" t="str">
        <f t="shared" si="5"/>
        <v/>
      </c>
      <c r="S106" s="13" t="str">
        <f t="shared" si="6"/>
        <v/>
      </c>
      <c r="U106" s="13" t="str">
        <f t="shared" si="7"/>
        <v/>
      </c>
      <c r="W106" s="13" t="str">
        <f t="shared" si="8"/>
        <v/>
      </c>
      <c r="X106" s="310" t="str">
        <f t="shared" si="9"/>
        <v/>
      </c>
      <c r="Y106" s="311" t="str">
        <f>IFERROR(__xludf.DUMMYFUNCTION("IF(ISBLANK(B106),"""",IFERROR(INDEX(GOOGLEFINANCE(B106,""price"",WORKDAY(TODAY(),-$Y$17)),2,2),""""))"),"")</f>
        <v/>
      </c>
      <c r="Z106" s="310" t="str">
        <f>IFERROR(__xludf.DUMMYFUNCTION("IF(ISBLANK(B106),"""",IFERROR(I106/(INDEX(GOOGLEFINANCE(B106,""price"",WORKDAY(TODAY(),-$Z$17)),2,2))-1,""""))"),"")</f>
        <v/>
      </c>
      <c r="AA106" s="312" t="str">
        <f>IFERROR(__xludf.DUMMYFUNCTION("IF(ISBLANK(B106),"""",IFERROR(IFERROR(""$""&amp;Trunc(GOOGLEFINANCE(B106,""Marketcap"")/1000000000)&amp;"" B"",""$""&amp;Trunc(IMPORTXML(""https://coinmarketcap.com/currencies/""&amp;B106,$AJ$4)/1000000000)&amp;"" B""),""-""))"),"")</f>
        <v/>
      </c>
      <c r="AB106" s="13" t="str">
        <f>IFERROR(__xludf.DUMMYFUNCTION("IF(ISBLANK(B106),"""",IFERROR(GOOGLEFINANCE(B106,""pe""),""-""))"),"")</f>
        <v/>
      </c>
      <c r="AC106" s="313" t="str">
        <f>IFERROR(__xludf.DUMMYFUNCTION("SPARKLINE(INDEX(GOOGLEFINANCE(B106,""price"",workday(today(),-$AC$17),today()),,2),{""charttype"",""column"";""color"",""green""})
"),"#N/A")</f>
        <v>#N/A</v>
      </c>
      <c r="AD106" s="313" t="str">
        <f>IFERROR(__xludf.DUMMYFUNCTION("IF(ISBLANK(B106),"""",IFERROR(INDEX(IMPORTXML(""https://eresearch.fidelity.com/eresearch/goto/evaluate/snapshot.jhtml?symbols=""&amp;B106&amp;"""",""//div[@class='sub-heading']//span[@class='right']""),1),""Enter Manually"")
)"),"")</f>
        <v/>
      </c>
      <c r="AE106" s="314" t="str">
        <f t="shared" si="10"/>
        <v>Info</v>
      </c>
      <c r="AF106" s="329"/>
      <c r="AG106" s="320"/>
      <c r="AH106" s="13"/>
      <c r="AI106" s="13"/>
      <c r="AJ106" s="13"/>
      <c r="AK106" s="13"/>
      <c r="AL106" s="13"/>
      <c r="AM106" s="13"/>
      <c r="AN106" s="13"/>
      <c r="AO106" s="13"/>
      <c r="AP106" s="13"/>
    </row>
    <row r="107" ht="18.75" customHeight="1">
      <c r="A107" s="13"/>
      <c r="B107" s="327"/>
      <c r="C107" s="306" t="str">
        <f>IFERROR(__xludf.DUMMYFUNCTION("GOOGLEFINANCE(B107,""name"")
"),"#N/A")</f>
        <v>#N/A</v>
      </c>
      <c r="D107" s="306"/>
      <c r="E107" s="328"/>
      <c r="F107" s="13" t="str">
        <f t="shared" si="1"/>
        <v/>
      </c>
      <c r="G107" s="309" t="str">
        <f>IFERROR(__xludf.DUMMYFUNCTION("IF(ISBLANK(B107),"""",IFERROR(SPARKLINE(INDEX(GOOGLEFINANCE(B107,""price"",TODAY()-$G$17,TODAY()),,2),{""charttype"",""column"";""color"",""17a7e0""}),""""))"),"")</f>
        <v/>
      </c>
      <c r="I107" s="309" t="str">
        <f>IFERROR(__xludf.DUMMYFUNCTION("IFERROR(IF(B107="""","""",GOOGLEFINANCE(B107)),IFERROR(GOOGLEFINANCE(""CURRENCY:""&amp;""USD""&amp;$D$15)*IMPORTXML(""https://coinmarketcap.com/currencies/""&amp;B107,$AJ$3),IMPORTXML(""https://coinmarketcap.com/currencies/""&amp;B107,$AJ$3)))"),"")</f>
        <v/>
      </c>
      <c r="J107" s="310" t="str">
        <f t="shared" si="2"/>
        <v/>
      </c>
      <c r="K107" s="310" t="str">
        <f>IFERROR(__xludf.DUMMYFUNCTION("IFERROR(IF(ISBLANK(B107),"""",GOOGLEFINANCE(B107,""changepct"")/100),"""")"),"")</f>
        <v/>
      </c>
      <c r="L107" s="310" t="str">
        <f>IFERROR(__xludf.DUMMYFUNCTION("IF(ISBLANK(B107),"""",IFERROR((GOOGLEFINANCE(B107,""price"")/INDEX(GOOGLEFINANCE(B107,""price"",DATEVALUE(TODAY()-365) ),2,2)-1),""""))"),"")</f>
        <v/>
      </c>
      <c r="M107" s="310" t="str">
        <f>IFERROR(__xludf.DUMMYFUNCTION("IF(ISBLANK(B107),"""",IFERROR((GOOGLEFINANCE($D$13,""price"")/INDEX(GOOGLEFINANCE($D$13,""price"",DATEVALUE(TODAY()-365) ),2,2)-1),""""))"),"")</f>
        <v/>
      </c>
      <c r="N107" s="310" t="str">
        <f t="shared" si="3"/>
        <v/>
      </c>
      <c r="O107" s="311" t="str">
        <f>IFERROR(__xludf.DUMMYFUNCTION("IFERROR(IF(ISBLANK(B107),"""",GOOGLEFINANCE(B107,""low52"")),"""")"),"")</f>
        <v/>
      </c>
      <c r="P107" s="310" t="str">
        <f t="shared" si="4"/>
        <v/>
      </c>
      <c r="Q107" s="311" t="str">
        <f>IFERROR(__xludf.DUMMYFUNCTION("IFERROR(IF(ISBLANK(B107),"""",GOOGLEFINANCE(B107,""high52"")),"""")"),"")</f>
        <v/>
      </c>
      <c r="R107" s="310" t="str">
        <f t="shared" si="5"/>
        <v/>
      </c>
      <c r="S107" s="13" t="str">
        <f t="shared" si="6"/>
        <v/>
      </c>
      <c r="U107" s="13" t="str">
        <f t="shared" si="7"/>
        <v/>
      </c>
      <c r="W107" s="13" t="str">
        <f t="shared" si="8"/>
        <v/>
      </c>
      <c r="X107" s="310" t="str">
        <f t="shared" si="9"/>
        <v/>
      </c>
      <c r="Y107" s="311" t="str">
        <f>IFERROR(__xludf.DUMMYFUNCTION("IF(ISBLANK(B107),"""",IFERROR(INDEX(GOOGLEFINANCE(B107,""price"",WORKDAY(TODAY(),-$Y$17)),2,2),""""))"),"")</f>
        <v/>
      </c>
      <c r="Z107" s="310" t="str">
        <f>IFERROR(__xludf.DUMMYFUNCTION("IF(ISBLANK(B107),"""",IFERROR(I107/(INDEX(GOOGLEFINANCE(B107,""price"",WORKDAY(TODAY(),-$Z$17)),2,2))-1,""""))"),"")</f>
        <v/>
      </c>
      <c r="AA107" s="312" t="str">
        <f>IFERROR(__xludf.DUMMYFUNCTION("IF(ISBLANK(B107),"""",IFERROR(IFERROR(""$""&amp;Trunc(GOOGLEFINANCE(B107,""Marketcap"")/1000000000)&amp;"" B"",""$""&amp;Trunc(IMPORTXML(""https://coinmarketcap.com/currencies/""&amp;B107,$AJ$4)/1000000000)&amp;"" B""),""-""))"),"")</f>
        <v/>
      </c>
      <c r="AB107" s="13" t="str">
        <f>IFERROR(__xludf.DUMMYFUNCTION("IF(ISBLANK(B107),"""",IFERROR(GOOGLEFINANCE(B107,""pe""),""-""))"),"")</f>
        <v/>
      </c>
      <c r="AC107" s="313" t="str">
        <f>IFERROR(__xludf.DUMMYFUNCTION("SPARKLINE(INDEX(GOOGLEFINANCE(B107,""price"",workday(today(),-$AC$17),today()),,2),{""charttype"",""column"";""color"",""green""})
"),"#N/A")</f>
        <v>#N/A</v>
      </c>
      <c r="AD107" s="313" t="str">
        <f>IFERROR(__xludf.DUMMYFUNCTION("IF(ISBLANK(B107),"""",IFERROR(INDEX(IMPORTXML(""https://eresearch.fidelity.com/eresearch/goto/evaluate/snapshot.jhtml?symbols=""&amp;B107&amp;"""",""//div[@class='sub-heading']//span[@class='right']""),1),""Enter Manually"")
)"),"")</f>
        <v/>
      </c>
      <c r="AE107" s="314" t="str">
        <f t="shared" si="10"/>
        <v>Info</v>
      </c>
      <c r="AF107" s="329"/>
      <c r="AG107" s="320"/>
      <c r="AH107" s="13"/>
      <c r="AI107" s="13"/>
      <c r="AJ107" s="13"/>
      <c r="AK107" s="13"/>
      <c r="AL107" s="13"/>
      <c r="AM107" s="13"/>
      <c r="AN107" s="13"/>
      <c r="AO107" s="13"/>
      <c r="AP107" s="13"/>
    </row>
    <row r="108" ht="18.75" customHeight="1">
      <c r="A108" s="13"/>
      <c r="B108" s="327"/>
      <c r="C108" s="306" t="str">
        <f>IFERROR(__xludf.DUMMYFUNCTION("GOOGLEFINANCE(B108,""name"")
"),"#N/A")</f>
        <v>#N/A</v>
      </c>
      <c r="D108" s="306"/>
      <c r="E108" s="328"/>
      <c r="F108" s="13" t="str">
        <f t="shared" si="1"/>
        <v/>
      </c>
      <c r="G108" s="309" t="str">
        <f>IFERROR(__xludf.DUMMYFUNCTION("IF(ISBLANK(B108),"""",IFERROR(SPARKLINE(INDEX(GOOGLEFINANCE(B108,""price"",TODAY()-$G$17,TODAY()),,2),{""charttype"",""column"";""color"",""17a7e0""}),""""))"),"")</f>
        <v/>
      </c>
      <c r="I108" s="309" t="str">
        <f>IFERROR(__xludf.DUMMYFUNCTION("IFERROR(IF(B108="""","""",GOOGLEFINANCE(B108)),IFERROR(GOOGLEFINANCE(""CURRENCY:""&amp;""USD""&amp;$D$15)*IMPORTXML(""https://coinmarketcap.com/currencies/""&amp;B108,$AJ$3),IMPORTXML(""https://coinmarketcap.com/currencies/""&amp;B108,$AJ$3)))"),"")</f>
        <v/>
      </c>
      <c r="J108" s="310" t="str">
        <f t="shared" si="2"/>
        <v/>
      </c>
      <c r="K108" s="310" t="str">
        <f>IFERROR(__xludf.DUMMYFUNCTION("IFERROR(IF(ISBLANK(B108),"""",GOOGLEFINANCE(B108,""changepct"")/100),"""")"),"")</f>
        <v/>
      </c>
      <c r="L108" s="310" t="str">
        <f>IFERROR(__xludf.DUMMYFUNCTION("IF(ISBLANK(B108),"""",IFERROR((GOOGLEFINANCE(B108,""price"")/INDEX(GOOGLEFINANCE(B108,""price"",DATEVALUE(TODAY()-365) ),2,2)-1),""""))"),"")</f>
        <v/>
      </c>
      <c r="M108" s="310" t="str">
        <f>IFERROR(__xludf.DUMMYFUNCTION("IF(ISBLANK(B108),"""",IFERROR((GOOGLEFINANCE($D$13,""price"")/INDEX(GOOGLEFINANCE($D$13,""price"",DATEVALUE(TODAY()-365) ),2,2)-1),""""))"),"")</f>
        <v/>
      </c>
      <c r="N108" s="310" t="str">
        <f t="shared" si="3"/>
        <v/>
      </c>
      <c r="O108" s="311" t="str">
        <f>IFERROR(__xludf.DUMMYFUNCTION("IFERROR(IF(ISBLANK(B108),"""",GOOGLEFINANCE(B108,""low52"")),"""")"),"")</f>
        <v/>
      </c>
      <c r="P108" s="310" t="str">
        <f t="shared" si="4"/>
        <v/>
      </c>
      <c r="Q108" s="311" t="str">
        <f>IFERROR(__xludf.DUMMYFUNCTION("IFERROR(IF(ISBLANK(B108),"""",GOOGLEFINANCE(B108,""high52"")),"""")"),"")</f>
        <v/>
      </c>
      <c r="R108" s="310" t="str">
        <f t="shared" si="5"/>
        <v/>
      </c>
      <c r="S108" s="13" t="str">
        <f t="shared" si="6"/>
        <v/>
      </c>
      <c r="U108" s="13" t="str">
        <f t="shared" si="7"/>
        <v/>
      </c>
      <c r="W108" s="13" t="str">
        <f t="shared" si="8"/>
        <v/>
      </c>
      <c r="X108" s="310" t="str">
        <f t="shared" si="9"/>
        <v/>
      </c>
      <c r="Y108" s="311" t="str">
        <f>IFERROR(__xludf.DUMMYFUNCTION("IF(ISBLANK(B108),"""",IFERROR(INDEX(GOOGLEFINANCE(B108,""price"",WORKDAY(TODAY(),-$Y$17)),2,2),""""))"),"")</f>
        <v/>
      </c>
      <c r="Z108" s="310" t="str">
        <f>IFERROR(__xludf.DUMMYFUNCTION("IF(ISBLANK(B108),"""",IFERROR(I108/(INDEX(GOOGLEFINANCE(B108,""price"",WORKDAY(TODAY(),-$Z$17)),2,2))-1,""""))"),"")</f>
        <v/>
      </c>
      <c r="AA108" s="312" t="str">
        <f>IFERROR(__xludf.DUMMYFUNCTION("IF(ISBLANK(B108),"""",IFERROR(IFERROR(""$""&amp;Trunc(GOOGLEFINANCE(B108,""Marketcap"")/1000000000)&amp;"" B"",""$""&amp;Trunc(IMPORTXML(""https://coinmarketcap.com/currencies/""&amp;B108,$AJ$4)/1000000000)&amp;"" B""),""-""))"),"")</f>
        <v/>
      </c>
      <c r="AB108" s="13" t="str">
        <f>IFERROR(__xludf.DUMMYFUNCTION("IF(ISBLANK(B108),"""",IFERROR(GOOGLEFINANCE(B108,""pe""),""-""))"),"")</f>
        <v/>
      </c>
      <c r="AC108" s="313" t="str">
        <f>IFERROR(__xludf.DUMMYFUNCTION("SPARKLINE(INDEX(GOOGLEFINANCE(B108,""price"",workday(today(),-$AC$17),today()),,2),{""charttype"",""column"";""color"",""green""})
"),"#N/A")</f>
        <v>#N/A</v>
      </c>
      <c r="AD108" s="313" t="str">
        <f>IFERROR(__xludf.DUMMYFUNCTION("IF(ISBLANK(B108),"""",IFERROR(INDEX(IMPORTXML(""https://eresearch.fidelity.com/eresearch/goto/evaluate/snapshot.jhtml?symbols=""&amp;B108&amp;"""",""//div[@class='sub-heading']//span[@class='right']""),1),""Enter Manually"")
)"),"")</f>
        <v/>
      </c>
      <c r="AE108" s="314" t="str">
        <f t="shared" si="10"/>
        <v>Info</v>
      </c>
      <c r="AF108" s="329"/>
      <c r="AG108" s="320"/>
      <c r="AH108" s="13"/>
      <c r="AI108" s="13"/>
      <c r="AJ108" s="13"/>
      <c r="AK108" s="13"/>
      <c r="AL108" s="13"/>
      <c r="AM108" s="13"/>
      <c r="AN108" s="13"/>
      <c r="AO108" s="13"/>
      <c r="AP108" s="13"/>
    </row>
    <row r="109" ht="18.75" customHeight="1">
      <c r="A109" s="13"/>
      <c r="B109" s="327"/>
      <c r="C109" s="306" t="str">
        <f>IFERROR(__xludf.DUMMYFUNCTION("GOOGLEFINANCE(B109,""name"")
"),"#N/A")</f>
        <v>#N/A</v>
      </c>
      <c r="D109" s="306"/>
      <c r="E109" s="328"/>
      <c r="F109" s="13" t="str">
        <f t="shared" si="1"/>
        <v/>
      </c>
      <c r="G109" s="309" t="str">
        <f>IFERROR(__xludf.DUMMYFUNCTION("IF(ISBLANK(B109),"""",IFERROR(SPARKLINE(INDEX(GOOGLEFINANCE(B109,""price"",TODAY()-$G$17,TODAY()),,2),{""charttype"",""column"";""color"",""17a7e0""}),""""))"),"")</f>
        <v/>
      </c>
      <c r="I109" s="309" t="str">
        <f>IFERROR(__xludf.DUMMYFUNCTION("IFERROR(IF(B109="""","""",GOOGLEFINANCE(B109)),IFERROR(GOOGLEFINANCE(""CURRENCY:""&amp;""USD""&amp;$D$15)*IMPORTXML(""https://coinmarketcap.com/currencies/""&amp;B109,$AJ$3),IMPORTXML(""https://coinmarketcap.com/currencies/""&amp;B109,$AJ$3)))"),"")</f>
        <v/>
      </c>
      <c r="J109" s="310" t="str">
        <f t="shared" si="2"/>
        <v/>
      </c>
      <c r="K109" s="310" t="str">
        <f>IFERROR(__xludf.DUMMYFUNCTION("IFERROR(IF(ISBLANK(B109),"""",GOOGLEFINANCE(B109,""changepct"")/100),"""")"),"")</f>
        <v/>
      </c>
      <c r="L109" s="310" t="str">
        <f>IFERROR(__xludf.DUMMYFUNCTION("IF(ISBLANK(B109),"""",IFERROR((GOOGLEFINANCE(B109,""price"")/INDEX(GOOGLEFINANCE(B109,""price"",DATEVALUE(TODAY()-365) ),2,2)-1),""""))"),"")</f>
        <v/>
      </c>
      <c r="M109" s="310" t="str">
        <f>IFERROR(__xludf.DUMMYFUNCTION("IF(ISBLANK(B109),"""",IFERROR((GOOGLEFINANCE($D$13,""price"")/INDEX(GOOGLEFINANCE($D$13,""price"",DATEVALUE(TODAY()-365) ),2,2)-1),""""))"),"")</f>
        <v/>
      </c>
      <c r="N109" s="310" t="str">
        <f t="shared" si="3"/>
        <v/>
      </c>
      <c r="O109" s="311" t="str">
        <f>IFERROR(__xludf.DUMMYFUNCTION("IFERROR(IF(ISBLANK(B109),"""",GOOGLEFINANCE(B109,""low52"")),"""")"),"")</f>
        <v/>
      </c>
      <c r="P109" s="310" t="str">
        <f t="shared" si="4"/>
        <v/>
      </c>
      <c r="Q109" s="311" t="str">
        <f>IFERROR(__xludf.DUMMYFUNCTION("IFERROR(IF(ISBLANK(B109),"""",GOOGLEFINANCE(B109,""high52"")),"""")"),"")</f>
        <v/>
      </c>
      <c r="R109" s="310" t="str">
        <f t="shared" si="5"/>
        <v/>
      </c>
      <c r="S109" s="13" t="str">
        <f t="shared" si="6"/>
        <v/>
      </c>
      <c r="U109" s="13" t="str">
        <f t="shared" si="7"/>
        <v/>
      </c>
      <c r="W109" s="13" t="str">
        <f t="shared" si="8"/>
        <v/>
      </c>
      <c r="X109" s="310" t="str">
        <f t="shared" si="9"/>
        <v/>
      </c>
      <c r="Y109" s="311" t="str">
        <f>IFERROR(__xludf.DUMMYFUNCTION("IF(ISBLANK(B109),"""",IFERROR(INDEX(GOOGLEFINANCE(B109,""price"",WORKDAY(TODAY(),-$Y$17)),2,2),""""))"),"")</f>
        <v/>
      </c>
      <c r="Z109" s="310" t="str">
        <f>IFERROR(__xludf.DUMMYFUNCTION("IF(ISBLANK(B109),"""",IFERROR(I109/(INDEX(GOOGLEFINANCE(B109,""price"",WORKDAY(TODAY(),-$Z$17)),2,2))-1,""""))"),"")</f>
        <v/>
      </c>
      <c r="AA109" s="312" t="str">
        <f>IFERROR(__xludf.DUMMYFUNCTION("IF(ISBLANK(B109),"""",IFERROR(IFERROR(""$""&amp;Trunc(GOOGLEFINANCE(B109,""Marketcap"")/1000000000)&amp;"" B"",""$""&amp;Trunc(IMPORTXML(""https://coinmarketcap.com/currencies/""&amp;B109,$AJ$4)/1000000000)&amp;"" B""),""-""))"),"")</f>
        <v/>
      </c>
      <c r="AB109" s="13" t="str">
        <f>IFERROR(__xludf.DUMMYFUNCTION("IF(ISBLANK(B109),"""",IFERROR(GOOGLEFINANCE(B109,""pe""),""-""))"),"")</f>
        <v/>
      </c>
      <c r="AC109" s="313" t="str">
        <f>IFERROR(__xludf.DUMMYFUNCTION("SPARKLINE(INDEX(GOOGLEFINANCE(B109,""price"",workday(today(),-$AC$17),today()),,2),{""charttype"",""column"";""color"",""green""})
"),"#N/A")</f>
        <v>#N/A</v>
      </c>
      <c r="AD109" s="313" t="str">
        <f>IFERROR(__xludf.DUMMYFUNCTION("IF(ISBLANK(B109),"""",IFERROR(INDEX(IMPORTXML(""https://eresearch.fidelity.com/eresearch/goto/evaluate/snapshot.jhtml?symbols=""&amp;B109&amp;"""",""//div[@class='sub-heading']//span[@class='right']""),1),""Enter Manually"")
)"),"")</f>
        <v/>
      </c>
      <c r="AE109" s="314" t="str">
        <f t="shared" si="10"/>
        <v>Info</v>
      </c>
      <c r="AF109" s="329"/>
      <c r="AG109" s="320"/>
      <c r="AH109" s="13"/>
      <c r="AI109" s="13"/>
      <c r="AJ109" s="13"/>
      <c r="AK109" s="13"/>
      <c r="AL109" s="13"/>
      <c r="AM109" s="13"/>
      <c r="AN109" s="13"/>
      <c r="AO109" s="13"/>
      <c r="AP109" s="13"/>
    </row>
    <row r="110" ht="18.75" customHeight="1">
      <c r="A110" s="13"/>
      <c r="B110" s="327"/>
      <c r="C110" s="306" t="str">
        <f>IFERROR(__xludf.DUMMYFUNCTION("GOOGLEFINANCE(B110,""name"")
"),"#N/A")</f>
        <v>#N/A</v>
      </c>
      <c r="D110" s="306"/>
      <c r="E110" s="328"/>
      <c r="F110" s="13" t="str">
        <f t="shared" si="1"/>
        <v/>
      </c>
      <c r="G110" s="309" t="str">
        <f>IFERROR(__xludf.DUMMYFUNCTION("IF(ISBLANK(B110),"""",IFERROR(SPARKLINE(INDEX(GOOGLEFINANCE(B110,""price"",TODAY()-$G$17,TODAY()),,2),{""charttype"",""column"";""color"",""17a7e0""}),""""))"),"")</f>
        <v/>
      </c>
      <c r="I110" s="309" t="str">
        <f>IFERROR(__xludf.DUMMYFUNCTION("IFERROR(IF(B110="""","""",GOOGLEFINANCE(B110)),IFERROR(GOOGLEFINANCE(""CURRENCY:""&amp;""USD""&amp;$D$15)*IMPORTXML(""https://coinmarketcap.com/currencies/""&amp;B110,$AJ$3),IMPORTXML(""https://coinmarketcap.com/currencies/""&amp;B110,$AJ$3)))"),"")</f>
        <v/>
      </c>
      <c r="J110" s="310" t="str">
        <f t="shared" si="2"/>
        <v/>
      </c>
      <c r="K110" s="310" t="str">
        <f>IFERROR(__xludf.DUMMYFUNCTION("IFERROR(IF(ISBLANK(B110),"""",GOOGLEFINANCE(B110,""changepct"")/100),"""")"),"")</f>
        <v/>
      </c>
      <c r="L110" s="310" t="str">
        <f>IFERROR(__xludf.DUMMYFUNCTION("IF(ISBLANK(B110),"""",IFERROR((GOOGLEFINANCE(B110,""price"")/INDEX(GOOGLEFINANCE(B110,""price"",DATEVALUE(TODAY()-365) ),2,2)-1),""""))"),"")</f>
        <v/>
      </c>
      <c r="M110" s="310" t="str">
        <f>IFERROR(__xludf.DUMMYFUNCTION("IF(ISBLANK(B110),"""",IFERROR((GOOGLEFINANCE($D$13,""price"")/INDEX(GOOGLEFINANCE($D$13,""price"",DATEVALUE(TODAY()-365) ),2,2)-1),""""))"),"")</f>
        <v/>
      </c>
      <c r="N110" s="310" t="str">
        <f t="shared" si="3"/>
        <v/>
      </c>
      <c r="O110" s="311" t="str">
        <f>IFERROR(__xludf.DUMMYFUNCTION("IFERROR(IF(ISBLANK(B110),"""",GOOGLEFINANCE(B110,""low52"")),"""")"),"")</f>
        <v/>
      </c>
      <c r="P110" s="310" t="str">
        <f t="shared" si="4"/>
        <v/>
      </c>
      <c r="Q110" s="311" t="str">
        <f>IFERROR(__xludf.DUMMYFUNCTION("IFERROR(IF(ISBLANK(B110),"""",GOOGLEFINANCE(B110,""high52"")),"""")"),"")</f>
        <v/>
      </c>
      <c r="R110" s="310" t="str">
        <f t="shared" si="5"/>
        <v/>
      </c>
      <c r="S110" s="13" t="str">
        <f t="shared" si="6"/>
        <v/>
      </c>
      <c r="U110" s="13" t="str">
        <f t="shared" si="7"/>
        <v/>
      </c>
      <c r="W110" s="13" t="str">
        <f t="shared" si="8"/>
        <v/>
      </c>
      <c r="X110" s="310" t="str">
        <f t="shared" si="9"/>
        <v/>
      </c>
      <c r="Y110" s="311" t="str">
        <f>IFERROR(__xludf.DUMMYFUNCTION("IF(ISBLANK(B110),"""",IFERROR(INDEX(GOOGLEFINANCE(B110,""price"",WORKDAY(TODAY(),-$Y$17)),2,2),""""))"),"")</f>
        <v/>
      </c>
      <c r="Z110" s="310" t="str">
        <f>IFERROR(__xludf.DUMMYFUNCTION("IF(ISBLANK(B110),"""",IFERROR(I110/(INDEX(GOOGLEFINANCE(B110,""price"",WORKDAY(TODAY(),-$Z$17)),2,2))-1,""""))"),"")</f>
        <v/>
      </c>
      <c r="AA110" s="312" t="str">
        <f>IFERROR(__xludf.DUMMYFUNCTION("IF(ISBLANK(B110),"""",IFERROR(IFERROR(""$""&amp;Trunc(GOOGLEFINANCE(B110,""Marketcap"")/1000000000)&amp;"" B"",""$""&amp;Trunc(IMPORTXML(""https://coinmarketcap.com/currencies/""&amp;B110,$AJ$4)/1000000000)&amp;"" B""),""-""))"),"")</f>
        <v/>
      </c>
      <c r="AB110" s="13" t="str">
        <f>IFERROR(__xludf.DUMMYFUNCTION("IF(ISBLANK(B110),"""",IFERROR(GOOGLEFINANCE(B110,""pe""),""-""))"),"")</f>
        <v/>
      </c>
      <c r="AC110" s="313" t="str">
        <f>IFERROR(__xludf.DUMMYFUNCTION("SPARKLINE(INDEX(GOOGLEFINANCE(B110,""price"",workday(today(),-$AC$17),today()),,2),{""charttype"",""column"";""color"",""green""})
"),"#N/A")</f>
        <v>#N/A</v>
      </c>
      <c r="AD110" s="313" t="str">
        <f>IFERROR(__xludf.DUMMYFUNCTION("IF(ISBLANK(B110),"""",IFERROR(INDEX(IMPORTXML(""https://eresearch.fidelity.com/eresearch/goto/evaluate/snapshot.jhtml?symbols=""&amp;B110&amp;"""",""//div[@class='sub-heading']//span[@class='right']""),1),""Enter Manually"")
)"),"")</f>
        <v/>
      </c>
      <c r="AE110" s="314" t="str">
        <f t="shared" si="10"/>
        <v>Info</v>
      </c>
      <c r="AF110" s="329"/>
      <c r="AG110" s="320"/>
      <c r="AH110" s="13"/>
      <c r="AI110" s="13"/>
      <c r="AJ110" s="13"/>
      <c r="AK110" s="13"/>
      <c r="AL110" s="13"/>
      <c r="AM110" s="13"/>
      <c r="AN110" s="13"/>
      <c r="AO110" s="13"/>
      <c r="AP110" s="13"/>
    </row>
    <row r="111" ht="18.75" customHeight="1">
      <c r="A111" s="13"/>
      <c r="B111" s="327"/>
      <c r="C111" s="306" t="str">
        <f>IFERROR(__xludf.DUMMYFUNCTION("GOOGLEFINANCE(B111,""name"")
"),"#N/A")</f>
        <v>#N/A</v>
      </c>
      <c r="D111" s="306"/>
      <c r="E111" s="328"/>
      <c r="F111" s="13" t="str">
        <f t="shared" si="1"/>
        <v/>
      </c>
      <c r="G111" s="309" t="str">
        <f>IFERROR(__xludf.DUMMYFUNCTION("IF(ISBLANK(B111),"""",IFERROR(SPARKLINE(INDEX(GOOGLEFINANCE(B111,""price"",TODAY()-$G$17,TODAY()),,2),{""charttype"",""column"";""color"",""17a7e0""}),""""))"),"")</f>
        <v/>
      </c>
      <c r="I111" s="309" t="str">
        <f>IFERROR(__xludf.DUMMYFUNCTION("IFERROR(IF(B111="""","""",GOOGLEFINANCE(B111)),IFERROR(GOOGLEFINANCE(""CURRENCY:""&amp;""USD""&amp;$D$15)*IMPORTXML(""https://coinmarketcap.com/currencies/""&amp;B111,$AJ$3),IMPORTXML(""https://coinmarketcap.com/currencies/""&amp;B111,$AJ$3)))"),"")</f>
        <v/>
      </c>
      <c r="J111" s="310" t="str">
        <f t="shared" si="2"/>
        <v/>
      </c>
      <c r="K111" s="310" t="str">
        <f>IFERROR(__xludf.DUMMYFUNCTION("IFERROR(IF(ISBLANK(B111),"""",GOOGLEFINANCE(B111,""changepct"")/100),"""")"),"")</f>
        <v/>
      </c>
      <c r="L111" s="310" t="str">
        <f>IFERROR(__xludf.DUMMYFUNCTION("IF(ISBLANK(B111),"""",IFERROR((GOOGLEFINANCE(B111,""price"")/INDEX(GOOGLEFINANCE(B111,""price"",DATEVALUE(TODAY()-365) ),2,2)-1),""""))"),"")</f>
        <v/>
      </c>
      <c r="M111" s="310" t="str">
        <f>IFERROR(__xludf.DUMMYFUNCTION("IF(ISBLANK(B111),"""",IFERROR((GOOGLEFINANCE($D$13,""price"")/INDEX(GOOGLEFINANCE($D$13,""price"",DATEVALUE(TODAY()-365) ),2,2)-1),""""))"),"")</f>
        <v/>
      </c>
      <c r="N111" s="310" t="str">
        <f t="shared" si="3"/>
        <v/>
      </c>
      <c r="O111" s="311" t="str">
        <f>IFERROR(__xludf.DUMMYFUNCTION("IFERROR(IF(ISBLANK(B111),"""",GOOGLEFINANCE(B111,""low52"")),"""")"),"")</f>
        <v/>
      </c>
      <c r="P111" s="310" t="str">
        <f t="shared" si="4"/>
        <v/>
      </c>
      <c r="Q111" s="311" t="str">
        <f>IFERROR(__xludf.DUMMYFUNCTION("IFERROR(IF(ISBLANK(B111),"""",GOOGLEFINANCE(B111,""high52"")),"""")"),"")</f>
        <v/>
      </c>
      <c r="R111" s="310" t="str">
        <f t="shared" si="5"/>
        <v/>
      </c>
      <c r="S111" s="13" t="str">
        <f t="shared" si="6"/>
        <v/>
      </c>
      <c r="U111" s="13" t="str">
        <f t="shared" si="7"/>
        <v/>
      </c>
      <c r="W111" s="13" t="str">
        <f t="shared" si="8"/>
        <v/>
      </c>
      <c r="X111" s="310" t="str">
        <f t="shared" si="9"/>
        <v/>
      </c>
      <c r="Y111" s="311" t="str">
        <f>IFERROR(__xludf.DUMMYFUNCTION("IF(ISBLANK(B111),"""",IFERROR(INDEX(GOOGLEFINANCE(B111,""price"",WORKDAY(TODAY(),-$Y$17)),2,2),""""))"),"")</f>
        <v/>
      </c>
      <c r="Z111" s="310" t="str">
        <f>IFERROR(__xludf.DUMMYFUNCTION("IF(ISBLANK(B111),"""",IFERROR(I111/(INDEX(GOOGLEFINANCE(B111,""price"",WORKDAY(TODAY(),-$Z$17)),2,2))-1,""""))"),"")</f>
        <v/>
      </c>
      <c r="AA111" s="312" t="str">
        <f>IFERROR(__xludf.DUMMYFUNCTION("IF(ISBLANK(B111),"""",IFERROR(IFERROR(""$""&amp;Trunc(GOOGLEFINANCE(B111,""Marketcap"")/1000000000)&amp;"" B"",""$""&amp;Trunc(IMPORTXML(""https://coinmarketcap.com/currencies/""&amp;B111,$AJ$4)/1000000000)&amp;"" B""),""-""))"),"")</f>
        <v/>
      </c>
      <c r="AB111" s="13" t="str">
        <f>IFERROR(__xludf.DUMMYFUNCTION("IF(ISBLANK(B111),"""",IFERROR(GOOGLEFINANCE(B111,""pe""),""-""))"),"")</f>
        <v/>
      </c>
      <c r="AC111" s="313" t="str">
        <f>IFERROR(__xludf.DUMMYFUNCTION("SPARKLINE(INDEX(GOOGLEFINANCE(B111,""price"",workday(today(),-$AC$17),today()),,2),{""charttype"",""column"";""color"",""green""})
"),"#N/A")</f>
        <v>#N/A</v>
      </c>
      <c r="AD111" s="313" t="str">
        <f>IFERROR(__xludf.DUMMYFUNCTION("IF(ISBLANK(B111),"""",IFERROR(INDEX(IMPORTXML(""https://eresearch.fidelity.com/eresearch/goto/evaluate/snapshot.jhtml?symbols=""&amp;B111&amp;"""",""//div[@class='sub-heading']//span[@class='right']""),1),""Enter Manually"")
)"),"")</f>
        <v/>
      </c>
      <c r="AE111" s="314" t="str">
        <f t="shared" si="10"/>
        <v>Info</v>
      </c>
      <c r="AF111" s="329"/>
      <c r="AG111" s="320"/>
      <c r="AH111" s="13"/>
      <c r="AI111" s="13"/>
      <c r="AJ111" s="13"/>
      <c r="AK111" s="13"/>
      <c r="AL111" s="13"/>
      <c r="AM111" s="13"/>
      <c r="AN111" s="13"/>
      <c r="AO111" s="13"/>
      <c r="AP111" s="13"/>
    </row>
    <row r="112" ht="18.75" customHeight="1">
      <c r="A112" s="13"/>
      <c r="B112" s="327"/>
      <c r="C112" s="306" t="str">
        <f>IFERROR(__xludf.DUMMYFUNCTION("GOOGLEFINANCE(B112,""name"")
"),"#N/A")</f>
        <v>#N/A</v>
      </c>
      <c r="D112" s="306"/>
      <c r="E112" s="328"/>
      <c r="F112" s="13" t="str">
        <f t="shared" si="1"/>
        <v/>
      </c>
      <c r="G112" s="309" t="str">
        <f>IFERROR(__xludf.DUMMYFUNCTION("IF(ISBLANK(B112),"""",IFERROR(SPARKLINE(INDEX(GOOGLEFINANCE(B112,""price"",TODAY()-$G$17,TODAY()),,2),{""charttype"",""column"";""color"",""17a7e0""}),""""))"),"")</f>
        <v/>
      </c>
      <c r="I112" s="309" t="str">
        <f>IFERROR(__xludf.DUMMYFUNCTION("IFERROR(IF(B112="""","""",GOOGLEFINANCE(B112)),IFERROR(GOOGLEFINANCE(""CURRENCY:""&amp;""USD""&amp;$D$15)*IMPORTXML(""https://coinmarketcap.com/currencies/""&amp;B112,$AJ$3),IMPORTXML(""https://coinmarketcap.com/currencies/""&amp;B112,$AJ$3)))"),"")</f>
        <v/>
      </c>
      <c r="J112" s="310" t="str">
        <f t="shared" si="2"/>
        <v/>
      </c>
      <c r="K112" s="310" t="str">
        <f>IFERROR(__xludf.DUMMYFUNCTION("IFERROR(IF(ISBLANK(B112),"""",GOOGLEFINANCE(B112,""changepct"")/100),"""")"),"")</f>
        <v/>
      </c>
      <c r="L112" s="310" t="str">
        <f>IFERROR(__xludf.DUMMYFUNCTION("IF(ISBLANK(B112),"""",IFERROR((GOOGLEFINANCE(B112,""price"")/INDEX(GOOGLEFINANCE(B112,""price"",DATEVALUE(TODAY()-365) ),2,2)-1),""""))"),"")</f>
        <v/>
      </c>
      <c r="M112" s="310" t="str">
        <f>IFERROR(__xludf.DUMMYFUNCTION("IF(ISBLANK(B112),"""",IFERROR((GOOGLEFINANCE($D$13,""price"")/INDEX(GOOGLEFINANCE($D$13,""price"",DATEVALUE(TODAY()-365) ),2,2)-1),""""))"),"")</f>
        <v/>
      </c>
      <c r="N112" s="310" t="str">
        <f t="shared" si="3"/>
        <v/>
      </c>
      <c r="O112" s="311" t="str">
        <f>IFERROR(__xludf.DUMMYFUNCTION("IFERROR(IF(ISBLANK(B112),"""",GOOGLEFINANCE(B112,""low52"")),"""")"),"")</f>
        <v/>
      </c>
      <c r="P112" s="310" t="str">
        <f t="shared" si="4"/>
        <v/>
      </c>
      <c r="Q112" s="311" t="str">
        <f>IFERROR(__xludf.DUMMYFUNCTION("IFERROR(IF(ISBLANK(B112),"""",GOOGLEFINANCE(B112,""high52"")),"""")"),"")</f>
        <v/>
      </c>
      <c r="R112" s="310" t="str">
        <f t="shared" si="5"/>
        <v/>
      </c>
      <c r="S112" s="13" t="str">
        <f t="shared" si="6"/>
        <v/>
      </c>
      <c r="U112" s="13" t="str">
        <f t="shared" si="7"/>
        <v/>
      </c>
      <c r="W112" s="13" t="str">
        <f t="shared" si="8"/>
        <v/>
      </c>
      <c r="X112" s="310" t="str">
        <f t="shared" si="9"/>
        <v/>
      </c>
      <c r="Y112" s="311" t="str">
        <f>IFERROR(__xludf.DUMMYFUNCTION("IF(ISBLANK(B112),"""",IFERROR(INDEX(GOOGLEFINANCE(B112,""price"",WORKDAY(TODAY(),-$Y$17)),2,2),""""))"),"")</f>
        <v/>
      </c>
      <c r="Z112" s="310" t="str">
        <f>IFERROR(__xludf.DUMMYFUNCTION("IF(ISBLANK(B112),"""",IFERROR(I112/(INDEX(GOOGLEFINANCE(B112,""price"",WORKDAY(TODAY(),-$Z$17)),2,2))-1,""""))"),"")</f>
        <v/>
      </c>
      <c r="AA112" s="312" t="str">
        <f>IFERROR(__xludf.DUMMYFUNCTION("IF(ISBLANK(B112),"""",IFERROR(IFERROR(""$""&amp;Trunc(GOOGLEFINANCE(B112,""Marketcap"")/1000000000)&amp;"" B"",""$""&amp;Trunc(IMPORTXML(""https://coinmarketcap.com/currencies/""&amp;B112,$AJ$4)/1000000000)&amp;"" B""),""-""))"),"")</f>
        <v/>
      </c>
      <c r="AB112" s="13" t="str">
        <f>IFERROR(__xludf.DUMMYFUNCTION("IF(ISBLANK(B112),"""",IFERROR(GOOGLEFINANCE(B112,""pe""),""-""))"),"")</f>
        <v/>
      </c>
      <c r="AC112" s="313" t="str">
        <f>IFERROR(__xludf.DUMMYFUNCTION("SPARKLINE(INDEX(GOOGLEFINANCE(B112,""price"",workday(today(),-$AC$17),today()),,2),{""charttype"",""column"";""color"",""green""})
"),"#N/A")</f>
        <v>#N/A</v>
      </c>
      <c r="AD112" s="313" t="str">
        <f>IFERROR(__xludf.DUMMYFUNCTION("IF(ISBLANK(B112),"""",IFERROR(INDEX(IMPORTXML(""https://eresearch.fidelity.com/eresearch/goto/evaluate/snapshot.jhtml?symbols=""&amp;B112&amp;"""",""//div[@class='sub-heading']//span[@class='right']""),1),""Enter Manually"")
)"),"")</f>
        <v/>
      </c>
      <c r="AE112" s="314" t="str">
        <f t="shared" si="10"/>
        <v>Info</v>
      </c>
      <c r="AF112" s="329"/>
      <c r="AG112" s="320"/>
      <c r="AH112" s="13"/>
      <c r="AI112" s="13"/>
      <c r="AJ112" s="13"/>
      <c r="AK112" s="13"/>
      <c r="AL112" s="13"/>
      <c r="AM112" s="13"/>
      <c r="AN112" s="13"/>
      <c r="AO112" s="13"/>
      <c r="AP112" s="13"/>
    </row>
    <row r="113" ht="18.75" customHeight="1">
      <c r="A113" s="13"/>
      <c r="B113" s="327"/>
      <c r="C113" s="306" t="str">
        <f>IFERROR(__xludf.DUMMYFUNCTION("GOOGLEFINANCE(B113,""name"")
"),"#N/A")</f>
        <v>#N/A</v>
      </c>
      <c r="D113" s="306"/>
      <c r="E113" s="328"/>
      <c r="F113" s="13" t="str">
        <f t="shared" si="1"/>
        <v/>
      </c>
      <c r="G113" s="309" t="str">
        <f>IFERROR(__xludf.DUMMYFUNCTION("IF(ISBLANK(B113),"""",IFERROR(SPARKLINE(INDEX(GOOGLEFINANCE(B113,""price"",TODAY()-$G$17,TODAY()),,2),{""charttype"",""column"";""color"",""17a7e0""}),""""))"),"")</f>
        <v/>
      </c>
      <c r="I113" s="309" t="str">
        <f>IFERROR(__xludf.DUMMYFUNCTION("IFERROR(IF(B113="""","""",GOOGLEFINANCE(B113)),IFERROR(GOOGLEFINANCE(""CURRENCY:""&amp;""USD""&amp;$D$15)*IMPORTXML(""https://coinmarketcap.com/currencies/""&amp;B113,$AJ$3),IMPORTXML(""https://coinmarketcap.com/currencies/""&amp;B113,$AJ$3)))"),"")</f>
        <v/>
      </c>
      <c r="J113" s="310" t="str">
        <f t="shared" si="2"/>
        <v/>
      </c>
      <c r="K113" s="310" t="str">
        <f>IFERROR(__xludf.DUMMYFUNCTION("IFERROR(IF(ISBLANK(B113),"""",GOOGLEFINANCE(B113,""changepct"")/100),"""")"),"")</f>
        <v/>
      </c>
      <c r="L113" s="310" t="str">
        <f>IFERROR(__xludf.DUMMYFUNCTION("IF(ISBLANK(B113),"""",IFERROR((GOOGLEFINANCE(B113,""price"")/INDEX(GOOGLEFINANCE(B113,""price"",DATEVALUE(TODAY()-365) ),2,2)-1),""""))"),"")</f>
        <v/>
      </c>
      <c r="M113" s="310" t="str">
        <f>IFERROR(__xludf.DUMMYFUNCTION("IF(ISBLANK(B113),"""",IFERROR((GOOGLEFINANCE($D$13,""price"")/INDEX(GOOGLEFINANCE($D$13,""price"",DATEVALUE(TODAY()-365) ),2,2)-1),""""))"),"")</f>
        <v/>
      </c>
      <c r="N113" s="310" t="str">
        <f t="shared" si="3"/>
        <v/>
      </c>
      <c r="O113" s="311" t="str">
        <f>IFERROR(__xludf.DUMMYFUNCTION("IFERROR(IF(ISBLANK(B113),"""",GOOGLEFINANCE(B113,""low52"")),"""")"),"")</f>
        <v/>
      </c>
      <c r="P113" s="310" t="str">
        <f t="shared" si="4"/>
        <v/>
      </c>
      <c r="Q113" s="311" t="str">
        <f>IFERROR(__xludf.DUMMYFUNCTION("IFERROR(IF(ISBLANK(B113),"""",GOOGLEFINANCE(B113,""high52"")),"""")"),"")</f>
        <v/>
      </c>
      <c r="R113" s="310" t="str">
        <f t="shared" si="5"/>
        <v/>
      </c>
      <c r="S113" s="13" t="str">
        <f t="shared" si="6"/>
        <v/>
      </c>
      <c r="U113" s="13" t="str">
        <f t="shared" si="7"/>
        <v/>
      </c>
      <c r="W113" s="13" t="str">
        <f t="shared" si="8"/>
        <v/>
      </c>
      <c r="X113" s="310" t="str">
        <f t="shared" si="9"/>
        <v/>
      </c>
      <c r="Y113" s="311" t="str">
        <f>IFERROR(__xludf.DUMMYFUNCTION("IF(ISBLANK(B113),"""",IFERROR(INDEX(GOOGLEFINANCE(B113,""price"",WORKDAY(TODAY(),-$Y$17)),2,2),""""))"),"")</f>
        <v/>
      </c>
      <c r="Z113" s="310" t="str">
        <f>IFERROR(__xludf.DUMMYFUNCTION("IF(ISBLANK(B113),"""",IFERROR(I113/(INDEX(GOOGLEFINANCE(B113,""price"",WORKDAY(TODAY(),-$Z$17)),2,2))-1,""""))"),"")</f>
        <v/>
      </c>
      <c r="AA113" s="312" t="str">
        <f>IFERROR(__xludf.DUMMYFUNCTION("IF(ISBLANK(B113),"""",IFERROR(IFERROR(""$""&amp;Trunc(GOOGLEFINANCE(B113,""Marketcap"")/1000000000)&amp;"" B"",""$""&amp;Trunc(IMPORTXML(""https://coinmarketcap.com/currencies/""&amp;B113,$AJ$4)/1000000000)&amp;"" B""),""-""))"),"")</f>
        <v/>
      </c>
      <c r="AB113" s="13" t="str">
        <f>IFERROR(__xludf.DUMMYFUNCTION("IF(ISBLANK(B113),"""",IFERROR(GOOGLEFINANCE(B113,""pe""),""-""))"),"")</f>
        <v/>
      </c>
      <c r="AC113" s="313" t="str">
        <f>IFERROR(__xludf.DUMMYFUNCTION("SPARKLINE(INDEX(GOOGLEFINANCE(B113,""price"",workday(today(),-$AC$17),today()),,2),{""charttype"",""column"";""color"",""green""})
"),"#N/A")</f>
        <v>#N/A</v>
      </c>
      <c r="AD113" s="313" t="str">
        <f>IFERROR(__xludf.DUMMYFUNCTION("IF(ISBLANK(B113),"""",IFERROR(INDEX(IMPORTXML(""https://eresearch.fidelity.com/eresearch/goto/evaluate/snapshot.jhtml?symbols=""&amp;B113&amp;"""",""//div[@class='sub-heading']//span[@class='right']""),1),""Enter Manually"")
)"),"")</f>
        <v/>
      </c>
      <c r="AE113" s="314" t="str">
        <f t="shared" si="10"/>
        <v>Info</v>
      </c>
      <c r="AF113" s="329"/>
      <c r="AG113" s="320"/>
      <c r="AH113" s="13"/>
      <c r="AI113" s="13"/>
      <c r="AJ113" s="13"/>
      <c r="AK113" s="13"/>
      <c r="AL113" s="13"/>
      <c r="AM113" s="13"/>
      <c r="AN113" s="13"/>
      <c r="AO113" s="13"/>
      <c r="AP113" s="13"/>
    </row>
    <row r="114" ht="18.75" customHeight="1">
      <c r="A114" s="13"/>
      <c r="B114" s="327"/>
      <c r="C114" s="306" t="str">
        <f>IFERROR(__xludf.DUMMYFUNCTION("GOOGLEFINANCE(B114,""name"")
"),"#N/A")</f>
        <v>#N/A</v>
      </c>
      <c r="D114" s="306"/>
      <c r="E114" s="328"/>
      <c r="F114" s="13" t="str">
        <f t="shared" si="1"/>
        <v/>
      </c>
      <c r="G114" s="309" t="str">
        <f>IFERROR(__xludf.DUMMYFUNCTION("IF(ISBLANK(B114),"""",IFERROR(SPARKLINE(INDEX(GOOGLEFINANCE(B114,""price"",TODAY()-$G$17,TODAY()),,2),{""charttype"",""column"";""color"",""17a7e0""}),""""))"),"")</f>
        <v/>
      </c>
      <c r="I114" s="309" t="str">
        <f>IFERROR(__xludf.DUMMYFUNCTION("IFERROR(IF(B114="""","""",GOOGLEFINANCE(B114)),IFERROR(GOOGLEFINANCE(""CURRENCY:""&amp;""USD""&amp;$D$15)*IMPORTXML(""https://coinmarketcap.com/currencies/""&amp;B114,$AJ$3),IMPORTXML(""https://coinmarketcap.com/currencies/""&amp;B114,$AJ$3)))"),"")</f>
        <v/>
      </c>
      <c r="J114" s="310" t="str">
        <f t="shared" si="2"/>
        <v/>
      </c>
      <c r="K114" s="310" t="str">
        <f>IFERROR(__xludf.DUMMYFUNCTION("IFERROR(IF(ISBLANK(B114),"""",GOOGLEFINANCE(B114,""changepct"")/100),"""")"),"")</f>
        <v/>
      </c>
      <c r="L114" s="310" t="str">
        <f>IFERROR(__xludf.DUMMYFUNCTION("IF(ISBLANK(B114),"""",IFERROR((GOOGLEFINANCE(B114,""price"")/INDEX(GOOGLEFINANCE(B114,""price"",DATEVALUE(TODAY()-365) ),2,2)-1),""""))"),"")</f>
        <v/>
      </c>
      <c r="M114" s="310" t="str">
        <f>IFERROR(__xludf.DUMMYFUNCTION("IF(ISBLANK(B114),"""",IFERROR((GOOGLEFINANCE($D$13,""price"")/INDEX(GOOGLEFINANCE($D$13,""price"",DATEVALUE(TODAY()-365) ),2,2)-1),""""))"),"")</f>
        <v/>
      </c>
      <c r="N114" s="310" t="str">
        <f t="shared" si="3"/>
        <v/>
      </c>
      <c r="O114" s="311" t="str">
        <f>IFERROR(__xludf.DUMMYFUNCTION("IFERROR(IF(ISBLANK(B114),"""",GOOGLEFINANCE(B114,""low52"")),"""")"),"")</f>
        <v/>
      </c>
      <c r="P114" s="310" t="str">
        <f t="shared" si="4"/>
        <v/>
      </c>
      <c r="Q114" s="311" t="str">
        <f>IFERROR(__xludf.DUMMYFUNCTION("IFERROR(IF(ISBLANK(B114),"""",GOOGLEFINANCE(B114,""high52"")),"""")"),"")</f>
        <v/>
      </c>
      <c r="R114" s="310" t="str">
        <f t="shared" si="5"/>
        <v/>
      </c>
      <c r="S114" s="13" t="str">
        <f t="shared" si="6"/>
        <v/>
      </c>
      <c r="U114" s="13" t="str">
        <f t="shared" si="7"/>
        <v/>
      </c>
      <c r="W114" s="13" t="str">
        <f t="shared" si="8"/>
        <v/>
      </c>
      <c r="X114" s="310" t="str">
        <f t="shared" si="9"/>
        <v/>
      </c>
      <c r="Y114" s="311" t="str">
        <f>IFERROR(__xludf.DUMMYFUNCTION("IF(ISBLANK(B114),"""",IFERROR(INDEX(GOOGLEFINANCE(B114,""price"",WORKDAY(TODAY(),-$Y$17)),2,2),""""))"),"")</f>
        <v/>
      </c>
      <c r="Z114" s="310" t="str">
        <f>IFERROR(__xludf.DUMMYFUNCTION("IF(ISBLANK(B114),"""",IFERROR(I114/(INDEX(GOOGLEFINANCE(B114,""price"",WORKDAY(TODAY(),-$Z$17)),2,2))-1,""""))"),"")</f>
        <v/>
      </c>
      <c r="AA114" s="312" t="str">
        <f>IFERROR(__xludf.DUMMYFUNCTION("IF(ISBLANK(B114),"""",IFERROR(IFERROR(""$""&amp;Trunc(GOOGLEFINANCE(B114,""Marketcap"")/1000000000)&amp;"" B"",""$""&amp;Trunc(IMPORTXML(""https://coinmarketcap.com/currencies/""&amp;B114,$AJ$4)/1000000000)&amp;"" B""),""-""))"),"")</f>
        <v/>
      </c>
      <c r="AB114" s="13" t="str">
        <f>IFERROR(__xludf.DUMMYFUNCTION("IF(ISBLANK(B114),"""",IFERROR(GOOGLEFINANCE(B114,""pe""),""-""))"),"")</f>
        <v/>
      </c>
      <c r="AC114" s="313" t="str">
        <f>IFERROR(__xludf.DUMMYFUNCTION("SPARKLINE(INDEX(GOOGLEFINANCE(B114,""price"",workday(today(),-$AC$17),today()),,2),{""charttype"",""column"";""color"",""green""})
"),"#N/A")</f>
        <v>#N/A</v>
      </c>
      <c r="AD114" s="313" t="str">
        <f>IFERROR(__xludf.DUMMYFUNCTION("IF(ISBLANK(B114),"""",IFERROR(INDEX(IMPORTXML(""https://eresearch.fidelity.com/eresearch/goto/evaluate/snapshot.jhtml?symbols=""&amp;B114&amp;"""",""//div[@class='sub-heading']//span[@class='right']""),1),""Enter Manually"")
)"),"")</f>
        <v/>
      </c>
      <c r="AE114" s="314" t="str">
        <f t="shared" si="10"/>
        <v>Info</v>
      </c>
      <c r="AF114" s="329"/>
      <c r="AG114" s="320"/>
      <c r="AH114" s="13"/>
      <c r="AI114" s="13"/>
      <c r="AJ114" s="13"/>
      <c r="AK114" s="13"/>
      <c r="AL114" s="13"/>
      <c r="AM114" s="13"/>
      <c r="AN114" s="13"/>
      <c r="AO114" s="13"/>
      <c r="AP114" s="13"/>
    </row>
    <row r="115" ht="18.75" customHeight="1">
      <c r="A115" s="13"/>
      <c r="B115" s="327"/>
      <c r="C115" s="306" t="str">
        <f>IFERROR(__xludf.DUMMYFUNCTION("GOOGLEFINANCE(B115,""name"")
"),"#N/A")</f>
        <v>#N/A</v>
      </c>
      <c r="D115" s="306"/>
      <c r="E115" s="328"/>
      <c r="F115" s="13" t="str">
        <f t="shared" si="1"/>
        <v/>
      </c>
      <c r="G115" s="309" t="str">
        <f>IFERROR(__xludf.DUMMYFUNCTION("IF(ISBLANK(B115),"""",IFERROR(SPARKLINE(INDEX(GOOGLEFINANCE(B115,""price"",TODAY()-$G$17,TODAY()),,2),{""charttype"",""column"";""color"",""17a7e0""}),""""))"),"")</f>
        <v/>
      </c>
      <c r="I115" s="309" t="str">
        <f>IFERROR(__xludf.DUMMYFUNCTION("IFERROR(IF(B115="""","""",GOOGLEFINANCE(B115)),IFERROR(GOOGLEFINANCE(""CURRENCY:""&amp;""USD""&amp;$D$15)*IMPORTXML(""https://coinmarketcap.com/currencies/""&amp;B115,$AJ$3),IMPORTXML(""https://coinmarketcap.com/currencies/""&amp;B115,$AJ$3)))"),"")</f>
        <v/>
      </c>
      <c r="J115" s="310" t="str">
        <f t="shared" si="2"/>
        <v/>
      </c>
      <c r="K115" s="310" t="str">
        <f>IFERROR(__xludf.DUMMYFUNCTION("IFERROR(IF(ISBLANK(B115),"""",GOOGLEFINANCE(B115,""changepct"")/100),"""")"),"")</f>
        <v/>
      </c>
      <c r="L115" s="310" t="str">
        <f>IFERROR(__xludf.DUMMYFUNCTION("IF(ISBLANK(B115),"""",IFERROR((GOOGLEFINANCE(B115,""price"")/INDEX(GOOGLEFINANCE(B115,""price"",DATEVALUE(TODAY()-365) ),2,2)-1),""""))"),"")</f>
        <v/>
      </c>
      <c r="M115" s="310" t="str">
        <f>IFERROR(__xludf.DUMMYFUNCTION("IF(ISBLANK(B115),"""",IFERROR((GOOGLEFINANCE($D$13,""price"")/INDEX(GOOGLEFINANCE($D$13,""price"",DATEVALUE(TODAY()-365) ),2,2)-1),""""))"),"")</f>
        <v/>
      </c>
      <c r="N115" s="310" t="str">
        <f t="shared" si="3"/>
        <v/>
      </c>
      <c r="O115" s="311" t="str">
        <f>IFERROR(__xludf.DUMMYFUNCTION("IFERROR(IF(ISBLANK(B115),"""",GOOGLEFINANCE(B115,""low52"")),"""")"),"")</f>
        <v/>
      </c>
      <c r="P115" s="310" t="str">
        <f t="shared" si="4"/>
        <v/>
      </c>
      <c r="Q115" s="311" t="str">
        <f>IFERROR(__xludf.DUMMYFUNCTION("IFERROR(IF(ISBLANK(B115),"""",GOOGLEFINANCE(B115,""high52"")),"""")"),"")</f>
        <v/>
      </c>
      <c r="R115" s="310" t="str">
        <f t="shared" si="5"/>
        <v/>
      </c>
      <c r="S115" s="13" t="str">
        <f t="shared" si="6"/>
        <v/>
      </c>
      <c r="U115" s="13" t="str">
        <f t="shared" si="7"/>
        <v/>
      </c>
      <c r="W115" s="13" t="str">
        <f t="shared" si="8"/>
        <v/>
      </c>
      <c r="X115" s="310" t="str">
        <f t="shared" si="9"/>
        <v/>
      </c>
      <c r="Y115" s="311" t="str">
        <f>IFERROR(__xludf.DUMMYFUNCTION("IF(ISBLANK(B115),"""",IFERROR(INDEX(GOOGLEFINANCE(B115,""price"",WORKDAY(TODAY(),-$Y$17)),2,2),""""))"),"")</f>
        <v/>
      </c>
      <c r="Z115" s="310" t="str">
        <f>IFERROR(__xludf.DUMMYFUNCTION("IF(ISBLANK(B115),"""",IFERROR(I115/(INDEX(GOOGLEFINANCE(B115,""price"",WORKDAY(TODAY(),-$Z$17)),2,2))-1,""""))"),"")</f>
        <v/>
      </c>
      <c r="AA115" s="312" t="str">
        <f>IFERROR(__xludf.DUMMYFUNCTION("IF(ISBLANK(B115),"""",IFERROR(IFERROR(""$""&amp;Trunc(GOOGLEFINANCE(B115,""Marketcap"")/1000000000)&amp;"" B"",""$""&amp;Trunc(IMPORTXML(""https://coinmarketcap.com/currencies/""&amp;B115,$AJ$4)/1000000000)&amp;"" B""),""-""))"),"")</f>
        <v/>
      </c>
      <c r="AB115" s="13" t="str">
        <f>IFERROR(__xludf.DUMMYFUNCTION("IF(ISBLANK(B115),"""",IFERROR(GOOGLEFINANCE(B115,""pe""),""-""))"),"")</f>
        <v/>
      </c>
      <c r="AC115" s="313" t="str">
        <f>IFERROR(__xludf.DUMMYFUNCTION("SPARKLINE(INDEX(GOOGLEFINANCE(B115,""price"",workday(today(),-$AC$17),today()),,2),{""charttype"",""column"";""color"",""green""})
"),"#N/A")</f>
        <v>#N/A</v>
      </c>
      <c r="AD115" s="313" t="str">
        <f>IFERROR(__xludf.DUMMYFUNCTION("IF(ISBLANK(B115),"""",IFERROR(INDEX(IMPORTXML(""https://eresearch.fidelity.com/eresearch/goto/evaluate/snapshot.jhtml?symbols=""&amp;B115&amp;"""",""//div[@class='sub-heading']//span[@class='right']""),1),""Enter Manually"")
)"),"")</f>
        <v/>
      </c>
      <c r="AE115" s="314" t="str">
        <f t="shared" si="10"/>
        <v>Info</v>
      </c>
      <c r="AF115" s="329"/>
      <c r="AG115" s="320"/>
      <c r="AH115" s="13"/>
      <c r="AI115" s="13"/>
      <c r="AJ115" s="13"/>
      <c r="AK115" s="13"/>
      <c r="AL115" s="13"/>
      <c r="AM115" s="13"/>
      <c r="AN115" s="13"/>
      <c r="AO115" s="13"/>
      <c r="AP115" s="13"/>
    </row>
    <row r="116" ht="18.75" customHeight="1">
      <c r="A116" s="13"/>
      <c r="B116" s="327"/>
      <c r="C116" s="306" t="str">
        <f>IFERROR(__xludf.DUMMYFUNCTION("GOOGLEFINANCE(B116,""name"")
"),"#N/A")</f>
        <v>#N/A</v>
      </c>
      <c r="D116" s="306"/>
      <c r="E116" s="328"/>
      <c r="F116" s="13" t="str">
        <f t="shared" si="1"/>
        <v/>
      </c>
      <c r="G116" s="309" t="str">
        <f>IFERROR(__xludf.DUMMYFUNCTION("IF(ISBLANK(B116),"""",IFERROR(SPARKLINE(INDEX(GOOGLEFINANCE(B116,""price"",TODAY()-$G$17,TODAY()),,2),{""charttype"",""column"";""color"",""17a7e0""}),""""))"),"")</f>
        <v/>
      </c>
      <c r="I116" s="309" t="str">
        <f>IFERROR(__xludf.DUMMYFUNCTION("IFERROR(IF(B116="""","""",GOOGLEFINANCE(B116)),IFERROR(GOOGLEFINANCE(""CURRENCY:""&amp;""USD""&amp;$D$15)*IMPORTXML(""https://coinmarketcap.com/currencies/""&amp;B116,$AJ$3),IMPORTXML(""https://coinmarketcap.com/currencies/""&amp;B116,$AJ$3)))"),"")</f>
        <v/>
      </c>
      <c r="J116" s="310" t="str">
        <f t="shared" si="2"/>
        <v/>
      </c>
      <c r="K116" s="310" t="str">
        <f>IFERROR(__xludf.DUMMYFUNCTION("IFERROR(IF(ISBLANK(B116),"""",GOOGLEFINANCE(B116,""changepct"")/100),"""")"),"")</f>
        <v/>
      </c>
      <c r="L116" s="310" t="str">
        <f>IFERROR(__xludf.DUMMYFUNCTION("IF(ISBLANK(B116),"""",IFERROR((GOOGLEFINANCE(B116,""price"")/INDEX(GOOGLEFINANCE(B116,""price"",DATEVALUE(TODAY()-365) ),2,2)-1),""""))"),"")</f>
        <v/>
      </c>
      <c r="M116" s="310" t="str">
        <f>IFERROR(__xludf.DUMMYFUNCTION("IF(ISBLANK(B116),"""",IFERROR((GOOGLEFINANCE($D$13,""price"")/INDEX(GOOGLEFINANCE($D$13,""price"",DATEVALUE(TODAY()-365) ),2,2)-1),""""))"),"")</f>
        <v/>
      </c>
      <c r="N116" s="310" t="str">
        <f t="shared" si="3"/>
        <v/>
      </c>
      <c r="O116" s="311" t="str">
        <f>IFERROR(__xludf.DUMMYFUNCTION("IFERROR(IF(ISBLANK(B116),"""",GOOGLEFINANCE(B116,""low52"")),"""")"),"")</f>
        <v/>
      </c>
      <c r="P116" s="310" t="str">
        <f t="shared" si="4"/>
        <v/>
      </c>
      <c r="Q116" s="311" t="str">
        <f>IFERROR(__xludf.DUMMYFUNCTION("IFERROR(IF(ISBLANK(B116),"""",GOOGLEFINANCE(B116,""high52"")),"""")"),"")</f>
        <v/>
      </c>
      <c r="R116" s="310" t="str">
        <f t="shared" si="5"/>
        <v/>
      </c>
      <c r="S116" s="13" t="str">
        <f t="shared" si="6"/>
        <v/>
      </c>
      <c r="U116" s="13" t="str">
        <f t="shared" si="7"/>
        <v/>
      </c>
      <c r="W116" s="13" t="str">
        <f t="shared" si="8"/>
        <v/>
      </c>
      <c r="X116" s="310" t="str">
        <f t="shared" si="9"/>
        <v/>
      </c>
      <c r="Y116" s="311" t="str">
        <f>IFERROR(__xludf.DUMMYFUNCTION("IF(ISBLANK(B116),"""",IFERROR(INDEX(GOOGLEFINANCE(B116,""price"",WORKDAY(TODAY(),-$Y$17)),2,2),""""))"),"")</f>
        <v/>
      </c>
      <c r="Z116" s="310" t="str">
        <f>IFERROR(__xludf.DUMMYFUNCTION("IF(ISBLANK(B116),"""",IFERROR(I116/(INDEX(GOOGLEFINANCE(B116,""price"",WORKDAY(TODAY(),-$Z$17)),2,2))-1,""""))"),"")</f>
        <v/>
      </c>
      <c r="AA116" s="312" t="str">
        <f>IFERROR(__xludf.DUMMYFUNCTION("IF(ISBLANK(B116),"""",IFERROR(IFERROR(""$""&amp;Trunc(GOOGLEFINANCE(B116,""Marketcap"")/1000000000)&amp;"" B"",""$""&amp;Trunc(IMPORTXML(""https://coinmarketcap.com/currencies/""&amp;B116,$AJ$4)/1000000000)&amp;"" B""),""-""))"),"")</f>
        <v/>
      </c>
      <c r="AB116" s="13" t="str">
        <f>IFERROR(__xludf.DUMMYFUNCTION("IF(ISBLANK(B116),"""",IFERROR(GOOGLEFINANCE(B116,""pe""),""-""))"),"")</f>
        <v/>
      </c>
      <c r="AC116" s="313" t="str">
        <f>IFERROR(__xludf.DUMMYFUNCTION("SPARKLINE(INDEX(GOOGLEFINANCE(B116,""price"",workday(today(),-$AC$17),today()),,2),{""charttype"",""column"";""color"",""green""})
"),"#N/A")</f>
        <v>#N/A</v>
      </c>
      <c r="AD116" s="313" t="str">
        <f>IFERROR(__xludf.DUMMYFUNCTION("IF(ISBLANK(B116),"""",IFERROR(INDEX(IMPORTXML(""https://eresearch.fidelity.com/eresearch/goto/evaluate/snapshot.jhtml?symbols=""&amp;B116&amp;"""",""//div[@class='sub-heading']//span[@class='right']""),1),""Enter Manually"")
)"),"")</f>
        <v/>
      </c>
      <c r="AE116" s="314" t="str">
        <f t="shared" si="10"/>
        <v>Info</v>
      </c>
      <c r="AF116" s="329"/>
      <c r="AG116" s="320"/>
      <c r="AH116" s="13"/>
      <c r="AI116" s="13"/>
      <c r="AJ116" s="13"/>
      <c r="AK116" s="13"/>
      <c r="AL116" s="13"/>
      <c r="AM116" s="13"/>
      <c r="AN116" s="13"/>
      <c r="AO116" s="13"/>
      <c r="AP116" s="13"/>
    </row>
    <row r="117" ht="18.75" customHeight="1">
      <c r="A117" s="13"/>
      <c r="B117" s="327"/>
      <c r="C117" s="306" t="str">
        <f>IFERROR(__xludf.DUMMYFUNCTION("GOOGLEFINANCE(B117,""name"")
"),"#N/A")</f>
        <v>#N/A</v>
      </c>
      <c r="D117" s="306"/>
      <c r="E117" s="328"/>
      <c r="F117" s="13" t="str">
        <f t="shared" si="1"/>
        <v/>
      </c>
      <c r="G117" s="309" t="str">
        <f>IFERROR(__xludf.DUMMYFUNCTION("IF(ISBLANK(B117),"""",IFERROR(SPARKLINE(INDEX(GOOGLEFINANCE(B117,""price"",TODAY()-$G$17,TODAY()),,2),{""charttype"",""column"";""color"",""17a7e0""}),""""))"),"")</f>
        <v/>
      </c>
      <c r="I117" s="309" t="str">
        <f>IFERROR(__xludf.DUMMYFUNCTION("IFERROR(IF(B117="""","""",GOOGLEFINANCE(B117)),IFERROR(GOOGLEFINANCE(""CURRENCY:""&amp;""USD""&amp;$D$15)*IMPORTXML(""https://coinmarketcap.com/currencies/""&amp;B117,$AJ$3),IMPORTXML(""https://coinmarketcap.com/currencies/""&amp;B117,$AJ$3)))"),"")</f>
        <v/>
      </c>
      <c r="J117" s="310" t="str">
        <f t="shared" si="2"/>
        <v/>
      </c>
      <c r="K117" s="310" t="str">
        <f>IFERROR(__xludf.DUMMYFUNCTION("IFERROR(IF(ISBLANK(B117),"""",GOOGLEFINANCE(B117,""changepct"")/100),"""")"),"")</f>
        <v/>
      </c>
      <c r="L117" s="310" t="str">
        <f>IFERROR(__xludf.DUMMYFUNCTION("IF(ISBLANK(B117),"""",IFERROR((GOOGLEFINANCE(B117,""price"")/INDEX(GOOGLEFINANCE(B117,""price"",DATEVALUE(TODAY()-365) ),2,2)-1),""""))"),"")</f>
        <v/>
      </c>
      <c r="M117" s="310" t="str">
        <f>IFERROR(__xludf.DUMMYFUNCTION("IF(ISBLANK(B117),"""",IFERROR((GOOGLEFINANCE($D$13,""price"")/INDEX(GOOGLEFINANCE($D$13,""price"",DATEVALUE(TODAY()-365) ),2,2)-1),""""))"),"")</f>
        <v/>
      </c>
      <c r="N117" s="310" t="str">
        <f t="shared" si="3"/>
        <v/>
      </c>
      <c r="O117" s="311" t="str">
        <f>IFERROR(__xludf.DUMMYFUNCTION("IFERROR(IF(ISBLANK(B117),"""",GOOGLEFINANCE(B117,""low52"")),"""")"),"")</f>
        <v/>
      </c>
      <c r="P117" s="310" t="str">
        <f t="shared" si="4"/>
        <v/>
      </c>
      <c r="Q117" s="311" t="str">
        <f>IFERROR(__xludf.DUMMYFUNCTION("IFERROR(IF(ISBLANK(B117),"""",GOOGLEFINANCE(B117,""high52"")),"""")"),"")</f>
        <v/>
      </c>
      <c r="R117" s="310" t="str">
        <f t="shared" si="5"/>
        <v/>
      </c>
      <c r="S117" s="13" t="str">
        <f t="shared" si="6"/>
        <v/>
      </c>
      <c r="U117" s="13" t="str">
        <f t="shared" si="7"/>
        <v/>
      </c>
      <c r="W117" s="13" t="str">
        <f t="shared" si="8"/>
        <v/>
      </c>
      <c r="X117" s="310" t="str">
        <f t="shared" si="9"/>
        <v/>
      </c>
      <c r="Y117" s="311" t="str">
        <f>IFERROR(__xludf.DUMMYFUNCTION("IF(ISBLANK(B117),"""",IFERROR(INDEX(GOOGLEFINANCE(B117,""price"",WORKDAY(TODAY(),-$Y$17)),2,2),""""))"),"")</f>
        <v/>
      </c>
      <c r="Z117" s="310" t="str">
        <f>IFERROR(__xludf.DUMMYFUNCTION("IF(ISBLANK(B117),"""",IFERROR(I117/(INDEX(GOOGLEFINANCE(B117,""price"",WORKDAY(TODAY(),-$Z$17)),2,2))-1,""""))"),"")</f>
        <v/>
      </c>
      <c r="AA117" s="312" t="str">
        <f>IFERROR(__xludf.DUMMYFUNCTION("IF(ISBLANK(B117),"""",IFERROR(IFERROR(""$""&amp;Trunc(GOOGLEFINANCE(B117,""Marketcap"")/1000000000)&amp;"" B"",""$""&amp;Trunc(IMPORTXML(""https://coinmarketcap.com/currencies/""&amp;B117,$AJ$4)/1000000000)&amp;"" B""),""-""))"),"")</f>
        <v/>
      </c>
      <c r="AB117" s="13" t="str">
        <f>IFERROR(__xludf.DUMMYFUNCTION("IF(ISBLANK(B117),"""",IFERROR(GOOGLEFINANCE(B117,""pe""),""-""))"),"")</f>
        <v/>
      </c>
      <c r="AC117" s="313" t="str">
        <f>IFERROR(__xludf.DUMMYFUNCTION("SPARKLINE(INDEX(GOOGLEFINANCE(B117,""price"",workday(today(),-$AC$17),today()),,2),{""charttype"",""column"";""color"",""green""})
"),"#N/A")</f>
        <v>#N/A</v>
      </c>
      <c r="AD117" s="313" t="str">
        <f>IFERROR(__xludf.DUMMYFUNCTION("IF(ISBLANK(B117),"""",IFERROR(INDEX(IMPORTXML(""https://eresearch.fidelity.com/eresearch/goto/evaluate/snapshot.jhtml?symbols=""&amp;B117&amp;"""",""//div[@class='sub-heading']//span[@class='right']""),1),""Enter Manually"")
)"),"")</f>
        <v/>
      </c>
      <c r="AE117" s="314" t="str">
        <f t="shared" si="10"/>
        <v>Info</v>
      </c>
      <c r="AF117" s="329"/>
      <c r="AG117" s="320"/>
      <c r="AH117" s="13"/>
      <c r="AI117" s="13"/>
      <c r="AJ117" s="13"/>
      <c r="AK117" s="13"/>
      <c r="AL117" s="13"/>
      <c r="AM117" s="13"/>
      <c r="AN117" s="13"/>
      <c r="AO117" s="13"/>
      <c r="AP117" s="13"/>
    </row>
    <row r="118" ht="18.75" customHeight="1">
      <c r="A118" s="13"/>
      <c r="B118" s="327"/>
      <c r="C118" s="306" t="str">
        <f>IFERROR(__xludf.DUMMYFUNCTION("GOOGLEFINANCE(B118,""name"")
"),"#N/A")</f>
        <v>#N/A</v>
      </c>
      <c r="D118" s="306"/>
      <c r="E118" s="328"/>
      <c r="F118" s="13" t="str">
        <f t="shared" si="1"/>
        <v/>
      </c>
      <c r="G118" s="309" t="str">
        <f>IFERROR(__xludf.DUMMYFUNCTION("IF(ISBLANK(B118),"""",IFERROR(SPARKLINE(INDEX(GOOGLEFINANCE(B118,""price"",TODAY()-$G$17,TODAY()),,2),{""charttype"",""column"";""color"",""17a7e0""}),""""))"),"")</f>
        <v/>
      </c>
      <c r="I118" s="309" t="str">
        <f>IFERROR(__xludf.DUMMYFUNCTION("IFERROR(IF(B118="""","""",GOOGLEFINANCE(B118)),IFERROR(GOOGLEFINANCE(""CURRENCY:""&amp;""USD""&amp;$D$15)*IMPORTXML(""https://coinmarketcap.com/currencies/""&amp;B118,$AJ$3),IMPORTXML(""https://coinmarketcap.com/currencies/""&amp;B118,$AJ$3)))"),"")</f>
        <v/>
      </c>
      <c r="J118" s="310" t="str">
        <f t="shared" si="2"/>
        <v/>
      </c>
      <c r="K118" s="310" t="str">
        <f>IFERROR(__xludf.DUMMYFUNCTION("IFERROR(IF(ISBLANK(B118),"""",GOOGLEFINANCE(B118,""changepct"")/100),"""")"),"")</f>
        <v/>
      </c>
      <c r="L118" s="310" t="str">
        <f>IFERROR(__xludf.DUMMYFUNCTION("IF(ISBLANK(B118),"""",IFERROR((GOOGLEFINANCE(B118,""price"")/INDEX(GOOGLEFINANCE(B118,""price"",DATEVALUE(TODAY()-365) ),2,2)-1),""""))"),"")</f>
        <v/>
      </c>
      <c r="M118" s="310" t="str">
        <f>IFERROR(__xludf.DUMMYFUNCTION("IF(ISBLANK(B118),"""",IFERROR((GOOGLEFINANCE($D$13,""price"")/INDEX(GOOGLEFINANCE($D$13,""price"",DATEVALUE(TODAY()-365) ),2,2)-1),""""))"),"")</f>
        <v/>
      </c>
      <c r="N118" s="310" t="str">
        <f t="shared" si="3"/>
        <v/>
      </c>
      <c r="O118" s="311" t="str">
        <f>IFERROR(__xludf.DUMMYFUNCTION("IFERROR(IF(ISBLANK(B118),"""",GOOGLEFINANCE(B118,""low52"")),"""")"),"")</f>
        <v/>
      </c>
      <c r="P118" s="310" t="str">
        <f t="shared" si="4"/>
        <v/>
      </c>
      <c r="Q118" s="311" t="str">
        <f>IFERROR(__xludf.DUMMYFUNCTION("IFERROR(IF(ISBLANK(B118),"""",GOOGLEFINANCE(B118,""high52"")),"""")"),"")</f>
        <v/>
      </c>
      <c r="R118" s="310" t="str">
        <f t="shared" si="5"/>
        <v/>
      </c>
      <c r="S118" s="13" t="str">
        <f t="shared" si="6"/>
        <v/>
      </c>
      <c r="U118" s="13" t="str">
        <f t="shared" si="7"/>
        <v/>
      </c>
      <c r="W118" s="13" t="str">
        <f t="shared" si="8"/>
        <v/>
      </c>
      <c r="X118" s="310" t="str">
        <f t="shared" si="9"/>
        <v/>
      </c>
      <c r="Y118" s="311" t="str">
        <f>IFERROR(__xludf.DUMMYFUNCTION("IF(ISBLANK(B118),"""",IFERROR(INDEX(GOOGLEFINANCE(B118,""price"",WORKDAY(TODAY(),-$Y$17)),2,2),""""))"),"")</f>
        <v/>
      </c>
      <c r="Z118" s="310" t="str">
        <f>IFERROR(__xludf.DUMMYFUNCTION("IF(ISBLANK(B118),"""",IFERROR(I118/(INDEX(GOOGLEFINANCE(B118,""price"",WORKDAY(TODAY(),-$Z$17)),2,2))-1,""""))"),"")</f>
        <v/>
      </c>
      <c r="AA118" s="312" t="str">
        <f>IFERROR(__xludf.DUMMYFUNCTION("IF(ISBLANK(B118),"""",IFERROR(IFERROR(""$""&amp;Trunc(GOOGLEFINANCE(B118,""Marketcap"")/1000000000)&amp;"" B"",""$""&amp;Trunc(IMPORTXML(""https://coinmarketcap.com/currencies/""&amp;B118,$AJ$4)/1000000000)&amp;"" B""),""-""))"),"")</f>
        <v/>
      </c>
      <c r="AB118" s="13" t="str">
        <f>IFERROR(__xludf.DUMMYFUNCTION("IF(ISBLANK(B118),"""",IFERROR(GOOGLEFINANCE(B118,""pe""),""-""))"),"")</f>
        <v/>
      </c>
      <c r="AC118" s="313" t="str">
        <f>IFERROR(__xludf.DUMMYFUNCTION("SPARKLINE(INDEX(GOOGLEFINANCE(B118,""price"",workday(today(),-$AC$17),today()),,2),{""charttype"",""column"";""color"",""green""})
"),"#N/A")</f>
        <v>#N/A</v>
      </c>
      <c r="AD118" s="313" t="str">
        <f>IFERROR(__xludf.DUMMYFUNCTION("IF(ISBLANK(B118),"""",IFERROR(INDEX(IMPORTXML(""https://eresearch.fidelity.com/eresearch/goto/evaluate/snapshot.jhtml?symbols=""&amp;B118&amp;"""",""//div[@class='sub-heading']//span[@class='right']""),1),""Enter Manually"")
)"),"")</f>
        <v/>
      </c>
      <c r="AE118" s="314" t="str">
        <f t="shared" si="10"/>
        <v>Info</v>
      </c>
      <c r="AF118" s="329"/>
      <c r="AG118" s="320"/>
      <c r="AH118" s="13"/>
      <c r="AI118" s="13"/>
      <c r="AJ118" s="13"/>
      <c r="AK118" s="13"/>
      <c r="AL118" s="13"/>
      <c r="AM118" s="13"/>
      <c r="AN118" s="13"/>
      <c r="AO118" s="13"/>
      <c r="AP118" s="13"/>
    </row>
    <row r="119" ht="18.75" customHeight="1">
      <c r="A119" s="13"/>
      <c r="B119" s="327"/>
      <c r="C119" s="306" t="str">
        <f>IFERROR(__xludf.DUMMYFUNCTION("GOOGLEFINANCE(B119,""name"")
"),"#N/A")</f>
        <v>#N/A</v>
      </c>
      <c r="D119" s="306"/>
      <c r="E119" s="328"/>
      <c r="F119" s="13" t="str">
        <f t="shared" si="1"/>
        <v/>
      </c>
      <c r="G119" s="309" t="str">
        <f>IFERROR(__xludf.DUMMYFUNCTION("IF(ISBLANK(B119),"""",IFERROR(SPARKLINE(INDEX(GOOGLEFINANCE(B119,""price"",TODAY()-$G$17,TODAY()),,2),{""charttype"",""column"";""color"",""17a7e0""}),""""))"),"")</f>
        <v/>
      </c>
      <c r="I119" s="309" t="str">
        <f>IFERROR(__xludf.DUMMYFUNCTION("IFERROR(IF(B119="""","""",GOOGLEFINANCE(B119)),IFERROR(GOOGLEFINANCE(""CURRENCY:""&amp;""USD""&amp;$D$15)*IMPORTXML(""https://coinmarketcap.com/currencies/""&amp;B119,$AJ$3),IMPORTXML(""https://coinmarketcap.com/currencies/""&amp;B119,$AJ$3)))"),"")</f>
        <v/>
      </c>
      <c r="J119" s="310" t="str">
        <f t="shared" si="2"/>
        <v/>
      </c>
      <c r="K119" s="310" t="str">
        <f>IFERROR(__xludf.DUMMYFUNCTION("IFERROR(IF(ISBLANK(B119),"""",GOOGLEFINANCE(B119,""changepct"")/100),"""")"),"")</f>
        <v/>
      </c>
      <c r="L119" s="310" t="str">
        <f>IFERROR(__xludf.DUMMYFUNCTION("IF(ISBLANK(B119),"""",IFERROR((GOOGLEFINANCE(B119,""price"")/INDEX(GOOGLEFINANCE(B119,""price"",DATEVALUE(TODAY()-365) ),2,2)-1),""""))"),"")</f>
        <v/>
      </c>
      <c r="M119" s="310" t="str">
        <f>IFERROR(__xludf.DUMMYFUNCTION("IF(ISBLANK(B119),"""",IFERROR((GOOGLEFINANCE($D$13,""price"")/INDEX(GOOGLEFINANCE($D$13,""price"",DATEVALUE(TODAY()-365) ),2,2)-1),""""))"),"")</f>
        <v/>
      </c>
      <c r="N119" s="310" t="str">
        <f t="shared" si="3"/>
        <v/>
      </c>
      <c r="O119" s="311" t="str">
        <f>IFERROR(__xludf.DUMMYFUNCTION("IFERROR(IF(ISBLANK(B119),"""",GOOGLEFINANCE(B119,""low52"")),"""")"),"")</f>
        <v/>
      </c>
      <c r="P119" s="310" t="str">
        <f t="shared" si="4"/>
        <v/>
      </c>
      <c r="Q119" s="311" t="str">
        <f>IFERROR(__xludf.DUMMYFUNCTION("IFERROR(IF(ISBLANK(B119),"""",GOOGLEFINANCE(B119,""high52"")),"""")"),"")</f>
        <v/>
      </c>
      <c r="R119" s="310" t="str">
        <f t="shared" si="5"/>
        <v/>
      </c>
      <c r="S119" s="13" t="str">
        <f t="shared" si="6"/>
        <v/>
      </c>
      <c r="U119" s="13" t="str">
        <f t="shared" si="7"/>
        <v/>
      </c>
      <c r="W119" s="13" t="str">
        <f t="shared" si="8"/>
        <v/>
      </c>
      <c r="X119" s="310" t="str">
        <f t="shared" si="9"/>
        <v/>
      </c>
      <c r="Y119" s="311" t="str">
        <f>IFERROR(__xludf.DUMMYFUNCTION("IF(ISBLANK(B119),"""",IFERROR(INDEX(GOOGLEFINANCE(B119,""price"",WORKDAY(TODAY(),-$Y$17)),2,2),""""))"),"")</f>
        <v/>
      </c>
      <c r="Z119" s="310" t="str">
        <f>IFERROR(__xludf.DUMMYFUNCTION("IF(ISBLANK(B119),"""",IFERROR(I119/(INDEX(GOOGLEFINANCE(B119,""price"",WORKDAY(TODAY(),-$Z$17)),2,2))-1,""""))"),"")</f>
        <v/>
      </c>
      <c r="AA119" s="312" t="str">
        <f>IFERROR(__xludf.DUMMYFUNCTION("IF(ISBLANK(B119),"""",IFERROR(IFERROR(""$""&amp;Trunc(GOOGLEFINANCE(B119,""Marketcap"")/1000000000)&amp;"" B"",""$""&amp;Trunc(IMPORTXML(""https://coinmarketcap.com/currencies/""&amp;B119,$AJ$4)/1000000000)&amp;"" B""),""-""))"),"")</f>
        <v/>
      </c>
      <c r="AB119" s="13" t="str">
        <f>IFERROR(__xludf.DUMMYFUNCTION("IF(ISBLANK(B119),"""",IFERROR(GOOGLEFINANCE(B119,""pe""),""-""))"),"")</f>
        <v/>
      </c>
      <c r="AC119" s="313" t="str">
        <f>IFERROR(__xludf.DUMMYFUNCTION("SPARKLINE(INDEX(GOOGLEFINANCE(B119,""price"",workday(today(),-$AC$17),today()),,2),{""charttype"",""column"";""color"",""green""})
"),"#N/A")</f>
        <v>#N/A</v>
      </c>
      <c r="AD119" s="313" t="str">
        <f>IFERROR(__xludf.DUMMYFUNCTION("IF(ISBLANK(B119),"""",IFERROR(INDEX(IMPORTXML(""https://eresearch.fidelity.com/eresearch/goto/evaluate/snapshot.jhtml?symbols=""&amp;B119&amp;"""",""//div[@class='sub-heading']//span[@class='right']""),1),""Enter Manually"")
)"),"")</f>
        <v/>
      </c>
      <c r="AE119" s="314" t="str">
        <f t="shared" si="10"/>
        <v>Info</v>
      </c>
      <c r="AF119" s="329"/>
      <c r="AG119" s="320"/>
      <c r="AH119" s="13"/>
      <c r="AI119" s="13"/>
      <c r="AJ119" s="13"/>
      <c r="AK119" s="13"/>
      <c r="AL119" s="13"/>
      <c r="AM119" s="13"/>
      <c r="AN119" s="13"/>
      <c r="AO119" s="13"/>
      <c r="AP119" s="13"/>
    </row>
    <row r="120" ht="18.75" customHeight="1">
      <c r="A120" s="13"/>
      <c r="B120" s="327"/>
      <c r="C120" s="306" t="str">
        <f>IFERROR(__xludf.DUMMYFUNCTION("GOOGLEFINANCE(B120,""name"")
"),"#N/A")</f>
        <v>#N/A</v>
      </c>
      <c r="D120" s="306"/>
      <c r="E120" s="328"/>
      <c r="F120" s="13" t="str">
        <f t="shared" si="1"/>
        <v/>
      </c>
      <c r="G120" s="309" t="str">
        <f>IFERROR(__xludf.DUMMYFUNCTION("IF(ISBLANK(B120),"""",IFERROR(SPARKLINE(INDEX(GOOGLEFINANCE(B120,""price"",TODAY()-$G$17,TODAY()),,2),{""charttype"",""column"";""color"",""17a7e0""}),""""))"),"")</f>
        <v/>
      </c>
      <c r="I120" s="309" t="str">
        <f>IFERROR(__xludf.DUMMYFUNCTION("IFERROR(IF(B120="""","""",GOOGLEFINANCE(B120)),IFERROR(GOOGLEFINANCE(""CURRENCY:""&amp;""USD""&amp;$D$15)*IMPORTXML(""https://coinmarketcap.com/currencies/""&amp;B120,$AJ$3),IMPORTXML(""https://coinmarketcap.com/currencies/""&amp;B120,$AJ$3)))"),"")</f>
        <v/>
      </c>
      <c r="J120" s="310" t="str">
        <f t="shared" si="2"/>
        <v/>
      </c>
      <c r="K120" s="310" t="str">
        <f>IFERROR(__xludf.DUMMYFUNCTION("IFERROR(IF(ISBLANK(B120),"""",GOOGLEFINANCE(B120,""changepct"")/100),"""")"),"")</f>
        <v/>
      </c>
      <c r="L120" s="310" t="str">
        <f>IFERROR(__xludf.DUMMYFUNCTION("IF(ISBLANK(B120),"""",IFERROR((GOOGLEFINANCE(B120,""price"")/INDEX(GOOGLEFINANCE(B120,""price"",DATEVALUE(TODAY()-365) ),2,2)-1),""""))"),"")</f>
        <v/>
      </c>
      <c r="M120" s="310" t="str">
        <f>IFERROR(__xludf.DUMMYFUNCTION("IF(ISBLANK(B120),"""",IFERROR((GOOGLEFINANCE($D$13,""price"")/INDEX(GOOGLEFINANCE($D$13,""price"",DATEVALUE(TODAY()-365) ),2,2)-1),""""))"),"")</f>
        <v/>
      </c>
      <c r="N120" s="310" t="str">
        <f t="shared" si="3"/>
        <v/>
      </c>
      <c r="O120" s="311" t="str">
        <f>IFERROR(__xludf.DUMMYFUNCTION("IFERROR(IF(ISBLANK(B120),"""",GOOGLEFINANCE(B120,""low52"")),"""")"),"")</f>
        <v/>
      </c>
      <c r="P120" s="310" t="str">
        <f t="shared" si="4"/>
        <v/>
      </c>
      <c r="Q120" s="311" t="str">
        <f>IFERROR(__xludf.DUMMYFUNCTION("IFERROR(IF(ISBLANK(B120),"""",GOOGLEFINANCE(B120,""high52"")),"""")"),"")</f>
        <v/>
      </c>
      <c r="R120" s="310" t="str">
        <f t="shared" si="5"/>
        <v/>
      </c>
      <c r="S120" s="13" t="str">
        <f t="shared" si="6"/>
        <v/>
      </c>
      <c r="U120" s="13" t="str">
        <f t="shared" si="7"/>
        <v/>
      </c>
      <c r="W120" s="13" t="str">
        <f t="shared" si="8"/>
        <v/>
      </c>
      <c r="X120" s="310" t="str">
        <f t="shared" si="9"/>
        <v/>
      </c>
      <c r="Y120" s="311" t="str">
        <f>IFERROR(__xludf.DUMMYFUNCTION("IF(ISBLANK(B120),"""",IFERROR(INDEX(GOOGLEFINANCE(B120,""price"",WORKDAY(TODAY(),-$Y$17)),2,2),""""))"),"")</f>
        <v/>
      </c>
      <c r="Z120" s="310" t="str">
        <f>IFERROR(__xludf.DUMMYFUNCTION("IF(ISBLANK(B120),"""",IFERROR(I120/(INDEX(GOOGLEFINANCE(B120,""price"",WORKDAY(TODAY(),-$Z$17)),2,2))-1,""""))"),"")</f>
        <v/>
      </c>
      <c r="AA120" s="312" t="str">
        <f>IFERROR(__xludf.DUMMYFUNCTION("IF(ISBLANK(B120),"""",IFERROR(IFERROR(""$""&amp;Trunc(GOOGLEFINANCE(B120,""Marketcap"")/1000000000)&amp;"" B"",""$""&amp;Trunc(IMPORTXML(""https://coinmarketcap.com/currencies/""&amp;B120,$AJ$4)/1000000000)&amp;"" B""),""-""))"),"")</f>
        <v/>
      </c>
      <c r="AB120" s="13" t="str">
        <f>IFERROR(__xludf.DUMMYFUNCTION("IF(ISBLANK(B120),"""",IFERROR(GOOGLEFINANCE(B120,""pe""),""-""))"),"")</f>
        <v/>
      </c>
      <c r="AC120" s="313" t="str">
        <f>IFERROR(__xludf.DUMMYFUNCTION("SPARKLINE(INDEX(GOOGLEFINANCE(B120,""price"",workday(today(),-$AC$17),today()),,2),{""charttype"",""column"";""color"",""green""})
"),"#N/A")</f>
        <v>#N/A</v>
      </c>
      <c r="AD120" s="313" t="str">
        <f>IFERROR(__xludf.DUMMYFUNCTION("IF(ISBLANK(B120),"""",IFERROR(INDEX(IMPORTXML(""https://eresearch.fidelity.com/eresearch/goto/evaluate/snapshot.jhtml?symbols=""&amp;B120&amp;"""",""//div[@class='sub-heading']//span[@class='right']""),1),""Enter Manually"")
)"),"")</f>
        <v/>
      </c>
      <c r="AE120" s="314" t="str">
        <f t="shared" si="10"/>
        <v>Info</v>
      </c>
      <c r="AF120" s="329"/>
      <c r="AG120" s="320"/>
      <c r="AH120" s="13"/>
      <c r="AI120" s="13"/>
      <c r="AJ120" s="13"/>
      <c r="AK120" s="13"/>
      <c r="AL120" s="13"/>
      <c r="AM120" s="13"/>
      <c r="AN120" s="13"/>
      <c r="AO120" s="13"/>
      <c r="AP120" s="13"/>
    </row>
    <row r="121" ht="18.75" customHeight="1">
      <c r="A121" s="13"/>
      <c r="B121" s="327"/>
      <c r="C121" s="306" t="str">
        <f>IFERROR(__xludf.DUMMYFUNCTION("GOOGLEFINANCE(B121,""name"")
"),"#N/A")</f>
        <v>#N/A</v>
      </c>
      <c r="D121" s="306"/>
      <c r="E121" s="328"/>
      <c r="F121" s="13" t="str">
        <f t="shared" si="1"/>
        <v/>
      </c>
      <c r="G121" s="309" t="str">
        <f>IFERROR(__xludf.DUMMYFUNCTION("IF(ISBLANK(B121),"""",IFERROR(SPARKLINE(INDEX(GOOGLEFINANCE(B121,""price"",TODAY()-$G$17,TODAY()),,2),{""charttype"",""column"";""color"",""17a7e0""}),""""))"),"")</f>
        <v/>
      </c>
      <c r="I121" s="309" t="str">
        <f>IFERROR(__xludf.DUMMYFUNCTION("IFERROR(IF(B121="""","""",GOOGLEFINANCE(B121)),IFERROR(GOOGLEFINANCE(""CURRENCY:""&amp;""USD""&amp;$D$15)*IMPORTXML(""https://coinmarketcap.com/currencies/""&amp;B121,$AJ$3),IMPORTXML(""https://coinmarketcap.com/currencies/""&amp;B121,$AJ$3)))"),"")</f>
        <v/>
      </c>
      <c r="J121" s="310" t="str">
        <f t="shared" si="2"/>
        <v/>
      </c>
      <c r="K121" s="310" t="str">
        <f>IFERROR(__xludf.DUMMYFUNCTION("IFERROR(IF(ISBLANK(B121),"""",GOOGLEFINANCE(B121,""changepct"")/100),"""")"),"")</f>
        <v/>
      </c>
      <c r="L121" s="310" t="str">
        <f>IFERROR(__xludf.DUMMYFUNCTION("IF(ISBLANK(B121),"""",IFERROR((GOOGLEFINANCE(B121,""price"")/INDEX(GOOGLEFINANCE(B121,""price"",DATEVALUE(TODAY()-365) ),2,2)-1),""""))"),"")</f>
        <v/>
      </c>
      <c r="M121" s="310" t="str">
        <f>IFERROR(__xludf.DUMMYFUNCTION("IF(ISBLANK(B121),"""",IFERROR((GOOGLEFINANCE($D$13,""price"")/INDEX(GOOGLEFINANCE($D$13,""price"",DATEVALUE(TODAY()-365) ),2,2)-1),""""))"),"")</f>
        <v/>
      </c>
      <c r="N121" s="310" t="str">
        <f t="shared" si="3"/>
        <v/>
      </c>
      <c r="O121" s="311" t="str">
        <f>IFERROR(__xludf.DUMMYFUNCTION("IFERROR(IF(ISBLANK(B121),"""",GOOGLEFINANCE(B121,""low52"")),"""")"),"")</f>
        <v/>
      </c>
      <c r="P121" s="310" t="str">
        <f t="shared" si="4"/>
        <v/>
      </c>
      <c r="Q121" s="311" t="str">
        <f>IFERROR(__xludf.DUMMYFUNCTION("IFERROR(IF(ISBLANK(B121),"""",GOOGLEFINANCE(B121,""high52"")),"""")"),"")</f>
        <v/>
      </c>
      <c r="R121" s="310" t="str">
        <f t="shared" si="5"/>
        <v/>
      </c>
      <c r="S121" s="13" t="str">
        <f t="shared" si="6"/>
        <v/>
      </c>
      <c r="U121" s="13" t="str">
        <f t="shared" si="7"/>
        <v/>
      </c>
      <c r="W121" s="13" t="str">
        <f t="shared" si="8"/>
        <v/>
      </c>
      <c r="X121" s="310" t="str">
        <f t="shared" si="9"/>
        <v/>
      </c>
      <c r="Y121" s="311" t="str">
        <f>IFERROR(__xludf.DUMMYFUNCTION("IF(ISBLANK(B121),"""",IFERROR(INDEX(GOOGLEFINANCE(B121,""price"",WORKDAY(TODAY(),-$Y$17)),2,2),""""))"),"")</f>
        <v/>
      </c>
      <c r="Z121" s="310" t="str">
        <f>IFERROR(__xludf.DUMMYFUNCTION("IF(ISBLANK(B121),"""",IFERROR(I121/(INDEX(GOOGLEFINANCE(B121,""price"",WORKDAY(TODAY(),-$Z$17)),2,2))-1,""""))"),"")</f>
        <v/>
      </c>
      <c r="AA121" s="312" t="str">
        <f>IFERROR(__xludf.DUMMYFUNCTION("IF(ISBLANK(B121),"""",IFERROR(IFERROR(""$""&amp;Trunc(GOOGLEFINANCE(B121,""Marketcap"")/1000000000)&amp;"" B"",""$""&amp;Trunc(IMPORTXML(""https://coinmarketcap.com/currencies/""&amp;B121,$AJ$4)/1000000000)&amp;"" B""),""-""))"),"")</f>
        <v/>
      </c>
      <c r="AB121" s="13" t="str">
        <f>IFERROR(__xludf.DUMMYFUNCTION("IF(ISBLANK(B121),"""",IFERROR(GOOGLEFINANCE(B121,""pe""),""-""))"),"")</f>
        <v/>
      </c>
      <c r="AC121" s="313" t="str">
        <f>IFERROR(__xludf.DUMMYFUNCTION("SPARKLINE(INDEX(GOOGLEFINANCE(B121,""price"",workday(today(),-$AC$17),today()),,2),{""charttype"",""column"";""color"",""green""})
"),"#N/A")</f>
        <v>#N/A</v>
      </c>
      <c r="AD121" s="313" t="str">
        <f>IFERROR(__xludf.DUMMYFUNCTION("IF(ISBLANK(B121),"""",IFERROR(INDEX(IMPORTXML(""https://eresearch.fidelity.com/eresearch/goto/evaluate/snapshot.jhtml?symbols=""&amp;B121&amp;"""",""//div[@class='sub-heading']//span[@class='right']""),1),""Enter Manually"")
)"),"")</f>
        <v/>
      </c>
      <c r="AE121" s="314" t="str">
        <f t="shared" si="10"/>
        <v>Info</v>
      </c>
      <c r="AF121" s="329"/>
      <c r="AG121" s="320"/>
      <c r="AH121" s="13"/>
      <c r="AI121" s="13"/>
      <c r="AJ121" s="13"/>
      <c r="AK121" s="13"/>
      <c r="AL121" s="13"/>
      <c r="AM121" s="13"/>
      <c r="AN121" s="13"/>
      <c r="AO121" s="13"/>
      <c r="AP121" s="13"/>
    </row>
    <row r="122" ht="18.75" customHeight="1">
      <c r="A122" s="13"/>
      <c r="B122" s="327"/>
      <c r="C122" s="306" t="str">
        <f>IFERROR(__xludf.DUMMYFUNCTION("GOOGLEFINANCE(B122,""name"")
"),"#N/A")</f>
        <v>#N/A</v>
      </c>
      <c r="D122" s="306"/>
      <c r="E122" s="328"/>
      <c r="F122" s="13" t="str">
        <f t="shared" si="1"/>
        <v/>
      </c>
      <c r="G122" s="309" t="str">
        <f>IFERROR(__xludf.DUMMYFUNCTION("IF(ISBLANK(B122),"""",IFERROR(SPARKLINE(INDEX(GOOGLEFINANCE(B122,""price"",TODAY()-$G$17,TODAY()),,2),{""charttype"",""column"";""color"",""17a7e0""}),""""))"),"")</f>
        <v/>
      </c>
      <c r="I122" s="309" t="str">
        <f>IFERROR(__xludf.DUMMYFUNCTION("IFERROR(IF(B122="""","""",GOOGLEFINANCE(B122)),IFERROR(GOOGLEFINANCE(""CURRENCY:""&amp;""USD""&amp;$D$15)*IMPORTXML(""https://coinmarketcap.com/currencies/""&amp;B122,$AJ$3),IMPORTXML(""https://coinmarketcap.com/currencies/""&amp;B122,$AJ$3)))"),"")</f>
        <v/>
      </c>
      <c r="J122" s="310" t="str">
        <f t="shared" si="2"/>
        <v/>
      </c>
      <c r="K122" s="310" t="str">
        <f>IFERROR(__xludf.DUMMYFUNCTION("IFERROR(IF(ISBLANK(B122),"""",GOOGLEFINANCE(B122,""changepct"")/100),"""")"),"")</f>
        <v/>
      </c>
      <c r="L122" s="310" t="str">
        <f>IFERROR(__xludf.DUMMYFUNCTION("IF(ISBLANK(B122),"""",IFERROR((GOOGLEFINANCE(B122,""price"")/INDEX(GOOGLEFINANCE(B122,""price"",DATEVALUE(TODAY()-365) ),2,2)-1),""""))"),"")</f>
        <v/>
      </c>
      <c r="M122" s="310" t="str">
        <f>IFERROR(__xludf.DUMMYFUNCTION("IF(ISBLANK(B122),"""",IFERROR((GOOGLEFINANCE($D$13,""price"")/INDEX(GOOGLEFINANCE($D$13,""price"",DATEVALUE(TODAY()-365) ),2,2)-1),""""))"),"")</f>
        <v/>
      </c>
      <c r="N122" s="310" t="str">
        <f t="shared" si="3"/>
        <v/>
      </c>
      <c r="O122" s="311" t="str">
        <f>IFERROR(__xludf.DUMMYFUNCTION("IFERROR(IF(ISBLANK(B122),"""",GOOGLEFINANCE(B122,""low52"")),"""")"),"")</f>
        <v/>
      </c>
      <c r="P122" s="310" t="str">
        <f t="shared" si="4"/>
        <v/>
      </c>
      <c r="Q122" s="311" t="str">
        <f>IFERROR(__xludf.DUMMYFUNCTION("IFERROR(IF(ISBLANK(B122),"""",GOOGLEFINANCE(B122,""high52"")),"""")"),"")</f>
        <v/>
      </c>
      <c r="R122" s="310" t="str">
        <f t="shared" si="5"/>
        <v/>
      </c>
      <c r="S122" s="13" t="str">
        <f t="shared" si="6"/>
        <v/>
      </c>
      <c r="U122" s="13" t="str">
        <f t="shared" si="7"/>
        <v/>
      </c>
      <c r="W122" s="13" t="str">
        <f t="shared" si="8"/>
        <v/>
      </c>
      <c r="X122" s="310" t="str">
        <f t="shared" si="9"/>
        <v/>
      </c>
      <c r="Y122" s="311" t="str">
        <f>IFERROR(__xludf.DUMMYFUNCTION("IF(ISBLANK(B122),"""",IFERROR(INDEX(GOOGLEFINANCE(B122,""price"",WORKDAY(TODAY(),-$Y$17)),2,2),""""))"),"")</f>
        <v/>
      </c>
      <c r="Z122" s="310" t="str">
        <f>IFERROR(__xludf.DUMMYFUNCTION("IF(ISBLANK(B122),"""",IFERROR(I122/(INDEX(GOOGLEFINANCE(B122,""price"",WORKDAY(TODAY(),-$Z$17)),2,2))-1,""""))"),"")</f>
        <v/>
      </c>
      <c r="AA122" s="312" t="str">
        <f>IFERROR(__xludf.DUMMYFUNCTION("IF(ISBLANK(B122),"""",IFERROR(IFERROR(""$""&amp;Trunc(GOOGLEFINANCE(B122,""Marketcap"")/1000000000)&amp;"" B"",""$""&amp;Trunc(IMPORTXML(""https://coinmarketcap.com/currencies/""&amp;B122,$AJ$4)/1000000000)&amp;"" B""),""-""))"),"")</f>
        <v/>
      </c>
      <c r="AB122" s="13" t="str">
        <f>IFERROR(__xludf.DUMMYFUNCTION("IF(ISBLANK(B122),"""",IFERROR(GOOGLEFINANCE(B122,""pe""),""-""))"),"")</f>
        <v/>
      </c>
      <c r="AC122" s="313" t="str">
        <f>IFERROR(__xludf.DUMMYFUNCTION("SPARKLINE(INDEX(GOOGLEFINANCE(B122,""price"",workday(today(),-$AC$17),today()),,2),{""charttype"",""column"";""color"",""green""})
"),"#N/A")</f>
        <v>#N/A</v>
      </c>
      <c r="AD122" s="313" t="str">
        <f>IFERROR(__xludf.DUMMYFUNCTION("IF(ISBLANK(B122),"""",IFERROR(INDEX(IMPORTXML(""https://eresearch.fidelity.com/eresearch/goto/evaluate/snapshot.jhtml?symbols=""&amp;B122&amp;"""",""//div[@class='sub-heading']//span[@class='right']""),1),""Enter Manually"")
)"),"")</f>
        <v/>
      </c>
      <c r="AE122" s="314" t="str">
        <f t="shared" si="10"/>
        <v>Info</v>
      </c>
      <c r="AF122" s="329"/>
      <c r="AG122" s="320"/>
      <c r="AH122" s="13"/>
      <c r="AI122" s="13"/>
      <c r="AJ122" s="13"/>
      <c r="AK122" s="13"/>
      <c r="AL122" s="13"/>
      <c r="AM122" s="13"/>
      <c r="AN122" s="13"/>
      <c r="AO122" s="13"/>
      <c r="AP122" s="13"/>
    </row>
    <row r="123" ht="18.75" customHeight="1">
      <c r="A123" s="13"/>
      <c r="B123" s="327"/>
      <c r="C123" s="306" t="str">
        <f>IFERROR(__xludf.DUMMYFUNCTION("GOOGLEFINANCE(B123,""name"")
"),"#N/A")</f>
        <v>#N/A</v>
      </c>
      <c r="D123" s="306"/>
      <c r="E123" s="328"/>
      <c r="F123" s="13" t="str">
        <f t="shared" si="1"/>
        <v/>
      </c>
      <c r="G123" s="309" t="str">
        <f>IFERROR(__xludf.DUMMYFUNCTION("IF(ISBLANK(B123),"""",IFERROR(SPARKLINE(INDEX(GOOGLEFINANCE(B123,""price"",TODAY()-$G$17,TODAY()),,2),{""charttype"",""column"";""color"",""17a7e0""}),""""))"),"")</f>
        <v/>
      </c>
      <c r="I123" s="309" t="str">
        <f>IFERROR(__xludf.DUMMYFUNCTION("IFERROR(IF(B123="""","""",GOOGLEFINANCE(B123)),IFERROR(GOOGLEFINANCE(""CURRENCY:""&amp;""USD""&amp;$D$15)*IMPORTXML(""https://coinmarketcap.com/currencies/""&amp;B123,$AJ$3),IMPORTXML(""https://coinmarketcap.com/currencies/""&amp;B123,$AJ$3)))"),"")</f>
        <v/>
      </c>
      <c r="J123" s="310" t="str">
        <f t="shared" si="2"/>
        <v/>
      </c>
      <c r="K123" s="310" t="str">
        <f>IFERROR(__xludf.DUMMYFUNCTION("IFERROR(IF(ISBLANK(B123),"""",GOOGLEFINANCE(B123,""changepct"")/100),"""")"),"")</f>
        <v/>
      </c>
      <c r="L123" s="310" t="str">
        <f>IFERROR(__xludf.DUMMYFUNCTION("IF(ISBLANK(B123),"""",IFERROR((GOOGLEFINANCE(B123,""price"")/INDEX(GOOGLEFINANCE(B123,""price"",DATEVALUE(TODAY()-365) ),2,2)-1),""""))"),"")</f>
        <v/>
      </c>
      <c r="M123" s="310" t="str">
        <f>IFERROR(__xludf.DUMMYFUNCTION("IF(ISBLANK(B123),"""",IFERROR((GOOGLEFINANCE($D$13,""price"")/INDEX(GOOGLEFINANCE($D$13,""price"",DATEVALUE(TODAY()-365) ),2,2)-1),""""))"),"")</f>
        <v/>
      </c>
      <c r="N123" s="310" t="str">
        <f t="shared" si="3"/>
        <v/>
      </c>
      <c r="O123" s="311" t="str">
        <f>IFERROR(__xludf.DUMMYFUNCTION("IFERROR(IF(ISBLANK(B123),"""",GOOGLEFINANCE(B123,""low52"")),"""")"),"")</f>
        <v/>
      </c>
      <c r="P123" s="310" t="str">
        <f t="shared" si="4"/>
        <v/>
      </c>
      <c r="Q123" s="311" t="str">
        <f>IFERROR(__xludf.DUMMYFUNCTION("IFERROR(IF(ISBLANK(B123),"""",GOOGLEFINANCE(B123,""high52"")),"""")"),"")</f>
        <v/>
      </c>
      <c r="R123" s="310" t="str">
        <f t="shared" si="5"/>
        <v/>
      </c>
      <c r="S123" s="13" t="str">
        <f t="shared" si="6"/>
        <v/>
      </c>
      <c r="U123" s="13" t="str">
        <f t="shared" si="7"/>
        <v/>
      </c>
      <c r="W123" s="13" t="str">
        <f t="shared" si="8"/>
        <v/>
      </c>
      <c r="X123" s="310" t="str">
        <f t="shared" si="9"/>
        <v/>
      </c>
      <c r="Y123" s="311" t="str">
        <f>IFERROR(__xludf.DUMMYFUNCTION("IF(ISBLANK(B123),"""",IFERROR(INDEX(GOOGLEFINANCE(B123,""price"",WORKDAY(TODAY(),-$Y$17)),2,2),""""))"),"")</f>
        <v/>
      </c>
      <c r="Z123" s="310" t="str">
        <f>IFERROR(__xludf.DUMMYFUNCTION("IF(ISBLANK(B123),"""",IFERROR(I123/(INDEX(GOOGLEFINANCE(B123,""price"",WORKDAY(TODAY(),-$Z$17)),2,2))-1,""""))"),"")</f>
        <v/>
      </c>
      <c r="AA123" s="312" t="str">
        <f>IFERROR(__xludf.DUMMYFUNCTION("IF(ISBLANK(B123),"""",IFERROR(IFERROR(""$""&amp;Trunc(GOOGLEFINANCE(B123,""Marketcap"")/1000000000)&amp;"" B"",""$""&amp;Trunc(IMPORTXML(""https://coinmarketcap.com/currencies/""&amp;B123,$AJ$4)/1000000000)&amp;"" B""),""-""))"),"")</f>
        <v/>
      </c>
      <c r="AB123" s="13" t="str">
        <f>IFERROR(__xludf.DUMMYFUNCTION("IF(ISBLANK(B123),"""",IFERROR(GOOGLEFINANCE(B123,""pe""),""-""))"),"")</f>
        <v/>
      </c>
      <c r="AC123" s="313" t="str">
        <f>IFERROR(__xludf.DUMMYFUNCTION("SPARKLINE(INDEX(GOOGLEFINANCE(B123,""price"",workday(today(),-$AC$17),today()),,2),{""charttype"",""column"";""color"",""green""})
"),"#N/A")</f>
        <v>#N/A</v>
      </c>
      <c r="AD123" s="313" t="str">
        <f>IFERROR(__xludf.DUMMYFUNCTION("IF(ISBLANK(B123),"""",IFERROR(INDEX(IMPORTXML(""https://eresearch.fidelity.com/eresearch/goto/evaluate/snapshot.jhtml?symbols=""&amp;B123&amp;"""",""//div[@class='sub-heading']//span[@class='right']""),1),""Enter Manually"")
)"),"")</f>
        <v/>
      </c>
      <c r="AE123" s="314" t="str">
        <f t="shared" si="10"/>
        <v>Info</v>
      </c>
      <c r="AF123" s="329"/>
      <c r="AG123" s="320"/>
      <c r="AH123" s="13"/>
      <c r="AI123" s="13"/>
      <c r="AJ123" s="13"/>
      <c r="AK123" s="13"/>
      <c r="AL123" s="13"/>
      <c r="AM123" s="13"/>
      <c r="AN123" s="13"/>
      <c r="AO123" s="13"/>
      <c r="AP123" s="13"/>
    </row>
    <row r="124" ht="18.75" customHeight="1">
      <c r="A124" s="13"/>
      <c r="B124" s="327"/>
      <c r="C124" s="306" t="str">
        <f>IFERROR(__xludf.DUMMYFUNCTION("GOOGLEFINANCE(B124,""name"")
"),"#N/A")</f>
        <v>#N/A</v>
      </c>
      <c r="D124" s="306"/>
      <c r="E124" s="328"/>
      <c r="F124" s="13" t="str">
        <f t="shared" si="1"/>
        <v/>
      </c>
      <c r="G124" s="309" t="str">
        <f>IFERROR(__xludf.DUMMYFUNCTION("IF(ISBLANK(B124),"""",IFERROR(SPARKLINE(INDEX(GOOGLEFINANCE(B124,""price"",TODAY()-$G$17,TODAY()),,2),{""charttype"",""column"";""color"",""17a7e0""}),""""))"),"")</f>
        <v/>
      </c>
      <c r="I124" s="309" t="str">
        <f>IFERROR(__xludf.DUMMYFUNCTION("IFERROR(IF(B124="""","""",GOOGLEFINANCE(B124)),IFERROR(GOOGLEFINANCE(""CURRENCY:""&amp;""USD""&amp;$D$15)*IMPORTXML(""https://coinmarketcap.com/currencies/""&amp;B124,$AJ$3),IMPORTXML(""https://coinmarketcap.com/currencies/""&amp;B124,$AJ$3)))"),"")</f>
        <v/>
      </c>
      <c r="J124" s="310" t="str">
        <f t="shared" si="2"/>
        <v/>
      </c>
      <c r="K124" s="310" t="str">
        <f>IFERROR(__xludf.DUMMYFUNCTION("IFERROR(IF(ISBLANK(B124),"""",GOOGLEFINANCE(B124,""changepct"")/100),"""")"),"")</f>
        <v/>
      </c>
      <c r="L124" s="310" t="str">
        <f>IFERROR(__xludf.DUMMYFUNCTION("IF(ISBLANK(B124),"""",IFERROR((GOOGLEFINANCE(B124,""price"")/INDEX(GOOGLEFINANCE(B124,""price"",DATEVALUE(TODAY()-365) ),2,2)-1),""""))"),"")</f>
        <v/>
      </c>
      <c r="M124" s="310" t="str">
        <f>IFERROR(__xludf.DUMMYFUNCTION("IF(ISBLANK(B124),"""",IFERROR((GOOGLEFINANCE($D$13,""price"")/INDEX(GOOGLEFINANCE($D$13,""price"",DATEVALUE(TODAY()-365) ),2,2)-1),""""))"),"")</f>
        <v/>
      </c>
      <c r="N124" s="310" t="str">
        <f t="shared" si="3"/>
        <v/>
      </c>
      <c r="O124" s="311" t="str">
        <f>IFERROR(__xludf.DUMMYFUNCTION("IFERROR(IF(ISBLANK(B124),"""",GOOGLEFINANCE(B124,""low52"")),"""")"),"")</f>
        <v/>
      </c>
      <c r="P124" s="310" t="str">
        <f t="shared" si="4"/>
        <v/>
      </c>
      <c r="Q124" s="311" t="str">
        <f>IFERROR(__xludf.DUMMYFUNCTION("IFERROR(IF(ISBLANK(B124),"""",GOOGLEFINANCE(B124,""high52"")),"""")"),"")</f>
        <v/>
      </c>
      <c r="R124" s="310" t="str">
        <f t="shared" si="5"/>
        <v/>
      </c>
      <c r="S124" s="13" t="str">
        <f t="shared" si="6"/>
        <v/>
      </c>
      <c r="U124" s="13" t="str">
        <f t="shared" si="7"/>
        <v/>
      </c>
      <c r="W124" s="13" t="str">
        <f t="shared" si="8"/>
        <v/>
      </c>
      <c r="X124" s="310" t="str">
        <f t="shared" si="9"/>
        <v/>
      </c>
      <c r="Y124" s="311" t="str">
        <f>IFERROR(__xludf.DUMMYFUNCTION("IF(ISBLANK(B124),"""",IFERROR(INDEX(GOOGLEFINANCE(B124,""price"",WORKDAY(TODAY(),-$Y$17)),2,2),""""))"),"")</f>
        <v/>
      </c>
      <c r="Z124" s="310" t="str">
        <f>IFERROR(__xludf.DUMMYFUNCTION("IF(ISBLANK(B124),"""",IFERROR(I124/(INDEX(GOOGLEFINANCE(B124,""price"",WORKDAY(TODAY(),-$Z$17)),2,2))-1,""""))"),"")</f>
        <v/>
      </c>
      <c r="AA124" s="312" t="str">
        <f>IFERROR(__xludf.DUMMYFUNCTION("IF(ISBLANK(B124),"""",IFERROR(IFERROR(""$""&amp;Trunc(GOOGLEFINANCE(B124,""Marketcap"")/1000000000)&amp;"" B"",""$""&amp;Trunc(IMPORTXML(""https://coinmarketcap.com/currencies/""&amp;B124,$AJ$4)/1000000000)&amp;"" B""),""-""))"),"")</f>
        <v/>
      </c>
      <c r="AB124" s="13" t="str">
        <f>IFERROR(__xludf.DUMMYFUNCTION("IF(ISBLANK(B124),"""",IFERROR(GOOGLEFINANCE(B124,""pe""),""-""))"),"")</f>
        <v/>
      </c>
      <c r="AC124" s="313" t="str">
        <f>IFERROR(__xludf.DUMMYFUNCTION("SPARKLINE(INDEX(GOOGLEFINANCE(B124,""price"",workday(today(),-$AC$17),today()),,2),{""charttype"",""column"";""color"",""green""})
"),"#N/A")</f>
        <v>#N/A</v>
      </c>
      <c r="AD124" s="313" t="str">
        <f>IFERROR(__xludf.DUMMYFUNCTION("IF(ISBLANK(B124),"""",IFERROR(INDEX(IMPORTXML(""https://eresearch.fidelity.com/eresearch/goto/evaluate/snapshot.jhtml?symbols=""&amp;B124&amp;"""",""//div[@class='sub-heading']//span[@class='right']""),1),""Enter Manually"")
)"),"")</f>
        <v/>
      </c>
      <c r="AE124" s="314" t="str">
        <f t="shared" si="10"/>
        <v>Info</v>
      </c>
      <c r="AF124" s="329"/>
      <c r="AG124" s="320"/>
      <c r="AH124" s="13"/>
      <c r="AI124" s="13"/>
      <c r="AJ124" s="13"/>
      <c r="AK124" s="13"/>
      <c r="AL124" s="13"/>
      <c r="AM124" s="13"/>
      <c r="AN124" s="13"/>
      <c r="AO124" s="13"/>
      <c r="AP124" s="13"/>
    </row>
    <row r="125" ht="18.75" customHeight="1">
      <c r="A125" s="13"/>
      <c r="B125" s="327"/>
      <c r="C125" s="306" t="str">
        <f>IFERROR(__xludf.DUMMYFUNCTION("GOOGLEFINANCE(B125,""name"")
"),"#N/A")</f>
        <v>#N/A</v>
      </c>
      <c r="D125" s="306"/>
      <c r="E125" s="328"/>
      <c r="F125" s="13" t="str">
        <f t="shared" si="1"/>
        <v/>
      </c>
      <c r="G125" s="309" t="str">
        <f>IFERROR(__xludf.DUMMYFUNCTION("IF(ISBLANK(B125),"""",IFERROR(SPARKLINE(INDEX(GOOGLEFINANCE(B125,""price"",TODAY()-$G$17,TODAY()),,2),{""charttype"",""column"";""color"",""17a7e0""}),""""))"),"")</f>
        <v/>
      </c>
      <c r="I125" s="309" t="str">
        <f>IFERROR(__xludf.DUMMYFUNCTION("IFERROR(IF(B125="""","""",GOOGLEFINANCE(B125)),IFERROR(GOOGLEFINANCE(""CURRENCY:""&amp;""USD""&amp;$D$15)*IMPORTXML(""https://coinmarketcap.com/currencies/""&amp;B125,$AJ$3),IMPORTXML(""https://coinmarketcap.com/currencies/""&amp;B125,$AJ$3)))"),"")</f>
        <v/>
      </c>
      <c r="J125" s="310" t="str">
        <f t="shared" si="2"/>
        <v/>
      </c>
      <c r="K125" s="310" t="str">
        <f>IFERROR(__xludf.DUMMYFUNCTION("IFERROR(IF(ISBLANK(B125),"""",GOOGLEFINANCE(B125,""changepct"")/100),"""")"),"")</f>
        <v/>
      </c>
      <c r="L125" s="310" t="str">
        <f>IFERROR(__xludf.DUMMYFUNCTION("IF(ISBLANK(B125),"""",IFERROR((GOOGLEFINANCE(B125,""price"")/INDEX(GOOGLEFINANCE(B125,""price"",DATEVALUE(TODAY()-365) ),2,2)-1),""""))"),"")</f>
        <v/>
      </c>
      <c r="M125" s="310" t="str">
        <f>IFERROR(__xludf.DUMMYFUNCTION("IF(ISBLANK(B125),"""",IFERROR((GOOGLEFINANCE($D$13,""price"")/INDEX(GOOGLEFINANCE($D$13,""price"",DATEVALUE(TODAY()-365) ),2,2)-1),""""))"),"")</f>
        <v/>
      </c>
      <c r="N125" s="310" t="str">
        <f t="shared" si="3"/>
        <v/>
      </c>
      <c r="O125" s="311" t="str">
        <f>IFERROR(__xludf.DUMMYFUNCTION("IFERROR(IF(ISBLANK(B125),"""",GOOGLEFINANCE(B125,""low52"")),"""")"),"")</f>
        <v/>
      </c>
      <c r="P125" s="310" t="str">
        <f t="shared" si="4"/>
        <v/>
      </c>
      <c r="Q125" s="311" t="str">
        <f>IFERROR(__xludf.DUMMYFUNCTION("IFERROR(IF(ISBLANK(B125),"""",GOOGLEFINANCE(B125,""high52"")),"""")"),"")</f>
        <v/>
      </c>
      <c r="R125" s="310" t="str">
        <f t="shared" si="5"/>
        <v/>
      </c>
      <c r="S125" s="13" t="str">
        <f t="shared" si="6"/>
        <v/>
      </c>
      <c r="U125" s="13" t="str">
        <f t="shared" si="7"/>
        <v/>
      </c>
      <c r="W125" s="13" t="str">
        <f t="shared" si="8"/>
        <v/>
      </c>
      <c r="X125" s="310" t="str">
        <f t="shared" si="9"/>
        <v/>
      </c>
      <c r="Y125" s="311" t="str">
        <f>IFERROR(__xludf.DUMMYFUNCTION("IF(ISBLANK(B125),"""",IFERROR(INDEX(GOOGLEFINANCE(B125,""price"",WORKDAY(TODAY(),-$Y$17)),2,2),""""))"),"")</f>
        <v/>
      </c>
      <c r="Z125" s="310" t="str">
        <f>IFERROR(__xludf.DUMMYFUNCTION("IF(ISBLANK(B125),"""",IFERROR(I125/(INDEX(GOOGLEFINANCE(B125,""price"",WORKDAY(TODAY(),-$Z$17)),2,2))-1,""""))"),"")</f>
        <v/>
      </c>
      <c r="AA125" s="312" t="str">
        <f>IFERROR(__xludf.DUMMYFUNCTION("IF(ISBLANK(B125),"""",IFERROR(IFERROR(""$""&amp;Trunc(GOOGLEFINANCE(B125,""Marketcap"")/1000000000)&amp;"" B"",""$""&amp;Trunc(IMPORTXML(""https://coinmarketcap.com/currencies/""&amp;B125,$AJ$4)/1000000000)&amp;"" B""),""-""))"),"")</f>
        <v/>
      </c>
      <c r="AB125" s="13" t="str">
        <f>IFERROR(__xludf.DUMMYFUNCTION("IF(ISBLANK(B125),"""",IFERROR(GOOGLEFINANCE(B125,""pe""),""-""))"),"")</f>
        <v/>
      </c>
      <c r="AC125" s="313" t="str">
        <f>IFERROR(__xludf.DUMMYFUNCTION("SPARKLINE(INDEX(GOOGLEFINANCE(B125,""price"",workday(today(),-$AC$17),today()),,2),{""charttype"",""column"";""color"",""green""})
"),"#N/A")</f>
        <v>#N/A</v>
      </c>
      <c r="AD125" s="313" t="str">
        <f>IFERROR(__xludf.DUMMYFUNCTION("IF(ISBLANK(B125),"""",IFERROR(INDEX(IMPORTXML(""https://eresearch.fidelity.com/eresearch/goto/evaluate/snapshot.jhtml?symbols=""&amp;B125&amp;"""",""//div[@class='sub-heading']//span[@class='right']""),1),""Enter Manually"")
)"),"")</f>
        <v/>
      </c>
      <c r="AE125" s="314" t="str">
        <f t="shared" si="10"/>
        <v>Info</v>
      </c>
      <c r="AF125" s="329"/>
      <c r="AG125" s="320"/>
      <c r="AH125" s="13"/>
      <c r="AI125" s="13"/>
      <c r="AJ125" s="13"/>
      <c r="AK125" s="13"/>
      <c r="AL125" s="13"/>
      <c r="AM125" s="13"/>
      <c r="AN125" s="13"/>
      <c r="AO125" s="13"/>
      <c r="AP125" s="13"/>
    </row>
    <row r="126" ht="18.75" customHeight="1">
      <c r="A126" s="13"/>
      <c r="B126" s="327"/>
      <c r="C126" s="306" t="str">
        <f>IFERROR(__xludf.DUMMYFUNCTION("GOOGLEFINANCE(B126,""name"")
"),"#N/A")</f>
        <v>#N/A</v>
      </c>
      <c r="D126" s="306"/>
      <c r="E126" s="328"/>
      <c r="F126" s="13" t="str">
        <f t="shared" si="1"/>
        <v/>
      </c>
      <c r="G126" s="309" t="str">
        <f>IFERROR(__xludf.DUMMYFUNCTION("IF(ISBLANK(B126),"""",IFERROR(SPARKLINE(INDEX(GOOGLEFINANCE(B126,""price"",TODAY()-$G$17,TODAY()),,2),{""charttype"",""column"";""color"",""17a7e0""}),""""))"),"")</f>
        <v/>
      </c>
      <c r="I126" s="309" t="str">
        <f>IFERROR(__xludf.DUMMYFUNCTION("IFERROR(IF(B126="""","""",GOOGLEFINANCE(B126)),IFERROR(GOOGLEFINANCE(""CURRENCY:""&amp;""USD""&amp;$D$15)*IMPORTXML(""https://coinmarketcap.com/currencies/""&amp;B126,$AJ$3),IMPORTXML(""https://coinmarketcap.com/currencies/""&amp;B126,$AJ$3)))"),"")</f>
        <v/>
      </c>
      <c r="J126" s="310" t="str">
        <f t="shared" si="2"/>
        <v/>
      </c>
      <c r="K126" s="310" t="str">
        <f>IFERROR(__xludf.DUMMYFUNCTION("IFERROR(IF(ISBLANK(B126),"""",GOOGLEFINANCE(B126,""changepct"")/100),"""")"),"")</f>
        <v/>
      </c>
      <c r="L126" s="310" t="str">
        <f>IFERROR(__xludf.DUMMYFUNCTION("IF(ISBLANK(B126),"""",IFERROR((GOOGLEFINANCE(B126,""price"")/INDEX(GOOGLEFINANCE(B126,""price"",DATEVALUE(TODAY()-365) ),2,2)-1),""""))"),"")</f>
        <v/>
      </c>
      <c r="M126" s="310" t="str">
        <f>IFERROR(__xludf.DUMMYFUNCTION("IF(ISBLANK(B126),"""",IFERROR((GOOGLEFINANCE($D$13,""price"")/INDEX(GOOGLEFINANCE($D$13,""price"",DATEVALUE(TODAY()-365) ),2,2)-1),""""))"),"")</f>
        <v/>
      </c>
      <c r="N126" s="310" t="str">
        <f t="shared" si="3"/>
        <v/>
      </c>
      <c r="O126" s="311" t="str">
        <f>IFERROR(__xludf.DUMMYFUNCTION("IFERROR(IF(ISBLANK(B126),"""",GOOGLEFINANCE(B126,""low52"")),"""")"),"")</f>
        <v/>
      </c>
      <c r="P126" s="310" t="str">
        <f t="shared" si="4"/>
        <v/>
      </c>
      <c r="Q126" s="311" t="str">
        <f>IFERROR(__xludf.DUMMYFUNCTION("IFERROR(IF(ISBLANK(B126),"""",GOOGLEFINANCE(B126,""high52"")),"""")"),"")</f>
        <v/>
      </c>
      <c r="R126" s="310" t="str">
        <f t="shared" si="5"/>
        <v/>
      </c>
      <c r="S126" s="13" t="str">
        <f t="shared" si="6"/>
        <v/>
      </c>
      <c r="U126" s="13" t="str">
        <f t="shared" si="7"/>
        <v/>
      </c>
      <c r="W126" s="13" t="str">
        <f t="shared" si="8"/>
        <v/>
      </c>
      <c r="X126" s="310" t="str">
        <f t="shared" si="9"/>
        <v/>
      </c>
      <c r="Y126" s="311" t="str">
        <f>IFERROR(__xludf.DUMMYFUNCTION("IF(ISBLANK(B126),"""",IFERROR(INDEX(GOOGLEFINANCE(B126,""price"",WORKDAY(TODAY(),-$Y$17)),2,2),""""))"),"")</f>
        <v/>
      </c>
      <c r="Z126" s="310" t="str">
        <f>IFERROR(__xludf.DUMMYFUNCTION("IF(ISBLANK(B126),"""",IFERROR(I126/(INDEX(GOOGLEFINANCE(B126,""price"",WORKDAY(TODAY(),-$Z$17)),2,2))-1,""""))"),"")</f>
        <v/>
      </c>
      <c r="AA126" s="312" t="str">
        <f>IFERROR(__xludf.DUMMYFUNCTION("IF(ISBLANK(B126),"""",IFERROR(IFERROR(""$""&amp;Trunc(GOOGLEFINANCE(B126,""Marketcap"")/1000000000)&amp;"" B"",""$""&amp;Trunc(IMPORTXML(""https://coinmarketcap.com/currencies/""&amp;B126,$AJ$4)/1000000000)&amp;"" B""),""-""))"),"")</f>
        <v/>
      </c>
      <c r="AB126" s="13" t="str">
        <f>IFERROR(__xludf.DUMMYFUNCTION("IF(ISBLANK(B126),"""",IFERROR(GOOGLEFINANCE(B126,""pe""),""-""))"),"")</f>
        <v/>
      </c>
      <c r="AC126" s="313" t="str">
        <f>IFERROR(__xludf.DUMMYFUNCTION("SPARKLINE(INDEX(GOOGLEFINANCE(B126,""price"",workday(today(),-$AC$17),today()),,2),{""charttype"",""column"";""color"",""green""})
"),"#N/A")</f>
        <v>#N/A</v>
      </c>
      <c r="AD126" s="313" t="str">
        <f>IFERROR(__xludf.DUMMYFUNCTION("IF(ISBLANK(B126),"""",IFERROR(INDEX(IMPORTXML(""https://eresearch.fidelity.com/eresearch/goto/evaluate/snapshot.jhtml?symbols=""&amp;B126&amp;"""",""//div[@class='sub-heading']//span[@class='right']""),1),""Enter Manually"")
)"),"")</f>
        <v/>
      </c>
      <c r="AE126" s="314" t="str">
        <f t="shared" si="10"/>
        <v>Info</v>
      </c>
      <c r="AF126" s="329"/>
      <c r="AG126" s="320"/>
      <c r="AH126" s="13"/>
      <c r="AI126" s="13"/>
      <c r="AJ126" s="13"/>
      <c r="AK126" s="13"/>
      <c r="AL126" s="13"/>
      <c r="AM126" s="13"/>
      <c r="AN126" s="13"/>
      <c r="AO126" s="13"/>
      <c r="AP126" s="13"/>
    </row>
    <row r="127" ht="18.75" customHeight="1">
      <c r="A127" s="13"/>
      <c r="B127" s="327"/>
      <c r="C127" s="306" t="str">
        <f>IFERROR(__xludf.DUMMYFUNCTION("GOOGLEFINANCE(B127,""name"")
"),"#N/A")</f>
        <v>#N/A</v>
      </c>
      <c r="D127" s="306"/>
      <c r="E127" s="328"/>
      <c r="F127" s="13" t="str">
        <f t="shared" si="1"/>
        <v/>
      </c>
      <c r="G127" s="309" t="str">
        <f>IFERROR(__xludf.DUMMYFUNCTION("IF(ISBLANK(B127),"""",IFERROR(SPARKLINE(INDEX(GOOGLEFINANCE(B127,""price"",TODAY()-$G$17,TODAY()),,2),{""charttype"",""column"";""color"",""17a7e0""}),""""))"),"")</f>
        <v/>
      </c>
      <c r="I127" s="309" t="str">
        <f>IFERROR(__xludf.DUMMYFUNCTION("IFERROR(IF(B127="""","""",GOOGLEFINANCE(B127)),IFERROR(GOOGLEFINANCE(""CURRENCY:""&amp;""USD""&amp;$D$15)*IMPORTXML(""https://coinmarketcap.com/currencies/""&amp;B127,$AJ$3),IMPORTXML(""https://coinmarketcap.com/currencies/""&amp;B127,$AJ$3)))"),"")</f>
        <v/>
      </c>
      <c r="J127" s="310" t="str">
        <f t="shared" si="2"/>
        <v/>
      </c>
      <c r="K127" s="310" t="str">
        <f>IFERROR(__xludf.DUMMYFUNCTION("IFERROR(IF(ISBLANK(B127),"""",GOOGLEFINANCE(B127,""changepct"")/100),"""")"),"")</f>
        <v/>
      </c>
      <c r="L127" s="310" t="str">
        <f>IFERROR(__xludf.DUMMYFUNCTION("IF(ISBLANK(B127),"""",IFERROR((GOOGLEFINANCE(B127,""price"")/INDEX(GOOGLEFINANCE(B127,""price"",DATEVALUE(TODAY()-365) ),2,2)-1),""""))"),"")</f>
        <v/>
      </c>
      <c r="M127" s="310" t="str">
        <f>IFERROR(__xludf.DUMMYFUNCTION("IF(ISBLANK(B127),"""",IFERROR((GOOGLEFINANCE($D$13,""price"")/INDEX(GOOGLEFINANCE($D$13,""price"",DATEVALUE(TODAY()-365) ),2,2)-1),""""))"),"")</f>
        <v/>
      </c>
      <c r="N127" s="310" t="str">
        <f t="shared" si="3"/>
        <v/>
      </c>
      <c r="O127" s="311" t="str">
        <f>IFERROR(__xludf.DUMMYFUNCTION("IFERROR(IF(ISBLANK(B127),"""",GOOGLEFINANCE(B127,""low52"")),"""")"),"")</f>
        <v/>
      </c>
      <c r="P127" s="310" t="str">
        <f t="shared" si="4"/>
        <v/>
      </c>
      <c r="Q127" s="311" t="str">
        <f>IFERROR(__xludf.DUMMYFUNCTION("IFERROR(IF(ISBLANK(B127),"""",GOOGLEFINANCE(B127,""high52"")),"""")"),"")</f>
        <v/>
      </c>
      <c r="R127" s="310" t="str">
        <f t="shared" si="5"/>
        <v/>
      </c>
      <c r="S127" s="13" t="str">
        <f t="shared" si="6"/>
        <v/>
      </c>
      <c r="U127" s="13" t="str">
        <f t="shared" si="7"/>
        <v/>
      </c>
      <c r="W127" s="13" t="str">
        <f t="shared" si="8"/>
        <v/>
      </c>
      <c r="X127" s="310" t="str">
        <f t="shared" si="9"/>
        <v/>
      </c>
      <c r="Y127" s="311" t="str">
        <f>IFERROR(__xludf.DUMMYFUNCTION("IF(ISBLANK(B127),"""",IFERROR(INDEX(GOOGLEFINANCE(B127,""price"",WORKDAY(TODAY(),-$Y$17)),2,2),""""))"),"")</f>
        <v/>
      </c>
      <c r="Z127" s="310" t="str">
        <f>IFERROR(__xludf.DUMMYFUNCTION("IF(ISBLANK(B127),"""",IFERROR(I127/(INDEX(GOOGLEFINANCE(B127,""price"",WORKDAY(TODAY(),-$Z$17)),2,2))-1,""""))"),"")</f>
        <v/>
      </c>
      <c r="AA127" s="312" t="str">
        <f>IFERROR(__xludf.DUMMYFUNCTION("IF(ISBLANK(B127),"""",IFERROR(IFERROR(""$""&amp;Trunc(GOOGLEFINANCE(B127,""Marketcap"")/1000000000)&amp;"" B"",""$""&amp;Trunc(IMPORTXML(""https://coinmarketcap.com/currencies/""&amp;B127,$AJ$4)/1000000000)&amp;"" B""),""-""))"),"")</f>
        <v/>
      </c>
      <c r="AB127" s="13" t="str">
        <f>IFERROR(__xludf.DUMMYFUNCTION("IF(ISBLANK(B127),"""",IFERROR(GOOGLEFINANCE(B127,""pe""),""-""))"),"")</f>
        <v/>
      </c>
      <c r="AC127" s="313" t="str">
        <f>IFERROR(__xludf.DUMMYFUNCTION("SPARKLINE(INDEX(GOOGLEFINANCE(B127,""price"",workday(today(),-$AC$17),today()),,2),{""charttype"",""column"";""color"",""green""})
"),"#N/A")</f>
        <v>#N/A</v>
      </c>
      <c r="AD127" s="313" t="str">
        <f>IFERROR(__xludf.DUMMYFUNCTION("IF(ISBLANK(B127),"""",IFERROR(INDEX(IMPORTXML(""https://eresearch.fidelity.com/eresearch/goto/evaluate/snapshot.jhtml?symbols=""&amp;B127&amp;"""",""//div[@class='sub-heading']//span[@class='right']""),1),""Enter Manually"")
)"),"")</f>
        <v/>
      </c>
      <c r="AE127" s="314" t="str">
        <f t="shared" si="10"/>
        <v>Info</v>
      </c>
      <c r="AF127" s="329"/>
      <c r="AG127" s="320"/>
      <c r="AH127" s="13"/>
      <c r="AI127" s="13"/>
      <c r="AJ127" s="13"/>
      <c r="AK127" s="13"/>
      <c r="AL127" s="13"/>
      <c r="AM127" s="13"/>
      <c r="AN127" s="13"/>
      <c r="AO127" s="13"/>
      <c r="AP127" s="13"/>
    </row>
    <row r="128" ht="18.75" customHeight="1">
      <c r="A128" s="13"/>
      <c r="B128" s="327"/>
      <c r="C128" s="306" t="str">
        <f>IFERROR(__xludf.DUMMYFUNCTION("GOOGLEFINANCE(B128,""name"")
"),"#N/A")</f>
        <v>#N/A</v>
      </c>
      <c r="D128" s="306"/>
      <c r="E128" s="328"/>
      <c r="F128" s="13" t="str">
        <f t="shared" si="1"/>
        <v/>
      </c>
      <c r="G128" s="309" t="str">
        <f>IFERROR(__xludf.DUMMYFUNCTION("IF(ISBLANK(B128),"""",IFERROR(SPARKLINE(INDEX(GOOGLEFINANCE(B128,""price"",TODAY()-$G$17,TODAY()),,2),{""charttype"",""column"";""color"",""17a7e0""}),""""))"),"")</f>
        <v/>
      </c>
      <c r="I128" s="309" t="str">
        <f>IFERROR(__xludf.DUMMYFUNCTION("IFERROR(IF(B128="""","""",GOOGLEFINANCE(B128)),IFERROR(GOOGLEFINANCE(""CURRENCY:""&amp;""USD""&amp;$D$15)*IMPORTXML(""https://coinmarketcap.com/currencies/""&amp;B128,$AJ$3),IMPORTXML(""https://coinmarketcap.com/currencies/""&amp;B128,$AJ$3)))"),"")</f>
        <v/>
      </c>
      <c r="J128" s="310" t="str">
        <f t="shared" si="2"/>
        <v/>
      </c>
      <c r="K128" s="310" t="str">
        <f>IFERROR(__xludf.DUMMYFUNCTION("IFERROR(IF(ISBLANK(B128),"""",GOOGLEFINANCE(B128,""changepct"")/100),"""")"),"")</f>
        <v/>
      </c>
      <c r="L128" s="310" t="str">
        <f>IFERROR(__xludf.DUMMYFUNCTION("IF(ISBLANK(B128),"""",IFERROR((GOOGLEFINANCE(B128,""price"")/INDEX(GOOGLEFINANCE(B128,""price"",DATEVALUE(TODAY()-365) ),2,2)-1),""""))"),"")</f>
        <v/>
      </c>
      <c r="M128" s="310" t="str">
        <f>IFERROR(__xludf.DUMMYFUNCTION("IF(ISBLANK(B128),"""",IFERROR((GOOGLEFINANCE($D$13,""price"")/INDEX(GOOGLEFINANCE($D$13,""price"",DATEVALUE(TODAY()-365) ),2,2)-1),""""))"),"")</f>
        <v/>
      </c>
      <c r="N128" s="310" t="str">
        <f t="shared" si="3"/>
        <v/>
      </c>
      <c r="O128" s="311" t="str">
        <f>IFERROR(__xludf.DUMMYFUNCTION("IFERROR(IF(ISBLANK(B128),"""",GOOGLEFINANCE(B128,""low52"")),"""")"),"")</f>
        <v/>
      </c>
      <c r="P128" s="310" t="str">
        <f t="shared" si="4"/>
        <v/>
      </c>
      <c r="Q128" s="311" t="str">
        <f>IFERROR(__xludf.DUMMYFUNCTION("IFERROR(IF(ISBLANK(B128),"""",GOOGLEFINANCE(B128,""high52"")),"""")"),"")</f>
        <v/>
      </c>
      <c r="R128" s="310" t="str">
        <f t="shared" si="5"/>
        <v/>
      </c>
      <c r="S128" s="13" t="str">
        <f t="shared" si="6"/>
        <v/>
      </c>
      <c r="U128" s="13" t="str">
        <f t="shared" si="7"/>
        <v/>
      </c>
      <c r="W128" s="13" t="str">
        <f t="shared" si="8"/>
        <v/>
      </c>
      <c r="X128" s="310" t="str">
        <f t="shared" si="9"/>
        <v/>
      </c>
      <c r="Y128" s="311" t="str">
        <f>IFERROR(__xludf.DUMMYFUNCTION("IF(ISBLANK(B128),"""",IFERROR(INDEX(GOOGLEFINANCE(B128,""price"",WORKDAY(TODAY(),-$Y$17)),2,2),""""))"),"")</f>
        <v/>
      </c>
      <c r="Z128" s="310" t="str">
        <f>IFERROR(__xludf.DUMMYFUNCTION("IF(ISBLANK(B128),"""",IFERROR(I128/(INDEX(GOOGLEFINANCE(B128,""price"",WORKDAY(TODAY(),-$Z$17)),2,2))-1,""""))"),"")</f>
        <v/>
      </c>
      <c r="AA128" s="312" t="str">
        <f>IFERROR(__xludf.DUMMYFUNCTION("IF(ISBLANK(B128),"""",IFERROR(IFERROR(""$""&amp;Trunc(GOOGLEFINANCE(B128,""Marketcap"")/1000000000)&amp;"" B"",""$""&amp;Trunc(IMPORTXML(""https://coinmarketcap.com/currencies/""&amp;B128,$AJ$4)/1000000000)&amp;"" B""),""-""))"),"")</f>
        <v/>
      </c>
      <c r="AB128" s="13" t="str">
        <f>IFERROR(__xludf.DUMMYFUNCTION("IF(ISBLANK(B128),"""",IFERROR(GOOGLEFINANCE(B128,""pe""),""-""))"),"")</f>
        <v/>
      </c>
      <c r="AC128" s="313" t="str">
        <f>IFERROR(__xludf.DUMMYFUNCTION("SPARKLINE(INDEX(GOOGLEFINANCE(B128,""price"",workday(today(),-$AC$17),today()),,2),{""charttype"",""column"";""color"",""green""})
"),"#N/A")</f>
        <v>#N/A</v>
      </c>
      <c r="AD128" s="313" t="str">
        <f>IFERROR(__xludf.DUMMYFUNCTION("IF(ISBLANK(B128),"""",IFERROR(INDEX(IMPORTXML(""https://eresearch.fidelity.com/eresearch/goto/evaluate/snapshot.jhtml?symbols=""&amp;B128&amp;"""",""//div[@class='sub-heading']//span[@class='right']""),1),""Enter Manually"")
)"),"")</f>
        <v/>
      </c>
      <c r="AE128" s="314" t="str">
        <f t="shared" si="10"/>
        <v>Info</v>
      </c>
      <c r="AF128" s="329"/>
      <c r="AG128" s="320"/>
      <c r="AH128" s="13"/>
      <c r="AI128" s="13"/>
      <c r="AJ128" s="13"/>
      <c r="AK128" s="13"/>
      <c r="AL128" s="13"/>
      <c r="AM128" s="13"/>
      <c r="AN128" s="13"/>
      <c r="AO128" s="13"/>
      <c r="AP128" s="13"/>
    </row>
    <row r="129" ht="18.75" customHeight="1">
      <c r="A129" s="13"/>
      <c r="B129" s="327"/>
      <c r="C129" s="306" t="str">
        <f>IFERROR(__xludf.DUMMYFUNCTION("GOOGLEFINANCE(B129,""name"")
"),"#N/A")</f>
        <v>#N/A</v>
      </c>
      <c r="D129" s="306"/>
      <c r="E129" s="328"/>
      <c r="F129" s="13" t="str">
        <f t="shared" si="1"/>
        <v/>
      </c>
      <c r="G129" s="309" t="str">
        <f>IFERROR(__xludf.DUMMYFUNCTION("IF(ISBLANK(B129),"""",IFERROR(SPARKLINE(INDEX(GOOGLEFINANCE(B129,""price"",TODAY()-$G$17,TODAY()),,2),{""charttype"",""column"";""color"",""17a7e0""}),""""))"),"")</f>
        <v/>
      </c>
      <c r="I129" s="309" t="str">
        <f>IFERROR(__xludf.DUMMYFUNCTION("IFERROR(IF(B129="""","""",GOOGLEFINANCE(B129)),IFERROR(GOOGLEFINANCE(""CURRENCY:""&amp;""USD""&amp;$D$15)*IMPORTXML(""https://coinmarketcap.com/currencies/""&amp;B129,$AJ$3),IMPORTXML(""https://coinmarketcap.com/currencies/""&amp;B129,$AJ$3)))"),"")</f>
        <v/>
      </c>
      <c r="J129" s="310" t="str">
        <f t="shared" si="2"/>
        <v/>
      </c>
      <c r="K129" s="310" t="str">
        <f>IFERROR(__xludf.DUMMYFUNCTION("IFERROR(IF(ISBLANK(B129),"""",GOOGLEFINANCE(B129,""changepct"")/100),"""")"),"")</f>
        <v/>
      </c>
      <c r="L129" s="310" t="str">
        <f>IFERROR(__xludf.DUMMYFUNCTION("IF(ISBLANK(B129),"""",IFERROR((GOOGLEFINANCE(B129,""price"")/INDEX(GOOGLEFINANCE(B129,""price"",DATEVALUE(TODAY()-365) ),2,2)-1),""""))"),"")</f>
        <v/>
      </c>
      <c r="M129" s="310" t="str">
        <f>IFERROR(__xludf.DUMMYFUNCTION("IF(ISBLANK(B129),"""",IFERROR((GOOGLEFINANCE($D$13,""price"")/INDEX(GOOGLEFINANCE($D$13,""price"",DATEVALUE(TODAY()-365) ),2,2)-1),""""))"),"")</f>
        <v/>
      </c>
      <c r="N129" s="310" t="str">
        <f t="shared" si="3"/>
        <v/>
      </c>
      <c r="O129" s="311" t="str">
        <f>IFERROR(__xludf.DUMMYFUNCTION("IFERROR(IF(ISBLANK(B129),"""",GOOGLEFINANCE(B129,""low52"")),"""")"),"")</f>
        <v/>
      </c>
      <c r="P129" s="310" t="str">
        <f t="shared" si="4"/>
        <v/>
      </c>
      <c r="Q129" s="311" t="str">
        <f>IFERROR(__xludf.DUMMYFUNCTION("IFERROR(IF(ISBLANK(B129),"""",GOOGLEFINANCE(B129,""high52"")),"""")"),"")</f>
        <v/>
      </c>
      <c r="R129" s="310" t="str">
        <f t="shared" si="5"/>
        <v/>
      </c>
      <c r="S129" s="13" t="str">
        <f t="shared" si="6"/>
        <v/>
      </c>
      <c r="U129" s="13" t="str">
        <f t="shared" si="7"/>
        <v/>
      </c>
      <c r="W129" s="13" t="str">
        <f t="shared" si="8"/>
        <v/>
      </c>
      <c r="X129" s="310" t="str">
        <f t="shared" si="9"/>
        <v/>
      </c>
      <c r="Y129" s="311" t="str">
        <f>IFERROR(__xludf.DUMMYFUNCTION("IF(ISBLANK(B129),"""",IFERROR(INDEX(GOOGLEFINANCE(B129,""price"",WORKDAY(TODAY(),-$Y$17)),2,2),""""))"),"")</f>
        <v/>
      </c>
      <c r="Z129" s="310" t="str">
        <f>IFERROR(__xludf.DUMMYFUNCTION("IF(ISBLANK(B129),"""",IFERROR(I129/(INDEX(GOOGLEFINANCE(B129,""price"",WORKDAY(TODAY(),-$Z$17)),2,2))-1,""""))"),"")</f>
        <v/>
      </c>
      <c r="AA129" s="312" t="str">
        <f>IFERROR(__xludf.DUMMYFUNCTION("IF(ISBLANK(B129),"""",IFERROR(IFERROR(""$""&amp;Trunc(GOOGLEFINANCE(B129,""Marketcap"")/1000000000)&amp;"" B"",""$""&amp;Trunc(IMPORTXML(""https://coinmarketcap.com/currencies/""&amp;B129,$AJ$4)/1000000000)&amp;"" B""),""-""))"),"")</f>
        <v/>
      </c>
      <c r="AB129" s="13" t="str">
        <f>IFERROR(__xludf.DUMMYFUNCTION("IF(ISBLANK(B129),"""",IFERROR(GOOGLEFINANCE(B129,""pe""),""-""))"),"")</f>
        <v/>
      </c>
      <c r="AC129" s="313" t="str">
        <f>IFERROR(__xludf.DUMMYFUNCTION("SPARKLINE(INDEX(GOOGLEFINANCE(B129,""price"",workday(today(),-$AC$17),today()),,2),{""charttype"",""column"";""color"",""green""})
"),"#N/A")</f>
        <v>#N/A</v>
      </c>
      <c r="AD129" s="313" t="str">
        <f>IFERROR(__xludf.DUMMYFUNCTION("IF(ISBLANK(B129),"""",IFERROR(INDEX(IMPORTXML(""https://eresearch.fidelity.com/eresearch/goto/evaluate/snapshot.jhtml?symbols=""&amp;B129&amp;"""",""//div[@class='sub-heading']//span[@class='right']""),1),""Enter Manually"")
)"),"")</f>
        <v/>
      </c>
      <c r="AE129" s="314" t="str">
        <f t="shared" si="10"/>
        <v>Info</v>
      </c>
      <c r="AF129" s="329"/>
      <c r="AG129" s="320"/>
      <c r="AH129" s="13"/>
      <c r="AI129" s="13"/>
      <c r="AJ129" s="13"/>
      <c r="AK129" s="13"/>
      <c r="AL129" s="13"/>
      <c r="AM129" s="13"/>
      <c r="AN129" s="13"/>
      <c r="AO129" s="13"/>
      <c r="AP129" s="13"/>
    </row>
    <row r="130" ht="18.75" customHeight="1">
      <c r="A130" s="13"/>
      <c r="B130" s="327"/>
      <c r="C130" s="306" t="str">
        <f>IFERROR(__xludf.DUMMYFUNCTION("GOOGLEFINANCE(B130,""name"")
"),"#N/A")</f>
        <v>#N/A</v>
      </c>
      <c r="D130" s="306"/>
      <c r="E130" s="328"/>
      <c r="F130" s="13" t="str">
        <f t="shared" si="1"/>
        <v/>
      </c>
      <c r="G130" s="309" t="str">
        <f>IFERROR(__xludf.DUMMYFUNCTION("IF(ISBLANK(B130),"""",IFERROR(SPARKLINE(INDEX(GOOGLEFINANCE(B130,""price"",TODAY()-$G$17,TODAY()),,2),{""charttype"",""column"";""color"",""17a7e0""}),""""))"),"")</f>
        <v/>
      </c>
      <c r="I130" s="309" t="str">
        <f>IFERROR(__xludf.DUMMYFUNCTION("IFERROR(IF(B130="""","""",GOOGLEFINANCE(B130)),IFERROR(GOOGLEFINANCE(""CURRENCY:""&amp;""USD""&amp;$D$15)*IMPORTXML(""https://coinmarketcap.com/currencies/""&amp;B130,$AJ$3),IMPORTXML(""https://coinmarketcap.com/currencies/""&amp;B130,$AJ$3)))"),"")</f>
        <v/>
      </c>
      <c r="J130" s="310" t="str">
        <f t="shared" si="2"/>
        <v/>
      </c>
      <c r="K130" s="310" t="str">
        <f>IFERROR(__xludf.DUMMYFUNCTION("IFERROR(IF(ISBLANK(B130),"""",GOOGLEFINANCE(B130,""changepct"")/100),"""")"),"")</f>
        <v/>
      </c>
      <c r="L130" s="310" t="str">
        <f>IFERROR(__xludf.DUMMYFUNCTION("IF(ISBLANK(B130),"""",IFERROR((GOOGLEFINANCE(B130,""price"")/INDEX(GOOGLEFINANCE(B130,""price"",DATEVALUE(TODAY()-365) ),2,2)-1),""""))"),"")</f>
        <v/>
      </c>
      <c r="M130" s="310" t="str">
        <f>IFERROR(__xludf.DUMMYFUNCTION("IF(ISBLANK(B130),"""",IFERROR((GOOGLEFINANCE($D$13,""price"")/INDEX(GOOGLEFINANCE($D$13,""price"",DATEVALUE(TODAY()-365) ),2,2)-1),""""))"),"")</f>
        <v/>
      </c>
      <c r="N130" s="310" t="str">
        <f t="shared" si="3"/>
        <v/>
      </c>
      <c r="O130" s="311" t="str">
        <f>IFERROR(__xludf.DUMMYFUNCTION("IFERROR(IF(ISBLANK(B130),"""",GOOGLEFINANCE(B130,""low52"")),"""")"),"")</f>
        <v/>
      </c>
      <c r="P130" s="310" t="str">
        <f t="shared" si="4"/>
        <v/>
      </c>
      <c r="Q130" s="311" t="str">
        <f>IFERROR(__xludf.DUMMYFUNCTION("IFERROR(IF(ISBLANK(B130),"""",GOOGLEFINANCE(B130,""high52"")),"""")"),"")</f>
        <v/>
      </c>
      <c r="R130" s="310" t="str">
        <f t="shared" si="5"/>
        <v/>
      </c>
      <c r="S130" s="13" t="str">
        <f t="shared" si="6"/>
        <v/>
      </c>
      <c r="U130" s="13" t="str">
        <f t="shared" si="7"/>
        <v/>
      </c>
      <c r="W130" s="13" t="str">
        <f t="shared" si="8"/>
        <v/>
      </c>
      <c r="X130" s="310" t="str">
        <f t="shared" si="9"/>
        <v/>
      </c>
      <c r="Y130" s="311" t="str">
        <f>IFERROR(__xludf.DUMMYFUNCTION("IF(ISBLANK(B130),"""",IFERROR(INDEX(GOOGLEFINANCE(B130,""price"",WORKDAY(TODAY(),-$Y$17)),2,2),""""))"),"")</f>
        <v/>
      </c>
      <c r="Z130" s="310" t="str">
        <f>IFERROR(__xludf.DUMMYFUNCTION("IF(ISBLANK(B130),"""",IFERROR(I130/(INDEX(GOOGLEFINANCE(B130,""price"",WORKDAY(TODAY(),-$Z$17)),2,2))-1,""""))"),"")</f>
        <v/>
      </c>
      <c r="AA130" s="312" t="str">
        <f>IFERROR(__xludf.DUMMYFUNCTION("IF(ISBLANK(B130),"""",IFERROR(IFERROR(""$""&amp;Trunc(GOOGLEFINANCE(B130,""Marketcap"")/1000000000)&amp;"" B"",""$""&amp;Trunc(IMPORTXML(""https://coinmarketcap.com/currencies/""&amp;B130,$AJ$4)/1000000000)&amp;"" B""),""-""))"),"")</f>
        <v/>
      </c>
      <c r="AB130" s="13" t="str">
        <f>IFERROR(__xludf.DUMMYFUNCTION("IF(ISBLANK(B130),"""",IFERROR(GOOGLEFINANCE(B130,""pe""),""-""))"),"")</f>
        <v/>
      </c>
      <c r="AC130" s="313" t="str">
        <f>IFERROR(__xludf.DUMMYFUNCTION("SPARKLINE(INDEX(GOOGLEFINANCE(B130,""price"",workday(today(),-$AC$17),today()),,2),{""charttype"",""column"";""color"",""green""})
"),"#N/A")</f>
        <v>#N/A</v>
      </c>
      <c r="AD130" s="313" t="str">
        <f>IFERROR(__xludf.DUMMYFUNCTION("IF(ISBLANK(B130),"""",IFERROR(INDEX(IMPORTXML(""https://eresearch.fidelity.com/eresearch/goto/evaluate/snapshot.jhtml?symbols=""&amp;B130&amp;"""",""//div[@class='sub-heading']//span[@class='right']""),1),""Enter Manually"")
)"),"")</f>
        <v/>
      </c>
      <c r="AE130" s="314" t="str">
        <f t="shared" si="10"/>
        <v>Info</v>
      </c>
      <c r="AF130" s="329"/>
      <c r="AG130" s="320"/>
      <c r="AH130" s="13"/>
      <c r="AI130" s="13"/>
      <c r="AJ130" s="13"/>
      <c r="AK130" s="13"/>
      <c r="AL130" s="13"/>
      <c r="AM130" s="13"/>
      <c r="AN130" s="13"/>
      <c r="AO130" s="13"/>
      <c r="AP130" s="13"/>
    </row>
    <row r="131" ht="18.75" customHeight="1">
      <c r="A131" s="13"/>
      <c r="B131" s="327"/>
      <c r="C131" s="306" t="str">
        <f>IFERROR(__xludf.DUMMYFUNCTION("GOOGLEFINANCE(B131,""name"")
"),"#N/A")</f>
        <v>#N/A</v>
      </c>
      <c r="D131" s="306"/>
      <c r="E131" s="328"/>
      <c r="F131" s="13" t="str">
        <f t="shared" si="1"/>
        <v/>
      </c>
      <c r="G131" s="309" t="str">
        <f>IFERROR(__xludf.DUMMYFUNCTION("IF(ISBLANK(B131),"""",IFERROR(SPARKLINE(INDEX(GOOGLEFINANCE(B131,""price"",TODAY()-$G$17,TODAY()),,2),{""charttype"",""column"";""color"",""17a7e0""}),""""))"),"")</f>
        <v/>
      </c>
      <c r="I131" s="309" t="str">
        <f>IFERROR(__xludf.DUMMYFUNCTION("IFERROR(IF(B131="""","""",GOOGLEFINANCE(B131)),IFERROR(GOOGLEFINANCE(""CURRENCY:""&amp;""USD""&amp;$D$15)*IMPORTXML(""https://coinmarketcap.com/currencies/""&amp;B131,$AJ$3),IMPORTXML(""https://coinmarketcap.com/currencies/""&amp;B131,$AJ$3)))"),"")</f>
        <v/>
      </c>
      <c r="J131" s="310" t="str">
        <f t="shared" si="2"/>
        <v/>
      </c>
      <c r="K131" s="310" t="str">
        <f>IFERROR(__xludf.DUMMYFUNCTION("IFERROR(IF(ISBLANK(B131),"""",GOOGLEFINANCE(B131,""changepct"")/100),"""")"),"")</f>
        <v/>
      </c>
      <c r="L131" s="310" t="str">
        <f>IFERROR(__xludf.DUMMYFUNCTION("IF(ISBLANK(B131),"""",IFERROR((GOOGLEFINANCE(B131,""price"")/INDEX(GOOGLEFINANCE(B131,""price"",DATEVALUE(TODAY()-365) ),2,2)-1),""""))"),"")</f>
        <v/>
      </c>
      <c r="M131" s="310" t="str">
        <f>IFERROR(__xludf.DUMMYFUNCTION("IF(ISBLANK(B131),"""",IFERROR((GOOGLEFINANCE($D$13,""price"")/INDEX(GOOGLEFINANCE($D$13,""price"",DATEVALUE(TODAY()-365) ),2,2)-1),""""))"),"")</f>
        <v/>
      </c>
      <c r="N131" s="310" t="str">
        <f t="shared" si="3"/>
        <v/>
      </c>
      <c r="O131" s="311" t="str">
        <f>IFERROR(__xludf.DUMMYFUNCTION("IFERROR(IF(ISBLANK(B131),"""",GOOGLEFINANCE(B131,""low52"")),"""")"),"")</f>
        <v/>
      </c>
      <c r="P131" s="310" t="str">
        <f t="shared" si="4"/>
        <v/>
      </c>
      <c r="Q131" s="311" t="str">
        <f>IFERROR(__xludf.DUMMYFUNCTION("IFERROR(IF(ISBLANK(B131),"""",GOOGLEFINANCE(B131,""high52"")),"""")"),"")</f>
        <v/>
      </c>
      <c r="R131" s="310" t="str">
        <f t="shared" si="5"/>
        <v/>
      </c>
      <c r="S131" s="13" t="str">
        <f t="shared" si="6"/>
        <v/>
      </c>
      <c r="U131" s="13" t="str">
        <f t="shared" si="7"/>
        <v/>
      </c>
      <c r="W131" s="13" t="str">
        <f t="shared" si="8"/>
        <v/>
      </c>
      <c r="X131" s="310" t="str">
        <f t="shared" si="9"/>
        <v/>
      </c>
      <c r="Y131" s="311" t="str">
        <f>IFERROR(__xludf.DUMMYFUNCTION("IF(ISBLANK(B131),"""",IFERROR(INDEX(GOOGLEFINANCE(B131,""price"",WORKDAY(TODAY(),-$Y$17)),2,2),""""))"),"")</f>
        <v/>
      </c>
      <c r="Z131" s="310" t="str">
        <f>IFERROR(__xludf.DUMMYFUNCTION("IF(ISBLANK(B131),"""",IFERROR(I131/(INDEX(GOOGLEFINANCE(B131,""price"",WORKDAY(TODAY(),-$Z$17)),2,2))-1,""""))"),"")</f>
        <v/>
      </c>
      <c r="AA131" s="312" t="str">
        <f>IFERROR(__xludf.DUMMYFUNCTION("IF(ISBLANK(B131),"""",IFERROR(IFERROR(""$""&amp;Trunc(GOOGLEFINANCE(B131,""Marketcap"")/1000000000)&amp;"" B"",""$""&amp;Trunc(IMPORTXML(""https://coinmarketcap.com/currencies/""&amp;B131,$AJ$4)/1000000000)&amp;"" B""),""-""))"),"")</f>
        <v/>
      </c>
      <c r="AB131" s="13" t="str">
        <f>IFERROR(__xludf.DUMMYFUNCTION("IF(ISBLANK(B131),"""",IFERROR(GOOGLEFINANCE(B131,""pe""),""-""))"),"")</f>
        <v/>
      </c>
      <c r="AC131" s="313" t="str">
        <f>IFERROR(__xludf.DUMMYFUNCTION("SPARKLINE(INDEX(GOOGLEFINANCE(B131,""price"",workday(today(),-$AC$17),today()),,2),{""charttype"",""column"";""color"",""green""})
"),"#N/A")</f>
        <v>#N/A</v>
      </c>
      <c r="AD131" s="313" t="str">
        <f>IFERROR(__xludf.DUMMYFUNCTION("IF(ISBLANK(B131),"""",IFERROR(INDEX(IMPORTXML(""https://eresearch.fidelity.com/eresearch/goto/evaluate/snapshot.jhtml?symbols=""&amp;B131&amp;"""",""//div[@class='sub-heading']//span[@class='right']""),1),""Enter Manually"")
)"),"")</f>
        <v/>
      </c>
      <c r="AE131" s="314" t="str">
        <f t="shared" si="10"/>
        <v>Info</v>
      </c>
      <c r="AF131" s="329"/>
      <c r="AG131" s="320"/>
      <c r="AH131" s="13"/>
      <c r="AI131" s="13"/>
      <c r="AJ131" s="13"/>
      <c r="AK131" s="13"/>
      <c r="AL131" s="13"/>
      <c r="AM131" s="13"/>
      <c r="AN131" s="13"/>
      <c r="AO131" s="13"/>
      <c r="AP131" s="13"/>
    </row>
    <row r="132" ht="18.75" customHeight="1">
      <c r="A132" s="13"/>
      <c r="B132" s="327"/>
      <c r="C132" s="306" t="str">
        <f>IFERROR(__xludf.DUMMYFUNCTION("GOOGLEFINANCE(B132,""name"")
"),"#N/A")</f>
        <v>#N/A</v>
      </c>
      <c r="D132" s="306"/>
      <c r="E132" s="328"/>
      <c r="F132" s="13" t="str">
        <f t="shared" si="1"/>
        <v/>
      </c>
      <c r="G132" s="309" t="str">
        <f>IFERROR(__xludf.DUMMYFUNCTION("IF(ISBLANK(B132),"""",IFERROR(SPARKLINE(INDEX(GOOGLEFINANCE(B132,""price"",TODAY()-$G$17,TODAY()),,2),{""charttype"",""column"";""color"",""17a7e0""}),""""))"),"")</f>
        <v/>
      </c>
      <c r="I132" s="309" t="str">
        <f>IFERROR(__xludf.DUMMYFUNCTION("IFERROR(IF(B132="""","""",GOOGLEFINANCE(B132)),IFERROR(GOOGLEFINANCE(""CURRENCY:""&amp;""USD""&amp;$D$15)*IMPORTXML(""https://coinmarketcap.com/currencies/""&amp;B132,$AJ$3),IMPORTXML(""https://coinmarketcap.com/currencies/""&amp;B132,$AJ$3)))"),"")</f>
        <v/>
      </c>
      <c r="J132" s="310" t="str">
        <f t="shared" si="2"/>
        <v/>
      </c>
      <c r="K132" s="310" t="str">
        <f>IFERROR(__xludf.DUMMYFUNCTION("IFERROR(IF(ISBLANK(B132),"""",GOOGLEFINANCE(B132,""changepct"")/100),"""")"),"")</f>
        <v/>
      </c>
      <c r="L132" s="310" t="str">
        <f>IFERROR(__xludf.DUMMYFUNCTION("IF(ISBLANK(B132),"""",IFERROR((GOOGLEFINANCE(B132,""price"")/INDEX(GOOGLEFINANCE(B132,""price"",DATEVALUE(TODAY()-365) ),2,2)-1),""""))"),"")</f>
        <v/>
      </c>
      <c r="M132" s="310" t="str">
        <f>IFERROR(__xludf.DUMMYFUNCTION("IF(ISBLANK(B132),"""",IFERROR((GOOGLEFINANCE($D$13,""price"")/INDEX(GOOGLEFINANCE($D$13,""price"",DATEVALUE(TODAY()-365) ),2,2)-1),""""))"),"")</f>
        <v/>
      </c>
      <c r="N132" s="310" t="str">
        <f t="shared" si="3"/>
        <v/>
      </c>
      <c r="O132" s="311" t="str">
        <f>IFERROR(__xludf.DUMMYFUNCTION("IFERROR(IF(ISBLANK(B132),"""",GOOGLEFINANCE(B132,""low52"")),"""")"),"")</f>
        <v/>
      </c>
      <c r="P132" s="310" t="str">
        <f t="shared" si="4"/>
        <v/>
      </c>
      <c r="Q132" s="311" t="str">
        <f>IFERROR(__xludf.DUMMYFUNCTION("IFERROR(IF(ISBLANK(B132),"""",GOOGLEFINANCE(B132,""high52"")),"""")"),"")</f>
        <v/>
      </c>
      <c r="R132" s="310" t="str">
        <f t="shared" si="5"/>
        <v/>
      </c>
      <c r="S132" s="13" t="str">
        <f t="shared" si="6"/>
        <v/>
      </c>
      <c r="U132" s="13" t="str">
        <f t="shared" si="7"/>
        <v/>
      </c>
      <c r="W132" s="13" t="str">
        <f t="shared" si="8"/>
        <v/>
      </c>
      <c r="X132" s="310" t="str">
        <f t="shared" si="9"/>
        <v/>
      </c>
      <c r="Y132" s="311" t="str">
        <f>IFERROR(__xludf.DUMMYFUNCTION("IF(ISBLANK(B132),"""",IFERROR(INDEX(GOOGLEFINANCE(B132,""price"",WORKDAY(TODAY(),-$Y$17)),2,2),""""))"),"")</f>
        <v/>
      </c>
      <c r="Z132" s="310" t="str">
        <f>IFERROR(__xludf.DUMMYFUNCTION("IF(ISBLANK(B132),"""",IFERROR(I132/(INDEX(GOOGLEFINANCE(B132,""price"",WORKDAY(TODAY(),-$Z$17)),2,2))-1,""""))"),"")</f>
        <v/>
      </c>
      <c r="AA132" s="312" t="str">
        <f>IFERROR(__xludf.DUMMYFUNCTION("IF(ISBLANK(B132),"""",IFERROR(IFERROR(""$""&amp;Trunc(GOOGLEFINANCE(B132,""Marketcap"")/1000000000)&amp;"" B"",""$""&amp;Trunc(IMPORTXML(""https://coinmarketcap.com/currencies/""&amp;B132,$AJ$4)/1000000000)&amp;"" B""),""-""))"),"")</f>
        <v/>
      </c>
      <c r="AB132" s="13" t="str">
        <f>IFERROR(__xludf.DUMMYFUNCTION("IF(ISBLANK(B132),"""",IFERROR(GOOGLEFINANCE(B132,""pe""),""-""))"),"")</f>
        <v/>
      </c>
      <c r="AC132" s="313" t="str">
        <f>IFERROR(__xludf.DUMMYFUNCTION("SPARKLINE(INDEX(GOOGLEFINANCE(B132,""price"",workday(today(),-$AC$17),today()),,2),{""charttype"",""column"";""color"",""green""})
"),"#N/A")</f>
        <v>#N/A</v>
      </c>
      <c r="AD132" s="313" t="str">
        <f>IFERROR(__xludf.DUMMYFUNCTION("IF(ISBLANK(B132),"""",IFERROR(INDEX(IMPORTXML(""https://eresearch.fidelity.com/eresearch/goto/evaluate/snapshot.jhtml?symbols=""&amp;B132&amp;"""",""//div[@class='sub-heading']//span[@class='right']""),1),""Enter Manually"")
)"),"")</f>
        <v/>
      </c>
      <c r="AE132" s="314" t="str">
        <f t="shared" si="10"/>
        <v>Info</v>
      </c>
      <c r="AF132" s="329"/>
      <c r="AG132" s="320"/>
      <c r="AH132" s="13"/>
      <c r="AI132" s="13"/>
      <c r="AJ132" s="13"/>
      <c r="AK132" s="13"/>
      <c r="AL132" s="13"/>
      <c r="AM132" s="13"/>
      <c r="AN132" s="13"/>
      <c r="AO132" s="13"/>
      <c r="AP132" s="13"/>
    </row>
    <row r="133" ht="18.75" customHeight="1">
      <c r="A133" s="13"/>
      <c r="B133" s="327"/>
      <c r="C133" s="306" t="str">
        <f>IFERROR(__xludf.DUMMYFUNCTION("GOOGLEFINANCE(B133,""name"")
"),"#N/A")</f>
        <v>#N/A</v>
      </c>
      <c r="D133" s="306"/>
      <c r="E133" s="328"/>
      <c r="F133" s="13" t="str">
        <f t="shared" si="1"/>
        <v/>
      </c>
      <c r="G133" s="309" t="str">
        <f>IFERROR(__xludf.DUMMYFUNCTION("IF(ISBLANK(B133),"""",IFERROR(SPARKLINE(INDEX(GOOGLEFINANCE(B133,""price"",TODAY()-$G$17,TODAY()),,2),{""charttype"",""column"";""color"",""17a7e0""}),""""))"),"")</f>
        <v/>
      </c>
      <c r="I133" s="309" t="str">
        <f>IFERROR(__xludf.DUMMYFUNCTION("IFERROR(IF(B133="""","""",GOOGLEFINANCE(B133)),IFERROR(GOOGLEFINANCE(""CURRENCY:""&amp;""USD""&amp;$D$15)*IMPORTXML(""https://coinmarketcap.com/currencies/""&amp;B133,$AJ$3),IMPORTXML(""https://coinmarketcap.com/currencies/""&amp;B133,$AJ$3)))"),"")</f>
        <v/>
      </c>
      <c r="J133" s="310" t="str">
        <f t="shared" si="2"/>
        <v/>
      </c>
      <c r="K133" s="310" t="str">
        <f>IFERROR(__xludf.DUMMYFUNCTION("IFERROR(IF(ISBLANK(B133),"""",GOOGLEFINANCE(B133,""changepct"")/100),"""")"),"")</f>
        <v/>
      </c>
      <c r="L133" s="310" t="str">
        <f>IFERROR(__xludf.DUMMYFUNCTION("IF(ISBLANK(B133),"""",IFERROR((GOOGLEFINANCE(B133,""price"")/INDEX(GOOGLEFINANCE(B133,""price"",DATEVALUE(TODAY()-365) ),2,2)-1),""""))"),"")</f>
        <v/>
      </c>
      <c r="M133" s="310" t="str">
        <f>IFERROR(__xludf.DUMMYFUNCTION("IF(ISBLANK(B133),"""",IFERROR((GOOGLEFINANCE($D$13,""price"")/INDEX(GOOGLEFINANCE($D$13,""price"",DATEVALUE(TODAY()-365) ),2,2)-1),""""))"),"")</f>
        <v/>
      </c>
      <c r="N133" s="310" t="str">
        <f t="shared" si="3"/>
        <v/>
      </c>
      <c r="O133" s="311" t="str">
        <f>IFERROR(__xludf.DUMMYFUNCTION("IFERROR(IF(ISBLANK(B133),"""",GOOGLEFINANCE(B133,""low52"")),"""")"),"")</f>
        <v/>
      </c>
      <c r="P133" s="310" t="str">
        <f t="shared" si="4"/>
        <v/>
      </c>
      <c r="Q133" s="311" t="str">
        <f>IFERROR(__xludf.DUMMYFUNCTION("IFERROR(IF(ISBLANK(B133),"""",GOOGLEFINANCE(B133,""high52"")),"""")"),"")</f>
        <v/>
      </c>
      <c r="R133" s="310" t="str">
        <f t="shared" si="5"/>
        <v/>
      </c>
      <c r="S133" s="13" t="str">
        <f t="shared" si="6"/>
        <v/>
      </c>
      <c r="U133" s="13" t="str">
        <f t="shared" si="7"/>
        <v/>
      </c>
      <c r="W133" s="13" t="str">
        <f t="shared" si="8"/>
        <v/>
      </c>
      <c r="X133" s="310" t="str">
        <f t="shared" si="9"/>
        <v/>
      </c>
      <c r="Y133" s="311" t="str">
        <f>IFERROR(__xludf.DUMMYFUNCTION("IF(ISBLANK(B133),"""",IFERROR(INDEX(GOOGLEFINANCE(B133,""price"",WORKDAY(TODAY(),-$Y$17)),2,2),""""))"),"")</f>
        <v/>
      </c>
      <c r="Z133" s="310" t="str">
        <f>IFERROR(__xludf.DUMMYFUNCTION("IF(ISBLANK(B133),"""",IFERROR(I133/(INDEX(GOOGLEFINANCE(B133,""price"",WORKDAY(TODAY(),-$Z$17)),2,2))-1,""""))"),"")</f>
        <v/>
      </c>
      <c r="AA133" s="312" t="str">
        <f>IFERROR(__xludf.DUMMYFUNCTION("IF(ISBLANK(B133),"""",IFERROR(IFERROR(""$""&amp;Trunc(GOOGLEFINANCE(B133,""Marketcap"")/1000000000)&amp;"" B"",""$""&amp;Trunc(IMPORTXML(""https://coinmarketcap.com/currencies/""&amp;B133,$AJ$4)/1000000000)&amp;"" B""),""-""))"),"")</f>
        <v/>
      </c>
      <c r="AB133" s="13" t="str">
        <f>IFERROR(__xludf.DUMMYFUNCTION("IF(ISBLANK(B133),"""",IFERROR(GOOGLEFINANCE(B133,""pe""),""-""))"),"")</f>
        <v/>
      </c>
      <c r="AC133" s="313" t="str">
        <f>IFERROR(__xludf.DUMMYFUNCTION("SPARKLINE(INDEX(GOOGLEFINANCE(B133,""price"",workday(today(),-$AC$17),today()),,2),{""charttype"",""column"";""color"",""green""})
"),"#N/A")</f>
        <v>#N/A</v>
      </c>
      <c r="AD133" s="313" t="str">
        <f>IFERROR(__xludf.DUMMYFUNCTION("IF(ISBLANK(B133),"""",IFERROR(INDEX(IMPORTXML(""https://eresearch.fidelity.com/eresearch/goto/evaluate/snapshot.jhtml?symbols=""&amp;B133&amp;"""",""//div[@class='sub-heading']//span[@class='right']""),1),""Enter Manually"")
)"),"")</f>
        <v/>
      </c>
      <c r="AE133" s="314" t="str">
        <f t="shared" si="10"/>
        <v>Info</v>
      </c>
      <c r="AF133" s="329"/>
      <c r="AG133" s="320"/>
      <c r="AH133" s="13"/>
      <c r="AI133" s="13"/>
      <c r="AJ133" s="13"/>
      <c r="AK133" s="13"/>
      <c r="AL133" s="13"/>
      <c r="AM133" s="13"/>
      <c r="AN133" s="13"/>
      <c r="AO133" s="13"/>
      <c r="AP133" s="13"/>
    </row>
    <row r="134" ht="18.75" customHeight="1">
      <c r="A134" s="13"/>
      <c r="B134" s="327"/>
      <c r="C134" s="306" t="str">
        <f>IFERROR(__xludf.DUMMYFUNCTION("GOOGLEFINANCE(B134,""name"")
"),"#N/A")</f>
        <v>#N/A</v>
      </c>
      <c r="D134" s="306"/>
      <c r="E134" s="328"/>
      <c r="F134" s="13" t="str">
        <f t="shared" si="1"/>
        <v/>
      </c>
      <c r="G134" s="309" t="str">
        <f>IFERROR(__xludf.DUMMYFUNCTION("IF(ISBLANK(B134),"""",IFERROR(SPARKLINE(INDEX(GOOGLEFINANCE(B134,""price"",TODAY()-$G$17,TODAY()),,2),{""charttype"",""column"";""color"",""17a7e0""}),""""))"),"")</f>
        <v/>
      </c>
      <c r="I134" s="309" t="str">
        <f>IFERROR(__xludf.DUMMYFUNCTION("IFERROR(IF(B134="""","""",GOOGLEFINANCE(B134)),IFERROR(GOOGLEFINANCE(""CURRENCY:""&amp;""USD""&amp;$D$15)*IMPORTXML(""https://coinmarketcap.com/currencies/""&amp;B134,$AJ$3),IMPORTXML(""https://coinmarketcap.com/currencies/""&amp;B134,$AJ$3)))"),"")</f>
        <v/>
      </c>
      <c r="J134" s="310" t="str">
        <f t="shared" si="2"/>
        <v/>
      </c>
      <c r="K134" s="310" t="str">
        <f>IFERROR(__xludf.DUMMYFUNCTION("IFERROR(IF(ISBLANK(B134),"""",GOOGLEFINANCE(B134,""changepct"")/100),"""")"),"")</f>
        <v/>
      </c>
      <c r="L134" s="310" t="str">
        <f>IFERROR(__xludf.DUMMYFUNCTION("IF(ISBLANK(B134),"""",IFERROR((GOOGLEFINANCE(B134,""price"")/INDEX(GOOGLEFINANCE(B134,""price"",DATEVALUE(TODAY()-365) ),2,2)-1),""""))"),"")</f>
        <v/>
      </c>
      <c r="M134" s="310" t="str">
        <f>IFERROR(__xludf.DUMMYFUNCTION("IF(ISBLANK(B134),"""",IFERROR((GOOGLEFINANCE($D$13,""price"")/INDEX(GOOGLEFINANCE($D$13,""price"",DATEVALUE(TODAY()-365) ),2,2)-1),""""))"),"")</f>
        <v/>
      </c>
      <c r="N134" s="310" t="str">
        <f t="shared" si="3"/>
        <v/>
      </c>
      <c r="O134" s="311" t="str">
        <f>IFERROR(__xludf.DUMMYFUNCTION("IFERROR(IF(ISBLANK(B134),"""",GOOGLEFINANCE(B134,""low52"")),"""")"),"")</f>
        <v/>
      </c>
      <c r="P134" s="310" t="str">
        <f t="shared" si="4"/>
        <v/>
      </c>
      <c r="Q134" s="311" t="str">
        <f>IFERROR(__xludf.DUMMYFUNCTION("IFERROR(IF(ISBLANK(B134),"""",GOOGLEFINANCE(B134,""high52"")),"""")"),"")</f>
        <v/>
      </c>
      <c r="R134" s="310" t="str">
        <f t="shared" si="5"/>
        <v/>
      </c>
      <c r="S134" s="13" t="str">
        <f t="shared" si="6"/>
        <v/>
      </c>
      <c r="U134" s="13" t="str">
        <f t="shared" si="7"/>
        <v/>
      </c>
      <c r="W134" s="13" t="str">
        <f t="shared" si="8"/>
        <v/>
      </c>
      <c r="X134" s="310" t="str">
        <f t="shared" si="9"/>
        <v/>
      </c>
      <c r="Y134" s="311" t="str">
        <f>IFERROR(__xludf.DUMMYFUNCTION("IF(ISBLANK(B134),"""",IFERROR(INDEX(GOOGLEFINANCE(B134,""price"",WORKDAY(TODAY(),-$Y$17)),2,2),""""))"),"")</f>
        <v/>
      </c>
      <c r="Z134" s="310" t="str">
        <f>IFERROR(__xludf.DUMMYFUNCTION("IF(ISBLANK(B134),"""",IFERROR(I134/(INDEX(GOOGLEFINANCE(B134,""price"",WORKDAY(TODAY(),-$Z$17)),2,2))-1,""""))"),"")</f>
        <v/>
      </c>
      <c r="AA134" s="312" t="str">
        <f>IFERROR(__xludf.DUMMYFUNCTION("IF(ISBLANK(B134),"""",IFERROR(IFERROR(""$""&amp;Trunc(GOOGLEFINANCE(B134,""Marketcap"")/1000000000)&amp;"" B"",""$""&amp;Trunc(IMPORTXML(""https://coinmarketcap.com/currencies/""&amp;B134,$AJ$4)/1000000000)&amp;"" B""),""-""))"),"")</f>
        <v/>
      </c>
      <c r="AB134" s="13" t="str">
        <f>IFERROR(__xludf.DUMMYFUNCTION("IF(ISBLANK(B134),"""",IFERROR(GOOGLEFINANCE(B134,""pe""),""-""))"),"")</f>
        <v/>
      </c>
      <c r="AC134" s="313" t="str">
        <f>IFERROR(__xludf.DUMMYFUNCTION("SPARKLINE(INDEX(GOOGLEFINANCE(B134,""price"",workday(today(),-$AC$17),today()),,2),{""charttype"",""column"";""color"",""green""})
"),"#N/A")</f>
        <v>#N/A</v>
      </c>
      <c r="AD134" s="313" t="str">
        <f>IFERROR(__xludf.DUMMYFUNCTION("IF(ISBLANK(B134),"""",IFERROR(INDEX(IMPORTXML(""https://eresearch.fidelity.com/eresearch/goto/evaluate/snapshot.jhtml?symbols=""&amp;B134&amp;"""",""//div[@class='sub-heading']//span[@class='right']""),1),""Enter Manually"")
)"),"")</f>
        <v/>
      </c>
      <c r="AE134" s="314" t="str">
        <f t="shared" si="10"/>
        <v>Info</v>
      </c>
      <c r="AF134" s="329"/>
      <c r="AG134" s="320"/>
      <c r="AH134" s="13"/>
      <c r="AI134" s="13"/>
      <c r="AJ134" s="13"/>
      <c r="AK134" s="13"/>
      <c r="AL134" s="13"/>
      <c r="AM134" s="13"/>
      <c r="AN134" s="13"/>
      <c r="AO134" s="13"/>
      <c r="AP134" s="13"/>
    </row>
    <row r="135" ht="18.75" customHeight="1">
      <c r="A135" s="13"/>
      <c r="B135" s="327"/>
      <c r="C135" s="306" t="str">
        <f>IFERROR(__xludf.DUMMYFUNCTION("GOOGLEFINANCE(B135,""name"")
"),"#N/A")</f>
        <v>#N/A</v>
      </c>
      <c r="D135" s="306"/>
      <c r="E135" s="328"/>
      <c r="F135" s="13" t="str">
        <f t="shared" si="1"/>
        <v/>
      </c>
      <c r="G135" s="309" t="str">
        <f>IFERROR(__xludf.DUMMYFUNCTION("IF(ISBLANK(B135),"""",IFERROR(SPARKLINE(INDEX(GOOGLEFINANCE(B135,""price"",TODAY()-$G$17,TODAY()),,2),{""charttype"",""column"";""color"",""17a7e0""}),""""))"),"")</f>
        <v/>
      </c>
      <c r="I135" s="309" t="str">
        <f>IFERROR(__xludf.DUMMYFUNCTION("IFERROR(IF(B135="""","""",GOOGLEFINANCE(B135)),IFERROR(GOOGLEFINANCE(""CURRENCY:""&amp;""USD""&amp;$D$15)*IMPORTXML(""https://coinmarketcap.com/currencies/""&amp;B135,$AJ$3),IMPORTXML(""https://coinmarketcap.com/currencies/""&amp;B135,$AJ$3)))"),"")</f>
        <v/>
      </c>
      <c r="J135" s="310" t="str">
        <f t="shared" si="2"/>
        <v/>
      </c>
      <c r="K135" s="310" t="str">
        <f>IFERROR(__xludf.DUMMYFUNCTION("IFERROR(IF(ISBLANK(B135),"""",GOOGLEFINANCE(B135,""changepct"")/100),"""")"),"")</f>
        <v/>
      </c>
      <c r="L135" s="310" t="str">
        <f>IFERROR(__xludf.DUMMYFUNCTION("IF(ISBLANK(B135),"""",IFERROR((GOOGLEFINANCE(B135,""price"")/INDEX(GOOGLEFINANCE(B135,""price"",DATEVALUE(TODAY()-365) ),2,2)-1),""""))"),"")</f>
        <v/>
      </c>
      <c r="M135" s="310" t="str">
        <f>IFERROR(__xludf.DUMMYFUNCTION("IF(ISBLANK(B135),"""",IFERROR((GOOGLEFINANCE($D$13,""price"")/INDEX(GOOGLEFINANCE($D$13,""price"",DATEVALUE(TODAY()-365) ),2,2)-1),""""))"),"")</f>
        <v/>
      </c>
      <c r="N135" s="310" t="str">
        <f t="shared" si="3"/>
        <v/>
      </c>
      <c r="O135" s="311" t="str">
        <f>IFERROR(__xludf.DUMMYFUNCTION("IFERROR(IF(ISBLANK(B135),"""",GOOGLEFINANCE(B135,""low52"")),"""")"),"")</f>
        <v/>
      </c>
      <c r="P135" s="310" t="str">
        <f t="shared" si="4"/>
        <v/>
      </c>
      <c r="Q135" s="311" t="str">
        <f>IFERROR(__xludf.DUMMYFUNCTION("IFERROR(IF(ISBLANK(B135),"""",GOOGLEFINANCE(B135,""high52"")),"""")"),"")</f>
        <v/>
      </c>
      <c r="R135" s="310" t="str">
        <f t="shared" si="5"/>
        <v/>
      </c>
      <c r="S135" s="13" t="str">
        <f t="shared" si="6"/>
        <v/>
      </c>
      <c r="U135" s="13" t="str">
        <f t="shared" si="7"/>
        <v/>
      </c>
      <c r="W135" s="13" t="str">
        <f t="shared" si="8"/>
        <v/>
      </c>
      <c r="X135" s="310" t="str">
        <f t="shared" si="9"/>
        <v/>
      </c>
      <c r="Y135" s="311" t="str">
        <f>IFERROR(__xludf.DUMMYFUNCTION("IF(ISBLANK(B135),"""",IFERROR(INDEX(GOOGLEFINANCE(B135,""price"",WORKDAY(TODAY(),-$Y$17)),2,2),""""))"),"")</f>
        <v/>
      </c>
      <c r="Z135" s="310" t="str">
        <f>IFERROR(__xludf.DUMMYFUNCTION("IF(ISBLANK(B135),"""",IFERROR(I135/(INDEX(GOOGLEFINANCE(B135,""price"",WORKDAY(TODAY(),-$Z$17)),2,2))-1,""""))"),"")</f>
        <v/>
      </c>
      <c r="AA135" s="312" t="str">
        <f>IFERROR(__xludf.DUMMYFUNCTION("IF(ISBLANK(B135),"""",IFERROR(IFERROR(""$""&amp;Trunc(GOOGLEFINANCE(B135,""Marketcap"")/1000000000)&amp;"" B"",""$""&amp;Trunc(IMPORTXML(""https://coinmarketcap.com/currencies/""&amp;B135,$AJ$4)/1000000000)&amp;"" B""),""-""))"),"")</f>
        <v/>
      </c>
      <c r="AB135" s="13" t="str">
        <f>IFERROR(__xludf.DUMMYFUNCTION("IF(ISBLANK(B135),"""",IFERROR(GOOGLEFINANCE(B135,""pe""),""-""))"),"")</f>
        <v/>
      </c>
      <c r="AC135" s="313" t="str">
        <f>IFERROR(__xludf.DUMMYFUNCTION("SPARKLINE(INDEX(GOOGLEFINANCE(B135,""price"",workday(today(),-$AC$17),today()),,2),{""charttype"",""column"";""color"",""green""})
"),"#N/A")</f>
        <v>#N/A</v>
      </c>
      <c r="AD135" s="313" t="str">
        <f>IFERROR(__xludf.DUMMYFUNCTION("IF(ISBLANK(B135),"""",IFERROR(INDEX(IMPORTXML(""https://eresearch.fidelity.com/eresearch/goto/evaluate/snapshot.jhtml?symbols=""&amp;B135&amp;"""",""//div[@class='sub-heading']//span[@class='right']""),1),""Enter Manually"")
)"),"")</f>
        <v/>
      </c>
      <c r="AE135" s="314" t="str">
        <f t="shared" si="10"/>
        <v>Info</v>
      </c>
      <c r="AF135" s="329"/>
      <c r="AG135" s="320"/>
      <c r="AH135" s="13"/>
      <c r="AI135" s="13"/>
      <c r="AJ135" s="13"/>
      <c r="AK135" s="13"/>
      <c r="AL135" s="13"/>
      <c r="AM135" s="13"/>
      <c r="AN135" s="13"/>
      <c r="AO135" s="13"/>
      <c r="AP135" s="13"/>
    </row>
    <row r="136" ht="18.75" customHeight="1">
      <c r="A136" s="13"/>
      <c r="B136" s="327"/>
      <c r="C136" s="306" t="str">
        <f>IFERROR(__xludf.DUMMYFUNCTION("GOOGLEFINANCE(B136,""name"")
"),"#N/A")</f>
        <v>#N/A</v>
      </c>
      <c r="D136" s="306"/>
      <c r="E136" s="328"/>
      <c r="F136" s="13" t="str">
        <f t="shared" si="1"/>
        <v/>
      </c>
      <c r="G136" s="309" t="str">
        <f>IFERROR(__xludf.DUMMYFUNCTION("IF(ISBLANK(B136),"""",IFERROR(SPARKLINE(INDEX(GOOGLEFINANCE(B136,""price"",TODAY()-$G$17,TODAY()),,2),{""charttype"",""column"";""color"",""17a7e0""}),""""))"),"")</f>
        <v/>
      </c>
      <c r="I136" s="309" t="str">
        <f>IFERROR(__xludf.DUMMYFUNCTION("IFERROR(IF(B136="""","""",GOOGLEFINANCE(B136)),IFERROR(GOOGLEFINANCE(""CURRENCY:""&amp;""USD""&amp;$D$15)*IMPORTXML(""https://coinmarketcap.com/currencies/""&amp;B136,$AJ$3),IMPORTXML(""https://coinmarketcap.com/currencies/""&amp;B136,$AJ$3)))"),"")</f>
        <v/>
      </c>
      <c r="J136" s="310" t="str">
        <f t="shared" si="2"/>
        <v/>
      </c>
      <c r="K136" s="310" t="str">
        <f>IFERROR(__xludf.DUMMYFUNCTION("IFERROR(IF(ISBLANK(B136),"""",GOOGLEFINANCE(B136,""changepct"")/100),"""")"),"")</f>
        <v/>
      </c>
      <c r="L136" s="310" t="str">
        <f>IFERROR(__xludf.DUMMYFUNCTION("IF(ISBLANK(B136),"""",IFERROR((GOOGLEFINANCE(B136,""price"")/INDEX(GOOGLEFINANCE(B136,""price"",DATEVALUE(TODAY()-365) ),2,2)-1),""""))"),"")</f>
        <v/>
      </c>
      <c r="M136" s="310" t="str">
        <f>IFERROR(__xludf.DUMMYFUNCTION("IF(ISBLANK(B136),"""",IFERROR((GOOGLEFINANCE($D$13,""price"")/INDEX(GOOGLEFINANCE($D$13,""price"",DATEVALUE(TODAY()-365) ),2,2)-1),""""))"),"")</f>
        <v/>
      </c>
      <c r="N136" s="310" t="str">
        <f t="shared" si="3"/>
        <v/>
      </c>
      <c r="O136" s="311" t="str">
        <f>IFERROR(__xludf.DUMMYFUNCTION("IFERROR(IF(ISBLANK(B136),"""",GOOGLEFINANCE(B136,""low52"")),"""")"),"")</f>
        <v/>
      </c>
      <c r="P136" s="310" t="str">
        <f t="shared" si="4"/>
        <v/>
      </c>
      <c r="Q136" s="311" t="str">
        <f>IFERROR(__xludf.DUMMYFUNCTION("IFERROR(IF(ISBLANK(B136),"""",GOOGLEFINANCE(B136,""high52"")),"""")"),"")</f>
        <v/>
      </c>
      <c r="R136" s="310" t="str">
        <f t="shared" si="5"/>
        <v/>
      </c>
      <c r="S136" s="13" t="str">
        <f t="shared" si="6"/>
        <v/>
      </c>
      <c r="U136" s="13" t="str">
        <f t="shared" si="7"/>
        <v/>
      </c>
      <c r="W136" s="13" t="str">
        <f t="shared" si="8"/>
        <v/>
      </c>
      <c r="X136" s="310" t="str">
        <f t="shared" si="9"/>
        <v/>
      </c>
      <c r="Y136" s="311" t="str">
        <f>IFERROR(__xludf.DUMMYFUNCTION("IF(ISBLANK(B136),"""",IFERROR(INDEX(GOOGLEFINANCE(B136,""price"",WORKDAY(TODAY(),-$Y$17)),2,2),""""))"),"")</f>
        <v/>
      </c>
      <c r="Z136" s="310" t="str">
        <f>IFERROR(__xludf.DUMMYFUNCTION("IF(ISBLANK(B136),"""",IFERROR(I136/(INDEX(GOOGLEFINANCE(B136,""price"",WORKDAY(TODAY(),-$Z$17)),2,2))-1,""""))"),"")</f>
        <v/>
      </c>
      <c r="AA136" s="312" t="str">
        <f>IFERROR(__xludf.DUMMYFUNCTION("IF(ISBLANK(B136),"""",IFERROR(IFERROR(""$""&amp;Trunc(GOOGLEFINANCE(B136,""Marketcap"")/1000000000)&amp;"" B"",""$""&amp;Trunc(IMPORTXML(""https://coinmarketcap.com/currencies/""&amp;B136,$AJ$4)/1000000000)&amp;"" B""),""-""))"),"")</f>
        <v/>
      </c>
      <c r="AB136" s="13" t="str">
        <f>IFERROR(__xludf.DUMMYFUNCTION("IF(ISBLANK(B136),"""",IFERROR(GOOGLEFINANCE(B136,""pe""),""-""))"),"")</f>
        <v/>
      </c>
      <c r="AC136" s="313" t="str">
        <f>IFERROR(__xludf.DUMMYFUNCTION("SPARKLINE(INDEX(GOOGLEFINANCE(B136,""price"",workday(today(),-$AC$17),today()),,2),{""charttype"",""column"";""color"",""green""})
"),"#N/A")</f>
        <v>#N/A</v>
      </c>
      <c r="AD136" s="313" t="str">
        <f>IFERROR(__xludf.DUMMYFUNCTION("IF(ISBLANK(B136),"""",IFERROR(INDEX(IMPORTXML(""https://eresearch.fidelity.com/eresearch/goto/evaluate/snapshot.jhtml?symbols=""&amp;B136&amp;"""",""//div[@class='sub-heading']//span[@class='right']""),1),""Enter Manually"")
)"),"")</f>
        <v/>
      </c>
      <c r="AE136" s="314" t="str">
        <f t="shared" si="10"/>
        <v>Info</v>
      </c>
      <c r="AF136" s="329"/>
      <c r="AG136" s="320"/>
      <c r="AH136" s="13"/>
      <c r="AI136" s="13"/>
      <c r="AJ136" s="13"/>
      <c r="AK136" s="13"/>
      <c r="AL136" s="13"/>
      <c r="AM136" s="13"/>
      <c r="AN136" s="13"/>
      <c r="AO136" s="13"/>
      <c r="AP136" s="13"/>
    </row>
    <row r="137" ht="18.75" customHeight="1">
      <c r="A137" s="13"/>
      <c r="B137" s="327"/>
      <c r="C137" s="306" t="str">
        <f>IFERROR(__xludf.DUMMYFUNCTION("GOOGLEFINANCE(B137,""name"")
"),"#N/A")</f>
        <v>#N/A</v>
      </c>
      <c r="D137" s="306"/>
      <c r="E137" s="328"/>
      <c r="F137" s="13" t="str">
        <f t="shared" si="1"/>
        <v/>
      </c>
      <c r="G137" s="309" t="str">
        <f>IFERROR(__xludf.DUMMYFUNCTION("IF(ISBLANK(B137),"""",IFERROR(SPARKLINE(INDEX(GOOGLEFINANCE(B137,""price"",TODAY()-$G$17,TODAY()),,2),{""charttype"",""column"";""color"",""17a7e0""}),""""))"),"")</f>
        <v/>
      </c>
      <c r="I137" s="309" t="str">
        <f>IFERROR(__xludf.DUMMYFUNCTION("IFERROR(IF(B137="""","""",GOOGLEFINANCE(B137)),IFERROR(GOOGLEFINANCE(""CURRENCY:""&amp;""USD""&amp;$D$15)*IMPORTXML(""https://coinmarketcap.com/currencies/""&amp;B137,$AJ$3),IMPORTXML(""https://coinmarketcap.com/currencies/""&amp;B137,$AJ$3)))"),"")</f>
        <v/>
      </c>
      <c r="J137" s="310" t="str">
        <f t="shared" si="2"/>
        <v/>
      </c>
      <c r="K137" s="310" t="str">
        <f>IFERROR(__xludf.DUMMYFUNCTION("IFERROR(IF(ISBLANK(B137),"""",GOOGLEFINANCE(B137,""changepct"")/100),"""")"),"")</f>
        <v/>
      </c>
      <c r="L137" s="310" t="str">
        <f>IFERROR(__xludf.DUMMYFUNCTION("IF(ISBLANK(B137),"""",IFERROR((GOOGLEFINANCE(B137,""price"")/INDEX(GOOGLEFINANCE(B137,""price"",DATEVALUE(TODAY()-365) ),2,2)-1),""""))"),"")</f>
        <v/>
      </c>
      <c r="M137" s="310" t="str">
        <f>IFERROR(__xludf.DUMMYFUNCTION("IF(ISBLANK(B137),"""",IFERROR((GOOGLEFINANCE($D$13,""price"")/INDEX(GOOGLEFINANCE($D$13,""price"",DATEVALUE(TODAY()-365) ),2,2)-1),""""))"),"")</f>
        <v/>
      </c>
      <c r="N137" s="310" t="str">
        <f t="shared" si="3"/>
        <v/>
      </c>
      <c r="O137" s="311" t="str">
        <f>IFERROR(__xludf.DUMMYFUNCTION("IFERROR(IF(ISBLANK(B137),"""",GOOGLEFINANCE(B137,""low52"")),"""")"),"")</f>
        <v/>
      </c>
      <c r="P137" s="310" t="str">
        <f t="shared" si="4"/>
        <v/>
      </c>
      <c r="Q137" s="311" t="str">
        <f>IFERROR(__xludf.DUMMYFUNCTION("IFERROR(IF(ISBLANK(B137),"""",GOOGLEFINANCE(B137,""high52"")),"""")"),"")</f>
        <v/>
      </c>
      <c r="R137" s="310" t="str">
        <f t="shared" si="5"/>
        <v/>
      </c>
      <c r="S137" s="13" t="str">
        <f t="shared" si="6"/>
        <v/>
      </c>
      <c r="U137" s="13" t="str">
        <f t="shared" si="7"/>
        <v/>
      </c>
      <c r="W137" s="13" t="str">
        <f t="shared" si="8"/>
        <v/>
      </c>
      <c r="X137" s="310" t="str">
        <f t="shared" si="9"/>
        <v/>
      </c>
      <c r="Y137" s="311" t="str">
        <f>IFERROR(__xludf.DUMMYFUNCTION("IF(ISBLANK(B137),"""",IFERROR(INDEX(GOOGLEFINANCE(B137,""price"",WORKDAY(TODAY(),-$Y$17)),2,2),""""))"),"")</f>
        <v/>
      </c>
      <c r="Z137" s="310" t="str">
        <f>IFERROR(__xludf.DUMMYFUNCTION("IF(ISBLANK(B137),"""",IFERROR(I137/(INDEX(GOOGLEFINANCE(B137,""price"",WORKDAY(TODAY(),-$Z$17)),2,2))-1,""""))"),"")</f>
        <v/>
      </c>
      <c r="AA137" s="312" t="str">
        <f>IFERROR(__xludf.DUMMYFUNCTION("IF(ISBLANK(B137),"""",IFERROR(IFERROR(""$""&amp;Trunc(GOOGLEFINANCE(B137,""Marketcap"")/1000000000)&amp;"" B"",""$""&amp;Trunc(IMPORTXML(""https://coinmarketcap.com/currencies/""&amp;B137,$AJ$4)/1000000000)&amp;"" B""),""-""))"),"")</f>
        <v/>
      </c>
      <c r="AB137" s="13" t="str">
        <f>IFERROR(__xludf.DUMMYFUNCTION("IF(ISBLANK(B137),"""",IFERROR(GOOGLEFINANCE(B137,""pe""),""-""))"),"")</f>
        <v/>
      </c>
      <c r="AC137" s="313" t="str">
        <f>IFERROR(__xludf.DUMMYFUNCTION("SPARKLINE(INDEX(GOOGLEFINANCE(B137,""price"",workday(today(),-$AC$17),today()),,2),{""charttype"",""column"";""color"",""green""})
"),"#N/A")</f>
        <v>#N/A</v>
      </c>
      <c r="AD137" s="313" t="str">
        <f>IFERROR(__xludf.DUMMYFUNCTION("IF(ISBLANK(B137),"""",IFERROR(INDEX(IMPORTXML(""https://eresearch.fidelity.com/eresearch/goto/evaluate/snapshot.jhtml?symbols=""&amp;B137&amp;"""",""//div[@class='sub-heading']//span[@class='right']""),1),""Enter Manually"")
)"),"")</f>
        <v/>
      </c>
      <c r="AE137" s="314" t="str">
        <f t="shared" si="10"/>
        <v>Info</v>
      </c>
      <c r="AF137" s="329"/>
      <c r="AG137" s="320"/>
      <c r="AH137" s="13"/>
      <c r="AI137" s="13"/>
      <c r="AJ137" s="13"/>
      <c r="AK137" s="13"/>
      <c r="AL137" s="13"/>
      <c r="AM137" s="13"/>
      <c r="AN137" s="13"/>
      <c r="AO137" s="13"/>
      <c r="AP137" s="13"/>
    </row>
    <row r="138" ht="18.75" customHeight="1">
      <c r="A138" s="13"/>
      <c r="B138" s="327"/>
      <c r="C138" s="306" t="str">
        <f>IFERROR(__xludf.DUMMYFUNCTION("GOOGLEFINANCE(B138,""name"")
"),"#N/A")</f>
        <v>#N/A</v>
      </c>
      <c r="D138" s="306"/>
      <c r="E138" s="328"/>
      <c r="F138" s="13" t="str">
        <f t="shared" si="1"/>
        <v/>
      </c>
      <c r="G138" s="309" t="str">
        <f>IFERROR(__xludf.DUMMYFUNCTION("IF(ISBLANK(B138),"""",IFERROR(SPARKLINE(INDEX(GOOGLEFINANCE(B138,""price"",TODAY()-$G$17,TODAY()),,2),{""charttype"",""column"";""color"",""17a7e0""}),""""))"),"")</f>
        <v/>
      </c>
      <c r="I138" s="309" t="str">
        <f>IFERROR(__xludf.DUMMYFUNCTION("IFERROR(IF(B138="""","""",GOOGLEFINANCE(B138)),IFERROR(GOOGLEFINANCE(""CURRENCY:""&amp;""USD""&amp;$D$15)*IMPORTXML(""https://coinmarketcap.com/currencies/""&amp;B138,$AJ$3),IMPORTXML(""https://coinmarketcap.com/currencies/""&amp;B138,$AJ$3)))"),"")</f>
        <v/>
      </c>
      <c r="J138" s="310" t="str">
        <f t="shared" si="2"/>
        <v/>
      </c>
      <c r="K138" s="310" t="str">
        <f>IFERROR(__xludf.DUMMYFUNCTION("IFERROR(IF(ISBLANK(B138),"""",GOOGLEFINANCE(B138,""changepct"")/100),"""")"),"")</f>
        <v/>
      </c>
      <c r="L138" s="310" t="str">
        <f>IFERROR(__xludf.DUMMYFUNCTION("IF(ISBLANK(B138),"""",IFERROR((GOOGLEFINANCE(B138,""price"")/INDEX(GOOGLEFINANCE(B138,""price"",DATEVALUE(TODAY()-365) ),2,2)-1),""""))"),"")</f>
        <v/>
      </c>
      <c r="M138" s="310" t="str">
        <f>IFERROR(__xludf.DUMMYFUNCTION("IF(ISBLANK(B138),"""",IFERROR((GOOGLEFINANCE($D$13,""price"")/INDEX(GOOGLEFINANCE($D$13,""price"",DATEVALUE(TODAY()-365) ),2,2)-1),""""))"),"")</f>
        <v/>
      </c>
      <c r="N138" s="310" t="str">
        <f t="shared" si="3"/>
        <v/>
      </c>
      <c r="O138" s="311" t="str">
        <f>IFERROR(__xludf.DUMMYFUNCTION("IFERROR(IF(ISBLANK(B138),"""",GOOGLEFINANCE(B138,""low52"")),"""")"),"")</f>
        <v/>
      </c>
      <c r="P138" s="310" t="str">
        <f t="shared" si="4"/>
        <v/>
      </c>
      <c r="Q138" s="311" t="str">
        <f>IFERROR(__xludf.DUMMYFUNCTION("IFERROR(IF(ISBLANK(B138),"""",GOOGLEFINANCE(B138,""high52"")),"""")"),"")</f>
        <v/>
      </c>
      <c r="R138" s="310" t="str">
        <f t="shared" si="5"/>
        <v/>
      </c>
      <c r="S138" s="13" t="str">
        <f t="shared" si="6"/>
        <v/>
      </c>
      <c r="U138" s="13" t="str">
        <f t="shared" si="7"/>
        <v/>
      </c>
      <c r="W138" s="13" t="str">
        <f t="shared" si="8"/>
        <v/>
      </c>
      <c r="X138" s="310" t="str">
        <f t="shared" si="9"/>
        <v/>
      </c>
      <c r="Y138" s="311" t="str">
        <f>IFERROR(__xludf.DUMMYFUNCTION("IF(ISBLANK(B138),"""",IFERROR(INDEX(GOOGLEFINANCE(B138,""price"",WORKDAY(TODAY(),-$Y$17)),2,2),""""))"),"")</f>
        <v/>
      </c>
      <c r="Z138" s="310" t="str">
        <f>IFERROR(__xludf.DUMMYFUNCTION("IF(ISBLANK(B138),"""",IFERROR(I138/(INDEX(GOOGLEFINANCE(B138,""price"",WORKDAY(TODAY(),-$Z$17)),2,2))-1,""""))"),"")</f>
        <v/>
      </c>
      <c r="AA138" s="312" t="str">
        <f>IFERROR(__xludf.DUMMYFUNCTION("IF(ISBLANK(B138),"""",IFERROR(IFERROR(""$""&amp;Trunc(GOOGLEFINANCE(B138,""Marketcap"")/1000000000)&amp;"" B"",""$""&amp;Trunc(IMPORTXML(""https://coinmarketcap.com/currencies/""&amp;B138,$AJ$4)/1000000000)&amp;"" B""),""-""))"),"")</f>
        <v/>
      </c>
      <c r="AB138" s="13" t="str">
        <f>IFERROR(__xludf.DUMMYFUNCTION("IF(ISBLANK(B138),"""",IFERROR(GOOGLEFINANCE(B138,""pe""),""-""))"),"")</f>
        <v/>
      </c>
      <c r="AC138" s="313" t="str">
        <f>IFERROR(__xludf.DUMMYFUNCTION("SPARKLINE(INDEX(GOOGLEFINANCE(B138,""price"",workday(today(),-$AC$17),today()),,2),{""charttype"",""column"";""color"",""green""})
"),"#N/A")</f>
        <v>#N/A</v>
      </c>
      <c r="AD138" s="313" t="str">
        <f>IFERROR(__xludf.DUMMYFUNCTION("IF(ISBLANK(B138),"""",IFERROR(INDEX(IMPORTXML(""https://eresearch.fidelity.com/eresearch/goto/evaluate/snapshot.jhtml?symbols=""&amp;B138&amp;"""",""//div[@class='sub-heading']//span[@class='right']""),1),""Enter Manually"")
)"),"")</f>
        <v/>
      </c>
      <c r="AE138" s="314" t="str">
        <f t="shared" si="10"/>
        <v>Info</v>
      </c>
      <c r="AF138" s="329"/>
      <c r="AG138" s="320"/>
      <c r="AH138" s="13"/>
      <c r="AI138" s="13"/>
      <c r="AJ138" s="13"/>
      <c r="AK138" s="13"/>
      <c r="AL138" s="13"/>
      <c r="AM138" s="13"/>
      <c r="AN138" s="13"/>
      <c r="AO138" s="13"/>
      <c r="AP138" s="13"/>
    </row>
    <row r="139" ht="18.75" customHeight="1">
      <c r="A139" s="13"/>
      <c r="B139" s="327"/>
      <c r="C139" s="306" t="str">
        <f>IFERROR(__xludf.DUMMYFUNCTION("GOOGLEFINANCE(B139,""name"")
"),"#N/A")</f>
        <v>#N/A</v>
      </c>
      <c r="D139" s="306"/>
      <c r="E139" s="328"/>
      <c r="F139" s="13" t="str">
        <f t="shared" si="1"/>
        <v/>
      </c>
      <c r="G139" s="309" t="str">
        <f>IFERROR(__xludf.DUMMYFUNCTION("IF(ISBLANK(B139),"""",IFERROR(SPARKLINE(INDEX(GOOGLEFINANCE(B139,""price"",TODAY()-$G$17,TODAY()),,2),{""charttype"",""column"";""color"",""17a7e0""}),""""))"),"")</f>
        <v/>
      </c>
      <c r="I139" s="309" t="str">
        <f>IFERROR(__xludf.DUMMYFUNCTION("IFERROR(IF(B139="""","""",GOOGLEFINANCE(B139)),IFERROR(GOOGLEFINANCE(""CURRENCY:""&amp;""USD""&amp;$D$15)*IMPORTXML(""https://coinmarketcap.com/currencies/""&amp;B139,$AJ$3),IMPORTXML(""https://coinmarketcap.com/currencies/""&amp;B139,$AJ$3)))"),"")</f>
        <v/>
      </c>
      <c r="J139" s="310" t="str">
        <f t="shared" si="2"/>
        <v/>
      </c>
      <c r="K139" s="310" t="str">
        <f>IFERROR(__xludf.DUMMYFUNCTION("IFERROR(IF(ISBLANK(B139),"""",GOOGLEFINANCE(B139,""changepct"")/100),"""")"),"")</f>
        <v/>
      </c>
      <c r="L139" s="310" t="str">
        <f>IFERROR(__xludf.DUMMYFUNCTION("IF(ISBLANK(B139),"""",IFERROR((GOOGLEFINANCE(B139,""price"")/INDEX(GOOGLEFINANCE(B139,""price"",DATEVALUE(TODAY()-365) ),2,2)-1),""""))"),"")</f>
        <v/>
      </c>
      <c r="M139" s="310" t="str">
        <f>IFERROR(__xludf.DUMMYFUNCTION("IF(ISBLANK(B139),"""",IFERROR((GOOGLEFINANCE($D$13,""price"")/INDEX(GOOGLEFINANCE($D$13,""price"",DATEVALUE(TODAY()-365) ),2,2)-1),""""))"),"")</f>
        <v/>
      </c>
      <c r="N139" s="310" t="str">
        <f t="shared" si="3"/>
        <v/>
      </c>
      <c r="O139" s="311" t="str">
        <f>IFERROR(__xludf.DUMMYFUNCTION("IFERROR(IF(ISBLANK(B139),"""",GOOGLEFINANCE(B139,""low52"")),"""")"),"")</f>
        <v/>
      </c>
      <c r="P139" s="310" t="str">
        <f t="shared" si="4"/>
        <v/>
      </c>
      <c r="Q139" s="311" t="str">
        <f>IFERROR(__xludf.DUMMYFUNCTION("IFERROR(IF(ISBLANK(B139),"""",GOOGLEFINANCE(B139,""high52"")),"""")"),"")</f>
        <v/>
      </c>
      <c r="R139" s="310" t="str">
        <f t="shared" si="5"/>
        <v/>
      </c>
      <c r="S139" s="13" t="str">
        <f t="shared" si="6"/>
        <v/>
      </c>
      <c r="U139" s="13" t="str">
        <f t="shared" si="7"/>
        <v/>
      </c>
      <c r="W139" s="13" t="str">
        <f t="shared" si="8"/>
        <v/>
      </c>
      <c r="X139" s="310" t="str">
        <f t="shared" si="9"/>
        <v/>
      </c>
      <c r="Y139" s="311" t="str">
        <f>IFERROR(__xludf.DUMMYFUNCTION("IF(ISBLANK(B139),"""",IFERROR(INDEX(GOOGLEFINANCE(B139,""price"",WORKDAY(TODAY(),-$Y$17)),2,2),""""))"),"")</f>
        <v/>
      </c>
      <c r="Z139" s="310" t="str">
        <f>IFERROR(__xludf.DUMMYFUNCTION("IF(ISBLANK(B139),"""",IFERROR(I139/(INDEX(GOOGLEFINANCE(B139,""price"",WORKDAY(TODAY(),-$Z$17)),2,2))-1,""""))"),"")</f>
        <v/>
      </c>
      <c r="AA139" s="312" t="str">
        <f>IFERROR(__xludf.DUMMYFUNCTION("IF(ISBLANK(B139),"""",IFERROR(IFERROR(""$""&amp;Trunc(GOOGLEFINANCE(B139,""Marketcap"")/1000000000)&amp;"" B"",""$""&amp;Trunc(IMPORTXML(""https://coinmarketcap.com/currencies/""&amp;B139,$AJ$4)/1000000000)&amp;"" B""),""-""))"),"")</f>
        <v/>
      </c>
      <c r="AB139" s="13" t="str">
        <f>IFERROR(__xludf.DUMMYFUNCTION("IF(ISBLANK(B139),"""",IFERROR(GOOGLEFINANCE(B139,""pe""),""-""))"),"")</f>
        <v/>
      </c>
      <c r="AC139" s="313" t="str">
        <f>IFERROR(__xludf.DUMMYFUNCTION("SPARKLINE(INDEX(GOOGLEFINANCE(B139,""price"",workday(today(),-$AC$17),today()),,2),{""charttype"",""column"";""color"",""green""})
"),"#N/A")</f>
        <v>#N/A</v>
      </c>
      <c r="AD139" s="313" t="str">
        <f>IFERROR(__xludf.DUMMYFUNCTION("IF(ISBLANK(B139),"""",IFERROR(INDEX(IMPORTXML(""https://eresearch.fidelity.com/eresearch/goto/evaluate/snapshot.jhtml?symbols=""&amp;B139&amp;"""",""//div[@class='sub-heading']//span[@class='right']""),1),""Enter Manually"")
)"),"")</f>
        <v/>
      </c>
      <c r="AE139" s="314" t="str">
        <f t="shared" si="10"/>
        <v>Info</v>
      </c>
      <c r="AF139" s="329"/>
      <c r="AG139" s="320"/>
      <c r="AH139" s="13"/>
      <c r="AI139" s="13"/>
      <c r="AJ139" s="13"/>
      <c r="AK139" s="13"/>
      <c r="AL139" s="13"/>
      <c r="AM139" s="13"/>
      <c r="AN139" s="13"/>
      <c r="AO139" s="13"/>
      <c r="AP139" s="13"/>
    </row>
    <row r="140" ht="18.75" customHeight="1">
      <c r="A140" s="13"/>
      <c r="B140" s="327"/>
      <c r="C140" s="306" t="str">
        <f>IFERROR(__xludf.DUMMYFUNCTION("GOOGLEFINANCE(B140,""name"")
"),"#N/A")</f>
        <v>#N/A</v>
      </c>
      <c r="D140" s="306"/>
      <c r="E140" s="328"/>
      <c r="F140" s="13" t="str">
        <f t="shared" si="1"/>
        <v/>
      </c>
      <c r="G140" s="309" t="str">
        <f>IFERROR(__xludf.DUMMYFUNCTION("IF(ISBLANK(B140),"""",IFERROR(SPARKLINE(INDEX(GOOGLEFINANCE(B140,""price"",TODAY()-$G$17,TODAY()),,2),{""charttype"",""column"";""color"",""17a7e0""}),""""))"),"")</f>
        <v/>
      </c>
      <c r="I140" s="309" t="str">
        <f>IFERROR(__xludf.DUMMYFUNCTION("IFERROR(IF(B140="""","""",GOOGLEFINANCE(B140)),IFERROR(GOOGLEFINANCE(""CURRENCY:""&amp;""USD""&amp;$D$15)*IMPORTXML(""https://coinmarketcap.com/currencies/""&amp;B140,$AJ$3),IMPORTXML(""https://coinmarketcap.com/currencies/""&amp;B140,$AJ$3)))"),"")</f>
        <v/>
      </c>
      <c r="J140" s="310" t="str">
        <f t="shared" si="2"/>
        <v/>
      </c>
      <c r="K140" s="310" t="str">
        <f>IFERROR(__xludf.DUMMYFUNCTION("IFERROR(IF(ISBLANK(B140),"""",GOOGLEFINANCE(B140,""changepct"")/100),"""")"),"")</f>
        <v/>
      </c>
      <c r="L140" s="310" t="str">
        <f>IFERROR(__xludf.DUMMYFUNCTION("IF(ISBLANK(B140),"""",IFERROR((GOOGLEFINANCE(B140,""price"")/INDEX(GOOGLEFINANCE(B140,""price"",DATEVALUE(TODAY()-365) ),2,2)-1),""""))"),"")</f>
        <v/>
      </c>
      <c r="M140" s="310" t="str">
        <f>IFERROR(__xludf.DUMMYFUNCTION("IF(ISBLANK(B140),"""",IFERROR((GOOGLEFINANCE($D$13,""price"")/INDEX(GOOGLEFINANCE($D$13,""price"",DATEVALUE(TODAY()-365) ),2,2)-1),""""))"),"")</f>
        <v/>
      </c>
      <c r="N140" s="310" t="str">
        <f t="shared" si="3"/>
        <v/>
      </c>
      <c r="O140" s="311" t="str">
        <f>IFERROR(__xludf.DUMMYFUNCTION("IFERROR(IF(ISBLANK(B140),"""",GOOGLEFINANCE(B140,""low52"")),"""")"),"")</f>
        <v/>
      </c>
      <c r="P140" s="310" t="str">
        <f t="shared" si="4"/>
        <v/>
      </c>
      <c r="Q140" s="311" t="str">
        <f>IFERROR(__xludf.DUMMYFUNCTION("IFERROR(IF(ISBLANK(B140),"""",GOOGLEFINANCE(B140,""high52"")),"""")"),"")</f>
        <v/>
      </c>
      <c r="R140" s="310" t="str">
        <f t="shared" si="5"/>
        <v/>
      </c>
      <c r="S140" s="13" t="str">
        <f t="shared" si="6"/>
        <v/>
      </c>
      <c r="U140" s="13" t="str">
        <f t="shared" si="7"/>
        <v/>
      </c>
      <c r="W140" s="13" t="str">
        <f t="shared" si="8"/>
        <v/>
      </c>
      <c r="X140" s="310" t="str">
        <f t="shared" si="9"/>
        <v/>
      </c>
      <c r="Y140" s="311" t="str">
        <f>IFERROR(__xludf.DUMMYFUNCTION("IF(ISBLANK(B140),"""",IFERROR(INDEX(GOOGLEFINANCE(B140,""price"",WORKDAY(TODAY(),-$Y$17)),2,2),""""))"),"")</f>
        <v/>
      </c>
      <c r="Z140" s="310" t="str">
        <f>IFERROR(__xludf.DUMMYFUNCTION("IF(ISBLANK(B140),"""",IFERROR(I140/(INDEX(GOOGLEFINANCE(B140,""price"",WORKDAY(TODAY(),-$Z$17)),2,2))-1,""""))"),"")</f>
        <v/>
      </c>
      <c r="AA140" s="312" t="str">
        <f>IFERROR(__xludf.DUMMYFUNCTION("IF(ISBLANK(B140),"""",IFERROR(IFERROR(""$""&amp;Trunc(GOOGLEFINANCE(B140,""Marketcap"")/1000000000)&amp;"" B"",""$""&amp;Trunc(IMPORTXML(""https://coinmarketcap.com/currencies/""&amp;B140,$AJ$4)/1000000000)&amp;"" B""),""-""))"),"")</f>
        <v/>
      </c>
      <c r="AB140" s="13" t="str">
        <f>IFERROR(__xludf.DUMMYFUNCTION("IF(ISBLANK(B140),"""",IFERROR(GOOGLEFINANCE(B140,""pe""),""-""))"),"")</f>
        <v/>
      </c>
      <c r="AC140" s="313" t="str">
        <f>IFERROR(__xludf.DUMMYFUNCTION("SPARKLINE(INDEX(GOOGLEFINANCE(B140,""price"",workday(today(),-$AC$17),today()),,2),{""charttype"",""column"";""color"",""green""})
"),"#N/A")</f>
        <v>#N/A</v>
      </c>
      <c r="AD140" s="313" t="str">
        <f>IFERROR(__xludf.DUMMYFUNCTION("IF(ISBLANK(B140),"""",IFERROR(INDEX(IMPORTXML(""https://eresearch.fidelity.com/eresearch/goto/evaluate/snapshot.jhtml?symbols=""&amp;B140&amp;"""",""//div[@class='sub-heading']//span[@class='right']""),1),""Enter Manually"")
)"),"")</f>
        <v/>
      </c>
      <c r="AE140" s="314" t="str">
        <f t="shared" si="10"/>
        <v>Info</v>
      </c>
      <c r="AF140" s="329"/>
      <c r="AG140" s="320"/>
      <c r="AH140" s="13"/>
      <c r="AI140" s="13"/>
      <c r="AJ140" s="13"/>
      <c r="AK140" s="13"/>
      <c r="AL140" s="13"/>
      <c r="AM140" s="13"/>
      <c r="AN140" s="13"/>
      <c r="AO140" s="13"/>
      <c r="AP140" s="13"/>
    </row>
    <row r="141" ht="18.75" customHeight="1">
      <c r="A141" s="13"/>
      <c r="B141" s="327"/>
      <c r="C141" s="306" t="str">
        <f>IFERROR(__xludf.DUMMYFUNCTION("GOOGLEFINANCE(B141,""name"")
"),"#N/A")</f>
        <v>#N/A</v>
      </c>
      <c r="D141" s="306"/>
      <c r="E141" s="328"/>
      <c r="F141" s="13" t="str">
        <f t="shared" si="1"/>
        <v/>
      </c>
      <c r="G141" s="309" t="str">
        <f>IFERROR(__xludf.DUMMYFUNCTION("IF(ISBLANK(B141),"""",IFERROR(SPARKLINE(INDEX(GOOGLEFINANCE(B141,""price"",TODAY()-$G$17,TODAY()),,2),{""charttype"",""column"";""color"",""17a7e0""}),""""))"),"")</f>
        <v/>
      </c>
      <c r="I141" s="309" t="str">
        <f>IFERROR(__xludf.DUMMYFUNCTION("IFERROR(IF(B141="""","""",GOOGLEFINANCE(B141)),IFERROR(GOOGLEFINANCE(""CURRENCY:""&amp;""USD""&amp;$D$15)*IMPORTXML(""https://coinmarketcap.com/currencies/""&amp;B141,$AJ$3),IMPORTXML(""https://coinmarketcap.com/currencies/""&amp;B141,$AJ$3)))"),"")</f>
        <v/>
      </c>
      <c r="J141" s="310" t="str">
        <f t="shared" si="2"/>
        <v/>
      </c>
      <c r="K141" s="310" t="str">
        <f>IFERROR(__xludf.DUMMYFUNCTION("IFERROR(IF(ISBLANK(B141),"""",GOOGLEFINANCE(B141,""changepct"")/100),"""")"),"")</f>
        <v/>
      </c>
      <c r="L141" s="310" t="str">
        <f>IFERROR(__xludf.DUMMYFUNCTION("IF(ISBLANK(B141),"""",IFERROR((GOOGLEFINANCE(B141,""price"")/INDEX(GOOGLEFINANCE(B141,""price"",DATEVALUE(TODAY()-365) ),2,2)-1),""""))"),"")</f>
        <v/>
      </c>
      <c r="M141" s="310" t="str">
        <f>IFERROR(__xludf.DUMMYFUNCTION("IF(ISBLANK(B141),"""",IFERROR((GOOGLEFINANCE($D$13,""price"")/INDEX(GOOGLEFINANCE($D$13,""price"",DATEVALUE(TODAY()-365) ),2,2)-1),""""))"),"")</f>
        <v/>
      </c>
      <c r="N141" s="310" t="str">
        <f t="shared" si="3"/>
        <v/>
      </c>
      <c r="O141" s="311" t="str">
        <f>IFERROR(__xludf.DUMMYFUNCTION("IFERROR(IF(ISBLANK(B141),"""",GOOGLEFINANCE(B141,""low52"")),"""")"),"")</f>
        <v/>
      </c>
      <c r="P141" s="310" t="str">
        <f t="shared" si="4"/>
        <v/>
      </c>
      <c r="Q141" s="311" t="str">
        <f>IFERROR(__xludf.DUMMYFUNCTION("IFERROR(IF(ISBLANK(B141),"""",GOOGLEFINANCE(B141,""high52"")),"""")"),"")</f>
        <v/>
      </c>
      <c r="R141" s="310" t="str">
        <f t="shared" si="5"/>
        <v/>
      </c>
      <c r="S141" s="13" t="str">
        <f t="shared" si="6"/>
        <v/>
      </c>
      <c r="U141" s="13" t="str">
        <f t="shared" si="7"/>
        <v/>
      </c>
      <c r="W141" s="13" t="str">
        <f t="shared" si="8"/>
        <v/>
      </c>
      <c r="X141" s="310" t="str">
        <f t="shared" si="9"/>
        <v/>
      </c>
      <c r="Y141" s="311" t="str">
        <f>IFERROR(__xludf.DUMMYFUNCTION("IF(ISBLANK(B141),"""",IFERROR(INDEX(GOOGLEFINANCE(B141,""price"",WORKDAY(TODAY(),-$Y$17)),2,2),""""))"),"")</f>
        <v/>
      </c>
      <c r="Z141" s="310" t="str">
        <f>IFERROR(__xludf.DUMMYFUNCTION("IF(ISBLANK(B141),"""",IFERROR(I141/(INDEX(GOOGLEFINANCE(B141,""price"",WORKDAY(TODAY(),-$Z$17)),2,2))-1,""""))"),"")</f>
        <v/>
      </c>
      <c r="AA141" s="312" t="str">
        <f>IFERROR(__xludf.DUMMYFUNCTION("IF(ISBLANK(B141),"""",IFERROR(IFERROR(""$""&amp;Trunc(GOOGLEFINANCE(B141,""Marketcap"")/1000000000)&amp;"" B"",""$""&amp;Trunc(IMPORTXML(""https://coinmarketcap.com/currencies/""&amp;B141,$AJ$4)/1000000000)&amp;"" B""),""-""))"),"")</f>
        <v/>
      </c>
      <c r="AB141" s="13" t="str">
        <f>IFERROR(__xludf.DUMMYFUNCTION("IF(ISBLANK(B141),"""",IFERROR(GOOGLEFINANCE(B141,""pe""),""-""))"),"")</f>
        <v/>
      </c>
      <c r="AC141" s="313" t="str">
        <f>IFERROR(__xludf.DUMMYFUNCTION("SPARKLINE(INDEX(GOOGLEFINANCE(B141,""price"",workday(today(),-$AC$17),today()),,2),{""charttype"",""column"";""color"",""green""})
"),"#N/A")</f>
        <v>#N/A</v>
      </c>
      <c r="AD141" s="313" t="str">
        <f>IFERROR(__xludf.DUMMYFUNCTION("IF(ISBLANK(B141),"""",IFERROR(INDEX(IMPORTXML(""https://eresearch.fidelity.com/eresearch/goto/evaluate/snapshot.jhtml?symbols=""&amp;B141&amp;"""",""//div[@class='sub-heading']//span[@class='right']""),1),""Enter Manually"")
)"),"")</f>
        <v/>
      </c>
      <c r="AE141" s="314" t="str">
        <f t="shared" si="10"/>
        <v>Info</v>
      </c>
      <c r="AF141" s="329"/>
      <c r="AG141" s="320"/>
      <c r="AH141" s="13"/>
      <c r="AI141" s="13"/>
      <c r="AJ141" s="13"/>
      <c r="AK141" s="13"/>
      <c r="AL141" s="13"/>
      <c r="AM141" s="13"/>
      <c r="AN141" s="13"/>
      <c r="AO141" s="13"/>
      <c r="AP141" s="13"/>
    </row>
    <row r="142" ht="18.75" customHeight="1">
      <c r="A142" s="13"/>
      <c r="B142" s="327"/>
      <c r="C142" s="306" t="str">
        <f>IFERROR(__xludf.DUMMYFUNCTION("GOOGLEFINANCE(B142,""name"")
"),"#N/A")</f>
        <v>#N/A</v>
      </c>
      <c r="D142" s="306"/>
      <c r="E142" s="328"/>
      <c r="F142" s="13" t="str">
        <f t="shared" si="1"/>
        <v/>
      </c>
      <c r="G142" s="309" t="str">
        <f>IFERROR(__xludf.DUMMYFUNCTION("IF(ISBLANK(B142),"""",IFERROR(SPARKLINE(INDEX(GOOGLEFINANCE(B142,""price"",TODAY()-$G$17,TODAY()),,2),{""charttype"",""column"";""color"",""17a7e0""}),""""))"),"")</f>
        <v/>
      </c>
      <c r="I142" s="309" t="str">
        <f>IFERROR(__xludf.DUMMYFUNCTION("IFERROR(IF(B142="""","""",GOOGLEFINANCE(B142)),IFERROR(GOOGLEFINANCE(""CURRENCY:""&amp;""USD""&amp;$D$15)*IMPORTXML(""https://coinmarketcap.com/currencies/""&amp;B142,$AJ$3),IMPORTXML(""https://coinmarketcap.com/currencies/""&amp;B142,$AJ$3)))"),"")</f>
        <v/>
      </c>
      <c r="J142" s="310" t="str">
        <f t="shared" si="2"/>
        <v/>
      </c>
      <c r="K142" s="310" t="str">
        <f>IFERROR(__xludf.DUMMYFUNCTION("IFERROR(IF(ISBLANK(B142),"""",GOOGLEFINANCE(B142,""changepct"")/100),"""")"),"")</f>
        <v/>
      </c>
      <c r="L142" s="310" t="str">
        <f>IFERROR(__xludf.DUMMYFUNCTION("IF(ISBLANK(B142),"""",IFERROR((GOOGLEFINANCE(B142,""price"")/INDEX(GOOGLEFINANCE(B142,""price"",DATEVALUE(TODAY()-365) ),2,2)-1),""""))"),"")</f>
        <v/>
      </c>
      <c r="M142" s="310" t="str">
        <f>IFERROR(__xludf.DUMMYFUNCTION("IF(ISBLANK(B142),"""",IFERROR((GOOGLEFINANCE($D$13,""price"")/INDEX(GOOGLEFINANCE($D$13,""price"",DATEVALUE(TODAY()-365) ),2,2)-1),""""))"),"")</f>
        <v/>
      </c>
      <c r="N142" s="310" t="str">
        <f t="shared" si="3"/>
        <v/>
      </c>
      <c r="O142" s="311" t="str">
        <f>IFERROR(__xludf.DUMMYFUNCTION("IFERROR(IF(ISBLANK(B142),"""",GOOGLEFINANCE(B142,""low52"")),"""")"),"")</f>
        <v/>
      </c>
      <c r="P142" s="310" t="str">
        <f t="shared" si="4"/>
        <v/>
      </c>
      <c r="Q142" s="311" t="str">
        <f>IFERROR(__xludf.DUMMYFUNCTION("IFERROR(IF(ISBLANK(B142),"""",GOOGLEFINANCE(B142,""high52"")),"""")"),"")</f>
        <v/>
      </c>
      <c r="R142" s="310" t="str">
        <f t="shared" si="5"/>
        <v/>
      </c>
      <c r="S142" s="13" t="str">
        <f t="shared" si="6"/>
        <v/>
      </c>
      <c r="U142" s="13" t="str">
        <f t="shared" si="7"/>
        <v/>
      </c>
      <c r="W142" s="13" t="str">
        <f t="shared" si="8"/>
        <v/>
      </c>
      <c r="X142" s="310" t="str">
        <f t="shared" si="9"/>
        <v/>
      </c>
      <c r="Y142" s="311" t="str">
        <f>IFERROR(__xludf.DUMMYFUNCTION("IF(ISBLANK(B142),"""",IFERROR(INDEX(GOOGLEFINANCE(B142,""price"",WORKDAY(TODAY(),-$Y$17)),2,2),""""))"),"")</f>
        <v/>
      </c>
      <c r="Z142" s="310" t="str">
        <f>IFERROR(__xludf.DUMMYFUNCTION("IF(ISBLANK(B142),"""",IFERROR(I142/(INDEX(GOOGLEFINANCE(B142,""price"",WORKDAY(TODAY(),-$Z$17)),2,2))-1,""""))"),"")</f>
        <v/>
      </c>
      <c r="AA142" s="312" t="str">
        <f>IFERROR(__xludf.DUMMYFUNCTION("IF(ISBLANK(B142),"""",IFERROR(IFERROR(""$""&amp;Trunc(GOOGLEFINANCE(B142,""Marketcap"")/1000000000)&amp;"" B"",""$""&amp;Trunc(IMPORTXML(""https://coinmarketcap.com/currencies/""&amp;B142,$AJ$4)/1000000000)&amp;"" B""),""-""))"),"")</f>
        <v/>
      </c>
      <c r="AB142" s="13" t="str">
        <f>IFERROR(__xludf.DUMMYFUNCTION("IF(ISBLANK(B142),"""",IFERROR(GOOGLEFINANCE(B142,""pe""),""-""))"),"")</f>
        <v/>
      </c>
      <c r="AC142" s="313" t="str">
        <f>IFERROR(__xludf.DUMMYFUNCTION("SPARKLINE(INDEX(GOOGLEFINANCE(B142,""price"",workday(today(),-$AC$17),today()),,2),{""charttype"",""column"";""color"",""green""})
"),"#N/A")</f>
        <v>#N/A</v>
      </c>
      <c r="AD142" s="313" t="str">
        <f>IFERROR(__xludf.DUMMYFUNCTION("IF(ISBLANK(B142),"""",IFERROR(INDEX(IMPORTXML(""https://eresearch.fidelity.com/eresearch/goto/evaluate/snapshot.jhtml?symbols=""&amp;B142&amp;"""",""//div[@class='sub-heading']//span[@class='right']""),1),""Enter Manually"")
)"),"")</f>
        <v/>
      </c>
      <c r="AE142" s="314" t="str">
        <f t="shared" si="10"/>
        <v>Info</v>
      </c>
      <c r="AF142" s="329"/>
      <c r="AG142" s="320"/>
      <c r="AH142" s="13"/>
      <c r="AI142" s="13"/>
      <c r="AJ142" s="13"/>
      <c r="AK142" s="13"/>
      <c r="AL142" s="13"/>
      <c r="AM142" s="13"/>
      <c r="AN142" s="13"/>
      <c r="AO142" s="13"/>
      <c r="AP142" s="13"/>
    </row>
    <row r="143" ht="18.75" customHeight="1">
      <c r="A143" s="13"/>
      <c r="B143" s="327"/>
      <c r="C143" s="306" t="str">
        <f>IFERROR(__xludf.DUMMYFUNCTION("GOOGLEFINANCE(B143,""name"")
"),"#N/A")</f>
        <v>#N/A</v>
      </c>
      <c r="D143" s="306"/>
      <c r="E143" s="328"/>
      <c r="F143" s="13" t="str">
        <f t="shared" si="1"/>
        <v/>
      </c>
      <c r="G143" s="309" t="str">
        <f>IFERROR(__xludf.DUMMYFUNCTION("IF(ISBLANK(B143),"""",IFERROR(SPARKLINE(INDEX(GOOGLEFINANCE(B143,""price"",TODAY()-$G$17,TODAY()),,2),{""charttype"",""column"";""color"",""17a7e0""}),""""))"),"")</f>
        <v/>
      </c>
      <c r="I143" s="309" t="str">
        <f>IFERROR(__xludf.DUMMYFUNCTION("IFERROR(IF(B143="""","""",GOOGLEFINANCE(B143)),IFERROR(GOOGLEFINANCE(""CURRENCY:""&amp;""USD""&amp;$D$15)*IMPORTXML(""https://coinmarketcap.com/currencies/""&amp;B143,$AJ$3),IMPORTXML(""https://coinmarketcap.com/currencies/""&amp;B143,$AJ$3)))"),"")</f>
        <v/>
      </c>
      <c r="J143" s="310" t="str">
        <f t="shared" si="2"/>
        <v/>
      </c>
      <c r="K143" s="310" t="str">
        <f>IFERROR(__xludf.DUMMYFUNCTION("IFERROR(IF(ISBLANK(B143),"""",GOOGLEFINANCE(B143,""changepct"")/100),"""")"),"")</f>
        <v/>
      </c>
      <c r="L143" s="310" t="str">
        <f>IFERROR(__xludf.DUMMYFUNCTION("IF(ISBLANK(B143),"""",IFERROR((GOOGLEFINANCE(B143,""price"")/INDEX(GOOGLEFINANCE(B143,""price"",DATEVALUE(TODAY()-365) ),2,2)-1),""""))"),"")</f>
        <v/>
      </c>
      <c r="M143" s="310" t="str">
        <f>IFERROR(__xludf.DUMMYFUNCTION("IF(ISBLANK(B143),"""",IFERROR((GOOGLEFINANCE($D$13,""price"")/INDEX(GOOGLEFINANCE($D$13,""price"",DATEVALUE(TODAY()-365) ),2,2)-1),""""))"),"")</f>
        <v/>
      </c>
      <c r="N143" s="310" t="str">
        <f t="shared" si="3"/>
        <v/>
      </c>
      <c r="O143" s="311" t="str">
        <f>IFERROR(__xludf.DUMMYFUNCTION("IFERROR(IF(ISBLANK(B143),"""",GOOGLEFINANCE(B143,""low52"")),"""")"),"")</f>
        <v/>
      </c>
      <c r="P143" s="310" t="str">
        <f t="shared" si="4"/>
        <v/>
      </c>
      <c r="Q143" s="311" t="str">
        <f>IFERROR(__xludf.DUMMYFUNCTION("IFERROR(IF(ISBLANK(B143),"""",GOOGLEFINANCE(B143,""high52"")),"""")"),"")</f>
        <v/>
      </c>
      <c r="R143" s="310" t="str">
        <f t="shared" si="5"/>
        <v/>
      </c>
      <c r="S143" s="13" t="str">
        <f t="shared" si="6"/>
        <v/>
      </c>
      <c r="U143" s="13" t="str">
        <f t="shared" si="7"/>
        <v/>
      </c>
      <c r="W143" s="13" t="str">
        <f t="shared" si="8"/>
        <v/>
      </c>
      <c r="X143" s="310" t="str">
        <f t="shared" si="9"/>
        <v/>
      </c>
      <c r="Y143" s="311" t="str">
        <f>IFERROR(__xludf.DUMMYFUNCTION("IF(ISBLANK(B143),"""",IFERROR(INDEX(GOOGLEFINANCE(B143,""price"",WORKDAY(TODAY(),-$Y$17)),2,2),""""))"),"")</f>
        <v/>
      </c>
      <c r="Z143" s="310" t="str">
        <f>IFERROR(__xludf.DUMMYFUNCTION("IF(ISBLANK(B143),"""",IFERROR(I143/(INDEX(GOOGLEFINANCE(B143,""price"",WORKDAY(TODAY(),-$Z$17)),2,2))-1,""""))"),"")</f>
        <v/>
      </c>
      <c r="AA143" s="312" t="str">
        <f>IFERROR(__xludf.DUMMYFUNCTION("IF(ISBLANK(B143),"""",IFERROR(IFERROR(""$""&amp;Trunc(GOOGLEFINANCE(B143,""Marketcap"")/1000000000)&amp;"" B"",""$""&amp;Trunc(IMPORTXML(""https://coinmarketcap.com/currencies/""&amp;B143,$AJ$4)/1000000000)&amp;"" B""),""-""))"),"")</f>
        <v/>
      </c>
      <c r="AB143" s="13" t="str">
        <f>IFERROR(__xludf.DUMMYFUNCTION("IF(ISBLANK(B143),"""",IFERROR(GOOGLEFINANCE(B143,""pe""),""-""))"),"")</f>
        <v/>
      </c>
      <c r="AC143" s="313" t="str">
        <f>IFERROR(__xludf.DUMMYFUNCTION("SPARKLINE(INDEX(GOOGLEFINANCE(B143,""price"",workday(today(),-$AC$17),today()),,2),{""charttype"",""column"";""color"",""green""})
"),"#N/A")</f>
        <v>#N/A</v>
      </c>
      <c r="AD143" s="313" t="str">
        <f>IFERROR(__xludf.DUMMYFUNCTION("IF(ISBLANK(B143),"""",IFERROR(INDEX(IMPORTXML(""https://eresearch.fidelity.com/eresearch/goto/evaluate/snapshot.jhtml?symbols=""&amp;B143&amp;"""",""//div[@class='sub-heading']//span[@class='right']""),1),""Enter Manually"")
)"),"")</f>
        <v/>
      </c>
      <c r="AE143" s="314" t="str">
        <f t="shared" si="10"/>
        <v>Info</v>
      </c>
      <c r="AF143" s="329"/>
      <c r="AG143" s="320"/>
      <c r="AH143" s="13"/>
      <c r="AI143" s="13"/>
      <c r="AJ143" s="13"/>
      <c r="AK143" s="13"/>
      <c r="AL143" s="13"/>
      <c r="AM143" s="13"/>
      <c r="AN143" s="13"/>
      <c r="AO143" s="13"/>
      <c r="AP143" s="13"/>
    </row>
    <row r="144" ht="18.75" customHeight="1">
      <c r="A144" s="13"/>
      <c r="B144" s="327"/>
      <c r="C144" s="306" t="str">
        <f>IFERROR(__xludf.DUMMYFUNCTION("GOOGLEFINANCE(B144,""name"")
"),"#N/A")</f>
        <v>#N/A</v>
      </c>
      <c r="D144" s="306"/>
      <c r="E144" s="328"/>
      <c r="F144" s="13" t="str">
        <f t="shared" si="1"/>
        <v/>
      </c>
      <c r="G144" s="309" t="str">
        <f>IFERROR(__xludf.DUMMYFUNCTION("IF(ISBLANK(B144),"""",IFERROR(SPARKLINE(INDEX(GOOGLEFINANCE(B144,""price"",TODAY()-$G$17,TODAY()),,2),{""charttype"",""column"";""color"",""17a7e0""}),""""))"),"")</f>
        <v/>
      </c>
      <c r="I144" s="309" t="str">
        <f>IFERROR(__xludf.DUMMYFUNCTION("IFERROR(IF(B144="""","""",GOOGLEFINANCE(B144)),IFERROR(GOOGLEFINANCE(""CURRENCY:""&amp;""USD""&amp;$D$15)*IMPORTXML(""https://coinmarketcap.com/currencies/""&amp;B144,$AJ$3),IMPORTXML(""https://coinmarketcap.com/currencies/""&amp;B144,$AJ$3)))"),"")</f>
        <v/>
      </c>
      <c r="J144" s="310" t="str">
        <f t="shared" si="2"/>
        <v/>
      </c>
      <c r="K144" s="310" t="str">
        <f>IFERROR(__xludf.DUMMYFUNCTION("IFERROR(IF(ISBLANK(B144),"""",GOOGLEFINANCE(B144,""changepct"")/100),"""")"),"")</f>
        <v/>
      </c>
      <c r="L144" s="310" t="str">
        <f>IFERROR(__xludf.DUMMYFUNCTION("IF(ISBLANK(B144),"""",IFERROR((GOOGLEFINANCE(B144,""price"")/INDEX(GOOGLEFINANCE(B144,""price"",DATEVALUE(TODAY()-365) ),2,2)-1),""""))"),"")</f>
        <v/>
      </c>
      <c r="M144" s="310" t="str">
        <f>IFERROR(__xludf.DUMMYFUNCTION("IF(ISBLANK(B144),"""",IFERROR((GOOGLEFINANCE($D$13,""price"")/INDEX(GOOGLEFINANCE($D$13,""price"",DATEVALUE(TODAY()-365) ),2,2)-1),""""))"),"")</f>
        <v/>
      </c>
      <c r="N144" s="310" t="str">
        <f t="shared" si="3"/>
        <v/>
      </c>
      <c r="O144" s="311" t="str">
        <f>IFERROR(__xludf.DUMMYFUNCTION("IFERROR(IF(ISBLANK(B144),"""",GOOGLEFINANCE(B144,""low52"")),"""")"),"")</f>
        <v/>
      </c>
      <c r="P144" s="310" t="str">
        <f t="shared" si="4"/>
        <v/>
      </c>
      <c r="Q144" s="311" t="str">
        <f>IFERROR(__xludf.DUMMYFUNCTION("IFERROR(IF(ISBLANK(B144),"""",GOOGLEFINANCE(B144,""high52"")),"""")"),"")</f>
        <v/>
      </c>
      <c r="R144" s="310" t="str">
        <f t="shared" si="5"/>
        <v/>
      </c>
      <c r="S144" s="13" t="str">
        <f t="shared" si="6"/>
        <v/>
      </c>
      <c r="U144" s="13" t="str">
        <f t="shared" si="7"/>
        <v/>
      </c>
      <c r="W144" s="13" t="str">
        <f t="shared" si="8"/>
        <v/>
      </c>
      <c r="X144" s="310" t="str">
        <f t="shared" si="9"/>
        <v/>
      </c>
      <c r="Y144" s="311" t="str">
        <f>IFERROR(__xludf.DUMMYFUNCTION("IF(ISBLANK(B144),"""",IFERROR(INDEX(GOOGLEFINANCE(B144,""price"",WORKDAY(TODAY(),-$Y$17)),2,2),""""))"),"")</f>
        <v/>
      </c>
      <c r="Z144" s="310" t="str">
        <f>IFERROR(__xludf.DUMMYFUNCTION("IF(ISBLANK(B144),"""",IFERROR(I144/(INDEX(GOOGLEFINANCE(B144,""price"",WORKDAY(TODAY(),-$Z$17)),2,2))-1,""""))"),"")</f>
        <v/>
      </c>
      <c r="AA144" s="312" t="str">
        <f>IFERROR(__xludf.DUMMYFUNCTION("IF(ISBLANK(B144),"""",IFERROR(IFERROR(""$""&amp;Trunc(GOOGLEFINANCE(B144,""Marketcap"")/1000000000)&amp;"" B"",""$""&amp;Trunc(IMPORTXML(""https://coinmarketcap.com/currencies/""&amp;B144,$AJ$4)/1000000000)&amp;"" B""),""-""))"),"")</f>
        <v/>
      </c>
      <c r="AB144" s="13" t="str">
        <f>IFERROR(__xludf.DUMMYFUNCTION("IF(ISBLANK(B144),"""",IFERROR(GOOGLEFINANCE(B144,""pe""),""-""))"),"")</f>
        <v/>
      </c>
      <c r="AC144" s="313" t="str">
        <f>IFERROR(__xludf.DUMMYFUNCTION("SPARKLINE(INDEX(GOOGLEFINANCE(B144,""price"",workday(today(),-$AC$17),today()),,2),{""charttype"",""column"";""color"",""green""})
"),"#N/A")</f>
        <v>#N/A</v>
      </c>
      <c r="AD144" s="313" t="str">
        <f>IFERROR(__xludf.DUMMYFUNCTION("IF(ISBLANK(B144),"""",IFERROR(INDEX(IMPORTXML(""https://eresearch.fidelity.com/eresearch/goto/evaluate/snapshot.jhtml?symbols=""&amp;B144&amp;"""",""//div[@class='sub-heading']//span[@class='right']""),1),""Enter Manually"")
)"),"")</f>
        <v/>
      </c>
      <c r="AE144" s="314" t="str">
        <f t="shared" si="10"/>
        <v>Info</v>
      </c>
      <c r="AF144" s="329"/>
      <c r="AG144" s="320"/>
      <c r="AH144" s="13"/>
      <c r="AI144" s="13"/>
      <c r="AJ144" s="13"/>
      <c r="AK144" s="13"/>
      <c r="AL144" s="13"/>
      <c r="AM144" s="13"/>
      <c r="AN144" s="13"/>
      <c r="AO144" s="13"/>
      <c r="AP144" s="13"/>
    </row>
    <row r="145" ht="18.75" customHeight="1">
      <c r="A145" s="13"/>
      <c r="B145" s="327"/>
      <c r="C145" s="306" t="str">
        <f>IFERROR(__xludf.DUMMYFUNCTION("GOOGLEFINANCE(B145,""name"")
"),"#N/A")</f>
        <v>#N/A</v>
      </c>
      <c r="D145" s="306"/>
      <c r="E145" s="328"/>
      <c r="F145" s="13" t="str">
        <f t="shared" si="1"/>
        <v/>
      </c>
      <c r="G145" s="309" t="str">
        <f>IFERROR(__xludf.DUMMYFUNCTION("IF(ISBLANK(B145),"""",IFERROR(SPARKLINE(INDEX(GOOGLEFINANCE(B145,""price"",TODAY()-$G$17,TODAY()),,2),{""charttype"",""column"";""color"",""17a7e0""}),""""))"),"")</f>
        <v/>
      </c>
      <c r="I145" s="309" t="str">
        <f>IFERROR(__xludf.DUMMYFUNCTION("IFERROR(IF(B145="""","""",GOOGLEFINANCE(B145)),IFERROR(GOOGLEFINANCE(""CURRENCY:""&amp;""USD""&amp;$D$15)*IMPORTXML(""https://coinmarketcap.com/currencies/""&amp;B145,$AJ$3),IMPORTXML(""https://coinmarketcap.com/currencies/""&amp;B145,$AJ$3)))"),"")</f>
        <v/>
      </c>
      <c r="J145" s="310" t="str">
        <f t="shared" si="2"/>
        <v/>
      </c>
      <c r="K145" s="310" t="str">
        <f>IFERROR(__xludf.DUMMYFUNCTION("IFERROR(IF(ISBLANK(B145),"""",GOOGLEFINANCE(B145,""changepct"")/100),"""")"),"")</f>
        <v/>
      </c>
      <c r="L145" s="310" t="str">
        <f>IFERROR(__xludf.DUMMYFUNCTION("IF(ISBLANK(B145),"""",IFERROR((GOOGLEFINANCE(B145,""price"")/INDEX(GOOGLEFINANCE(B145,""price"",DATEVALUE(TODAY()-365) ),2,2)-1),""""))"),"")</f>
        <v/>
      </c>
      <c r="M145" s="310" t="str">
        <f>IFERROR(__xludf.DUMMYFUNCTION("IF(ISBLANK(B145),"""",IFERROR((GOOGLEFINANCE($D$13,""price"")/INDEX(GOOGLEFINANCE($D$13,""price"",DATEVALUE(TODAY()-365) ),2,2)-1),""""))"),"")</f>
        <v/>
      </c>
      <c r="N145" s="310" t="str">
        <f t="shared" si="3"/>
        <v/>
      </c>
      <c r="O145" s="311" t="str">
        <f>IFERROR(__xludf.DUMMYFUNCTION("IFERROR(IF(ISBLANK(B145),"""",GOOGLEFINANCE(B145,""low52"")),"""")"),"")</f>
        <v/>
      </c>
      <c r="P145" s="310" t="str">
        <f t="shared" si="4"/>
        <v/>
      </c>
      <c r="Q145" s="311" t="str">
        <f>IFERROR(__xludf.DUMMYFUNCTION("IFERROR(IF(ISBLANK(B145),"""",GOOGLEFINANCE(B145,""high52"")),"""")"),"")</f>
        <v/>
      </c>
      <c r="R145" s="310" t="str">
        <f t="shared" si="5"/>
        <v/>
      </c>
      <c r="S145" s="13" t="str">
        <f t="shared" si="6"/>
        <v/>
      </c>
      <c r="U145" s="13" t="str">
        <f t="shared" si="7"/>
        <v/>
      </c>
      <c r="W145" s="13" t="str">
        <f t="shared" si="8"/>
        <v/>
      </c>
      <c r="X145" s="310" t="str">
        <f t="shared" si="9"/>
        <v/>
      </c>
      <c r="Y145" s="311" t="str">
        <f>IFERROR(__xludf.DUMMYFUNCTION("IF(ISBLANK(B145),"""",IFERROR(INDEX(GOOGLEFINANCE(B145,""price"",WORKDAY(TODAY(),-$Y$17)),2,2),""""))"),"")</f>
        <v/>
      </c>
      <c r="Z145" s="310" t="str">
        <f>IFERROR(__xludf.DUMMYFUNCTION("IF(ISBLANK(B145),"""",IFERROR(I145/(INDEX(GOOGLEFINANCE(B145,""price"",WORKDAY(TODAY(),-$Z$17)),2,2))-1,""""))"),"")</f>
        <v/>
      </c>
      <c r="AA145" s="312" t="str">
        <f>IFERROR(__xludf.DUMMYFUNCTION("IF(ISBLANK(B145),"""",IFERROR(IFERROR(""$""&amp;Trunc(GOOGLEFINANCE(B145,""Marketcap"")/1000000000)&amp;"" B"",""$""&amp;Trunc(IMPORTXML(""https://coinmarketcap.com/currencies/""&amp;B145,$AJ$4)/1000000000)&amp;"" B""),""-""))"),"")</f>
        <v/>
      </c>
      <c r="AB145" s="13" t="str">
        <f>IFERROR(__xludf.DUMMYFUNCTION("IF(ISBLANK(B145),"""",IFERROR(GOOGLEFINANCE(B145,""pe""),""-""))"),"")</f>
        <v/>
      </c>
      <c r="AC145" s="313" t="str">
        <f>IFERROR(__xludf.DUMMYFUNCTION("SPARKLINE(INDEX(GOOGLEFINANCE(B145,""price"",workday(today(),-$AC$17),today()),,2),{""charttype"",""column"";""color"",""green""})
"),"#N/A")</f>
        <v>#N/A</v>
      </c>
      <c r="AD145" s="313" t="str">
        <f>IFERROR(__xludf.DUMMYFUNCTION("IF(ISBLANK(B145),"""",IFERROR(INDEX(IMPORTXML(""https://eresearch.fidelity.com/eresearch/goto/evaluate/snapshot.jhtml?symbols=""&amp;B145&amp;"""",""//div[@class='sub-heading']//span[@class='right']""),1),""Enter Manually"")
)"),"")</f>
        <v/>
      </c>
      <c r="AE145" s="314" t="str">
        <f t="shared" si="10"/>
        <v>Info</v>
      </c>
      <c r="AF145" s="329"/>
      <c r="AG145" s="320"/>
      <c r="AH145" s="13"/>
      <c r="AI145" s="13"/>
      <c r="AJ145" s="13"/>
      <c r="AK145" s="13"/>
      <c r="AL145" s="13"/>
      <c r="AM145" s="13"/>
      <c r="AN145" s="13"/>
      <c r="AO145" s="13"/>
      <c r="AP145" s="13"/>
    </row>
    <row r="146" ht="18.75" customHeight="1">
      <c r="A146" s="13"/>
      <c r="B146" s="327"/>
      <c r="C146" s="306" t="str">
        <f>IFERROR(__xludf.DUMMYFUNCTION("GOOGLEFINANCE(B146,""name"")
"),"#N/A")</f>
        <v>#N/A</v>
      </c>
      <c r="D146" s="306"/>
      <c r="E146" s="328"/>
      <c r="F146" s="13" t="str">
        <f t="shared" si="1"/>
        <v/>
      </c>
      <c r="G146" s="309" t="str">
        <f>IFERROR(__xludf.DUMMYFUNCTION("IF(ISBLANK(B146),"""",IFERROR(SPARKLINE(INDEX(GOOGLEFINANCE(B146,""price"",TODAY()-$G$17,TODAY()),,2),{""charttype"",""column"";""color"",""17a7e0""}),""""))"),"")</f>
        <v/>
      </c>
      <c r="I146" s="309" t="str">
        <f>IFERROR(__xludf.DUMMYFUNCTION("IFERROR(IF(B146="""","""",GOOGLEFINANCE(B146)),IFERROR(GOOGLEFINANCE(""CURRENCY:""&amp;""USD""&amp;$D$15)*IMPORTXML(""https://coinmarketcap.com/currencies/""&amp;B146,$AJ$3),IMPORTXML(""https://coinmarketcap.com/currencies/""&amp;B146,$AJ$3)))"),"")</f>
        <v/>
      </c>
      <c r="J146" s="310" t="str">
        <f t="shared" si="2"/>
        <v/>
      </c>
      <c r="K146" s="310" t="str">
        <f>IFERROR(__xludf.DUMMYFUNCTION("IFERROR(IF(ISBLANK(B146),"""",GOOGLEFINANCE(B146,""changepct"")/100),"""")"),"")</f>
        <v/>
      </c>
      <c r="L146" s="310" t="str">
        <f>IFERROR(__xludf.DUMMYFUNCTION("IF(ISBLANK(B146),"""",IFERROR((GOOGLEFINANCE(B146,""price"")/INDEX(GOOGLEFINANCE(B146,""price"",DATEVALUE(TODAY()-365) ),2,2)-1),""""))"),"")</f>
        <v/>
      </c>
      <c r="M146" s="310" t="str">
        <f>IFERROR(__xludf.DUMMYFUNCTION("IF(ISBLANK(B146),"""",IFERROR((GOOGLEFINANCE($D$13,""price"")/INDEX(GOOGLEFINANCE($D$13,""price"",DATEVALUE(TODAY()-365) ),2,2)-1),""""))"),"")</f>
        <v/>
      </c>
      <c r="N146" s="310" t="str">
        <f t="shared" si="3"/>
        <v/>
      </c>
      <c r="O146" s="311" t="str">
        <f>IFERROR(__xludf.DUMMYFUNCTION("IFERROR(IF(ISBLANK(B146),"""",GOOGLEFINANCE(B146,""low52"")),"""")"),"")</f>
        <v/>
      </c>
      <c r="P146" s="310" t="str">
        <f t="shared" si="4"/>
        <v/>
      </c>
      <c r="Q146" s="311" t="str">
        <f>IFERROR(__xludf.DUMMYFUNCTION("IFERROR(IF(ISBLANK(B146),"""",GOOGLEFINANCE(B146,""high52"")),"""")"),"")</f>
        <v/>
      </c>
      <c r="R146" s="310" t="str">
        <f t="shared" si="5"/>
        <v/>
      </c>
      <c r="S146" s="13" t="str">
        <f t="shared" si="6"/>
        <v/>
      </c>
      <c r="U146" s="13" t="str">
        <f t="shared" si="7"/>
        <v/>
      </c>
      <c r="W146" s="13" t="str">
        <f t="shared" si="8"/>
        <v/>
      </c>
      <c r="X146" s="310" t="str">
        <f t="shared" si="9"/>
        <v/>
      </c>
      <c r="Y146" s="311" t="str">
        <f>IFERROR(__xludf.DUMMYFUNCTION("IF(ISBLANK(B146),"""",IFERROR(INDEX(GOOGLEFINANCE(B146,""price"",WORKDAY(TODAY(),-$Y$17)),2,2),""""))"),"")</f>
        <v/>
      </c>
      <c r="Z146" s="310" t="str">
        <f>IFERROR(__xludf.DUMMYFUNCTION("IF(ISBLANK(B146),"""",IFERROR(I146/(INDEX(GOOGLEFINANCE(B146,""price"",WORKDAY(TODAY(),-$Z$17)),2,2))-1,""""))"),"")</f>
        <v/>
      </c>
      <c r="AA146" s="312" t="str">
        <f>IFERROR(__xludf.DUMMYFUNCTION("IF(ISBLANK(B146),"""",IFERROR(IFERROR(""$""&amp;Trunc(GOOGLEFINANCE(B146,""Marketcap"")/1000000000)&amp;"" B"",""$""&amp;Trunc(IMPORTXML(""https://coinmarketcap.com/currencies/""&amp;B146,$AJ$4)/1000000000)&amp;"" B""),""-""))"),"")</f>
        <v/>
      </c>
      <c r="AB146" s="13" t="str">
        <f>IFERROR(__xludf.DUMMYFUNCTION("IF(ISBLANK(B146),"""",IFERROR(GOOGLEFINANCE(B146,""pe""),""-""))"),"")</f>
        <v/>
      </c>
      <c r="AC146" s="313" t="str">
        <f>IFERROR(__xludf.DUMMYFUNCTION("SPARKLINE(INDEX(GOOGLEFINANCE(B146,""price"",workday(today(),-$AC$17),today()),,2),{""charttype"",""column"";""color"",""green""})
"),"#N/A")</f>
        <v>#N/A</v>
      </c>
      <c r="AD146" s="313" t="str">
        <f>IFERROR(__xludf.DUMMYFUNCTION("IF(ISBLANK(B146),"""",IFERROR(INDEX(IMPORTXML(""https://eresearch.fidelity.com/eresearch/goto/evaluate/snapshot.jhtml?symbols=""&amp;B146&amp;"""",""//div[@class='sub-heading']//span[@class='right']""),1),""Enter Manually"")
)"),"")</f>
        <v/>
      </c>
      <c r="AE146" s="314" t="str">
        <f t="shared" si="10"/>
        <v>Info</v>
      </c>
      <c r="AF146" s="329"/>
      <c r="AG146" s="320"/>
      <c r="AH146" s="13"/>
      <c r="AI146" s="13"/>
      <c r="AJ146" s="13"/>
      <c r="AK146" s="13"/>
      <c r="AL146" s="13"/>
      <c r="AM146" s="13"/>
      <c r="AN146" s="13"/>
      <c r="AO146" s="13"/>
      <c r="AP146" s="13"/>
    </row>
    <row r="147" ht="18.75" customHeight="1">
      <c r="A147" s="13"/>
      <c r="B147" s="327"/>
      <c r="C147" s="306" t="str">
        <f>IFERROR(__xludf.DUMMYFUNCTION("GOOGLEFINANCE(B147,""name"")
"),"#N/A")</f>
        <v>#N/A</v>
      </c>
      <c r="D147" s="306"/>
      <c r="E147" s="328"/>
      <c r="F147" s="13" t="str">
        <f t="shared" si="1"/>
        <v/>
      </c>
      <c r="G147" s="309" t="str">
        <f>IFERROR(__xludf.DUMMYFUNCTION("IF(ISBLANK(B147),"""",IFERROR(SPARKLINE(INDEX(GOOGLEFINANCE(B147,""price"",TODAY()-$G$17,TODAY()),,2),{""charttype"",""column"";""color"",""17a7e0""}),""""))"),"")</f>
        <v/>
      </c>
      <c r="I147" s="309" t="str">
        <f>IFERROR(__xludf.DUMMYFUNCTION("IFERROR(IF(B147="""","""",GOOGLEFINANCE(B147)),IFERROR(GOOGLEFINANCE(""CURRENCY:""&amp;""USD""&amp;$D$15)*IMPORTXML(""https://coinmarketcap.com/currencies/""&amp;B147,$AJ$3),IMPORTXML(""https://coinmarketcap.com/currencies/""&amp;B147,$AJ$3)))"),"")</f>
        <v/>
      </c>
      <c r="J147" s="310" t="str">
        <f t="shared" si="2"/>
        <v/>
      </c>
      <c r="K147" s="310" t="str">
        <f>IFERROR(__xludf.DUMMYFUNCTION("IFERROR(IF(ISBLANK(B147),"""",GOOGLEFINANCE(B147,""changepct"")/100),"""")"),"")</f>
        <v/>
      </c>
      <c r="L147" s="310" t="str">
        <f>IFERROR(__xludf.DUMMYFUNCTION("IF(ISBLANK(B147),"""",IFERROR((GOOGLEFINANCE(B147,""price"")/INDEX(GOOGLEFINANCE(B147,""price"",DATEVALUE(TODAY()-365) ),2,2)-1),""""))"),"")</f>
        <v/>
      </c>
      <c r="M147" s="310" t="str">
        <f>IFERROR(__xludf.DUMMYFUNCTION("IF(ISBLANK(B147),"""",IFERROR((GOOGLEFINANCE($D$13,""price"")/INDEX(GOOGLEFINANCE($D$13,""price"",DATEVALUE(TODAY()-365) ),2,2)-1),""""))"),"")</f>
        <v/>
      </c>
      <c r="N147" s="310" t="str">
        <f t="shared" si="3"/>
        <v/>
      </c>
      <c r="O147" s="311" t="str">
        <f>IFERROR(__xludf.DUMMYFUNCTION("IFERROR(IF(ISBLANK(B147),"""",GOOGLEFINANCE(B147,""low52"")),"""")"),"")</f>
        <v/>
      </c>
      <c r="P147" s="310" t="str">
        <f t="shared" si="4"/>
        <v/>
      </c>
      <c r="Q147" s="311" t="str">
        <f>IFERROR(__xludf.DUMMYFUNCTION("IFERROR(IF(ISBLANK(B147),"""",GOOGLEFINANCE(B147,""high52"")),"""")"),"")</f>
        <v/>
      </c>
      <c r="R147" s="310" t="str">
        <f t="shared" si="5"/>
        <v/>
      </c>
      <c r="S147" s="13" t="str">
        <f t="shared" si="6"/>
        <v/>
      </c>
      <c r="U147" s="13" t="str">
        <f t="shared" si="7"/>
        <v/>
      </c>
      <c r="W147" s="13" t="str">
        <f t="shared" si="8"/>
        <v/>
      </c>
      <c r="X147" s="310" t="str">
        <f t="shared" si="9"/>
        <v/>
      </c>
      <c r="Y147" s="311" t="str">
        <f>IFERROR(__xludf.DUMMYFUNCTION("IF(ISBLANK(B147),"""",IFERROR(INDEX(GOOGLEFINANCE(B147,""price"",WORKDAY(TODAY(),-$Y$17)),2,2),""""))"),"")</f>
        <v/>
      </c>
      <c r="Z147" s="310" t="str">
        <f>IFERROR(__xludf.DUMMYFUNCTION("IF(ISBLANK(B147),"""",IFERROR(I147/(INDEX(GOOGLEFINANCE(B147,""price"",WORKDAY(TODAY(),-$Z$17)),2,2))-1,""""))"),"")</f>
        <v/>
      </c>
      <c r="AA147" s="312" t="str">
        <f>IFERROR(__xludf.DUMMYFUNCTION("IF(ISBLANK(B147),"""",IFERROR(IFERROR(""$""&amp;Trunc(GOOGLEFINANCE(B147,""Marketcap"")/1000000000)&amp;"" B"",""$""&amp;Trunc(IMPORTXML(""https://coinmarketcap.com/currencies/""&amp;B147,$AJ$4)/1000000000)&amp;"" B""),""-""))"),"")</f>
        <v/>
      </c>
      <c r="AB147" s="13" t="str">
        <f>IFERROR(__xludf.DUMMYFUNCTION("IF(ISBLANK(B147),"""",IFERROR(GOOGLEFINANCE(B147,""pe""),""-""))"),"")</f>
        <v/>
      </c>
      <c r="AC147" s="313" t="str">
        <f>IFERROR(__xludf.DUMMYFUNCTION("SPARKLINE(INDEX(GOOGLEFINANCE(B147,""price"",workday(today(),-$AC$17),today()),,2),{""charttype"",""column"";""color"",""green""})
"),"#N/A")</f>
        <v>#N/A</v>
      </c>
      <c r="AD147" s="313" t="str">
        <f>IFERROR(__xludf.DUMMYFUNCTION("IF(ISBLANK(B147),"""",IFERROR(INDEX(IMPORTXML(""https://eresearch.fidelity.com/eresearch/goto/evaluate/snapshot.jhtml?symbols=""&amp;B147&amp;"""",""//div[@class='sub-heading']//span[@class='right']""),1),""Enter Manually"")
)"),"")</f>
        <v/>
      </c>
      <c r="AE147" s="314" t="str">
        <f t="shared" si="10"/>
        <v>Info</v>
      </c>
      <c r="AF147" s="329"/>
      <c r="AG147" s="320"/>
      <c r="AH147" s="13"/>
      <c r="AI147" s="13"/>
      <c r="AJ147" s="13"/>
      <c r="AK147" s="13"/>
      <c r="AL147" s="13"/>
      <c r="AM147" s="13"/>
      <c r="AN147" s="13"/>
      <c r="AO147" s="13"/>
      <c r="AP147" s="13"/>
    </row>
    <row r="148" ht="18.75" customHeight="1">
      <c r="A148" s="13"/>
      <c r="B148" s="327"/>
      <c r="C148" s="306" t="str">
        <f>IFERROR(__xludf.DUMMYFUNCTION("GOOGLEFINANCE(B148,""name"")
"),"#N/A")</f>
        <v>#N/A</v>
      </c>
      <c r="D148" s="306"/>
      <c r="E148" s="328"/>
      <c r="F148" s="13" t="str">
        <f t="shared" si="1"/>
        <v/>
      </c>
      <c r="G148" s="309" t="str">
        <f>IFERROR(__xludf.DUMMYFUNCTION("IF(ISBLANK(B148),"""",IFERROR(SPARKLINE(INDEX(GOOGLEFINANCE(B148,""price"",TODAY()-$G$17,TODAY()),,2),{""charttype"",""column"";""color"",""17a7e0""}),""""))"),"")</f>
        <v/>
      </c>
      <c r="I148" s="309" t="str">
        <f>IFERROR(__xludf.DUMMYFUNCTION("IFERROR(IF(B148="""","""",GOOGLEFINANCE(B148)),IFERROR(GOOGLEFINANCE(""CURRENCY:""&amp;""USD""&amp;$D$15)*IMPORTXML(""https://coinmarketcap.com/currencies/""&amp;B148,$AJ$3),IMPORTXML(""https://coinmarketcap.com/currencies/""&amp;B148,$AJ$3)))"),"")</f>
        <v/>
      </c>
      <c r="J148" s="310" t="str">
        <f t="shared" si="2"/>
        <v/>
      </c>
      <c r="K148" s="310" t="str">
        <f>IFERROR(__xludf.DUMMYFUNCTION("IFERROR(IF(ISBLANK(B148),"""",GOOGLEFINANCE(B148,""changepct"")/100),"""")"),"")</f>
        <v/>
      </c>
      <c r="L148" s="310" t="str">
        <f>IFERROR(__xludf.DUMMYFUNCTION("IF(ISBLANK(B148),"""",IFERROR((GOOGLEFINANCE(B148,""price"")/INDEX(GOOGLEFINANCE(B148,""price"",DATEVALUE(TODAY()-365) ),2,2)-1),""""))"),"")</f>
        <v/>
      </c>
      <c r="M148" s="310" t="str">
        <f>IFERROR(__xludf.DUMMYFUNCTION("IF(ISBLANK(B148),"""",IFERROR((GOOGLEFINANCE($D$13,""price"")/INDEX(GOOGLEFINANCE($D$13,""price"",DATEVALUE(TODAY()-365) ),2,2)-1),""""))"),"")</f>
        <v/>
      </c>
      <c r="N148" s="310" t="str">
        <f t="shared" si="3"/>
        <v/>
      </c>
      <c r="O148" s="311" t="str">
        <f>IFERROR(__xludf.DUMMYFUNCTION("IFERROR(IF(ISBLANK(B148),"""",GOOGLEFINANCE(B148,""low52"")),"""")"),"")</f>
        <v/>
      </c>
      <c r="P148" s="310" t="str">
        <f t="shared" si="4"/>
        <v/>
      </c>
      <c r="Q148" s="311" t="str">
        <f>IFERROR(__xludf.DUMMYFUNCTION("IFERROR(IF(ISBLANK(B148),"""",GOOGLEFINANCE(B148,""high52"")),"""")"),"")</f>
        <v/>
      </c>
      <c r="R148" s="310" t="str">
        <f t="shared" si="5"/>
        <v/>
      </c>
      <c r="S148" s="13" t="str">
        <f t="shared" si="6"/>
        <v/>
      </c>
      <c r="U148" s="13" t="str">
        <f t="shared" si="7"/>
        <v/>
      </c>
      <c r="W148" s="13" t="str">
        <f t="shared" si="8"/>
        <v/>
      </c>
      <c r="X148" s="310" t="str">
        <f t="shared" si="9"/>
        <v/>
      </c>
      <c r="Y148" s="311" t="str">
        <f>IFERROR(__xludf.DUMMYFUNCTION("IF(ISBLANK(B148),"""",IFERROR(INDEX(GOOGLEFINANCE(B148,""price"",WORKDAY(TODAY(),-$Y$17)),2,2),""""))"),"")</f>
        <v/>
      </c>
      <c r="Z148" s="310" t="str">
        <f>IFERROR(__xludf.DUMMYFUNCTION("IF(ISBLANK(B148),"""",IFERROR(I148/(INDEX(GOOGLEFINANCE(B148,""price"",WORKDAY(TODAY(),-$Z$17)),2,2))-1,""""))"),"")</f>
        <v/>
      </c>
      <c r="AA148" s="312" t="str">
        <f>IFERROR(__xludf.DUMMYFUNCTION("IF(ISBLANK(B148),"""",IFERROR(IFERROR(""$""&amp;Trunc(GOOGLEFINANCE(B148,""Marketcap"")/1000000000)&amp;"" B"",""$""&amp;Trunc(IMPORTXML(""https://coinmarketcap.com/currencies/""&amp;B148,$AJ$4)/1000000000)&amp;"" B""),""-""))"),"")</f>
        <v/>
      </c>
      <c r="AB148" s="13" t="str">
        <f>IFERROR(__xludf.DUMMYFUNCTION("IF(ISBLANK(B148),"""",IFERROR(GOOGLEFINANCE(B148,""pe""),""-""))"),"")</f>
        <v/>
      </c>
      <c r="AC148" s="313" t="str">
        <f>IFERROR(__xludf.DUMMYFUNCTION("SPARKLINE(INDEX(GOOGLEFINANCE(B148,""price"",workday(today(),-$AC$17),today()),,2),{""charttype"",""column"";""color"",""green""})
"),"#N/A")</f>
        <v>#N/A</v>
      </c>
      <c r="AD148" s="313" t="str">
        <f>IFERROR(__xludf.DUMMYFUNCTION("IF(ISBLANK(B148),"""",IFERROR(INDEX(IMPORTXML(""https://eresearch.fidelity.com/eresearch/goto/evaluate/snapshot.jhtml?symbols=""&amp;B148&amp;"""",""//div[@class='sub-heading']//span[@class='right']""),1),""Enter Manually"")
)"),"")</f>
        <v/>
      </c>
      <c r="AE148" s="314" t="str">
        <f t="shared" si="10"/>
        <v>Info</v>
      </c>
      <c r="AF148" s="329"/>
      <c r="AG148" s="320"/>
      <c r="AH148" s="13"/>
      <c r="AI148" s="13"/>
      <c r="AJ148" s="13"/>
      <c r="AK148" s="13"/>
      <c r="AL148" s="13"/>
      <c r="AM148" s="13"/>
      <c r="AN148" s="13"/>
      <c r="AO148" s="13"/>
      <c r="AP148" s="13"/>
    </row>
    <row r="149" ht="18.75" customHeight="1">
      <c r="A149" s="13"/>
      <c r="B149" s="327"/>
      <c r="C149" s="306" t="str">
        <f>IFERROR(__xludf.DUMMYFUNCTION("GOOGLEFINANCE(B149,""name"")
"),"#N/A")</f>
        <v>#N/A</v>
      </c>
      <c r="D149" s="306"/>
      <c r="E149" s="328"/>
      <c r="F149" s="13" t="str">
        <f t="shared" si="1"/>
        <v/>
      </c>
      <c r="G149" s="309" t="str">
        <f>IFERROR(__xludf.DUMMYFUNCTION("IF(ISBLANK(B149),"""",IFERROR(SPARKLINE(INDEX(GOOGLEFINANCE(B149,""price"",TODAY()-$G$17,TODAY()),,2),{""charttype"",""column"";""color"",""17a7e0""}),""""))"),"")</f>
        <v/>
      </c>
      <c r="I149" s="309" t="str">
        <f>IFERROR(__xludf.DUMMYFUNCTION("IFERROR(IF(B149="""","""",GOOGLEFINANCE(B149)),IFERROR(GOOGLEFINANCE(""CURRENCY:""&amp;""USD""&amp;$D$15)*IMPORTXML(""https://coinmarketcap.com/currencies/""&amp;B149,$AJ$3),IMPORTXML(""https://coinmarketcap.com/currencies/""&amp;B149,$AJ$3)))"),"")</f>
        <v/>
      </c>
      <c r="J149" s="310" t="str">
        <f t="shared" si="2"/>
        <v/>
      </c>
      <c r="K149" s="310" t="str">
        <f>IFERROR(__xludf.DUMMYFUNCTION("IFERROR(IF(ISBLANK(B149),"""",GOOGLEFINANCE(B149,""changepct"")/100),"""")"),"")</f>
        <v/>
      </c>
      <c r="L149" s="310" t="str">
        <f>IFERROR(__xludf.DUMMYFUNCTION("IF(ISBLANK(B149),"""",IFERROR((GOOGLEFINANCE(B149,""price"")/INDEX(GOOGLEFINANCE(B149,""price"",DATEVALUE(TODAY()-365) ),2,2)-1),""""))"),"")</f>
        <v/>
      </c>
      <c r="M149" s="310" t="str">
        <f>IFERROR(__xludf.DUMMYFUNCTION("IF(ISBLANK(B149),"""",IFERROR((GOOGLEFINANCE($D$13,""price"")/INDEX(GOOGLEFINANCE($D$13,""price"",DATEVALUE(TODAY()-365) ),2,2)-1),""""))"),"")</f>
        <v/>
      </c>
      <c r="N149" s="310" t="str">
        <f t="shared" si="3"/>
        <v/>
      </c>
      <c r="O149" s="311" t="str">
        <f>IFERROR(__xludf.DUMMYFUNCTION("IFERROR(IF(ISBLANK(B149),"""",GOOGLEFINANCE(B149,""low52"")),"""")"),"")</f>
        <v/>
      </c>
      <c r="P149" s="310" t="str">
        <f t="shared" si="4"/>
        <v/>
      </c>
      <c r="Q149" s="311" t="str">
        <f>IFERROR(__xludf.DUMMYFUNCTION("IFERROR(IF(ISBLANK(B149),"""",GOOGLEFINANCE(B149,""high52"")),"""")"),"")</f>
        <v/>
      </c>
      <c r="R149" s="310" t="str">
        <f t="shared" si="5"/>
        <v/>
      </c>
      <c r="S149" s="13" t="str">
        <f t="shared" si="6"/>
        <v/>
      </c>
      <c r="U149" s="13" t="str">
        <f t="shared" si="7"/>
        <v/>
      </c>
      <c r="W149" s="13" t="str">
        <f t="shared" si="8"/>
        <v/>
      </c>
      <c r="X149" s="310" t="str">
        <f t="shared" si="9"/>
        <v/>
      </c>
      <c r="Y149" s="311" t="str">
        <f>IFERROR(__xludf.DUMMYFUNCTION("IF(ISBLANK(B149),"""",IFERROR(INDEX(GOOGLEFINANCE(B149,""price"",WORKDAY(TODAY(),-$Y$17)),2,2),""""))"),"")</f>
        <v/>
      </c>
      <c r="Z149" s="310" t="str">
        <f>IFERROR(__xludf.DUMMYFUNCTION("IF(ISBLANK(B149),"""",IFERROR(I149/(INDEX(GOOGLEFINANCE(B149,""price"",WORKDAY(TODAY(),-$Z$17)),2,2))-1,""""))"),"")</f>
        <v/>
      </c>
      <c r="AA149" s="312" t="str">
        <f>IFERROR(__xludf.DUMMYFUNCTION("IF(ISBLANK(B149),"""",IFERROR(IFERROR(""$""&amp;Trunc(GOOGLEFINANCE(B149,""Marketcap"")/1000000000)&amp;"" B"",""$""&amp;Trunc(IMPORTXML(""https://coinmarketcap.com/currencies/""&amp;B149,$AJ$4)/1000000000)&amp;"" B""),""-""))"),"")</f>
        <v/>
      </c>
      <c r="AB149" s="13" t="str">
        <f>IFERROR(__xludf.DUMMYFUNCTION("IF(ISBLANK(B149),"""",IFERROR(GOOGLEFINANCE(B149,""pe""),""-""))"),"")</f>
        <v/>
      </c>
      <c r="AC149" s="313" t="str">
        <f>IFERROR(__xludf.DUMMYFUNCTION("SPARKLINE(INDEX(GOOGLEFINANCE(B149,""price"",workday(today(),-$AC$17),today()),,2),{""charttype"",""column"";""color"",""green""})
"),"#N/A")</f>
        <v>#N/A</v>
      </c>
      <c r="AD149" s="313" t="str">
        <f>IFERROR(__xludf.DUMMYFUNCTION("IF(ISBLANK(B149),"""",IFERROR(INDEX(IMPORTXML(""https://eresearch.fidelity.com/eresearch/goto/evaluate/snapshot.jhtml?symbols=""&amp;B149&amp;"""",""//div[@class='sub-heading']//span[@class='right']""),1),""Enter Manually"")
)"),"")</f>
        <v/>
      </c>
      <c r="AE149" s="314" t="str">
        <f t="shared" si="10"/>
        <v>Info</v>
      </c>
      <c r="AF149" s="329"/>
      <c r="AG149" s="320"/>
      <c r="AH149" s="13"/>
      <c r="AI149" s="13"/>
      <c r="AJ149" s="13"/>
      <c r="AK149" s="13"/>
      <c r="AL149" s="13"/>
      <c r="AM149" s="13"/>
      <c r="AN149" s="13"/>
      <c r="AO149" s="13"/>
      <c r="AP149" s="13"/>
    </row>
    <row r="150" ht="18.75" customHeight="1">
      <c r="A150" s="13"/>
      <c r="B150" s="327"/>
      <c r="C150" s="306" t="str">
        <f>IFERROR(__xludf.DUMMYFUNCTION("GOOGLEFINANCE(B150,""name"")
"),"#N/A")</f>
        <v>#N/A</v>
      </c>
      <c r="D150" s="306"/>
      <c r="E150" s="328"/>
      <c r="F150" s="13" t="str">
        <f t="shared" si="1"/>
        <v/>
      </c>
      <c r="G150" s="309" t="str">
        <f>IFERROR(__xludf.DUMMYFUNCTION("IF(ISBLANK(B150),"""",IFERROR(SPARKLINE(INDEX(GOOGLEFINANCE(B150,""price"",TODAY()-$G$17,TODAY()),,2),{""charttype"",""column"";""color"",""17a7e0""}),""""))"),"")</f>
        <v/>
      </c>
      <c r="I150" s="309" t="str">
        <f>IFERROR(__xludf.DUMMYFUNCTION("IFERROR(IF(B150="""","""",GOOGLEFINANCE(B150)),IFERROR(GOOGLEFINANCE(""CURRENCY:""&amp;""USD""&amp;$D$15)*IMPORTXML(""https://coinmarketcap.com/currencies/""&amp;B150,$AJ$3),IMPORTXML(""https://coinmarketcap.com/currencies/""&amp;B150,$AJ$3)))"),"")</f>
        <v/>
      </c>
      <c r="J150" s="310" t="str">
        <f t="shared" si="2"/>
        <v/>
      </c>
      <c r="K150" s="310" t="str">
        <f>IFERROR(__xludf.DUMMYFUNCTION("IFERROR(IF(ISBLANK(B150),"""",GOOGLEFINANCE(B150,""changepct"")/100),"""")"),"")</f>
        <v/>
      </c>
      <c r="L150" s="310" t="str">
        <f>IFERROR(__xludf.DUMMYFUNCTION("IF(ISBLANK(B150),"""",IFERROR((GOOGLEFINANCE(B150,""price"")/INDEX(GOOGLEFINANCE(B150,""price"",DATEVALUE(TODAY()-365) ),2,2)-1),""""))"),"")</f>
        <v/>
      </c>
      <c r="M150" s="310" t="str">
        <f>IFERROR(__xludf.DUMMYFUNCTION("IF(ISBLANK(B150),"""",IFERROR((GOOGLEFINANCE($D$13,""price"")/INDEX(GOOGLEFINANCE($D$13,""price"",DATEVALUE(TODAY()-365) ),2,2)-1),""""))"),"")</f>
        <v/>
      </c>
      <c r="N150" s="310" t="str">
        <f t="shared" si="3"/>
        <v/>
      </c>
      <c r="O150" s="311" t="str">
        <f>IFERROR(__xludf.DUMMYFUNCTION("IFERROR(IF(ISBLANK(B150),"""",GOOGLEFINANCE(B150,""low52"")),"""")"),"")</f>
        <v/>
      </c>
      <c r="P150" s="310" t="str">
        <f t="shared" si="4"/>
        <v/>
      </c>
      <c r="Q150" s="311" t="str">
        <f>IFERROR(__xludf.DUMMYFUNCTION("IFERROR(IF(ISBLANK(B150),"""",GOOGLEFINANCE(B150,""high52"")),"""")"),"")</f>
        <v/>
      </c>
      <c r="R150" s="310" t="str">
        <f t="shared" si="5"/>
        <v/>
      </c>
      <c r="S150" s="13" t="str">
        <f t="shared" si="6"/>
        <v/>
      </c>
      <c r="U150" s="13" t="str">
        <f t="shared" si="7"/>
        <v/>
      </c>
      <c r="W150" s="13" t="str">
        <f t="shared" si="8"/>
        <v/>
      </c>
      <c r="X150" s="310" t="str">
        <f t="shared" si="9"/>
        <v/>
      </c>
      <c r="Y150" s="311" t="str">
        <f>IFERROR(__xludf.DUMMYFUNCTION("IF(ISBLANK(B150),"""",IFERROR(INDEX(GOOGLEFINANCE(B150,""price"",WORKDAY(TODAY(),-$Y$17)),2,2),""""))"),"")</f>
        <v/>
      </c>
      <c r="Z150" s="310" t="str">
        <f>IFERROR(__xludf.DUMMYFUNCTION("IF(ISBLANK(B150),"""",IFERROR(I150/(INDEX(GOOGLEFINANCE(B150,""price"",WORKDAY(TODAY(),-$Z$17)),2,2))-1,""""))"),"")</f>
        <v/>
      </c>
      <c r="AA150" s="312" t="str">
        <f>IFERROR(__xludf.DUMMYFUNCTION("IF(ISBLANK(B150),"""",IFERROR(IFERROR(""$""&amp;Trunc(GOOGLEFINANCE(B150,""Marketcap"")/1000000000)&amp;"" B"",""$""&amp;Trunc(IMPORTXML(""https://coinmarketcap.com/currencies/""&amp;B150,$AJ$4)/1000000000)&amp;"" B""),""-""))"),"")</f>
        <v/>
      </c>
      <c r="AB150" s="13" t="str">
        <f>IFERROR(__xludf.DUMMYFUNCTION("IF(ISBLANK(B150),"""",IFERROR(GOOGLEFINANCE(B150,""pe""),""-""))"),"")</f>
        <v/>
      </c>
      <c r="AC150" s="313" t="str">
        <f>IFERROR(__xludf.DUMMYFUNCTION("SPARKLINE(INDEX(GOOGLEFINANCE(B150,""price"",workday(today(),-$AC$17),today()),,2),{""charttype"",""column"";""color"",""green""})
"),"#N/A")</f>
        <v>#N/A</v>
      </c>
      <c r="AD150" s="313" t="str">
        <f>IFERROR(__xludf.DUMMYFUNCTION("IF(ISBLANK(B150),"""",IFERROR(INDEX(IMPORTXML(""https://eresearch.fidelity.com/eresearch/goto/evaluate/snapshot.jhtml?symbols=""&amp;B150&amp;"""",""//div[@class='sub-heading']//span[@class='right']""),1),""Enter Manually"")
)"),"")</f>
        <v/>
      </c>
      <c r="AE150" s="314" t="str">
        <f t="shared" si="10"/>
        <v>Info</v>
      </c>
      <c r="AF150" s="329"/>
      <c r="AG150" s="320"/>
      <c r="AH150" s="13"/>
      <c r="AI150" s="13"/>
      <c r="AJ150" s="13"/>
      <c r="AK150" s="13"/>
      <c r="AL150" s="13"/>
      <c r="AM150" s="13"/>
      <c r="AN150" s="13"/>
      <c r="AO150" s="13"/>
      <c r="AP150" s="13"/>
    </row>
    <row r="151" ht="18.75" customHeight="1">
      <c r="A151" s="13"/>
      <c r="B151" s="327"/>
      <c r="C151" s="306" t="str">
        <f>IFERROR(__xludf.DUMMYFUNCTION("GOOGLEFINANCE(B151,""name"")
"),"#N/A")</f>
        <v>#N/A</v>
      </c>
      <c r="D151" s="306"/>
      <c r="E151" s="328"/>
      <c r="F151" s="13" t="str">
        <f t="shared" si="1"/>
        <v/>
      </c>
      <c r="G151" s="309" t="str">
        <f>IFERROR(__xludf.DUMMYFUNCTION("IF(ISBLANK(B151),"""",IFERROR(SPARKLINE(INDEX(GOOGLEFINANCE(B151,""price"",TODAY()-$G$17,TODAY()),,2),{""charttype"",""column"";""color"",""17a7e0""}),""""))"),"")</f>
        <v/>
      </c>
      <c r="I151" s="309" t="str">
        <f>IFERROR(__xludf.DUMMYFUNCTION("IFERROR(IF(B151="""","""",GOOGLEFINANCE(B151)),IFERROR(GOOGLEFINANCE(""CURRENCY:""&amp;""USD""&amp;$D$15)*IMPORTXML(""https://coinmarketcap.com/currencies/""&amp;B151,$AJ$3),IMPORTXML(""https://coinmarketcap.com/currencies/""&amp;B151,$AJ$3)))"),"")</f>
        <v/>
      </c>
      <c r="J151" s="310" t="str">
        <f t="shared" si="2"/>
        <v/>
      </c>
      <c r="K151" s="310" t="str">
        <f>IFERROR(__xludf.DUMMYFUNCTION("IFERROR(IF(ISBLANK(B151),"""",GOOGLEFINANCE(B151,""changepct"")/100),"""")"),"")</f>
        <v/>
      </c>
      <c r="L151" s="310" t="str">
        <f>IFERROR(__xludf.DUMMYFUNCTION("IF(ISBLANK(B151),"""",IFERROR((GOOGLEFINANCE(B151,""price"")/INDEX(GOOGLEFINANCE(B151,""price"",DATEVALUE(TODAY()-365) ),2,2)-1),""""))"),"")</f>
        <v/>
      </c>
      <c r="M151" s="310" t="str">
        <f>IFERROR(__xludf.DUMMYFUNCTION("IF(ISBLANK(B151),"""",IFERROR((GOOGLEFINANCE($D$13,""price"")/INDEX(GOOGLEFINANCE($D$13,""price"",DATEVALUE(TODAY()-365) ),2,2)-1),""""))"),"")</f>
        <v/>
      </c>
      <c r="N151" s="310" t="str">
        <f t="shared" si="3"/>
        <v/>
      </c>
      <c r="O151" s="311" t="str">
        <f>IFERROR(__xludf.DUMMYFUNCTION("IFERROR(IF(ISBLANK(B151),"""",GOOGLEFINANCE(B151,""low52"")),"""")"),"")</f>
        <v/>
      </c>
      <c r="P151" s="310" t="str">
        <f t="shared" si="4"/>
        <v/>
      </c>
      <c r="Q151" s="311" t="str">
        <f>IFERROR(__xludf.DUMMYFUNCTION("IFERROR(IF(ISBLANK(B151),"""",GOOGLEFINANCE(B151,""high52"")),"""")"),"")</f>
        <v/>
      </c>
      <c r="R151" s="310" t="str">
        <f t="shared" si="5"/>
        <v/>
      </c>
      <c r="S151" s="13" t="str">
        <f t="shared" si="6"/>
        <v/>
      </c>
      <c r="U151" s="13" t="str">
        <f t="shared" si="7"/>
        <v/>
      </c>
      <c r="W151" s="13" t="str">
        <f t="shared" si="8"/>
        <v/>
      </c>
      <c r="X151" s="310" t="str">
        <f t="shared" si="9"/>
        <v/>
      </c>
      <c r="Y151" s="311" t="str">
        <f>IFERROR(__xludf.DUMMYFUNCTION("IF(ISBLANK(B151),"""",IFERROR(INDEX(GOOGLEFINANCE(B151,""price"",WORKDAY(TODAY(),-$Y$17)),2,2),""""))"),"")</f>
        <v/>
      </c>
      <c r="Z151" s="310" t="str">
        <f>IFERROR(__xludf.DUMMYFUNCTION("IF(ISBLANK(B151),"""",IFERROR(I151/(INDEX(GOOGLEFINANCE(B151,""price"",WORKDAY(TODAY(),-$Z$17)),2,2))-1,""""))"),"")</f>
        <v/>
      </c>
      <c r="AA151" s="312" t="str">
        <f>IFERROR(__xludf.DUMMYFUNCTION("IF(ISBLANK(B151),"""",IFERROR(IFERROR(""$""&amp;Trunc(GOOGLEFINANCE(B151,""Marketcap"")/1000000000)&amp;"" B"",""$""&amp;Trunc(IMPORTXML(""https://coinmarketcap.com/currencies/""&amp;B151,$AJ$4)/1000000000)&amp;"" B""),""-""))"),"")</f>
        <v/>
      </c>
      <c r="AB151" s="13" t="str">
        <f>IFERROR(__xludf.DUMMYFUNCTION("IF(ISBLANK(B151),"""",IFERROR(GOOGLEFINANCE(B151,""pe""),""-""))"),"")</f>
        <v/>
      </c>
      <c r="AC151" s="313" t="str">
        <f>IFERROR(__xludf.DUMMYFUNCTION("SPARKLINE(INDEX(GOOGLEFINANCE(B151,""price"",workday(today(),-$AC$17),today()),,2),{""charttype"",""column"";""color"",""green""})
"),"#N/A")</f>
        <v>#N/A</v>
      </c>
      <c r="AD151" s="313" t="str">
        <f>IFERROR(__xludf.DUMMYFUNCTION("IF(ISBLANK(B151),"""",IFERROR(INDEX(IMPORTXML(""https://eresearch.fidelity.com/eresearch/goto/evaluate/snapshot.jhtml?symbols=""&amp;B151&amp;"""",""//div[@class='sub-heading']//span[@class='right']""),1),""Enter Manually"")
)"),"")</f>
        <v/>
      </c>
      <c r="AE151" s="314" t="str">
        <f t="shared" si="10"/>
        <v>Info</v>
      </c>
      <c r="AF151" s="329"/>
      <c r="AG151" s="320"/>
      <c r="AH151" s="13"/>
      <c r="AI151" s="13"/>
      <c r="AJ151" s="13"/>
      <c r="AK151" s="13"/>
      <c r="AL151" s="13"/>
      <c r="AM151" s="13"/>
      <c r="AN151" s="13"/>
      <c r="AO151" s="13"/>
      <c r="AP151" s="13"/>
    </row>
    <row r="152" ht="18.75" customHeight="1">
      <c r="A152" s="13"/>
      <c r="B152" s="327"/>
      <c r="C152" s="306" t="str">
        <f>IFERROR(__xludf.DUMMYFUNCTION("GOOGLEFINANCE(B152,""name"")
"),"#N/A")</f>
        <v>#N/A</v>
      </c>
      <c r="D152" s="306"/>
      <c r="E152" s="328"/>
      <c r="F152" s="13" t="str">
        <f t="shared" si="1"/>
        <v/>
      </c>
      <c r="G152" s="309" t="str">
        <f>IFERROR(__xludf.DUMMYFUNCTION("IF(ISBLANK(B152),"""",IFERROR(SPARKLINE(INDEX(GOOGLEFINANCE(B152,""price"",TODAY()-$G$17,TODAY()),,2),{""charttype"",""column"";""color"",""17a7e0""}),""""))"),"")</f>
        <v/>
      </c>
      <c r="I152" s="309" t="str">
        <f>IFERROR(__xludf.DUMMYFUNCTION("IFERROR(IF(B152="""","""",GOOGLEFINANCE(B152)),IFERROR(GOOGLEFINANCE(""CURRENCY:""&amp;""USD""&amp;$D$15)*IMPORTXML(""https://coinmarketcap.com/currencies/""&amp;B152,$AJ$3),IMPORTXML(""https://coinmarketcap.com/currencies/""&amp;B152,$AJ$3)))"),"")</f>
        <v/>
      </c>
      <c r="J152" s="310" t="str">
        <f t="shared" si="2"/>
        <v/>
      </c>
      <c r="K152" s="310" t="str">
        <f>IFERROR(__xludf.DUMMYFUNCTION("IFERROR(IF(ISBLANK(B152),"""",GOOGLEFINANCE(B152,""changepct"")/100),"""")"),"")</f>
        <v/>
      </c>
      <c r="L152" s="310" t="str">
        <f>IFERROR(__xludf.DUMMYFUNCTION("IF(ISBLANK(B152),"""",IFERROR((GOOGLEFINANCE(B152,""price"")/INDEX(GOOGLEFINANCE(B152,""price"",DATEVALUE(TODAY()-365) ),2,2)-1),""""))"),"")</f>
        <v/>
      </c>
      <c r="M152" s="310" t="str">
        <f>IFERROR(__xludf.DUMMYFUNCTION("IF(ISBLANK(B152),"""",IFERROR((GOOGLEFINANCE($D$13,""price"")/INDEX(GOOGLEFINANCE($D$13,""price"",DATEVALUE(TODAY()-365) ),2,2)-1),""""))"),"")</f>
        <v/>
      </c>
      <c r="N152" s="310" t="str">
        <f t="shared" si="3"/>
        <v/>
      </c>
      <c r="O152" s="311" t="str">
        <f>IFERROR(__xludf.DUMMYFUNCTION("IFERROR(IF(ISBLANK(B152),"""",GOOGLEFINANCE(B152,""low52"")),"""")"),"")</f>
        <v/>
      </c>
      <c r="P152" s="310" t="str">
        <f t="shared" si="4"/>
        <v/>
      </c>
      <c r="Q152" s="311" t="str">
        <f>IFERROR(__xludf.DUMMYFUNCTION("IFERROR(IF(ISBLANK(B152),"""",GOOGLEFINANCE(B152,""high52"")),"""")"),"")</f>
        <v/>
      </c>
      <c r="R152" s="310" t="str">
        <f t="shared" si="5"/>
        <v/>
      </c>
      <c r="S152" s="13" t="str">
        <f t="shared" si="6"/>
        <v/>
      </c>
      <c r="U152" s="13" t="str">
        <f t="shared" si="7"/>
        <v/>
      </c>
      <c r="W152" s="13" t="str">
        <f t="shared" si="8"/>
        <v/>
      </c>
      <c r="X152" s="310" t="str">
        <f t="shared" si="9"/>
        <v/>
      </c>
      <c r="Y152" s="311" t="str">
        <f>IFERROR(__xludf.DUMMYFUNCTION("IF(ISBLANK(B152),"""",IFERROR(INDEX(GOOGLEFINANCE(B152,""price"",WORKDAY(TODAY(),-$Y$17)),2,2),""""))"),"")</f>
        <v/>
      </c>
      <c r="Z152" s="310" t="str">
        <f>IFERROR(__xludf.DUMMYFUNCTION("IF(ISBLANK(B152),"""",IFERROR(I152/(INDEX(GOOGLEFINANCE(B152,""price"",WORKDAY(TODAY(),-$Z$17)),2,2))-1,""""))"),"")</f>
        <v/>
      </c>
      <c r="AA152" s="312" t="str">
        <f>IFERROR(__xludf.DUMMYFUNCTION("IF(ISBLANK(B152),"""",IFERROR(IFERROR(""$""&amp;Trunc(GOOGLEFINANCE(B152,""Marketcap"")/1000000000)&amp;"" B"",""$""&amp;Trunc(IMPORTXML(""https://coinmarketcap.com/currencies/""&amp;B152,$AJ$4)/1000000000)&amp;"" B""),""-""))"),"")</f>
        <v/>
      </c>
      <c r="AB152" s="13" t="str">
        <f>IFERROR(__xludf.DUMMYFUNCTION("IF(ISBLANK(B152),"""",IFERROR(GOOGLEFINANCE(B152,""pe""),""-""))"),"")</f>
        <v/>
      </c>
      <c r="AC152" s="313" t="str">
        <f>IFERROR(__xludf.DUMMYFUNCTION("SPARKLINE(INDEX(GOOGLEFINANCE(B152,""price"",workday(today(),-$AC$17),today()),,2),{""charttype"",""column"";""color"",""green""})
"),"#N/A")</f>
        <v>#N/A</v>
      </c>
      <c r="AD152" s="313" t="str">
        <f>IFERROR(__xludf.DUMMYFUNCTION("IF(ISBLANK(B152),"""",IFERROR(INDEX(IMPORTXML(""https://eresearch.fidelity.com/eresearch/goto/evaluate/snapshot.jhtml?symbols=""&amp;B152&amp;"""",""//div[@class='sub-heading']//span[@class='right']""),1),""Enter Manually"")
)"),"")</f>
        <v/>
      </c>
      <c r="AE152" s="314" t="str">
        <f t="shared" si="10"/>
        <v>Info</v>
      </c>
      <c r="AF152" s="329"/>
      <c r="AG152" s="320"/>
      <c r="AH152" s="13"/>
      <c r="AI152" s="13"/>
      <c r="AJ152" s="13"/>
      <c r="AK152" s="13"/>
      <c r="AL152" s="13"/>
      <c r="AM152" s="13"/>
      <c r="AN152" s="13"/>
      <c r="AO152" s="13"/>
      <c r="AP152" s="13"/>
    </row>
    <row r="153" ht="18.75" customHeight="1">
      <c r="A153" s="13"/>
      <c r="B153" s="327"/>
      <c r="C153" s="306" t="str">
        <f>IFERROR(__xludf.DUMMYFUNCTION("GOOGLEFINANCE(B153,""name"")
"),"#N/A")</f>
        <v>#N/A</v>
      </c>
      <c r="D153" s="306"/>
      <c r="E153" s="328"/>
      <c r="F153" s="13" t="str">
        <f t="shared" si="1"/>
        <v/>
      </c>
      <c r="G153" s="309" t="str">
        <f>IFERROR(__xludf.DUMMYFUNCTION("IF(ISBLANK(B153),"""",IFERROR(SPARKLINE(INDEX(GOOGLEFINANCE(B153,""price"",TODAY()-$G$17,TODAY()),,2),{""charttype"",""column"";""color"",""17a7e0""}),""""))"),"")</f>
        <v/>
      </c>
      <c r="I153" s="309" t="str">
        <f>IFERROR(__xludf.DUMMYFUNCTION("IFERROR(IF(B153="""","""",GOOGLEFINANCE(B153)),IFERROR(GOOGLEFINANCE(""CURRENCY:""&amp;""USD""&amp;$D$15)*IMPORTXML(""https://coinmarketcap.com/currencies/""&amp;B153,$AJ$3),IMPORTXML(""https://coinmarketcap.com/currencies/""&amp;B153,$AJ$3)))"),"")</f>
        <v/>
      </c>
      <c r="J153" s="310" t="str">
        <f t="shared" si="2"/>
        <v/>
      </c>
      <c r="K153" s="310" t="str">
        <f>IFERROR(__xludf.DUMMYFUNCTION("IFERROR(IF(ISBLANK(B153),"""",GOOGLEFINANCE(B153,""changepct"")/100),"""")"),"")</f>
        <v/>
      </c>
      <c r="L153" s="310" t="str">
        <f>IFERROR(__xludf.DUMMYFUNCTION("IF(ISBLANK(B153),"""",IFERROR((GOOGLEFINANCE(B153,""price"")/INDEX(GOOGLEFINANCE(B153,""price"",DATEVALUE(TODAY()-365) ),2,2)-1),""""))"),"")</f>
        <v/>
      </c>
      <c r="M153" s="310" t="str">
        <f>IFERROR(__xludf.DUMMYFUNCTION("IF(ISBLANK(B153),"""",IFERROR((GOOGLEFINANCE($D$13,""price"")/INDEX(GOOGLEFINANCE($D$13,""price"",DATEVALUE(TODAY()-365) ),2,2)-1),""""))"),"")</f>
        <v/>
      </c>
      <c r="N153" s="310" t="str">
        <f t="shared" si="3"/>
        <v/>
      </c>
      <c r="O153" s="311" t="str">
        <f>IFERROR(__xludf.DUMMYFUNCTION("IFERROR(IF(ISBLANK(B153),"""",GOOGLEFINANCE(B153,""low52"")),"""")"),"")</f>
        <v/>
      </c>
      <c r="P153" s="310" t="str">
        <f t="shared" si="4"/>
        <v/>
      </c>
      <c r="Q153" s="311" t="str">
        <f>IFERROR(__xludf.DUMMYFUNCTION("IFERROR(IF(ISBLANK(B153),"""",GOOGLEFINANCE(B153,""high52"")),"""")"),"")</f>
        <v/>
      </c>
      <c r="R153" s="310" t="str">
        <f t="shared" si="5"/>
        <v/>
      </c>
      <c r="S153" s="13" t="str">
        <f t="shared" si="6"/>
        <v/>
      </c>
      <c r="U153" s="13" t="str">
        <f t="shared" si="7"/>
        <v/>
      </c>
      <c r="W153" s="13" t="str">
        <f t="shared" si="8"/>
        <v/>
      </c>
      <c r="X153" s="310" t="str">
        <f t="shared" si="9"/>
        <v/>
      </c>
      <c r="Y153" s="311" t="str">
        <f>IFERROR(__xludf.DUMMYFUNCTION("IF(ISBLANK(B153),"""",IFERROR(INDEX(GOOGLEFINANCE(B153,""price"",WORKDAY(TODAY(),-$Y$17)),2,2),""""))"),"")</f>
        <v/>
      </c>
      <c r="Z153" s="310" t="str">
        <f>IFERROR(__xludf.DUMMYFUNCTION("IF(ISBLANK(B153),"""",IFERROR(I153/(INDEX(GOOGLEFINANCE(B153,""price"",WORKDAY(TODAY(),-$Z$17)),2,2))-1,""""))"),"")</f>
        <v/>
      </c>
      <c r="AA153" s="312" t="str">
        <f>IFERROR(__xludf.DUMMYFUNCTION("IF(ISBLANK(B153),"""",IFERROR(IFERROR(""$""&amp;Trunc(GOOGLEFINANCE(B153,""Marketcap"")/1000000000)&amp;"" B"",""$""&amp;Trunc(IMPORTXML(""https://coinmarketcap.com/currencies/""&amp;B153,$AJ$4)/1000000000)&amp;"" B""),""-""))"),"")</f>
        <v/>
      </c>
      <c r="AB153" s="13" t="str">
        <f>IFERROR(__xludf.DUMMYFUNCTION("IF(ISBLANK(B153),"""",IFERROR(GOOGLEFINANCE(B153,""pe""),""-""))"),"")</f>
        <v/>
      </c>
      <c r="AC153" s="313" t="str">
        <f>IFERROR(__xludf.DUMMYFUNCTION("SPARKLINE(INDEX(GOOGLEFINANCE(B153,""price"",workday(today(),-$AC$17),today()),,2),{""charttype"",""column"";""color"",""green""})
"),"#N/A")</f>
        <v>#N/A</v>
      </c>
      <c r="AD153" s="313" t="str">
        <f>IFERROR(__xludf.DUMMYFUNCTION("IF(ISBLANK(B153),"""",IFERROR(INDEX(IMPORTXML(""https://eresearch.fidelity.com/eresearch/goto/evaluate/snapshot.jhtml?symbols=""&amp;B153&amp;"""",""//div[@class='sub-heading']//span[@class='right']""),1),""Enter Manually"")
)"),"")</f>
        <v/>
      </c>
      <c r="AE153" s="314" t="str">
        <f t="shared" si="10"/>
        <v>Info</v>
      </c>
      <c r="AF153" s="329"/>
      <c r="AG153" s="320"/>
      <c r="AH153" s="13"/>
      <c r="AI153" s="13"/>
      <c r="AJ153" s="13"/>
      <c r="AK153" s="13"/>
      <c r="AL153" s="13"/>
      <c r="AM153" s="13"/>
      <c r="AN153" s="13"/>
      <c r="AO153" s="13"/>
      <c r="AP153" s="13"/>
    </row>
    <row r="154" ht="18.75" customHeight="1">
      <c r="A154" s="13"/>
      <c r="B154" s="327"/>
      <c r="C154" s="306" t="str">
        <f>IFERROR(__xludf.DUMMYFUNCTION("GOOGLEFINANCE(B154,""name"")
"),"#N/A")</f>
        <v>#N/A</v>
      </c>
      <c r="D154" s="306"/>
      <c r="E154" s="328"/>
      <c r="F154" s="13" t="str">
        <f t="shared" si="1"/>
        <v/>
      </c>
      <c r="G154" s="309" t="str">
        <f>IFERROR(__xludf.DUMMYFUNCTION("IF(ISBLANK(B154),"""",IFERROR(SPARKLINE(INDEX(GOOGLEFINANCE(B154,""price"",TODAY()-$G$17,TODAY()),,2),{""charttype"",""column"";""color"",""17a7e0""}),""""))"),"")</f>
        <v/>
      </c>
      <c r="I154" s="309" t="str">
        <f>IFERROR(__xludf.DUMMYFUNCTION("IFERROR(IF(B154="""","""",GOOGLEFINANCE(B154)),IFERROR(GOOGLEFINANCE(""CURRENCY:""&amp;""USD""&amp;$D$15)*IMPORTXML(""https://coinmarketcap.com/currencies/""&amp;B154,$AJ$3),IMPORTXML(""https://coinmarketcap.com/currencies/""&amp;B154,$AJ$3)))"),"")</f>
        <v/>
      </c>
      <c r="J154" s="310" t="str">
        <f t="shared" si="2"/>
        <v/>
      </c>
      <c r="K154" s="310" t="str">
        <f>IFERROR(__xludf.DUMMYFUNCTION("IFERROR(IF(ISBLANK(B154),"""",GOOGLEFINANCE(B154,""changepct"")/100),"""")"),"")</f>
        <v/>
      </c>
      <c r="L154" s="310" t="str">
        <f>IFERROR(__xludf.DUMMYFUNCTION("IF(ISBLANK(B154),"""",IFERROR((GOOGLEFINANCE(B154,""price"")/INDEX(GOOGLEFINANCE(B154,""price"",DATEVALUE(TODAY()-365) ),2,2)-1),""""))"),"")</f>
        <v/>
      </c>
      <c r="M154" s="310" t="str">
        <f>IFERROR(__xludf.DUMMYFUNCTION("IF(ISBLANK(B154),"""",IFERROR((GOOGLEFINANCE($D$13,""price"")/INDEX(GOOGLEFINANCE($D$13,""price"",DATEVALUE(TODAY()-365) ),2,2)-1),""""))"),"")</f>
        <v/>
      </c>
      <c r="N154" s="310" t="str">
        <f t="shared" si="3"/>
        <v/>
      </c>
      <c r="O154" s="311" t="str">
        <f>IFERROR(__xludf.DUMMYFUNCTION("IFERROR(IF(ISBLANK(B154),"""",GOOGLEFINANCE(B154,""low52"")),"""")"),"")</f>
        <v/>
      </c>
      <c r="P154" s="310" t="str">
        <f t="shared" si="4"/>
        <v/>
      </c>
      <c r="Q154" s="311" t="str">
        <f>IFERROR(__xludf.DUMMYFUNCTION("IFERROR(IF(ISBLANK(B154),"""",GOOGLEFINANCE(B154,""high52"")),"""")"),"")</f>
        <v/>
      </c>
      <c r="R154" s="310" t="str">
        <f t="shared" si="5"/>
        <v/>
      </c>
      <c r="S154" s="13" t="str">
        <f t="shared" si="6"/>
        <v/>
      </c>
      <c r="U154" s="13" t="str">
        <f t="shared" si="7"/>
        <v/>
      </c>
      <c r="W154" s="13" t="str">
        <f t="shared" si="8"/>
        <v/>
      </c>
      <c r="X154" s="310" t="str">
        <f t="shared" si="9"/>
        <v/>
      </c>
      <c r="Y154" s="311" t="str">
        <f>IFERROR(__xludf.DUMMYFUNCTION("IF(ISBLANK(B154),"""",IFERROR(INDEX(GOOGLEFINANCE(B154,""price"",WORKDAY(TODAY(),-$Y$17)),2,2),""""))"),"")</f>
        <v/>
      </c>
      <c r="Z154" s="310" t="str">
        <f>IFERROR(__xludf.DUMMYFUNCTION("IF(ISBLANK(B154),"""",IFERROR(I154/(INDEX(GOOGLEFINANCE(B154,""price"",WORKDAY(TODAY(),-$Z$17)),2,2))-1,""""))"),"")</f>
        <v/>
      </c>
      <c r="AA154" s="312" t="str">
        <f>IFERROR(__xludf.DUMMYFUNCTION("IF(ISBLANK(B154),"""",IFERROR(IFERROR(""$""&amp;Trunc(GOOGLEFINANCE(B154,""Marketcap"")/1000000000)&amp;"" B"",""$""&amp;Trunc(IMPORTXML(""https://coinmarketcap.com/currencies/""&amp;B154,$AJ$4)/1000000000)&amp;"" B""),""-""))"),"")</f>
        <v/>
      </c>
      <c r="AB154" s="13" t="str">
        <f>IFERROR(__xludf.DUMMYFUNCTION("IF(ISBLANK(B154),"""",IFERROR(GOOGLEFINANCE(B154,""pe""),""-""))"),"")</f>
        <v/>
      </c>
      <c r="AC154" s="313" t="str">
        <f>IFERROR(__xludf.DUMMYFUNCTION("SPARKLINE(INDEX(GOOGLEFINANCE(B154,""price"",workday(today(),-$AC$17),today()),,2),{""charttype"",""column"";""color"",""green""})
"),"#N/A")</f>
        <v>#N/A</v>
      </c>
      <c r="AD154" s="313" t="str">
        <f>IFERROR(__xludf.DUMMYFUNCTION("IF(ISBLANK(B154),"""",IFERROR(INDEX(IMPORTXML(""https://eresearch.fidelity.com/eresearch/goto/evaluate/snapshot.jhtml?symbols=""&amp;B154&amp;"""",""//div[@class='sub-heading']//span[@class='right']""),1),""Enter Manually"")
)"),"")</f>
        <v/>
      </c>
      <c r="AE154" s="314" t="str">
        <f t="shared" si="10"/>
        <v>Info</v>
      </c>
      <c r="AF154" s="329"/>
      <c r="AG154" s="320"/>
      <c r="AH154" s="13"/>
      <c r="AI154" s="13"/>
      <c r="AJ154" s="13"/>
      <c r="AK154" s="13"/>
      <c r="AL154" s="13"/>
      <c r="AM154" s="13"/>
      <c r="AN154" s="13"/>
      <c r="AO154" s="13"/>
      <c r="AP154" s="13"/>
    </row>
    <row r="155" ht="18.75" customHeight="1">
      <c r="A155" s="13"/>
      <c r="B155" s="327"/>
      <c r="C155" s="306" t="str">
        <f>IFERROR(__xludf.DUMMYFUNCTION("GOOGLEFINANCE(B155,""name"")
"),"#N/A")</f>
        <v>#N/A</v>
      </c>
      <c r="D155" s="306"/>
      <c r="E155" s="328"/>
      <c r="F155" s="13" t="str">
        <f t="shared" si="1"/>
        <v/>
      </c>
      <c r="G155" s="309" t="str">
        <f>IFERROR(__xludf.DUMMYFUNCTION("IF(ISBLANK(B155),"""",IFERROR(SPARKLINE(INDEX(GOOGLEFINANCE(B155,""price"",TODAY()-$G$17,TODAY()),,2),{""charttype"",""column"";""color"",""17a7e0""}),""""))"),"")</f>
        <v/>
      </c>
      <c r="I155" s="309" t="str">
        <f>IFERROR(__xludf.DUMMYFUNCTION("IFERROR(IF(B155="""","""",GOOGLEFINANCE(B155)),IFERROR(GOOGLEFINANCE(""CURRENCY:""&amp;""USD""&amp;$D$15)*IMPORTXML(""https://coinmarketcap.com/currencies/""&amp;B155,$AJ$3),IMPORTXML(""https://coinmarketcap.com/currencies/""&amp;B155,$AJ$3)))"),"")</f>
        <v/>
      </c>
      <c r="J155" s="310" t="str">
        <f t="shared" si="2"/>
        <v/>
      </c>
      <c r="K155" s="310" t="str">
        <f>IFERROR(__xludf.DUMMYFUNCTION("IFERROR(IF(ISBLANK(B155),"""",GOOGLEFINANCE(B155,""changepct"")/100),"""")"),"")</f>
        <v/>
      </c>
      <c r="L155" s="310" t="str">
        <f>IFERROR(__xludf.DUMMYFUNCTION("IF(ISBLANK(B155),"""",IFERROR((GOOGLEFINANCE(B155,""price"")/INDEX(GOOGLEFINANCE(B155,""price"",DATEVALUE(TODAY()-365) ),2,2)-1),""""))"),"")</f>
        <v/>
      </c>
      <c r="M155" s="310" t="str">
        <f>IFERROR(__xludf.DUMMYFUNCTION("IF(ISBLANK(B155),"""",IFERROR((GOOGLEFINANCE($D$13,""price"")/INDEX(GOOGLEFINANCE($D$13,""price"",DATEVALUE(TODAY()-365) ),2,2)-1),""""))"),"")</f>
        <v/>
      </c>
      <c r="N155" s="310" t="str">
        <f t="shared" si="3"/>
        <v/>
      </c>
      <c r="O155" s="311" t="str">
        <f>IFERROR(__xludf.DUMMYFUNCTION("IFERROR(IF(ISBLANK(B155),"""",GOOGLEFINANCE(B155,""low52"")),"""")"),"")</f>
        <v/>
      </c>
      <c r="P155" s="310" t="str">
        <f t="shared" si="4"/>
        <v/>
      </c>
      <c r="Q155" s="311" t="str">
        <f>IFERROR(__xludf.DUMMYFUNCTION("IFERROR(IF(ISBLANK(B155),"""",GOOGLEFINANCE(B155,""high52"")),"""")"),"")</f>
        <v/>
      </c>
      <c r="R155" s="310" t="str">
        <f t="shared" si="5"/>
        <v/>
      </c>
      <c r="S155" s="13" t="str">
        <f t="shared" si="6"/>
        <v/>
      </c>
      <c r="U155" s="13" t="str">
        <f t="shared" si="7"/>
        <v/>
      </c>
      <c r="W155" s="13" t="str">
        <f t="shared" si="8"/>
        <v/>
      </c>
      <c r="X155" s="310" t="str">
        <f t="shared" si="9"/>
        <v/>
      </c>
      <c r="Y155" s="311" t="str">
        <f>IFERROR(__xludf.DUMMYFUNCTION("IF(ISBLANK(B155),"""",IFERROR(INDEX(GOOGLEFINANCE(B155,""price"",WORKDAY(TODAY(),-$Y$17)),2,2),""""))"),"")</f>
        <v/>
      </c>
      <c r="Z155" s="310" t="str">
        <f>IFERROR(__xludf.DUMMYFUNCTION("IF(ISBLANK(B155),"""",IFERROR(I155/(INDEX(GOOGLEFINANCE(B155,""price"",WORKDAY(TODAY(),-$Z$17)),2,2))-1,""""))"),"")</f>
        <v/>
      </c>
      <c r="AA155" s="312" t="str">
        <f>IFERROR(__xludf.DUMMYFUNCTION("IF(ISBLANK(B155),"""",IFERROR(IFERROR(""$""&amp;Trunc(GOOGLEFINANCE(B155,""Marketcap"")/1000000000)&amp;"" B"",""$""&amp;Trunc(IMPORTXML(""https://coinmarketcap.com/currencies/""&amp;B155,$AJ$4)/1000000000)&amp;"" B""),""-""))"),"")</f>
        <v/>
      </c>
      <c r="AB155" s="13" t="str">
        <f>IFERROR(__xludf.DUMMYFUNCTION("IF(ISBLANK(B155),"""",IFERROR(GOOGLEFINANCE(B155,""pe""),""-""))"),"")</f>
        <v/>
      </c>
      <c r="AC155" s="313" t="str">
        <f>IFERROR(__xludf.DUMMYFUNCTION("SPARKLINE(INDEX(GOOGLEFINANCE(B155,""price"",workday(today(),-$AC$17),today()),,2),{""charttype"",""column"";""color"",""green""})
"),"#N/A")</f>
        <v>#N/A</v>
      </c>
      <c r="AD155" s="313" t="str">
        <f>IFERROR(__xludf.DUMMYFUNCTION("IF(ISBLANK(B155),"""",IFERROR(INDEX(IMPORTXML(""https://eresearch.fidelity.com/eresearch/goto/evaluate/snapshot.jhtml?symbols=""&amp;B155&amp;"""",""//div[@class='sub-heading']//span[@class='right']""),1),""Enter Manually"")
)"),"")</f>
        <v/>
      </c>
      <c r="AE155" s="314" t="str">
        <f t="shared" si="10"/>
        <v>Info</v>
      </c>
      <c r="AF155" s="329"/>
      <c r="AG155" s="320"/>
      <c r="AH155" s="13"/>
      <c r="AI155" s="13"/>
      <c r="AJ155" s="13"/>
      <c r="AK155" s="13"/>
      <c r="AL155" s="13"/>
      <c r="AM155" s="13"/>
      <c r="AN155" s="13"/>
      <c r="AO155" s="13"/>
      <c r="AP155" s="13"/>
    </row>
    <row r="156" ht="18.75" customHeight="1">
      <c r="A156" s="13"/>
      <c r="B156" s="327"/>
      <c r="C156" s="306" t="str">
        <f>IFERROR(__xludf.DUMMYFUNCTION("GOOGLEFINANCE(B156,""name"")
"),"#N/A")</f>
        <v>#N/A</v>
      </c>
      <c r="D156" s="306"/>
      <c r="E156" s="328"/>
      <c r="F156" s="13" t="str">
        <f t="shared" si="1"/>
        <v/>
      </c>
      <c r="G156" s="309" t="str">
        <f>IFERROR(__xludf.DUMMYFUNCTION("IF(ISBLANK(B156),"""",IFERROR(SPARKLINE(INDEX(GOOGLEFINANCE(B156,""price"",TODAY()-$G$17,TODAY()),,2),{""charttype"",""column"";""color"",""17a7e0""}),""""))"),"")</f>
        <v/>
      </c>
      <c r="I156" s="309" t="str">
        <f>IFERROR(__xludf.DUMMYFUNCTION("IFERROR(IF(B156="""","""",GOOGLEFINANCE(B156)),IFERROR(GOOGLEFINANCE(""CURRENCY:""&amp;""USD""&amp;$D$15)*IMPORTXML(""https://coinmarketcap.com/currencies/""&amp;B156,$AJ$3),IMPORTXML(""https://coinmarketcap.com/currencies/""&amp;B156,$AJ$3)))"),"")</f>
        <v/>
      </c>
      <c r="J156" s="310" t="str">
        <f t="shared" si="2"/>
        <v/>
      </c>
      <c r="K156" s="310" t="str">
        <f>IFERROR(__xludf.DUMMYFUNCTION("IFERROR(IF(ISBLANK(B156),"""",GOOGLEFINANCE(B156,""changepct"")/100),"""")"),"")</f>
        <v/>
      </c>
      <c r="L156" s="310" t="str">
        <f>IFERROR(__xludf.DUMMYFUNCTION("IF(ISBLANK(B156),"""",IFERROR((GOOGLEFINANCE(B156,""price"")/INDEX(GOOGLEFINANCE(B156,""price"",DATEVALUE(TODAY()-365) ),2,2)-1),""""))"),"")</f>
        <v/>
      </c>
      <c r="M156" s="310" t="str">
        <f>IFERROR(__xludf.DUMMYFUNCTION("IF(ISBLANK(B156),"""",IFERROR((GOOGLEFINANCE($D$13,""price"")/INDEX(GOOGLEFINANCE($D$13,""price"",DATEVALUE(TODAY()-365) ),2,2)-1),""""))"),"")</f>
        <v/>
      </c>
      <c r="N156" s="310" t="str">
        <f t="shared" si="3"/>
        <v/>
      </c>
      <c r="O156" s="311" t="str">
        <f>IFERROR(__xludf.DUMMYFUNCTION("IFERROR(IF(ISBLANK(B156),"""",GOOGLEFINANCE(B156,""low52"")),"""")"),"")</f>
        <v/>
      </c>
      <c r="P156" s="310" t="str">
        <f t="shared" si="4"/>
        <v/>
      </c>
      <c r="Q156" s="311" t="str">
        <f>IFERROR(__xludf.DUMMYFUNCTION("IFERROR(IF(ISBLANK(B156),"""",GOOGLEFINANCE(B156,""high52"")),"""")"),"")</f>
        <v/>
      </c>
      <c r="R156" s="310" t="str">
        <f t="shared" si="5"/>
        <v/>
      </c>
      <c r="S156" s="13" t="str">
        <f t="shared" si="6"/>
        <v/>
      </c>
      <c r="U156" s="13" t="str">
        <f t="shared" si="7"/>
        <v/>
      </c>
      <c r="W156" s="13" t="str">
        <f t="shared" si="8"/>
        <v/>
      </c>
      <c r="X156" s="310" t="str">
        <f t="shared" si="9"/>
        <v/>
      </c>
      <c r="Y156" s="311" t="str">
        <f>IFERROR(__xludf.DUMMYFUNCTION("IF(ISBLANK(B156),"""",IFERROR(INDEX(GOOGLEFINANCE(B156,""price"",WORKDAY(TODAY(),-$Y$17)),2,2),""""))"),"")</f>
        <v/>
      </c>
      <c r="Z156" s="310" t="str">
        <f>IFERROR(__xludf.DUMMYFUNCTION("IF(ISBLANK(B156),"""",IFERROR(I156/(INDEX(GOOGLEFINANCE(B156,""price"",WORKDAY(TODAY(),-$Z$17)),2,2))-1,""""))"),"")</f>
        <v/>
      </c>
      <c r="AA156" s="312" t="str">
        <f>IFERROR(__xludf.DUMMYFUNCTION("IF(ISBLANK(B156),"""",IFERROR(IFERROR(""$""&amp;Trunc(GOOGLEFINANCE(B156,""Marketcap"")/1000000000)&amp;"" B"",""$""&amp;Trunc(IMPORTXML(""https://coinmarketcap.com/currencies/""&amp;B156,$AJ$4)/1000000000)&amp;"" B""),""-""))"),"")</f>
        <v/>
      </c>
      <c r="AB156" s="13" t="str">
        <f>IFERROR(__xludf.DUMMYFUNCTION("IF(ISBLANK(B156),"""",IFERROR(GOOGLEFINANCE(B156,""pe""),""-""))"),"")</f>
        <v/>
      </c>
      <c r="AC156" s="313" t="str">
        <f>IFERROR(__xludf.DUMMYFUNCTION("SPARKLINE(INDEX(GOOGLEFINANCE(B156,""price"",workday(today(),-$AC$17),today()),,2),{""charttype"",""column"";""color"",""green""})
"),"#N/A")</f>
        <v>#N/A</v>
      </c>
      <c r="AD156" s="313" t="str">
        <f>IFERROR(__xludf.DUMMYFUNCTION("IF(ISBLANK(B156),"""",IFERROR(INDEX(IMPORTXML(""https://eresearch.fidelity.com/eresearch/goto/evaluate/snapshot.jhtml?symbols=""&amp;B156&amp;"""",""//div[@class='sub-heading']//span[@class='right']""),1),""Enter Manually"")
)"),"")</f>
        <v/>
      </c>
      <c r="AE156" s="314" t="str">
        <f t="shared" si="10"/>
        <v>Info</v>
      </c>
      <c r="AF156" s="329"/>
      <c r="AG156" s="320"/>
      <c r="AH156" s="13"/>
      <c r="AI156" s="13"/>
      <c r="AJ156" s="13"/>
      <c r="AK156" s="13"/>
      <c r="AL156" s="13"/>
      <c r="AM156" s="13"/>
      <c r="AN156" s="13"/>
      <c r="AO156" s="13"/>
      <c r="AP156" s="13"/>
    </row>
    <row r="157" ht="18.75" customHeight="1">
      <c r="A157" s="13"/>
      <c r="B157" s="327"/>
      <c r="C157" s="306" t="str">
        <f>IFERROR(__xludf.DUMMYFUNCTION("GOOGLEFINANCE(B157,""name"")
"),"#N/A")</f>
        <v>#N/A</v>
      </c>
      <c r="D157" s="306"/>
      <c r="E157" s="328"/>
      <c r="F157" s="13" t="str">
        <f t="shared" si="1"/>
        <v/>
      </c>
      <c r="G157" s="309" t="str">
        <f>IFERROR(__xludf.DUMMYFUNCTION("IF(ISBLANK(B157),"""",IFERROR(SPARKLINE(INDEX(GOOGLEFINANCE(B157,""price"",TODAY()-$G$17,TODAY()),,2),{""charttype"",""column"";""color"",""17a7e0""}),""""))"),"")</f>
        <v/>
      </c>
      <c r="I157" s="309" t="str">
        <f>IFERROR(__xludf.DUMMYFUNCTION("IFERROR(IF(B157="""","""",GOOGLEFINANCE(B157)),IFERROR(GOOGLEFINANCE(""CURRENCY:""&amp;""USD""&amp;$D$15)*IMPORTXML(""https://coinmarketcap.com/currencies/""&amp;B157,$AJ$3),IMPORTXML(""https://coinmarketcap.com/currencies/""&amp;B157,$AJ$3)))"),"")</f>
        <v/>
      </c>
      <c r="J157" s="310" t="str">
        <f t="shared" si="2"/>
        <v/>
      </c>
      <c r="K157" s="310" t="str">
        <f>IFERROR(__xludf.DUMMYFUNCTION("IFERROR(IF(ISBLANK(B157),"""",GOOGLEFINANCE(B157,""changepct"")/100),"""")"),"")</f>
        <v/>
      </c>
      <c r="L157" s="310" t="str">
        <f>IFERROR(__xludf.DUMMYFUNCTION("IF(ISBLANK(B157),"""",IFERROR((GOOGLEFINANCE(B157,""price"")/INDEX(GOOGLEFINANCE(B157,""price"",DATEVALUE(TODAY()-365) ),2,2)-1),""""))"),"")</f>
        <v/>
      </c>
      <c r="M157" s="310" t="str">
        <f>IFERROR(__xludf.DUMMYFUNCTION("IF(ISBLANK(B157),"""",IFERROR((GOOGLEFINANCE($D$13,""price"")/INDEX(GOOGLEFINANCE($D$13,""price"",DATEVALUE(TODAY()-365) ),2,2)-1),""""))"),"")</f>
        <v/>
      </c>
      <c r="N157" s="310" t="str">
        <f t="shared" si="3"/>
        <v/>
      </c>
      <c r="O157" s="311" t="str">
        <f>IFERROR(__xludf.DUMMYFUNCTION("IFERROR(IF(ISBLANK(B157),"""",GOOGLEFINANCE(B157,""low52"")),"""")"),"")</f>
        <v/>
      </c>
      <c r="P157" s="310" t="str">
        <f t="shared" si="4"/>
        <v/>
      </c>
      <c r="Q157" s="311" t="str">
        <f>IFERROR(__xludf.DUMMYFUNCTION("IFERROR(IF(ISBLANK(B157),"""",GOOGLEFINANCE(B157,""high52"")),"""")"),"")</f>
        <v/>
      </c>
      <c r="R157" s="310" t="str">
        <f t="shared" si="5"/>
        <v/>
      </c>
      <c r="S157" s="13" t="str">
        <f t="shared" si="6"/>
        <v/>
      </c>
      <c r="U157" s="13" t="str">
        <f t="shared" si="7"/>
        <v/>
      </c>
      <c r="W157" s="13" t="str">
        <f t="shared" si="8"/>
        <v/>
      </c>
      <c r="X157" s="310" t="str">
        <f t="shared" si="9"/>
        <v/>
      </c>
      <c r="Y157" s="311" t="str">
        <f>IFERROR(__xludf.DUMMYFUNCTION("IF(ISBLANK(B157),"""",IFERROR(INDEX(GOOGLEFINANCE(B157,""price"",WORKDAY(TODAY(),-$Y$17)),2,2),""""))"),"")</f>
        <v/>
      </c>
      <c r="Z157" s="310" t="str">
        <f>IFERROR(__xludf.DUMMYFUNCTION("IF(ISBLANK(B157),"""",IFERROR(I157/(INDEX(GOOGLEFINANCE(B157,""price"",WORKDAY(TODAY(),-$Z$17)),2,2))-1,""""))"),"")</f>
        <v/>
      </c>
      <c r="AA157" s="312" t="str">
        <f>IFERROR(__xludf.DUMMYFUNCTION("IF(ISBLANK(B157),"""",IFERROR(IFERROR(""$""&amp;Trunc(GOOGLEFINANCE(B157,""Marketcap"")/1000000000)&amp;"" B"",""$""&amp;Trunc(IMPORTXML(""https://coinmarketcap.com/currencies/""&amp;B157,$AJ$4)/1000000000)&amp;"" B""),""-""))"),"")</f>
        <v/>
      </c>
      <c r="AB157" s="13" t="str">
        <f>IFERROR(__xludf.DUMMYFUNCTION("IF(ISBLANK(B157),"""",IFERROR(GOOGLEFINANCE(B157,""pe""),""-""))"),"")</f>
        <v/>
      </c>
      <c r="AC157" s="313" t="str">
        <f>IFERROR(__xludf.DUMMYFUNCTION("SPARKLINE(INDEX(GOOGLEFINANCE(B157,""price"",workday(today(),-$AC$17),today()),,2),{""charttype"",""column"";""color"",""green""})
"),"#N/A")</f>
        <v>#N/A</v>
      </c>
      <c r="AD157" s="313" t="str">
        <f>IFERROR(__xludf.DUMMYFUNCTION("IF(ISBLANK(B157),"""",IFERROR(INDEX(IMPORTXML(""https://eresearch.fidelity.com/eresearch/goto/evaluate/snapshot.jhtml?symbols=""&amp;B157&amp;"""",""//div[@class='sub-heading']//span[@class='right']""),1),""Enter Manually"")
)"),"")</f>
        <v/>
      </c>
      <c r="AE157" s="314" t="str">
        <f t="shared" si="10"/>
        <v>Info</v>
      </c>
      <c r="AF157" s="329"/>
      <c r="AG157" s="320"/>
      <c r="AH157" s="13"/>
      <c r="AI157" s="13"/>
      <c r="AJ157" s="13"/>
      <c r="AK157" s="13"/>
      <c r="AL157" s="13"/>
      <c r="AM157" s="13"/>
      <c r="AN157" s="13"/>
      <c r="AO157" s="13"/>
      <c r="AP157" s="13"/>
    </row>
    <row r="158" ht="18.75" customHeight="1">
      <c r="A158" s="13"/>
      <c r="B158" s="327"/>
      <c r="C158" s="306" t="str">
        <f>IFERROR(__xludf.DUMMYFUNCTION("GOOGLEFINANCE(B158,""name"")
"),"#N/A")</f>
        <v>#N/A</v>
      </c>
      <c r="D158" s="306"/>
      <c r="E158" s="328"/>
      <c r="F158" s="13" t="str">
        <f t="shared" si="1"/>
        <v/>
      </c>
      <c r="G158" s="309" t="str">
        <f>IFERROR(__xludf.DUMMYFUNCTION("IF(ISBLANK(B158),"""",IFERROR(SPARKLINE(INDEX(GOOGLEFINANCE(B158,""price"",TODAY()-$G$17,TODAY()),,2),{""charttype"",""column"";""color"",""17a7e0""}),""""))"),"")</f>
        <v/>
      </c>
      <c r="I158" s="309" t="str">
        <f>IFERROR(__xludf.DUMMYFUNCTION("IFERROR(IF(B158="""","""",GOOGLEFINANCE(B158)),IFERROR(GOOGLEFINANCE(""CURRENCY:""&amp;""USD""&amp;$D$15)*IMPORTXML(""https://coinmarketcap.com/currencies/""&amp;B158,$AJ$3),IMPORTXML(""https://coinmarketcap.com/currencies/""&amp;B158,$AJ$3)))"),"")</f>
        <v/>
      </c>
      <c r="J158" s="310" t="str">
        <f t="shared" si="2"/>
        <v/>
      </c>
      <c r="K158" s="310" t="str">
        <f>IFERROR(__xludf.DUMMYFUNCTION("IFERROR(IF(ISBLANK(B158),"""",GOOGLEFINANCE(B158,""changepct"")/100),"""")"),"")</f>
        <v/>
      </c>
      <c r="L158" s="310" t="str">
        <f>IFERROR(__xludf.DUMMYFUNCTION("IF(ISBLANK(B158),"""",IFERROR((GOOGLEFINANCE(B158,""price"")/INDEX(GOOGLEFINANCE(B158,""price"",DATEVALUE(TODAY()-365) ),2,2)-1),""""))"),"")</f>
        <v/>
      </c>
      <c r="M158" s="310" t="str">
        <f>IFERROR(__xludf.DUMMYFUNCTION("IF(ISBLANK(B158),"""",IFERROR((GOOGLEFINANCE($D$13,""price"")/INDEX(GOOGLEFINANCE($D$13,""price"",DATEVALUE(TODAY()-365) ),2,2)-1),""""))"),"")</f>
        <v/>
      </c>
      <c r="N158" s="310" t="str">
        <f t="shared" si="3"/>
        <v/>
      </c>
      <c r="O158" s="311" t="str">
        <f>IFERROR(__xludf.DUMMYFUNCTION("IFERROR(IF(ISBLANK(B158),"""",GOOGLEFINANCE(B158,""low52"")),"""")"),"")</f>
        <v/>
      </c>
      <c r="P158" s="310" t="str">
        <f t="shared" si="4"/>
        <v/>
      </c>
      <c r="Q158" s="311" t="str">
        <f>IFERROR(__xludf.DUMMYFUNCTION("IFERROR(IF(ISBLANK(B158),"""",GOOGLEFINANCE(B158,""high52"")),"""")"),"")</f>
        <v/>
      </c>
      <c r="R158" s="310" t="str">
        <f t="shared" si="5"/>
        <v/>
      </c>
      <c r="S158" s="13" t="str">
        <f t="shared" si="6"/>
        <v/>
      </c>
      <c r="U158" s="13" t="str">
        <f t="shared" si="7"/>
        <v/>
      </c>
      <c r="W158" s="13" t="str">
        <f t="shared" si="8"/>
        <v/>
      </c>
      <c r="X158" s="310" t="str">
        <f t="shared" si="9"/>
        <v/>
      </c>
      <c r="Y158" s="311" t="str">
        <f>IFERROR(__xludf.DUMMYFUNCTION("IF(ISBLANK(B158),"""",IFERROR(INDEX(GOOGLEFINANCE(B158,""price"",WORKDAY(TODAY(),-$Y$17)),2,2),""""))"),"")</f>
        <v/>
      </c>
      <c r="Z158" s="310" t="str">
        <f>IFERROR(__xludf.DUMMYFUNCTION("IF(ISBLANK(B158),"""",IFERROR(I158/(INDEX(GOOGLEFINANCE(B158,""price"",WORKDAY(TODAY(),-$Z$17)),2,2))-1,""""))"),"")</f>
        <v/>
      </c>
      <c r="AA158" s="312" t="str">
        <f>IFERROR(__xludf.DUMMYFUNCTION("IF(ISBLANK(B158),"""",IFERROR(IFERROR(""$""&amp;Trunc(GOOGLEFINANCE(B158,""Marketcap"")/1000000000)&amp;"" B"",""$""&amp;Trunc(IMPORTXML(""https://coinmarketcap.com/currencies/""&amp;B158,$AJ$4)/1000000000)&amp;"" B""),""-""))"),"")</f>
        <v/>
      </c>
      <c r="AB158" s="13" t="str">
        <f>IFERROR(__xludf.DUMMYFUNCTION("IF(ISBLANK(B158),"""",IFERROR(GOOGLEFINANCE(B158,""pe""),""-""))"),"")</f>
        <v/>
      </c>
      <c r="AC158" s="313" t="str">
        <f>IFERROR(__xludf.DUMMYFUNCTION("SPARKLINE(INDEX(GOOGLEFINANCE(B158,""price"",workday(today(),-$AC$17),today()),,2),{""charttype"",""column"";""color"",""green""})
"),"#N/A")</f>
        <v>#N/A</v>
      </c>
      <c r="AD158" s="313" t="str">
        <f>IFERROR(__xludf.DUMMYFUNCTION("IF(ISBLANK(B158),"""",IFERROR(INDEX(IMPORTXML(""https://eresearch.fidelity.com/eresearch/goto/evaluate/snapshot.jhtml?symbols=""&amp;B158&amp;"""",""//div[@class='sub-heading']//span[@class='right']""),1),""Enter Manually"")
)"),"")</f>
        <v/>
      </c>
      <c r="AE158" s="314" t="str">
        <f t="shared" si="10"/>
        <v>Info</v>
      </c>
      <c r="AF158" s="329"/>
      <c r="AG158" s="320"/>
      <c r="AH158" s="13"/>
      <c r="AI158" s="13"/>
      <c r="AJ158" s="13"/>
      <c r="AK158" s="13"/>
      <c r="AL158" s="13"/>
      <c r="AM158" s="13"/>
      <c r="AN158" s="13"/>
      <c r="AO158" s="13"/>
      <c r="AP158" s="13"/>
    </row>
    <row r="159" ht="18.75" customHeight="1">
      <c r="A159" s="13"/>
      <c r="B159" s="327"/>
      <c r="C159" s="306" t="str">
        <f>IFERROR(__xludf.DUMMYFUNCTION("GOOGLEFINANCE(B159,""name"")
"),"#N/A")</f>
        <v>#N/A</v>
      </c>
      <c r="D159" s="306"/>
      <c r="E159" s="328"/>
      <c r="F159" s="13" t="str">
        <f t="shared" si="1"/>
        <v/>
      </c>
      <c r="G159" s="309" t="str">
        <f>IFERROR(__xludf.DUMMYFUNCTION("IF(ISBLANK(B159),"""",IFERROR(SPARKLINE(INDEX(GOOGLEFINANCE(B159,""price"",TODAY()-$G$17,TODAY()),,2),{""charttype"",""column"";""color"",""17a7e0""}),""""))"),"")</f>
        <v/>
      </c>
      <c r="I159" s="309" t="str">
        <f>IFERROR(__xludf.DUMMYFUNCTION("IFERROR(IF(B159="""","""",GOOGLEFINANCE(B159)),IFERROR(GOOGLEFINANCE(""CURRENCY:""&amp;""USD""&amp;$D$15)*IMPORTXML(""https://coinmarketcap.com/currencies/""&amp;B159,$AJ$3),IMPORTXML(""https://coinmarketcap.com/currencies/""&amp;B159,$AJ$3)))"),"")</f>
        <v/>
      </c>
      <c r="J159" s="310" t="str">
        <f t="shared" si="2"/>
        <v/>
      </c>
      <c r="K159" s="310" t="str">
        <f>IFERROR(__xludf.DUMMYFUNCTION("IFERROR(IF(ISBLANK(B159),"""",GOOGLEFINANCE(B159,""changepct"")/100),"""")"),"")</f>
        <v/>
      </c>
      <c r="L159" s="310" t="str">
        <f>IFERROR(__xludf.DUMMYFUNCTION("IF(ISBLANK(B159),"""",IFERROR((GOOGLEFINANCE(B159,""price"")/INDEX(GOOGLEFINANCE(B159,""price"",DATEVALUE(TODAY()-365) ),2,2)-1),""""))"),"")</f>
        <v/>
      </c>
      <c r="M159" s="310" t="str">
        <f>IFERROR(__xludf.DUMMYFUNCTION("IF(ISBLANK(B159),"""",IFERROR((GOOGLEFINANCE($D$13,""price"")/INDEX(GOOGLEFINANCE($D$13,""price"",DATEVALUE(TODAY()-365) ),2,2)-1),""""))"),"")</f>
        <v/>
      </c>
      <c r="N159" s="310" t="str">
        <f t="shared" si="3"/>
        <v/>
      </c>
      <c r="O159" s="311" t="str">
        <f>IFERROR(__xludf.DUMMYFUNCTION("IFERROR(IF(ISBLANK(B159),"""",GOOGLEFINANCE(B159,""low52"")),"""")"),"")</f>
        <v/>
      </c>
      <c r="P159" s="310" t="str">
        <f t="shared" si="4"/>
        <v/>
      </c>
      <c r="Q159" s="311" t="str">
        <f>IFERROR(__xludf.DUMMYFUNCTION("IFERROR(IF(ISBLANK(B159),"""",GOOGLEFINANCE(B159,""high52"")),"""")"),"")</f>
        <v/>
      </c>
      <c r="R159" s="310" t="str">
        <f t="shared" si="5"/>
        <v/>
      </c>
      <c r="S159" s="13" t="str">
        <f t="shared" si="6"/>
        <v/>
      </c>
      <c r="U159" s="13" t="str">
        <f t="shared" si="7"/>
        <v/>
      </c>
      <c r="W159" s="13" t="str">
        <f t="shared" si="8"/>
        <v/>
      </c>
      <c r="X159" s="310" t="str">
        <f t="shared" si="9"/>
        <v/>
      </c>
      <c r="Y159" s="311" t="str">
        <f>IFERROR(__xludf.DUMMYFUNCTION("IF(ISBLANK(B159),"""",IFERROR(INDEX(GOOGLEFINANCE(B159,""price"",WORKDAY(TODAY(),-$Y$17)),2,2),""""))"),"")</f>
        <v/>
      </c>
      <c r="Z159" s="310" t="str">
        <f>IFERROR(__xludf.DUMMYFUNCTION("IF(ISBLANK(B159),"""",IFERROR(I159/(INDEX(GOOGLEFINANCE(B159,""price"",WORKDAY(TODAY(),-$Z$17)),2,2))-1,""""))"),"")</f>
        <v/>
      </c>
      <c r="AA159" s="312" t="str">
        <f>IFERROR(__xludf.DUMMYFUNCTION("IF(ISBLANK(B159),"""",IFERROR(IFERROR(""$""&amp;Trunc(GOOGLEFINANCE(B159,""Marketcap"")/1000000000)&amp;"" B"",""$""&amp;Trunc(IMPORTXML(""https://coinmarketcap.com/currencies/""&amp;B159,$AJ$4)/1000000000)&amp;"" B""),""-""))"),"")</f>
        <v/>
      </c>
      <c r="AB159" s="13" t="str">
        <f>IFERROR(__xludf.DUMMYFUNCTION("IF(ISBLANK(B159),"""",IFERROR(GOOGLEFINANCE(B159,""pe""),""-""))"),"")</f>
        <v/>
      </c>
      <c r="AC159" s="313" t="str">
        <f>IFERROR(__xludf.DUMMYFUNCTION("SPARKLINE(INDEX(GOOGLEFINANCE(B159,""price"",workday(today(),-$AC$17),today()),,2),{""charttype"",""column"";""color"",""green""})
"),"#N/A")</f>
        <v>#N/A</v>
      </c>
      <c r="AD159" s="313" t="str">
        <f>IFERROR(__xludf.DUMMYFUNCTION("IF(ISBLANK(B159),"""",IFERROR(INDEX(IMPORTXML(""https://eresearch.fidelity.com/eresearch/goto/evaluate/snapshot.jhtml?symbols=""&amp;B159&amp;"""",""//div[@class='sub-heading']//span[@class='right']""),1),""Enter Manually"")
)"),"")</f>
        <v/>
      </c>
      <c r="AE159" s="314" t="str">
        <f t="shared" si="10"/>
        <v>Info</v>
      </c>
      <c r="AF159" s="329"/>
      <c r="AG159" s="320"/>
      <c r="AH159" s="13"/>
      <c r="AI159" s="13"/>
      <c r="AJ159" s="13"/>
      <c r="AK159" s="13"/>
      <c r="AL159" s="13"/>
      <c r="AM159" s="13"/>
      <c r="AN159" s="13"/>
      <c r="AO159" s="13"/>
      <c r="AP159" s="13"/>
    </row>
    <row r="160" ht="18.75" customHeight="1">
      <c r="A160" s="13"/>
      <c r="B160" s="327"/>
      <c r="C160" s="306" t="str">
        <f>IFERROR(__xludf.DUMMYFUNCTION("GOOGLEFINANCE(B160,""name"")
"),"#N/A")</f>
        <v>#N/A</v>
      </c>
      <c r="D160" s="306"/>
      <c r="E160" s="328"/>
      <c r="F160" s="13" t="str">
        <f t="shared" si="1"/>
        <v/>
      </c>
      <c r="G160" s="309" t="str">
        <f>IFERROR(__xludf.DUMMYFUNCTION("IF(ISBLANK(B160),"""",IFERROR(SPARKLINE(INDEX(GOOGLEFINANCE(B160,""price"",TODAY()-$G$17,TODAY()),,2),{""charttype"",""column"";""color"",""17a7e0""}),""""))"),"")</f>
        <v/>
      </c>
      <c r="I160" s="309" t="str">
        <f>IFERROR(__xludf.DUMMYFUNCTION("IFERROR(IF(B160="""","""",GOOGLEFINANCE(B160)),IFERROR(GOOGLEFINANCE(""CURRENCY:""&amp;""USD""&amp;$D$15)*IMPORTXML(""https://coinmarketcap.com/currencies/""&amp;B160,$AJ$3),IMPORTXML(""https://coinmarketcap.com/currencies/""&amp;B160,$AJ$3)))"),"")</f>
        <v/>
      </c>
      <c r="J160" s="310" t="str">
        <f t="shared" si="2"/>
        <v/>
      </c>
      <c r="K160" s="310" t="str">
        <f>IFERROR(__xludf.DUMMYFUNCTION("IFERROR(IF(ISBLANK(B160),"""",GOOGLEFINANCE(B160,""changepct"")/100),"""")"),"")</f>
        <v/>
      </c>
      <c r="L160" s="310" t="str">
        <f>IFERROR(__xludf.DUMMYFUNCTION("IF(ISBLANK(B160),"""",IFERROR((GOOGLEFINANCE(B160,""price"")/INDEX(GOOGLEFINANCE(B160,""price"",DATEVALUE(TODAY()-365) ),2,2)-1),""""))"),"")</f>
        <v/>
      </c>
      <c r="M160" s="310" t="str">
        <f>IFERROR(__xludf.DUMMYFUNCTION("IF(ISBLANK(B160),"""",IFERROR((GOOGLEFINANCE($D$13,""price"")/INDEX(GOOGLEFINANCE($D$13,""price"",DATEVALUE(TODAY()-365) ),2,2)-1),""""))"),"")</f>
        <v/>
      </c>
      <c r="N160" s="310" t="str">
        <f t="shared" si="3"/>
        <v/>
      </c>
      <c r="O160" s="311" t="str">
        <f>IFERROR(__xludf.DUMMYFUNCTION("IFERROR(IF(ISBLANK(B160),"""",GOOGLEFINANCE(B160,""low52"")),"""")"),"")</f>
        <v/>
      </c>
      <c r="P160" s="310" t="str">
        <f t="shared" si="4"/>
        <v/>
      </c>
      <c r="Q160" s="311" t="str">
        <f>IFERROR(__xludf.DUMMYFUNCTION("IFERROR(IF(ISBLANK(B160),"""",GOOGLEFINANCE(B160,""high52"")),"""")"),"")</f>
        <v/>
      </c>
      <c r="R160" s="310" t="str">
        <f t="shared" si="5"/>
        <v/>
      </c>
      <c r="S160" s="13" t="str">
        <f t="shared" si="6"/>
        <v/>
      </c>
      <c r="U160" s="13" t="str">
        <f t="shared" si="7"/>
        <v/>
      </c>
      <c r="W160" s="13" t="str">
        <f t="shared" si="8"/>
        <v/>
      </c>
      <c r="X160" s="310" t="str">
        <f t="shared" si="9"/>
        <v/>
      </c>
      <c r="Y160" s="311" t="str">
        <f>IFERROR(__xludf.DUMMYFUNCTION("IF(ISBLANK(B160),"""",IFERROR(INDEX(GOOGLEFINANCE(B160,""price"",WORKDAY(TODAY(),-$Y$17)),2,2),""""))"),"")</f>
        <v/>
      </c>
      <c r="Z160" s="310" t="str">
        <f>IFERROR(__xludf.DUMMYFUNCTION("IF(ISBLANK(B160),"""",IFERROR(I160/(INDEX(GOOGLEFINANCE(B160,""price"",WORKDAY(TODAY(),-$Z$17)),2,2))-1,""""))"),"")</f>
        <v/>
      </c>
      <c r="AA160" s="312" t="str">
        <f>IFERROR(__xludf.DUMMYFUNCTION("IF(ISBLANK(B160),"""",IFERROR(IFERROR(""$""&amp;Trunc(GOOGLEFINANCE(B160,""Marketcap"")/1000000000)&amp;"" B"",""$""&amp;Trunc(IMPORTXML(""https://coinmarketcap.com/currencies/""&amp;B160,$AJ$4)/1000000000)&amp;"" B""),""-""))"),"")</f>
        <v/>
      </c>
      <c r="AB160" s="13" t="str">
        <f>IFERROR(__xludf.DUMMYFUNCTION("IF(ISBLANK(B160),"""",IFERROR(GOOGLEFINANCE(B160,""pe""),""-""))"),"")</f>
        <v/>
      </c>
      <c r="AC160" s="313" t="str">
        <f>IFERROR(__xludf.DUMMYFUNCTION("SPARKLINE(INDEX(GOOGLEFINANCE(B160,""price"",workday(today(),-$AC$17),today()),,2),{""charttype"",""column"";""color"",""green""})
"),"#N/A")</f>
        <v>#N/A</v>
      </c>
      <c r="AD160" s="313" t="str">
        <f>IFERROR(__xludf.DUMMYFUNCTION("IF(ISBLANK(B160),"""",IFERROR(INDEX(IMPORTXML(""https://eresearch.fidelity.com/eresearch/goto/evaluate/snapshot.jhtml?symbols=""&amp;B160&amp;"""",""//div[@class='sub-heading']//span[@class='right']""),1),""Enter Manually"")
)"),"")</f>
        <v/>
      </c>
      <c r="AE160" s="314" t="str">
        <f t="shared" si="10"/>
        <v>Info</v>
      </c>
      <c r="AF160" s="329"/>
      <c r="AG160" s="320"/>
      <c r="AH160" s="13"/>
      <c r="AI160" s="13"/>
      <c r="AJ160" s="13"/>
      <c r="AK160" s="13"/>
      <c r="AL160" s="13"/>
      <c r="AM160" s="13"/>
      <c r="AN160" s="13"/>
      <c r="AO160" s="13"/>
      <c r="AP160" s="13"/>
    </row>
    <row r="161" ht="18.75" customHeight="1">
      <c r="A161" s="13"/>
      <c r="B161" s="327"/>
      <c r="C161" s="306" t="str">
        <f>IFERROR(__xludf.DUMMYFUNCTION("GOOGLEFINANCE(B161,""name"")
"),"#N/A")</f>
        <v>#N/A</v>
      </c>
      <c r="D161" s="306"/>
      <c r="E161" s="328"/>
      <c r="F161" s="13" t="str">
        <f t="shared" si="1"/>
        <v/>
      </c>
      <c r="G161" s="309" t="str">
        <f>IFERROR(__xludf.DUMMYFUNCTION("IF(ISBLANK(B161),"""",IFERROR(SPARKLINE(INDEX(GOOGLEFINANCE(B161,""price"",TODAY()-$G$17,TODAY()),,2),{""charttype"",""column"";""color"",""17a7e0""}),""""))"),"")</f>
        <v/>
      </c>
      <c r="I161" s="309" t="str">
        <f>IFERROR(__xludf.DUMMYFUNCTION("IFERROR(IF(B161="""","""",GOOGLEFINANCE(B161)),IFERROR(GOOGLEFINANCE(""CURRENCY:""&amp;""USD""&amp;$D$15)*IMPORTXML(""https://coinmarketcap.com/currencies/""&amp;B161,$AJ$3),IMPORTXML(""https://coinmarketcap.com/currencies/""&amp;B161,$AJ$3)))"),"")</f>
        <v/>
      </c>
      <c r="J161" s="310" t="str">
        <f t="shared" si="2"/>
        <v/>
      </c>
      <c r="K161" s="310" t="str">
        <f>IFERROR(__xludf.DUMMYFUNCTION("IFERROR(IF(ISBLANK(B161),"""",GOOGLEFINANCE(B161,""changepct"")/100),"""")"),"")</f>
        <v/>
      </c>
      <c r="L161" s="310" t="str">
        <f>IFERROR(__xludf.DUMMYFUNCTION("IF(ISBLANK(B161),"""",IFERROR((GOOGLEFINANCE(B161,""price"")/INDEX(GOOGLEFINANCE(B161,""price"",DATEVALUE(TODAY()-365) ),2,2)-1),""""))"),"")</f>
        <v/>
      </c>
      <c r="M161" s="310" t="str">
        <f>IFERROR(__xludf.DUMMYFUNCTION("IF(ISBLANK(B161),"""",IFERROR((GOOGLEFINANCE($D$13,""price"")/INDEX(GOOGLEFINANCE($D$13,""price"",DATEVALUE(TODAY()-365) ),2,2)-1),""""))"),"")</f>
        <v/>
      </c>
      <c r="N161" s="310" t="str">
        <f t="shared" si="3"/>
        <v/>
      </c>
      <c r="O161" s="311" t="str">
        <f>IFERROR(__xludf.DUMMYFUNCTION("IFERROR(IF(ISBLANK(B161),"""",GOOGLEFINANCE(B161,""low52"")),"""")"),"")</f>
        <v/>
      </c>
      <c r="P161" s="310" t="str">
        <f t="shared" si="4"/>
        <v/>
      </c>
      <c r="Q161" s="311" t="str">
        <f>IFERROR(__xludf.DUMMYFUNCTION("IFERROR(IF(ISBLANK(B161),"""",GOOGLEFINANCE(B161,""high52"")),"""")"),"")</f>
        <v/>
      </c>
      <c r="R161" s="310" t="str">
        <f t="shared" si="5"/>
        <v/>
      </c>
      <c r="S161" s="13" t="str">
        <f t="shared" si="6"/>
        <v/>
      </c>
      <c r="U161" s="13" t="str">
        <f t="shared" si="7"/>
        <v/>
      </c>
      <c r="W161" s="13" t="str">
        <f t="shared" si="8"/>
        <v/>
      </c>
      <c r="X161" s="310" t="str">
        <f t="shared" si="9"/>
        <v/>
      </c>
      <c r="Y161" s="311" t="str">
        <f>IFERROR(__xludf.DUMMYFUNCTION("IF(ISBLANK(B161),"""",IFERROR(INDEX(GOOGLEFINANCE(B161,""price"",WORKDAY(TODAY(),-$Y$17)),2,2),""""))"),"")</f>
        <v/>
      </c>
      <c r="Z161" s="310" t="str">
        <f>IFERROR(__xludf.DUMMYFUNCTION("IF(ISBLANK(B161),"""",IFERROR(I161/(INDEX(GOOGLEFINANCE(B161,""price"",WORKDAY(TODAY(),-$Z$17)),2,2))-1,""""))"),"")</f>
        <v/>
      </c>
      <c r="AA161" s="312" t="str">
        <f>IFERROR(__xludf.DUMMYFUNCTION("IF(ISBLANK(B161),"""",IFERROR(IFERROR(""$""&amp;Trunc(GOOGLEFINANCE(B161,""Marketcap"")/1000000000)&amp;"" B"",""$""&amp;Trunc(IMPORTXML(""https://coinmarketcap.com/currencies/""&amp;B161,$AJ$4)/1000000000)&amp;"" B""),""-""))"),"")</f>
        <v/>
      </c>
      <c r="AB161" s="13" t="str">
        <f>IFERROR(__xludf.DUMMYFUNCTION("IF(ISBLANK(B161),"""",IFERROR(GOOGLEFINANCE(B161,""pe""),""-""))"),"")</f>
        <v/>
      </c>
      <c r="AC161" s="313" t="str">
        <f>IFERROR(__xludf.DUMMYFUNCTION("SPARKLINE(INDEX(GOOGLEFINANCE(B161,""price"",workday(today(),-$AC$17),today()),,2),{""charttype"",""column"";""color"",""green""})
"),"#N/A")</f>
        <v>#N/A</v>
      </c>
      <c r="AD161" s="313" t="str">
        <f>IFERROR(__xludf.DUMMYFUNCTION("IF(ISBLANK(B161),"""",IFERROR(INDEX(IMPORTXML(""https://eresearch.fidelity.com/eresearch/goto/evaluate/snapshot.jhtml?symbols=""&amp;B161&amp;"""",""//div[@class='sub-heading']//span[@class='right']""),1),""Enter Manually"")
)"),"")</f>
        <v/>
      </c>
      <c r="AE161" s="314" t="str">
        <f t="shared" si="10"/>
        <v>Info</v>
      </c>
      <c r="AF161" s="329"/>
      <c r="AG161" s="320"/>
      <c r="AH161" s="13"/>
      <c r="AI161" s="13"/>
      <c r="AJ161" s="13"/>
      <c r="AK161" s="13"/>
      <c r="AL161" s="13"/>
      <c r="AM161" s="13"/>
      <c r="AN161" s="13"/>
      <c r="AO161" s="13"/>
      <c r="AP161" s="13"/>
    </row>
    <row r="162" ht="18.75" customHeight="1">
      <c r="A162" s="13"/>
      <c r="B162" s="327"/>
      <c r="C162" s="306" t="str">
        <f>IFERROR(__xludf.DUMMYFUNCTION("GOOGLEFINANCE(B162,""name"")
"),"#N/A")</f>
        <v>#N/A</v>
      </c>
      <c r="D162" s="306"/>
      <c r="E162" s="328"/>
      <c r="F162" s="13" t="str">
        <f t="shared" si="1"/>
        <v/>
      </c>
      <c r="G162" s="309" t="str">
        <f>IFERROR(__xludf.DUMMYFUNCTION("IF(ISBLANK(B162),"""",IFERROR(SPARKLINE(INDEX(GOOGLEFINANCE(B162,""price"",TODAY()-$G$17,TODAY()),,2),{""charttype"",""column"";""color"",""17a7e0""}),""""))"),"")</f>
        <v/>
      </c>
      <c r="I162" s="309" t="str">
        <f>IFERROR(__xludf.DUMMYFUNCTION("IFERROR(IF(B162="""","""",GOOGLEFINANCE(B162)),IFERROR(GOOGLEFINANCE(""CURRENCY:""&amp;""USD""&amp;$D$15)*IMPORTXML(""https://coinmarketcap.com/currencies/""&amp;B162,$AJ$3),IMPORTXML(""https://coinmarketcap.com/currencies/""&amp;B162,$AJ$3)))"),"")</f>
        <v/>
      </c>
      <c r="J162" s="310" t="str">
        <f t="shared" si="2"/>
        <v/>
      </c>
      <c r="K162" s="310" t="str">
        <f>IFERROR(__xludf.DUMMYFUNCTION("IFERROR(IF(ISBLANK(B162),"""",GOOGLEFINANCE(B162,""changepct"")/100),"""")"),"")</f>
        <v/>
      </c>
      <c r="L162" s="310" t="str">
        <f>IFERROR(__xludf.DUMMYFUNCTION("IF(ISBLANK(B162),"""",IFERROR((GOOGLEFINANCE(B162,""price"")/INDEX(GOOGLEFINANCE(B162,""price"",DATEVALUE(TODAY()-365) ),2,2)-1),""""))"),"")</f>
        <v/>
      </c>
      <c r="M162" s="310" t="str">
        <f>IFERROR(__xludf.DUMMYFUNCTION("IF(ISBLANK(B162),"""",IFERROR((GOOGLEFINANCE($D$13,""price"")/INDEX(GOOGLEFINANCE($D$13,""price"",DATEVALUE(TODAY()-365) ),2,2)-1),""""))"),"")</f>
        <v/>
      </c>
      <c r="N162" s="310" t="str">
        <f t="shared" si="3"/>
        <v/>
      </c>
      <c r="O162" s="311" t="str">
        <f>IFERROR(__xludf.DUMMYFUNCTION("IFERROR(IF(ISBLANK(B162),"""",GOOGLEFINANCE(B162,""low52"")),"""")"),"")</f>
        <v/>
      </c>
      <c r="P162" s="310" t="str">
        <f t="shared" si="4"/>
        <v/>
      </c>
      <c r="Q162" s="311" t="str">
        <f>IFERROR(__xludf.DUMMYFUNCTION("IFERROR(IF(ISBLANK(B162),"""",GOOGLEFINANCE(B162,""high52"")),"""")"),"")</f>
        <v/>
      </c>
      <c r="R162" s="310" t="str">
        <f t="shared" si="5"/>
        <v/>
      </c>
      <c r="S162" s="13" t="str">
        <f t="shared" si="6"/>
        <v/>
      </c>
      <c r="U162" s="13" t="str">
        <f t="shared" si="7"/>
        <v/>
      </c>
      <c r="W162" s="13" t="str">
        <f t="shared" si="8"/>
        <v/>
      </c>
      <c r="X162" s="310" t="str">
        <f t="shared" si="9"/>
        <v/>
      </c>
      <c r="Y162" s="311" t="str">
        <f>IFERROR(__xludf.DUMMYFUNCTION("IF(ISBLANK(B162),"""",IFERROR(INDEX(GOOGLEFINANCE(B162,""price"",WORKDAY(TODAY(),-$Y$17)),2,2),""""))"),"")</f>
        <v/>
      </c>
      <c r="Z162" s="310" t="str">
        <f>IFERROR(__xludf.DUMMYFUNCTION("IF(ISBLANK(B162),"""",IFERROR(I162/(INDEX(GOOGLEFINANCE(B162,""price"",WORKDAY(TODAY(),-$Z$17)),2,2))-1,""""))"),"")</f>
        <v/>
      </c>
      <c r="AA162" s="312" t="str">
        <f>IFERROR(__xludf.DUMMYFUNCTION("IF(ISBLANK(B162),"""",IFERROR(IFERROR(""$""&amp;Trunc(GOOGLEFINANCE(B162,""Marketcap"")/1000000000)&amp;"" B"",""$""&amp;Trunc(IMPORTXML(""https://coinmarketcap.com/currencies/""&amp;B162,$AJ$4)/1000000000)&amp;"" B""),""-""))"),"")</f>
        <v/>
      </c>
      <c r="AB162" s="13" t="str">
        <f>IFERROR(__xludf.DUMMYFUNCTION("IF(ISBLANK(B162),"""",IFERROR(GOOGLEFINANCE(B162,""pe""),""-""))"),"")</f>
        <v/>
      </c>
      <c r="AC162" s="313" t="str">
        <f>IFERROR(__xludf.DUMMYFUNCTION("SPARKLINE(INDEX(GOOGLEFINANCE(B162,""price"",workday(today(),-$AC$17),today()),,2),{""charttype"",""column"";""color"",""green""})
"),"#N/A")</f>
        <v>#N/A</v>
      </c>
      <c r="AD162" s="313" t="str">
        <f>IFERROR(__xludf.DUMMYFUNCTION("IF(ISBLANK(B162),"""",IFERROR(INDEX(IMPORTXML(""https://eresearch.fidelity.com/eresearch/goto/evaluate/snapshot.jhtml?symbols=""&amp;B162&amp;"""",""//div[@class='sub-heading']//span[@class='right']""),1),""Enter Manually"")
)"),"")</f>
        <v/>
      </c>
      <c r="AE162" s="314" t="str">
        <f t="shared" si="10"/>
        <v>Info</v>
      </c>
      <c r="AF162" s="329"/>
      <c r="AG162" s="320"/>
      <c r="AH162" s="13"/>
      <c r="AI162" s="13"/>
      <c r="AJ162" s="13"/>
      <c r="AK162" s="13"/>
      <c r="AL162" s="13"/>
      <c r="AM162" s="13"/>
      <c r="AN162" s="13"/>
      <c r="AO162" s="13"/>
      <c r="AP162" s="13"/>
    </row>
    <row r="163" ht="18.75" customHeight="1">
      <c r="A163" s="13"/>
      <c r="B163" s="327"/>
      <c r="C163" s="306" t="str">
        <f>IFERROR(__xludf.DUMMYFUNCTION("GOOGLEFINANCE(B163,""name"")
"),"#N/A")</f>
        <v>#N/A</v>
      </c>
      <c r="D163" s="306"/>
      <c r="E163" s="328"/>
      <c r="F163" s="13" t="str">
        <f t="shared" si="1"/>
        <v/>
      </c>
      <c r="G163" s="309" t="str">
        <f>IFERROR(__xludf.DUMMYFUNCTION("IF(ISBLANK(B163),"""",IFERROR(SPARKLINE(INDEX(GOOGLEFINANCE(B163,""price"",TODAY()-$G$17,TODAY()),,2),{""charttype"",""column"";""color"",""17a7e0""}),""""))"),"")</f>
        <v/>
      </c>
      <c r="I163" s="309" t="str">
        <f>IFERROR(__xludf.DUMMYFUNCTION("IFERROR(IF(B163="""","""",GOOGLEFINANCE(B163)),IFERROR(GOOGLEFINANCE(""CURRENCY:""&amp;""USD""&amp;$D$15)*IMPORTXML(""https://coinmarketcap.com/currencies/""&amp;B163,$AJ$3),IMPORTXML(""https://coinmarketcap.com/currencies/""&amp;B163,$AJ$3)))"),"")</f>
        <v/>
      </c>
      <c r="J163" s="310" t="str">
        <f t="shared" si="2"/>
        <v/>
      </c>
      <c r="K163" s="310" t="str">
        <f>IFERROR(__xludf.DUMMYFUNCTION("IFERROR(IF(ISBLANK(B163),"""",GOOGLEFINANCE(B163,""changepct"")/100),"""")"),"")</f>
        <v/>
      </c>
      <c r="L163" s="310" t="str">
        <f>IFERROR(__xludf.DUMMYFUNCTION("IF(ISBLANK(B163),"""",IFERROR((GOOGLEFINANCE(B163,""price"")/INDEX(GOOGLEFINANCE(B163,""price"",DATEVALUE(TODAY()-365) ),2,2)-1),""""))"),"")</f>
        <v/>
      </c>
      <c r="M163" s="310" t="str">
        <f>IFERROR(__xludf.DUMMYFUNCTION("IF(ISBLANK(B163),"""",IFERROR((GOOGLEFINANCE($D$13,""price"")/INDEX(GOOGLEFINANCE($D$13,""price"",DATEVALUE(TODAY()-365) ),2,2)-1),""""))"),"")</f>
        <v/>
      </c>
      <c r="N163" s="310" t="str">
        <f t="shared" si="3"/>
        <v/>
      </c>
      <c r="O163" s="311" t="str">
        <f>IFERROR(__xludf.DUMMYFUNCTION("IFERROR(IF(ISBLANK(B163),"""",GOOGLEFINANCE(B163,""low52"")),"""")"),"")</f>
        <v/>
      </c>
      <c r="P163" s="310" t="str">
        <f t="shared" si="4"/>
        <v/>
      </c>
      <c r="Q163" s="311" t="str">
        <f>IFERROR(__xludf.DUMMYFUNCTION("IFERROR(IF(ISBLANK(B163),"""",GOOGLEFINANCE(B163,""high52"")),"""")"),"")</f>
        <v/>
      </c>
      <c r="R163" s="310" t="str">
        <f t="shared" si="5"/>
        <v/>
      </c>
      <c r="S163" s="13" t="str">
        <f t="shared" si="6"/>
        <v/>
      </c>
      <c r="U163" s="13" t="str">
        <f t="shared" si="7"/>
        <v/>
      </c>
      <c r="W163" s="13" t="str">
        <f t="shared" si="8"/>
        <v/>
      </c>
      <c r="X163" s="310" t="str">
        <f t="shared" si="9"/>
        <v/>
      </c>
      <c r="Y163" s="311" t="str">
        <f>IFERROR(__xludf.DUMMYFUNCTION("IF(ISBLANK(B163),"""",IFERROR(INDEX(GOOGLEFINANCE(B163,""price"",WORKDAY(TODAY(),-$Y$17)),2,2),""""))"),"")</f>
        <v/>
      </c>
      <c r="Z163" s="310" t="str">
        <f>IFERROR(__xludf.DUMMYFUNCTION("IF(ISBLANK(B163),"""",IFERROR(I163/(INDEX(GOOGLEFINANCE(B163,""price"",WORKDAY(TODAY(),-$Z$17)),2,2))-1,""""))"),"")</f>
        <v/>
      </c>
      <c r="AA163" s="312" t="str">
        <f>IFERROR(__xludf.DUMMYFUNCTION("IF(ISBLANK(B163),"""",IFERROR(IFERROR(""$""&amp;Trunc(GOOGLEFINANCE(B163,""Marketcap"")/1000000000)&amp;"" B"",""$""&amp;Trunc(IMPORTXML(""https://coinmarketcap.com/currencies/""&amp;B163,$AJ$4)/1000000000)&amp;"" B""),""-""))"),"")</f>
        <v/>
      </c>
      <c r="AB163" s="13" t="str">
        <f>IFERROR(__xludf.DUMMYFUNCTION("IF(ISBLANK(B163),"""",IFERROR(GOOGLEFINANCE(B163,""pe""),""-""))"),"")</f>
        <v/>
      </c>
      <c r="AC163" s="313" t="str">
        <f>IFERROR(__xludf.DUMMYFUNCTION("SPARKLINE(INDEX(GOOGLEFINANCE(B163,""price"",workday(today(),-$AC$17),today()),,2),{""charttype"",""column"";""color"",""green""})
"),"#N/A")</f>
        <v>#N/A</v>
      </c>
      <c r="AD163" s="313" t="str">
        <f>IFERROR(__xludf.DUMMYFUNCTION("IF(ISBLANK(B163),"""",IFERROR(INDEX(IMPORTXML(""https://eresearch.fidelity.com/eresearch/goto/evaluate/snapshot.jhtml?symbols=""&amp;B163&amp;"""",""//div[@class='sub-heading']//span[@class='right']""),1),""Enter Manually"")
)"),"")</f>
        <v/>
      </c>
      <c r="AE163" s="314" t="str">
        <f t="shared" si="10"/>
        <v>Info</v>
      </c>
      <c r="AF163" s="329"/>
      <c r="AG163" s="320"/>
      <c r="AH163" s="13"/>
      <c r="AI163" s="13"/>
      <c r="AJ163" s="13"/>
      <c r="AK163" s="13"/>
      <c r="AL163" s="13"/>
      <c r="AM163" s="13"/>
      <c r="AN163" s="13"/>
      <c r="AO163" s="13"/>
      <c r="AP163" s="13"/>
    </row>
    <row r="164" ht="18.75" customHeight="1">
      <c r="A164" s="13"/>
      <c r="B164" s="327"/>
      <c r="C164" s="306" t="str">
        <f>IFERROR(__xludf.DUMMYFUNCTION("GOOGLEFINANCE(B164,""name"")
"),"#N/A")</f>
        <v>#N/A</v>
      </c>
      <c r="D164" s="306"/>
      <c r="E164" s="328"/>
      <c r="F164" s="13" t="str">
        <f t="shared" si="1"/>
        <v/>
      </c>
      <c r="G164" s="309" t="str">
        <f>IFERROR(__xludf.DUMMYFUNCTION("IF(ISBLANK(B164),"""",IFERROR(SPARKLINE(INDEX(GOOGLEFINANCE(B164,""price"",TODAY()-$G$17,TODAY()),,2),{""charttype"",""column"";""color"",""17a7e0""}),""""))"),"")</f>
        <v/>
      </c>
      <c r="I164" s="309" t="str">
        <f>IFERROR(__xludf.DUMMYFUNCTION("IFERROR(IF(B164="""","""",GOOGLEFINANCE(B164)),IFERROR(GOOGLEFINANCE(""CURRENCY:""&amp;""USD""&amp;$D$15)*IMPORTXML(""https://coinmarketcap.com/currencies/""&amp;B164,$AJ$3),IMPORTXML(""https://coinmarketcap.com/currencies/""&amp;B164,$AJ$3)))"),"")</f>
        <v/>
      </c>
      <c r="J164" s="310" t="str">
        <f t="shared" si="2"/>
        <v/>
      </c>
      <c r="K164" s="310" t="str">
        <f>IFERROR(__xludf.DUMMYFUNCTION("IFERROR(IF(ISBLANK(B164),"""",GOOGLEFINANCE(B164,""changepct"")/100),"""")"),"")</f>
        <v/>
      </c>
      <c r="L164" s="310" t="str">
        <f>IFERROR(__xludf.DUMMYFUNCTION("IF(ISBLANK(B164),"""",IFERROR((GOOGLEFINANCE(B164,""price"")/INDEX(GOOGLEFINANCE(B164,""price"",DATEVALUE(TODAY()-365) ),2,2)-1),""""))"),"")</f>
        <v/>
      </c>
      <c r="M164" s="310" t="str">
        <f>IFERROR(__xludf.DUMMYFUNCTION("IF(ISBLANK(B164),"""",IFERROR((GOOGLEFINANCE($D$13,""price"")/INDEX(GOOGLEFINANCE($D$13,""price"",DATEVALUE(TODAY()-365) ),2,2)-1),""""))"),"")</f>
        <v/>
      </c>
      <c r="N164" s="310" t="str">
        <f t="shared" si="3"/>
        <v/>
      </c>
      <c r="O164" s="311" t="str">
        <f>IFERROR(__xludf.DUMMYFUNCTION("IFERROR(IF(ISBLANK(B164),"""",GOOGLEFINANCE(B164,""low52"")),"""")"),"")</f>
        <v/>
      </c>
      <c r="P164" s="310" t="str">
        <f t="shared" si="4"/>
        <v/>
      </c>
      <c r="Q164" s="311" t="str">
        <f>IFERROR(__xludf.DUMMYFUNCTION("IFERROR(IF(ISBLANK(B164),"""",GOOGLEFINANCE(B164,""high52"")),"""")"),"")</f>
        <v/>
      </c>
      <c r="R164" s="310" t="str">
        <f t="shared" si="5"/>
        <v/>
      </c>
      <c r="S164" s="13" t="str">
        <f t="shared" si="6"/>
        <v/>
      </c>
      <c r="U164" s="13" t="str">
        <f t="shared" si="7"/>
        <v/>
      </c>
      <c r="W164" s="13" t="str">
        <f t="shared" si="8"/>
        <v/>
      </c>
      <c r="X164" s="310" t="str">
        <f t="shared" si="9"/>
        <v/>
      </c>
      <c r="Y164" s="311" t="str">
        <f>IFERROR(__xludf.DUMMYFUNCTION("IF(ISBLANK(B164),"""",IFERROR(INDEX(GOOGLEFINANCE(B164,""price"",WORKDAY(TODAY(),-$Y$17)),2,2),""""))"),"")</f>
        <v/>
      </c>
      <c r="Z164" s="310" t="str">
        <f>IFERROR(__xludf.DUMMYFUNCTION("IF(ISBLANK(B164),"""",IFERROR(I164/(INDEX(GOOGLEFINANCE(B164,""price"",WORKDAY(TODAY(),-$Z$17)),2,2))-1,""""))"),"")</f>
        <v/>
      </c>
      <c r="AA164" s="312" t="str">
        <f>IFERROR(__xludf.DUMMYFUNCTION("IF(ISBLANK(B164),"""",IFERROR(IFERROR(""$""&amp;Trunc(GOOGLEFINANCE(B164,""Marketcap"")/1000000000)&amp;"" B"",""$""&amp;Trunc(IMPORTXML(""https://coinmarketcap.com/currencies/""&amp;B164,$AJ$4)/1000000000)&amp;"" B""),""-""))"),"")</f>
        <v/>
      </c>
      <c r="AB164" s="13" t="str">
        <f>IFERROR(__xludf.DUMMYFUNCTION("IF(ISBLANK(B164),"""",IFERROR(GOOGLEFINANCE(B164,""pe""),""-""))"),"")</f>
        <v/>
      </c>
      <c r="AC164" s="313" t="str">
        <f>IFERROR(__xludf.DUMMYFUNCTION("SPARKLINE(INDEX(GOOGLEFINANCE(B164,""price"",workday(today(),-$AC$17),today()),,2),{""charttype"",""column"";""color"",""green""})
"),"#N/A")</f>
        <v>#N/A</v>
      </c>
      <c r="AD164" s="313" t="str">
        <f>IFERROR(__xludf.DUMMYFUNCTION("IF(ISBLANK(B164),"""",IFERROR(INDEX(IMPORTXML(""https://eresearch.fidelity.com/eresearch/goto/evaluate/snapshot.jhtml?symbols=""&amp;B164&amp;"""",""//div[@class='sub-heading']//span[@class='right']""),1),""Enter Manually"")
)"),"")</f>
        <v/>
      </c>
      <c r="AE164" s="314" t="str">
        <f t="shared" si="10"/>
        <v>Info</v>
      </c>
      <c r="AF164" s="329"/>
      <c r="AG164" s="320"/>
      <c r="AH164" s="13"/>
      <c r="AI164" s="13"/>
      <c r="AJ164" s="13"/>
      <c r="AK164" s="13"/>
      <c r="AL164" s="13"/>
      <c r="AM164" s="13"/>
      <c r="AN164" s="13"/>
      <c r="AO164" s="13"/>
      <c r="AP164" s="13"/>
    </row>
    <row r="165" ht="18.75" customHeight="1">
      <c r="A165" s="13"/>
      <c r="B165" s="327"/>
      <c r="C165" s="306" t="str">
        <f>IFERROR(__xludf.DUMMYFUNCTION("GOOGLEFINANCE(B165,""name"")
"),"#N/A")</f>
        <v>#N/A</v>
      </c>
      <c r="D165" s="306"/>
      <c r="E165" s="328"/>
      <c r="F165" s="13" t="str">
        <f t="shared" si="1"/>
        <v/>
      </c>
      <c r="G165" s="309" t="str">
        <f>IFERROR(__xludf.DUMMYFUNCTION("IF(ISBLANK(B165),"""",IFERROR(SPARKLINE(INDEX(GOOGLEFINANCE(B165,""price"",TODAY()-$G$17,TODAY()),,2),{""charttype"",""column"";""color"",""17a7e0""}),""""))"),"")</f>
        <v/>
      </c>
      <c r="I165" s="309" t="str">
        <f>IFERROR(__xludf.DUMMYFUNCTION("IFERROR(IF(B165="""","""",GOOGLEFINANCE(B165)),IFERROR(GOOGLEFINANCE(""CURRENCY:""&amp;""USD""&amp;$D$15)*IMPORTXML(""https://coinmarketcap.com/currencies/""&amp;B165,$AJ$3),IMPORTXML(""https://coinmarketcap.com/currencies/""&amp;B165,$AJ$3)))"),"")</f>
        <v/>
      </c>
      <c r="J165" s="310" t="str">
        <f t="shared" si="2"/>
        <v/>
      </c>
      <c r="K165" s="310" t="str">
        <f>IFERROR(__xludf.DUMMYFUNCTION("IFERROR(IF(ISBLANK(B165),"""",GOOGLEFINANCE(B165,""changepct"")/100),"""")"),"")</f>
        <v/>
      </c>
      <c r="L165" s="310" t="str">
        <f>IFERROR(__xludf.DUMMYFUNCTION("IF(ISBLANK(B165),"""",IFERROR((GOOGLEFINANCE(B165,""price"")/INDEX(GOOGLEFINANCE(B165,""price"",DATEVALUE(TODAY()-365) ),2,2)-1),""""))"),"")</f>
        <v/>
      </c>
      <c r="M165" s="310" t="str">
        <f>IFERROR(__xludf.DUMMYFUNCTION("IF(ISBLANK(B165),"""",IFERROR((GOOGLEFINANCE($D$13,""price"")/INDEX(GOOGLEFINANCE($D$13,""price"",DATEVALUE(TODAY()-365) ),2,2)-1),""""))"),"")</f>
        <v/>
      </c>
      <c r="N165" s="310" t="str">
        <f t="shared" si="3"/>
        <v/>
      </c>
      <c r="O165" s="311" t="str">
        <f>IFERROR(__xludf.DUMMYFUNCTION("IFERROR(IF(ISBLANK(B165),"""",GOOGLEFINANCE(B165,""low52"")),"""")"),"")</f>
        <v/>
      </c>
      <c r="P165" s="310" t="str">
        <f t="shared" si="4"/>
        <v/>
      </c>
      <c r="Q165" s="311" t="str">
        <f>IFERROR(__xludf.DUMMYFUNCTION("IFERROR(IF(ISBLANK(B165),"""",GOOGLEFINANCE(B165,""high52"")),"""")"),"")</f>
        <v/>
      </c>
      <c r="R165" s="310" t="str">
        <f t="shared" si="5"/>
        <v/>
      </c>
      <c r="S165" s="13" t="str">
        <f t="shared" si="6"/>
        <v/>
      </c>
      <c r="U165" s="13" t="str">
        <f t="shared" si="7"/>
        <v/>
      </c>
      <c r="W165" s="13" t="str">
        <f t="shared" si="8"/>
        <v/>
      </c>
      <c r="X165" s="310" t="str">
        <f t="shared" si="9"/>
        <v/>
      </c>
      <c r="Y165" s="311" t="str">
        <f>IFERROR(__xludf.DUMMYFUNCTION("IF(ISBLANK(B165),"""",IFERROR(INDEX(GOOGLEFINANCE(B165,""price"",WORKDAY(TODAY(),-$Y$17)),2,2),""""))"),"")</f>
        <v/>
      </c>
      <c r="Z165" s="310" t="str">
        <f>IFERROR(__xludf.DUMMYFUNCTION("IF(ISBLANK(B165),"""",IFERROR(I165/(INDEX(GOOGLEFINANCE(B165,""price"",WORKDAY(TODAY(),-$Z$17)),2,2))-1,""""))"),"")</f>
        <v/>
      </c>
      <c r="AA165" s="312" t="str">
        <f>IFERROR(__xludf.DUMMYFUNCTION("IF(ISBLANK(B165),"""",IFERROR(IFERROR(""$""&amp;Trunc(GOOGLEFINANCE(B165,""Marketcap"")/1000000000)&amp;"" B"",""$""&amp;Trunc(IMPORTXML(""https://coinmarketcap.com/currencies/""&amp;B165,$AJ$4)/1000000000)&amp;"" B""),""-""))"),"")</f>
        <v/>
      </c>
      <c r="AB165" s="13" t="str">
        <f>IFERROR(__xludf.DUMMYFUNCTION("IF(ISBLANK(B165),"""",IFERROR(GOOGLEFINANCE(B165,""pe""),""-""))"),"")</f>
        <v/>
      </c>
      <c r="AC165" s="313" t="str">
        <f>IFERROR(__xludf.DUMMYFUNCTION("SPARKLINE(INDEX(GOOGLEFINANCE(B165,""price"",workday(today(),-$AC$17),today()),,2),{""charttype"",""column"";""color"",""green""})
"),"#N/A")</f>
        <v>#N/A</v>
      </c>
      <c r="AD165" s="313" t="str">
        <f>IFERROR(__xludf.DUMMYFUNCTION("IF(ISBLANK(B165),"""",IFERROR(INDEX(IMPORTXML(""https://eresearch.fidelity.com/eresearch/goto/evaluate/snapshot.jhtml?symbols=""&amp;B165&amp;"""",""//div[@class='sub-heading']//span[@class='right']""),1),""Enter Manually"")
)"),"")</f>
        <v/>
      </c>
      <c r="AE165" s="314" t="str">
        <f t="shared" si="10"/>
        <v>Info</v>
      </c>
      <c r="AF165" s="329"/>
      <c r="AG165" s="320"/>
      <c r="AH165" s="13"/>
      <c r="AI165" s="13"/>
      <c r="AJ165" s="13"/>
      <c r="AK165" s="13"/>
      <c r="AL165" s="13"/>
      <c r="AM165" s="13"/>
      <c r="AN165" s="13"/>
      <c r="AO165" s="13"/>
      <c r="AP165" s="13"/>
    </row>
    <row r="166" ht="18.75" customHeight="1">
      <c r="A166" s="13"/>
      <c r="B166" s="327"/>
      <c r="C166" s="306" t="str">
        <f>IFERROR(__xludf.DUMMYFUNCTION("GOOGLEFINANCE(B166,""name"")
"),"#N/A")</f>
        <v>#N/A</v>
      </c>
      <c r="D166" s="306"/>
      <c r="E166" s="328"/>
      <c r="F166" s="13" t="str">
        <f t="shared" si="1"/>
        <v/>
      </c>
      <c r="G166" s="309" t="str">
        <f>IFERROR(__xludf.DUMMYFUNCTION("IF(ISBLANK(B166),"""",IFERROR(SPARKLINE(INDEX(GOOGLEFINANCE(B166,""price"",TODAY()-$G$17,TODAY()),,2),{""charttype"",""column"";""color"",""17a7e0""}),""""))"),"")</f>
        <v/>
      </c>
      <c r="I166" s="309" t="str">
        <f>IFERROR(__xludf.DUMMYFUNCTION("IFERROR(IF(B166="""","""",GOOGLEFINANCE(B166)),IFERROR(GOOGLEFINANCE(""CURRENCY:""&amp;""USD""&amp;$D$15)*IMPORTXML(""https://coinmarketcap.com/currencies/""&amp;B166,$AJ$3),IMPORTXML(""https://coinmarketcap.com/currencies/""&amp;B166,$AJ$3)))"),"")</f>
        <v/>
      </c>
      <c r="J166" s="310" t="str">
        <f t="shared" si="2"/>
        <v/>
      </c>
      <c r="K166" s="310" t="str">
        <f>IFERROR(__xludf.DUMMYFUNCTION("IFERROR(IF(ISBLANK(B166),"""",GOOGLEFINANCE(B166,""changepct"")/100),"""")"),"")</f>
        <v/>
      </c>
      <c r="L166" s="310" t="str">
        <f>IFERROR(__xludf.DUMMYFUNCTION("IF(ISBLANK(B166),"""",IFERROR((GOOGLEFINANCE(B166,""price"")/INDEX(GOOGLEFINANCE(B166,""price"",DATEVALUE(TODAY()-365) ),2,2)-1),""""))"),"")</f>
        <v/>
      </c>
      <c r="M166" s="310" t="str">
        <f>IFERROR(__xludf.DUMMYFUNCTION("IF(ISBLANK(B166),"""",IFERROR((GOOGLEFINANCE($D$13,""price"")/INDEX(GOOGLEFINANCE($D$13,""price"",DATEVALUE(TODAY()-365) ),2,2)-1),""""))"),"")</f>
        <v/>
      </c>
      <c r="N166" s="310" t="str">
        <f t="shared" si="3"/>
        <v/>
      </c>
      <c r="O166" s="311" t="str">
        <f>IFERROR(__xludf.DUMMYFUNCTION("IFERROR(IF(ISBLANK(B166),"""",GOOGLEFINANCE(B166,""low52"")),"""")"),"")</f>
        <v/>
      </c>
      <c r="P166" s="310" t="str">
        <f t="shared" si="4"/>
        <v/>
      </c>
      <c r="Q166" s="311" t="str">
        <f>IFERROR(__xludf.DUMMYFUNCTION("IFERROR(IF(ISBLANK(B166),"""",GOOGLEFINANCE(B166,""high52"")),"""")"),"")</f>
        <v/>
      </c>
      <c r="R166" s="310" t="str">
        <f t="shared" si="5"/>
        <v/>
      </c>
      <c r="S166" s="13" t="str">
        <f t="shared" si="6"/>
        <v/>
      </c>
      <c r="U166" s="13" t="str">
        <f t="shared" si="7"/>
        <v/>
      </c>
      <c r="W166" s="13" t="str">
        <f t="shared" si="8"/>
        <v/>
      </c>
      <c r="X166" s="310" t="str">
        <f t="shared" si="9"/>
        <v/>
      </c>
      <c r="Y166" s="311" t="str">
        <f>IFERROR(__xludf.DUMMYFUNCTION("IF(ISBLANK(B166),"""",IFERROR(INDEX(GOOGLEFINANCE(B166,""price"",WORKDAY(TODAY(),-$Y$17)),2,2),""""))"),"")</f>
        <v/>
      </c>
      <c r="Z166" s="310" t="str">
        <f>IFERROR(__xludf.DUMMYFUNCTION("IF(ISBLANK(B166),"""",IFERROR(I166/(INDEX(GOOGLEFINANCE(B166,""price"",WORKDAY(TODAY(),-$Z$17)),2,2))-1,""""))"),"")</f>
        <v/>
      </c>
      <c r="AA166" s="312" t="str">
        <f>IFERROR(__xludf.DUMMYFUNCTION("IF(ISBLANK(B166),"""",IFERROR(IFERROR(""$""&amp;Trunc(GOOGLEFINANCE(B166,""Marketcap"")/1000000000)&amp;"" B"",""$""&amp;Trunc(IMPORTXML(""https://coinmarketcap.com/currencies/""&amp;B166,$AJ$4)/1000000000)&amp;"" B""),""-""))"),"")</f>
        <v/>
      </c>
      <c r="AB166" s="13" t="str">
        <f>IFERROR(__xludf.DUMMYFUNCTION("IF(ISBLANK(B166),"""",IFERROR(GOOGLEFINANCE(B166,""pe""),""-""))"),"")</f>
        <v/>
      </c>
      <c r="AC166" s="313" t="str">
        <f>IFERROR(__xludf.DUMMYFUNCTION("SPARKLINE(INDEX(GOOGLEFINANCE(B166,""price"",workday(today(),-$AC$17),today()),,2),{""charttype"",""column"";""color"",""green""})
"),"#N/A")</f>
        <v>#N/A</v>
      </c>
      <c r="AD166" s="313" t="str">
        <f>IFERROR(__xludf.DUMMYFUNCTION("IF(ISBLANK(B166),"""",IFERROR(INDEX(IMPORTXML(""https://eresearch.fidelity.com/eresearch/goto/evaluate/snapshot.jhtml?symbols=""&amp;B166&amp;"""",""//div[@class='sub-heading']//span[@class='right']""),1),""Enter Manually"")
)"),"")</f>
        <v/>
      </c>
      <c r="AE166" s="314" t="str">
        <f t="shared" si="10"/>
        <v>Info</v>
      </c>
      <c r="AF166" s="329"/>
      <c r="AG166" s="320"/>
      <c r="AH166" s="13"/>
      <c r="AI166" s="13"/>
      <c r="AJ166" s="13"/>
      <c r="AK166" s="13"/>
      <c r="AL166" s="13"/>
      <c r="AM166" s="13"/>
      <c r="AN166" s="13"/>
      <c r="AO166" s="13"/>
      <c r="AP166" s="13"/>
    </row>
    <row r="167" ht="18.75" customHeight="1">
      <c r="A167" s="13"/>
      <c r="B167" s="327"/>
      <c r="C167" s="306" t="str">
        <f>IFERROR(__xludf.DUMMYFUNCTION("GOOGLEFINANCE(B167,""name"")
"),"#N/A")</f>
        <v>#N/A</v>
      </c>
      <c r="D167" s="306"/>
      <c r="E167" s="328"/>
      <c r="F167" s="13" t="str">
        <f t="shared" si="1"/>
        <v/>
      </c>
      <c r="G167" s="309" t="str">
        <f>IFERROR(__xludf.DUMMYFUNCTION("IF(ISBLANK(B167),"""",IFERROR(SPARKLINE(INDEX(GOOGLEFINANCE(B167,""price"",TODAY()-$G$17,TODAY()),,2),{""charttype"",""column"";""color"",""17a7e0""}),""""))"),"")</f>
        <v/>
      </c>
      <c r="I167" s="309" t="str">
        <f>IFERROR(__xludf.DUMMYFUNCTION("IFERROR(IF(B167="""","""",GOOGLEFINANCE(B167)),IFERROR(GOOGLEFINANCE(""CURRENCY:""&amp;""USD""&amp;$D$15)*IMPORTXML(""https://coinmarketcap.com/currencies/""&amp;B167,$AJ$3),IMPORTXML(""https://coinmarketcap.com/currencies/""&amp;B167,$AJ$3)))"),"")</f>
        <v/>
      </c>
      <c r="J167" s="310" t="str">
        <f t="shared" si="2"/>
        <v/>
      </c>
      <c r="K167" s="310" t="str">
        <f>IFERROR(__xludf.DUMMYFUNCTION("IFERROR(IF(ISBLANK(B167),"""",GOOGLEFINANCE(B167,""changepct"")/100),"""")"),"")</f>
        <v/>
      </c>
      <c r="L167" s="310" t="str">
        <f>IFERROR(__xludf.DUMMYFUNCTION("IF(ISBLANK(B167),"""",IFERROR((GOOGLEFINANCE(B167,""price"")/INDEX(GOOGLEFINANCE(B167,""price"",DATEVALUE(TODAY()-365) ),2,2)-1),""""))"),"")</f>
        <v/>
      </c>
      <c r="M167" s="310" t="str">
        <f>IFERROR(__xludf.DUMMYFUNCTION("IF(ISBLANK(B167),"""",IFERROR((GOOGLEFINANCE($D$13,""price"")/INDEX(GOOGLEFINANCE($D$13,""price"",DATEVALUE(TODAY()-365) ),2,2)-1),""""))"),"")</f>
        <v/>
      </c>
      <c r="N167" s="310" t="str">
        <f t="shared" si="3"/>
        <v/>
      </c>
      <c r="O167" s="311" t="str">
        <f>IFERROR(__xludf.DUMMYFUNCTION("IFERROR(IF(ISBLANK(B167),"""",GOOGLEFINANCE(B167,""low52"")),"""")"),"")</f>
        <v/>
      </c>
      <c r="P167" s="310" t="str">
        <f t="shared" si="4"/>
        <v/>
      </c>
      <c r="Q167" s="311" t="str">
        <f>IFERROR(__xludf.DUMMYFUNCTION("IFERROR(IF(ISBLANK(B167),"""",GOOGLEFINANCE(B167,""high52"")),"""")"),"")</f>
        <v/>
      </c>
      <c r="R167" s="310" t="str">
        <f t="shared" si="5"/>
        <v/>
      </c>
      <c r="S167" s="13" t="str">
        <f t="shared" si="6"/>
        <v/>
      </c>
      <c r="U167" s="13" t="str">
        <f t="shared" si="7"/>
        <v/>
      </c>
      <c r="W167" s="13" t="str">
        <f t="shared" si="8"/>
        <v/>
      </c>
      <c r="X167" s="310" t="str">
        <f t="shared" si="9"/>
        <v/>
      </c>
      <c r="Y167" s="311" t="str">
        <f>IFERROR(__xludf.DUMMYFUNCTION("IF(ISBLANK(B167),"""",IFERROR(INDEX(GOOGLEFINANCE(B167,""price"",WORKDAY(TODAY(),-$Y$17)),2,2),""""))"),"")</f>
        <v/>
      </c>
      <c r="Z167" s="310" t="str">
        <f>IFERROR(__xludf.DUMMYFUNCTION("IF(ISBLANK(B167),"""",IFERROR(I167/(INDEX(GOOGLEFINANCE(B167,""price"",WORKDAY(TODAY(),-$Z$17)),2,2))-1,""""))"),"")</f>
        <v/>
      </c>
      <c r="AA167" s="312" t="str">
        <f>IFERROR(__xludf.DUMMYFUNCTION("IF(ISBLANK(B167),"""",IFERROR(IFERROR(""$""&amp;Trunc(GOOGLEFINANCE(B167,""Marketcap"")/1000000000)&amp;"" B"",""$""&amp;Trunc(IMPORTXML(""https://coinmarketcap.com/currencies/""&amp;B167,$AJ$4)/1000000000)&amp;"" B""),""-""))"),"")</f>
        <v/>
      </c>
      <c r="AB167" s="13" t="str">
        <f>IFERROR(__xludf.DUMMYFUNCTION("IF(ISBLANK(B167),"""",IFERROR(GOOGLEFINANCE(B167,""pe""),""-""))"),"")</f>
        <v/>
      </c>
      <c r="AC167" s="313" t="str">
        <f>IFERROR(__xludf.DUMMYFUNCTION("SPARKLINE(INDEX(GOOGLEFINANCE(B167,""price"",workday(today(),-$AC$17),today()),,2),{""charttype"",""column"";""color"",""green""})
"),"#N/A")</f>
        <v>#N/A</v>
      </c>
      <c r="AD167" s="313" t="str">
        <f>IFERROR(__xludf.DUMMYFUNCTION("IF(ISBLANK(B167),"""",IFERROR(INDEX(IMPORTXML(""https://eresearch.fidelity.com/eresearch/goto/evaluate/snapshot.jhtml?symbols=""&amp;B167&amp;"""",""//div[@class='sub-heading']//span[@class='right']""),1),""Enter Manually"")
)"),"")</f>
        <v/>
      </c>
      <c r="AE167" s="314" t="str">
        <f t="shared" si="10"/>
        <v>Info</v>
      </c>
      <c r="AF167" s="329"/>
      <c r="AG167" s="320"/>
      <c r="AH167" s="13"/>
      <c r="AI167" s="13"/>
      <c r="AJ167" s="13"/>
      <c r="AK167" s="13"/>
      <c r="AL167" s="13"/>
      <c r="AM167" s="13"/>
      <c r="AN167" s="13"/>
      <c r="AO167" s="13"/>
      <c r="AP167" s="13"/>
    </row>
    <row r="168" ht="18.75" customHeight="1">
      <c r="A168" s="13"/>
      <c r="B168" s="327"/>
      <c r="C168" s="306" t="str">
        <f>IFERROR(__xludf.DUMMYFUNCTION("GOOGLEFINANCE(B168,""name"")
"),"#N/A")</f>
        <v>#N/A</v>
      </c>
      <c r="D168" s="306"/>
      <c r="E168" s="328"/>
      <c r="F168" s="13" t="str">
        <f t="shared" si="1"/>
        <v/>
      </c>
      <c r="G168" s="309" t="str">
        <f>IFERROR(__xludf.DUMMYFUNCTION("IF(ISBLANK(B168),"""",IFERROR(SPARKLINE(INDEX(GOOGLEFINANCE(B168,""price"",TODAY()-$G$17,TODAY()),,2),{""charttype"",""column"";""color"",""17a7e0""}),""""))"),"")</f>
        <v/>
      </c>
      <c r="I168" s="309" t="str">
        <f>IFERROR(__xludf.DUMMYFUNCTION("IFERROR(IF(B168="""","""",GOOGLEFINANCE(B168)),IFERROR(GOOGLEFINANCE(""CURRENCY:""&amp;""USD""&amp;$D$15)*IMPORTXML(""https://coinmarketcap.com/currencies/""&amp;B168,$AJ$3),IMPORTXML(""https://coinmarketcap.com/currencies/""&amp;B168,$AJ$3)))"),"")</f>
        <v/>
      </c>
      <c r="J168" s="310" t="str">
        <f t="shared" si="2"/>
        <v/>
      </c>
      <c r="K168" s="310" t="str">
        <f>IFERROR(__xludf.DUMMYFUNCTION("IFERROR(IF(ISBLANK(B168),"""",GOOGLEFINANCE(B168,""changepct"")/100),"""")"),"")</f>
        <v/>
      </c>
      <c r="L168" s="310" t="str">
        <f>IFERROR(__xludf.DUMMYFUNCTION("IF(ISBLANK(B168),"""",IFERROR((GOOGLEFINANCE(B168,""price"")/INDEX(GOOGLEFINANCE(B168,""price"",DATEVALUE(TODAY()-365) ),2,2)-1),""""))"),"")</f>
        <v/>
      </c>
      <c r="M168" s="310" t="str">
        <f>IFERROR(__xludf.DUMMYFUNCTION("IF(ISBLANK(B168),"""",IFERROR((GOOGLEFINANCE($D$13,""price"")/INDEX(GOOGLEFINANCE($D$13,""price"",DATEVALUE(TODAY()-365) ),2,2)-1),""""))"),"")</f>
        <v/>
      </c>
      <c r="N168" s="310" t="str">
        <f t="shared" si="3"/>
        <v/>
      </c>
      <c r="O168" s="311" t="str">
        <f>IFERROR(__xludf.DUMMYFUNCTION("IFERROR(IF(ISBLANK(B168),"""",GOOGLEFINANCE(B168,""low52"")),"""")"),"")</f>
        <v/>
      </c>
      <c r="P168" s="310" t="str">
        <f t="shared" si="4"/>
        <v/>
      </c>
      <c r="Q168" s="311" t="str">
        <f>IFERROR(__xludf.DUMMYFUNCTION("IFERROR(IF(ISBLANK(B168),"""",GOOGLEFINANCE(B168,""high52"")),"""")"),"")</f>
        <v/>
      </c>
      <c r="R168" s="310" t="str">
        <f t="shared" si="5"/>
        <v/>
      </c>
      <c r="S168" s="13" t="str">
        <f t="shared" si="6"/>
        <v/>
      </c>
      <c r="U168" s="13" t="str">
        <f t="shared" si="7"/>
        <v/>
      </c>
      <c r="W168" s="13" t="str">
        <f t="shared" si="8"/>
        <v/>
      </c>
      <c r="X168" s="310" t="str">
        <f t="shared" si="9"/>
        <v/>
      </c>
      <c r="Y168" s="311" t="str">
        <f>IFERROR(__xludf.DUMMYFUNCTION("IF(ISBLANK(B168),"""",IFERROR(INDEX(GOOGLEFINANCE(B168,""price"",WORKDAY(TODAY(),-$Y$17)),2,2),""""))"),"")</f>
        <v/>
      </c>
      <c r="Z168" s="310" t="str">
        <f>IFERROR(__xludf.DUMMYFUNCTION("IF(ISBLANK(B168),"""",IFERROR(I168/(INDEX(GOOGLEFINANCE(B168,""price"",WORKDAY(TODAY(),-$Z$17)),2,2))-1,""""))"),"")</f>
        <v/>
      </c>
      <c r="AA168" s="312" t="str">
        <f>IFERROR(__xludf.DUMMYFUNCTION("IF(ISBLANK(B168),"""",IFERROR(IFERROR(""$""&amp;Trunc(GOOGLEFINANCE(B168,""Marketcap"")/1000000000)&amp;"" B"",""$""&amp;Trunc(IMPORTXML(""https://coinmarketcap.com/currencies/""&amp;B168,$AJ$4)/1000000000)&amp;"" B""),""-""))"),"")</f>
        <v/>
      </c>
      <c r="AB168" s="13" t="str">
        <f>IFERROR(__xludf.DUMMYFUNCTION("IF(ISBLANK(B168),"""",IFERROR(GOOGLEFINANCE(B168,""pe""),""-""))"),"")</f>
        <v/>
      </c>
      <c r="AC168" s="313" t="str">
        <f>IFERROR(__xludf.DUMMYFUNCTION("SPARKLINE(INDEX(GOOGLEFINANCE(B168,""price"",workday(today(),-$AC$17),today()),,2),{""charttype"",""column"";""color"",""green""})
"),"#N/A")</f>
        <v>#N/A</v>
      </c>
      <c r="AD168" s="313" t="str">
        <f>IFERROR(__xludf.DUMMYFUNCTION("IF(ISBLANK(B168),"""",IFERROR(INDEX(IMPORTXML(""https://eresearch.fidelity.com/eresearch/goto/evaluate/snapshot.jhtml?symbols=""&amp;B168&amp;"""",""//div[@class='sub-heading']//span[@class='right']""),1),""Enter Manually"")
)"),"")</f>
        <v/>
      </c>
      <c r="AE168" s="314" t="str">
        <f t="shared" si="10"/>
        <v>Info</v>
      </c>
      <c r="AF168" s="329"/>
      <c r="AG168" s="320"/>
      <c r="AH168" s="13"/>
      <c r="AI168" s="13"/>
      <c r="AJ168" s="13"/>
      <c r="AK168" s="13"/>
      <c r="AL168" s="13"/>
      <c r="AM168" s="13"/>
      <c r="AN168" s="13"/>
      <c r="AO168" s="13"/>
      <c r="AP168" s="13"/>
    </row>
    <row r="169" ht="18.75" customHeight="1">
      <c r="A169" s="13"/>
      <c r="B169" s="327"/>
      <c r="C169" s="306" t="str">
        <f>IFERROR(__xludf.DUMMYFUNCTION("GOOGLEFINANCE(B169,""name"")
"),"#N/A")</f>
        <v>#N/A</v>
      </c>
      <c r="D169" s="306"/>
      <c r="E169" s="328"/>
      <c r="F169" s="13" t="str">
        <f t="shared" si="1"/>
        <v/>
      </c>
      <c r="G169" s="309" t="str">
        <f>IFERROR(__xludf.DUMMYFUNCTION("IF(ISBLANK(B169),"""",IFERROR(SPARKLINE(INDEX(GOOGLEFINANCE(B169,""price"",TODAY()-$G$17,TODAY()),,2),{""charttype"",""column"";""color"",""17a7e0""}),""""))"),"")</f>
        <v/>
      </c>
      <c r="I169" s="309" t="str">
        <f>IFERROR(__xludf.DUMMYFUNCTION("IFERROR(IF(B169="""","""",GOOGLEFINANCE(B169)),IFERROR(GOOGLEFINANCE(""CURRENCY:""&amp;""USD""&amp;$D$15)*IMPORTXML(""https://coinmarketcap.com/currencies/""&amp;B169,$AJ$3),IMPORTXML(""https://coinmarketcap.com/currencies/""&amp;B169,$AJ$3)))"),"")</f>
        <v/>
      </c>
      <c r="J169" s="310" t="str">
        <f t="shared" si="2"/>
        <v/>
      </c>
      <c r="K169" s="310" t="str">
        <f>IFERROR(__xludf.DUMMYFUNCTION("IFERROR(IF(ISBLANK(B169),"""",GOOGLEFINANCE(B169,""changepct"")/100),"""")"),"")</f>
        <v/>
      </c>
      <c r="L169" s="310" t="str">
        <f>IFERROR(__xludf.DUMMYFUNCTION("IF(ISBLANK(B169),"""",IFERROR((GOOGLEFINANCE(B169,""price"")/INDEX(GOOGLEFINANCE(B169,""price"",DATEVALUE(TODAY()-365) ),2,2)-1),""""))"),"")</f>
        <v/>
      </c>
      <c r="M169" s="310" t="str">
        <f>IFERROR(__xludf.DUMMYFUNCTION("IF(ISBLANK(B169),"""",IFERROR((GOOGLEFINANCE($D$13,""price"")/INDEX(GOOGLEFINANCE($D$13,""price"",DATEVALUE(TODAY()-365) ),2,2)-1),""""))"),"")</f>
        <v/>
      </c>
      <c r="N169" s="310" t="str">
        <f t="shared" si="3"/>
        <v/>
      </c>
      <c r="O169" s="311" t="str">
        <f>IFERROR(__xludf.DUMMYFUNCTION("IFERROR(IF(ISBLANK(B169),"""",GOOGLEFINANCE(B169,""low52"")),"""")"),"")</f>
        <v/>
      </c>
      <c r="P169" s="310" t="str">
        <f t="shared" si="4"/>
        <v/>
      </c>
      <c r="Q169" s="311" t="str">
        <f>IFERROR(__xludf.DUMMYFUNCTION("IFERROR(IF(ISBLANK(B169),"""",GOOGLEFINANCE(B169,""high52"")),"""")"),"")</f>
        <v/>
      </c>
      <c r="R169" s="310" t="str">
        <f t="shared" si="5"/>
        <v/>
      </c>
      <c r="S169" s="13" t="str">
        <f t="shared" si="6"/>
        <v/>
      </c>
      <c r="U169" s="13" t="str">
        <f t="shared" si="7"/>
        <v/>
      </c>
      <c r="W169" s="13" t="str">
        <f t="shared" si="8"/>
        <v/>
      </c>
      <c r="X169" s="310" t="str">
        <f t="shared" si="9"/>
        <v/>
      </c>
      <c r="Y169" s="311" t="str">
        <f>IFERROR(__xludf.DUMMYFUNCTION("IF(ISBLANK(B169),"""",IFERROR(INDEX(GOOGLEFINANCE(B169,""price"",WORKDAY(TODAY(),-$Y$17)),2,2),""""))"),"")</f>
        <v/>
      </c>
      <c r="Z169" s="310" t="str">
        <f>IFERROR(__xludf.DUMMYFUNCTION("IF(ISBLANK(B169),"""",IFERROR(I169/(INDEX(GOOGLEFINANCE(B169,""price"",WORKDAY(TODAY(),-$Z$17)),2,2))-1,""""))"),"")</f>
        <v/>
      </c>
      <c r="AA169" s="312" t="str">
        <f>IFERROR(__xludf.DUMMYFUNCTION("IF(ISBLANK(B169),"""",IFERROR(IFERROR(""$""&amp;Trunc(GOOGLEFINANCE(B169,""Marketcap"")/1000000000)&amp;"" B"",""$""&amp;Trunc(IMPORTXML(""https://coinmarketcap.com/currencies/""&amp;B169,$AJ$4)/1000000000)&amp;"" B""),""-""))"),"")</f>
        <v/>
      </c>
      <c r="AB169" s="13" t="str">
        <f>IFERROR(__xludf.DUMMYFUNCTION("IF(ISBLANK(B169),"""",IFERROR(GOOGLEFINANCE(B169,""pe""),""-""))"),"")</f>
        <v/>
      </c>
      <c r="AC169" s="313" t="str">
        <f>IFERROR(__xludf.DUMMYFUNCTION("SPARKLINE(INDEX(GOOGLEFINANCE(B169,""price"",workday(today(),-$AC$17),today()),,2),{""charttype"",""column"";""color"",""green""})
"),"#N/A")</f>
        <v>#N/A</v>
      </c>
      <c r="AD169" s="313" t="str">
        <f>IFERROR(__xludf.DUMMYFUNCTION("IF(ISBLANK(B169),"""",IFERROR(INDEX(IMPORTXML(""https://eresearch.fidelity.com/eresearch/goto/evaluate/snapshot.jhtml?symbols=""&amp;B169&amp;"""",""//div[@class='sub-heading']//span[@class='right']""),1),""Enter Manually"")
)"),"")</f>
        <v/>
      </c>
      <c r="AE169" s="314" t="str">
        <f t="shared" si="10"/>
        <v>Info</v>
      </c>
      <c r="AF169" s="329"/>
      <c r="AG169" s="320"/>
      <c r="AH169" s="13"/>
      <c r="AI169" s="13"/>
      <c r="AJ169" s="13"/>
      <c r="AK169" s="13"/>
      <c r="AL169" s="13"/>
      <c r="AM169" s="13"/>
      <c r="AN169" s="13"/>
      <c r="AO169" s="13"/>
      <c r="AP169" s="13"/>
    </row>
    <row r="170" ht="18.75" customHeight="1">
      <c r="A170" s="13"/>
      <c r="B170" s="327"/>
      <c r="C170" s="306" t="str">
        <f>IFERROR(__xludf.DUMMYFUNCTION("GOOGLEFINANCE(B170,""name"")
"),"#N/A")</f>
        <v>#N/A</v>
      </c>
      <c r="D170" s="306"/>
      <c r="E170" s="328"/>
      <c r="F170" s="13" t="str">
        <f t="shared" si="1"/>
        <v/>
      </c>
      <c r="G170" s="309" t="str">
        <f>IFERROR(__xludf.DUMMYFUNCTION("IF(ISBLANK(B170),"""",IFERROR(SPARKLINE(INDEX(GOOGLEFINANCE(B170,""price"",TODAY()-$G$17,TODAY()),,2),{""charttype"",""column"";""color"",""17a7e0""}),""""))"),"")</f>
        <v/>
      </c>
      <c r="I170" s="309" t="str">
        <f>IFERROR(__xludf.DUMMYFUNCTION("IFERROR(IF(B170="""","""",GOOGLEFINANCE(B170)),IFERROR(GOOGLEFINANCE(""CURRENCY:""&amp;""USD""&amp;$D$15)*IMPORTXML(""https://coinmarketcap.com/currencies/""&amp;B170,$AJ$3),IMPORTXML(""https://coinmarketcap.com/currencies/""&amp;B170,$AJ$3)))"),"")</f>
        <v/>
      </c>
      <c r="J170" s="310" t="str">
        <f t="shared" si="2"/>
        <v/>
      </c>
      <c r="K170" s="310" t="str">
        <f>IFERROR(__xludf.DUMMYFUNCTION("IFERROR(IF(ISBLANK(B170),"""",GOOGLEFINANCE(B170,""changepct"")/100),"""")"),"")</f>
        <v/>
      </c>
      <c r="L170" s="310" t="str">
        <f>IFERROR(__xludf.DUMMYFUNCTION("IF(ISBLANK(B170),"""",IFERROR((GOOGLEFINANCE(B170,""price"")/INDEX(GOOGLEFINANCE(B170,""price"",DATEVALUE(TODAY()-365) ),2,2)-1),""""))"),"")</f>
        <v/>
      </c>
      <c r="M170" s="310" t="str">
        <f>IFERROR(__xludf.DUMMYFUNCTION("IF(ISBLANK(B170),"""",IFERROR((GOOGLEFINANCE($D$13,""price"")/INDEX(GOOGLEFINANCE($D$13,""price"",DATEVALUE(TODAY()-365) ),2,2)-1),""""))"),"")</f>
        <v/>
      </c>
      <c r="N170" s="310" t="str">
        <f t="shared" si="3"/>
        <v/>
      </c>
      <c r="O170" s="311" t="str">
        <f>IFERROR(__xludf.DUMMYFUNCTION("IFERROR(IF(ISBLANK(B170),"""",GOOGLEFINANCE(B170,""low52"")),"""")"),"")</f>
        <v/>
      </c>
      <c r="P170" s="310" t="str">
        <f t="shared" si="4"/>
        <v/>
      </c>
      <c r="Q170" s="311" t="str">
        <f>IFERROR(__xludf.DUMMYFUNCTION("IFERROR(IF(ISBLANK(B170),"""",GOOGLEFINANCE(B170,""high52"")),"""")"),"")</f>
        <v/>
      </c>
      <c r="R170" s="310" t="str">
        <f t="shared" si="5"/>
        <v/>
      </c>
      <c r="S170" s="13" t="str">
        <f t="shared" si="6"/>
        <v/>
      </c>
      <c r="U170" s="13" t="str">
        <f t="shared" si="7"/>
        <v/>
      </c>
      <c r="W170" s="13" t="str">
        <f t="shared" si="8"/>
        <v/>
      </c>
      <c r="X170" s="310" t="str">
        <f t="shared" si="9"/>
        <v/>
      </c>
      <c r="Y170" s="311" t="str">
        <f>IFERROR(__xludf.DUMMYFUNCTION("IF(ISBLANK(B170),"""",IFERROR(INDEX(GOOGLEFINANCE(B170,""price"",WORKDAY(TODAY(),-$Y$17)),2,2),""""))"),"")</f>
        <v/>
      </c>
      <c r="Z170" s="310" t="str">
        <f>IFERROR(__xludf.DUMMYFUNCTION("IF(ISBLANK(B170),"""",IFERROR(I170/(INDEX(GOOGLEFINANCE(B170,""price"",WORKDAY(TODAY(),-$Z$17)),2,2))-1,""""))"),"")</f>
        <v/>
      </c>
      <c r="AA170" s="312" t="str">
        <f>IFERROR(__xludf.DUMMYFUNCTION("IF(ISBLANK(B170),"""",IFERROR(IFERROR(""$""&amp;Trunc(GOOGLEFINANCE(B170,""Marketcap"")/1000000000)&amp;"" B"",""$""&amp;Trunc(IMPORTXML(""https://coinmarketcap.com/currencies/""&amp;B170,$AJ$4)/1000000000)&amp;"" B""),""-""))"),"")</f>
        <v/>
      </c>
      <c r="AB170" s="13" t="str">
        <f>IFERROR(__xludf.DUMMYFUNCTION("IF(ISBLANK(B170),"""",IFERROR(GOOGLEFINANCE(B170,""pe""),""-""))"),"")</f>
        <v/>
      </c>
      <c r="AC170" s="313" t="str">
        <f>IFERROR(__xludf.DUMMYFUNCTION("SPARKLINE(INDEX(GOOGLEFINANCE(B170,""price"",workday(today(),-$AC$17),today()),,2),{""charttype"",""column"";""color"",""green""})
"),"#N/A")</f>
        <v>#N/A</v>
      </c>
      <c r="AD170" s="313" t="str">
        <f>IFERROR(__xludf.DUMMYFUNCTION("IF(ISBLANK(B170),"""",IFERROR(INDEX(IMPORTXML(""https://eresearch.fidelity.com/eresearch/goto/evaluate/snapshot.jhtml?symbols=""&amp;B170&amp;"""",""//div[@class='sub-heading']//span[@class='right']""),1),""Enter Manually"")
)"),"")</f>
        <v/>
      </c>
      <c r="AE170" s="314" t="str">
        <f t="shared" si="10"/>
        <v>Info</v>
      </c>
      <c r="AF170" s="329"/>
      <c r="AG170" s="320"/>
      <c r="AH170" s="13"/>
      <c r="AI170" s="13"/>
      <c r="AJ170" s="13"/>
      <c r="AK170" s="13"/>
      <c r="AL170" s="13"/>
      <c r="AM170" s="13"/>
      <c r="AN170" s="13"/>
      <c r="AO170" s="13"/>
      <c r="AP170" s="13"/>
    </row>
    <row r="171" ht="18.75" customHeight="1">
      <c r="A171" s="13"/>
      <c r="B171" s="327"/>
      <c r="C171" s="306" t="str">
        <f>IFERROR(__xludf.DUMMYFUNCTION("GOOGLEFINANCE(B171,""name"")
"),"#N/A")</f>
        <v>#N/A</v>
      </c>
      <c r="D171" s="306"/>
      <c r="E171" s="328"/>
      <c r="F171" s="13" t="str">
        <f t="shared" si="1"/>
        <v/>
      </c>
      <c r="G171" s="309" t="str">
        <f>IFERROR(__xludf.DUMMYFUNCTION("IF(ISBLANK(B171),"""",IFERROR(SPARKLINE(INDEX(GOOGLEFINANCE(B171,""price"",TODAY()-$G$17,TODAY()),,2),{""charttype"",""column"";""color"",""17a7e0""}),""""))"),"")</f>
        <v/>
      </c>
      <c r="I171" s="309" t="str">
        <f>IFERROR(__xludf.DUMMYFUNCTION("IFERROR(IF(B171="""","""",GOOGLEFINANCE(B171)),IFERROR(GOOGLEFINANCE(""CURRENCY:""&amp;""USD""&amp;$D$15)*IMPORTXML(""https://coinmarketcap.com/currencies/""&amp;B171,$AJ$3),IMPORTXML(""https://coinmarketcap.com/currencies/""&amp;B171,$AJ$3)))"),"")</f>
        <v/>
      </c>
      <c r="J171" s="310" t="str">
        <f t="shared" si="2"/>
        <v/>
      </c>
      <c r="K171" s="310" t="str">
        <f>IFERROR(__xludf.DUMMYFUNCTION("IFERROR(IF(ISBLANK(B171),"""",GOOGLEFINANCE(B171,""changepct"")/100),"""")"),"")</f>
        <v/>
      </c>
      <c r="L171" s="310" t="str">
        <f>IFERROR(__xludf.DUMMYFUNCTION("IF(ISBLANK(B171),"""",IFERROR((GOOGLEFINANCE(B171,""price"")/INDEX(GOOGLEFINANCE(B171,""price"",DATEVALUE(TODAY()-365) ),2,2)-1),""""))"),"")</f>
        <v/>
      </c>
      <c r="M171" s="310" t="str">
        <f>IFERROR(__xludf.DUMMYFUNCTION("IF(ISBLANK(B171),"""",IFERROR((GOOGLEFINANCE($D$13,""price"")/INDEX(GOOGLEFINANCE($D$13,""price"",DATEVALUE(TODAY()-365) ),2,2)-1),""""))"),"")</f>
        <v/>
      </c>
      <c r="N171" s="310" t="str">
        <f t="shared" si="3"/>
        <v/>
      </c>
      <c r="O171" s="311" t="str">
        <f>IFERROR(__xludf.DUMMYFUNCTION("IFERROR(IF(ISBLANK(B171),"""",GOOGLEFINANCE(B171,""low52"")),"""")"),"")</f>
        <v/>
      </c>
      <c r="P171" s="310" t="str">
        <f t="shared" si="4"/>
        <v/>
      </c>
      <c r="Q171" s="311" t="str">
        <f>IFERROR(__xludf.DUMMYFUNCTION("IFERROR(IF(ISBLANK(B171),"""",GOOGLEFINANCE(B171,""high52"")),"""")"),"")</f>
        <v/>
      </c>
      <c r="R171" s="310" t="str">
        <f t="shared" si="5"/>
        <v/>
      </c>
      <c r="S171" s="13" t="str">
        <f t="shared" si="6"/>
        <v/>
      </c>
      <c r="U171" s="13" t="str">
        <f t="shared" si="7"/>
        <v/>
      </c>
      <c r="W171" s="13" t="str">
        <f t="shared" si="8"/>
        <v/>
      </c>
      <c r="X171" s="310" t="str">
        <f t="shared" si="9"/>
        <v/>
      </c>
      <c r="Y171" s="311" t="str">
        <f>IFERROR(__xludf.DUMMYFUNCTION("IF(ISBLANK(B171),"""",IFERROR(INDEX(GOOGLEFINANCE(B171,""price"",WORKDAY(TODAY(),-$Y$17)),2,2),""""))"),"")</f>
        <v/>
      </c>
      <c r="Z171" s="310" t="str">
        <f>IFERROR(__xludf.DUMMYFUNCTION("IF(ISBLANK(B171),"""",IFERROR(I171/(INDEX(GOOGLEFINANCE(B171,""price"",WORKDAY(TODAY(),-$Z$17)),2,2))-1,""""))"),"")</f>
        <v/>
      </c>
      <c r="AA171" s="312" t="str">
        <f>IFERROR(__xludf.DUMMYFUNCTION("IF(ISBLANK(B171),"""",IFERROR(IFERROR(""$""&amp;Trunc(GOOGLEFINANCE(B171,""Marketcap"")/1000000000)&amp;"" B"",""$""&amp;Trunc(IMPORTXML(""https://coinmarketcap.com/currencies/""&amp;B171,$AJ$4)/1000000000)&amp;"" B""),""-""))"),"")</f>
        <v/>
      </c>
      <c r="AB171" s="13" t="str">
        <f>IFERROR(__xludf.DUMMYFUNCTION("IF(ISBLANK(B171),"""",IFERROR(GOOGLEFINANCE(B171,""pe""),""-""))"),"")</f>
        <v/>
      </c>
      <c r="AC171" s="313" t="str">
        <f>IFERROR(__xludf.DUMMYFUNCTION("SPARKLINE(INDEX(GOOGLEFINANCE(B171,""price"",workday(today(),-$AC$17),today()),,2),{""charttype"",""column"";""color"",""green""})
"),"#N/A")</f>
        <v>#N/A</v>
      </c>
      <c r="AD171" s="313" t="str">
        <f>IFERROR(__xludf.DUMMYFUNCTION("IF(ISBLANK(B171),"""",IFERROR(INDEX(IMPORTXML(""https://eresearch.fidelity.com/eresearch/goto/evaluate/snapshot.jhtml?symbols=""&amp;B171&amp;"""",""//div[@class='sub-heading']//span[@class='right']""),1),""Enter Manually"")
)"),"")</f>
        <v/>
      </c>
      <c r="AE171" s="314" t="str">
        <f t="shared" si="10"/>
        <v>Info</v>
      </c>
      <c r="AF171" s="329"/>
      <c r="AG171" s="320"/>
      <c r="AH171" s="13"/>
      <c r="AI171" s="13"/>
      <c r="AJ171" s="13"/>
      <c r="AK171" s="13"/>
      <c r="AL171" s="13"/>
      <c r="AM171" s="13"/>
      <c r="AN171" s="13"/>
      <c r="AO171" s="13"/>
      <c r="AP171" s="13"/>
    </row>
    <row r="172" ht="18.75" customHeight="1">
      <c r="A172" s="13"/>
      <c r="B172" s="327"/>
      <c r="C172" s="306" t="str">
        <f>IFERROR(__xludf.DUMMYFUNCTION("GOOGLEFINANCE(B172,""name"")
"),"#N/A")</f>
        <v>#N/A</v>
      </c>
      <c r="D172" s="306"/>
      <c r="E172" s="328"/>
      <c r="F172" s="13" t="str">
        <f t="shared" si="1"/>
        <v/>
      </c>
      <c r="G172" s="309" t="str">
        <f>IFERROR(__xludf.DUMMYFUNCTION("IF(ISBLANK(B172),"""",IFERROR(SPARKLINE(INDEX(GOOGLEFINANCE(B172,""price"",TODAY()-$G$17,TODAY()),,2),{""charttype"",""column"";""color"",""17a7e0""}),""""))"),"")</f>
        <v/>
      </c>
      <c r="I172" s="309" t="str">
        <f>IFERROR(__xludf.DUMMYFUNCTION("IFERROR(IF(B172="""","""",GOOGLEFINANCE(B172)),IFERROR(GOOGLEFINANCE(""CURRENCY:""&amp;""USD""&amp;$D$15)*IMPORTXML(""https://coinmarketcap.com/currencies/""&amp;B172,$AJ$3),IMPORTXML(""https://coinmarketcap.com/currencies/""&amp;B172,$AJ$3)))"),"")</f>
        <v/>
      </c>
      <c r="J172" s="310" t="str">
        <f t="shared" si="2"/>
        <v/>
      </c>
      <c r="K172" s="310" t="str">
        <f>IFERROR(__xludf.DUMMYFUNCTION("IFERROR(IF(ISBLANK(B172),"""",GOOGLEFINANCE(B172,""changepct"")/100),"""")"),"")</f>
        <v/>
      </c>
      <c r="L172" s="310" t="str">
        <f>IFERROR(__xludf.DUMMYFUNCTION("IF(ISBLANK(B172),"""",IFERROR((GOOGLEFINANCE(B172,""price"")/INDEX(GOOGLEFINANCE(B172,""price"",DATEVALUE(TODAY()-365) ),2,2)-1),""""))"),"")</f>
        <v/>
      </c>
      <c r="M172" s="310" t="str">
        <f>IFERROR(__xludf.DUMMYFUNCTION("IF(ISBLANK(B172),"""",IFERROR((GOOGLEFINANCE($D$13,""price"")/INDEX(GOOGLEFINANCE($D$13,""price"",DATEVALUE(TODAY()-365) ),2,2)-1),""""))"),"")</f>
        <v/>
      </c>
      <c r="N172" s="310" t="str">
        <f t="shared" si="3"/>
        <v/>
      </c>
      <c r="O172" s="311" t="str">
        <f>IFERROR(__xludf.DUMMYFUNCTION("IFERROR(IF(ISBLANK(B172),"""",GOOGLEFINANCE(B172,""low52"")),"""")"),"")</f>
        <v/>
      </c>
      <c r="P172" s="310" t="str">
        <f t="shared" si="4"/>
        <v/>
      </c>
      <c r="Q172" s="311" t="str">
        <f>IFERROR(__xludf.DUMMYFUNCTION("IFERROR(IF(ISBLANK(B172),"""",GOOGLEFINANCE(B172,""high52"")),"""")"),"")</f>
        <v/>
      </c>
      <c r="R172" s="310" t="str">
        <f t="shared" si="5"/>
        <v/>
      </c>
      <c r="S172" s="13" t="str">
        <f t="shared" si="6"/>
        <v/>
      </c>
      <c r="U172" s="13" t="str">
        <f t="shared" si="7"/>
        <v/>
      </c>
      <c r="W172" s="13" t="str">
        <f t="shared" si="8"/>
        <v/>
      </c>
      <c r="X172" s="310" t="str">
        <f t="shared" si="9"/>
        <v/>
      </c>
      <c r="Y172" s="311" t="str">
        <f>IFERROR(__xludf.DUMMYFUNCTION("IF(ISBLANK(B172),"""",IFERROR(INDEX(GOOGLEFINANCE(B172,""price"",WORKDAY(TODAY(),-$Y$17)),2,2),""""))"),"")</f>
        <v/>
      </c>
      <c r="Z172" s="310" t="str">
        <f>IFERROR(__xludf.DUMMYFUNCTION("IF(ISBLANK(B172),"""",IFERROR(I172/(INDEX(GOOGLEFINANCE(B172,""price"",WORKDAY(TODAY(),-$Z$17)),2,2))-1,""""))"),"")</f>
        <v/>
      </c>
      <c r="AA172" s="312" t="str">
        <f>IFERROR(__xludf.DUMMYFUNCTION("IF(ISBLANK(B172),"""",IFERROR(IFERROR(""$""&amp;Trunc(GOOGLEFINANCE(B172,""Marketcap"")/1000000000)&amp;"" B"",""$""&amp;Trunc(IMPORTXML(""https://coinmarketcap.com/currencies/""&amp;B172,$AJ$4)/1000000000)&amp;"" B""),""-""))"),"")</f>
        <v/>
      </c>
      <c r="AB172" s="13" t="str">
        <f>IFERROR(__xludf.DUMMYFUNCTION("IF(ISBLANK(B172),"""",IFERROR(GOOGLEFINANCE(B172,""pe""),""-""))"),"")</f>
        <v/>
      </c>
      <c r="AC172" s="313" t="str">
        <f>IFERROR(__xludf.DUMMYFUNCTION("SPARKLINE(INDEX(GOOGLEFINANCE(B172,""price"",workday(today(),-$AC$17),today()),,2),{""charttype"",""column"";""color"",""green""})
"),"#N/A")</f>
        <v>#N/A</v>
      </c>
      <c r="AD172" s="313" t="str">
        <f>IFERROR(__xludf.DUMMYFUNCTION("IF(ISBLANK(B172),"""",IFERROR(INDEX(IMPORTXML(""https://eresearch.fidelity.com/eresearch/goto/evaluate/snapshot.jhtml?symbols=""&amp;B172&amp;"""",""//div[@class='sub-heading']//span[@class='right']""),1),""Enter Manually"")
)"),"")</f>
        <v/>
      </c>
      <c r="AE172" s="314" t="str">
        <f t="shared" si="10"/>
        <v>Info</v>
      </c>
      <c r="AF172" s="329"/>
      <c r="AG172" s="320"/>
      <c r="AH172" s="13"/>
      <c r="AI172" s="13"/>
      <c r="AJ172" s="13"/>
      <c r="AK172" s="13"/>
      <c r="AL172" s="13"/>
      <c r="AM172" s="13"/>
      <c r="AN172" s="13"/>
      <c r="AO172" s="13"/>
      <c r="AP172" s="13"/>
    </row>
    <row r="173" ht="18.75" customHeight="1">
      <c r="A173" s="13"/>
      <c r="B173" s="327"/>
      <c r="C173" s="306" t="str">
        <f>IFERROR(__xludf.DUMMYFUNCTION("GOOGLEFINANCE(B173,""name"")
"),"#N/A")</f>
        <v>#N/A</v>
      </c>
      <c r="D173" s="306"/>
      <c r="E173" s="328"/>
      <c r="F173" s="13" t="str">
        <f t="shared" si="1"/>
        <v/>
      </c>
      <c r="G173" s="309" t="str">
        <f>IFERROR(__xludf.DUMMYFUNCTION("IF(ISBLANK(B173),"""",IFERROR(SPARKLINE(INDEX(GOOGLEFINANCE(B173,""price"",TODAY()-$G$17,TODAY()),,2),{""charttype"",""column"";""color"",""17a7e0""}),""""))"),"")</f>
        <v/>
      </c>
      <c r="I173" s="309" t="str">
        <f>IFERROR(__xludf.DUMMYFUNCTION("IFERROR(IF(B173="""","""",GOOGLEFINANCE(B173)),IFERROR(GOOGLEFINANCE(""CURRENCY:""&amp;""USD""&amp;$D$15)*IMPORTXML(""https://coinmarketcap.com/currencies/""&amp;B173,$AJ$3),IMPORTXML(""https://coinmarketcap.com/currencies/""&amp;B173,$AJ$3)))"),"")</f>
        <v/>
      </c>
      <c r="J173" s="310" t="str">
        <f t="shared" si="2"/>
        <v/>
      </c>
      <c r="K173" s="310" t="str">
        <f>IFERROR(__xludf.DUMMYFUNCTION("IFERROR(IF(ISBLANK(B173),"""",GOOGLEFINANCE(B173,""changepct"")/100),"""")"),"")</f>
        <v/>
      </c>
      <c r="L173" s="310" t="str">
        <f>IFERROR(__xludf.DUMMYFUNCTION("IF(ISBLANK(B173),"""",IFERROR((GOOGLEFINANCE(B173,""price"")/INDEX(GOOGLEFINANCE(B173,""price"",DATEVALUE(TODAY()-365) ),2,2)-1),""""))"),"")</f>
        <v/>
      </c>
      <c r="M173" s="310" t="str">
        <f>IFERROR(__xludf.DUMMYFUNCTION("IF(ISBLANK(B173),"""",IFERROR((GOOGLEFINANCE($D$13,""price"")/INDEX(GOOGLEFINANCE($D$13,""price"",DATEVALUE(TODAY()-365) ),2,2)-1),""""))"),"")</f>
        <v/>
      </c>
      <c r="N173" s="310" t="str">
        <f t="shared" si="3"/>
        <v/>
      </c>
      <c r="O173" s="311" t="str">
        <f>IFERROR(__xludf.DUMMYFUNCTION("IFERROR(IF(ISBLANK(B173),"""",GOOGLEFINANCE(B173,""low52"")),"""")"),"")</f>
        <v/>
      </c>
      <c r="P173" s="310" t="str">
        <f t="shared" si="4"/>
        <v/>
      </c>
      <c r="Q173" s="311" t="str">
        <f>IFERROR(__xludf.DUMMYFUNCTION("IFERROR(IF(ISBLANK(B173),"""",GOOGLEFINANCE(B173,""high52"")),"""")"),"")</f>
        <v/>
      </c>
      <c r="R173" s="310" t="str">
        <f t="shared" si="5"/>
        <v/>
      </c>
      <c r="S173" s="13" t="str">
        <f t="shared" si="6"/>
        <v/>
      </c>
      <c r="U173" s="13" t="str">
        <f t="shared" si="7"/>
        <v/>
      </c>
      <c r="W173" s="13" t="str">
        <f t="shared" si="8"/>
        <v/>
      </c>
      <c r="X173" s="310" t="str">
        <f t="shared" si="9"/>
        <v/>
      </c>
      <c r="Y173" s="311" t="str">
        <f>IFERROR(__xludf.DUMMYFUNCTION("IF(ISBLANK(B173),"""",IFERROR(INDEX(GOOGLEFINANCE(B173,""price"",WORKDAY(TODAY(),-$Y$17)),2,2),""""))"),"")</f>
        <v/>
      </c>
      <c r="Z173" s="310" t="str">
        <f>IFERROR(__xludf.DUMMYFUNCTION("IF(ISBLANK(B173),"""",IFERROR(I173/(INDEX(GOOGLEFINANCE(B173,""price"",WORKDAY(TODAY(),-$Z$17)),2,2))-1,""""))"),"")</f>
        <v/>
      </c>
      <c r="AA173" s="312" t="str">
        <f>IFERROR(__xludf.DUMMYFUNCTION("IF(ISBLANK(B173),"""",IFERROR(IFERROR(""$""&amp;Trunc(GOOGLEFINANCE(B173,""Marketcap"")/1000000000)&amp;"" B"",""$""&amp;Trunc(IMPORTXML(""https://coinmarketcap.com/currencies/""&amp;B173,$AJ$4)/1000000000)&amp;"" B""),""-""))"),"")</f>
        <v/>
      </c>
      <c r="AB173" s="13" t="str">
        <f>IFERROR(__xludf.DUMMYFUNCTION("IF(ISBLANK(B173),"""",IFERROR(GOOGLEFINANCE(B173,""pe""),""-""))"),"")</f>
        <v/>
      </c>
      <c r="AC173" s="313" t="str">
        <f>IFERROR(__xludf.DUMMYFUNCTION("SPARKLINE(INDEX(GOOGLEFINANCE(B173,""price"",workday(today(),-$AC$17),today()),,2),{""charttype"",""column"";""color"",""green""})
"),"#N/A")</f>
        <v>#N/A</v>
      </c>
      <c r="AD173" s="313" t="str">
        <f>IFERROR(__xludf.DUMMYFUNCTION("IF(ISBLANK(B173),"""",IFERROR(INDEX(IMPORTXML(""https://eresearch.fidelity.com/eresearch/goto/evaluate/snapshot.jhtml?symbols=""&amp;B173&amp;"""",""//div[@class='sub-heading']//span[@class='right']""),1),""Enter Manually"")
)"),"")</f>
        <v/>
      </c>
      <c r="AE173" s="314" t="str">
        <f t="shared" si="10"/>
        <v>Info</v>
      </c>
      <c r="AF173" s="329"/>
      <c r="AG173" s="320"/>
      <c r="AH173" s="13"/>
      <c r="AI173" s="13"/>
      <c r="AJ173" s="13"/>
      <c r="AK173" s="13"/>
      <c r="AL173" s="13"/>
      <c r="AM173" s="13"/>
      <c r="AN173" s="13"/>
      <c r="AO173" s="13"/>
      <c r="AP173" s="13"/>
    </row>
    <row r="174" ht="18.75" customHeight="1">
      <c r="A174" s="13"/>
      <c r="B174" s="327"/>
      <c r="C174" s="306" t="str">
        <f>IFERROR(__xludf.DUMMYFUNCTION("GOOGLEFINANCE(B174,""name"")
"),"#N/A")</f>
        <v>#N/A</v>
      </c>
      <c r="D174" s="306"/>
      <c r="E174" s="328"/>
      <c r="F174" s="13" t="str">
        <f t="shared" si="1"/>
        <v/>
      </c>
      <c r="G174" s="309" t="str">
        <f>IFERROR(__xludf.DUMMYFUNCTION("IF(ISBLANK(B174),"""",IFERROR(SPARKLINE(INDEX(GOOGLEFINANCE(B174,""price"",TODAY()-$G$17,TODAY()),,2),{""charttype"",""column"";""color"",""17a7e0""}),""""))"),"")</f>
        <v/>
      </c>
      <c r="I174" s="309" t="str">
        <f>IFERROR(__xludf.DUMMYFUNCTION("IFERROR(IF(B174="""","""",GOOGLEFINANCE(B174)),IFERROR(GOOGLEFINANCE(""CURRENCY:""&amp;""USD""&amp;$D$15)*IMPORTXML(""https://coinmarketcap.com/currencies/""&amp;B174,$AJ$3),IMPORTXML(""https://coinmarketcap.com/currencies/""&amp;B174,$AJ$3)))"),"")</f>
        <v/>
      </c>
      <c r="J174" s="310" t="str">
        <f t="shared" si="2"/>
        <v/>
      </c>
      <c r="K174" s="310" t="str">
        <f>IFERROR(__xludf.DUMMYFUNCTION("IFERROR(IF(ISBLANK(B174),"""",GOOGLEFINANCE(B174,""changepct"")/100),"""")"),"")</f>
        <v/>
      </c>
      <c r="L174" s="310" t="str">
        <f>IFERROR(__xludf.DUMMYFUNCTION("IF(ISBLANK(B174),"""",IFERROR((GOOGLEFINANCE(B174,""price"")/INDEX(GOOGLEFINANCE(B174,""price"",DATEVALUE(TODAY()-365) ),2,2)-1),""""))"),"")</f>
        <v/>
      </c>
      <c r="M174" s="310" t="str">
        <f>IFERROR(__xludf.DUMMYFUNCTION("IF(ISBLANK(B174),"""",IFERROR((GOOGLEFINANCE($D$13,""price"")/INDEX(GOOGLEFINANCE($D$13,""price"",DATEVALUE(TODAY()-365) ),2,2)-1),""""))"),"")</f>
        <v/>
      </c>
      <c r="N174" s="310" t="str">
        <f t="shared" si="3"/>
        <v/>
      </c>
      <c r="O174" s="311" t="str">
        <f>IFERROR(__xludf.DUMMYFUNCTION("IFERROR(IF(ISBLANK(B174),"""",GOOGLEFINANCE(B174,""low52"")),"""")"),"")</f>
        <v/>
      </c>
      <c r="P174" s="310" t="str">
        <f t="shared" si="4"/>
        <v/>
      </c>
      <c r="Q174" s="311" t="str">
        <f>IFERROR(__xludf.DUMMYFUNCTION("IFERROR(IF(ISBLANK(B174),"""",GOOGLEFINANCE(B174,""high52"")),"""")"),"")</f>
        <v/>
      </c>
      <c r="R174" s="310" t="str">
        <f t="shared" si="5"/>
        <v/>
      </c>
      <c r="S174" s="13" t="str">
        <f t="shared" si="6"/>
        <v/>
      </c>
      <c r="U174" s="13" t="str">
        <f t="shared" si="7"/>
        <v/>
      </c>
      <c r="W174" s="13" t="str">
        <f t="shared" si="8"/>
        <v/>
      </c>
      <c r="X174" s="310" t="str">
        <f t="shared" si="9"/>
        <v/>
      </c>
      <c r="Y174" s="311" t="str">
        <f>IFERROR(__xludf.DUMMYFUNCTION("IF(ISBLANK(B174),"""",IFERROR(INDEX(GOOGLEFINANCE(B174,""price"",WORKDAY(TODAY(),-$Y$17)),2,2),""""))"),"")</f>
        <v/>
      </c>
      <c r="Z174" s="310" t="str">
        <f>IFERROR(__xludf.DUMMYFUNCTION("IF(ISBLANK(B174),"""",IFERROR(I174/(INDEX(GOOGLEFINANCE(B174,""price"",WORKDAY(TODAY(),-$Z$17)),2,2))-1,""""))"),"")</f>
        <v/>
      </c>
      <c r="AA174" s="312" t="str">
        <f>IFERROR(__xludf.DUMMYFUNCTION("IF(ISBLANK(B174),"""",IFERROR(IFERROR(""$""&amp;Trunc(GOOGLEFINANCE(B174,""Marketcap"")/1000000000)&amp;"" B"",""$""&amp;Trunc(IMPORTXML(""https://coinmarketcap.com/currencies/""&amp;B174,$AJ$4)/1000000000)&amp;"" B""),""-""))"),"")</f>
        <v/>
      </c>
      <c r="AB174" s="13" t="str">
        <f>IFERROR(__xludf.DUMMYFUNCTION("IF(ISBLANK(B174),"""",IFERROR(GOOGLEFINANCE(B174,""pe""),""-""))"),"")</f>
        <v/>
      </c>
      <c r="AC174" s="313" t="str">
        <f>IFERROR(__xludf.DUMMYFUNCTION("SPARKLINE(INDEX(GOOGLEFINANCE(B174,""price"",workday(today(),-$AC$17),today()),,2),{""charttype"",""column"";""color"",""green""})
"),"#N/A")</f>
        <v>#N/A</v>
      </c>
      <c r="AD174" s="313" t="str">
        <f>IFERROR(__xludf.DUMMYFUNCTION("IF(ISBLANK(B174),"""",IFERROR(INDEX(IMPORTXML(""https://eresearch.fidelity.com/eresearch/goto/evaluate/snapshot.jhtml?symbols=""&amp;B174&amp;"""",""//div[@class='sub-heading']//span[@class='right']""),1),""Enter Manually"")
)"),"")</f>
        <v/>
      </c>
      <c r="AE174" s="314" t="str">
        <f t="shared" si="10"/>
        <v>Info</v>
      </c>
      <c r="AF174" s="329"/>
      <c r="AG174" s="320"/>
      <c r="AH174" s="13"/>
      <c r="AI174" s="13"/>
      <c r="AJ174" s="13"/>
      <c r="AK174" s="13"/>
      <c r="AL174" s="13"/>
      <c r="AM174" s="13"/>
      <c r="AN174" s="13"/>
      <c r="AO174" s="13"/>
      <c r="AP174" s="13"/>
    </row>
    <row r="175" ht="18.75" customHeight="1">
      <c r="A175" s="13"/>
      <c r="B175" s="327"/>
      <c r="C175" s="306" t="str">
        <f>IFERROR(__xludf.DUMMYFUNCTION("GOOGLEFINANCE(B175,""name"")
"),"#N/A")</f>
        <v>#N/A</v>
      </c>
      <c r="D175" s="306"/>
      <c r="E175" s="328"/>
      <c r="F175" s="13" t="str">
        <f t="shared" si="1"/>
        <v/>
      </c>
      <c r="G175" s="309" t="str">
        <f>IFERROR(__xludf.DUMMYFUNCTION("IF(ISBLANK(B175),"""",IFERROR(SPARKLINE(INDEX(GOOGLEFINANCE(B175,""price"",TODAY()-$G$17,TODAY()),,2),{""charttype"",""column"";""color"",""17a7e0""}),""""))"),"")</f>
        <v/>
      </c>
      <c r="I175" s="309" t="str">
        <f>IFERROR(__xludf.DUMMYFUNCTION("IFERROR(IF(B175="""","""",GOOGLEFINANCE(B175)),IFERROR(GOOGLEFINANCE(""CURRENCY:""&amp;""USD""&amp;$D$15)*IMPORTXML(""https://coinmarketcap.com/currencies/""&amp;B175,$AJ$3),IMPORTXML(""https://coinmarketcap.com/currencies/""&amp;B175,$AJ$3)))"),"")</f>
        <v/>
      </c>
      <c r="J175" s="310" t="str">
        <f t="shared" si="2"/>
        <v/>
      </c>
      <c r="K175" s="310" t="str">
        <f>IFERROR(__xludf.DUMMYFUNCTION("IFERROR(IF(ISBLANK(B175),"""",GOOGLEFINANCE(B175,""changepct"")/100),"""")"),"")</f>
        <v/>
      </c>
      <c r="L175" s="310" t="str">
        <f>IFERROR(__xludf.DUMMYFUNCTION("IF(ISBLANK(B175),"""",IFERROR((GOOGLEFINANCE(B175,""price"")/INDEX(GOOGLEFINANCE(B175,""price"",DATEVALUE(TODAY()-365) ),2,2)-1),""""))"),"")</f>
        <v/>
      </c>
      <c r="M175" s="310" t="str">
        <f>IFERROR(__xludf.DUMMYFUNCTION("IF(ISBLANK(B175),"""",IFERROR((GOOGLEFINANCE($D$13,""price"")/INDEX(GOOGLEFINANCE($D$13,""price"",DATEVALUE(TODAY()-365) ),2,2)-1),""""))"),"")</f>
        <v/>
      </c>
      <c r="N175" s="310" t="str">
        <f t="shared" si="3"/>
        <v/>
      </c>
      <c r="O175" s="311" t="str">
        <f>IFERROR(__xludf.DUMMYFUNCTION("IFERROR(IF(ISBLANK(B175),"""",GOOGLEFINANCE(B175,""low52"")),"""")"),"")</f>
        <v/>
      </c>
      <c r="P175" s="310" t="str">
        <f t="shared" si="4"/>
        <v/>
      </c>
      <c r="Q175" s="311" t="str">
        <f>IFERROR(__xludf.DUMMYFUNCTION("IFERROR(IF(ISBLANK(B175),"""",GOOGLEFINANCE(B175,""high52"")),"""")"),"")</f>
        <v/>
      </c>
      <c r="R175" s="310" t="str">
        <f t="shared" si="5"/>
        <v/>
      </c>
      <c r="S175" s="13" t="str">
        <f t="shared" si="6"/>
        <v/>
      </c>
      <c r="U175" s="13" t="str">
        <f t="shared" si="7"/>
        <v/>
      </c>
      <c r="W175" s="13" t="str">
        <f t="shared" si="8"/>
        <v/>
      </c>
      <c r="X175" s="310" t="str">
        <f t="shared" si="9"/>
        <v/>
      </c>
      <c r="Y175" s="311" t="str">
        <f>IFERROR(__xludf.DUMMYFUNCTION("IF(ISBLANK(B175),"""",IFERROR(INDEX(GOOGLEFINANCE(B175,""price"",WORKDAY(TODAY(),-$Y$17)),2,2),""""))"),"")</f>
        <v/>
      </c>
      <c r="Z175" s="310" t="str">
        <f>IFERROR(__xludf.DUMMYFUNCTION("IF(ISBLANK(B175),"""",IFERROR(I175/(INDEX(GOOGLEFINANCE(B175,""price"",WORKDAY(TODAY(),-$Z$17)),2,2))-1,""""))"),"")</f>
        <v/>
      </c>
      <c r="AA175" s="312" t="str">
        <f>IFERROR(__xludf.DUMMYFUNCTION("IF(ISBLANK(B175),"""",IFERROR(IFERROR(""$""&amp;Trunc(GOOGLEFINANCE(B175,""Marketcap"")/1000000000)&amp;"" B"",""$""&amp;Trunc(IMPORTXML(""https://coinmarketcap.com/currencies/""&amp;B175,$AJ$4)/1000000000)&amp;"" B""),""-""))"),"")</f>
        <v/>
      </c>
      <c r="AB175" s="13" t="str">
        <f>IFERROR(__xludf.DUMMYFUNCTION("IF(ISBLANK(B175),"""",IFERROR(GOOGLEFINANCE(B175,""pe""),""-""))"),"")</f>
        <v/>
      </c>
      <c r="AC175" s="313" t="str">
        <f>IFERROR(__xludf.DUMMYFUNCTION("SPARKLINE(INDEX(GOOGLEFINANCE(B175,""price"",workday(today(),-$AC$17),today()),,2),{""charttype"",""column"";""color"",""green""})
"),"#N/A")</f>
        <v>#N/A</v>
      </c>
      <c r="AD175" s="313" t="str">
        <f>IFERROR(__xludf.DUMMYFUNCTION("IF(ISBLANK(B175),"""",IFERROR(INDEX(IMPORTXML(""https://eresearch.fidelity.com/eresearch/goto/evaluate/snapshot.jhtml?symbols=""&amp;B175&amp;"""",""//div[@class='sub-heading']//span[@class='right']""),1),""Enter Manually"")
)"),"")</f>
        <v/>
      </c>
      <c r="AE175" s="314" t="str">
        <f t="shared" si="10"/>
        <v>Info</v>
      </c>
      <c r="AF175" s="329"/>
      <c r="AG175" s="320"/>
      <c r="AH175" s="13"/>
      <c r="AI175" s="13"/>
      <c r="AJ175" s="13"/>
      <c r="AK175" s="13"/>
      <c r="AL175" s="13"/>
      <c r="AM175" s="13"/>
      <c r="AN175" s="13"/>
      <c r="AO175" s="13"/>
      <c r="AP175" s="13"/>
    </row>
    <row r="176" ht="18.75" customHeight="1">
      <c r="A176" s="13"/>
      <c r="B176" s="327"/>
      <c r="C176" s="306" t="str">
        <f>IFERROR(__xludf.DUMMYFUNCTION("GOOGLEFINANCE(B176,""name"")
"),"#N/A")</f>
        <v>#N/A</v>
      </c>
      <c r="D176" s="306"/>
      <c r="E176" s="328"/>
      <c r="F176" s="13" t="str">
        <f t="shared" si="1"/>
        <v/>
      </c>
      <c r="G176" s="309" t="str">
        <f>IFERROR(__xludf.DUMMYFUNCTION("IF(ISBLANK(B176),"""",IFERROR(SPARKLINE(INDEX(GOOGLEFINANCE(B176,""price"",TODAY()-$G$17,TODAY()),,2),{""charttype"",""column"";""color"",""17a7e0""}),""""))"),"")</f>
        <v/>
      </c>
      <c r="I176" s="309" t="str">
        <f>IFERROR(__xludf.DUMMYFUNCTION("IFERROR(IF(B176="""","""",GOOGLEFINANCE(B176)),IFERROR(GOOGLEFINANCE(""CURRENCY:""&amp;""USD""&amp;$D$15)*IMPORTXML(""https://coinmarketcap.com/currencies/""&amp;B176,$AJ$3),IMPORTXML(""https://coinmarketcap.com/currencies/""&amp;B176,$AJ$3)))"),"")</f>
        <v/>
      </c>
      <c r="J176" s="310" t="str">
        <f t="shared" si="2"/>
        <v/>
      </c>
      <c r="K176" s="310" t="str">
        <f>IFERROR(__xludf.DUMMYFUNCTION("IFERROR(IF(ISBLANK(B176),"""",GOOGLEFINANCE(B176,""changepct"")/100),"""")"),"")</f>
        <v/>
      </c>
      <c r="L176" s="310" t="str">
        <f>IFERROR(__xludf.DUMMYFUNCTION("IF(ISBLANK(B176),"""",IFERROR((GOOGLEFINANCE(B176,""price"")/INDEX(GOOGLEFINANCE(B176,""price"",DATEVALUE(TODAY()-365) ),2,2)-1),""""))"),"")</f>
        <v/>
      </c>
      <c r="M176" s="310" t="str">
        <f>IFERROR(__xludf.DUMMYFUNCTION("IF(ISBLANK(B176),"""",IFERROR((GOOGLEFINANCE($D$13,""price"")/INDEX(GOOGLEFINANCE($D$13,""price"",DATEVALUE(TODAY()-365) ),2,2)-1),""""))"),"")</f>
        <v/>
      </c>
      <c r="N176" s="310" t="str">
        <f t="shared" si="3"/>
        <v/>
      </c>
      <c r="O176" s="311" t="str">
        <f>IFERROR(__xludf.DUMMYFUNCTION("IFERROR(IF(ISBLANK(B176),"""",GOOGLEFINANCE(B176,""low52"")),"""")"),"")</f>
        <v/>
      </c>
      <c r="P176" s="310" t="str">
        <f t="shared" si="4"/>
        <v/>
      </c>
      <c r="Q176" s="311" t="str">
        <f>IFERROR(__xludf.DUMMYFUNCTION("IFERROR(IF(ISBLANK(B176),"""",GOOGLEFINANCE(B176,""high52"")),"""")"),"")</f>
        <v/>
      </c>
      <c r="R176" s="310" t="str">
        <f t="shared" si="5"/>
        <v/>
      </c>
      <c r="S176" s="13" t="str">
        <f t="shared" si="6"/>
        <v/>
      </c>
      <c r="U176" s="13" t="str">
        <f t="shared" si="7"/>
        <v/>
      </c>
      <c r="W176" s="13" t="str">
        <f t="shared" si="8"/>
        <v/>
      </c>
      <c r="X176" s="310" t="str">
        <f t="shared" si="9"/>
        <v/>
      </c>
      <c r="Y176" s="311" t="str">
        <f>IFERROR(__xludf.DUMMYFUNCTION("IF(ISBLANK(B176),"""",IFERROR(INDEX(GOOGLEFINANCE(B176,""price"",WORKDAY(TODAY(),-$Y$17)),2,2),""""))"),"")</f>
        <v/>
      </c>
      <c r="Z176" s="310" t="str">
        <f>IFERROR(__xludf.DUMMYFUNCTION("IF(ISBLANK(B176),"""",IFERROR(I176/(INDEX(GOOGLEFINANCE(B176,""price"",WORKDAY(TODAY(),-$Z$17)),2,2))-1,""""))"),"")</f>
        <v/>
      </c>
      <c r="AA176" s="312" t="str">
        <f>IFERROR(__xludf.DUMMYFUNCTION("IF(ISBLANK(B176),"""",IFERROR(IFERROR(""$""&amp;Trunc(GOOGLEFINANCE(B176,""Marketcap"")/1000000000)&amp;"" B"",""$""&amp;Trunc(IMPORTXML(""https://coinmarketcap.com/currencies/""&amp;B176,$AJ$4)/1000000000)&amp;"" B""),""-""))"),"")</f>
        <v/>
      </c>
      <c r="AB176" s="13" t="str">
        <f>IFERROR(__xludf.DUMMYFUNCTION("IF(ISBLANK(B176),"""",IFERROR(GOOGLEFINANCE(B176,""pe""),""-""))"),"")</f>
        <v/>
      </c>
      <c r="AC176" s="313" t="str">
        <f>IFERROR(__xludf.DUMMYFUNCTION("SPARKLINE(INDEX(GOOGLEFINANCE(B176,""price"",workday(today(),-$AC$17),today()),,2),{""charttype"",""column"";""color"",""green""})
"),"#N/A")</f>
        <v>#N/A</v>
      </c>
      <c r="AD176" s="313" t="str">
        <f>IFERROR(__xludf.DUMMYFUNCTION("IF(ISBLANK(B176),"""",IFERROR(INDEX(IMPORTXML(""https://eresearch.fidelity.com/eresearch/goto/evaluate/snapshot.jhtml?symbols=""&amp;B176&amp;"""",""//div[@class='sub-heading']//span[@class='right']""),1),""Enter Manually"")
)"),"")</f>
        <v/>
      </c>
      <c r="AE176" s="314" t="str">
        <f t="shared" si="10"/>
        <v>Info</v>
      </c>
      <c r="AF176" s="329"/>
      <c r="AG176" s="320"/>
      <c r="AH176" s="13"/>
      <c r="AI176" s="13"/>
      <c r="AJ176" s="13"/>
      <c r="AK176" s="13"/>
      <c r="AL176" s="13"/>
      <c r="AM176" s="13"/>
      <c r="AN176" s="13"/>
      <c r="AO176" s="13"/>
      <c r="AP176" s="13"/>
    </row>
    <row r="177" ht="18.75" customHeight="1">
      <c r="A177" s="13"/>
      <c r="B177" s="327"/>
      <c r="C177" s="306" t="str">
        <f>IFERROR(__xludf.DUMMYFUNCTION("GOOGLEFINANCE(B177,""name"")
"),"#N/A")</f>
        <v>#N/A</v>
      </c>
      <c r="D177" s="306"/>
      <c r="E177" s="328"/>
      <c r="F177" s="13" t="str">
        <f t="shared" si="1"/>
        <v/>
      </c>
      <c r="G177" s="309" t="str">
        <f>IFERROR(__xludf.DUMMYFUNCTION("IF(ISBLANK(B177),"""",IFERROR(SPARKLINE(INDEX(GOOGLEFINANCE(B177,""price"",TODAY()-$G$17,TODAY()),,2),{""charttype"",""column"";""color"",""17a7e0""}),""""))"),"")</f>
        <v/>
      </c>
      <c r="I177" s="309" t="str">
        <f>IFERROR(__xludf.DUMMYFUNCTION("IFERROR(IF(B177="""","""",GOOGLEFINANCE(B177)),IFERROR(GOOGLEFINANCE(""CURRENCY:""&amp;""USD""&amp;$D$15)*IMPORTXML(""https://coinmarketcap.com/currencies/""&amp;B177,$AJ$3),IMPORTXML(""https://coinmarketcap.com/currencies/""&amp;B177,$AJ$3)))"),"")</f>
        <v/>
      </c>
      <c r="J177" s="310" t="str">
        <f t="shared" si="2"/>
        <v/>
      </c>
      <c r="K177" s="310" t="str">
        <f>IFERROR(__xludf.DUMMYFUNCTION("IFERROR(IF(ISBLANK(B177),"""",GOOGLEFINANCE(B177,""changepct"")/100),"""")"),"")</f>
        <v/>
      </c>
      <c r="L177" s="310" t="str">
        <f>IFERROR(__xludf.DUMMYFUNCTION("IF(ISBLANK(B177),"""",IFERROR((GOOGLEFINANCE(B177,""price"")/INDEX(GOOGLEFINANCE(B177,""price"",DATEVALUE(TODAY()-365) ),2,2)-1),""""))"),"")</f>
        <v/>
      </c>
      <c r="M177" s="310" t="str">
        <f>IFERROR(__xludf.DUMMYFUNCTION("IF(ISBLANK(B177),"""",IFERROR((GOOGLEFINANCE($D$13,""price"")/INDEX(GOOGLEFINANCE($D$13,""price"",DATEVALUE(TODAY()-365) ),2,2)-1),""""))"),"")</f>
        <v/>
      </c>
      <c r="N177" s="310" t="str">
        <f t="shared" si="3"/>
        <v/>
      </c>
      <c r="O177" s="311" t="str">
        <f>IFERROR(__xludf.DUMMYFUNCTION("IFERROR(IF(ISBLANK(B177),"""",GOOGLEFINANCE(B177,""low52"")),"""")"),"")</f>
        <v/>
      </c>
      <c r="P177" s="310" t="str">
        <f t="shared" si="4"/>
        <v/>
      </c>
      <c r="Q177" s="311" t="str">
        <f>IFERROR(__xludf.DUMMYFUNCTION("IFERROR(IF(ISBLANK(B177),"""",GOOGLEFINANCE(B177,""high52"")),"""")"),"")</f>
        <v/>
      </c>
      <c r="R177" s="310" t="str">
        <f t="shared" si="5"/>
        <v/>
      </c>
      <c r="S177" s="13" t="str">
        <f t="shared" si="6"/>
        <v/>
      </c>
      <c r="U177" s="13" t="str">
        <f t="shared" si="7"/>
        <v/>
      </c>
      <c r="W177" s="13" t="str">
        <f t="shared" si="8"/>
        <v/>
      </c>
      <c r="X177" s="310" t="str">
        <f t="shared" si="9"/>
        <v/>
      </c>
      <c r="Y177" s="311" t="str">
        <f>IFERROR(__xludf.DUMMYFUNCTION("IF(ISBLANK(B177),"""",IFERROR(INDEX(GOOGLEFINANCE(B177,""price"",WORKDAY(TODAY(),-$Y$17)),2,2),""""))"),"")</f>
        <v/>
      </c>
      <c r="Z177" s="310" t="str">
        <f>IFERROR(__xludf.DUMMYFUNCTION("IF(ISBLANK(B177),"""",IFERROR(I177/(INDEX(GOOGLEFINANCE(B177,""price"",WORKDAY(TODAY(),-$Z$17)),2,2))-1,""""))"),"")</f>
        <v/>
      </c>
      <c r="AA177" s="312" t="str">
        <f>IFERROR(__xludf.DUMMYFUNCTION("IF(ISBLANK(B177),"""",IFERROR(IFERROR(""$""&amp;Trunc(GOOGLEFINANCE(B177,""Marketcap"")/1000000000)&amp;"" B"",""$""&amp;Trunc(IMPORTXML(""https://coinmarketcap.com/currencies/""&amp;B177,$AJ$4)/1000000000)&amp;"" B""),""-""))"),"")</f>
        <v/>
      </c>
      <c r="AB177" s="13" t="str">
        <f>IFERROR(__xludf.DUMMYFUNCTION("IF(ISBLANK(B177),"""",IFERROR(GOOGLEFINANCE(B177,""pe""),""-""))"),"")</f>
        <v/>
      </c>
      <c r="AC177" s="313" t="str">
        <f>IFERROR(__xludf.DUMMYFUNCTION("SPARKLINE(INDEX(GOOGLEFINANCE(B177,""price"",workday(today(),-$AC$17),today()),,2),{""charttype"",""column"";""color"",""green""})
"),"#N/A")</f>
        <v>#N/A</v>
      </c>
      <c r="AD177" s="313" t="str">
        <f>IFERROR(__xludf.DUMMYFUNCTION("IF(ISBLANK(B177),"""",IFERROR(INDEX(IMPORTXML(""https://eresearch.fidelity.com/eresearch/goto/evaluate/snapshot.jhtml?symbols=""&amp;B177&amp;"""",""//div[@class='sub-heading']//span[@class='right']""),1),""Enter Manually"")
)"),"")</f>
        <v/>
      </c>
      <c r="AE177" s="314" t="str">
        <f t="shared" si="10"/>
        <v>Info</v>
      </c>
      <c r="AF177" s="329"/>
      <c r="AG177" s="320"/>
      <c r="AH177" s="13"/>
      <c r="AI177" s="13"/>
      <c r="AJ177" s="13"/>
      <c r="AK177" s="13"/>
      <c r="AL177" s="13"/>
      <c r="AM177" s="13"/>
      <c r="AN177" s="13"/>
      <c r="AO177" s="13"/>
      <c r="AP177" s="13"/>
    </row>
    <row r="178" ht="18.75" customHeight="1">
      <c r="A178" s="13"/>
      <c r="B178" s="327"/>
      <c r="C178" s="306" t="str">
        <f>IFERROR(__xludf.DUMMYFUNCTION("GOOGLEFINANCE(B178,""name"")
"),"#N/A")</f>
        <v>#N/A</v>
      </c>
      <c r="D178" s="306"/>
      <c r="E178" s="328"/>
      <c r="F178" s="13" t="str">
        <f t="shared" si="1"/>
        <v/>
      </c>
      <c r="G178" s="309" t="str">
        <f>IFERROR(__xludf.DUMMYFUNCTION("IF(ISBLANK(B178),"""",IFERROR(SPARKLINE(INDEX(GOOGLEFINANCE(B178,""price"",TODAY()-$G$17,TODAY()),,2),{""charttype"",""column"";""color"",""17a7e0""}),""""))"),"")</f>
        <v/>
      </c>
      <c r="I178" s="309" t="str">
        <f>IFERROR(__xludf.DUMMYFUNCTION("IFERROR(IF(B178="""","""",GOOGLEFINANCE(B178)),IFERROR(GOOGLEFINANCE(""CURRENCY:""&amp;""USD""&amp;$D$15)*IMPORTXML(""https://coinmarketcap.com/currencies/""&amp;B178,$AJ$3),IMPORTXML(""https://coinmarketcap.com/currencies/""&amp;B178,$AJ$3)))"),"")</f>
        <v/>
      </c>
      <c r="J178" s="310" t="str">
        <f t="shared" si="2"/>
        <v/>
      </c>
      <c r="K178" s="310" t="str">
        <f>IFERROR(__xludf.DUMMYFUNCTION("IFERROR(IF(ISBLANK(B178),"""",GOOGLEFINANCE(B178,""changepct"")/100),"""")"),"")</f>
        <v/>
      </c>
      <c r="L178" s="310" t="str">
        <f>IFERROR(__xludf.DUMMYFUNCTION("IF(ISBLANK(B178),"""",IFERROR((GOOGLEFINANCE(B178,""price"")/INDEX(GOOGLEFINANCE(B178,""price"",DATEVALUE(TODAY()-365) ),2,2)-1),""""))"),"")</f>
        <v/>
      </c>
      <c r="M178" s="310" t="str">
        <f>IFERROR(__xludf.DUMMYFUNCTION("IF(ISBLANK(B178),"""",IFERROR((GOOGLEFINANCE($D$13,""price"")/INDEX(GOOGLEFINANCE($D$13,""price"",DATEVALUE(TODAY()-365) ),2,2)-1),""""))"),"")</f>
        <v/>
      </c>
      <c r="N178" s="310" t="str">
        <f t="shared" si="3"/>
        <v/>
      </c>
      <c r="O178" s="311" t="str">
        <f>IFERROR(__xludf.DUMMYFUNCTION("IFERROR(IF(ISBLANK(B178),"""",GOOGLEFINANCE(B178,""low52"")),"""")"),"")</f>
        <v/>
      </c>
      <c r="P178" s="310" t="str">
        <f t="shared" si="4"/>
        <v/>
      </c>
      <c r="Q178" s="311" t="str">
        <f>IFERROR(__xludf.DUMMYFUNCTION("IFERROR(IF(ISBLANK(B178),"""",GOOGLEFINANCE(B178,""high52"")),"""")"),"")</f>
        <v/>
      </c>
      <c r="R178" s="310" t="str">
        <f t="shared" si="5"/>
        <v/>
      </c>
      <c r="S178" s="13" t="str">
        <f t="shared" si="6"/>
        <v/>
      </c>
      <c r="U178" s="13" t="str">
        <f t="shared" si="7"/>
        <v/>
      </c>
      <c r="W178" s="13" t="str">
        <f t="shared" si="8"/>
        <v/>
      </c>
      <c r="X178" s="310" t="str">
        <f t="shared" si="9"/>
        <v/>
      </c>
      <c r="Y178" s="311" t="str">
        <f>IFERROR(__xludf.DUMMYFUNCTION("IF(ISBLANK(B178),"""",IFERROR(INDEX(GOOGLEFINANCE(B178,""price"",WORKDAY(TODAY(),-$Y$17)),2,2),""""))"),"")</f>
        <v/>
      </c>
      <c r="Z178" s="310" t="str">
        <f>IFERROR(__xludf.DUMMYFUNCTION("IF(ISBLANK(B178),"""",IFERROR(I178/(INDEX(GOOGLEFINANCE(B178,""price"",WORKDAY(TODAY(),-$Z$17)),2,2))-1,""""))"),"")</f>
        <v/>
      </c>
      <c r="AA178" s="312" t="str">
        <f>IFERROR(__xludf.DUMMYFUNCTION("IF(ISBLANK(B178),"""",IFERROR(IFERROR(""$""&amp;Trunc(GOOGLEFINANCE(B178,""Marketcap"")/1000000000)&amp;"" B"",""$""&amp;Trunc(IMPORTXML(""https://coinmarketcap.com/currencies/""&amp;B178,$AJ$4)/1000000000)&amp;"" B""),""-""))"),"")</f>
        <v/>
      </c>
      <c r="AB178" s="13" t="str">
        <f>IFERROR(__xludf.DUMMYFUNCTION("IF(ISBLANK(B178),"""",IFERROR(GOOGLEFINANCE(B178,""pe""),""-""))"),"")</f>
        <v/>
      </c>
      <c r="AC178" s="313" t="str">
        <f>IFERROR(__xludf.DUMMYFUNCTION("SPARKLINE(INDEX(GOOGLEFINANCE(B178,""price"",workday(today(),-$AC$17),today()),,2),{""charttype"",""column"";""color"",""green""})
"),"#N/A")</f>
        <v>#N/A</v>
      </c>
      <c r="AD178" s="313" t="str">
        <f>IFERROR(__xludf.DUMMYFUNCTION("IF(ISBLANK(B178),"""",IFERROR(INDEX(IMPORTXML(""https://eresearch.fidelity.com/eresearch/goto/evaluate/snapshot.jhtml?symbols=""&amp;B178&amp;"""",""//div[@class='sub-heading']//span[@class='right']""),1),""Enter Manually"")
)"),"")</f>
        <v/>
      </c>
      <c r="AE178" s="314" t="str">
        <f t="shared" si="10"/>
        <v>Info</v>
      </c>
      <c r="AF178" s="329"/>
      <c r="AG178" s="320"/>
      <c r="AH178" s="13"/>
      <c r="AI178" s="13"/>
      <c r="AJ178" s="13"/>
      <c r="AK178" s="13"/>
      <c r="AL178" s="13"/>
      <c r="AM178" s="13"/>
      <c r="AN178" s="13"/>
      <c r="AO178" s="13"/>
      <c r="AP178" s="13"/>
    </row>
    <row r="179" ht="18.75" customHeight="1">
      <c r="A179" s="13"/>
      <c r="B179" s="327"/>
      <c r="C179" s="306" t="str">
        <f>IFERROR(__xludf.DUMMYFUNCTION("GOOGLEFINANCE(B179,""name"")
"),"#N/A")</f>
        <v>#N/A</v>
      </c>
      <c r="D179" s="306"/>
      <c r="E179" s="328"/>
      <c r="F179" s="13" t="str">
        <f t="shared" si="1"/>
        <v/>
      </c>
      <c r="G179" s="309" t="str">
        <f>IFERROR(__xludf.DUMMYFUNCTION("IF(ISBLANK(B179),"""",IFERROR(SPARKLINE(INDEX(GOOGLEFINANCE(B179,""price"",TODAY()-$G$17,TODAY()),,2),{""charttype"",""column"";""color"",""17a7e0""}),""""))"),"")</f>
        <v/>
      </c>
      <c r="I179" s="309" t="str">
        <f>IFERROR(__xludf.DUMMYFUNCTION("IFERROR(IF(B179="""","""",GOOGLEFINANCE(B179)),IFERROR(GOOGLEFINANCE(""CURRENCY:""&amp;""USD""&amp;$D$15)*IMPORTXML(""https://coinmarketcap.com/currencies/""&amp;B179,$AJ$3),IMPORTXML(""https://coinmarketcap.com/currencies/""&amp;B179,$AJ$3)))"),"")</f>
        <v/>
      </c>
      <c r="J179" s="310" t="str">
        <f t="shared" si="2"/>
        <v/>
      </c>
      <c r="K179" s="310" t="str">
        <f>IFERROR(__xludf.DUMMYFUNCTION("IFERROR(IF(ISBLANK(B179),"""",GOOGLEFINANCE(B179,""changepct"")/100),"""")"),"")</f>
        <v/>
      </c>
      <c r="L179" s="310" t="str">
        <f>IFERROR(__xludf.DUMMYFUNCTION("IF(ISBLANK(B179),"""",IFERROR((GOOGLEFINANCE(B179,""price"")/INDEX(GOOGLEFINANCE(B179,""price"",DATEVALUE(TODAY()-365) ),2,2)-1),""""))"),"")</f>
        <v/>
      </c>
      <c r="M179" s="310" t="str">
        <f>IFERROR(__xludf.DUMMYFUNCTION("IF(ISBLANK(B179),"""",IFERROR((GOOGLEFINANCE($D$13,""price"")/INDEX(GOOGLEFINANCE($D$13,""price"",DATEVALUE(TODAY()-365) ),2,2)-1),""""))"),"")</f>
        <v/>
      </c>
      <c r="N179" s="310" t="str">
        <f t="shared" si="3"/>
        <v/>
      </c>
      <c r="O179" s="311" t="str">
        <f>IFERROR(__xludf.DUMMYFUNCTION("IFERROR(IF(ISBLANK(B179),"""",GOOGLEFINANCE(B179,""low52"")),"""")"),"")</f>
        <v/>
      </c>
      <c r="P179" s="310" t="str">
        <f t="shared" si="4"/>
        <v/>
      </c>
      <c r="Q179" s="311" t="str">
        <f>IFERROR(__xludf.DUMMYFUNCTION("IFERROR(IF(ISBLANK(B179),"""",GOOGLEFINANCE(B179,""high52"")),"""")"),"")</f>
        <v/>
      </c>
      <c r="R179" s="310" t="str">
        <f t="shared" si="5"/>
        <v/>
      </c>
      <c r="S179" s="13" t="str">
        <f t="shared" si="6"/>
        <v/>
      </c>
      <c r="U179" s="13" t="str">
        <f t="shared" si="7"/>
        <v/>
      </c>
      <c r="W179" s="13" t="str">
        <f t="shared" si="8"/>
        <v/>
      </c>
      <c r="X179" s="310" t="str">
        <f t="shared" si="9"/>
        <v/>
      </c>
      <c r="Y179" s="311" t="str">
        <f>IFERROR(__xludf.DUMMYFUNCTION("IF(ISBLANK(B179),"""",IFERROR(INDEX(GOOGLEFINANCE(B179,""price"",WORKDAY(TODAY(),-$Y$17)),2,2),""""))"),"")</f>
        <v/>
      </c>
      <c r="Z179" s="310" t="str">
        <f>IFERROR(__xludf.DUMMYFUNCTION("IF(ISBLANK(B179),"""",IFERROR(I179/(INDEX(GOOGLEFINANCE(B179,""price"",WORKDAY(TODAY(),-$Z$17)),2,2))-1,""""))"),"")</f>
        <v/>
      </c>
      <c r="AA179" s="312" t="str">
        <f>IFERROR(__xludf.DUMMYFUNCTION("IF(ISBLANK(B179),"""",IFERROR(IFERROR(""$""&amp;Trunc(GOOGLEFINANCE(B179,""Marketcap"")/1000000000)&amp;"" B"",""$""&amp;Trunc(IMPORTXML(""https://coinmarketcap.com/currencies/""&amp;B179,$AJ$4)/1000000000)&amp;"" B""),""-""))"),"")</f>
        <v/>
      </c>
      <c r="AB179" s="13" t="str">
        <f>IFERROR(__xludf.DUMMYFUNCTION("IF(ISBLANK(B179),"""",IFERROR(GOOGLEFINANCE(B179,""pe""),""-""))"),"")</f>
        <v/>
      </c>
      <c r="AC179" s="313" t="str">
        <f>IFERROR(__xludf.DUMMYFUNCTION("SPARKLINE(INDEX(GOOGLEFINANCE(B179,""price"",workday(today(),-$AC$17),today()),,2),{""charttype"",""column"";""color"",""green""})
"),"#N/A")</f>
        <v>#N/A</v>
      </c>
      <c r="AD179" s="313" t="str">
        <f>IFERROR(__xludf.DUMMYFUNCTION("IF(ISBLANK(B179),"""",IFERROR(INDEX(IMPORTXML(""https://eresearch.fidelity.com/eresearch/goto/evaluate/snapshot.jhtml?symbols=""&amp;B179&amp;"""",""//div[@class='sub-heading']//span[@class='right']""),1),""Enter Manually"")
)"),"")</f>
        <v/>
      </c>
      <c r="AE179" s="314" t="str">
        <f t="shared" si="10"/>
        <v>Info</v>
      </c>
      <c r="AF179" s="329"/>
      <c r="AG179" s="320"/>
      <c r="AH179" s="13"/>
      <c r="AI179" s="13"/>
      <c r="AJ179" s="13"/>
      <c r="AK179" s="13"/>
      <c r="AL179" s="13"/>
      <c r="AM179" s="13"/>
      <c r="AN179" s="13"/>
      <c r="AO179" s="13"/>
      <c r="AP179" s="13"/>
    </row>
    <row r="180" ht="18.75" customHeight="1">
      <c r="A180" s="13"/>
      <c r="B180" s="327"/>
      <c r="C180" s="306" t="str">
        <f>IFERROR(__xludf.DUMMYFUNCTION("GOOGLEFINANCE(B180,""name"")
"),"#N/A")</f>
        <v>#N/A</v>
      </c>
      <c r="D180" s="306"/>
      <c r="E180" s="328"/>
      <c r="F180" s="13" t="str">
        <f t="shared" si="1"/>
        <v/>
      </c>
      <c r="G180" s="309" t="str">
        <f>IFERROR(__xludf.DUMMYFUNCTION("IF(ISBLANK(B180),"""",IFERROR(SPARKLINE(INDEX(GOOGLEFINANCE(B180,""price"",TODAY()-$G$17,TODAY()),,2),{""charttype"",""column"";""color"",""17a7e0""}),""""))"),"")</f>
        <v/>
      </c>
      <c r="I180" s="309" t="str">
        <f>IFERROR(__xludf.DUMMYFUNCTION("IFERROR(IF(B180="""","""",GOOGLEFINANCE(B180)),IFERROR(GOOGLEFINANCE(""CURRENCY:""&amp;""USD""&amp;$D$15)*IMPORTXML(""https://coinmarketcap.com/currencies/""&amp;B180,$AJ$3),IMPORTXML(""https://coinmarketcap.com/currencies/""&amp;B180,$AJ$3)))"),"")</f>
        <v/>
      </c>
      <c r="J180" s="310" t="str">
        <f t="shared" si="2"/>
        <v/>
      </c>
      <c r="K180" s="310" t="str">
        <f>IFERROR(__xludf.DUMMYFUNCTION("IFERROR(IF(ISBLANK(B180),"""",GOOGLEFINANCE(B180,""changepct"")/100),"""")"),"")</f>
        <v/>
      </c>
      <c r="L180" s="310" t="str">
        <f>IFERROR(__xludf.DUMMYFUNCTION("IF(ISBLANK(B180),"""",IFERROR((GOOGLEFINANCE(B180,""price"")/INDEX(GOOGLEFINANCE(B180,""price"",DATEVALUE(TODAY()-365) ),2,2)-1),""""))"),"")</f>
        <v/>
      </c>
      <c r="M180" s="310" t="str">
        <f>IFERROR(__xludf.DUMMYFUNCTION("IF(ISBLANK(B180),"""",IFERROR((GOOGLEFINANCE($D$13,""price"")/INDEX(GOOGLEFINANCE($D$13,""price"",DATEVALUE(TODAY()-365) ),2,2)-1),""""))"),"")</f>
        <v/>
      </c>
      <c r="N180" s="310" t="str">
        <f t="shared" si="3"/>
        <v/>
      </c>
      <c r="O180" s="311" t="str">
        <f>IFERROR(__xludf.DUMMYFUNCTION("IFERROR(IF(ISBLANK(B180),"""",GOOGLEFINANCE(B180,""low52"")),"""")"),"")</f>
        <v/>
      </c>
      <c r="P180" s="310" t="str">
        <f t="shared" si="4"/>
        <v/>
      </c>
      <c r="Q180" s="311" t="str">
        <f>IFERROR(__xludf.DUMMYFUNCTION("IFERROR(IF(ISBLANK(B180),"""",GOOGLEFINANCE(B180,""high52"")),"""")"),"")</f>
        <v/>
      </c>
      <c r="R180" s="310" t="str">
        <f t="shared" si="5"/>
        <v/>
      </c>
      <c r="S180" s="13" t="str">
        <f t="shared" si="6"/>
        <v/>
      </c>
      <c r="U180" s="13" t="str">
        <f t="shared" si="7"/>
        <v/>
      </c>
      <c r="W180" s="13" t="str">
        <f t="shared" si="8"/>
        <v/>
      </c>
      <c r="X180" s="310" t="str">
        <f t="shared" si="9"/>
        <v/>
      </c>
      <c r="Y180" s="311" t="str">
        <f>IFERROR(__xludf.DUMMYFUNCTION("IF(ISBLANK(B180),"""",IFERROR(INDEX(GOOGLEFINANCE(B180,""price"",WORKDAY(TODAY(),-$Y$17)),2,2),""""))"),"")</f>
        <v/>
      </c>
      <c r="Z180" s="310" t="str">
        <f>IFERROR(__xludf.DUMMYFUNCTION("IF(ISBLANK(B180),"""",IFERROR(I180/(INDEX(GOOGLEFINANCE(B180,""price"",WORKDAY(TODAY(),-$Z$17)),2,2))-1,""""))"),"")</f>
        <v/>
      </c>
      <c r="AA180" s="312" t="str">
        <f>IFERROR(__xludf.DUMMYFUNCTION("IF(ISBLANK(B180),"""",IFERROR(IFERROR(""$""&amp;Trunc(GOOGLEFINANCE(B180,""Marketcap"")/1000000000)&amp;"" B"",""$""&amp;Trunc(IMPORTXML(""https://coinmarketcap.com/currencies/""&amp;B180,$AJ$4)/1000000000)&amp;"" B""),""-""))"),"")</f>
        <v/>
      </c>
      <c r="AB180" s="13" t="str">
        <f>IFERROR(__xludf.DUMMYFUNCTION("IF(ISBLANK(B180),"""",IFERROR(GOOGLEFINANCE(B180,""pe""),""-""))"),"")</f>
        <v/>
      </c>
      <c r="AC180" s="313" t="str">
        <f>IFERROR(__xludf.DUMMYFUNCTION("SPARKLINE(INDEX(GOOGLEFINANCE(B180,""price"",workday(today(),-$AC$17),today()),,2),{""charttype"",""column"";""color"",""green""})
"),"#N/A")</f>
        <v>#N/A</v>
      </c>
      <c r="AD180" s="313" t="str">
        <f>IFERROR(__xludf.DUMMYFUNCTION("IF(ISBLANK(B180),"""",IFERROR(INDEX(IMPORTXML(""https://eresearch.fidelity.com/eresearch/goto/evaluate/snapshot.jhtml?symbols=""&amp;B180&amp;"""",""//div[@class='sub-heading']//span[@class='right']""),1),""Enter Manually"")
)"),"")</f>
        <v/>
      </c>
      <c r="AE180" s="314" t="str">
        <f t="shared" si="10"/>
        <v>Info</v>
      </c>
      <c r="AF180" s="329"/>
      <c r="AG180" s="320"/>
      <c r="AH180" s="13"/>
      <c r="AI180" s="13"/>
      <c r="AJ180" s="13"/>
      <c r="AK180" s="13"/>
      <c r="AL180" s="13"/>
      <c r="AM180" s="13"/>
      <c r="AN180" s="13"/>
      <c r="AO180" s="13"/>
      <c r="AP180" s="13"/>
    </row>
    <row r="181" ht="18.75" customHeight="1">
      <c r="A181" s="13"/>
      <c r="B181" s="327"/>
      <c r="C181" s="306" t="str">
        <f>IFERROR(__xludf.DUMMYFUNCTION("GOOGLEFINANCE(B181,""name"")
"),"#N/A")</f>
        <v>#N/A</v>
      </c>
      <c r="D181" s="306"/>
      <c r="E181" s="328"/>
      <c r="F181" s="13" t="str">
        <f t="shared" si="1"/>
        <v/>
      </c>
      <c r="G181" s="309" t="str">
        <f>IFERROR(__xludf.DUMMYFUNCTION("IF(ISBLANK(B181),"""",IFERROR(SPARKLINE(INDEX(GOOGLEFINANCE(B181,""price"",TODAY()-$G$17,TODAY()),,2),{""charttype"",""column"";""color"",""17a7e0""}),""""))"),"")</f>
        <v/>
      </c>
      <c r="I181" s="309" t="str">
        <f>IFERROR(__xludf.DUMMYFUNCTION("IFERROR(IF(B181="""","""",GOOGLEFINANCE(B181)),IFERROR(GOOGLEFINANCE(""CURRENCY:""&amp;""USD""&amp;$D$15)*IMPORTXML(""https://coinmarketcap.com/currencies/""&amp;B181,$AJ$3),IMPORTXML(""https://coinmarketcap.com/currencies/""&amp;B181,$AJ$3)))"),"")</f>
        <v/>
      </c>
      <c r="J181" s="310" t="str">
        <f t="shared" si="2"/>
        <v/>
      </c>
      <c r="K181" s="310" t="str">
        <f>IFERROR(__xludf.DUMMYFUNCTION("IFERROR(IF(ISBLANK(B181),"""",GOOGLEFINANCE(B181,""changepct"")/100),"""")"),"")</f>
        <v/>
      </c>
      <c r="L181" s="310" t="str">
        <f>IFERROR(__xludf.DUMMYFUNCTION("IF(ISBLANK(B181),"""",IFERROR((GOOGLEFINANCE(B181,""price"")/INDEX(GOOGLEFINANCE(B181,""price"",DATEVALUE(TODAY()-365) ),2,2)-1),""""))"),"")</f>
        <v/>
      </c>
      <c r="M181" s="310" t="str">
        <f>IFERROR(__xludf.DUMMYFUNCTION("IF(ISBLANK(B181),"""",IFERROR((GOOGLEFINANCE($D$13,""price"")/INDEX(GOOGLEFINANCE($D$13,""price"",DATEVALUE(TODAY()-365) ),2,2)-1),""""))"),"")</f>
        <v/>
      </c>
      <c r="N181" s="310" t="str">
        <f t="shared" si="3"/>
        <v/>
      </c>
      <c r="O181" s="311" t="str">
        <f>IFERROR(__xludf.DUMMYFUNCTION("IFERROR(IF(ISBLANK(B181),"""",GOOGLEFINANCE(B181,""low52"")),"""")"),"")</f>
        <v/>
      </c>
      <c r="P181" s="310" t="str">
        <f t="shared" si="4"/>
        <v/>
      </c>
      <c r="Q181" s="311" t="str">
        <f>IFERROR(__xludf.DUMMYFUNCTION("IFERROR(IF(ISBLANK(B181),"""",GOOGLEFINANCE(B181,""high52"")),"""")"),"")</f>
        <v/>
      </c>
      <c r="R181" s="310" t="str">
        <f t="shared" si="5"/>
        <v/>
      </c>
      <c r="S181" s="13" t="str">
        <f t="shared" si="6"/>
        <v/>
      </c>
      <c r="U181" s="13" t="str">
        <f t="shared" si="7"/>
        <v/>
      </c>
      <c r="W181" s="13" t="str">
        <f t="shared" si="8"/>
        <v/>
      </c>
      <c r="X181" s="310" t="str">
        <f t="shared" si="9"/>
        <v/>
      </c>
      <c r="Y181" s="311" t="str">
        <f>IFERROR(__xludf.DUMMYFUNCTION("IF(ISBLANK(B181),"""",IFERROR(INDEX(GOOGLEFINANCE(B181,""price"",WORKDAY(TODAY(),-$Y$17)),2,2),""""))"),"")</f>
        <v/>
      </c>
      <c r="Z181" s="310" t="str">
        <f>IFERROR(__xludf.DUMMYFUNCTION("IF(ISBLANK(B181),"""",IFERROR(I181/(INDEX(GOOGLEFINANCE(B181,""price"",WORKDAY(TODAY(),-$Z$17)),2,2))-1,""""))"),"")</f>
        <v/>
      </c>
      <c r="AA181" s="312" t="str">
        <f>IFERROR(__xludf.DUMMYFUNCTION("IF(ISBLANK(B181),"""",IFERROR(IFERROR(""$""&amp;Trunc(GOOGLEFINANCE(B181,""Marketcap"")/1000000000)&amp;"" B"",""$""&amp;Trunc(IMPORTXML(""https://coinmarketcap.com/currencies/""&amp;B181,$AJ$4)/1000000000)&amp;"" B""),""-""))"),"")</f>
        <v/>
      </c>
      <c r="AB181" s="13" t="str">
        <f>IFERROR(__xludf.DUMMYFUNCTION("IF(ISBLANK(B181),"""",IFERROR(GOOGLEFINANCE(B181,""pe""),""-""))"),"")</f>
        <v/>
      </c>
      <c r="AC181" s="313" t="str">
        <f>IFERROR(__xludf.DUMMYFUNCTION("SPARKLINE(INDEX(GOOGLEFINANCE(B181,""price"",workday(today(),-$AC$17),today()),,2),{""charttype"",""column"";""color"",""green""})
"),"#N/A")</f>
        <v>#N/A</v>
      </c>
      <c r="AD181" s="313" t="str">
        <f>IFERROR(__xludf.DUMMYFUNCTION("IF(ISBLANK(B181),"""",IFERROR(INDEX(IMPORTXML(""https://eresearch.fidelity.com/eresearch/goto/evaluate/snapshot.jhtml?symbols=""&amp;B181&amp;"""",""//div[@class='sub-heading']//span[@class='right']""),1),""Enter Manually"")
)"),"")</f>
        <v/>
      </c>
      <c r="AE181" s="314" t="str">
        <f t="shared" si="10"/>
        <v>Info</v>
      </c>
      <c r="AF181" s="329"/>
      <c r="AG181" s="320"/>
      <c r="AH181" s="13"/>
      <c r="AI181" s="13"/>
      <c r="AJ181" s="13"/>
      <c r="AK181" s="13"/>
      <c r="AL181" s="13"/>
      <c r="AM181" s="13"/>
      <c r="AN181" s="13"/>
      <c r="AO181" s="13"/>
      <c r="AP181" s="13"/>
    </row>
    <row r="182" ht="18.75" customHeight="1">
      <c r="A182" s="13"/>
      <c r="B182" s="327"/>
      <c r="C182" s="306" t="str">
        <f>IFERROR(__xludf.DUMMYFUNCTION("GOOGLEFINANCE(B182,""name"")
"),"#N/A")</f>
        <v>#N/A</v>
      </c>
      <c r="D182" s="306"/>
      <c r="E182" s="328"/>
      <c r="F182" s="13" t="str">
        <f t="shared" si="1"/>
        <v/>
      </c>
      <c r="G182" s="309" t="str">
        <f>IFERROR(__xludf.DUMMYFUNCTION("IF(ISBLANK(B182),"""",IFERROR(SPARKLINE(INDEX(GOOGLEFINANCE(B182,""price"",TODAY()-$G$17,TODAY()),,2),{""charttype"",""column"";""color"",""17a7e0""}),""""))"),"")</f>
        <v/>
      </c>
      <c r="I182" s="309" t="str">
        <f>IFERROR(__xludf.DUMMYFUNCTION("IFERROR(IF(B182="""","""",GOOGLEFINANCE(B182)),IFERROR(GOOGLEFINANCE(""CURRENCY:""&amp;""USD""&amp;$D$15)*IMPORTXML(""https://coinmarketcap.com/currencies/""&amp;B182,$AJ$3),IMPORTXML(""https://coinmarketcap.com/currencies/""&amp;B182,$AJ$3)))"),"")</f>
        <v/>
      </c>
      <c r="J182" s="310" t="str">
        <f t="shared" si="2"/>
        <v/>
      </c>
      <c r="K182" s="310" t="str">
        <f>IFERROR(__xludf.DUMMYFUNCTION("IFERROR(IF(ISBLANK(B182),"""",GOOGLEFINANCE(B182,""changepct"")/100),"""")"),"")</f>
        <v/>
      </c>
      <c r="L182" s="310" t="str">
        <f>IFERROR(__xludf.DUMMYFUNCTION("IF(ISBLANK(B182),"""",IFERROR((GOOGLEFINANCE(B182,""price"")/INDEX(GOOGLEFINANCE(B182,""price"",DATEVALUE(TODAY()-365) ),2,2)-1),""""))"),"")</f>
        <v/>
      </c>
      <c r="M182" s="310" t="str">
        <f>IFERROR(__xludf.DUMMYFUNCTION("IF(ISBLANK(B182),"""",IFERROR((GOOGLEFINANCE($D$13,""price"")/INDEX(GOOGLEFINANCE($D$13,""price"",DATEVALUE(TODAY()-365) ),2,2)-1),""""))"),"")</f>
        <v/>
      </c>
      <c r="N182" s="310" t="str">
        <f t="shared" si="3"/>
        <v/>
      </c>
      <c r="O182" s="311" t="str">
        <f>IFERROR(__xludf.DUMMYFUNCTION("IFERROR(IF(ISBLANK(B182),"""",GOOGLEFINANCE(B182,""low52"")),"""")"),"")</f>
        <v/>
      </c>
      <c r="P182" s="310" t="str">
        <f t="shared" si="4"/>
        <v/>
      </c>
      <c r="Q182" s="311" t="str">
        <f>IFERROR(__xludf.DUMMYFUNCTION("IFERROR(IF(ISBLANK(B182),"""",GOOGLEFINANCE(B182,""high52"")),"""")"),"")</f>
        <v/>
      </c>
      <c r="R182" s="310" t="str">
        <f t="shared" si="5"/>
        <v/>
      </c>
      <c r="S182" s="13" t="str">
        <f t="shared" si="6"/>
        <v/>
      </c>
      <c r="U182" s="13" t="str">
        <f t="shared" si="7"/>
        <v/>
      </c>
      <c r="W182" s="13" t="str">
        <f t="shared" si="8"/>
        <v/>
      </c>
      <c r="X182" s="310" t="str">
        <f t="shared" si="9"/>
        <v/>
      </c>
      <c r="Y182" s="311" t="str">
        <f>IFERROR(__xludf.DUMMYFUNCTION("IF(ISBLANK(B182),"""",IFERROR(INDEX(GOOGLEFINANCE(B182,""price"",WORKDAY(TODAY(),-$Y$17)),2,2),""""))"),"")</f>
        <v/>
      </c>
      <c r="Z182" s="310" t="str">
        <f>IFERROR(__xludf.DUMMYFUNCTION("IF(ISBLANK(B182),"""",IFERROR(I182/(INDEX(GOOGLEFINANCE(B182,""price"",WORKDAY(TODAY(),-$Z$17)),2,2))-1,""""))"),"")</f>
        <v/>
      </c>
      <c r="AA182" s="312" t="str">
        <f>IFERROR(__xludf.DUMMYFUNCTION("IF(ISBLANK(B182),"""",IFERROR(IFERROR(""$""&amp;Trunc(GOOGLEFINANCE(B182,""Marketcap"")/1000000000)&amp;"" B"",""$""&amp;Trunc(IMPORTXML(""https://coinmarketcap.com/currencies/""&amp;B182,$AJ$4)/1000000000)&amp;"" B""),""-""))"),"")</f>
        <v/>
      </c>
      <c r="AB182" s="13" t="str">
        <f>IFERROR(__xludf.DUMMYFUNCTION("IF(ISBLANK(B182),"""",IFERROR(GOOGLEFINANCE(B182,""pe""),""-""))"),"")</f>
        <v/>
      </c>
      <c r="AC182" s="313" t="str">
        <f>IFERROR(__xludf.DUMMYFUNCTION("SPARKLINE(INDEX(GOOGLEFINANCE(B182,""price"",workday(today(),-$AC$17),today()),,2),{""charttype"",""column"";""color"",""green""})
"),"#N/A")</f>
        <v>#N/A</v>
      </c>
      <c r="AD182" s="313" t="str">
        <f>IFERROR(__xludf.DUMMYFUNCTION("IF(ISBLANK(B182),"""",IFERROR(INDEX(IMPORTXML(""https://eresearch.fidelity.com/eresearch/goto/evaluate/snapshot.jhtml?symbols=""&amp;B182&amp;"""",""//div[@class='sub-heading']//span[@class='right']""),1),""Enter Manually"")
)"),"")</f>
        <v/>
      </c>
      <c r="AE182" s="314" t="str">
        <f t="shared" si="10"/>
        <v>Info</v>
      </c>
      <c r="AF182" s="329"/>
      <c r="AG182" s="320"/>
      <c r="AH182" s="13"/>
      <c r="AI182" s="13"/>
      <c r="AJ182" s="13"/>
      <c r="AK182" s="13"/>
      <c r="AL182" s="13"/>
      <c r="AM182" s="13"/>
      <c r="AN182" s="13"/>
      <c r="AO182" s="13"/>
      <c r="AP182" s="13"/>
    </row>
    <row r="183" ht="18.75" customHeight="1">
      <c r="A183" s="13"/>
      <c r="B183" s="327"/>
      <c r="C183" s="306" t="str">
        <f>IFERROR(__xludf.DUMMYFUNCTION("GOOGLEFINANCE(B183,""name"")
"),"#N/A")</f>
        <v>#N/A</v>
      </c>
      <c r="D183" s="306"/>
      <c r="E183" s="328"/>
      <c r="F183" s="13" t="str">
        <f t="shared" si="1"/>
        <v/>
      </c>
      <c r="G183" s="309" t="str">
        <f>IFERROR(__xludf.DUMMYFUNCTION("IF(ISBLANK(B183),"""",IFERROR(SPARKLINE(INDEX(GOOGLEFINANCE(B183,""price"",TODAY()-$G$17,TODAY()),,2),{""charttype"",""column"";""color"",""17a7e0""}),""""))"),"")</f>
        <v/>
      </c>
      <c r="I183" s="309" t="str">
        <f>IFERROR(__xludf.DUMMYFUNCTION("IFERROR(IF(B183="""","""",GOOGLEFINANCE(B183)),IFERROR(GOOGLEFINANCE(""CURRENCY:""&amp;""USD""&amp;$D$15)*IMPORTXML(""https://coinmarketcap.com/currencies/""&amp;B183,$AJ$3),IMPORTXML(""https://coinmarketcap.com/currencies/""&amp;B183,$AJ$3)))"),"")</f>
        <v/>
      </c>
      <c r="J183" s="310" t="str">
        <f t="shared" si="2"/>
        <v/>
      </c>
      <c r="K183" s="310" t="str">
        <f>IFERROR(__xludf.DUMMYFUNCTION("IFERROR(IF(ISBLANK(B183),"""",GOOGLEFINANCE(B183,""changepct"")/100),"""")"),"")</f>
        <v/>
      </c>
      <c r="L183" s="310" t="str">
        <f>IFERROR(__xludf.DUMMYFUNCTION("IF(ISBLANK(B183),"""",IFERROR((GOOGLEFINANCE(B183,""price"")/INDEX(GOOGLEFINANCE(B183,""price"",DATEVALUE(TODAY()-365) ),2,2)-1),""""))"),"")</f>
        <v/>
      </c>
      <c r="M183" s="310" t="str">
        <f>IFERROR(__xludf.DUMMYFUNCTION("IF(ISBLANK(B183),"""",IFERROR((GOOGLEFINANCE($D$13,""price"")/INDEX(GOOGLEFINANCE($D$13,""price"",DATEVALUE(TODAY()-365) ),2,2)-1),""""))"),"")</f>
        <v/>
      </c>
      <c r="N183" s="310" t="str">
        <f t="shared" si="3"/>
        <v/>
      </c>
      <c r="O183" s="311" t="str">
        <f>IFERROR(__xludf.DUMMYFUNCTION("IFERROR(IF(ISBLANK(B183),"""",GOOGLEFINANCE(B183,""low52"")),"""")"),"")</f>
        <v/>
      </c>
      <c r="P183" s="310" t="str">
        <f t="shared" si="4"/>
        <v/>
      </c>
      <c r="Q183" s="311" t="str">
        <f>IFERROR(__xludf.DUMMYFUNCTION("IFERROR(IF(ISBLANK(B183),"""",GOOGLEFINANCE(B183,""high52"")),"""")"),"")</f>
        <v/>
      </c>
      <c r="R183" s="310" t="str">
        <f t="shared" si="5"/>
        <v/>
      </c>
      <c r="S183" s="13" t="str">
        <f t="shared" si="6"/>
        <v/>
      </c>
      <c r="U183" s="13" t="str">
        <f t="shared" si="7"/>
        <v/>
      </c>
      <c r="W183" s="13" t="str">
        <f t="shared" si="8"/>
        <v/>
      </c>
      <c r="X183" s="310" t="str">
        <f t="shared" si="9"/>
        <v/>
      </c>
      <c r="Y183" s="311" t="str">
        <f>IFERROR(__xludf.DUMMYFUNCTION("IF(ISBLANK(B183),"""",IFERROR(INDEX(GOOGLEFINANCE(B183,""price"",WORKDAY(TODAY(),-$Y$17)),2,2),""""))"),"")</f>
        <v/>
      </c>
      <c r="Z183" s="310" t="str">
        <f>IFERROR(__xludf.DUMMYFUNCTION("IF(ISBLANK(B183),"""",IFERROR(I183/(INDEX(GOOGLEFINANCE(B183,""price"",WORKDAY(TODAY(),-$Z$17)),2,2))-1,""""))"),"")</f>
        <v/>
      </c>
      <c r="AA183" s="312" t="str">
        <f>IFERROR(__xludf.DUMMYFUNCTION("IF(ISBLANK(B183),"""",IFERROR(IFERROR(""$""&amp;Trunc(GOOGLEFINANCE(B183,""Marketcap"")/1000000000)&amp;"" B"",""$""&amp;Trunc(IMPORTXML(""https://coinmarketcap.com/currencies/""&amp;B183,$AJ$4)/1000000000)&amp;"" B""),""-""))"),"")</f>
        <v/>
      </c>
      <c r="AB183" s="13" t="str">
        <f>IFERROR(__xludf.DUMMYFUNCTION("IF(ISBLANK(B183),"""",IFERROR(GOOGLEFINANCE(B183,""pe""),""-""))"),"")</f>
        <v/>
      </c>
      <c r="AC183" s="313" t="str">
        <f>IFERROR(__xludf.DUMMYFUNCTION("SPARKLINE(INDEX(GOOGLEFINANCE(B183,""price"",workday(today(),-$AC$17),today()),,2),{""charttype"",""column"";""color"",""green""})
"),"#N/A")</f>
        <v>#N/A</v>
      </c>
      <c r="AD183" s="313" t="str">
        <f>IFERROR(__xludf.DUMMYFUNCTION("IF(ISBLANK(B183),"""",IFERROR(INDEX(IMPORTXML(""https://eresearch.fidelity.com/eresearch/goto/evaluate/snapshot.jhtml?symbols=""&amp;B183&amp;"""",""//div[@class='sub-heading']//span[@class='right']""),1),""Enter Manually"")
)"),"")</f>
        <v/>
      </c>
      <c r="AE183" s="314" t="str">
        <f t="shared" si="10"/>
        <v>Info</v>
      </c>
      <c r="AF183" s="329"/>
      <c r="AG183" s="320"/>
      <c r="AH183" s="13"/>
      <c r="AI183" s="13"/>
      <c r="AJ183" s="13"/>
      <c r="AK183" s="13"/>
      <c r="AL183" s="13"/>
      <c r="AM183" s="13"/>
      <c r="AN183" s="13"/>
      <c r="AO183" s="13"/>
      <c r="AP183" s="13"/>
    </row>
    <row r="184" ht="18.75" customHeight="1">
      <c r="A184" s="13"/>
      <c r="B184" s="327"/>
      <c r="C184" s="306" t="str">
        <f>IFERROR(__xludf.DUMMYFUNCTION("GOOGLEFINANCE(B184,""name"")
"),"#N/A")</f>
        <v>#N/A</v>
      </c>
      <c r="D184" s="306"/>
      <c r="E184" s="328"/>
      <c r="F184" s="13" t="str">
        <f t="shared" si="1"/>
        <v/>
      </c>
      <c r="G184" s="309" t="str">
        <f>IFERROR(__xludf.DUMMYFUNCTION("IF(ISBLANK(B184),"""",IFERROR(SPARKLINE(INDEX(GOOGLEFINANCE(B184,""price"",TODAY()-$G$17,TODAY()),,2),{""charttype"",""column"";""color"",""17a7e0""}),""""))"),"")</f>
        <v/>
      </c>
      <c r="I184" s="309" t="str">
        <f>IFERROR(__xludf.DUMMYFUNCTION("IFERROR(IF(B184="""","""",GOOGLEFINANCE(B184)),IFERROR(GOOGLEFINANCE(""CURRENCY:""&amp;""USD""&amp;$D$15)*IMPORTXML(""https://coinmarketcap.com/currencies/""&amp;B184,$AJ$3),IMPORTXML(""https://coinmarketcap.com/currencies/""&amp;B184,$AJ$3)))"),"")</f>
        <v/>
      </c>
      <c r="J184" s="310" t="str">
        <f t="shared" si="2"/>
        <v/>
      </c>
      <c r="K184" s="310" t="str">
        <f>IFERROR(__xludf.DUMMYFUNCTION("IFERROR(IF(ISBLANK(B184),"""",GOOGLEFINANCE(B184,""changepct"")/100),"""")"),"")</f>
        <v/>
      </c>
      <c r="L184" s="310" t="str">
        <f>IFERROR(__xludf.DUMMYFUNCTION("IF(ISBLANK(B184),"""",IFERROR((GOOGLEFINANCE(B184,""price"")/INDEX(GOOGLEFINANCE(B184,""price"",DATEVALUE(TODAY()-365) ),2,2)-1),""""))"),"")</f>
        <v/>
      </c>
      <c r="M184" s="310" t="str">
        <f>IFERROR(__xludf.DUMMYFUNCTION("IF(ISBLANK(B184),"""",IFERROR((GOOGLEFINANCE($D$13,""price"")/INDEX(GOOGLEFINANCE($D$13,""price"",DATEVALUE(TODAY()-365) ),2,2)-1),""""))"),"")</f>
        <v/>
      </c>
      <c r="N184" s="310" t="str">
        <f t="shared" si="3"/>
        <v/>
      </c>
      <c r="O184" s="311" t="str">
        <f>IFERROR(__xludf.DUMMYFUNCTION("IFERROR(IF(ISBLANK(B184),"""",GOOGLEFINANCE(B184,""low52"")),"""")"),"")</f>
        <v/>
      </c>
      <c r="P184" s="310" t="str">
        <f t="shared" si="4"/>
        <v/>
      </c>
      <c r="Q184" s="311" t="str">
        <f>IFERROR(__xludf.DUMMYFUNCTION("IFERROR(IF(ISBLANK(B184),"""",GOOGLEFINANCE(B184,""high52"")),"""")"),"")</f>
        <v/>
      </c>
      <c r="R184" s="310" t="str">
        <f t="shared" si="5"/>
        <v/>
      </c>
      <c r="S184" s="13" t="str">
        <f t="shared" si="6"/>
        <v/>
      </c>
      <c r="U184" s="13" t="str">
        <f t="shared" si="7"/>
        <v/>
      </c>
      <c r="W184" s="13" t="str">
        <f t="shared" si="8"/>
        <v/>
      </c>
      <c r="X184" s="310" t="str">
        <f t="shared" si="9"/>
        <v/>
      </c>
      <c r="Y184" s="311" t="str">
        <f>IFERROR(__xludf.DUMMYFUNCTION("IF(ISBLANK(B184),"""",IFERROR(INDEX(GOOGLEFINANCE(B184,""price"",WORKDAY(TODAY(),-$Y$17)),2,2),""""))"),"")</f>
        <v/>
      </c>
      <c r="Z184" s="310" t="str">
        <f>IFERROR(__xludf.DUMMYFUNCTION("IF(ISBLANK(B184),"""",IFERROR(I184/(INDEX(GOOGLEFINANCE(B184,""price"",WORKDAY(TODAY(),-$Z$17)),2,2))-1,""""))"),"")</f>
        <v/>
      </c>
      <c r="AA184" s="312" t="str">
        <f>IFERROR(__xludf.DUMMYFUNCTION("IF(ISBLANK(B184),"""",IFERROR(IFERROR(""$""&amp;Trunc(GOOGLEFINANCE(B184,""Marketcap"")/1000000000)&amp;"" B"",""$""&amp;Trunc(IMPORTXML(""https://coinmarketcap.com/currencies/""&amp;B184,$AJ$4)/1000000000)&amp;"" B""),""-""))"),"")</f>
        <v/>
      </c>
      <c r="AB184" s="13" t="str">
        <f>IFERROR(__xludf.DUMMYFUNCTION("IF(ISBLANK(B184),"""",IFERROR(GOOGLEFINANCE(B184,""pe""),""-""))"),"")</f>
        <v/>
      </c>
      <c r="AC184" s="313" t="str">
        <f>IFERROR(__xludf.DUMMYFUNCTION("SPARKLINE(INDEX(GOOGLEFINANCE(B184,""price"",workday(today(),-$AC$17),today()),,2),{""charttype"",""column"";""color"",""green""})
"),"#N/A")</f>
        <v>#N/A</v>
      </c>
      <c r="AD184" s="313" t="str">
        <f>IFERROR(__xludf.DUMMYFUNCTION("IF(ISBLANK(B184),"""",IFERROR(INDEX(IMPORTXML(""https://eresearch.fidelity.com/eresearch/goto/evaluate/snapshot.jhtml?symbols=""&amp;B184&amp;"""",""//div[@class='sub-heading']//span[@class='right']""),1),""Enter Manually"")
)"),"")</f>
        <v/>
      </c>
      <c r="AE184" s="314" t="str">
        <f t="shared" si="10"/>
        <v>Info</v>
      </c>
      <c r="AF184" s="329"/>
      <c r="AG184" s="320"/>
      <c r="AH184" s="13"/>
      <c r="AI184" s="13"/>
      <c r="AJ184" s="13"/>
      <c r="AK184" s="13"/>
      <c r="AL184" s="13"/>
      <c r="AM184" s="13"/>
      <c r="AN184" s="13"/>
      <c r="AO184" s="13"/>
      <c r="AP184" s="13"/>
    </row>
    <row r="185" ht="18.75" customHeight="1">
      <c r="A185" s="13"/>
      <c r="B185" s="327"/>
      <c r="C185" s="306" t="str">
        <f>IFERROR(__xludf.DUMMYFUNCTION("GOOGLEFINANCE(B185,""name"")
"),"#N/A")</f>
        <v>#N/A</v>
      </c>
      <c r="D185" s="306"/>
      <c r="E185" s="328"/>
      <c r="F185" s="13" t="str">
        <f t="shared" si="1"/>
        <v/>
      </c>
      <c r="G185" s="309" t="str">
        <f>IFERROR(__xludf.DUMMYFUNCTION("IF(ISBLANK(B185),"""",IFERROR(SPARKLINE(INDEX(GOOGLEFINANCE(B185,""price"",TODAY()-$G$17,TODAY()),,2),{""charttype"",""column"";""color"",""17a7e0""}),""""))"),"")</f>
        <v/>
      </c>
      <c r="I185" s="309" t="str">
        <f>IFERROR(__xludf.DUMMYFUNCTION("IFERROR(IF(B185="""","""",GOOGLEFINANCE(B185)),IFERROR(GOOGLEFINANCE(""CURRENCY:""&amp;""USD""&amp;$D$15)*IMPORTXML(""https://coinmarketcap.com/currencies/""&amp;B185,$AJ$3),IMPORTXML(""https://coinmarketcap.com/currencies/""&amp;B185,$AJ$3)))"),"")</f>
        <v/>
      </c>
      <c r="J185" s="310" t="str">
        <f t="shared" si="2"/>
        <v/>
      </c>
      <c r="K185" s="310" t="str">
        <f>IFERROR(__xludf.DUMMYFUNCTION("IFERROR(IF(ISBLANK(B185),"""",GOOGLEFINANCE(B185,""changepct"")/100),"""")"),"")</f>
        <v/>
      </c>
      <c r="L185" s="310" t="str">
        <f>IFERROR(__xludf.DUMMYFUNCTION("IF(ISBLANK(B185),"""",IFERROR((GOOGLEFINANCE(B185,""price"")/INDEX(GOOGLEFINANCE(B185,""price"",DATEVALUE(TODAY()-365) ),2,2)-1),""""))"),"")</f>
        <v/>
      </c>
      <c r="M185" s="310" t="str">
        <f>IFERROR(__xludf.DUMMYFUNCTION("IF(ISBLANK(B185),"""",IFERROR((GOOGLEFINANCE($D$13,""price"")/INDEX(GOOGLEFINANCE($D$13,""price"",DATEVALUE(TODAY()-365) ),2,2)-1),""""))"),"")</f>
        <v/>
      </c>
      <c r="N185" s="310" t="str">
        <f t="shared" si="3"/>
        <v/>
      </c>
      <c r="O185" s="311" t="str">
        <f>IFERROR(__xludf.DUMMYFUNCTION("IFERROR(IF(ISBLANK(B185),"""",GOOGLEFINANCE(B185,""low52"")),"""")"),"")</f>
        <v/>
      </c>
      <c r="P185" s="310" t="str">
        <f t="shared" si="4"/>
        <v/>
      </c>
      <c r="Q185" s="311" t="str">
        <f>IFERROR(__xludf.DUMMYFUNCTION("IFERROR(IF(ISBLANK(B185),"""",GOOGLEFINANCE(B185,""high52"")),"""")"),"")</f>
        <v/>
      </c>
      <c r="R185" s="310" t="str">
        <f t="shared" si="5"/>
        <v/>
      </c>
      <c r="S185" s="13" t="str">
        <f t="shared" si="6"/>
        <v/>
      </c>
      <c r="U185" s="13" t="str">
        <f t="shared" si="7"/>
        <v/>
      </c>
      <c r="W185" s="13" t="str">
        <f t="shared" si="8"/>
        <v/>
      </c>
      <c r="X185" s="310" t="str">
        <f t="shared" si="9"/>
        <v/>
      </c>
      <c r="Y185" s="311" t="str">
        <f>IFERROR(__xludf.DUMMYFUNCTION("IF(ISBLANK(B185),"""",IFERROR(INDEX(GOOGLEFINANCE(B185,""price"",WORKDAY(TODAY(),-$Y$17)),2,2),""""))"),"")</f>
        <v/>
      </c>
      <c r="Z185" s="310" t="str">
        <f>IFERROR(__xludf.DUMMYFUNCTION("IF(ISBLANK(B185),"""",IFERROR(I185/(INDEX(GOOGLEFINANCE(B185,""price"",WORKDAY(TODAY(),-$Z$17)),2,2))-1,""""))"),"")</f>
        <v/>
      </c>
      <c r="AA185" s="312" t="str">
        <f>IFERROR(__xludf.DUMMYFUNCTION("IF(ISBLANK(B185),"""",IFERROR(IFERROR(""$""&amp;Trunc(GOOGLEFINANCE(B185,""Marketcap"")/1000000000)&amp;"" B"",""$""&amp;Trunc(IMPORTXML(""https://coinmarketcap.com/currencies/""&amp;B185,$AJ$4)/1000000000)&amp;"" B""),""-""))"),"")</f>
        <v/>
      </c>
      <c r="AB185" s="13" t="str">
        <f>IFERROR(__xludf.DUMMYFUNCTION("IF(ISBLANK(B185),"""",IFERROR(GOOGLEFINANCE(B185,""pe""),""-""))"),"")</f>
        <v/>
      </c>
      <c r="AC185" s="313" t="str">
        <f>IFERROR(__xludf.DUMMYFUNCTION("SPARKLINE(INDEX(GOOGLEFINANCE(B185,""price"",workday(today(),-$AC$17),today()),,2),{""charttype"",""column"";""color"",""green""})
"),"#N/A")</f>
        <v>#N/A</v>
      </c>
      <c r="AD185" s="313" t="str">
        <f>IFERROR(__xludf.DUMMYFUNCTION("IF(ISBLANK(B185),"""",IFERROR(INDEX(IMPORTXML(""https://eresearch.fidelity.com/eresearch/goto/evaluate/snapshot.jhtml?symbols=""&amp;B185&amp;"""",""//div[@class='sub-heading']//span[@class='right']""),1),""Enter Manually"")
)"),"")</f>
        <v/>
      </c>
      <c r="AE185" s="314" t="str">
        <f t="shared" si="10"/>
        <v>Info</v>
      </c>
      <c r="AF185" s="329"/>
      <c r="AG185" s="320"/>
      <c r="AH185" s="13"/>
      <c r="AI185" s="13"/>
      <c r="AJ185" s="13"/>
      <c r="AK185" s="13"/>
      <c r="AL185" s="13"/>
      <c r="AM185" s="13"/>
      <c r="AN185" s="13"/>
      <c r="AO185" s="13"/>
      <c r="AP185" s="13"/>
    </row>
    <row r="186" ht="18.75" customHeight="1">
      <c r="A186" s="13"/>
      <c r="B186" s="327"/>
      <c r="C186" s="306" t="str">
        <f>IFERROR(__xludf.DUMMYFUNCTION("GOOGLEFINANCE(B186,""name"")
"),"#N/A")</f>
        <v>#N/A</v>
      </c>
      <c r="D186" s="306"/>
      <c r="E186" s="328"/>
      <c r="F186" s="13" t="str">
        <f t="shared" si="1"/>
        <v/>
      </c>
      <c r="G186" s="309" t="str">
        <f>IFERROR(__xludf.DUMMYFUNCTION("IF(ISBLANK(B186),"""",IFERROR(SPARKLINE(INDEX(GOOGLEFINANCE(B186,""price"",TODAY()-$G$17,TODAY()),,2),{""charttype"",""column"";""color"",""17a7e0""}),""""))"),"")</f>
        <v/>
      </c>
      <c r="I186" s="309" t="str">
        <f>IFERROR(__xludf.DUMMYFUNCTION("IFERROR(IF(B186="""","""",GOOGLEFINANCE(B186)),IFERROR(GOOGLEFINANCE(""CURRENCY:""&amp;""USD""&amp;$D$15)*IMPORTXML(""https://coinmarketcap.com/currencies/""&amp;B186,$AJ$3),IMPORTXML(""https://coinmarketcap.com/currencies/""&amp;B186,$AJ$3)))"),"")</f>
        <v/>
      </c>
      <c r="J186" s="310" t="str">
        <f t="shared" si="2"/>
        <v/>
      </c>
      <c r="K186" s="310" t="str">
        <f>IFERROR(__xludf.DUMMYFUNCTION("IFERROR(IF(ISBLANK(B186),"""",GOOGLEFINANCE(B186,""changepct"")/100),"""")"),"")</f>
        <v/>
      </c>
      <c r="L186" s="310" t="str">
        <f>IFERROR(__xludf.DUMMYFUNCTION("IF(ISBLANK(B186),"""",IFERROR((GOOGLEFINANCE(B186,""price"")/INDEX(GOOGLEFINANCE(B186,""price"",DATEVALUE(TODAY()-365) ),2,2)-1),""""))"),"")</f>
        <v/>
      </c>
      <c r="M186" s="310" t="str">
        <f>IFERROR(__xludf.DUMMYFUNCTION("IF(ISBLANK(B186),"""",IFERROR((GOOGLEFINANCE($D$13,""price"")/INDEX(GOOGLEFINANCE($D$13,""price"",DATEVALUE(TODAY()-365) ),2,2)-1),""""))"),"")</f>
        <v/>
      </c>
      <c r="N186" s="310" t="str">
        <f t="shared" si="3"/>
        <v/>
      </c>
      <c r="O186" s="311" t="str">
        <f>IFERROR(__xludf.DUMMYFUNCTION("IFERROR(IF(ISBLANK(B186),"""",GOOGLEFINANCE(B186,""low52"")),"""")"),"")</f>
        <v/>
      </c>
      <c r="P186" s="310" t="str">
        <f t="shared" si="4"/>
        <v/>
      </c>
      <c r="Q186" s="311" t="str">
        <f>IFERROR(__xludf.DUMMYFUNCTION("IFERROR(IF(ISBLANK(B186),"""",GOOGLEFINANCE(B186,""high52"")),"""")"),"")</f>
        <v/>
      </c>
      <c r="R186" s="310" t="str">
        <f t="shared" si="5"/>
        <v/>
      </c>
      <c r="S186" s="13" t="str">
        <f t="shared" si="6"/>
        <v/>
      </c>
      <c r="U186" s="13" t="str">
        <f t="shared" si="7"/>
        <v/>
      </c>
      <c r="W186" s="13" t="str">
        <f t="shared" si="8"/>
        <v/>
      </c>
      <c r="X186" s="310" t="str">
        <f t="shared" si="9"/>
        <v/>
      </c>
      <c r="Y186" s="311" t="str">
        <f>IFERROR(__xludf.DUMMYFUNCTION("IF(ISBLANK(B186),"""",IFERROR(INDEX(GOOGLEFINANCE(B186,""price"",WORKDAY(TODAY(),-$Y$17)),2,2),""""))"),"")</f>
        <v/>
      </c>
      <c r="Z186" s="310" t="str">
        <f>IFERROR(__xludf.DUMMYFUNCTION("IF(ISBLANK(B186),"""",IFERROR(I186/(INDEX(GOOGLEFINANCE(B186,""price"",WORKDAY(TODAY(),-$Z$17)),2,2))-1,""""))"),"")</f>
        <v/>
      </c>
      <c r="AA186" s="312" t="str">
        <f>IFERROR(__xludf.DUMMYFUNCTION("IF(ISBLANK(B186),"""",IFERROR(IFERROR(""$""&amp;Trunc(GOOGLEFINANCE(B186,""Marketcap"")/1000000000)&amp;"" B"",""$""&amp;Trunc(IMPORTXML(""https://coinmarketcap.com/currencies/""&amp;B186,$AJ$4)/1000000000)&amp;"" B""),""-""))"),"")</f>
        <v/>
      </c>
      <c r="AB186" s="13" t="str">
        <f>IFERROR(__xludf.DUMMYFUNCTION("IF(ISBLANK(B186),"""",IFERROR(GOOGLEFINANCE(B186,""pe""),""-""))"),"")</f>
        <v/>
      </c>
      <c r="AC186" s="313" t="str">
        <f>IFERROR(__xludf.DUMMYFUNCTION("SPARKLINE(INDEX(GOOGLEFINANCE(B186,""price"",workday(today(),-$AC$17),today()),,2),{""charttype"",""column"";""color"",""green""})
"),"#N/A")</f>
        <v>#N/A</v>
      </c>
      <c r="AD186" s="313" t="str">
        <f>IFERROR(__xludf.DUMMYFUNCTION("IF(ISBLANK(B186),"""",IFERROR(INDEX(IMPORTXML(""https://eresearch.fidelity.com/eresearch/goto/evaluate/snapshot.jhtml?symbols=""&amp;B186&amp;"""",""//div[@class='sub-heading']//span[@class='right']""),1),""Enter Manually"")
)"),"")</f>
        <v/>
      </c>
      <c r="AE186" s="314" t="str">
        <f t="shared" si="10"/>
        <v>Info</v>
      </c>
      <c r="AF186" s="329"/>
      <c r="AG186" s="320"/>
      <c r="AH186" s="13"/>
      <c r="AI186" s="13"/>
      <c r="AJ186" s="13"/>
      <c r="AK186" s="13"/>
      <c r="AL186" s="13"/>
      <c r="AM186" s="13"/>
      <c r="AN186" s="13"/>
      <c r="AO186" s="13"/>
      <c r="AP186" s="13"/>
    </row>
    <row r="187" ht="18.75" customHeight="1">
      <c r="A187" s="13"/>
      <c r="B187" s="327"/>
      <c r="C187" s="306" t="str">
        <f>IFERROR(__xludf.DUMMYFUNCTION("GOOGLEFINANCE(B187,""name"")
"),"#N/A")</f>
        <v>#N/A</v>
      </c>
      <c r="D187" s="306"/>
      <c r="E187" s="328"/>
      <c r="F187" s="13" t="str">
        <f t="shared" si="1"/>
        <v/>
      </c>
      <c r="G187" s="309" t="str">
        <f>IFERROR(__xludf.DUMMYFUNCTION("IF(ISBLANK(B187),"""",IFERROR(SPARKLINE(INDEX(GOOGLEFINANCE(B187,""price"",TODAY()-$G$17,TODAY()),,2),{""charttype"",""column"";""color"",""17a7e0""}),""""))"),"")</f>
        <v/>
      </c>
      <c r="I187" s="309" t="str">
        <f>IFERROR(__xludf.DUMMYFUNCTION("IFERROR(IF(B187="""","""",GOOGLEFINANCE(B187)),IFERROR(GOOGLEFINANCE(""CURRENCY:""&amp;""USD""&amp;$D$15)*IMPORTXML(""https://coinmarketcap.com/currencies/""&amp;B187,$AJ$3),IMPORTXML(""https://coinmarketcap.com/currencies/""&amp;B187,$AJ$3)))"),"")</f>
        <v/>
      </c>
      <c r="J187" s="310" t="str">
        <f t="shared" si="2"/>
        <v/>
      </c>
      <c r="K187" s="310" t="str">
        <f>IFERROR(__xludf.DUMMYFUNCTION("IFERROR(IF(ISBLANK(B187),"""",GOOGLEFINANCE(B187,""changepct"")/100),"""")"),"")</f>
        <v/>
      </c>
      <c r="L187" s="310" t="str">
        <f>IFERROR(__xludf.DUMMYFUNCTION("IF(ISBLANK(B187),"""",IFERROR((GOOGLEFINANCE(B187,""price"")/INDEX(GOOGLEFINANCE(B187,""price"",DATEVALUE(TODAY()-365) ),2,2)-1),""""))"),"")</f>
        <v/>
      </c>
      <c r="M187" s="310" t="str">
        <f>IFERROR(__xludf.DUMMYFUNCTION("IF(ISBLANK(B187),"""",IFERROR((GOOGLEFINANCE($D$13,""price"")/INDEX(GOOGLEFINANCE($D$13,""price"",DATEVALUE(TODAY()-365) ),2,2)-1),""""))"),"")</f>
        <v/>
      </c>
      <c r="N187" s="310" t="str">
        <f t="shared" si="3"/>
        <v/>
      </c>
      <c r="O187" s="311" t="str">
        <f>IFERROR(__xludf.DUMMYFUNCTION("IFERROR(IF(ISBLANK(B187),"""",GOOGLEFINANCE(B187,""low52"")),"""")"),"")</f>
        <v/>
      </c>
      <c r="P187" s="310" t="str">
        <f t="shared" si="4"/>
        <v/>
      </c>
      <c r="Q187" s="311" t="str">
        <f>IFERROR(__xludf.DUMMYFUNCTION("IFERROR(IF(ISBLANK(B187),"""",GOOGLEFINANCE(B187,""high52"")),"""")"),"")</f>
        <v/>
      </c>
      <c r="R187" s="310" t="str">
        <f t="shared" si="5"/>
        <v/>
      </c>
      <c r="S187" s="13" t="str">
        <f t="shared" si="6"/>
        <v/>
      </c>
      <c r="U187" s="13" t="str">
        <f t="shared" si="7"/>
        <v/>
      </c>
      <c r="W187" s="13" t="str">
        <f t="shared" si="8"/>
        <v/>
      </c>
      <c r="X187" s="310" t="str">
        <f t="shared" si="9"/>
        <v/>
      </c>
      <c r="Y187" s="311" t="str">
        <f>IFERROR(__xludf.DUMMYFUNCTION("IF(ISBLANK(B187),"""",IFERROR(INDEX(GOOGLEFINANCE(B187,""price"",WORKDAY(TODAY(),-$Y$17)),2,2),""""))"),"")</f>
        <v/>
      </c>
      <c r="Z187" s="310" t="str">
        <f>IFERROR(__xludf.DUMMYFUNCTION("IF(ISBLANK(B187),"""",IFERROR(I187/(INDEX(GOOGLEFINANCE(B187,""price"",WORKDAY(TODAY(),-$Z$17)),2,2))-1,""""))"),"")</f>
        <v/>
      </c>
      <c r="AA187" s="312" t="str">
        <f>IFERROR(__xludf.DUMMYFUNCTION("IF(ISBLANK(B187),"""",IFERROR(IFERROR(""$""&amp;Trunc(GOOGLEFINANCE(B187,""Marketcap"")/1000000000)&amp;"" B"",""$""&amp;Trunc(IMPORTXML(""https://coinmarketcap.com/currencies/""&amp;B187,$AJ$4)/1000000000)&amp;"" B""),""-""))"),"")</f>
        <v/>
      </c>
      <c r="AB187" s="13" t="str">
        <f>IFERROR(__xludf.DUMMYFUNCTION("IF(ISBLANK(B187),"""",IFERROR(GOOGLEFINANCE(B187,""pe""),""-""))"),"")</f>
        <v/>
      </c>
      <c r="AC187" s="313" t="str">
        <f>IFERROR(__xludf.DUMMYFUNCTION("SPARKLINE(INDEX(GOOGLEFINANCE(B187,""price"",workday(today(),-$AC$17),today()),,2),{""charttype"",""column"";""color"",""green""})
"),"#N/A")</f>
        <v>#N/A</v>
      </c>
      <c r="AD187" s="313" t="str">
        <f>IFERROR(__xludf.DUMMYFUNCTION("IF(ISBLANK(B187),"""",IFERROR(INDEX(IMPORTXML(""https://eresearch.fidelity.com/eresearch/goto/evaluate/snapshot.jhtml?symbols=""&amp;B187&amp;"""",""//div[@class='sub-heading']//span[@class='right']""),1),""Enter Manually"")
)"),"")</f>
        <v/>
      </c>
      <c r="AE187" s="314" t="str">
        <f t="shared" si="10"/>
        <v>Info</v>
      </c>
      <c r="AF187" s="329"/>
      <c r="AG187" s="320"/>
      <c r="AH187" s="13"/>
      <c r="AI187" s="13"/>
      <c r="AJ187" s="13"/>
      <c r="AK187" s="13"/>
      <c r="AL187" s="13"/>
      <c r="AM187" s="13"/>
      <c r="AN187" s="13"/>
      <c r="AO187" s="13"/>
      <c r="AP187" s="13"/>
    </row>
    <row r="188" ht="18.75" customHeight="1">
      <c r="A188" s="13"/>
      <c r="B188" s="327"/>
      <c r="C188" s="306" t="str">
        <f>IFERROR(__xludf.DUMMYFUNCTION("GOOGLEFINANCE(B188,""name"")
"),"#N/A")</f>
        <v>#N/A</v>
      </c>
      <c r="D188" s="306"/>
      <c r="E188" s="328"/>
      <c r="F188" s="13" t="str">
        <f t="shared" si="1"/>
        <v/>
      </c>
      <c r="G188" s="309" t="str">
        <f>IFERROR(__xludf.DUMMYFUNCTION("IF(ISBLANK(B188),"""",IFERROR(SPARKLINE(INDEX(GOOGLEFINANCE(B188,""price"",TODAY()-$G$17,TODAY()),,2),{""charttype"",""column"";""color"",""17a7e0""}),""""))"),"")</f>
        <v/>
      </c>
      <c r="I188" s="309" t="str">
        <f>IFERROR(__xludf.DUMMYFUNCTION("IFERROR(IF(B188="""","""",GOOGLEFINANCE(B188)),IFERROR(GOOGLEFINANCE(""CURRENCY:""&amp;""USD""&amp;$D$15)*IMPORTXML(""https://coinmarketcap.com/currencies/""&amp;B188,$AJ$3),IMPORTXML(""https://coinmarketcap.com/currencies/""&amp;B188,$AJ$3)))"),"")</f>
        <v/>
      </c>
      <c r="J188" s="310" t="str">
        <f t="shared" si="2"/>
        <v/>
      </c>
      <c r="K188" s="310" t="str">
        <f>IFERROR(__xludf.DUMMYFUNCTION("IFERROR(IF(ISBLANK(B188),"""",GOOGLEFINANCE(B188,""changepct"")/100),"""")"),"")</f>
        <v/>
      </c>
      <c r="L188" s="310" t="str">
        <f>IFERROR(__xludf.DUMMYFUNCTION("IF(ISBLANK(B188),"""",IFERROR((GOOGLEFINANCE(B188,""price"")/INDEX(GOOGLEFINANCE(B188,""price"",DATEVALUE(TODAY()-365) ),2,2)-1),""""))"),"")</f>
        <v/>
      </c>
      <c r="M188" s="310" t="str">
        <f>IFERROR(__xludf.DUMMYFUNCTION("IF(ISBLANK(B188),"""",IFERROR((GOOGLEFINANCE($D$13,""price"")/INDEX(GOOGLEFINANCE($D$13,""price"",DATEVALUE(TODAY()-365) ),2,2)-1),""""))"),"")</f>
        <v/>
      </c>
      <c r="N188" s="310" t="str">
        <f t="shared" si="3"/>
        <v/>
      </c>
      <c r="O188" s="311" t="str">
        <f>IFERROR(__xludf.DUMMYFUNCTION("IFERROR(IF(ISBLANK(B188),"""",GOOGLEFINANCE(B188,""low52"")),"""")"),"")</f>
        <v/>
      </c>
      <c r="P188" s="310" t="str">
        <f t="shared" si="4"/>
        <v/>
      </c>
      <c r="Q188" s="311" t="str">
        <f>IFERROR(__xludf.DUMMYFUNCTION("IFERROR(IF(ISBLANK(B188),"""",GOOGLEFINANCE(B188,""high52"")),"""")"),"")</f>
        <v/>
      </c>
      <c r="R188" s="310" t="str">
        <f t="shared" si="5"/>
        <v/>
      </c>
      <c r="S188" s="13" t="str">
        <f t="shared" si="6"/>
        <v/>
      </c>
      <c r="U188" s="13" t="str">
        <f t="shared" si="7"/>
        <v/>
      </c>
      <c r="W188" s="13" t="str">
        <f t="shared" si="8"/>
        <v/>
      </c>
      <c r="X188" s="310" t="str">
        <f t="shared" si="9"/>
        <v/>
      </c>
      <c r="Y188" s="311" t="str">
        <f>IFERROR(__xludf.DUMMYFUNCTION("IF(ISBLANK(B188),"""",IFERROR(INDEX(GOOGLEFINANCE(B188,""price"",WORKDAY(TODAY(),-$Y$17)),2,2),""""))"),"")</f>
        <v/>
      </c>
      <c r="Z188" s="310" t="str">
        <f>IFERROR(__xludf.DUMMYFUNCTION("IF(ISBLANK(B188),"""",IFERROR(I188/(INDEX(GOOGLEFINANCE(B188,""price"",WORKDAY(TODAY(),-$Z$17)),2,2))-1,""""))"),"")</f>
        <v/>
      </c>
      <c r="AA188" s="312" t="str">
        <f>IFERROR(__xludf.DUMMYFUNCTION("IF(ISBLANK(B188),"""",IFERROR(IFERROR(""$""&amp;Trunc(GOOGLEFINANCE(B188,""Marketcap"")/1000000000)&amp;"" B"",""$""&amp;Trunc(IMPORTXML(""https://coinmarketcap.com/currencies/""&amp;B188,$AJ$4)/1000000000)&amp;"" B""),""-""))"),"")</f>
        <v/>
      </c>
      <c r="AB188" s="13" t="str">
        <f>IFERROR(__xludf.DUMMYFUNCTION("IF(ISBLANK(B188),"""",IFERROR(GOOGLEFINANCE(B188,""pe""),""-""))"),"")</f>
        <v/>
      </c>
      <c r="AC188" s="313" t="str">
        <f>IFERROR(__xludf.DUMMYFUNCTION("SPARKLINE(INDEX(GOOGLEFINANCE(B188,""price"",workday(today(),-$AC$17),today()),,2),{""charttype"",""column"";""color"",""green""})
"),"#N/A")</f>
        <v>#N/A</v>
      </c>
      <c r="AD188" s="313" t="str">
        <f>IFERROR(__xludf.DUMMYFUNCTION("IF(ISBLANK(B188),"""",IFERROR(INDEX(IMPORTXML(""https://eresearch.fidelity.com/eresearch/goto/evaluate/snapshot.jhtml?symbols=""&amp;B188&amp;"""",""//div[@class='sub-heading']//span[@class='right']""),1),""Enter Manually"")
)"),"")</f>
        <v/>
      </c>
      <c r="AE188" s="314" t="str">
        <f t="shared" si="10"/>
        <v>Info</v>
      </c>
      <c r="AF188" s="329"/>
      <c r="AG188" s="320"/>
      <c r="AH188" s="13"/>
      <c r="AI188" s="13"/>
      <c r="AJ188" s="13"/>
      <c r="AK188" s="13"/>
      <c r="AL188" s="13"/>
      <c r="AM188" s="13"/>
      <c r="AN188" s="13"/>
      <c r="AO188" s="13"/>
      <c r="AP188" s="13"/>
    </row>
    <row r="189" ht="18.75" customHeight="1">
      <c r="A189" s="13"/>
      <c r="B189" s="327"/>
      <c r="C189" s="306" t="str">
        <f>IFERROR(__xludf.DUMMYFUNCTION("GOOGLEFINANCE(B189,""name"")
"),"#N/A")</f>
        <v>#N/A</v>
      </c>
      <c r="D189" s="306"/>
      <c r="E189" s="328"/>
      <c r="F189" s="13" t="str">
        <f t="shared" si="1"/>
        <v/>
      </c>
      <c r="G189" s="309" t="str">
        <f>IFERROR(__xludf.DUMMYFUNCTION("IF(ISBLANK(B189),"""",IFERROR(SPARKLINE(INDEX(GOOGLEFINANCE(B189,""price"",TODAY()-$G$17,TODAY()),,2),{""charttype"",""column"";""color"",""17a7e0""}),""""))"),"")</f>
        <v/>
      </c>
      <c r="I189" s="309" t="str">
        <f>IFERROR(__xludf.DUMMYFUNCTION("IFERROR(IF(B189="""","""",GOOGLEFINANCE(B189)),IFERROR(GOOGLEFINANCE(""CURRENCY:""&amp;""USD""&amp;$D$15)*IMPORTXML(""https://coinmarketcap.com/currencies/""&amp;B189,$AJ$3),IMPORTXML(""https://coinmarketcap.com/currencies/""&amp;B189,$AJ$3)))"),"")</f>
        <v/>
      </c>
      <c r="J189" s="310" t="str">
        <f t="shared" si="2"/>
        <v/>
      </c>
      <c r="K189" s="310" t="str">
        <f>IFERROR(__xludf.DUMMYFUNCTION("IFERROR(IF(ISBLANK(B189),"""",GOOGLEFINANCE(B189,""changepct"")/100),"""")"),"")</f>
        <v/>
      </c>
      <c r="L189" s="310" t="str">
        <f>IFERROR(__xludf.DUMMYFUNCTION("IF(ISBLANK(B189),"""",IFERROR((GOOGLEFINANCE(B189,""price"")/INDEX(GOOGLEFINANCE(B189,""price"",DATEVALUE(TODAY()-365) ),2,2)-1),""""))"),"")</f>
        <v/>
      </c>
      <c r="M189" s="310" t="str">
        <f>IFERROR(__xludf.DUMMYFUNCTION("IF(ISBLANK(B189),"""",IFERROR((GOOGLEFINANCE($D$13,""price"")/INDEX(GOOGLEFINANCE($D$13,""price"",DATEVALUE(TODAY()-365) ),2,2)-1),""""))"),"")</f>
        <v/>
      </c>
      <c r="N189" s="310" t="str">
        <f t="shared" si="3"/>
        <v/>
      </c>
      <c r="O189" s="311" t="str">
        <f>IFERROR(__xludf.DUMMYFUNCTION("IFERROR(IF(ISBLANK(B189),"""",GOOGLEFINANCE(B189,""low52"")),"""")"),"")</f>
        <v/>
      </c>
      <c r="P189" s="310" t="str">
        <f t="shared" si="4"/>
        <v/>
      </c>
      <c r="Q189" s="311" t="str">
        <f>IFERROR(__xludf.DUMMYFUNCTION("IFERROR(IF(ISBLANK(B189),"""",GOOGLEFINANCE(B189,""high52"")),"""")"),"")</f>
        <v/>
      </c>
      <c r="R189" s="310" t="str">
        <f t="shared" si="5"/>
        <v/>
      </c>
      <c r="S189" s="13" t="str">
        <f t="shared" si="6"/>
        <v/>
      </c>
      <c r="U189" s="13" t="str">
        <f t="shared" si="7"/>
        <v/>
      </c>
      <c r="W189" s="13" t="str">
        <f t="shared" si="8"/>
        <v/>
      </c>
      <c r="X189" s="310" t="str">
        <f t="shared" si="9"/>
        <v/>
      </c>
      <c r="Y189" s="311" t="str">
        <f>IFERROR(__xludf.DUMMYFUNCTION("IF(ISBLANK(B189),"""",IFERROR(INDEX(GOOGLEFINANCE(B189,""price"",WORKDAY(TODAY(),-$Y$17)),2,2),""""))"),"")</f>
        <v/>
      </c>
      <c r="Z189" s="310" t="str">
        <f>IFERROR(__xludf.DUMMYFUNCTION("IF(ISBLANK(B189),"""",IFERROR(I189/(INDEX(GOOGLEFINANCE(B189,""price"",WORKDAY(TODAY(),-$Z$17)),2,2))-1,""""))"),"")</f>
        <v/>
      </c>
      <c r="AA189" s="312" t="str">
        <f>IFERROR(__xludf.DUMMYFUNCTION("IF(ISBLANK(B189),"""",IFERROR(IFERROR(""$""&amp;Trunc(GOOGLEFINANCE(B189,""Marketcap"")/1000000000)&amp;"" B"",""$""&amp;Trunc(IMPORTXML(""https://coinmarketcap.com/currencies/""&amp;B189,$AJ$4)/1000000000)&amp;"" B""),""-""))"),"")</f>
        <v/>
      </c>
      <c r="AB189" s="13" t="str">
        <f>IFERROR(__xludf.DUMMYFUNCTION("IF(ISBLANK(B189),"""",IFERROR(GOOGLEFINANCE(B189,""pe""),""-""))"),"")</f>
        <v/>
      </c>
      <c r="AC189" s="313" t="str">
        <f>IFERROR(__xludf.DUMMYFUNCTION("SPARKLINE(INDEX(GOOGLEFINANCE(B189,""price"",workday(today(),-$AC$17),today()),,2),{""charttype"",""column"";""color"",""green""})
"),"#N/A")</f>
        <v>#N/A</v>
      </c>
      <c r="AD189" s="313" t="str">
        <f>IFERROR(__xludf.DUMMYFUNCTION("IF(ISBLANK(B189),"""",IFERROR(INDEX(IMPORTXML(""https://eresearch.fidelity.com/eresearch/goto/evaluate/snapshot.jhtml?symbols=""&amp;B189&amp;"""",""//div[@class='sub-heading']//span[@class='right']""),1),""Enter Manually"")
)"),"")</f>
        <v/>
      </c>
      <c r="AE189" s="314" t="str">
        <f t="shared" si="10"/>
        <v>Info</v>
      </c>
      <c r="AF189" s="329"/>
      <c r="AG189" s="320"/>
      <c r="AH189" s="13"/>
      <c r="AI189" s="13"/>
      <c r="AJ189" s="13"/>
      <c r="AK189" s="13"/>
      <c r="AL189" s="13"/>
      <c r="AM189" s="13"/>
      <c r="AN189" s="13"/>
      <c r="AO189" s="13"/>
      <c r="AP189" s="13"/>
    </row>
    <row r="190" ht="18.75" customHeight="1">
      <c r="A190" s="13"/>
      <c r="B190" s="327"/>
      <c r="C190" s="306" t="str">
        <f>IFERROR(__xludf.DUMMYFUNCTION("GOOGLEFINANCE(B190,""name"")
"),"#N/A")</f>
        <v>#N/A</v>
      </c>
      <c r="D190" s="306"/>
      <c r="E190" s="328"/>
      <c r="F190" s="13" t="str">
        <f t="shared" si="1"/>
        <v/>
      </c>
      <c r="G190" s="309" t="str">
        <f>IFERROR(__xludf.DUMMYFUNCTION("IF(ISBLANK(B190),"""",IFERROR(SPARKLINE(INDEX(GOOGLEFINANCE(B190,""price"",TODAY()-$G$17,TODAY()),,2),{""charttype"",""column"";""color"",""17a7e0""}),""""))"),"")</f>
        <v/>
      </c>
      <c r="I190" s="309" t="str">
        <f>IFERROR(__xludf.DUMMYFUNCTION("IFERROR(IF(B190="""","""",GOOGLEFINANCE(B190)),IFERROR(GOOGLEFINANCE(""CURRENCY:""&amp;""USD""&amp;$D$15)*IMPORTXML(""https://coinmarketcap.com/currencies/""&amp;B190,$AJ$3),IMPORTXML(""https://coinmarketcap.com/currencies/""&amp;B190,$AJ$3)))"),"")</f>
        <v/>
      </c>
      <c r="J190" s="310" t="str">
        <f t="shared" si="2"/>
        <v/>
      </c>
      <c r="K190" s="310" t="str">
        <f>IFERROR(__xludf.DUMMYFUNCTION("IFERROR(IF(ISBLANK(B190),"""",GOOGLEFINANCE(B190,""changepct"")/100),"""")"),"")</f>
        <v/>
      </c>
      <c r="L190" s="310" t="str">
        <f>IFERROR(__xludf.DUMMYFUNCTION("IF(ISBLANK(B190),"""",IFERROR((GOOGLEFINANCE(B190,""price"")/INDEX(GOOGLEFINANCE(B190,""price"",DATEVALUE(TODAY()-365) ),2,2)-1),""""))"),"")</f>
        <v/>
      </c>
      <c r="M190" s="310" t="str">
        <f>IFERROR(__xludf.DUMMYFUNCTION("IF(ISBLANK(B190),"""",IFERROR((GOOGLEFINANCE($D$13,""price"")/INDEX(GOOGLEFINANCE($D$13,""price"",DATEVALUE(TODAY()-365) ),2,2)-1),""""))"),"")</f>
        <v/>
      </c>
      <c r="N190" s="310" t="str">
        <f t="shared" si="3"/>
        <v/>
      </c>
      <c r="O190" s="311" t="str">
        <f>IFERROR(__xludf.DUMMYFUNCTION("IFERROR(IF(ISBLANK(B190),"""",GOOGLEFINANCE(B190,""low52"")),"""")"),"")</f>
        <v/>
      </c>
      <c r="P190" s="310" t="str">
        <f t="shared" si="4"/>
        <v/>
      </c>
      <c r="Q190" s="311" t="str">
        <f>IFERROR(__xludf.DUMMYFUNCTION("IFERROR(IF(ISBLANK(B190),"""",GOOGLEFINANCE(B190,""high52"")),"""")"),"")</f>
        <v/>
      </c>
      <c r="R190" s="310" t="str">
        <f t="shared" si="5"/>
        <v/>
      </c>
      <c r="S190" s="13" t="str">
        <f t="shared" si="6"/>
        <v/>
      </c>
      <c r="U190" s="13" t="str">
        <f t="shared" si="7"/>
        <v/>
      </c>
      <c r="W190" s="13" t="str">
        <f t="shared" si="8"/>
        <v/>
      </c>
      <c r="X190" s="310" t="str">
        <f t="shared" si="9"/>
        <v/>
      </c>
      <c r="Y190" s="311" t="str">
        <f>IFERROR(__xludf.DUMMYFUNCTION("IF(ISBLANK(B190),"""",IFERROR(INDEX(GOOGLEFINANCE(B190,""price"",WORKDAY(TODAY(),-$Y$17)),2,2),""""))"),"")</f>
        <v/>
      </c>
      <c r="Z190" s="310" t="str">
        <f>IFERROR(__xludf.DUMMYFUNCTION("IF(ISBLANK(B190),"""",IFERROR(I190/(INDEX(GOOGLEFINANCE(B190,""price"",WORKDAY(TODAY(),-$Z$17)),2,2))-1,""""))"),"")</f>
        <v/>
      </c>
      <c r="AA190" s="312" t="str">
        <f>IFERROR(__xludf.DUMMYFUNCTION("IF(ISBLANK(B190),"""",IFERROR(IFERROR(""$""&amp;Trunc(GOOGLEFINANCE(B190,""Marketcap"")/1000000000)&amp;"" B"",""$""&amp;Trunc(IMPORTXML(""https://coinmarketcap.com/currencies/""&amp;B190,$AJ$4)/1000000000)&amp;"" B""),""-""))"),"")</f>
        <v/>
      </c>
      <c r="AB190" s="13" t="str">
        <f>IFERROR(__xludf.DUMMYFUNCTION("IF(ISBLANK(B190),"""",IFERROR(GOOGLEFINANCE(B190,""pe""),""-""))"),"")</f>
        <v/>
      </c>
      <c r="AC190" s="313" t="str">
        <f>IFERROR(__xludf.DUMMYFUNCTION("SPARKLINE(INDEX(GOOGLEFINANCE(B190,""price"",workday(today(),-$AC$17),today()),,2),{""charttype"",""column"";""color"",""green""})
"),"#N/A")</f>
        <v>#N/A</v>
      </c>
      <c r="AD190" s="313" t="str">
        <f>IFERROR(__xludf.DUMMYFUNCTION("IF(ISBLANK(B190),"""",IFERROR(INDEX(IMPORTXML(""https://eresearch.fidelity.com/eresearch/goto/evaluate/snapshot.jhtml?symbols=""&amp;B190&amp;"""",""//div[@class='sub-heading']//span[@class='right']""),1),""Enter Manually"")
)"),"")</f>
        <v/>
      </c>
      <c r="AE190" s="314" t="str">
        <f t="shared" si="10"/>
        <v>Info</v>
      </c>
      <c r="AF190" s="329"/>
      <c r="AG190" s="320"/>
      <c r="AH190" s="13"/>
      <c r="AI190" s="13"/>
      <c r="AJ190" s="13"/>
      <c r="AK190" s="13"/>
      <c r="AL190" s="13"/>
      <c r="AM190" s="13"/>
      <c r="AN190" s="13"/>
      <c r="AO190" s="13"/>
      <c r="AP190" s="13"/>
    </row>
    <row r="191" ht="18.75" customHeight="1">
      <c r="A191" s="13"/>
      <c r="B191" s="327"/>
      <c r="C191" s="306" t="str">
        <f>IFERROR(__xludf.DUMMYFUNCTION("GOOGLEFINANCE(B191,""name"")
"),"#N/A")</f>
        <v>#N/A</v>
      </c>
      <c r="D191" s="306"/>
      <c r="E191" s="328"/>
      <c r="F191" s="13" t="str">
        <f t="shared" si="1"/>
        <v/>
      </c>
      <c r="G191" s="309" t="str">
        <f>IFERROR(__xludf.DUMMYFUNCTION("IF(ISBLANK(B191),"""",IFERROR(SPARKLINE(INDEX(GOOGLEFINANCE(B191,""price"",TODAY()-$G$17,TODAY()),,2),{""charttype"",""column"";""color"",""17a7e0""}),""""))"),"")</f>
        <v/>
      </c>
      <c r="I191" s="309" t="str">
        <f>IFERROR(__xludf.DUMMYFUNCTION("IFERROR(IF(B191="""","""",GOOGLEFINANCE(B191)),IFERROR(GOOGLEFINANCE(""CURRENCY:""&amp;""USD""&amp;$D$15)*IMPORTXML(""https://coinmarketcap.com/currencies/""&amp;B191,$AJ$3),IMPORTXML(""https://coinmarketcap.com/currencies/""&amp;B191,$AJ$3)))"),"")</f>
        <v/>
      </c>
      <c r="J191" s="310" t="str">
        <f t="shared" si="2"/>
        <v/>
      </c>
      <c r="K191" s="310" t="str">
        <f>IFERROR(__xludf.DUMMYFUNCTION("IFERROR(IF(ISBLANK(B191),"""",GOOGLEFINANCE(B191,""changepct"")/100),"""")"),"")</f>
        <v/>
      </c>
      <c r="L191" s="310" t="str">
        <f>IFERROR(__xludf.DUMMYFUNCTION("IF(ISBLANK(B191),"""",IFERROR((GOOGLEFINANCE(B191,""price"")/INDEX(GOOGLEFINANCE(B191,""price"",DATEVALUE(TODAY()-365) ),2,2)-1),""""))"),"")</f>
        <v/>
      </c>
      <c r="M191" s="310" t="str">
        <f>IFERROR(__xludf.DUMMYFUNCTION("IF(ISBLANK(B191),"""",IFERROR((GOOGLEFINANCE($D$13,""price"")/INDEX(GOOGLEFINANCE($D$13,""price"",DATEVALUE(TODAY()-365) ),2,2)-1),""""))"),"")</f>
        <v/>
      </c>
      <c r="N191" s="310" t="str">
        <f t="shared" si="3"/>
        <v/>
      </c>
      <c r="O191" s="311" t="str">
        <f>IFERROR(__xludf.DUMMYFUNCTION("IFERROR(IF(ISBLANK(B191),"""",GOOGLEFINANCE(B191,""low52"")),"""")"),"")</f>
        <v/>
      </c>
      <c r="P191" s="310" t="str">
        <f t="shared" si="4"/>
        <v/>
      </c>
      <c r="Q191" s="311" t="str">
        <f>IFERROR(__xludf.DUMMYFUNCTION("IFERROR(IF(ISBLANK(B191),"""",GOOGLEFINANCE(B191,""high52"")),"""")"),"")</f>
        <v/>
      </c>
      <c r="R191" s="310" t="str">
        <f t="shared" si="5"/>
        <v/>
      </c>
      <c r="S191" s="13" t="str">
        <f t="shared" si="6"/>
        <v/>
      </c>
      <c r="U191" s="13" t="str">
        <f t="shared" si="7"/>
        <v/>
      </c>
      <c r="W191" s="13" t="str">
        <f t="shared" si="8"/>
        <v/>
      </c>
      <c r="X191" s="310" t="str">
        <f t="shared" si="9"/>
        <v/>
      </c>
      <c r="Y191" s="311" t="str">
        <f>IFERROR(__xludf.DUMMYFUNCTION("IF(ISBLANK(B191),"""",IFERROR(INDEX(GOOGLEFINANCE(B191,""price"",WORKDAY(TODAY(),-$Y$17)),2,2),""""))"),"")</f>
        <v/>
      </c>
      <c r="Z191" s="310" t="str">
        <f>IFERROR(__xludf.DUMMYFUNCTION("IF(ISBLANK(B191),"""",IFERROR(I191/(INDEX(GOOGLEFINANCE(B191,""price"",WORKDAY(TODAY(),-$Z$17)),2,2))-1,""""))"),"")</f>
        <v/>
      </c>
      <c r="AA191" s="312" t="str">
        <f>IFERROR(__xludf.DUMMYFUNCTION("IF(ISBLANK(B191),"""",IFERROR(IFERROR(""$""&amp;Trunc(GOOGLEFINANCE(B191,""Marketcap"")/1000000000)&amp;"" B"",""$""&amp;Trunc(IMPORTXML(""https://coinmarketcap.com/currencies/""&amp;B191,$AJ$4)/1000000000)&amp;"" B""),""-""))"),"")</f>
        <v/>
      </c>
      <c r="AB191" s="13" t="str">
        <f>IFERROR(__xludf.DUMMYFUNCTION("IF(ISBLANK(B191),"""",IFERROR(GOOGLEFINANCE(B191,""pe""),""-""))"),"")</f>
        <v/>
      </c>
      <c r="AC191" s="313" t="str">
        <f>IFERROR(__xludf.DUMMYFUNCTION("SPARKLINE(INDEX(GOOGLEFINANCE(B191,""price"",workday(today(),-$AC$17),today()),,2),{""charttype"",""column"";""color"",""green""})
"),"#N/A")</f>
        <v>#N/A</v>
      </c>
      <c r="AD191" s="313" t="str">
        <f>IFERROR(__xludf.DUMMYFUNCTION("IF(ISBLANK(B191),"""",IFERROR(INDEX(IMPORTXML(""https://eresearch.fidelity.com/eresearch/goto/evaluate/snapshot.jhtml?symbols=""&amp;B191&amp;"""",""//div[@class='sub-heading']//span[@class='right']""),1),""Enter Manually"")
)"),"")</f>
        <v/>
      </c>
      <c r="AE191" s="314" t="str">
        <f t="shared" si="10"/>
        <v>Info</v>
      </c>
      <c r="AF191" s="329"/>
      <c r="AG191" s="320"/>
      <c r="AH191" s="13"/>
      <c r="AI191" s="13"/>
      <c r="AJ191" s="13"/>
      <c r="AK191" s="13"/>
      <c r="AL191" s="13"/>
      <c r="AM191" s="13"/>
      <c r="AN191" s="13"/>
      <c r="AO191" s="13"/>
      <c r="AP191" s="13"/>
    </row>
    <row r="192" ht="18.75" customHeight="1">
      <c r="A192" s="13"/>
      <c r="B192" s="327"/>
      <c r="C192" s="306" t="str">
        <f>IFERROR(__xludf.DUMMYFUNCTION("GOOGLEFINANCE(B192,""name"")
"),"#N/A")</f>
        <v>#N/A</v>
      </c>
      <c r="D192" s="306"/>
      <c r="E192" s="328"/>
      <c r="F192" s="13" t="str">
        <f t="shared" si="1"/>
        <v/>
      </c>
      <c r="G192" s="309" t="str">
        <f>IFERROR(__xludf.DUMMYFUNCTION("IF(ISBLANK(B192),"""",IFERROR(SPARKLINE(INDEX(GOOGLEFINANCE(B192,""price"",TODAY()-$G$17,TODAY()),,2),{""charttype"",""column"";""color"",""17a7e0""}),""""))"),"")</f>
        <v/>
      </c>
      <c r="I192" s="309" t="str">
        <f>IFERROR(__xludf.DUMMYFUNCTION("IFERROR(IF(B192="""","""",GOOGLEFINANCE(B192)),IFERROR(GOOGLEFINANCE(""CURRENCY:""&amp;""USD""&amp;$D$15)*IMPORTXML(""https://coinmarketcap.com/currencies/""&amp;B192,$AJ$3),IMPORTXML(""https://coinmarketcap.com/currencies/""&amp;B192,$AJ$3)))"),"")</f>
        <v/>
      </c>
      <c r="J192" s="310" t="str">
        <f t="shared" si="2"/>
        <v/>
      </c>
      <c r="K192" s="310" t="str">
        <f>IFERROR(__xludf.DUMMYFUNCTION("IFERROR(IF(ISBLANK(B192),"""",GOOGLEFINANCE(B192,""changepct"")/100),"""")"),"")</f>
        <v/>
      </c>
      <c r="L192" s="310" t="str">
        <f>IFERROR(__xludf.DUMMYFUNCTION("IF(ISBLANK(B192),"""",IFERROR((GOOGLEFINANCE(B192,""price"")/INDEX(GOOGLEFINANCE(B192,""price"",DATEVALUE(TODAY()-365) ),2,2)-1),""""))"),"")</f>
        <v/>
      </c>
      <c r="M192" s="310" t="str">
        <f>IFERROR(__xludf.DUMMYFUNCTION("IF(ISBLANK(B192),"""",IFERROR((GOOGLEFINANCE($D$13,""price"")/INDEX(GOOGLEFINANCE($D$13,""price"",DATEVALUE(TODAY()-365) ),2,2)-1),""""))"),"")</f>
        <v/>
      </c>
      <c r="N192" s="310" t="str">
        <f t="shared" si="3"/>
        <v/>
      </c>
      <c r="O192" s="311" t="str">
        <f>IFERROR(__xludf.DUMMYFUNCTION("IFERROR(IF(ISBLANK(B192),"""",GOOGLEFINANCE(B192,""low52"")),"""")"),"")</f>
        <v/>
      </c>
      <c r="P192" s="310" t="str">
        <f t="shared" si="4"/>
        <v/>
      </c>
      <c r="Q192" s="311" t="str">
        <f>IFERROR(__xludf.DUMMYFUNCTION("IFERROR(IF(ISBLANK(B192),"""",GOOGLEFINANCE(B192,""high52"")),"""")"),"")</f>
        <v/>
      </c>
      <c r="R192" s="310" t="str">
        <f t="shared" si="5"/>
        <v/>
      </c>
      <c r="S192" s="13" t="str">
        <f t="shared" si="6"/>
        <v/>
      </c>
      <c r="U192" s="13" t="str">
        <f t="shared" si="7"/>
        <v/>
      </c>
      <c r="W192" s="13" t="str">
        <f t="shared" si="8"/>
        <v/>
      </c>
      <c r="X192" s="310" t="str">
        <f t="shared" si="9"/>
        <v/>
      </c>
      <c r="Y192" s="311" t="str">
        <f>IFERROR(__xludf.DUMMYFUNCTION("IF(ISBLANK(B192),"""",IFERROR(INDEX(GOOGLEFINANCE(B192,""price"",WORKDAY(TODAY(),-$Y$17)),2,2),""""))"),"")</f>
        <v/>
      </c>
      <c r="Z192" s="310" t="str">
        <f>IFERROR(__xludf.DUMMYFUNCTION("IF(ISBLANK(B192),"""",IFERROR(I192/(INDEX(GOOGLEFINANCE(B192,""price"",WORKDAY(TODAY(),-$Z$17)),2,2))-1,""""))"),"")</f>
        <v/>
      </c>
      <c r="AA192" s="312" t="str">
        <f>IFERROR(__xludf.DUMMYFUNCTION("IF(ISBLANK(B192),"""",IFERROR(IFERROR(""$""&amp;Trunc(GOOGLEFINANCE(B192,""Marketcap"")/1000000000)&amp;"" B"",""$""&amp;Trunc(IMPORTXML(""https://coinmarketcap.com/currencies/""&amp;B192,$AJ$4)/1000000000)&amp;"" B""),""-""))"),"")</f>
        <v/>
      </c>
      <c r="AB192" s="13" t="str">
        <f>IFERROR(__xludf.DUMMYFUNCTION("IF(ISBLANK(B192),"""",IFERROR(GOOGLEFINANCE(B192,""pe""),""-""))"),"")</f>
        <v/>
      </c>
      <c r="AC192" s="313" t="str">
        <f>IFERROR(__xludf.DUMMYFUNCTION("SPARKLINE(INDEX(GOOGLEFINANCE(B192,""price"",workday(today(),-$AC$17),today()),,2),{""charttype"",""column"";""color"",""green""})
"),"#N/A")</f>
        <v>#N/A</v>
      </c>
      <c r="AD192" s="313" t="str">
        <f>IFERROR(__xludf.DUMMYFUNCTION("IF(ISBLANK(B192),"""",IFERROR(INDEX(IMPORTXML(""https://eresearch.fidelity.com/eresearch/goto/evaluate/snapshot.jhtml?symbols=""&amp;B192&amp;"""",""//div[@class='sub-heading']//span[@class='right']""),1),""Enter Manually"")
)"),"")</f>
        <v/>
      </c>
      <c r="AE192" s="314" t="str">
        <f t="shared" si="10"/>
        <v>Info</v>
      </c>
      <c r="AF192" s="329"/>
      <c r="AG192" s="320"/>
      <c r="AH192" s="13"/>
      <c r="AI192" s="13"/>
      <c r="AJ192" s="13"/>
      <c r="AK192" s="13"/>
      <c r="AL192" s="13"/>
      <c r="AM192" s="13"/>
      <c r="AN192" s="13"/>
      <c r="AO192" s="13"/>
      <c r="AP192" s="13"/>
    </row>
    <row r="193" ht="18.75" customHeight="1">
      <c r="A193" s="13"/>
      <c r="B193" s="327"/>
      <c r="C193" s="306" t="str">
        <f>IFERROR(__xludf.DUMMYFUNCTION("GOOGLEFINANCE(B193,""name"")
"),"#N/A")</f>
        <v>#N/A</v>
      </c>
      <c r="D193" s="306"/>
      <c r="E193" s="328"/>
      <c r="F193" s="13" t="str">
        <f t="shared" si="1"/>
        <v/>
      </c>
      <c r="G193" s="309" t="str">
        <f>IFERROR(__xludf.DUMMYFUNCTION("IF(ISBLANK(B193),"""",IFERROR(SPARKLINE(INDEX(GOOGLEFINANCE(B193,""price"",TODAY()-$G$17,TODAY()),,2),{""charttype"",""column"";""color"",""17a7e0""}),""""))"),"")</f>
        <v/>
      </c>
      <c r="I193" s="309" t="str">
        <f>IFERROR(__xludf.DUMMYFUNCTION("IFERROR(IF(B193="""","""",GOOGLEFINANCE(B193)),IFERROR(GOOGLEFINANCE(""CURRENCY:""&amp;""USD""&amp;$D$15)*IMPORTXML(""https://coinmarketcap.com/currencies/""&amp;B193,$AJ$3),IMPORTXML(""https://coinmarketcap.com/currencies/""&amp;B193,$AJ$3)))"),"")</f>
        <v/>
      </c>
      <c r="J193" s="310" t="str">
        <f t="shared" si="2"/>
        <v/>
      </c>
      <c r="K193" s="310" t="str">
        <f>IFERROR(__xludf.DUMMYFUNCTION("IFERROR(IF(ISBLANK(B193),"""",GOOGLEFINANCE(B193,""changepct"")/100),"""")"),"")</f>
        <v/>
      </c>
      <c r="L193" s="310" t="str">
        <f>IFERROR(__xludf.DUMMYFUNCTION("IF(ISBLANK(B193),"""",IFERROR((GOOGLEFINANCE(B193,""price"")/INDEX(GOOGLEFINANCE(B193,""price"",DATEVALUE(TODAY()-365) ),2,2)-1),""""))"),"")</f>
        <v/>
      </c>
      <c r="M193" s="310" t="str">
        <f>IFERROR(__xludf.DUMMYFUNCTION("IF(ISBLANK(B193),"""",IFERROR((GOOGLEFINANCE($D$13,""price"")/INDEX(GOOGLEFINANCE($D$13,""price"",DATEVALUE(TODAY()-365) ),2,2)-1),""""))"),"")</f>
        <v/>
      </c>
      <c r="N193" s="310" t="str">
        <f t="shared" si="3"/>
        <v/>
      </c>
      <c r="O193" s="311" t="str">
        <f>IFERROR(__xludf.DUMMYFUNCTION("IFERROR(IF(ISBLANK(B193),"""",GOOGLEFINANCE(B193,""low52"")),"""")"),"")</f>
        <v/>
      </c>
      <c r="P193" s="310" t="str">
        <f t="shared" si="4"/>
        <v/>
      </c>
      <c r="Q193" s="311" t="str">
        <f>IFERROR(__xludf.DUMMYFUNCTION("IFERROR(IF(ISBLANK(B193),"""",GOOGLEFINANCE(B193,""high52"")),"""")"),"")</f>
        <v/>
      </c>
      <c r="R193" s="310" t="str">
        <f t="shared" si="5"/>
        <v/>
      </c>
      <c r="S193" s="13" t="str">
        <f t="shared" si="6"/>
        <v/>
      </c>
      <c r="U193" s="13" t="str">
        <f t="shared" si="7"/>
        <v/>
      </c>
      <c r="W193" s="13" t="str">
        <f t="shared" si="8"/>
        <v/>
      </c>
      <c r="X193" s="310" t="str">
        <f t="shared" si="9"/>
        <v/>
      </c>
      <c r="Y193" s="311" t="str">
        <f>IFERROR(__xludf.DUMMYFUNCTION("IF(ISBLANK(B193),"""",IFERROR(INDEX(GOOGLEFINANCE(B193,""price"",WORKDAY(TODAY(),-$Y$17)),2,2),""""))"),"")</f>
        <v/>
      </c>
      <c r="Z193" s="310" t="str">
        <f>IFERROR(__xludf.DUMMYFUNCTION("IF(ISBLANK(B193),"""",IFERROR(I193/(INDEX(GOOGLEFINANCE(B193,""price"",WORKDAY(TODAY(),-$Z$17)),2,2))-1,""""))"),"")</f>
        <v/>
      </c>
      <c r="AA193" s="312" t="str">
        <f>IFERROR(__xludf.DUMMYFUNCTION("IF(ISBLANK(B193),"""",IFERROR(IFERROR(""$""&amp;Trunc(GOOGLEFINANCE(B193,""Marketcap"")/1000000000)&amp;"" B"",""$""&amp;Trunc(IMPORTXML(""https://coinmarketcap.com/currencies/""&amp;B193,$AJ$4)/1000000000)&amp;"" B""),""-""))"),"")</f>
        <v/>
      </c>
      <c r="AB193" s="13" t="str">
        <f>IFERROR(__xludf.DUMMYFUNCTION("IF(ISBLANK(B193),"""",IFERROR(GOOGLEFINANCE(B193,""pe""),""-""))"),"")</f>
        <v/>
      </c>
      <c r="AC193" s="313" t="str">
        <f>IFERROR(__xludf.DUMMYFUNCTION("SPARKLINE(INDEX(GOOGLEFINANCE(B193,""price"",workday(today(),-$AC$17),today()),,2),{""charttype"",""column"";""color"",""green""})
"),"#N/A")</f>
        <v>#N/A</v>
      </c>
      <c r="AD193" s="313" t="str">
        <f>IFERROR(__xludf.DUMMYFUNCTION("IF(ISBLANK(B193),"""",IFERROR(INDEX(IMPORTXML(""https://eresearch.fidelity.com/eresearch/goto/evaluate/snapshot.jhtml?symbols=""&amp;B193&amp;"""",""//div[@class='sub-heading']//span[@class='right']""),1),""Enter Manually"")
)"),"")</f>
        <v/>
      </c>
      <c r="AE193" s="314" t="str">
        <f t="shared" si="10"/>
        <v>Info</v>
      </c>
      <c r="AF193" s="329"/>
      <c r="AG193" s="320"/>
      <c r="AH193" s="13"/>
      <c r="AI193" s="13"/>
      <c r="AJ193" s="13"/>
      <c r="AK193" s="13"/>
      <c r="AL193" s="13"/>
      <c r="AM193" s="13"/>
      <c r="AN193" s="13"/>
      <c r="AO193" s="13"/>
      <c r="AP193" s="13"/>
    </row>
    <row r="194" ht="18.75" customHeight="1">
      <c r="A194" s="13"/>
      <c r="B194" s="327"/>
      <c r="C194" s="306" t="str">
        <f>IFERROR(__xludf.DUMMYFUNCTION("GOOGLEFINANCE(B194,""name"")
"),"#N/A")</f>
        <v>#N/A</v>
      </c>
      <c r="D194" s="306"/>
      <c r="E194" s="328"/>
      <c r="F194" s="13" t="str">
        <f t="shared" si="1"/>
        <v/>
      </c>
      <c r="G194" s="309" t="str">
        <f>IFERROR(__xludf.DUMMYFUNCTION("IF(ISBLANK(B194),"""",IFERROR(SPARKLINE(INDEX(GOOGLEFINANCE(B194,""price"",TODAY()-$G$17,TODAY()),,2),{""charttype"",""column"";""color"",""17a7e0""}),""""))"),"")</f>
        <v/>
      </c>
      <c r="I194" s="309" t="str">
        <f>IFERROR(__xludf.DUMMYFUNCTION("IFERROR(IF(B194="""","""",GOOGLEFINANCE(B194)),IFERROR(GOOGLEFINANCE(""CURRENCY:""&amp;""USD""&amp;$D$15)*IMPORTXML(""https://coinmarketcap.com/currencies/""&amp;B194,$AJ$3),IMPORTXML(""https://coinmarketcap.com/currencies/""&amp;B194,$AJ$3)))"),"")</f>
        <v/>
      </c>
      <c r="J194" s="310" t="str">
        <f t="shared" si="2"/>
        <v/>
      </c>
      <c r="K194" s="310" t="str">
        <f>IFERROR(__xludf.DUMMYFUNCTION("IFERROR(IF(ISBLANK(B194),"""",GOOGLEFINANCE(B194,""changepct"")/100),"""")"),"")</f>
        <v/>
      </c>
      <c r="L194" s="310" t="str">
        <f>IFERROR(__xludf.DUMMYFUNCTION("IF(ISBLANK(B194),"""",IFERROR((GOOGLEFINANCE(B194,""price"")/INDEX(GOOGLEFINANCE(B194,""price"",DATEVALUE(TODAY()-365) ),2,2)-1),""""))"),"")</f>
        <v/>
      </c>
      <c r="M194" s="310" t="str">
        <f>IFERROR(__xludf.DUMMYFUNCTION("IF(ISBLANK(B194),"""",IFERROR((GOOGLEFINANCE($D$13,""price"")/INDEX(GOOGLEFINANCE($D$13,""price"",DATEVALUE(TODAY()-365) ),2,2)-1),""""))"),"")</f>
        <v/>
      </c>
      <c r="N194" s="310" t="str">
        <f t="shared" si="3"/>
        <v/>
      </c>
      <c r="O194" s="311" t="str">
        <f>IFERROR(__xludf.DUMMYFUNCTION("IFERROR(IF(ISBLANK(B194),"""",GOOGLEFINANCE(B194,""low52"")),"""")"),"")</f>
        <v/>
      </c>
      <c r="P194" s="310" t="str">
        <f t="shared" si="4"/>
        <v/>
      </c>
      <c r="Q194" s="311" t="str">
        <f>IFERROR(__xludf.DUMMYFUNCTION("IFERROR(IF(ISBLANK(B194),"""",GOOGLEFINANCE(B194,""high52"")),"""")"),"")</f>
        <v/>
      </c>
      <c r="R194" s="310" t="str">
        <f t="shared" si="5"/>
        <v/>
      </c>
      <c r="S194" s="13" t="str">
        <f t="shared" si="6"/>
        <v/>
      </c>
      <c r="U194" s="13" t="str">
        <f t="shared" si="7"/>
        <v/>
      </c>
      <c r="W194" s="13" t="str">
        <f t="shared" si="8"/>
        <v/>
      </c>
      <c r="X194" s="310" t="str">
        <f t="shared" si="9"/>
        <v/>
      </c>
      <c r="Y194" s="311" t="str">
        <f>IFERROR(__xludf.DUMMYFUNCTION("IF(ISBLANK(B194),"""",IFERROR(INDEX(GOOGLEFINANCE(B194,""price"",WORKDAY(TODAY(),-$Y$17)),2,2),""""))"),"")</f>
        <v/>
      </c>
      <c r="Z194" s="310" t="str">
        <f>IFERROR(__xludf.DUMMYFUNCTION("IF(ISBLANK(B194),"""",IFERROR(I194/(INDEX(GOOGLEFINANCE(B194,""price"",WORKDAY(TODAY(),-$Z$17)),2,2))-1,""""))"),"")</f>
        <v/>
      </c>
      <c r="AA194" s="312" t="str">
        <f>IFERROR(__xludf.DUMMYFUNCTION("IF(ISBLANK(B194),"""",IFERROR(IFERROR(""$""&amp;Trunc(GOOGLEFINANCE(B194,""Marketcap"")/1000000000)&amp;"" B"",""$""&amp;Trunc(IMPORTXML(""https://coinmarketcap.com/currencies/""&amp;B194,$AJ$4)/1000000000)&amp;"" B""),""-""))"),"")</f>
        <v/>
      </c>
      <c r="AB194" s="13" t="str">
        <f>IFERROR(__xludf.DUMMYFUNCTION("IF(ISBLANK(B194),"""",IFERROR(GOOGLEFINANCE(B194,""pe""),""-""))"),"")</f>
        <v/>
      </c>
      <c r="AC194" s="313" t="str">
        <f>IFERROR(__xludf.DUMMYFUNCTION("SPARKLINE(INDEX(GOOGLEFINANCE(B194,""price"",workday(today(),-$AC$17),today()),,2),{""charttype"",""column"";""color"",""green""})
"),"#N/A")</f>
        <v>#N/A</v>
      </c>
      <c r="AD194" s="313" t="str">
        <f>IFERROR(__xludf.DUMMYFUNCTION("IF(ISBLANK(B194),"""",IFERROR(INDEX(IMPORTXML(""https://eresearch.fidelity.com/eresearch/goto/evaluate/snapshot.jhtml?symbols=""&amp;B194&amp;"""",""//div[@class='sub-heading']//span[@class='right']""),1),""Enter Manually"")
)"),"")</f>
        <v/>
      </c>
      <c r="AE194" s="314" t="str">
        <f t="shared" si="10"/>
        <v>Info</v>
      </c>
      <c r="AF194" s="329"/>
      <c r="AG194" s="320"/>
      <c r="AH194" s="13"/>
      <c r="AI194" s="13"/>
      <c r="AJ194" s="13"/>
      <c r="AK194" s="13"/>
      <c r="AL194" s="13"/>
      <c r="AM194" s="13"/>
      <c r="AN194" s="13"/>
      <c r="AO194" s="13"/>
      <c r="AP194" s="13"/>
    </row>
    <row r="195" ht="18.75" customHeight="1">
      <c r="A195" s="13"/>
      <c r="B195" s="327"/>
      <c r="C195" s="306" t="str">
        <f>IFERROR(__xludf.DUMMYFUNCTION("GOOGLEFINANCE(B195,""name"")
"),"#N/A")</f>
        <v>#N/A</v>
      </c>
      <c r="D195" s="306"/>
      <c r="E195" s="328"/>
      <c r="F195" s="13" t="str">
        <f t="shared" si="1"/>
        <v/>
      </c>
      <c r="G195" s="309" t="str">
        <f>IFERROR(__xludf.DUMMYFUNCTION("IF(ISBLANK(B195),"""",IFERROR(SPARKLINE(INDEX(GOOGLEFINANCE(B195,""price"",TODAY()-$G$17,TODAY()),,2),{""charttype"",""column"";""color"",""17a7e0""}),""""))"),"")</f>
        <v/>
      </c>
      <c r="I195" s="309" t="str">
        <f>IFERROR(__xludf.DUMMYFUNCTION("IFERROR(IF(B195="""","""",GOOGLEFINANCE(B195)),IFERROR(GOOGLEFINANCE(""CURRENCY:""&amp;""USD""&amp;$D$15)*IMPORTXML(""https://coinmarketcap.com/currencies/""&amp;B195,$AJ$3),IMPORTXML(""https://coinmarketcap.com/currencies/""&amp;B195,$AJ$3)))"),"")</f>
        <v/>
      </c>
      <c r="J195" s="310" t="str">
        <f t="shared" si="2"/>
        <v/>
      </c>
      <c r="K195" s="310" t="str">
        <f>IFERROR(__xludf.DUMMYFUNCTION("IFERROR(IF(ISBLANK(B195),"""",GOOGLEFINANCE(B195,""changepct"")/100),"""")"),"")</f>
        <v/>
      </c>
      <c r="L195" s="310" t="str">
        <f>IFERROR(__xludf.DUMMYFUNCTION("IF(ISBLANK(B195),"""",IFERROR((GOOGLEFINANCE(B195,""price"")/INDEX(GOOGLEFINANCE(B195,""price"",DATEVALUE(TODAY()-365) ),2,2)-1),""""))"),"")</f>
        <v/>
      </c>
      <c r="M195" s="310" t="str">
        <f>IFERROR(__xludf.DUMMYFUNCTION("IF(ISBLANK(B195),"""",IFERROR((GOOGLEFINANCE($D$13,""price"")/INDEX(GOOGLEFINANCE($D$13,""price"",DATEVALUE(TODAY()-365) ),2,2)-1),""""))"),"")</f>
        <v/>
      </c>
      <c r="N195" s="310" t="str">
        <f t="shared" si="3"/>
        <v/>
      </c>
      <c r="O195" s="311" t="str">
        <f>IFERROR(__xludf.DUMMYFUNCTION("IFERROR(IF(ISBLANK(B195),"""",GOOGLEFINANCE(B195,""low52"")),"""")"),"")</f>
        <v/>
      </c>
      <c r="P195" s="310" t="str">
        <f t="shared" si="4"/>
        <v/>
      </c>
      <c r="Q195" s="311" t="str">
        <f>IFERROR(__xludf.DUMMYFUNCTION("IFERROR(IF(ISBLANK(B195),"""",GOOGLEFINANCE(B195,""high52"")),"""")"),"")</f>
        <v/>
      </c>
      <c r="R195" s="310" t="str">
        <f t="shared" si="5"/>
        <v/>
      </c>
      <c r="S195" s="13" t="str">
        <f t="shared" si="6"/>
        <v/>
      </c>
      <c r="U195" s="13" t="str">
        <f t="shared" si="7"/>
        <v/>
      </c>
      <c r="W195" s="13" t="str">
        <f t="shared" si="8"/>
        <v/>
      </c>
      <c r="X195" s="310" t="str">
        <f t="shared" si="9"/>
        <v/>
      </c>
      <c r="Y195" s="311" t="str">
        <f>IFERROR(__xludf.DUMMYFUNCTION("IF(ISBLANK(B195),"""",IFERROR(INDEX(GOOGLEFINANCE(B195,""price"",WORKDAY(TODAY(),-$Y$17)),2,2),""""))"),"")</f>
        <v/>
      </c>
      <c r="Z195" s="310" t="str">
        <f>IFERROR(__xludf.DUMMYFUNCTION("IF(ISBLANK(B195),"""",IFERROR(I195/(INDEX(GOOGLEFINANCE(B195,""price"",WORKDAY(TODAY(),-$Z$17)),2,2))-1,""""))"),"")</f>
        <v/>
      </c>
      <c r="AA195" s="312" t="str">
        <f>IFERROR(__xludf.DUMMYFUNCTION("IF(ISBLANK(B195),"""",IFERROR(IFERROR(""$""&amp;Trunc(GOOGLEFINANCE(B195,""Marketcap"")/1000000000)&amp;"" B"",""$""&amp;Trunc(IMPORTXML(""https://coinmarketcap.com/currencies/""&amp;B195,$AJ$4)/1000000000)&amp;"" B""),""-""))"),"")</f>
        <v/>
      </c>
      <c r="AB195" s="13" t="str">
        <f>IFERROR(__xludf.DUMMYFUNCTION("IF(ISBLANK(B195),"""",IFERROR(GOOGLEFINANCE(B195,""pe""),""-""))"),"")</f>
        <v/>
      </c>
      <c r="AC195" s="313" t="str">
        <f>IFERROR(__xludf.DUMMYFUNCTION("SPARKLINE(INDEX(GOOGLEFINANCE(B195,""price"",workday(today(),-$AC$17),today()),,2),{""charttype"",""column"";""color"",""green""})
"),"#N/A")</f>
        <v>#N/A</v>
      </c>
      <c r="AD195" s="313" t="str">
        <f>IFERROR(__xludf.DUMMYFUNCTION("IF(ISBLANK(B195),"""",IFERROR(INDEX(IMPORTXML(""https://eresearch.fidelity.com/eresearch/goto/evaluate/snapshot.jhtml?symbols=""&amp;B195&amp;"""",""//div[@class='sub-heading']//span[@class='right']""),1),""Enter Manually"")
)"),"")</f>
        <v/>
      </c>
      <c r="AE195" s="314" t="str">
        <f t="shared" si="10"/>
        <v>Info</v>
      </c>
      <c r="AF195" s="329"/>
      <c r="AG195" s="320"/>
      <c r="AH195" s="13"/>
      <c r="AI195" s="13"/>
      <c r="AJ195" s="13"/>
      <c r="AK195" s="13"/>
      <c r="AL195" s="13"/>
      <c r="AM195" s="13"/>
      <c r="AN195" s="13"/>
      <c r="AO195" s="13"/>
      <c r="AP195" s="13"/>
    </row>
    <row r="196" ht="18.75" customHeight="1">
      <c r="A196" s="13"/>
      <c r="B196" s="327"/>
      <c r="C196" s="306" t="str">
        <f>IFERROR(__xludf.DUMMYFUNCTION("GOOGLEFINANCE(B196,""name"")
"),"#N/A")</f>
        <v>#N/A</v>
      </c>
      <c r="D196" s="306"/>
      <c r="E196" s="328"/>
      <c r="F196" s="13" t="str">
        <f t="shared" si="1"/>
        <v/>
      </c>
      <c r="G196" s="309" t="str">
        <f>IFERROR(__xludf.DUMMYFUNCTION("IF(ISBLANK(B196),"""",IFERROR(SPARKLINE(INDEX(GOOGLEFINANCE(B196,""price"",TODAY()-$G$17,TODAY()),,2),{""charttype"",""column"";""color"",""17a7e0""}),""""))"),"")</f>
        <v/>
      </c>
      <c r="I196" s="309" t="str">
        <f>IFERROR(__xludf.DUMMYFUNCTION("IFERROR(IF(B196="""","""",GOOGLEFINANCE(B196)),IFERROR(GOOGLEFINANCE(""CURRENCY:""&amp;""USD""&amp;$D$15)*IMPORTXML(""https://coinmarketcap.com/currencies/""&amp;B196,$AJ$3),IMPORTXML(""https://coinmarketcap.com/currencies/""&amp;B196,$AJ$3)))"),"")</f>
        <v/>
      </c>
      <c r="J196" s="310" t="str">
        <f t="shared" si="2"/>
        <v/>
      </c>
      <c r="K196" s="310" t="str">
        <f>IFERROR(__xludf.DUMMYFUNCTION("IFERROR(IF(ISBLANK(B196),"""",GOOGLEFINANCE(B196,""changepct"")/100),"""")"),"")</f>
        <v/>
      </c>
      <c r="L196" s="310" t="str">
        <f>IFERROR(__xludf.DUMMYFUNCTION("IF(ISBLANK(B196),"""",IFERROR((GOOGLEFINANCE(B196,""price"")/INDEX(GOOGLEFINANCE(B196,""price"",DATEVALUE(TODAY()-365) ),2,2)-1),""""))"),"")</f>
        <v/>
      </c>
      <c r="M196" s="310" t="str">
        <f>IFERROR(__xludf.DUMMYFUNCTION("IF(ISBLANK(B196),"""",IFERROR((GOOGLEFINANCE($D$13,""price"")/INDEX(GOOGLEFINANCE($D$13,""price"",DATEVALUE(TODAY()-365) ),2,2)-1),""""))"),"")</f>
        <v/>
      </c>
      <c r="N196" s="310" t="str">
        <f t="shared" si="3"/>
        <v/>
      </c>
      <c r="O196" s="311" t="str">
        <f>IFERROR(__xludf.DUMMYFUNCTION("IFERROR(IF(ISBLANK(B196),"""",GOOGLEFINANCE(B196,""low52"")),"""")"),"")</f>
        <v/>
      </c>
      <c r="P196" s="310" t="str">
        <f t="shared" si="4"/>
        <v/>
      </c>
      <c r="Q196" s="311" t="str">
        <f>IFERROR(__xludf.DUMMYFUNCTION("IFERROR(IF(ISBLANK(B196),"""",GOOGLEFINANCE(B196,""high52"")),"""")"),"")</f>
        <v/>
      </c>
      <c r="R196" s="310" t="str">
        <f t="shared" si="5"/>
        <v/>
      </c>
      <c r="S196" s="13" t="str">
        <f t="shared" si="6"/>
        <v/>
      </c>
      <c r="U196" s="13" t="str">
        <f t="shared" si="7"/>
        <v/>
      </c>
      <c r="W196" s="13" t="str">
        <f t="shared" si="8"/>
        <v/>
      </c>
      <c r="X196" s="310" t="str">
        <f t="shared" si="9"/>
        <v/>
      </c>
      <c r="Y196" s="311" t="str">
        <f>IFERROR(__xludf.DUMMYFUNCTION("IF(ISBLANK(B196),"""",IFERROR(INDEX(GOOGLEFINANCE(B196,""price"",WORKDAY(TODAY(),-$Y$17)),2,2),""""))"),"")</f>
        <v/>
      </c>
      <c r="Z196" s="310" t="str">
        <f>IFERROR(__xludf.DUMMYFUNCTION("IF(ISBLANK(B196),"""",IFERROR(I196/(INDEX(GOOGLEFINANCE(B196,""price"",WORKDAY(TODAY(),-$Z$17)),2,2))-1,""""))"),"")</f>
        <v/>
      </c>
      <c r="AA196" s="312" t="str">
        <f>IFERROR(__xludf.DUMMYFUNCTION("IF(ISBLANK(B196),"""",IFERROR(IFERROR(""$""&amp;Trunc(GOOGLEFINANCE(B196,""Marketcap"")/1000000000)&amp;"" B"",""$""&amp;Trunc(IMPORTXML(""https://coinmarketcap.com/currencies/""&amp;B196,$AJ$4)/1000000000)&amp;"" B""),""-""))"),"")</f>
        <v/>
      </c>
      <c r="AB196" s="13" t="str">
        <f>IFERROR(__xludf.DUMMYFUNCTION("IF(ISBLANK(B196),"""",IFERROR(GOOGLEFINANCE(B196,""pe""),""-""))"),"")</f>
        <v/>
      </c>
      <c r="AC196" s="313" t="str">
        <f>IFERROR(__xludf.DUMMYFUNCTION("SPARKLINE(INDEX(GOOGLEFINANCE(B196,""price"",workday(today(),-$AC$17),today()),,2),{""charttype"",""column"";""color"",""green""})
"),"#N/A")</f>
        <v>#N/A</v>
      </c>
      <c r="AD196" s="313" t="str">
        <f>IFERROR(__xludf.DUMMYFUNCTION("IF(ISBLANK(B196),"""",IFERROR(INDEX(IMPORTXML(""https://eresearch.fidelity.com/eresearch/goto/evaluate/snapshot.jhtml?symbols=""&amp;B196&amp;"""",""//div[@class='sub-heading']//span[@class='right']""),1),""Enter Manually"")
)"),"")</f>
        <v/>
      </c>
      <c r="AE196" s="314" t="str">
        <f t="shared" si="10"/>
        <v>Info</v>
      </c>
      <c r="AF196" s="329"/>
      <c r="AG196" s="320"/>
      <c r="AH196" s="13"/>
      <c r="AI196" s="13"/>
      <c r="AJ196" s="13"/>
      <c r="AK196" s="13"/>
      <c r="AL196" s="13"/>
      <c r="AM196" s="13"/>
      <c r="AN196" s="13"/>
      <c r="AO196" s="13"/>
      <c r="AP196" s="13"/>
    </row>
    <row r="197" ht="18.75" customHeight="1">
      <c r="A197" s="13"/>
      <c r="B197" s="327"/>
      <c r="C197" s="306" t="str">
        <f>IFERROR(__xludf.DUMMYFUNCTION("GOOGLEFINANCE(B197,""name"")
"),"#N/A")</f>
        <v>#N/A</v>
      </c>
      <c r="D197" s="306"/>
      <c r="E197" s="328"/>
      <c r="F197" s="13" t="str">
        <f t="shared" si="1"/>
        <v/>
      </c>
      <c r="G197" s="309" t="str">
        <f>IFERROR(__xludf.DUMMYFUNCTION("IF(ISBLANK(B197),"""",IFERROR(SPARKLINE(INDEX(GOOGLEFINANCE(B197,""price"",TODAY()-$G$17,TODAY()),,2),{""charttype"",""column"";""color"",""17a7e0""}),""""))"),"")</f>
        <v/>
      </c>
      <c r="I197" s="309" t="str">
        <f>IFERROR(__xludf.DUMMYFUNCTION("IFERROR(IF(B197="""","""",GOOGLEFINANCE(B197)),IFERROR(GOOGLEFINANCE(""CURRENCY:""&amp;""USD""&amp;$D$15)*IMPORTXML(""https://coinmarketcap.com/currencies/""&amp;B197,$AJ$3),IMPORTXML(""https://coinmarketcap.com/currencies/""&amp;B197,$AJ$3)))"),"")</f>
        <v/>
      </c>
      <c r="J197" s="310" t="str">
        <f t="shared" si="2"/>
        <v/>
      </c>
      <c r="K197" s="310" t="str">
        <f>IFERROR(__xludf.DUMMYFUNCTION("IFERROR(IF(ISBLANK(B197),"""",GOOGLEFINANCE(B197,""changepct"")/100),"""")"),"")</f>
        <v/>
      </c>
      <c r="L197" s="310" t="str">
        <f>IFERROR(__xludf.DUMMYFUNCTION("IF(ISBLANK(B197),"""",IFERROR((GOOGLEFINANCE(B197,""price"")/INDEX(GOOGLEFINANCE(B197,""price"",DATEVALUE(TODAY()-365) ),2,2)-1),""""))"),"")</f>
        <v/>
      </c>
      <c r="M197" s="310" t="str">
        <f>IFERROR(__xludf.DUMMYFUNCTION("IF(ISBLANK(B197),"""",IFERROR((GOOGLEFINANCE($D$13,""price"")/INDEX(GOOGLEFINANCE($D$13,""price"",DATEVALUE(TODAY()-365) ),2,2)-1),""""))"),"")</f>
        <v/>
      </c>
      <c r="N197" s="310" t="str">
        <f t="shared" si="3"/>
        <v/>
      </c>
      <c r="O197" s="311" t="str">
        <f>IFERROR(__xludf.DUMMYFUNCTION("IFERROR(IF(ISBLANK(B197),"""",GOOGLEFINANCE(B197,""low52"")),"""")"),"")</f>
        <v/>
      </c>
      <c r="P197" s="310" t="str">
        <f t="shared" si="4"/>
        <v/>
      </c>
      <c r="Q197" s="311" t="str">
        <f>IFERROR(__xludf.DUMMYFUNCTION("IFERROR(IF(ISBLANK(B197),"""",GOOGLEFINANCE(B197,""high52"")),"""")"),"")</f>
        <v/>
      </c>
      <c r="R197" s="310" t="str">
        <f t="shared" si="5"/>
        <v/>
      </c>
      <c r="S197" s="13" t="str">
        <f t="shared" si="6"/>
        <v/>
      </c>
      <c r="U197" s="13" t="str">
        <f t="shared" si="7"/>
        <v/>
      </c>
      <c r="W197" s="13" t="str">
        <f t="shared" si="8"/>
        <v/>
      </c>
      <c r="X197" s="310" t="str">
        <f t="shared" si="9"/>
        <v/>
      </c>
      <c r="Y197" s="311" t="str">
        <f>IFERROR(__xludf.DUMMYFUNCTION("IF(ISBLANK(B197),"""",IFERROR(INDEX(GOOGLEFINANCE(B197,""price"",WORKDAY(TODAY(),-$Y$17)),2,2),""""))"),"")</f>
        <v/>
      </c>
      <c r="Z197" s="310" t="str">
        <f>IFERROR(__xludf.DUMMYFUNCTION("IF(ISBLANK(B197),"""",IFERROR(I197/(INDEX(GOOGLEFINANCE(B197,""price"",WORKDAY(TODAY(),-$Z$17)),2,2))-1,""""))"),"")</f>
        <v/>
      </c>
      <c r="AA197" s="312" t="str">
        <f>IFERROR(__xludf.DUMMYFUNCTION("IF(ISBLANK(B197),"""",IFERROR(IFERROR(""$""&amp;Trunc(GOOGLEFINANCE(B197,""Marketcap"")/1000000000)&amp;"" B"",""$""&amp;Trunc(IMPORTXML(""https://coinmarketcap.com/currencies/""&amp;B197,$AJ$4)/1000000000)&amp;"" B""),""-""))"),"")</f>
        <v/>
      </c>
      <c r="AB197" s="13" t="str">
        <f>IFERROR(__xludf.DUMMYFUNCTION("IF(ISBLANK(B197),"""",IFERROR(GOOGLEFINANCE(B197,""pe""),""-""))"),"")</f>
        <v/>
      </c>
      <c r="AC197" s="313" t="str">
        <f>IFERROR(__xludf.DUMMYFUNCTION("SPARKLINE(INDEX(GOOGLEFINANCE(B197,""price"",workday(today(),-$AC$17),today()),,2),{""charttype"",""column"";""color"",""green""})
"),"#N/A")</f>
        <v>#N/A</v>
      </c>
      <c r="AD197" s="313" t="str">
        <f>IFERROR(__xludf.DUMMYFUNCTION("IF(ISBLANK(B197),"""",IFERROR(INDEX(IMPORTXML(""https://eresearch.fidelity.com/eresearch/goto/evaluate/snapshot.jhtml?symbols=""&amp;B197&amp;"""",""//div[@class='sub-heading']//span[@class='right']""),1),""Enter Manually"")
)"),"")</f>
        <v/>
      </c>
      <c r="AE197" s="314" t="str">
        <f t="shared" si="10"/>
        <v>Info</v>
      </c>
      <c r="AF197" s="329"/>
      <c r="AG197" s="320"/>
      <c r="AH197" s="13"/>
      <c r="AI197" s="13"/>
      <c r="AJ197" s="13"/>
      <c r="AK197" s="13"/>
      <c r="AL197" s="13"/>
      <c r="AM197" s="13"/>
      <c r="AN197" s="13"/>
      <c r="AO197" s="13"/>
      <c r="AP197" s="13"/>
    </row>
    <row r="198" ht="18.75" customHeight="1">
      <c r="A198" s="13"/>
      <c r="B198" s="327"/>
      <c r="C198" s="306" t="str">
        <f>IFERROR(__xludf.DUMMYFUNCTION("GOOGLEFINANCE(B198,""name"")
"),"#N/A")</f>
        <v>#N/A</v>
      </c>
      <c r="D198" s="306"/>
      <c r="E198" s="328"/>
      <c r="F198" s="13" t="str">
        <f t="shared" si="1"/>
        <v/>
      </c>
      <c r="G198" s="309" t="str">
        <f>IFERROR(__xludf.DUMMYFUNCTION("IF(ISBLANK(B198),"""",IFERROR(SPARKLINE(INDEX(GOOGLEFINANCE(B198,""price"",TODAY()-$G$17,TODAY()),,2),{""charttype"",""column"";""color"",""17a7e0""}),""""))"),"")</f>
        <v/>
      </c>
      <c r="I198" s="309" t="str">
        <f>IFERROR(__xludf.DUMMYFUNCTION("IFERROR(IF(B198="""","""",GOOGLEFINANCE(B198)),IFERROR(GOOGLEFINANCE(""CURRENCY:""&amp;""USD""&amp;$D$15)*IMPORTXML(""https://coinmarketcap.com/currencies/""&amp;B198,$AJ$3),IMPORTXML(""https://coinmarketcap.com/currencies/""&amp;B198,$AJ$3)))"),"")</f>
        <v/>
      </c>
      <c r="J198" s="310" t="str">
        <f t="shared" si="2"/>
        <v/>
      </c>
      <c r="K198" s="310" t="str">
        <f>IFERROR(__xludf.DUMMYFUNCTION("IFERROR(IF(ISBLANK(B198),"""",GOOGLEFINANCE(B198,""changepct"")/100),"""")"),"")</f>
        <v/>
      </c>
      <c r="L198" s="310" t="str">
        <f>IFERROR(__xludf.DUMMYFUNCTION("IF(ISBLANK(B198),"""",IFERROR((GOOGLEFINANCE(B198,""price"")/INDEX(GOOGLEFINANCE(B198,""price"",DATEVALUE(TODAY()-365) ),2,2)-1),""""))"),"")</f>
        <v/>
      </c>
      <c r="M198" s="310" t="str">
        <f>IFERROR(__xludf.DUMMYFUNCTION("IF(ISBLANK(B198),"""",IFERROR((GOOGLEFINANCE($D$13,""price"")/INDEX(GOOGLEFINANCE($D$13,""price"",DATEVALUE(TODAY()-365) ),2,2)-1),""""))"),"")</f>
        <v/>
      </c>
      <c r="N198" s="310" t="str">
        <f t="shared" si="3"/>
        <v/>
      </c>
      <c r="O198" s="311" t="str">
        <f>IFERROR(__xludf.DUMMYFUNCTION("IFERROR(IF(ISBLANK(B198),"""",GOOGLEFINANCE(B198,""low52"")),"""")"),"")</f>
        <v/>
      </c>
      <c r="P198" s="310" t="str">
        <f t="shared" si="4"/>
        <v/>
      </c>
      <c r="Q198" s="311" t="str">
        <f>IFERROR(__xludf.DUMMYFUNCTION("IFERROR(IF(ISBLANK(B198),"""",GOOGLEFINANCE(B198,""high52"")),"""")"),"")</f>
        <v/>
      </c>
      <c r="R198" s="310" t="str">
        <f t="shared" si="5"/>
        <v/>
      </c>
      <c r="S198" s="13" t="str">
        <f t="shared" si="6"/>
        <v/>
      </c>
      <c r="U198" s="13" t="str">
        <f t="shared" si="7"/>
        <v/>
      </c>
      <c r="W198" s="13" t="str">
        <f t="shared" si="8"/>
        <v/>
      </c>
      <c r="X198" s="310" t="str">
        <f t="shared" si="9"/>
        <v/>
      </c>
      <c r="Y198" s="311" t="str">
        <f>IFERROR(__xludf.DUMMYFUNCTION("IF(ISBLANK(B198),"""",IFERROR(INDEX(GOOGLEFINANCE(B198,""price"",WORKDAY(TODAY(),-$Y$17)),2,2),""""))"),"")</f>
        <v/>
      </c>
      <c r="Z198" s="310" t="str">
        <f>IFERROR(__xludf.DUMMYFUNCTION("IF(ISBLANK(B198),"""",IFERROR(I198/(INDEX(GOOGLEFINANCE(B198,""price"",WORKDAY(TODAY(),-$Z$17)),2,2))-1,""""))"),"")</f>
        <v/>
      </c>
      <c r="AA198" s="312" t="str">
        <f>IFERROR(__xludf.DUMMYFUNCTION("IF(ISBLANK(B198),"""",IFERROR(IFERROR(""$""&amp;Trunc(GOOGLEFINANCE(B198,""Marketcap"")/1000000000)&amp;"" B"",""$""&amp;Trunc(IMPORTXML(""https://coinmarketcap.com/currencies/""&amp;B198,$AJ$4)/1000000000)&amp;"" B""),""-""))"),"")</f>
        <v/>
      </c>
      <c r="AB198" s="13" t="str">
        <f>IFERROR(__xludf.DUMMYFUNCTION("IF(ISBLANK(B198),"""",IFERROR(GOOGLEFINANCE(B198,""pe""),""-""))"),"")</f>
        <v/>
      </c>
      <c r="AC198" s="313" t="str">
        <f>IFERROR(__xludf.DUMMYFUNCTION("SPARKLINE(INDEX(GOOGLEFINANCE(B198,""price"",workday(today(),-$AC$17),today()),,2),{""charttype"",""column"";""color"",""green""})
"),"#N/A")</f>
        <v>#N/A</v>
      </c>
      <c r="AD198" s="313" t="str">
        <f>IFERROR(__xludf.DUMMYFUNCTION("IF(ISBLANK(B198),"""",IFERROR(INDEX(IMPORTXML(""https://eresearch.fidelity.com/eresearch/goto/evaluate/snapshot.jhtml?symbols=""&amp;B198&amp;"""",""//div[@class='sub-heading']//span[@class='right']""),1),""Enter Manually"")
)"),"")</f>
        <v/>
      </c>
      <c r="AE198" s="314" t="str">
        <f t="shared" si="10"/>
        <v>Info</v>
      </c>
      <c r="AF198" s="329"/>
      <c r="AG198" s="320"/>
      <c r="AH198" s="13"/>
      <c r="AI198" s="13"/>
      <c r="AJ198" s="13"/>
      <c r="AK198" s="13"/>
      <c r="AL198" s="13"/>
      <c r="AM198" s="13"/>
      <c r="AN198" s="13"/>
      <c r="AO198" s="13"/>
      <c r="AP198" s="13"/>
    </row>
    <row r="199" ht="18.75" customHeight="1">
      <c r="A199" s="13"/>
      <c r="B199" s="327"/>
      <c r="C199" s="306" t="str">
        <f>IFERROR(__xludf.DUMMYFUNCTION("GOOGLEFINANCE(B199,""name"")
"),"#N/A")</f>
        <v>#N/A</v>
      </c>
      <c r="D199" s="306"/>
      <c r="E199" s="328"/>
      <c r="F199" s="13" t="str">
        <f t="shared" si="1"/>
        <v/>
      </c>
      <c r="G199" s="309" t="str">
        <f>IFERROR(__xludf.DUMMYFUNCTION("IF(ISBLANK(B199),"""",IFERROR(SPARKLINE(INDEX(GOOGLEFINANCE(B199,""price"",TODAY()-$G$17,TODAY()),,2),{""charttype"",""column"";""color"",""17a7e0""}),""""))"),"")</f>
        <v/>
      </c>
      <c r="I199" s="309" t="str">
        <f>IFERROR(__xludf.DUMMYFUNCTION("IFERROR(IF(B199="""","""",GOOGLEFINANCE(B199)),IFERROR(GOOGLEFINANCE(""CURRENCY:""&amp;""USD""&amp;$D$15)*IMPORTXML(""https://coinmarketcap.com/currencies/""&amp;B199,$AJ$3),IMPORTXML(""https://coinmarketcap.com/currencies/""&amp;B199,$AJ$3)))"),"")</f>
        <v/>
      </c>
      <c r="J199" s="310" t="str">
        <f t="shared" si="2"/>
        <v/>
      </c>
      <c r="K199" s="310" t="str">
        <f>IFERROR(__xludf.DUMMYFUNCTION("IFERROR(IF(ISBLANK(B199),"""",GOOGLEFINANCE(B199,""changepct"")/100),"""")"),"")</f>
        <v/>
      </c>
      <c r="L199" s="310" t="str">
        <f>IFERROR(__xludf.DUMMYFUNCTION("IF(ISBLANK(B199),"""",IFERROR((GOOGLEFINANCE(B199,""price"")/INDEX(GOOGLEFINANCE(B199,""price"",DATEVALUE(TODAY()-365) ),2,2)-1),""""))"),"")</f>
        <v/>
      </c>
      <c r="M199" s="310" t="str">
        <f>IFERROR(__xludf.DUMMYFUNCTION("IF(ISBLANK(B199),"""",IFERROR((GOOGLEFINANCE($D$13,""price"")/INDEX(GOOGLEFINANCE($D$13,""price"",DATEVALUE(TODAY()-365) ),2,2)-1),""""))"),"")</f>
        <v/>
      </c>
      <c r="N199" s="310" t="str">
        <f t="shared" si="3"/>
        <v/>
      </c>
      <c r="O199" s="311" t="str">
        <f>IFERROR(__xludf.DUMMYFUNCTION("IFERROR(IF(ISBLANK(B199),"""",GOOGLEFINANCE(B199,""low52"")),"""")"),"")</f>
        <v/>
      </c>
      <c r="P199" s="310" t="str">
        <f t="shared" si="4"/>
        <v/>
      </c>
      <c r="Q199" s="311" t="str">
        <f>IFERROR(__xludf.DUMMYFUNCTION("IFERROR(IF(ISBLANK(B199),"""",GOOGLEFINANCE(B199,""high52"")),"""")"),"")</f>
        <v/>
      </c>
      <c r="R199" s="310" t="str">
        <f t="shared" si="5"/>
        <v/>
      </c>
      <c r="S199" s="13" t="str">
        <f t="shared" si="6"/>
        <v/>
      </c>
      <c r="U199" s="13" t="str">
        <f t="shared" si="7"/>
        <v/>
      </c>
      <c r="W199" s="13" t="str">
        <f t="shared" si="8"/>
        <v/>
      </c>
      <c r="X199" s="310" t="str">
        <f t="shared" si="9"/>
        <v/>
      </c>
      <c r="Y199" s="311" t="str">
        <f>IFERROR(__xludf.DUMMYFUNCTION("IF(ISBLANK(B199),"""",IFERROR(INDEX(GOOGLEFINANCE(B199,""price"",WORKDAY(TODAY(),-$Y$17)),2,2),""""))"),"")</f>
        <v/>
      </c>
      <c r="Z199" s="310" t="str">
        <f>IFERROR(__xludf.DUMMYFUNCTION("IF(ISBLANK(B199),"""",IFERROR(I199/(INDEX(GOOGLEFINANCE(B199,""price"",WORKDAY(TODAY(),-$Z$17)),2,2))-1,""""))"),"")</f>
        <v/>
      </c>
      <c r="AA199" s="312" t="str">
        <f>IFERROR(__xludf.DUMMYFUNCTION("IF(ISBLANK(B199),"""",IFERROR(IFERROR(""$""&amp;Trunc(GOOGLEFINANCE(B199,""Marketcap"")/1000000000)&amp;"" B"",""$""&amp;Trunc(IMPORTXML(""https://coinmarketcap.com/currencies/""&amp;B199,$AJ$4)/1000000000)&amp;"" B""),""-""))"),"")</f>
        <v/>
      </c>
      <c r="AB199" s="13" t="str">
        <f>IFERROR(__xludf.DUMMYFUNCTION("IF(ISBLANK(B199),"""",IFERROR(GOOGLEFINANCE(B199,""pe""),""-""))"),"")</f>
        <v/>
      </c>
      <c r="AC199" s="313" t="str">
        <f>IFERROR(__xludf.DUMMYFUNCTION("SPARKLINE(INDEX(GOOGLEFINANCE(B199,""price"",workday(today(),-$AC$17),today()),,2),{""charttype"",""column"";""color"",""green""})
"),"#N/A")</f>
        <v>#N/A</v>
      </c>
      <c r="AD199" s="313" t="str">
        <f>IFERROR(__xludf.DUMMYFUNCTION("IF(ISBLANK(B199),"""",IFERROR(INDEX(IMPORTXML(""https://eresearch.fidelity.com/eresearch/goto/evaluate/snapshot.jhtml?symbols=""&amp;B199&amp;"""",""//div[@class='sub-heading']//span[@class='right']""),1),""Enter Manually"")
)"),"")</f>
        <v/>
      </c>
      <c r="AE199" s="314" t="str">
        <f t="shared" si="10"/>
        <v>Info</v>
      </c>
      <c r="AF199" s="329"/>
      <c r="AG199" s="320"/>
      <c r="AH199" s="13"/>
      <c r="AI199" s="13"/>
      <c r="AJ199" s="13"/>
      <c r="AK199" s="13"/>
      <c r="AL199" s="13"/>
      <c r="AM199" s="13"/>
      <c r="AN199" s="13"/>
      <c r="AO199" s="13"/>
      <c r="AP199" s="13"/>
    </row>
    <row r="200" ht="18.75" customHeight="1">
      <c r="A200" s="13"/>
      <c r="B200" s="327"/>
      <c r="C200" s="306" t="str">
        <f>IFERROR(__xludf.DUMMYFUNCTION("GOOGLEFINANCE(B200,""name"")
"),"#N/A")</f>
        <v>#N/A</v>
      </c>
      <c r="D200" s="306"/>
      <c r="E200" s="328"/>
      <c r="F200" s="13" t="str">
        <f t="shared" si="1"/>
        <v/>
      </c>
      <c r="G200" s="309" t="str">
        <f>IFERROR(__xludf.DUMMYFUNCTION("IF(ISBLANK(B200),"""",IFERROR(SPARKLINE(INDEX(GOOGLEFINANCE(B200,""price"",TODAY()-$G$17,TODAY()),,2),{""charttype"",""column"";""color"",""17a7e0""}),""""))"),"")</f>
        <v/>
      </c>
      <c r="I200" s="309" t="str">
        <f>IFERROR(__xludf.DUMMYFUNCTION("IFERROR(IF(B200="""","""",GOOGLEFINANCE(B200)),IFERROR(GOOGLEFINANCE(""CURRENCY:""&amp;""USD""&amp;$D$15)*IMPORTXML(""https://coinmarketcap.com/currencies/""&amp;B200,$AJ$3),IMPORTXML(""https://coinmarketcap.com/currencies/""&amp;B200,$AJ$3)))"),"")</f>
        <v/>
      </c>
      <c r="J200" s="310" t="str">
        <f t="shared" si="2"/>
        <v/>
      </c>
      <c r="K200" s="310" t="str">
        <f>IFERROR(__xludf.DUMMYFUNCTION("IFERROR(IF(ISBLANK(B200),"""",GOOGLEFINANCE(B200,""changepct"")/100),"""")"),"")</f>
        <v/>
      </c>
      <c r="L200" s="310" t="str">
        <f>IFERROR(__xludf.DUMMYFUNCTION("IF(ISBLANK(B200),"""",IFERROR((GOOGLEFINANCE(B200,""price"")/INDEX(GOOGLEFINANCE(B200,""price"",DATEVALUE(TODAY()-365) ),2,2)-1),""""))"),"")</f>
        <v/>
      </c>
      <c r="M200" s="310" t="str">
        <f>IFERROR(__xludf.DUMMYFUNCTION("IF(ISBLANK(B200),"""",IFERROR((GOOGLEFINANCE($D$13,""price"")/INDEX(GOOGLEFINANCE($D$13,""price"",DATEVALUE(TODAY()-365) ),2,2)-1),""""))"),"")</f>
        <v/>
      </c>
      <c r="N200" s="310" t="str">
        <f t="shared" si="3"/>
        <v/>
      </c>
      <c r="O200" s="311" t="str">
        <f>IFERROR(__xludf.DUMMYFUNCTION("IFERROR(IF(ISBLANK(B200),"""",GOOGLEFINANCE(B200,""low52"")),"""")"),"")</f>
        <v/>
      </c>
      <c r="P200" s="310" t="str">
        <f t="shared" si="4"/>
        <v/>
      </c>
      <c r="Q200" s="311" t="str">
        <f>IFERROR(__xludf.DUMMYFUNCTION("IFERROR(IF(ISBLANK(B200),"""",GOOGLEFINANCE(B200,""high52"")),"""")"),"")</f>
        <v/>
      </c>
      <c r="R200" s="310" t="str">
        <f t="shared" si="5"/>
        <v/>
      </c>
      <c r="S200" s="13" t="str">
        <f t="shared" si="6"/>
        <v/>
      </c>
      <c r="U200" s="13" t="str">
        <f t="shared" si="7"/>
        <v/>
      </c>
      <c r="W200" s="13" t="str">
        <f t="shared" si="8"/>
        <v/>
      </c>
      <c r="X200" s="310" t="str">
        <f t="shared" si="9"/>
        <v/>
      </c>
      <c r="Y200" s="311" t="str">
        <f>IFERROR(__xludf.DUMMYFUNCTION("IF(ISBLANK(B200),"""",IFERROR(INDEX(GOOGLEFINANCE(B200,""price"",WORKDAY(TODAY(),-$Y$17)),2,2),""""))"),"")</f>
        <v/>
      </c>
      <c r="Z200" s="310" t="str">
        <f>IFERROR(__xludf.DUMMYFUNCTION("IF(ISBLANK(B200),"""",IFERROR(I200/(INDEX(GOOGLEFINANCE(B200,""price"",WORKDAY(TODAY(),-$Z$17)),2,2))-1,""""))"),"")</f>
        <v/>
      </c>
      <c r="AA200" s="312" t="str">
        <f>IFERROR(__xludf.DUMMYFUNCTION("IF(ISBLANK(B200),"""",IFERROR(IFERROR(""$""&amp;Trunc(GOOGLEFINANCE(B200,""Marketcap"")/1000000000)&amp;"" B"",""$""&amp;Trunc(IMPORTXML(""https://coinmarketcap.com/currencies/""&amp;B200,$AJ$4)/1000000000)&amp;"" B""),""-""))"),"")</f>
        <v/>
      </c>
      <c r="AB200" s="13" t="str">
        <f>IFERROR(__xludf.DUMMYFUNCTION("IF(ISBLANK(B200),"""",IFERROR(GOOGLEFINANCE(B200,""pe""),""-""))"),"")</f>
        <v/>
      </c>
      <c r="AC200" s="313" t="str">
        <f>IFERROR(__xludf.DUMMYFUNCTION("SPARKLINE(INDEX(GOOGLEFINANCE(B200,""price"",workday(today(),-$AC$17),today()),,2),{""charttype"",""column"";""color"",""green""})
"),"#N/A")</f>
        <v>#N/A</v>
      </c>
      <c r="AD200" s="313" t="str">
        <f>IFERROR(__xludf.DUMMYFUNCTION("IF(ISBLANK(B200),"""",IFERROR(INDEX(IMPORTXML(""https://eresearch.fidelity.com/eresearch/goto/evaluate/snapshot.jhtml?symbols=""&amp;B200&amp;"""",""//div[@class='sub-heading']//span[@class='right']""),1),""Enter Manually"")
)"),"")</f>
        <v/>
      </c>
      <c r="AE200" s="314" t="str">
        <f t="shared" si="10"/>
        <v>Info</v>
      </c>
      <c r="AF200" s="329"/>
      <c r="AG200" s="320"/>
      <c r="AH200" s="13"/>
      <c r="AI200" s="13"/>
      <c r="AJ200" s="13"/>
      <c r="AK200" s="13"/>
      <c r="AL200" s="13"/>
      <c r="AM200" s="13"/>
      <c r="AN200" s="13"/>
      <c r="AO200" s="13"/>
      <c r="AP200" s="13"/>
    </row>
    <row r="201" ht="18.75" customHeight="1">
      <c r="A201" s="13"/>
      <c r="B201" s="327"/>
      <c r="C201" s="306" t="str">
        <f>IFERROR(__xludf.DUMMYFUNCTION("GOOGLEFINANCE(B201,""name"")
"),"#N/A")</f>
        <v>#N/A</v>
      </c>
      <c r="D201" s="306"/>
      <c r="E201" s="328"/>
      <c r="F201" s="13" t="str">
        <f t="shared" si="1"/>
        <v/>
      </c>
      <c r="G201" s="309" t="str">
        <f>IFERROR(__xludf.DUMMYFUNCTION("IF(ISBLANK(B201),"""",IFERROR(SPARKLINE(INDEX(GOOGLEFINANCE(B201,""price"",TODAY()-$G$17,TODAY()),,2),{""charttype"",""column"";""color"",""17a7e0""}),""""))"),"")</f>
        <v/>
      </c>
      <c r="I201" s="309" t="str">
        <f>IFERROR(__xludf.DUMMYFUNCTION("IFERROR(IF(B201="""","""",GOOGLEFINANCE(B201)),IFERROR(GOOGLEFINANCE(""CURRENCY:""&amp;""USD""&amp;$D$15)*IMPORTXML(""https://coinmarketcap.com/currencies/""&amp;B201,$AJ$3),IMPORTXML(""https://coinmarketcap.com/currencies/""&amp;B201,$AJ$3)))"),"")</f>
        <v/>
      </c>
      <c r="J201" s="310" t="str">
        <f t="shared" si="2"/>
        <v/>
      </c>
      <c r="K201" s="310" t="str">
        <f>IFERROR(__xludf.DUMMYFUNCTION("IFERROR(IF(ISBLANK(B201),"""",GOOGLEFINANCE(B201,""changepct"")/100),"""")"),"")</f>
        <v/>
      </c>
      <c r="L201" s="310" t="str">
        <f>IFERROR(__xludf.DUMMYFUNCTION("IF(ISBLANK(B201),"""",IFERROR((GOOGLEFINANCE(B201,""price"")/INDEX(GOOGLEFINANCE(B201,""price"",DATEVALUE(TODAY()-365) ),2,2)-1),""""))"),"")</f>
        <v/>
      </c>
      <c r="M201" s="310" t="str">
        <f>IFERROR(__xludf.DUMMYFUNCTION("IF(ISBLANK(B201),"""",IFERROR((GOOGLEFINANCE($D$13,""price"")/INDEX(GOOGLEFINANCE($D$13,""price"",DATEVALUE(TODAY()-365) ),2,2)-1),""""))"),"")</f>
        <v/>
      </c>
      <c r="N201" s="310" t="str">
        <f t="shared" si="3"/>
        <v/>
      </c>
      <c r="O201" s="311" t="str">
        <f>IFERROR(__xludf.DUMMYFUNCTION("IFERROR(IF(ISBLANK(B201),"""",GOOGLEFINANCE(B201,""low52"")),"""")"),"")</f>
        <v/>
      </c>
      <c r="P201" s="310" t="str">
        <f t="shared" si="4"/>
        <v/>
      </c>
      <c r="Q201" s="311" t="str">
        <f>IFERROR(__xludf.DUMMYFUNCTION("IFERROR(IF(ISBLANK(B201),"""",GOOGLEFINANCE(B201,""high52"")),"""")"),"")</f>
        <v/>
      </c>
      <c r="R201" s="310" t="str">
        <f t="shared" si="5"/>
        <v/>
      </c>
      <c r="S201" s="13" t="str">
        <f t="shared" si="6"/>
        <v/>
      </c>
      <c r="U201" s="13" t="str">
        <f t="shared" si="7"/>
        <v/>
      </c>
      <c r="W201" s="13" t="str">
        <f t="shared" si="8"/>
        <v/>
      </c>
      <c r="X201" s="310" t="str">
        <f t="shared" si="9"/>
        <v/>
      </c>
      <c r="Y201" s="311" t="str">
        <f>IFERROR(__xludf.DUMMYFUNCTION("IF(ISBLANK(B201),"""",IFERROR(INDEX(GOOGLEFINANCE(B201,""price"",WORKDAY(TODAY(),-$Y$17)),2,2),""""))"),"")</f>
        <v/>
      </c>
      <c r="Z201" s="310" t="str">
        <f>IFERROR(__xludf.DUMMYFUNCTION("IF(ISBLANK(B201),"""",IFERROR(I201/(INDEX(GOOGLEFINANCE(B201,""price"",WORKDAY(TODAY(),-$Z$17)),2,2))-1,""""))"),"")</f>
        <v/>
      </c>
      <c r="AA201" s="312" t="str">
        <f>IFERROR(__xludf.DUMMYFUNCTION("IF(ISBLANK(B201),"""",IFERROR(IFERROR(""$""&amp;Trunc(GOOGLEFINANCE(B201,""Marketcap"")/1000000000)&amp;"" B"",""$""&amp;Trunc(IMPORTXML(""https://coinmarketcap.com/currencies/""&amp;B201,$AJ$4)/1000000000)&amp;"" B""),""-""))"),"")</f>
        <v/>
      </c>
      <c r="AB201" s="13" t="str">
        <f>IFERROR(__xludf.DUMMYFUNCTION("IF(ISBLANK(B201),"""",IFERROR(GOOGLEFINANCE(B201,""pe""),""-""))"),"")</f>
        <v/>
      </c>
      <c r="AC201" s="313" t="str">
        <f>IFERROR(__xludf.DUMMYFUNCTION("SPARKLINE(INDEX(GOOGLEFINANCE(B201,""price"",workday(today(),-$AC$17),today()),,2),{""charttype"",""column"";""color"",""green""})
"),"#N/A")</f>
        <v>#N/A</v>
      </c>
      <c r="AD201" s="313" t="str">
        <f>IFERROR(__xludf.DUMMYFUNCTION("IF(ISBLANK(B201),"""",IFERROR(INDEX(IMPORTXML(""https://eresearch.fidelity.com/eresearch/goto/evaluate/snapshot.jhtml?symbols=""&amp;B201&amp;"""",""//div[@class='sub-heading']//span[@class='right']""),1),""Enter Manually"")
)"),"")</f>
        <v/>
      </c>
      <c r="AE201" s="314" t="str">
        <f t="shared" si="10"/>
        <v>Info</v>
      </c>
      <c r="AF201" s="329"/>
      <c r="AG201" s="320"/>
      <c r="AH201" s="13"/>
      <c r="AI201" s="13"/>
      <c r="AJ201" s="13"/>
      <c r="AK201" s="13"/>
      <c r="AL201" s="13"/>
      <c r="AM201" s="13"/>
      <c r="AN201" s="13"/>
      <c r="AO201" s="13"/>
      <c r="AP201" s="13"/>
    </row>
    <row r="202" ht="18.75" customHeight="1">
      <c r="A202" s="13"/>
      <c r="B202" s="327"/>
      <c r="C202" s="306" t="str">
        <f>IFERROR(__xludf.DUMMYFUNCTION("GOOGLEFINANCE(B202,""name"")
"),"#N/A")</f>
        <v>#N/A</v>
      </c>
      <c r="D202" s="306"/>
      <c r="E202" s="328"/>
      <c r="F202" s="13" t="str">
        <f t="shared" si="1"/>
        <v/>
      </c>
      <c r="G202" s="309" t="str">
        <f>IFERROR(__xludf.DUMMYFUNCTION("IF(ISBLANK(B202),"""",IFERROR(SPARKLINE(INDEX(GOOGLEFINANCE(B202,""price"",TODAY()-$G$17,TODAY()),,2),{""charttype"",""column"";""color"",""17a7e0""}),""""))"),"")</f>
        <v/>
      </c>
      <c r="I202" s="309" t="str">
        <f>IFERROR(__xludf.DUMMYFUNCTION("IFERROR(IF(B202="""","""",GOOGLEFINANCE(B202)),IFERROR(GOOGLEFINANCE(""CURRENCY:""&amp;""USD""&amp;$D$15)*IMPORTXML(""https://coinmarketcap.com/currencies/""&amp;B202,$AJ$3),IMPORTXML(""https://coinmarketcap.com/currencies/""&amp;B202,$AJ$3)))"),"")</f>
        <v/>
      </c>
      <c r="J202" s="310" t="str">
        <f t="shared" si="2"/>
        <v/>
      </c>
      <c r="K202" s="310" t="str">
        <f>IFERROR(__xludf.DUMMYFUNCTION("IFERROR(IF(ISBLANK(B202),"""",GOOGLEFINANCE(B202,""changepct"")/100),"""")"),"")</f>
        <v/>
      </c>
      <c r="L202" s="310" t="str">
        <f>IFERROR(__xludf.DUMMYFUNCTION("IF(ISBLANK(B202),"""",IFERROR((GOOGLEFINANCE(B202,""price"")/INDEX(GOOGLEFINANCE(B202,""price"",DATEVALUE(TODAY()-365) ),2,2)-1),""""))"),"")</f>
        <v/>
      </c>
      <c r="M202" s="310" t="str">
        <f>IFERROR(__xludf.DUMMYFUNCTION("IF(ISBLANK(B202),"""",IFERROR((GOOGLEFINANCE($D$13,""price"")/INDEX(GOOGLEFINANCE($D$13,""price"",DATEVALUE(TODAY()-365) ),2,2)-1),""""))"),"")</f>
        <v/>
      </c>
      <c r="N202" s="310" t="str">
        <f t="shared" si="3"/>
        <v/>
      </c>
      <c r="O202" s="311" t="str">
        <f>IFERROR(__xludf.DUMMYFUNCTION("IFERROR(IF(ISBLANK(B202),"""",GOOGLEFINANCE(B202,""low52"")),"""")"),"")</f>
        <v/>
      </c>
      <c r="P202" s="310" t="str">
        <f t="shared" si="4"/>
        <v/>
      </c>
      <c r="Q202" s="311" t="str">
        <f>IFERROR(__xludf.DUMMYFUNCTION("IFERROR(IF(ISBLANK(B202),"""",GOOGLEFINANCE(B202,""high52"")),"""")"),"")</f>
        <v/>
      </c>
      <c r="R202" s="310" t="str">
        <f t="shared" si="5"/>
        <v/>
      </c>
      <c r="S202" s="13" t="str">
        <f t="shared" si="6"/>
        <v/>
      </c>
      <c r="U202" s="13" t="str">
        <f t="shared" si="7"/>
        <v/>
      </c>
      <c r="W202" s="13" t="str">
        <f t="shared" si="8"/>
        <v/>
      </c>
      <c r="X202" s="310" t="str">
        <f t="shared" si="9"/>
        <v/>
      </c>
      <c r="Y202" s="311" t="str">
        <f>IFERROR(__xludf.DUMMYFUNCTION("IF(ISBLANK(B202),"""",IFERROR(INDEX(GOOGLEFINANCE(B202,""price"",WORKDAY(TODAY(),-$Y$17)),2,2),""""))"),"")</f>
        <v/>
      </c>
      <c r="Z202" s="310" t="str">
        <f>IFERROR(__xludf.DUMMYFUNCTION("IF(ISBLANK(B202),"""",IFERROR(I202/(INDEX(GOOGLEFINANCE(B202,""price"",WORKDAY(TODAY(),-$Z$17)),2,2))-1,""""))"),"")</f>
        <v/>
      </c>
      <c r="AA202" s="312" t="str">
        <f>IFERROR(__xludf.DUMMYFUNCTION("IF(ISBLANK(B202),"""",IFERROR(IFERROR(""$""&amp;Trunc(GOOGLEFINANCE(B202,""Marketcap"")/1000000000)&amp;"" B"",""$""&amp;Trunc(IMPORTXML(""https://coinmarketcap.com/currencies/""&amp;B202,$AJ$4)/1000000000)&amp;"" B""),""-""))"),"")</f>
        <v/>
      </c>
      <c r="AB202" s="13" t="str">
        <f>IFERROR(__xludf.DUMMYFUNCTION("IF(ISBLANK(B202),"""",IFERROR(GOOGLEFINANCE(B202,""pe""),""-""))"),"")</f>
        <v/>
      </c>
      <c r="AC202" s="313" t="str">
        <f>IFERROR(__xludf.DUMMYFUNCTION("SPARKLINE(INDEX(GOOGLEFINANCE(B202,""price"",workday(today(),-$AC$17),today()),,2),{""charttype"",""column"";""color"",""green""})
"),"#N/A")</f>
        <v>#N/A</v>
      </c>
      <c r="AD202" s="313" t="str">
        <f>IFERROR(__xludf.DUMMYFUNCTION("IF(ISBLANK(B202),"""",IFERROR(INDEX(IMPORTXML(""https://eresearch.fidelity.com/eresearch/goto/evaluate/snapshot.jhtml?symbols=""&amp;B202&amp;"""",""//div[@class='sub-heading']//span[@class='right']""),1),""Enter Manually"")
)"),"")</f>
        <v/>
      </c>
      <c r="AE202" s="314" t="str">
        <f t="shared" si="10"/>
        <v>Info</v>
      </c>
      <c r="AF202" s="329"/>
      <c r="AG202" s="320"/>
      <c r="AH202" s="13"/>
      <c r="AI202" s="13"/>
      <c r="AJ202" s="13"/>
      <c r="AK202" s="13"/>
      <c r="AL202" s="13"/>
      <c r="AM202" s="13"/>
      <c r="AN202" s="13"/>
      <c r="AO202" s="13"/>
      <c r="AP202" s="13"/>
    </row>
    <row r="203" ht="18.75" customHeight="1">
      <c r="A203" s="13"/>
      <c r="B203" s="327"/>
      <c r="C203" s="306" t="str">
        <f>IFERROR(__xludf.DUMMYFUNCTION("GOOGLEFINANCE(B203,""name"")
"),"#N/A")</f>
        <v>#N/A</v>
      </c>
      <c r="D203" s="306"/>
      <c r="E203" s="328"/>
      <c r="F203" s="13" t="str">
        <f t="shared" si="1"/>
        <v/>
      </c>
      <c r="G203" s="309" t="str">
        <f>IFERROR(__xludf.DUMMYFUNCTION("IF(ISBLANK(B203),"""",IFERROR(SPARKLINE(INDEX(GOOGLEFINANCE(B203,""price"",TODAY()-$G$17,TODAY()),,2),{""charttype"",""column"";""color"",""17a7e0""}),""""))"),"")</f>
        <v/>
      </c>
      <c r="I203" s="309" t="str">
        <f>IFERROR(__xludf.DUMMYFUNCTION("IFERROR(IF(B203="""","""",GOOGLEFINANCE(B203)),IFERROR(GOOGLEFINANCE(""CURRENCY:""&amp;""USD""&amp;$D$15)*IMPORTXML(""https://coinmarketcap.com/currencies/""&amp;B203,$AJ$3),IMPORTXML(""https://coinmarketcap.com/currencies/""&amp;B203,$AJ$3)))"),"")</f>
        <v/>
      </c>
      <c r="J203" s="310" t="str">
        <f t="shared" si="2"/>
        <v/>
      </c>
      <c r="K203" s="310" t="str">
        <f>IFERROR(__xludf.DUMMYFUNCTION("IFERROR(IF(ISBLANK(B203),"""",GOOGLEFINANCE(B203,""changepct"")/100),"""")"),"")</f>
        <v/>
      </c>
      <c r="L203" s="310" t="str">
        <f>IFERROR(__xludf.DUMMYFUNCTION("IF(ISBLANK(B203),"""",IFERROR((GOOGLEFINANCE(B203,""price"")/INDEX(GOOGLEFINANCE(B203,""price"",DATEVALUE(TODAY()-365) ),2,2)-1),""""))"),"")</f>
        <v/>
      </c>
      <c r="M203" s="310" t="str">
        <f>IFERROR(__xludf.DUMMYFUNCTION("IF(ISBLANK(B203),"""",IFERROR((GOOGLEFINANCE($D$13,""price"")/INDEX(GOOGLEFINANCE($D$13,""price"",DATEVALUE(TODAY()-365) ),2,2)-1),""""))"),"")</f>
        <v/>
      </c>
      <c r="N203" s="310" t="str">
        <f t="shared" si="3"/>
        <v/>
      </c>
      <c r="O203" s="311" t="str">
        <f>IFERROR(__xludf.DUMMYFUNCTION("IFERROR(IF(ISBLANK(B203),"""",GOOGLEFINANCE(B203,""low52"")),"""")"),"")</f>
        <v/>
      </c>
      <c r="P203" s="310" t="str">
        <f t="shared" si="4"/>
        <v/>
      </c>
      <c r="Q203" s="311" t="str">
        <f>IFERROR(__xludf.DUMMYFUNCTION("IFERROR(IF(ISBLANK(B203),"""",GOOGLEFINANCE(B203,""high52"")),"""")"),"")</f>
        <v/>
      </c>
      <c r="R203" s="310" t="str">
        <f t="shared" si="5"/>
        <v/>
      </c>
      <c r="S203" s="13" t="str">
        <f t="shared" si="6"/>
        <v/>
      </c>
      <c r="U203" s="13" t="str">
        <f t="shared" si="7"/>
        <v/>
      </c>
      <c r="W203" s="13" t="str">
        <f t="shared" si="8"/>
        <v/>
      </c>
      <c r="X203" s="310" t="str">
        <f t="shared" si="9"/>
        <v/>
      </c>
      <c r="Y203" s="311" t="str">
        <f>IFERROR(__xludf.DUMMYFUNCTION("IF(ISBLANK(B203),"""",IFERROR(INDEX(GOOGLEFINANCE(B203,""price"",WORKDAY(TODAY(),-$Y$17)),2,2),""""))"),"")</f>
        <v/>
      </c>
      <c r="Z203" s="310" t="str">
        <f>IFERROR(__xludf.DUMMYFUNCTION("IF(ISBLANK(B203),"""",IFERROR(I203/(INDEX(GOOGLEFINANCE(B203,""price"",WORKDAY(TODAY(),-$Z$17)),2,2))-1,""""))"),"")</f>
        <v/>
      </c>
      <c r="AA203" s="312" t="str">
        <f>IFERROR(__xludf.DUMMYFUNCTION("IF(ISBLANK(B203),"""",IFERROR(IFERROR(""$""&amp;Trunc(GOOGLEFINANCE(B203,""Marketcap"")/1000000000)&amp;"" B"",""$""&amp;Trunc(IMPORTXML(""https://coinmarketcap.com/currencies/""&amp;B203,$AJ$4)/1000000000)&amp;"" B""),""-""))"),"")</f>
        <v/>
      </c>
      <c r="AB203" s="13" t="str">
        <f>IFERROR(__xludf.DUMMYFUNCTION("IF(ISBLANK(B203),"""",IFERROR(GOOGLEFINANCE(B203,""pe""),""-""))"),"")</f>
        <v/>
      </c>
      <c r="AC203" s="313" t="str">
        <f>IFERROR(__xludf.DUMMYFUNCTION("SPARKLINE(INDEX(GOOGLEFINANCE(B203,""price"",workday(today(),-$AC$17),today()),,2),{""charttype"",""column"";""color"",""green""})
"),"#N/A")</f>
        <v>#N/A</v>
      </c>
      <c r="AD203" s="313" t="str">
        <f>IFERROR(__xludf.DUMMYFUNCTION("IF(ISBLANK(B203),"""",IFERROR(INDEX(IMPORTXML(""https://eresearch.fidelity.com/eresearch/goto/evaluate/snapshot.jhtml?symbols=""&amp;B203&amp;"""",""//div[@class='sub-heading']//span[@class='right']""),1),""Enter Manually"")
)"),"")</f>
        <v/>
      </c>
      <c r="AE203" s="314" t="str">
        <f t="shared" si="10"/>
        <v>Info</v>
      </c>
      <c r="AF203" s="329"/>
      <c r="AG203" s="320"/>
      <c r="AH203" s="13"/>
      <c r="AI203" s="13"/>
      <c r="AJ203" s="13"/>
      <c r="AK203" s="13"/>
      <c r="AL203" s="13"/>
      <c r="AM203" s="13"/>
      <c r="AN203" s="13"/>
      <c r="AO203" s="13"/>
      <c r="AP203" s="13"/>
    </row>
    <row r="204" ht="18.75" customHeight="1">
      <c r="A204" s="13"/>
      <c r="B204" s="327"/>
      <c r="C204" s="306" t="str">
        <f>IFERROR(__xludf.DUMMYFUNCTION("GOOGLEFINANCE(B204,""name"")
"),"#N/A")</f>
        <v>#N/A</v>
      </c>
      <c r="D204" s="306"/>
      <c r="E204" s="328"/>
      <c r="F204" s="13" t="str">
        <f t="shared" si="1"/>
        <v/>
      </c>
      <c r="G204" s="309" t="str">
        <f>IFERROR(__xludf.DUMMYFUNCTION("IF(ISBLANK(B204),"""",IFERROR(SPARKLINE(INDEX(GOOGLEFINANCE(B204,""price"",TODAY()-$G$17,TODAY()),,2),{""charttype"",""column"";""color"",""17a7e0""}),""""))"),"")</f>
        <v/>
      </c>
      <c r="I204" s="309" t="str">
        <f>IFERROR(__xludf.DUMMYFUNCTION("IFERROR(IF(B204="""","""",GOOGLEFINANCE(B204)),IFERROR(GOOGLEFINANCE(""CURRENCY:""&amp;""USD""&amp;$D$15)*IMPORTXML(""https://coinmarketcap.com/currencies/""&amp;B204,$AJ$3),IMPORTXML(""https://coinmarketcap.com/currencies/""&amp;B204,$AJ$3)))"),"")</f>
        <v/>
      </c>
      <c r="J204" s="310" t="str">
        <f t="shared" si="2"/>
        <v/>
      </c>
      <c r="K204" s="310" t="str">
        <f>IFERROR(__xludf.DUMMYFUNCTION("IFERROR(IF(ISBLANK(B204),"""",GOOGLEFINANCE(B204,""changepct"")/100),"""")"),"")</f>
        <v/>
      </c>
      <c r="L204" s="310" t="str">
        <f>IFERROR(__xludf.DUMMYFUNCTION("IF(ISBLANK(B204),"""",IFERROR((GOOGLEFINANCE(B204,""price"")/INDEX(GOOGLEFINANCE(B204,""price"",DATEVALUE(TODAY()-365) ),2,2)-1),""""))"),"")</f>
        <v/>
      </c>
      <c r="M204" s="310" t="str">
        <f>IFERROR(__xludf.DUMMYFUNCTION("IF(ISBLANK(B204),"""",IFERROR((GOOGLEFINANCE($D$13,""price"")/INDEX(GOOGLEFINANCE($D$13,""price"",DATEVALUE(TODAY()-365) ),2,2)-1),""""))"),"")</f>
        <v/>
      </c>
      <c r="N204" s="310" t="str">
        <f t="shared" si="3"/>
        <v/>
      </c>
      <c r="O204" s="311" t="str">
        <f>IFERROR(__xludf.DUMMYFUNCTION("IFERROR(IF(ISBLANK(B204),"""",GOOGLEFINANCE(B204,""low52"")),"""")"),"")</f>
        <v/>
      </c>
      <c r="P204" s="310" t="str">
        <f t="shared" si="4"/>
        <v/>
      </c>
      <c r="Q204" s="311" t="str">
        <f>IFERROR(__xludf.DUMMYFUNCTION("IFERROR(IF(ISBLANK(B204),"""",GOOGLEFINANCE(B204,""high52"")),"""")"),"")</f>
        <v/>
      </c>
      <c r="R204" s="310" t="str">
        <f t="shared" si="5"/>
        <v/>
      </c>
      <c r="S204" s="13" t="str">
        <f t="shared" si="6"/>
        <v/>
      </c>
      <c r="U204" s="13" t="str">
        <f t="shared" si="7"/>
        <v/>
      </c>
      <c r="W204" s="13" t="str">
        <f t="shared" si="8"/>
        <v/>
      </c>
      <c r="X204" s="310" t="str">
        <f t="shared" si="9"/>
        <v/>
      </c>
      <c r="Y204" s="311" t="str">
        <f>IFERROR(__xludf.DUMMYFUNCTION("IF(ISBLANK(B204),"""",IFERROR(INDEX(GOOGLEFINANCE(B204,""price"",WORKDAY(TODAY(),-$Y$17)),2,2),""""))"),"")</f>
        <v/>
      </c>
      <c r="Z204" s="310" t="str">
        <f>IFERROR(__xludf.DUMMYFUNCTION("IF(ISBLANK(B204),"""",IFERROR(I204/(INDEX(GOOGLEFINANCE(B204,""price"",WORKDAY(TODAY(),-$Z$17)),2,2))-1,""""))"),"")</f>
        <v/>
      </c>
      <c r="AA204" s="312" t="str">
        <f>IFERROR(__xludf.DUMMYFUNCTION("IF(ISBLANK(B204),"""",IFERROR(IFERROR(""$""&amp;Trunc(GOOGLEFINANCE(B204,""Marketcap"")/1000000000)&amp;"" B"",""$""&amp;Trunc(IMPORTXML(""https://coinmarketcap.com/currencies/""&amp;B204,$AJ$4)/1000000000)&amp;"" B""),""-""))"),"")</f>
        <v/>
      </c>
      <c r="AB204" s="13" t="str">
        <f>IFERROR(__xludf.DUMMYFUNCTION("IF(ISBLANK(B204),"""",IFERROR(GOOGLEFINANCE(B204,""pe""),""-""))"),"")</f>
        <v/>
      </c>
      <c r="AC204" s="313" t="str">
        <f>IFERROR(__xludf.DUMMYFUNCTION("SPARKLINE(INDEX(GOOGLEFINANCE(B204,""price"",workday(today(),-$AC$17),today()),,2),{""charttype"",""column"";""color"",""green""})
"),"#N/A")</f>
        <v>#N/A</v>
      </c>
      <c r="AD204" s="313" t="str">
        <f>IFERROR(__xludf.DUMMYFUNCTION("IF(ISBLANK(B204),"""",IFERROR(INDEX(IMPORTXML(""https://eresearch.fidelity.com/eresearch/goto/evaluate/snapshot.jhtml?symbols=""&amp;B204&amp;"""",""//div[@class='sub-heading']//span[@class='right']""),1),""Enter Manually"")
)"),"")</f>
        <v/>
      </c>
      <c r="AE204" s="314" t="str">
        <f t="shared" si="10"/>
        <v>Info</v>
      </c>
      <c r="AF204" s="329"/>
      <c r="AG204" s="320"/>
      <c r="AH204" s="13"/>
      <c r="AI204" s="13"/>
      <c r="AJ204" s="13"/>
      <c r="AK204" s="13"/>
      <c r="AL204" s="13"/>
      <c r="AM204" s="13"/>
      <c r="AN204" s="13"/>
      <c r="AO204" s="13"/>
      <c r="AP204" s="13"/>
    </row>
    <row r="205" ht="18.75" customHeight="1">
      <c r="A205" s="13"/>
      <c r="B205" s="327"/>
      <c r="C205" s="306" t="str">
        <f>IFERROR(__xludf.DUMMYFUNCTION("GOOGLEFINANCE(B205,""name"")
"),"#N/A")</f>
        <v>#N/A</v>
      </c>
      <c r="D205" s="306"/>
      <c r="E205" s="328"/>
      <c r="F205" s="13" t="str">
        <f t="shared" si="1"/>
        <v/>
      </c>
      <c r="G205" s="309" t="str">
        <f>IFERROR(__xludf.DUMMYFUNCTION("IF(ISBLANK(B205),"""",IFERROR(SPARKLINE(INDEX(GOOGLEFINANCE(B205,""price"",TODAY()-$G$17,TODAY()),,2),{""charttype"",""column"";""color"",""17a7e0""}),""""))"),"")</f>
        <v/>
      </c>
      <c r="I205" s="309" t="str">
        <f>IFERROR(__xludf.DUMMYFUNCTION("IFERROR(IF(B205="""","""",GOOGLEFINANCE(B205)),IFERROR(GOOGLEFINANCE(""CURRENCY:""&amp;""USD""&amp;$D$15)*IMPORTXML(""https://coinmarketcap.com/currencies/""&amp;B205,$AJ$3),IMPORTXML(""https://coinmarketcap.com/currencies/""&amp;B205,$AJ$3)))"),"")</f>
        <v/>
      </c>
      <c r="J205" s="310" t="str">
        <f t="shared" si="2"/>
        <v/>
      </c>
      <c r="K205" s="310" t="str">
        <f>IFERROR(__xludf.DUMMYFUNCTION("IFERROR(IF(ISBLANK(B205),"""",GOOGLEFINANCE(B205,""changepct"")/100),"""")"),"")</f>
        <v/>
      </c>
      <c r="L205" s="310" t="str">
        <f>IFERROR(__xludf.DUMMYFUNCTION("IF(ISBLANK(B205),"""",IFERROR((GOOGLEFINANCE(B205,""price"")/INDEX(GOOGLEFINANCE(B205,""price"",DATEVALUE(TODAY()-365) ),2,2)-1),""""))"),"")</f>
        <v/>
      </c>
      <c r="M205" s="310" t="str">
        <f>IFERROR(__xludf.DUMMYFUNCTION("IF(ISBLANK(B205),"""",IFERROR((GOOGLEFINANCE($D$13,""price"")/INDEX(GOOGLEFINANCE($D$13,""price"",DATEVALUE(TODAY()-365) ),2,2)-1),""""))"),"")</f>
        <v/>
      </c>
      <c r="N205" s="310" t="str">
        <f t="shared" si="3"/>
        <v/>
      </c>
      <c r="O205" s="311" t="str">
        <f>IFERROR(__xludf.DUMMYFUNCTION("IFERROR(IF(ISBLANK(B205),"""",GOOGLEFINANCE(B205,""low52"")),"""")"),"")</f>
        <v/>
      </c>
      <c r="P205" s="310" t="str">
        <f t="shared" si="4"/>
        <v/>
      </c>
      <c r="Q205" s="311" t="str">
        <f>IFERROR(__xludf.DUMMYFUNCTION("IFERROR(IF(ISBLANK(B205),"""",GOOGLEFINANCE(B205,""high52"")),"""")"),"")</f>
        <v/>
      </c>
      <c r="R205" s="310" t="str">
        <f t="shared" si="5"/>
        <v/>
      </c>
      <c r="S205" s="13" t="str">
        <f t="shared" si="6"/>
        <v/>
      </c>
      <c r="U205" s="13" t="str">
        <f t="shared" si="7"/>
        <v/>
      </c>
      <c r="W205" s="13" t="str">
        <f t="shared" si="8"/>
        <v/>
      </c>
      <c r="X205" s="310" t="str">
        <f t="shared" si="9"/>
        <v/>
      </c>
      <c r="Y205" s="311" t="str">
        <f>IFERROR(__xludf.DUMMYFUNCTION("IF(ISBLANK(B205),"""",IFERROR(INDEX(GOOGLEFINANCE(B205,""price"",WORKDAY(TODAY(),-$Y$17)),2,2),""""))"),"")</f>
        <v/>
      </c>
      <c r="Z205" s="310" t="str">
        <f>IFERROR(__xludf.DUMMYFUNCTION("IF(ISBLANK(B205),"""",IFERROR(I205/(INDEX(GOOGLEFINANCE(B205,""price"",WORKDAY(TODAY(),-$Z$17)),2,2))-1,""""))"),"")</f>
        <v/>
      </c>
      <c r="AA205" s="312" t="str">
        <f>IFERROR(__xludf.DUMMYFUNCTION("IF(ISBLANK(B205),"""",IFERROR(IFERROR(""$""&amp;Trunc(GOOGLEFINANCE(B205,""Marketcap"")/1000000000)&amp;"" B"",""$""&amp;Trunc(IMPORTXML(""https://coinmarketcap.com/currencies/""&amp;B205,$AJ$4)/1000000000)&amp;"" B""),""-""))"),"")</f>
        <v/>
      </c>
      <c r="AB205" s="13" t="str">
        <f>IFERROR(__xludf.DUMMYFUNCTION("IF(ISBLANK(B205),"""",IFERROR(GOOGLEFINANCE(B205,""pe""),""-""))"),"")</f>
        <v/>
      </c>
      <c r="AC205" s="313" t="str">
        <f>IFERROR(__xludf.DUMMYFUNCTION("SPARKLINE(INDEX(GOOGLEFINANCE(B205,""price"",workday(today(),-$AC$17),today()),,2),{""charttype"",""column"";""color"",""green""})
"),"#N/A")</f>
        <v>#N/A</v>
      </c>
      <c r="AD205" s="313" t="str">
        <f>IFERROR(__xludf.DUMMYFUNCTION("IF(ISBLANK(B205),"""",IFERROR(INDEX(IMPORTXML(""https://eresearch.fidelity.com/eresearch/goto/evaluate/snapshot.jhtml?symbols=""&amp;B205&amp;"""",""//div[@class='sub-heading']//span[@class='right']""),1),""Enter Manually"")
)"),"")</f>
        <v/>
      </c>
      <c r="AE205" s="314" t="str">
        <f t="shared" si="10"/>
        <v>Info</v>
      </c>
      <c r="AF205" s="329"/>
      <c r="AG205" s="320"/>
      <c r="AH205" s="13"/>
      <c r="AI205" s="13"/>
      <c r="AJ205" s="13"/>
      <c r="AK205" s="13"/>
      <c r="AL205" s="13"/>
      <c r="AM205" s="13"/>
      <c r="AN205" s="13"/>
      <c r="AO205" s="13"/>
      <c r="AP205" s="13"/>
    </row>
    <row r="206" ht="18.75" customHeight="1">
      <c r="A206" s="13"/>
      <c r="B206" s="327"/>
      <c r="C206" s="306" t="str">
        <f>IFERROR(__xludf.DUMMYFUNCTION("GOOGLEFINANCE(B206,""name"")
"),"#N/A")</f>
        <v>#N/A</v>
      </c>
      <c r="D206" s="306"/>
      <c r="E206" s="328"/>
      <c r="F206" s="13" t="str">
        <f t="shared" si="1"/>
        <v/>
      </c>
      <c r="G206" s="309" t="str">
        <f>IFERROR(__xludf.DUMMYFUNCTION("IF(ISBLANK(B206),"""",IFERROR(SPARKLINE(INDEX(GOOGLEFINANCE(B206,""price"",TODAY()-$G$17,TODAY()),,2),{""charttype"",""column"";""color"",""17a7e0""}),""""))"),"")</f>
        <v/>
      </c>
      <c r="I206" s="309" t="str">
        <f>IFERROR(__xludf.DUMMYFUNCTION("IFERROR(IF(B206="""","""",GOOGLEFINANCE(B206)),IFERROR(GOOGLEFINANCE(""CURRENCY:""&amp;""USD""&amp;$D$15)*IMPORTXML(""https://coinmarketcap.com/currencies/""&amp;B206,$AJ$3),IMPORTXML(""https://coinmarketcap.com/currencies/""&amp;B206,$AJ$3)))"),"")</f>
        <v/>
      </c>
      <c r="J206" s="310" t="str">
        <f t="shared" si="2"/>
        <v/>
      </c>
      <c r="K206" s="310" t="str">
        <f>IFERROR(__xludf.DUMMYFUNCTION("IFERROR(IF(ISBLANK(B206),"""",GOOGLEFINANCE(B206,""changepct"")/100),"""")"),"")</f>
        <v/>
      </c>
      <c r="L206" s="310" t="str">
        <f>IFERROR(__xludf.DUMMYFUNCTION("IF(ISBLANK(B206),"""",IFERROR((GOOGLEFINANCE(B206,""price"")/INDEX(GOOGLEFINANCE(B206,""price"",DATEVALUE(TODAY()-365) ),2,2)-1),""""))"),"")</f>
        <v/>
      </c>
      <c r="M206" s="310" t="str">
        <f>IFERROR(__xludf.DUMMYFUNCTION("IF(ISBLANK(B206),"""",IFERROR((GOOGLEFINANCE($D$13,""price"")/INDEX(GOOGLEFINANCE($D$13,""price"",DATEVALUE(TODAY()-365) ),2,2)-1),""""))"),"")</f>
        <v/>
      </c>
      <c r="N206" s="310" t="str">
        <f t="shared" si="3"/>
        <v/>
      </c>
      <c r="O206" s="311" t="str">
        <f>IFERROR(__xludf.DUMMYFUNCTION("IFERROR(IF(ISBLANK(B206),"""",GOOGLEFINANCE(B206,""low52"")),"""")"),"")</f>
        <v/>
      </c>
      <c r="P206" s="310" t="str">
        <f t="shared" si="4"/>
        <v/>
      </c>
      <c r="Q206" s="311" t="str">
        <f>IFERROR(__xludf.DUMMYFUNCTION("IFERROR(IF(ISBLANK(B206),"""",GOOGLEFINANCE(B206,""high52"")),"""")"),"")</f>
        <v/>
      </c>
      <c r="R206" s="310" t="str">
        <f t="shared" si="5"/>
        <v/>
      </c>
      <c r="S206" s="13" t="str">
        <f t="shared" si="6"/>
        <v/>
      </c>
      <c r="U206" s="13" t="str">
        <f t="shared" si="7"/>
        <v/>
      </c>
      <c r="W206" s="13" t="str">
        <f t="shared" si="8"/>
        <v/>
      </c>
      <c r="X206" s="310" t="str">
        <f t="shared" si="9"/>
        <v/>
      </c>
      <c r="Y206" s="311" t="str">
        <f>IFERROR(__xludf.DUMMYFUNCTION("IF(ISBLANK(B206),"""",IFERROR(INDEX(GOOGLEFINANCE(B206,""price"",WORKDAY(TODAY(),-$Y$17)),2,2),""""))"),"")</f>
        <v/>
      </c>
      <c r="Z206" s="310" t="str">
        <f>IFERROR(__xludf.DUMMYFUNCTION("IF(ISBLANK(B206),"""",IFERROR(I206/(INDEX(GOOGLEFINANCE(B206,""price"",WORKDAY(TODAY(),-$Z$17)),2,2))-1,""""))"),"")</f>
        <v/>
      </c>
      <c r="AA206" s="312" t="str">
        <f>IFERROR(__xludf.DUMMYFUNCTION("IF(ISBLANK(B206),"""",IFERROR(IFERROR(""$""&amp;Trunc(GOOGLEFINANCE(B206,""Marketcap"")/1000000000)&amp;"" B"",""$""&amp;Trunc(IMPORTXML(""https://coinmarketcap.com/currencies/""&amp;B206,$AJ$4)/1000000000)&amp;"" B""),""-""))"),"")</f>
        <v/>
      </c>
      <c r="AB206" s="13" t="str">
        <f>IFERROR(__xludf.DUMMYFUNCTION("IF(ISBLANK(B206),"""",IFERROR(GOOGLEFINANCE(B206,""pe""),""-""))"),"")</f>
        <v/>
      </c>
      <c r="AC206" s="313" t="str">
        <f>IFERROR(__xludf.DUMMYFUNCTION("SPARKLINE(INDEX(GOOGLEFINANCE(B206,""price"",workday(today(),-$AC$17),today()),,2),{""charttype"",""column"";""color"",""green""})
"),"#N/A")</f>
        <v>#N/A</v>
      </c>
      <c r="AD206" s="313" t="str">
        <f>IFERROR(__xludf.DUMMYFUNCTION("IF(ISBLANK(B206),"""",IFERROR(INDEX(IMPORTXML(""https://eresearch.fidelity.com/eresearch/goto/evaluate/snapshot.jhtml?symbols=""&amp;B206&amp;"""",""//div[@class='sub-heading']//span[@class='right']""),1),""Enter Manually"")
)"),"")</f>
        <v/>
      </c>
      <c r="AE206" s="314" t="str">
        <f t="shared" si="10"/>
        <v>Info</v>
      </c>
      <c r="AF206" s="329"/>
      <c r="AG206" s="320"/>
      <c r="AH206" s="13"/>
      <c r="AI206" s="13"/>
      <c r="AJ206" s="13"/>
      <c r="AK206" s="13"/>
      <c r="AL206" s="13"/>
      <c r="AM206" s="13"/>
      <c r="AN206" s="13"/>
      <c r="AO206" s="13"/>
      <c r="AP206" s="13"/>
    </row>
    <row r="207" ht="18.75" customHeight="1">
      <c r="A207" s="13"/>
      <c r="B207" s="327"/>
      <c r="C207" s="306" t="str">
        <f>IFERROR(__xludf.DUMMYFUNCTION("GOOGLEFINANCE(B207,""name"")
"),"#N/A")</f>
        <v>#N/A</v>
      </c>
      <c r="D207" s="306"/>
      <c r="E207" s="328"/>
      <c r="F207" s="13" t="str">
        <f t="shared" si="1"/>
        <v/>
      </c>
      <c r="G207" s="309" t="str">
        <f>IFERROR(__xludf.DUMMYFUNCTION("IF(ISBLANK(B207),"""",IFERROR(SPARKLINE(INDEX(GOOGLEFINANCE(B207,""price"",TODAY()-$G$17,TODAY()),,2),{""charttype"",""column"";""color"",""17a7e0""}),""""))"),"")</f>
        <v/>
      </c>
      <c r="I207" s="309" t="str">
        <f>IFERROR(__xludf.DUMMYFUNCTION("IFERROR(IF(B207="""","""",GOOGLEFINANCE(B207)),IFERROR(GOOGLEFINANCE(""CURRENCY:""&amp;""USD""&amp;$D$15)*IMPORTXML(""https://coinmarketcap.com/currencies/""&amp;B207,$AJ$3),IMPORTXML(""https://coinmarketcap.com/currencies/""&amp;B207,$AJ$3)))"),"")</f>
        <v/>
      </c>
      <c r="J207" s="310" t="str">
        <f t="shared" si="2"/>
        <v/>
      </c>
      <c r="K207" s="310" t="str">
        <f>IFERROR(__xludf.DUMMYFUNCTION("IFERROR(IF(ISBLANK(B207),"""",GOOGLEFINANCE(B207,""changepct"")/100),"""")"),"")</f>
        <v/>
      </c>
      <c r="L207" s="310" t="str">
        <f>IFERROR(__xludf.DUMMYFUNCTION("IF(ISBLANK(B207),"""",IFERROR((GOOGLEFINANCE(B207,""price"")/INDEX(GOOGLEFINANCE(B207,""price"",DATEVALUE(TODAY()-365) ),2,2)-1),""""))"),"")</f>
        <v/>
      </c>
      <c r="M207" s="310" t="str">
        <f>IFERROR(__xludf.DUMMYFUNCTION("IF(ISBLANK(B207),"""",IFERROR((GOOGLEFINANCE($D$13,""price"")/INDEX(GOOGLEFINANCE($D$13,""price"",DATEVALUE(TODAY()-365) ),2,2)-1),""""))"),"")</f>
        <v/>
      </c>
      <c r="N207" s="310" t="str">
        <f t="shared" si="3"/>
        <v/>
      </c>
      <c r="O207" s="311" t="str">
        <f>IFERROR(__xludf.DUMMYFUNCTION("IFERROR(IF(ISBLANK(B207),"""",GOOGLEFINANCE(B207,""low52"")),"""")"),"")</f>
        <v/>
      </c>
      <c r="P207" s="310" t="str">
        <f t="shared" si="4"/>
        <v/>
      </c>
      <c r="Q207" s="311" t="str">
        <f>IFERROR(__xludf.DUMMYFUNCTION("IFERROR(IF(ISBLANK(B207),"""",GOOGLEFINANCE(B207,""high52"")),"""")"),"")</f>
        <v/>
      </c>
      <c r="R207" s="310" t="str">
        <f t="shared" si="5"/>
        <v/>
      </c>
      <c r="S207" s="13" t="str">
        <f t="shared" si="6"/>
        <v/>
      </c>
      <c r="U207" s="13" t="str">
        <f t="shared" si="7"/>
        <v/>
      </c>
      <c r="W207" s="13" t="str">
        <f t="shared" si="8"/>
        <v/>
      </c>
      <c r="X207" s="310" t="str">
        <f t="shared" si="9"/>
        <v/>
      </c>
      <c r="Y207" s="311" t="str">
        <f>IFERROR(__xludf.DUMMYFUNCTION("IF(ISBLANK(B207),"""",IFERROR(INDEX(GOOGLEFINANCE(B207,""price"",WORKDAY(TODAY(),-$Y$17)),2,2),""""))"),"")</f>
        <v/>
      </c>
      <c r="Z207" s="310" t="str">
        <f>IFERROR(__xludf.DUMMYFUNCTION("IF(ISBLANK(B207),"""",IFERROR(I207/(INDEX(GOOGLEFINANCE(B207,""price"",WORKDAY(TODAY(),-$Z$17)),2,2))-1,""""))"),"")</f>
        <v/>
      </c>
      <c r="AA207" s="312" t="str">
        <f>IFERROR(__xludf.DUMMYFUNCTION("IF(ISBLANK(B207),"""",IFERROR(IFERROR(""$""&amp;Trunc(GOOGLEFINANCE(B207,""Marketcap"")/1000000000)&amp;"" B"",""$""&amp;Trunc(IMPORTXML(""https://coinmarketcap.com/currencies/""&amp;B207,$AJ$4)/1000000000)&amp;"" B""),""-""))"),"")</f>
        <v/>
      </c>
      <c r="AB207" s="13" t="str">
        <f>IFERROR(__xludf.DUMMYFUNCTION("IF(ISBLANK(B207),"""",IFERROR(GOOGLEFINANCE(B207,""pe""),""-""))"),"")</f>
        <v/>
      </c>
      <c r="AC207" s="313" t="str">
        <f>IFERROR(__xludf.DUMMYFUNCTION("SPARKLINE(INDEX(GOOGLEFINANCE(B207,""price"",workday(today(),-$AC$17),today()),,2),{""charttype"",""column"";""color"",""green""})
"),"#N/A")</f>
        <v>#N/A</v>
      </c>
      <c r="AD207" s="313" t="str">
        <f>IFERROR(__xludf.DUMMYFUNCTION("IF(ISBLANK(B207),"""",IFERROR(INDEX(IMPORTXML(""https://eresearch.fidelity.com/eresearch/goto/evaluate/snapshot.jhtml?symbols=""&amp;B207&amp;"""",""//div[@class='sub-heading']//span[@class='right']""),1),""Enter Manually"")
)"),"")</f>
        <v/>
      </c>
      <c r="AE207" s="314" t="str">
        <f t="shared" si="10"/>
        <v>Info</v>
      </c>
      <c r="AF207" s="329"/>
      <c r="AG207" s="320"/>
      <c r="AH207" s="13"/>
      <c r="AI207" s="13"/>
      <c r="AJ207" s="13"/>
      <c r="AK207" s="13"/>
      <c r="AL207" s="13"/>
      <c r="AM207" s="13"/>
      <c r="AN207" s="13"/>
      <c r="AO207" s="13"/>
      <c r="AP207" s="13"/>
    </row>
    <row r="208" ht="18.75" customHeight="1">
      <c r="A208" s="13"/>
      <c r="B208" s="327"/>
      <c r="C208" s="306" t="str">
        <f>IFERROR(__xludf.DUMMYFUNCTION("GOOGLEFINANCE(B208,""name"")
"),"#N/A")</f>
        <v>#N/A</v>
      </c>
      <c r="D208" s="306"/>
      <c r="E208" s="328"/>
      <c r="F208" s="13" t="str">
        <f t="shared" si="1"/>
        <v/>
      </c>
      <c r="G208" s="309" t="str">
        <f>IFERROR(__xludf.DUMMYFUNCTION("IF(ISBLANK(B208),"""",IFERROR(SPARKLINE(INDEX(GOOGLEFINANCE(B208,""price"",TODAY()-$G$17,TODAY()),,2),{""charttype"",""column"";""color"",""17a7e0""}),""""))"),"")</f>
        <v/>
      </c>
      <c r="I208" s="309" t="str">
        <f>IFERROR(__xludf.DUMMYFUNCTION("IFERROR(IF(B208="""","""",GOOGLEFINANCE(B208)),IFERROR(GOOGLEFINANCE(""CURRENCY:""&amp;""USD""&amp;$D$15)*IMPORTXML(""https://coinmarketcap.com/currencies/""&amp;B208,$AJ$3),IMPORTXML(""https://coinmarketcap.com/currencies/""&amp;B208,$AJ$3)))"),"")</f>
        <v/>
      </c>
      <c r="J208" s="310" t="str">
        <f t="shared" si="2"/>
        <v/>
      </c>
      <c r="K208" s="310" t="str">
        <f>IFERROR(__xludf.DUMMYFUNCTION("IFERROR(IF(ISBLANK(B208),"""",GOOGLEFINANCE(B208,""changepct"")/100),"""")"),"")</f>
        <v/>
      </c>
      <c r="L208" s="310" t="str">
        <f>IFERROR(__xludf.DUMMYFUNCTION("IF(ISBLANK(B208),"""",IFERROR((GOOGLEFINANCE(B208,""price"")/INDEX(GOOGLEFINANCE(B208,""price"",DATEVALUE(TODAY()-365) ),2,2)-1),""""))"),"")</f>
        <v/>
      </c>
      <c r="M208" s="310" t="str">
        <f>IFERROR(__xludf.DUMMYFUNCTION("IF(ISBLANK(B208),"""",IFERROR((GOOGLEFINANCE($D$13,""price"")/INDEX(GOOGLEFINANCE($D$13,""price"",DATEVALUE(TODAY()-365) ),2,2)-1),""""))"),"")</f>
        <v/>
      </c>
      <c r="N208" s="310" t="str">
        <f t="shared" si="3"/>
        <v/>
      </c>
      <c r="O208" s="311" t="str">
        <f>IFERROR(__xludf.DUMMYFUNCTION("IFERROR(IF(ISBLANK(B208),"""",GOOGLEFINANCE(B208,""low52"")),"""")"),"")</f>
        <v/>
      </c>
      <c r="P208" s="310" t="str">
        <f t="shared" si="4"/>
        <v/>
      </c>
      <c r="Q208" s="311" t="str">
        <f>IFERROR(__xludf.DUMMYFUNCTION("IFERROR(IF(ISBLANK(B208),"""",GOOGLEFINANCE(B208,""high52"")),"""")"),"")</f>
        <v/>
      </c>
      <c r="R208" s="310" t="str">
        <f t="shared" si="5"/>
        <v/>
      </c>
      <c r="S208" s="13" t="str">
        <f t="shared" si="6"/>
        <v/>
      </c>
      <c r="U208" s="13" t="str">
        <f t="shared" si="7"/>
        <v/>
      </c>
      <c r="W208" s="13" t="str">
        <f t="shared" si="8"/>
        <v/>
      </c>
      <c r="X208" s="310" t="str">
        <f t="shared" si="9"/>
        <v/>
      </c>
      <c r="Y208" s="311" t="str">
        <f>IFERROR(__xludf.DUMMYFUNCTION("IF(ISBLANK(B208),"""",IFERROR(INDEX(GOOGLEFINANCE(B208,""price"",WORKDAY(TODAY(),-$Y$17)),2,2),""""))"),"")</f>
        <v/>
      </c>
      <c r="Z208" s="310" t="str">
        <f>IFERROR(__xludf.DUMMYFUNCTION("IF(ISBLANK(B208),"""",IFERROR(I208/(INDEX(GOOGLEFINANCE(B208,""price"",WORKDAY(TODAY(),-$Z$17)),2,2))-1,""""))"),"")</f>
        <v/>
      </c>
      <c r="AA208" s="312" t="str">
        <f>IFERROR(__xludf.DUMMYFUNCTION("IF(ISBLANK(B208),"""",IFERROR(IFERROR(""$""&amp;Trunc(GOOGLEFINANCE(B208,""Marketcap"")/1000000000)&amp;"" B"",""$""&amp;Trunc(IMPORTXML(""https://coinmarketcap.com/currencies/""&amp;B208,$AJ$4)/1000000000)&amp;"" B""),""-""))"),"")</f>
        <v/>
      </c>
      <c r="AB208" s="13" t="str">
        <f>IFERROR(__xludf.DUMMYFUNCTION("IF(ISBLANK(B208),"""",IFERROR(GOOGLEFINANCE(B208,""pe""),""-""))"),"")</f>
        <v/>
      </c>
      <c r="AC208" s="313" t="str">
        <f>IFERROR(__xludf.DUMMYFUNCTION("SPARKLINE(INDEX(GOOGLEFINANCE(B208,""price"",workday(today(),-$AC$17),today()),,2),{""charttype"",""column"";""color"",""green""})
"),"#N/A")</f>
        <v>#N/A</v>
      </c>
      <c r="AD208" s="313" t="str">
        <f>IFERROR(__xludf.DUMMYFUNCTION("IF(ISBLANK(B208),"""",IFERROR(INDEX(IMPORTXML(""https://eresearch.fidelity.com/eresearch/goto/evaluate/snapshot.jhtml?symbols=""&amp;B208&amp;"""",""//div[@class='sub-heading']//span[@class='right']""),1),""Enter Manually"")
)"),"")</f>
        <v/>
      </c>
      <c r="AE208" s="314" t="str">
        <f t="shared" si="10"/>
        <v>Info</v>
      </c>
      <c r="AF208" s="329"/>
      <c r="AG208" s="320"/>
      <c r="AH208" s="13"/>
      <c r="AI208" s="13"/>
      <c r="AJ208" s="13"/>
      <c r="AK208" s="13"/>
      <c r="AL208" s="13"/>
      <c r="AM208" s="13"/>
      <c r="AN208" s="13"/>
      <c r="AO208" s="13"/>
      <c r="AP208" s="13"/>
    </row>
    <row r="209" ht="18.75" customHeight="1">
      <c r="A209" s="13"/>
      <c r="B209" s="327"/>
      <c r="C209" s="306" t="str">
        <f>IFERROR(__xludf.DUMMYFUNCTION("GOOGLEFINANCE(B209,""name"")
"),"#N/A")</f>
        <v>#N/A</v>
      </c>
      <c r="D209" s="306"/>
      <c r="E209" s="328"/>
      <c r="F209" s="13" t="str">
        <f t="shared" si="1"/>
        <v/>
      </c>
      <c r="G209" s="309" t="str">
        <f>IFERROR(__xludf.DUMMYFUNCTION("IF(ISBLANK(B209),"""",IFERROR(SPARKLINE(INDEX(GOOGLEFINANCE(B209,""price"",TODAY()-$G$17,TODAY()),,2),{""charttype"",""column"";""color"",""17a7e0""}),""""))"),"")</f>
        <v/>
      </c>
      <c r="I209" s="309" t="str">
        <f>IFERROR(__xludf.DUMMYFUNCTION("IFERROR(IF(B209="""","""",GOOGLEFINANCE(B209)),IFERROR(GOOGLEFINANCE(""CURRENCY:""&amp;""USD""&amp;$D$15)*IMPORTXML(""https://coinmarketcap.com/currencies/""&amp;B209,$AJ$3),IMPORTXML(""https://coinmarketcap.com/currencies/""&amp;B209,$AJ$3)))"),"")</f>
        <v/>
      </c>
      <c r="J209" s="310" t="str">
        <f t="shared" si="2"/>
        <v/>
      </c>
      <c r="K209" s="310" t="str">
        <f>IFERROR(__xludf.DUMMYFUNCTION("IFERROR(IF(ISBLANK(B209),"""",GOOGLEFINANCE(B209,""changepct"")/100),"""")"),"")</f>
        <v/>
      </c>
      <c r="L209" s="310" t="str">
        <f>IFERROR(__xludf.DUMMYFUNCTION("IF(ISBLANK(B209),"""",IFERROR((GOOGLEFINANCE(B209,""price"")/INDEX(GOOGLEFINANCE(B209,""price"",DATEVALUE(TODAY()-365) ),2,2)-1),""""))"),"")</f>
        <v/>
      </c>
      <c r="M209" s="310" t="str">
        <f>IFERROR(__xludf.DUMMYFUNCTION("IF(ISBLANK(B209),"""",IFERROR((GOOGLEFINANCE($D$13,""price"")/INDEX(GOOGLEFINANCE($D$13,""price"",DATEVALUE(TODAY()-365) ),2,2)-1),""""))"),"")</f>
        <v/>
      </c>
      <c r="N209" s="310" t="str">
        <f t="shared" si="3"/>
        <v/>
      </c>
      <c r="O209" s="311" t="str">
        <f>IFERROR(__xludf.DUMMYFUNCTION("IFERROR(IF(ISBLANK(B209),"""",GOOGLEFINANCE(B209,""low52"")),"""")"),"")</f>
        <v/>
      </c>
      <c r="P209" s="310" t="str">
        <f t="shared" si="4"/>
        <v/>
      </c>
      <c r="Q209" s="311" t="str">
        <f>IFERROR(__xludf.DUMMYFUNCTION("IFERROR(IF(ISBLANK(B209),"""",GOOGLEFINANCE(B209,""high52"")),"""")"),"")</f>
        <v/>
      </c>
      <c r="R209" s="310" t="str">
        <f t="shared" si="5"/>
        <v/>
      </c>
      <c r="S209" s="13" t="str">
        <f t="shared" si="6"/>
        <v/>
      </c>
      <c r="U209" s="13" t="str">
        <f t="shared" si="7"/>
        <v/>
      </c>
      <c r="W209" s="13" t="str">
        <f t="shared" si="8"/>
        <v/>
      </c>
      <c r="X209" s="310" t="str">
        <f t="shared" si="9"/>
        <v/>
      </c>
      <c r="Y209" s="311" t="str">
        <f>IFERROR(__xludf.DUMMYFUNCTION("IF(ISBLANK(B209),"""",IFERROR(INDEX(GOOGLEFINANCE(B209,""price"",WORKDAY(TODAY(),-$Y$17)),2,2),""""))"),"")</f>
        <v/>
      </c>
      <c r="Z209" s="310" t="str">
        <f>IFERROR(__xludf.DUMMYFUNCTION("IF(ISBLANK(B209),"""",IFERROR(I209/(INDEX(GOOGLEFINANCE(B209,""price"",WORKDAY(TODAY(),-$Z$17)),2,2))-1,""""))"),"")</f>
        <v/>
      </c>
      <c r="AA209" s="312" t="str">
        <f>IFERROR(__xludf.DUMMYFUNCTION("IF(ISBLANK(B209),"""",IFERROR(IFERROR(""$""&amp;Trunc(GOOGLEFINANCE(B209,""Marketcap"")/1000000000)&amp;"" B"",""$""&amp;Trunc(IMPORTXML(""https://coinmarketcap.com/currencies/""&amp;B209,$AJ$4)/1000000000)&amp;"" B""),""-""))"),"")</f>
        <v/>
      </c>
      <c r="AB209" s="13" t="str">
        <f>IFERROR(__xludf.DUMMYFUNCTION("IF(ISBLANK(B209),"""",IFERROR(GOOGLEFINANCE(B209,""pe""),""-""))"),"")</f>
        <v/>
      </c>
      <c r="AC209" s="313" t="str">
        <f>IFERROR(__xludf.DUMMYFUNCTION("SPARKLINE(INDEX(GOOGLEFINANCE(B209,""price"",workday(today(),-$AC$17),today()),,2),{""charttype"",""column"";""color"",""green""})
"),"#N/A")</f>
        <v>#N/A</v>
      </c>
      <c r="AD209" s="313" t="str">
        <f>IFERROR(__xludf.DUMMYFUNCTION("IF(ISBLANK(B209),"""",IFERROR(INDEX(IMPORTXML(""https://eresearch.fidelity.com/eresearch/goto/evaluate/snapshot.jhtml?symbols=""&amp;B209&amp;"""",""//div[@class='sub-heading']//span[@class='right']""),1),""Enter Manually"")
)"),"")</f>
        <v/>
      </c>
      <c r="AE209" s="314" t="str">
        <f t="shared" si="10"/>
        <v>Info</v>
      </c>
      <c r="AF209" s="329"/>
      <c r="AG209" s="320"/>
      <c r="AH209" s="13"/>
      <c r="AI209" s="13"/>
      <c r="AJ209" s="13"/>
      <c r="AK209" s="13"/>
      <c r="AL209" s="13"/>
      <c r="AM209" s="13"/>
      <c r="AN209" s="13"/>
      <c r="AO209" s="13"/>
      <c r="AP209" s="13"/>
    </row>
    <row r="210" ht="18.75" customHeight="1">
      <c r="A210" s="13"/>
      <c r="B210" s="327"/>
      <c r="C210" s="306" t="str">
        <f>IFERROR(__xludf.DUMMYFUNCTION("GOOGLEFINANCE(B210,""name"")
"),"#N/A")</f>
        <v>#N/A</v>
      </c>
      <c r="D210" s="306"/>
      <c r="E210" s="328"/>
      <c r="F210" s="13" t="str">
        <f t="shared" si="1"/>
        <v/>
      </c>
      <c r="G210" s="309" t="str">
        <f>IFERROR(__xludf.DUMMYFUNCTION("IF(ISBLANK(B210),"""",IFERROR(SPARKLINE(INDEX(GOOGLEFINANCE(B210,""price"",TODAY()-$G$17,TODAY()),,2),{""charttype"",""column"";""color"",""17a7e0""}),""""))"),"")</f>
        <v/>
      </c>
      <c r="I210" s="309" t="str">
        <f>IFERROR(__xludf.DUMMYFUNCTION("IFERROR(IF(B210="""","""",GOOGLEFINANCE(B210)),IFERROR(GOOGLEFINANCE(""CURRENCY:""&amp;""USD""&amp;$D$15)*IMPORTXML(""https://coinmarketcap.com/currencies/""&amp;B210,$AJ$3),IMPORTXML(""https://coinmarketcap.com/currencies/""&amp;B210,$AJ$3)))"),"")</f>
        <v/>
      </c>
      <c r="J210" s="310" t="str">
        <f t="shared" si="2"/>
        <v/>
      </c>
      <c r="K210" s="310" t="str">
        <f>IFERROR(__xludf.DUMMYFUNCTION("IFERROR(IF(ISBLANK(B210),"""",GOOGLEFINANCE(B210,""changepct"")/100),"""")"),"")</f>
        <v/>
      </c>
      <c r="L210" s="310" t="str">
        <f>IFERROR(__xludf.DUMMYFUNCTION("IF(ISBLANK(B210),"""",IFERROR((GOOGLEFINANCE(B210,""price"")/INDEX(GOOGLEFINANCE(B210,""price"",DATEVALUE(TODAY()-365) ),2,2)-1),""""))"),"")</f>
        <v/>
      </c>
      <c r="M210" s="310" t="str">
        <f>IFERROR(__xludf.DUMMYFUNCTION("IF(ISBLANK(B210),"""",IFERROR((GOOGLEFINANCE($D$13,""price"")/INDEX(GOOGLEFINANCE($D$13,""price"",DATEVALUE(TODAY()-365) ),2,2)-1),""""))"),"")</f>
        <v/>
      </c>
      <c r="N210" s="310" t="str">
        <f t="shared" si="3"/>
        <v/>
      </c>
      <c r="O210" s="311" t="str">
        <f>IFERROR(__xludf.DUMMYFUNCTION("IFERROR(IF(ISBLANK(B210),"""",GOOGLEFINANCE(B210,""low52"")),"""")"),"")</f>
        <v/>
      </c>
      <c r="P210" s="310" t="str">
        <f t="shared" si="4"/>
        <v/>
      </c>
      <c r="Q210" s="311" t="str">
        <f>IFERROR(__xludf.DUMMYFUNCTION("IFERROR(IF(ISBLANK(B210),"""",GOOGLEFINANCE(B210,""high52"")),"""")"),"")</f>
        <v/>
      </c>
      <c r="R210" s="310" t="str">
        <f t="shared" si="5"/>
        <v/>
      </c>
      <c r="S210" s="13" t="str">
        <f t="shared" si="6"/>
        <v/>
      </c>
      <c r="U210" s="13" t="str">
        <f t="shared" si="7"/>
        <v/>
      </c>
      <c r="W210" s="13" t="str">
        <f t="shared" si="8"/>
        <v/>
      </c>
      <c r="X210" s="310" t="str">
        <f t="shared" si="9"/>
        <v/>
      </c>
      <c r="Y210" s="311" t="str">
        <f>IFERROR(__xludf.DUMMYFUNCTION("IF(ISBLANK(B210),"""",IFERROR(INDEX(GOOGLEFINANCE(B210,""price"",WORKDAY(TODAY(),-$Y$17)),2,2),""""))"),"")</f>
        <v/>
      </c>
      <c r="Z210" s="310" t="str">
        <f>IFERROR(__xludf.DUMMYFUNCTION("IF(ISBLANK(B210),"""",IFERROR(I210/(INDEX(GOOGLEFINANCE(B210,""price"",WORKDAY(TODAY(),-$Z$17)),2,2))-1,""""))"),"")</f>
        <v/>
      </c>
      <c r="AA210" s="312" t="str">
        <f>IFERROR(__xludf.DUMMYFUNCTION("IF(ISBLANK(B210),"""",IFERROR(IFERROR(""$""&amp;Trunc(GOOGLEFINANCE(B210,""Marketcap"")/1000000000)&amp;"" B"",""$""&amp;Trunc(IMPORTXML(""https://coinmarketcap.com/currencies/""&amp;B210,$AJ$4)/1000000000)&amp;"" B""),""-""))"),"")</f>
        <v/>
      </c>
      <c r="AB210" s="13" t="str">
        <f>IFERROR(__xludf.DUMMYFUNCTION("IF(ISBLANK(B210),"""",IFERROR(GOOGLEFINANCE(B210,""pe""),""-""))"),"")</f>
        <v/>
      </c>
      <c r="AC210" s="313" t="str">
        <f>IFERROR(__xludf.DUMMYFUNCTION("SPARKLINE(INDEX(GOOGLEFINANCE(B210,""price"",workday(today(),-$AC$17),today()),,2),{""charttype"",""column"";""color"",""green""})
"),"#N/A")</f>
        <v>#N/A</v>
      </c>
      <c r="AD210" s="313" t="str">
        <f>IFERROR(__xludf.DUMMYFUNCTION("IF(ISBLANK(B210),"""",IFERROR(INDEX(IMPORTXML(""https://eresearch.fidelity.com/eresearch/goto/evaluate/snapshot.jhtml?symbols=""&amp;B210&amp;"""",""//div[@class='sub-heading']//span[@class='right']""),1),""Enter Manually"")
)"),"")</f>
        <v/>
      </c>
      <c r="AE210" s="314" t="str">
        <f t="shared" si="10"/>
        <v>Info</v>
      </c>
      <c r="AF210" s="329"/>
      <c r="AG210" s="320"/>
      <c r="AH210" s="13"/>
      <c r="AI210" s="13"/>
      <c r="AJ210" s="13"/>
      <c r="AK210" s="13"/>
      <c r="AL210" s="13"/>
      <c r="AM210" s="13"/>
      <c r="AN210" s="13"/>
      <c r="AO210" s="13"/>
      <c r="AP210" s="13"/>
    </row>
    <row r="211" ht="18.75" customHeight="1">
      <c r="A211" s="13"/>
      <c r="B211" s="327"/>
      <c r="C211" s="306" t="str">
        <f>IFERROR(__xludf.DUMMYFUNCTION("GOOGLEFINANCE(B211,""name"")
"),"#N/A")</f>
        <v>#N/A</v>
      </c>
      <c r="D211" s="306"/>
      <c r="E211" s="328"/>
      <c r="F211" s="13" t="str">
        <f t="shared" si="1"/>
        <v/>
      </c>
      <c r="G211" s="309" t="str">
        <f>IFERROR(__xludf.DUMMYFUNCTION("IF(ISBLANK(B211),"""",IFERROR(SPARKLINE(INDEX(GOOGLEFINANCE(B211,""price"",TODAY()-$G$17,TODAY()),,2),{""charttype"",""column"";""color"",""17a7e0""}),""""))"),"")</f>
        <v/>
      </c>
      <c r="I211" s="309" t="str">
        <f>IFERROR(__xludf.DUMMYFUNCTION("IFERROR(IF(B211="""","""",GOOGLEFINANCE(B211)),IFERROR(GOOGLEFINANCE(""CURRENCY:""&amp;""USD""&amp;$D$15)*IMPORTXML(""https://coinmarketcap.com/currencies/""&amp;B211,$AJ$3),IMPORTXML(""https://coinmarketcap.com/currencies/""&amp;B211,$AJ$3)))"),"")</f>
        <v/>
      </c>
      <c r="J211" s="310" t="str">
        <f t="shared" si="2"/>
        <v/>
      </c>
      <c r="K211" s="310" t="str">
        <f>IFERROR(__xludf.DUMMYFUNCTION("IFERROR(IF(ISBLANK(B211),"""",GOOGLEFINANCE(B211,""changepct"")/100),"""")"),"")</f>
        <v/>
      </c>
      <c r="L211" s="310" t="str">
        <f>IFERROR(__xludf.DUMMYFUNCTION("IF(ISBLANK(B211),"""",IFERROR((GOOGLEFINANCE(B211,""price"")/INDEX(GOOGLEFINANCE(B211,""price"",DATEVALUE(TODAY()-365) ),2,2)-1),""""))"),"")</f>
        <v/>
      </c>
      <c r="M211" s="310" t="str">
        <f>IFERROR(__xludf.DUMMYFUNCTION("IF(ISBLANK(B211),"""",IFERROR((GOOGLEFINANCE($D$13,""price"")/INDEX(GOOGLEFINANCE($D$13,""price"",DATEVALUE(TODAY()-365) ),2,2)-1),""""))"),"")</f>
        <v/>
      </c>
      <c r="N211" s="310" t="str">
        <f t="shared" si="3"/>
        <v/>
      </c>
      <c r="O211" s="311" t="str">
        <f>IFERROR(__xludf.DUMMYFUNCTION("IFERROR(IF(ISBLANK(B211),"""",GOOGLEFINANCE(B211,""low52"")),"""")"),"")</f>
        <v/>
      </c>
      <c r="P211" s="310" t="str">
        <f t="shared" si="4"/>
        <v/>
      </c>
      <c r="Q211" s="311" t="str">
        <f>IFERROR(__xludf.DUMMYFUNCTION("IFERROR(IF(ISBLANK(B211),"""",GOOGLEFINANCE(B211,""high52"")),"""")"),"")</f>
        <v/>
      </c>
      <c r="R211" s="310" t="str">
        <f t="shared" si="5"/>
        <v/>
      </c>
      <c r="S211" s="13" t="str">
        <f t="shared" si="6"/>
        <v/>
      </c>
      <c r="U211" s="13" t="str">
        <f t="shared" si="7"/>
        <v/>
      </c>
      <c r="W211" s="13" t="str">
        <f t="shared" si="8"/>
        <v/>
      </c>
      <c r="X211" s="310" t="str">
        <f t="shared" si="9"/>
        <v/>
      </c>
      <c r="Y211" s="311" t="str">
        <f>IFERROR(__xludf.DUMMYFUNCTION("IF(ISBLANK(B211),"""",IFERROR(INDEX(GOOGLEFINANCE(B211,""price"",WORKDAY(TODAY(),-$Y$17)),2,2),""""))"),"")</f>
        <v/>
      </c>
      <c r="Z211" s="310" t="str">
        <f>IFERROR(__xludf.DUMMYFUNCTION("IF(ISBLANK(B211),"""",IFERROR(I211/(INDEX(GOOGLEFINANCE(B211,""price"",WORKDAY(TODAY(),-$Z$17)),2,2))-1,""""))"),"")</f>
        <v/>
      </c>
      <c r="AA211" s="312" t="str">
        <f>IFERROR(__xludf.DUMMYFUNCTION("IF(ISBLANK(B211),"""",IFERROR(IFERROR(""$""&amp;Trunc(GOOGLEFINANCE(B211,""Marketcap"")/1000000000)&amp;"" B"",""$""&amp;Trunc(IMPORTXML(""https://coinmarketcap.com/currencies/""&amp;B211,$AJ$4)/1000000000)&amp;"" B""),""-""))"),"")</f>
        <v/>
      </c>
      <c r="AB211" s="13" t="str">
        <f>IFERROR(__xludf.DUMMYFUNCTION("IF(ISBLANK(B211),"""",IFERROR(GOOGLEFINANCE(B211,""pe""),""-""))"),"")</f>
        <v/>
      </c>
      <c r="AC211" s="313" t="str">
        <f>IFERROR(__xludf.DUMMYFUNCTION("SPARKLINE(INDEX(GOOGLEFINANCE(B211,""price"",workday(today(),-$AC$17),today()),,2),{""charttype"",""column"";""color"",""green""})
"),"#N/A")</f>
        <v>#N/A</v>
      </c>
      <c r="AD211" s="313" t="str">
        <f>IFERROR(__xludf.DUMMYFUNCTION("IF(ISBLANK(B211),"""",IFERROR(INDEX(IMPORTXML(""https://eresearch.fidelity.com/eresearch/goto/evaluate/snapshot.jhtml?symbols=""&amp;B211&amp;"""",""//div[@class='sub-heading']//span[@class='right']""),1),""Enter Manually"")
)"),"")</f>
        <v/>
      </c>
      <c r="AE211" s="314" t="str">
        <f t="shared" si="10"/>
        <v>Info</v>
      </c>
      <c r="AF211" s="329"/>
      <c r="AG211" s="320"/>
      <c r="AH211" s="13"/>
      <c r="AI211" s="13"/>
      <c r="AJ211" s="13"/>
      <c r="AK211" s="13"/>
      <c r="AL211" s="13"/>
      <c r="AM211" s="13"/>
      <c r="AN211" s="13"/>
      <c r="AO211" s="13"/>
      <c r="AP211" s="13"/>
    </row>
    <row r="212" ht="18.75" customHeight="1">
      <c r="A212" s="13"/>
      <c r="B212" s="327"/>
      <c r="C212" s="306" t="str">
        <f>IFERROR(__xludf.DUMMYFUNCTION("GOOGLEFINANCE(B212,""name"")
"),"#N/A")</f>
        <v>#N/A</v>
      </c>
      <c r="D212" s="306"/>
      <c r="E212" s="328"/>
      <c r="F212" s="13" t="str">
        <f t="shared" si="1"/>
        <v/>
      </c>
      <c r="G212" s="309" t="str">
        <f>IFERROR(__xludf.DUMMYFUNCTION("IF(ISBLANK(B212),"""",IFERROR(SPARKLINE(INDEX(GOOGLEFINANCE(B212,""price"",TODAY()-$G$17,TODAY()),,2),{""charttype"",""column"";""color"",""17a7e0""}),""""))"),"")</f>
        <v/>
      </c>
      <c r="I212" s="309" t="str">
        <f>IFERROR(__xludf.DUMMYFUNCTION("IFERROR(IF(B212="""","""",GOOGLEFINANCE(B212)),IFERROR(GOOGLEFINANCE(""CURRENCY:""&amp;""USD""&amp;$D$15)*IMPORTXML(""https://coinmarketcap.com/currencies/""&amp;B212,$AJ$3),IMPORTXML(""https://coinmarketcap.com/currencies/""&amp;B212,$AJ$3)))"),"")</f>
        <v/>
      </c>
      <c r="J212" s="310" t="str">
        <f t="shared" si="2"/>
        <v/>
      </c>
      <c r="K212" s="310" t="str">
        <f>IFERROR(__xludf.DUMMYFUNCTION("IFERROR(IF(ISBLANK(B212),"""",GOOGLEFINANCE(B212,""changepct"")/100),"""")"),"")</f>
        <v/>
      </c>
      <c r="L212" s="310" t="str">
        <f>IFERROR(__xludf.DUMMYFUNCTION("IF(ISBLANK(B212),"""",IFERROR((GOOGLEFINANCE(B212,""price"")/INDEX(GOOGLEFINANCE(B212,""price"",DATEVALUE(TODAY()-365) ),2,2)-1),""""))"),"")</f>
        <v/>
      </c>
      <c r="M212" s="310" t="str">
        <f>IFERROR(__xludf.DUMMYFUNCTION("IF(ISBLANK(B212),"""",IFERROR((GOOGLEFINANCE($D$13,""price"")/INDEX(GOOGLEFINANCE($D$13,""price"",DATEVALUE(TODAY()-365) ),2,2)-1),""""))"),"")</f>
        <v/>
      </c>
      <c r="N212" s="310" t="str">
        <f t="shared" si="3"/>
        <v/>
      </c>
      <c r="O212" s="311" t="str">
        <f>IFERROR(__xludf.DUMMYFUNCTION("IFERROR(IF(ISBLANK(B212),"""",GOOGLEFINANCE(B212,""low52"")),"""")"),"")</f>
        <v/>
      </c>
      <c r="P212" s="310" t="str">
        <f t="shared" si="4"/>
        <v/>
      </c>
      <c r="Q212" s="311" t="str">
        <f>IFERROR(__xludf.DUMMYFUNCTION("IFERROR(IF(ISBLANK(B212),"""",GOOGLEFINANCE(B212,""high52"")),"""")"),"")</f>
        <v/>
      </c>
      <c r="R212" s="310" t="str">
        <f t="shared" si="5"/>
        <v/>
      </c>
      <c r="S212" s="13" t="str">
        <f t="shared" si="6"/>
        <v/>
      </c>
      <c r="U212" s="13" t="str">
        <f t="shared" si="7"/>
        <v/>
      </c>
      <c r="W212" s="13" t="str">
        <f t="shared" si="8"/>
        <v/>
      </c>
      <c r="X212" s="310" t="str">
        <f t="shared" si="9"/>
        <v/>
      </c>
      <c r="Y212" s="311" t="str">
        <f>IFERROR(__xludf.DUMMYFUNCTION("IF(ISBLANK(B212),"""",IFERROR(INDEX(GOOGLEFINANCE(B212,""price"",WORKDAY(TODAY(),-$Y$17)),2,2),""""))"),"")</f>
        <v/>
      </c>
      <c r="Z212" s="310" t="str">
        <f>IFERROR(__xludf.DUMMYFUNCTION("IF(ISBLANK(B212),"""",IFERROR(I212/(INDEX(GOOGLEFINANCE(B212,""price"",WORKDAY(TODAY(),-$Z$17)),2,2))-1,""""))"),"")</f>
        <v/>
      </c>
      <c r="AA212" s="312" t="str">
        <f>IFERROR(__xludf.DUMMYFUNCTION("IF(ISBLANK(B212),"""",IFERROR(IFERROR(""$""&amp;Trunc(GOOGLEFINANCE(B212,""Marketcap"")/1000000000)&amp;"" B"",""$""&amp;Trunc(IMPORTXML(""https://coinmarketcap.com/currencies/""&amp;B212,$AJ$4)/1000000000)&amp;"" B""),""-""))"),"")</f>
        <v/>
      </c>
      <c r="AB212" s="13" t="str">
        <f>IFERROR(__xludf.DUMMYFUNCTION("IF(ISBLANK(B212),"""",IFERROR(GOOGLEFINANCE(B212,""pe""),""-""))"),"")</f>
        <v/>
      </c>
      <c r="AC212" s="313" t="str">
        <f>IFERROR(__xludf.DUMMYFUNCTION("SPARKLINE(INDEX(GOOGLEFINANCE(B212,""price"",workday(today(),-$AC$17),today()),,2),{""charttype"",""column"";""color"",""green""})
"),"#N/A")</f>
        <v>#N/A</v>
      </c>
      <c r="AD212" s="313" t="str">
        <f>IFERROR(__xludf.DUMMYFUNCTION("IF(ISBLANK(B212),"""",IFERROR(INDEX(IMPORTXML(""https://eresearch.fidelity.com/eresearch/goto/evaluate/snapshot.jhtml?symbols=""&amp;B212&amp;"""",""//div[@class='sub-heading']//span[@class='right']""),1),""Enter Manually"")
)"),"")</f>
        <v/>
      </c>
      <c r="AE212" s="314" t="str">
        <f t="shared" si="10"/>
        <v>Info</v>
      </c>
      <c r="AF212" s="329"/>
      <c r="AG212" s="320"/>
      <c r="AH212" s="13"/>
      <c r="AI212" s="13"/>
      <c r="AJ212" s="13"/>
      <c r="AK212" s="13"/>
      <c r="AL212" s="13"/>
      <c r="AM212" s="13"/>
      <c r="AN212" s="13"/>
      <c r="AO212" s="13"/>
      <c r="AP212" s="13"/>
    </row>
    <row r="213" ht="18.75" customHeight="1">
      <c r="A213" s="13"/>
      <c r="B213" s="327"/>
      <c r="C213" s="306" t="str">
        <f>IFERROR(__xludf.DUMMYFUNCTION("GOOGLEFINANCE(B213,""name"")
"),"#N/A")</f>
        <v>#N/A</v>
      </c>
      <c r="D213" s="306"/>
      <c r="E213" s="328"/>
      <c r="F213" s="13" t="str">
        <f t="shared" si="1"/>
        <v/>
      </c>
      <c r="G213" s="309" t="str">
        <f>IFERROR(__xludf.DUMMYFUNCTION("IF(ISBLANK(B213),"""",IFERROR(SPARKLINE(INDEX(GOOGLEFINANCE(B213,""price"",TODAY()-$G$17,TODAY()),,2),{""charttype"",""column"";""color"",""17a7e0""}),""""))"),"")</f>
        <v/>
      </c>
      <c r="I213" s="309" t="str">
        <f>IFERROR(__xludf.DUMMYFUNCTION("IFERROR(IF(B213="""","""",GOOGLEFINANCE(B213)),IFERROR(GOOGLEFINANCE(""CURRENCY:""&amp;""USD""&amp;$D$15)*IMPORTXML(""https://coinmarketcap.com/currencies/""&amp;B213,$AJ$3),IMPORTXML(""https://coinmarketcap.com/currencies/""&amp;B213,$AJ$3)))"),"")</f>
        <v/>
      </c>
      <c r="J213" s="310" t="str">
        <f t="shared" si="2"/>
        <v/>
      </c>
      <c r="K213" s="310" t="str">
        <f>IFERROR(__xludf.DUMMYFUNCTION("IFERROR(IF(ISBLANK(B213),"""",GOOGLEFINANCE(B213,""changepct"")/100),"""")"),"")</f>
        <v/>
      </c>
      <c r="L213" s="310" t="str">
        <f>IFERROR(__xludf.DUMMYFUNCTION("IF(ISBLANK(B213),"""",IFERROR((GOOGLEFINANCE(B213,""price"")/INDEX(GOOGLEFINANCE(B213,""price"",DATEVALUE(TODAY()-365) ),2,2)-1),""""))"),"")</f>
        <v/>
      </c>
      <c r="M213" s="310" t="str">
        <f>IFERROR(__xludf.DUMMYFUNCTION("IF(ISBLANK(B213),"""",IFERROR((GOOGLEFINANCE($D$13,""price"")/INDEX(GOOGLEFINANCE($D$13,""price"",DATEVALUE(TODAY()-365) ),2,2)-1),""""))"),"")</f>
        <v/>
      </c>
      <c r="N213" s="310" t="str">
        <f t="shared" si="3"/>
        <v/>
      </c>
      <c r="O213" s="311" t="str">
        <f>IFERROR(__xludf.DUMMYFUNCTION("IFERROR(IF(ISBLANK(B213),"""",GOOGLEFINANCE(B213,""low52"")),"""")"),"")</f>
        <v/>
      </c>
      <c r="P213" s="310" t="str">
        <f t="shared" si="4"/>
        <v/>
      </c>
      <c r="Q213" s="311" t="str">
        <f>IFERROR(__xludf.DUMMYFUNCTION("IFERROR(IF(ISBLANK(B213),"""",GOOGLEFINANCE(B213,""high52"")),"""")"),"")</f>
        <v/>
      </c>
      <c r="R213" s="310" t="str">
        <f t="shared" si="5"/>
        <v/>
      </c>
      <c r="S213" s="13" t="str">
        <f t="shared" si="6"/>
        <v/>
      </c>
      <c r="U213" s="13" t="str">
        <f t="shared" si="7"/>
        <v/>
      </c>
      <c r="W213" s="13" t="str">
        <f t="shared" si="8"/>
        <v/>
      </c>
      <c r="X213" s="310" t="str">
        <f t="shared" si="9"/>
        <v/>
      </c>
      <c r="Y213" s="311" t="str">
        <f>IFERROR(__xludf.DUMMYFUNCTION("IF(ISBLANK(B213),"""",IFERROR(INDEX(GOOGLEFINANCE(B213,""price"",WORKDAY(TODAY(),-$Y$17)),2,2),""""))"),"")</f>
        <v/>
      </c>
      <c r="Z213" s="310" t="str">
        <f>IFERROR(__xludf.DUMMYFUNCTION("IF(ISBLANK(B213),"""",IFERROR(I213/(INDEX(GOOGLEFINANCE(B213,""price"",WORKDAY(TODAY(),-$Z$17)),2,2))-1,""""))"),"")</f>
        <v/>
      </c>
      <c r="AA213" s="312" t="str">
        <f>IFERROR(__xludf.DUMMYFUNCTION("IF(ISBLANK(B213),"""",IFERROR(IFERROR(""$""&amp;Trunc(GOOGLEFINANCE(B213,""Marketcap"")/1000000000)&amp;"" B"",""$""&amp;Trunc(IMPORTXML(""https://coinmarketcap.com/currencies/""&amp;B213,$AJ$4)/1000000000)&amp;"" B""),""-""))"),"")</f>
        <v/>
      </c>
      <c r="AB213" s="13" t="str">
        <f>IFERROR(__xludf.DUMMYFUNCTION("IF(ISBLANK(B213),"""",IFERROR(GOOGLEFINANCE(B213,""pe""),""-""))"),"")</f>
        <v/>
      </c>
      <c r="AC213" s="313" t="str">
        <f>IFERROR(__xludf.DUMMYFUNCTION("SPARKLINE(INDEX(GOOGLEFINANCE(B213,""price"",workday(today(),-$AC$17),today()),,2),{""charttype"",""column"";""color"",""green""})
"),"#N/A")</f>
        <v>#N/A</v>
      </c>
      <c r="AD213" s="313" t="str">
        <f>IFERROR(__xludf.DUMMYFUNCTION("IF(ISBLANK(B213),"""",IFERROR(INDEX(IMPORTXML(""https://eresearch.fidelity.com/eresearch/goto/evaluate/snapshot.jhtml?symbols=""&amp;B213&amp;"""",""//div[@class='sub-heading']//span[@class='right']""),1),""Enter Manually"")
)"),"")</f>
        <v/>
      </c>
      <c r="AE213" s="314" t="str">
        <f t="shared" si="10"/>
        <v>Info</v>
      </c>
      <c r="AF213" s="329"/>
      <c r="AG213" s="320"/>
      <c r="AH213" s="13"/>
      <c r="AI213" s="13"/>
      <c r="AJ213" s="13"/>
      <c r="AK213" s="13"/>
      <c r="AL213" s="13"/>
      <c r="AM213" s="13"/>
      <c r="AN213" s="13"/>
      <c r="AO213" s="13"/>
      <c r="AP213" s="13"/>
    </row>
    <row r="214" ht="18.75" customHeight="1">
      <c r="A214" s="13"/>
      <c r="B214" s="327"/>
      <c r="C214" s="306" t="str">
        <f>IFERROR(__xludf.DUMMYFUNCTION("GOOGLEFINANCE(B214,""name"")
"),"#N/A")</f>
        <v>#N/A</v>
      </c>
      <c r="D214" s="306"/>
      <c r="E214" s="328"/>
      <c r="F214" s="13" t="str">
        <f t="shared" si="1"/>
        <v/>
      </c>
      <c r="G214" s="309" t="str">
        <f>IFERROR(__xludf.DUMMYFUNCTION("IF(ISBLANK(B214),"""",IFERROR(SPARKLINE(INDEX(GOOGLEFINANCE(B214,""price"",TODAY()-$G$17,TODAY()),,2),{""charttype"",""column"";""color"",""17a7e0""}),""""))"),"")</f>
        <v/>
      </c>
      <c r="I214" s="309" t="str">
        <f>IFERROR(__xludf.DUMMYFUNCTION("IFERROR(IF(B214="""","""",GOOGLEFINANCE(B214)),IFERROR(GOOGLEFINANCE(""CURRENCY:""&amp;""USD""&amp;$D$15)*IMPORTXML(""https://coinmarketcap.com/currencies/""&amp;B214,$AJ$3),IMPORTXML(""https://coinmarketcap.com/currencies/""&amp;B214,$AJ$3)))"),"")</f>
        <v/>
      </c>
      <c r="J214" s="310" t="str">
        <f t="shared" si="2"/>
        <v/>
      </c>
      <c r="K214" s="310" t="str">
        <f>IFERROR(__xludf.DUMMYFUNCTION("IFERROR(IF(ISBLANK(B214),"""",GOOGLEFINANCE(B214,""changepct"")/100),"""")"),"")</f>
        <v/>
      </c>
      <c r="L214" s="310" t="str">
        <f>IFERROR(__xludf.DUMMYFUNCTION("IF(ISBLANK(B214),"""",IFERROR((GOOGLEFINANCE(B214,""price"")/INDEX(GOOGLEFINANCE(B214,""price"",DATEVALUE(TODAY()-365) ),2,2)-1),""""))"),"")</f>
        <v/>
      </c>
      <c r="M214" s="310" t="str">
        <f>IFERROR(__xludf.DUMMYFUNCTION("IF(ISBLANK(B214),"""",IFERROR((GOOGLEFINANCE($D$13,""price"")/INDEX(GOOGLEFINANCE($D$13,""price"",DATEVALUE(TODAY()-365) ),2,2)-1),""""))"),"")</f>
        <v/>
      </c>
      <c r="N214" s="310" t="str">
        <f t="shared" si="3"/>
        <v/>
      </c>
      <c r="O214" s="311" t="str">
        <f>IFERROR(__xludf.DUMMYFUNCTION("IFERROR(IF(ISBLANK(B214),"""",GOOGLEFINANCE(B214,""low52"")),"""")"),"")</f>
        <v/>
      </c>
      <c r="P214" s="310" t="str">
        <f t="shared" si="4"/>
        <v/>
      </c>
      <c r="Q214" s="311" t="str">
        <f>IFERROR(__xludf.DUMMYFUNCTION("IFERROR(IF(ISBLANK(B214),"""",GOOGLEFINANCE(B214,""high52"")),"""")"),"")</f>
        <v/>
      </c>
      <c r="R214" s="310" t="str">
        <f t="shared" si="5"/>
        <v/>
      </c>
      <c r="S214" s="13" t="str">
        <f t="shared" si="6"/>
        <v/>
      </c>
      <c r="U214" s="13" t="str">
        <f t="shared" si="7"/>
        <v/>
      </c>
      <c r="W214" s="13" t="str">
        <f t="shared" si="8"/>
        <v/>
      </c>
      <c r="X214" s="310" t="str">
        <f t="shared" si="9"/>
        <v/>
      </c>
      <c r="Y214" s="311" t="str">
        <f>IFERROR(__xludf.DUMMYFUNCTION("IF(ISBLANK(B214),"""",IFERROR(INDEX(GOOGLEFINANCE(B214,""price"",WORKDAY(TODAY(),-$Y$17)),2,2),""""))"),"")</f>
        <v/>
      </c>
      <c r="Z214" s="310" t="str">
        <f>IFERROR(__xludf.DUMMYFUNCTION("IF(ISBLANK(B214),"""",IFERROR(I214/(INDEX(GOOGLEFINANCE(B214,""price"",WORKDAY(TODAY(),-$Z$17)),2,2))-1,""""))"),"")</f>
        <v/>
      </c>
      <c r="AA214" s="312" t="str">
        <f>IFERROR(__xludf.DUMMYFUNCTION("IF(ISBLANK(B214),"""",IFERROR(IFERROR(""$""&amp;Trunc(GOOGLEFINANCE(B214,""Marketcap"")/1000000000)&amp;"" B"",""$""&amp;Trunc(IMPORTXML(""https://coinmarketcap.com/currencies/""&amp;B214,$AJ$4)/1000000000)&amp;"" B""),""-""))"),"")</f>
        <v/>
      </c>
      <c r="AB214" s="13" t="str">
        <f>IFERROR(__xludf.DUMMYFUNCTION("IF(ISBLANK(B214),"""",IFERROR(GOOGLEFINANCE(B214,""pe""),""-""))"),"")</f>
        <v/>
      </c>
      <c r="AC214" s="313" t="str">
        <f>IFERROR(__xludf.DUMMYFUNCTION("SPARKLINE(INDEX(GOOGLEFINANCE(B214,""price"",workday(today(),-$AC$17),today()),,2),{""charttype"",""column"";""color"",""green""})
"),"#N/A")</f>
        <v>#N/A</v>
      </c>
      <c r="AD214" s="313" t="str">
        <f>IFERROR(__xludf.DUMMYFUNCTION("IF(ISBLANK(B214),"""",IFERROR(INDEX(IMPORTXML(""https://eresearch.fidelity.com/eresearch/goto/evaluate/snapshot.jhtml?symbols=""&amp;B214&amp;"""",""//div[@class='sub-heading']//span[@class='right']""),1),""Enter Manually"")
)"),"")</f>
        <v/>
      </c>
      <c r="AE214" s="314" t="str">
        <f t="shared" si="10"/>
        <v>Info</v>
      </c>
      <c r="AF214" s="329"/>
      <c r="AG214" s="320"/>
      <c r="AH214" s="13"/>
      <c r="AI214" s="13"/>
      <c r="AJ214" s="13"/>
      <c r="AK214" s="13"/>
      <c r="AL214" s="13"/>
      <c r="AM214" s="13"/>
      <c r="AN214" s="13"/>
      <c r="AO214" s="13"/>
      <c r="AP214" s="13"/>
    </row>
    <row r="215" ht="18.75" customHeight="1">
      <c r="A215" s="13"/>
      <c r="B215" s="327"/>
      <c r="C215" s="306" t="str">
        <f>IFERROR(__xludf.DUMMYFUNCTION("GOOGLEFINANCE(B215,""name"")
"),"#N/A")</f>
        <v>#N/A</v>
      </c>
      <c r="D215" s="306"/>
      <c r="E215" s="328"/>
      <c r="F215" s="13" t="str">
        <f t="shared" si="1"/>
        <v/>
      </c>
      <c r="G215" s="309" t="str">
        <f>IFERROR(__xludf.DUMMYFUNCTION("IF(ISBLANK(B215),"""",IFERROR(SPARKLINE(INDEX(GOOGLEFINANCE(B215,""price"",TODAY()-$G$17,TODAY()),,2),{""charttype"",""column"";""color"",""17a7e0""}),""""))"),"")</f>
        <v/>
      </c>
      <c r="I215" s="309" t="str">
        <f>IFERROR(__xludf.DUMMYFUNCTION("IFERROR(IF(B215="""","""",GOOGLEFINANCE(B215)),IFERROR(GOOGLEFINANCE(""CURRENCY:""&amp;""USD""&amp;$D$15)*IMPORTXML(""https://coinmarketcap.com/currencies/""&amp;B215,$AJ$3),IMPORTXML(""https://coinmarketcap.com/currencies/""&amp;B215,$AJ$3)))"),"")</f>
        <v/>
      </c>
      <c r="J215" s="310" t="str">
        <f t="shared" si="2"/>
        <v/>
      </c>
      <c r="K215" s="310" t="str">
        <f>IFERROR(__xludf.DUMMYFUNCTION("IFERROR(IF(ISBLANK(B215),"""",GOOGLEFINANCE(B215,""changepct"")/100),"""")"),"")</f>
        <v/>
      </c>
      <c r="L215" s="310" t="str">
        <f>IFERROR(__xludf.DUMMYFUNCTION("IF(ISBLANK(B215),"""",IFERROR((GOOGLEFINANCE(B215,""price"")/INDEX(GOOGLEFINANCE(B215,""price"",DATEVALUE(TODAY()-365) ),2,2)-1),""""))"),"")</f>
        <v/>
      </c>
      <c r="M215" s="310" t="str">
        <f>IFERROR(__xludf.DUMMYFUNCTION("IF(ISBLANK(B215),"""",IFERROR((GOOGLEFINANCE($D$13,""price"")/INDEX(GOOGLEFINANCE($D$13,""price"",DATEVALUE(TODAY()-365) ),2,2)-1),""""))"),"")</f>
        <v/>
      </c>
      <c r="N215" s="310" t="str">
        <f t="shared" si="3"/>
        <v/>
      </c>
      <c r="O215" s="311" t="str">
        <f>IFERROR(__xludf.DUMMYFUNCTION("IFERROR(IF(ISBLANK(B215),"""",GOOGLEFINANCE(B215,""low52"")),"""")"),"")</f>
        <v/>
      </c>
      <c r="P215" s="310" t="str">
        <f t="shared" si="4"/>
        <v/>
      </c>
      <c r="Q215" s="311" t="str">
        <f>IFERROR(__xludf.DUMMYFUNCTION("IFERROR(IF(ISBLANK(B215),"""",GOOGLEFINANCE(B215,""high52"")),"""")"),"")</f>
        <v/>
      </c>
      <c r="R215" s="310" t="str">
        <f t="shared" si="5"/>
        <v/>
      </c>
      <c r="S215" s="13" t="str">
        <f t="shared" si="6"/>
        <v/>
      </c>
      <c r="U215" s="13" t="str">
        <f t="shared" si="7"/>
        <v/>
      </c>
      <c r="W215" s="13" t="str">
        <f t="shared" si="8"/>
        <v/>
      </c>
      <c r="X215" s="310" t="str">
        <f t="shared" si="9"/>
        <v/>
      </c>
      <c r="Y215" s="311" t="str">
        <f>IFERROR(__xludf.DUMMYFUNCTION("IF(ISBLANK(B215),"""",IFERROR(INDEX(GOOGLEFINANCE(B215,""price"",WORKDAY(TODAY(),-$Y$17)),2,2),""""))"),"")</f>
        <v/>
      </c>
      <c r="Z215" s="310" t="str">
        <f>IFERROR(__xludf.DUMMYFUNCTION("IF(ISBLANK(B215),"""",IFERROR(I215/(INDEX(GOOGLEFINANCE(B215,""price"",WORKDAY(TODAY(),-$Z$17)),2,2))-1,""""))"),"")</f>
        <v/>
      </c>
      <c r="AA215" s="312" t="str">
        <f>IFERROR(__xludf.DUMMYFUNCTION("IF(ISBLANK(B215),"""",IFERROR(IFERROR(""$""&amp;Trunc(GOOGLEFINANCE(B215,""Marketcap"")/1000000000)&amp;"" B"",""$""&amp;Trunc(IMPORTXML(""https://coinmarketcap.com/currencies/""&amp;B215,$AJ$4)/1000000000)&amp;"" B""),""-""))"),"")</f>
        <v/>
      </c>
      <c r="AB215" s="13" t="str">
        <f>IFERROR(__xludf.DUMMYFUNCTION("IF(ISBLANK(B215),"""",IFERROR(GOOGLEFINANCE(B215,""pe""),""-""))"),"")</f>
        <v/>
      </c>
      <c r="AC215" s="313" t="str">
        <f>IFERROR(__xludf.DUMMYFUNCTION("SPARKLINE(INDEX(GOOGLEFINANCE(B215,""price"",workday(today(),-$AC$17),today()),,2),{""charttype"",""column"";""color"",""green""})
"),"#N/A")</f>
        <v>#N/A</v>
      </c>
      <c r="AD215" s="313" t="str">
        <f>IFERROR(__xludf.DUMMYFUNCTION("IF(ISBLANK(B215),"""",IFERROR(INDEX(IMPORTXML(""https://eresearch.fidelity.com/eresearch/goto/evaluate/snapshot.jhtml?symbols=""&amp;B215&amp;"""",""//div[@class='sub-heading']//span[@class='right']""),1),""Enter Manually"")
)"),"")</f>
        <v/>
      </c>
      <c r="AE215" s="314" t="str">
        <f t="shared" si="10"/>
        <v>Info</v>
      </c>
      <c r="AF215" s="329"/>
      <c r="AG215" s="320"/>
      <c r="AH215" s="13"/>
      <c r="AI215" s="13"/>
      <c r="AJ215" s="13"/>
      <c r="AK215" s="13"/>
      <c r="AL215" s="13"/>
      <c r="AM215" s="13"/>
      <c r="AN215" s="13"/>
      <c r="AO215" s="13"/>
      <c r="AP215" s="13"/>
    </row>
    <row r="216" ht="18.75" customHeight="1">
      <c r="A216" s="13"/>
      <c r="B216" s="327"/>
      <c r="C216" s="306" t="str">
        <f>IFERROR(__xludf.DUMMYFUNCTION("GOOGLEFINANCE(B216,""name"")
"),"#N/A")</f>
        <v>#N/A</v>
      </c>
      <c r="D216" s="306"/>
      <c r="E216" s="328"/>
      <c r="F216" s="13" t="str">
        <f t="shared" si="1"/>
        <v/>
      </c>
      <c r="G216" s="309" t="str">
        <f>IFERROR(__xludf.DUMMYFUNCTION("IF(ISBLANK(B216),"""",IFERROR(SPARKLINE(INDEX(GOOGLEFINANCE(B216,""price"",TODAY()-$G$17,TODAY()),,2),{""charttype"",""column"";""color"",""17a7e0""}),""""))"),"")</f>
        <v/>
      </c>
      <c r="I216" s="309" t="str">
        <f>IFERROR(__xludf.DUMMYFUNCTION("IFERROR(IF(B216="""","""",GOOGLEFINANCE(B216)),IFERROR(GOOGLEFINANCE(""CURRENCY:""&amp;""USD""&amp;$D$15)*IMPORTXML(""https://coinmarketcap.com/currencies/""&amp;B216,$AJ$3),IMPORTXML(""https://coinmarketcap.com/currencies/""&amp;B216,$AJ$3)))"),"")</f>
        <v/>
      </c>
      <c r="J216" s="310" t="str">
        <f t="shared" si="2"/>
        <v/>
      </c>
      <c r="K216" s="310" t="str">
        <f>IFERROR(__xludf.DUMMYFUNCTION("IFERROR(IF(ISBLANK(B216),"""",GOOGLEFINANCE(B216,""changepct"")/100),"""")"),"")</f>
        <v/>
      </c>
      <c r="L216" s="310" t="str">
        <f>IFERROR(__xludf.DUMMYFUNCTION("IF(ISBLANK(B216),"""",IFERROR((GOOGLEFINANCE(B216,""price"")/INDEX(GOOGLEFINANCE(B216,""price"",DATEVALUE(TODAY()-365) ),2,2)-1),""""))"),"")</f>
        <v/>
      </c>
      <c r="M216" s="310" t="str">
        <f>IFERROR(__xludf.DUMMYFUNCTION("IF(ISBLANK(B216),"""",IFERROR((GOOGLEFINANCE($D$13,""price"")/INDEX(GOOGLEFINANCE($D$13,""price"",DATEVALUE(TODAY()-365) ),2,2)-1),""""))"),"")</f>
        <v/>
      </c>
      <c r="N216" s="310" t="str">
        <f t="shared" si="3"/>
        <v/>
      </c>
      <c r="O216" s="311" t="str">
        <f>IFERROR(__xludf.DUMMYFUNCTION("IFERROR(IF(ISBLANK(B216),"""",GOOGLEFINANCE(B216,""low52"")),"""")"),"")</f>
        <v/>
      </c>
      <c r="P216" s="310" t="str">
        <f t="shared" si="4"/>
        <v/>
      </c>
      <c r="Q216" s="311" t="str">
        <f>IFERROR(__xludf.DUMMYFUNCTION("IFERROR(IF(ISBLANK(B216),"""",GOOGLEFINANCE(B216,""high52"")),"""")"),"")</f>
        <v/>
      </c>
      <c r="R216" s="310" t="str">
        <f t="shared" si="5"/>
        <v/>
      </c>
      <c r="S216" s="13" t="str">
        <f t="shared" si="6"/>
        <v/>
      </c>
      <c r="U216" s="13" t="str">
        <f t="shared" si="7"/>
        <v/>
      </c>
      <c r="W216" s="13" t="str">
        <f t="shared" si="8"/>
        <v/>
      </c>
      <c r="X216" s="310" t="str">
        <f t="shared" si="9"/>
        <v/>
      </c>
      <c r="Y216" s="311" t="str">
        <f>IFERROR(__xludf.DUMMYFUNCTION("IF(ISBLANK(B216),"""",IFERROR(INDEX(GOOGLEFINANCE(B216,""price"",WORKDAY(TODAY(),-$Y$17)),2,2),""""))"),"")</f>
        <v/>
      </c>
      <c r="Z216" s="310" t="str">
        <f>IFERROR(__xludf.DUMMYFUNCTION("IF(ISBLANK(B216),"""",IFERROR(I216/(INDEX(GOOGLEFINANCE(B216,""price"",WORKDAY(TODAY(),-$Z$17)),2,2))-1,""""))"),"")</f>
        <v/>
      </c>
      <c r="AA216" s="312" t="str">
        <f>IFERROR(__xludf.DUMMYFUNCTION("IF(ISBLANK(B216),"""",IFERROR(IFERROR(""$""&amp;Trunc(GOOGLEFINANCE(B216,""Marketcap"")/1000000000)&amp;"" B"",""$""&amp;Trunc(IMPORTXML(""https://coinmarketcap.com/currencies/""&amp;B216,$AJ$4)/1000000000)&amp;"" B""),""-""))"),"")</f>
        <v/>
      </c>
      <c r="AB216" s="13" t="str">
        <f>IFERROR(__xludf.DUMMYFUNCTION("IF(ISBLANK(B216),"""",IFERROR(GOOGLEFINANCE(B216,""pe""),""-""))"),"")</f>
        <v/>
      </c>
      <c r="AC216" s="313" t="str">
        <f>IFERROR(__xludf.DUMMYFUNCTION("SPARKLINE(INDEX(GOOGLEFINANCE(B216,""price"",workday(today(),-$AC$17),today()),,2),{""charttype"",""column"";""color"",""green""})
"),"#N/A")</f>
        <v>#N/A</v>
      </c>
      <c r="AD216" s="313" t="str">
        <f>IFERROR(__xludf.DUMMYFUNCTION("IF(ISBLANK(B216),"""",IFERROR(INDEX(IMPORTXML(""https://eresearch.fidelity.com/eresearch/goto/evaluate/snapshot.jhtml?symbols=""&amp;B216&amp;"""",""//div[@class='sub-heading']//span[@class='right']""),1),""Enter Manually"")
)"),"")</f>
        <v/>
      </c>
      <c r="AE216" s="314" t="str">
        <f t="shared" si="10"/>
        <v>Info</v>
      </c>
      <c r="AF216" s="329"/>
      <c r="AG216" s="320"/>
      <c r="AH216" s="13"/>
      <c r="AI216" s="13"/>
      <c r="AJ216" s="13"/>
      <c r="AK216" s="13"/>
      <c r="AL216" s="13"/>
      <c r="AM216" s="13"/>
      <c r="AN216" s="13"/>
      <c r="AO216" s="13"/>
      <c r="AP216" s="13"/>
    </row>
    <row r="217" ht="18.75" customHeight="1">
      <c r="A217" s="13"/>
      <c r="B217" s="327"/>
      <c r="C217" s="306" t="str">
        <f>IFERROR(__xludf.DUMMYFUNCTION("GOOGLEFINANCE(B217,""name"")
"),"#N/A")</f>
        <v>#N/A</v>
      </c>
      <c r="D217" s="306"/>
      <c r="E217" s="328"/>
      <c r="F217" s="13" t="str">
        <f t="shared" si="1"/>
        <v/>
      </c>
      <c r="G217" s="309" t="str">
        <f>IFERROR(__xludf.DUMMYFUNCTION("IF(ISBLANK(B217),"""",IFERROR(SPARKLINE(INDEX(GOOGLEFINANCE(B217,""price"",TODAY()-$G$17,TODAY()),,2),{""charttype"",""column"";""color"",""17a7e0""}),""""))"),"")</f>
        <v/>
      </c>
      <c r="I217" s="309" t="str">
        <f>IFERROR(__xludf.DUMMYFUNCTION("IFERROR(IF(B217="""","""",GOOGLEFINANCE(B217)),IFERROR(GOOGLEFINANCE(""CURRENCY:""&amp;""USD""&amp;$D$15)*IMPORTXML(""https://coinmarketcap.com/currencies/""&amp;B217,$AJ$3),IMPORTXML(""https://coinmarketcap.com/currencies/""&amp;B217,$AJ$3)))"),"")</f>
        <v/>
      </c>
      <c r="J217" s="310" t="str">
        <f t="shared" si="2"/>
        <v/>
      </c>
      <c r="K217" s="310" t="str">
        <f>IFERROR(__xludf.DUMMYFUNCTION("IFERROR(IF(ISBLANK(B217),"""",GOOGLEFINANCE(B217,""changepct"")/100),"""")"),"")</f>
        <v/>
      </c>
      <c r="L217" s="310" t="str">
        <f>IFERROR(__xludf.DUMMYFUNCTION("IF(ISBLANK(B217),"""",IFERROR((GOOGLEFINANCE(B217,""price"")/INDEX(GOOGLEFINANCE(B217,""price"",DATEVALUE(TODAY()-365) ),2,2)-1),""""))"),"")</f>
        <v/>
      </c>
      <c r="M217" s="310" t="str">
        <f>IFERROR(__xludf.DUMMYFUNCTION("IF(ISBLANK(B217),"""",IFERROR((GOOGLEFINANCE($D$13,""price"")/INDEX(GOOGLEFINANCE($D$13,""price"",DATEVALUE(TODAY()-365) ),2,2)-1),""""))"),"")</f>
        <v/>
      </c>
      <c r="N217" s="310" t="str">
        <f t="shared" si="3"/>
        <v/>
      </c>
      <c r="O217" s="311" t="str">
        <f>IFERROR(__xludf.DUMMYFUNCTION("IFERROR(IF(ISBLANK(B217),"""",GOOGLEFINANCE(B217,""low52"")),"""")"),"")</f>
        <v/>
      </c>
      <c r="P217" s="310" t="str">
        <f t="shared" si="4"/>
        <v/>
      </c>
      <c r="Q217" s="311" t="str">
        <f>IFERROR(__xludf.DUMMYFUNCTION("IFERROR(IF(ISBLANK(B217),"""",GOOGLEFINANCE(B217,""high52"")),"""")"),"")</f>
        <v/>
      </c>
      <c r="R217" s="310" t="str">
        <f t="shared" si="5"/>
        <v/>
      </c>
      <c r="S217" s="13" t="str">
        <f t="shared" si="6"/>
        <v/>
      </c>
      <c r="U217" s="13" t="str">
        <f t="shared" si="7"/>
        <v/>
      </c>
      <c r="W217" s="13" t="str">
        <f t="shared" si="8"/>
        <v/>
      </c>
      <c r="X217" s="310" t="str">
        <f t="shared" si="9"/>
        <v/>
      </c>
      <c r="Y217" s="311" t="str">
        <f>IFERROR(__xludf.DUMMYFUNCTION("IF(ISBLANK(B217),"""",IFERROR(INDEX(GOOGLEFINANCE(B217,""price"",WORKDAY(TODAY(),-$Y$17)),2,2),""""))"),"")</f>
        <v/>
      </c>
      <c r="Z217" s="310" t="str">
        <f>IFERROR(__xludf.DUMMYFUNCTION("IF(ISBLANK(B217),"""",IFERROR(I217/(INDEX(GOOGLEFINANCE(B217,""price"",WORKDAY(TODAY(),-$Z$17)),2,2))-1,""""))"),"")</f>
        <v/>
      </c>
      <c r="AA217" s="312" t="str">
        <f>IFERROR(__xludf.DUMMYFUNCTION("IF(ISBLANK(B217),"""",IFERROR(IFERROR(""$""&amp;Trunc(GOOGLEFINANCE(B217,""Marketcap"")/1000000000)&amp;"" B"",""$""&amp;Trunc(IMPORTXML(""https://coinmarketcap.com/currencies/""&amp;B217,$AJ$4)/1000000000)&amp;"" B""),""-""))"),"")</f>
        <v/>
      </c>
      <c r="AB217" s="13" t="str">
        <f>IFERROR(__xludf.DUMMYFUNCTION("IF(ISBLANK(B217),"""",IFERROR(GOOGLEFINANCE(B217,""pe""),""-""))"),"")</f>
        <v/>
      </c>
      <c r="AC217" s="313" t="str">
        <f>IFERROR(__xludf.DUMMYFUNCTION("SPARKLINE(INDEX(GOOGLEFINANCE(B217,""price"",workday(today(),-$AC$17),today()),,2),{""charttype"",""column"";""color"",""green""})
"),"#N/A")</f>
        <v>#N/A</v>
      </c>
      <c r="AD217" s="313" t="str">
        <f>IFERROR(__xludf.DUMMYFUNCTION("IF(ISBLANK(B217),"""",IFERROR(INDEX(IMPORTXML(""https://eresearch.fidelity.com/eresearch/goto/evaluate/snapshot.jhtml?symbols=""&amp;B217&amp;"""",""//div[@class='sub-heading']//span[@class='right']""),1),""Enter Manually"")
)"),"")</f>
        <v/>
      </c>
      <c r="AE217" s="314" t="str">
        <f t="shared" si="10"/>
        <v>Info</v>
      </c>
      <c r="AF217" s="329"/>
      <c r="AG217" s="320"/>
      <c r="AH217" s="13"/>
      <c r="AI217" s="13"/>
      <c r="AJ217" s="13"/>
      <c r="AK217" s="13"/>
      <c r="AL217" s="13"/>
      <c r="AM217" s="13"/>
      <c r="AN217" s="13"/>
      <c r="AO217" s="13"/>
      <c r="AP217" s="13"/>
    </row>
    <row r="218" ht="18.75" customHeight="1">
      <c r="A218" s="13"/>
      <c r="B218" s="327"/>
      <c r="C218" s="306" t="str">
        <f>IFERROR(__xludf.DUMMYFUNCTION("GOOGLEFINANCE(B218,""name"")
"),"#N/A")</f>
        <v>#N/A</v>
      </c>
      <c r="D218" s="306"/>
      <c r="E218" s="328"/>
      <c r="F218" s="13" t="str">
        <f t="shared" si="1"/>
        <v/>
      </c>
      <c r="G218" s="309" t="str">
        <f>IFERROR(__xludf.DUMMYFUNCTION("IF(ISBLANK(B218),"""",IFERROR(SPARKLINE(INDEX(GOOGLEFINANCE(B218,""price"",TODAY()-$G$17,TODAY()),,2),{""charttype"",""column"";""color"",""17a7e0""}),""""))"),"")</f>
        <v/>
      </c>
      <c r="I218" s="309" t="str">
        <f>IFERROR(__xludf.DUMMYFUNCTION("IFERROR(IF(B218="""","""",GOOGLEFINANCE(B218)),IFERROR(GOOGLEFINANCE(""CURRENCY:""&amp;""USD""&amp;$D$15)*IMPORTXML(""https://coinmarketcap.com/currencies/""&amp;B218,$AJ$3),IMPORTXML(""https://coinmarketcap.com/currencies/""&amp;B218,$AJ$3)))"),"")</f>
        <v/>
      </c>
      <c r="J218" s="310" t="str">
        <f t="shared" si="2"/>
        <v/>
      </c>
      <c r="K218" s="310" t="str">
        <f>IFERROR(__xludf.DUMMYFUNCTION("IFERROR(IF(ISBLANK(B218),"""",GOOGLEFINANCE(B218,""changepct"")/100),"""")"),"")</f>
        <v/>
      </c>
      <c r="L218" s="310" t="str">
        <f>IFERROR(__xludf.DUMMYFUNCTION("IF(ISBLANK(B218),"""",IFERROR((GOOGLEFINANCE(B218,""price"")/INDEX(GOOGLEFINANCE(B218,""price"",DATEVALUE(TODAY()-365) ),2,2)-1),""""))"),"")</f>
        <v/>
      </c>
      <c r="M218" s="310" t="str">
        <f>IFERROR(__xludf.DUMMYFUNCTION("IF(ISBLANK(B218),"""",IFERROR((GOOGLEFINANCE($D$13,""price"")/INDEX(GOOGLEFINANCE($D$13,""price"",DATEVALUE(TODAY()-365) ),2,2)-1),""""))"),"")</f>
        <v/>
      </c>
      <c r="N218" s="310" t="str">
        <f t="shared" si="3"/>
        <v/>
      </c>
      <c r="O218" s="311" t="str">
        <f>IFERROR(__xludf.DUMMYFUNCTION("IFERROR(IF(ISBLANK(B218),"""",GOOGLEFINANCE(B218,""low52"")),"""")"),"")</f>
        <v/>
      </c>
      <c r="P218" s="310" t="str">
        <f t="shared" si="4"/>
        <v/>
      </c>
      <c r="Q218" s="311" t="str">
        <f>IFERROR(__xludf.DUMMYFUNCTION("IFERROR(IF(ISBLANK(B218),"""",GOOGLEFINANCE(B218,""high52"")),"""")"),"")</f>
        <v/>
      </c>
      <c r="R218" s="310" t="str">
        <f t="shared" si="5"/>
        <v/>
      </c>
      <c r="S218" s="13" t="str">
        <f t="shared" si="6"/>
        <v/>
      </c>
      <c r="U218" s="13" t="str">
        <f t="shared" si="7"/>
        <v/>
      </c>
      <c r="W218" s="13" t="str">
        <f t="shared" si="8"/>
        <v/>
      </c>
      <c r="X218" s="310" t="str">
        <f t="shared" si="9"/>
        <v/>
      </c>
      <c r="Y218" s="311" t="str">
        <f>IFERROR(__xludf.DUMMYFUNCTION("IF(ISBLANK(B218),"""",IFERROR(INDEX(GOOGLEFINANCE(B218,""price"",WORKDAY(TODAY(),-$Y$17)),2,2),""""))"),"")</f>
        <v/>
      </c>
      <c r="Z218" s="310" t="str">
        <f>IFERROR(__xludf.DUMMYFUNCTION("IF(ISBLANK(B218),"""",IFERROR(I218/(INDEX(GOOGLEFINANCE(B218,""price"",WORKDAY(TODAY(),-$Z$17)),2,2))-1,""""))"),"")</f>
        <v/>
      </c>
      <c r="AA218" s="312" t="str">
        <f>IFERROR(__xludf.DUMMYFUNCTION("IF(ISBLANK(B218),"""",IFERROR(IFERROR(""$""&amp;Trunc(GOOGLEFINANCE(B218,""Marketcap"")/1000000000)&amp;"" B"",""$""&amp;Trunc(IMPORTXML(""https://coinmarketcap.com/currencies/""&amp;B218,$AJ$4)/1000000000)&amp;"" B""),""-""))"),"")</f>
        <v/>
      </c>
      <c r="AB218" s="13" t="str">
        <f>IFERROR(__xludf.DUMMYFUNCTION("IF(ISBLANK(B218),"""",IFERROR(GOOGLEFINANCE(B218,""pe""),""-""))"),"")</f>
        <v/>
      </c>
      <c r="AC218" s="313" t="str">
        <f>IFERROR(__xludf.DUMMYFUNCTION("SPARKLINE(INDEX(GOOGLEFINANCE(B218,""price"",workday(today(),-$AC$17),today()),,2),{""charttype"",""column"";""color"",""green""})
"),"#N/A")</f>
        <v>#N/A</v>
      </c>
      <c r="AD218" s="313" t="str">
        <f>IFERROR(__xludf.DUMMYFUNCTION("IF(ISBLANK(B218),"""",IFERROR(INDEX(IMPORTXML(""https://eresearch.fidelity.com/eresearch/goto/evaluate/snapshot.jhtml?symbols=""&amp;B218&amp;"""",""//div[@class='sub-heading']//span[@class='right']""),1),""Enter Manually"")
)"),"")</f>
        <v/>
      </c>
      <c r="AE218" s="314" t="str">
        <f t="shared" si="10"/>
        <v>Info</v>
      </c>
      <c r="AF218" s="329"/>
      <c r="AG218" s="320"/>
      <c r="AH218" s="13"/>
      <c r="AI218" s="13"/>
      <c r="AJ218" s="13"/>
      <c r="AK218" s="13"/>
      <c r="AL218" s="13"/>
      <c r="AM218" s="13"/>
      <c r="AN218" s="13"/>
      <c r="AO218" s="13"/>
      <c r="AP218" s="13"/>
    </row>
    <row r="219" ht="18.75" customHeight="1">
      <c r="A219" s="13"/>
      <c r="B219" s="327"/>
      <c r="C219" s="306" t="str">
        <f>IFERROR(__xludf.DUMMYFUNCTION("GOOGLEFINANCE(B219,""name"")
"),"#N/A")</f>
        <v>#N/A</v>
      </c>
      <c r="D219" s="306"/>
      <c r="E219" s="328"/>
      <c r="F219" s="13" t="str">
        <f t="shared" si="1"/>
        <v/>
      </c>
      <c r="G219" s="309" t="str">
        <f>IFERROR(__xludf.DUMMYFUNCTION("IF(ISBLANK(B219),"""",IFERROR(SPARKLINE(INDEX(GOOGLEFINANCE(B219,""price"",TODAY()-$G$17,TODAY()),,2),{""charttype"",""column"";""color"",""17a7e0""}),""""))"),"")</f>
        <v/>
      </c>
      <c r="I219" s="309" t="str">
        <f>IFERROR(__xludf.DUMMYFUNCTION("IFERROR(IF(B219="""","""",GOOGLEFINANCE(B219)),IFERROR(GOOGLEFINANCE(""CURRENCY:""&amp;""USD""&amp;$D$15)*IMPORTXML(""https://coinmarketcap.com/currencies/""&amp;B219,$AJ$3),IMPORTXML(""https://coinmarketcap.com/currencies/""&amp;B219,$AJ$3)))"),"")</f>
        <v/>
      </c>
      <c r="J219" s="310" t="str">
        <f t="shared" si="2"/>
        <v/>
      </c>
      <c r="K219" s="310" t="str">
        <f>IFERROR(__xludf.DUMMYFUNCTION("IFERROR(IF(ISBLANK(B219),"""",GOOGLEFINANCE(B219,""changepct"")/100),"""")"),"")</f>
        <v/>
      </c>
      <c r="L219" s="310" t="str">
        <f>IFERROR(__xludf.DUMMYFUNCTION("IF(ISBLANK(B219),"""",IFERROR((GOOGLEFINANCE(B219,""price"")/INDEX(GOOGLEFINANCE(B219,""price"",DATEVALUE(TODAY()-365) ),2,2)-1),""""))"),"")</f>
        <v/>
      </c>
      <c r="M219" s="310" t="str">
        <f>IFERROR(__xludf.DUMMYFUNCTION("IF(ISBLANK(B219),"""",IFERROR((GOOGLEFINANCE($D$13,""price"")/INDEX(GOOGLEFINANCE($D$13,""price"",DATEVALUE(TODAY()-365) ),2,2)-1),""""))"),"")</f>
        <v/>
      </c>
      <c r="N219" s="310" t="str">
        <f t="shared" si="3"/>
        <v/>
      </c>
      <c r="O219" s="311" t="str">
        <f>IFERROR(__xludf.DUMMYFUNCTION("IFERROR(IF(ISBLANK(B219),"""",GOOGLEFINANCE(B219,""low52"")),"""")"),"")</f>
        <v/>
      </c>
      <c r="P219" s="310" t="str">
        <f t="shared" si="4"/>
        <v/>
      </c>
      <c r="Q219" s="311" t="str">
        <f>IFERROR(__xludf.DUMMYFUNCTION("IFERROR(IF(ISBLANK(B219),"""",GOOGLEFINANCE(B219,""high52"")),"""")"),"")</f>
        <v/>
      </c>
      <c r="R219" s="310" t="str">
        <f t="shared" si="5"/>
        <v/>
      </c>
      <c r="S219" s="13" t="str">
        <f t="shared" si="6"/>
        <v/>
      </c>
      <c r="U219" s="13" t="str">
        <f t="shared" si="7"/>
        <v/>
      </c>
      <c r="W219" s="13" t="str">
        <f t="shared" si="8"/>
        <v/>
      </c>
      <c r="X219" s="310" t="str">
        <f t="shared" si="9"/>
        <v/>
      </c>
      <c r="Y219" s="311" t="str">
        <f>IFERROR(__xludf.DUMMYFUNCTION("IF(ISBLANK(B219),"""",IFERROR(INDEX(GOOGLEFINANCE(B219,""price"",WORKDAY(TODAY(),-$Y$17)),2,2),""""))"),"")</f>
        <v/>
      </c>
      <c r="Z219" s="310" t="str">
        <f>IFERROR(__xludf.DUMMYFUNCTION("IF(ISBLANK(B219),"""",IFERROR(I219/(INDEX(GOOGLEFINANCE(B219,""price"",WORKDAY(TODAY(),-$Z$17)),2,2))-1,""""))"),"")</f>
        <v/>
      </c>
      <c r="AA219" s="312" t="str">
        <f>IFERROR(__xludf.DUMMYFUNCTION("IF(ISBLANK(B219),"""",IFERROR(IFERROR(""$""&amp;Trunc(GOOGLEFINANCE(B219,""Marketcap"")/1000000000)&amp;"" B"",""$""&amp;Trunc(IMPORTXML(""https://coinmarketcap.com/currencies/""&amp;B219,$AJ$4)/1000000000)&amp;"" B""),""-""))"),"")</f>
        <v/>
      </c>
      <c r="AB219" s="13" t="str">
        <f>IFERROR(__xludf.DUMMYFUNCTION("IF(ISBLANK(B219),"""",IFERROR(GOOGLEFINANCE(B219,""pe""),""-""))"),"")</f>
        <v/>
      </c>
      <c r="AC219" s="313" t="str">
        <f>IFERROR(__xludf.DUMMYFUNCTION("SPARKLINE(INDEX(GOOGLEFINANCE(B219,""price"",workday(today(),-$AC$17),today()),,2),{""charttype"",""column"";""color"",""green""})
"),"#N/A")</f>
        <v>#N/A</v>
      </c>
      <c r="AD219" s="313" t="str">
        <f>IFERROR(__xludf.DUMMYFUNCTION("IF(ISBLANK(B219),"""",IFERROR(INDEX(IMPORTXML(""https://eresearch.fidelity.com/eresearch/goto/evaluate/snapshot.jhtml?symbols=""&amp;B219&amp;"""",""//div[@class='sub-heading']//span[@class='right']""),1),""Enter Manually"")
)"),"")</f>
        <v/>
      </c>
      <c r="AE219" s="314" t="str">
        <f t="shared" si="10"/>
        <v>Info</v>
      </c>
      <c r="AF219" s="329"/>
      <c r="AG219" s="320"/>
      <c r="AH219" s="13"/>
      <c r="AI219" s="13"/>
      <c r="AJ219" s="13"/>
      <c r="AK219" s="13"/>
      <c r="AL219" s="13"/>
      <c r="AM219" s="13"/>
      <c r="AN219" s="13"/>
      <c r="AO219" s="13"/>
      <c r="AP219" s="13"/>
    </row>
    <row r="220" ht="18.75" customHeight="1">
      <c r="A220" s="13"/>
      <c r="B220" s="327"/>
      <c r="C220" s="306" t="str">
        <f>IFERROR(__xludf.DUMMYFUNCTION("GOOGLEFINANCE(B220,""name"")
"),"#N/A")</f>
        <v>#N/A</v>
      </c>
      <c r="D220" s="306"/>
      <c r="E220" s="328"/>
      <c r="F220" s="13" t="str">
        <f t="shared" si="1"/>
        <v/>
      </c>
      <c r="G220" s="309" t="str">
        <f>IFERROR(__xludf.DUMMYFUNCTION("IF(ISBLANK(B220),"""",IFERROR(SPARKLINE(INDEX(GOOGLEFINANCE(B220,""price"",TODAY()-$G$17,TODAY()),,2),{""charttype"",""column"";""color"",""17a7e0""}),""""))"),"")</f>
        <v/>
      </c>
      <c r="I220" s="309" t="str">
        <f>IFERROR(__xludf.DUMMYFUNCTION("IFERROR(IF(B220="""","""",GOOGLEFINANCE(B220)),IFERROR(GOOGLEFINANCE(""CURRENCY:""&amp;""USD""&amp;$D$15)*IMPORTXML(""https://coinmarketcap.com/currencies/""&amp;B220,$AJ$3),IMPORTXML(""https://coinmarketcap.com/currencies/""&amp;B220,$AJ$3)))"),"")</f>
        <v/>
      </c>
      <c r="J220" s="310" t="str">
        <f t="shared" si="2"/>
        <v/>
      </c>
      <c r="K220" s="310" t="str">
        <f>IFERROR(__xludf.DUMMYFUNCTION("IFERROR(IF(ISBLANK(B220),"""",GOOGLEFINANCE(B220,""changepct"")/100),"""")"),"")</f>
        <v/>
      </c>
      <c r="L220" s="310" t="str">
        <f>IFERROR(__xludf.DUMMYFUNCTION("IF(ISBLANK(B220),"""",IFERROR((GOOGLEFINANCE(B220,""price"")/INDEX(GOOGLEFINANCE(B220,""price"",DATEVALUE(TODAY()-365) ),2,2)-1),""""))"),"")</f>
        <v/>
      </c>
      <c r="M220" s="310" t="str">
        <f>IFERROR(__xludf.DUMMYFUNCTION("IF(ISBLANK(B220),"""",IFERROR((GOOGLEFINANCE($D$13,""price"")/INDEX(GOOGLEFINANCE($D$13,""price"",DATEVALUE(TODAY()-365) ),2,2)-1),""""))"),"")</f>
        <v/>
      </c>
      <c r="N220" s="310" t="str">
        <f t="shared" si="3"/>
        <v/>
      </c>
      <c r="O220" s="311" t="str">
        <f>IFERROR(__xludf.DUMMYFUNCTION("IFERROR(IF(ISBLANK(B220),"""",GOOGLEFINANCE(B220,""low52"")),"""")"),"")</f>
        <v/>
      </c>
      <c r="P220" s="310" t="str">
        <f t="shared" si="4"/>
        <v/>
      </c>
      <c r="Q220" s="311" t="str">
        <f>IFERROR(__xludf.DUMMYFUNCTION("IFERROR(IF(ISBLANK(B220),"""",GOOGLEFINANCE(B220,""high52"")),"""")"),"")</f>
        <v/>
      </c>
      <c r="R220" s="310" t="str">
        <f t="shared" si="5"/>
        <v/>
      </c>
      <c r="S220" s="13" t="str">
        <f t="shared" si="6"/>
        <v/>
      </c>
      <c r="U220" s="13" t="str">
        <f t="shared" si="7"/>
        <v/>
      </c>
      <c r="W220" s="13" t="str">
        <f t="shared" si="8"/>
        <v/>
      </c>
      <c r="X220" s="310" t="str">
        <f t="shared" si="9"/>
        <v/>
      </c>
      <c r="Y220" s="311" t="str">
        <f>IFERROR(__xludf.DUMMYFUNCTION("IF(ISBLANK(B220),"""",IFERROR(INDEX(GOOGLEFINANCE(B220,""price"",WORKDAY(TODAY(),-$Y$17)),2,2),""""))"),"")</f>
        <v/>
      </c>
      <c r="Z220" s="310" t="str">
        <f>IFERROR(__xludf.DUMMYFUNCTION("IF(ISBLANK(B220),"""",IFERROR(I220/(INDEX(GOOGLEFINANCE(B220,""price"",WORKDAY(TODAY(),-$Z$17)),2,2))-1,""""))"),"")</f>
        <v/>
      </c>
      <c r="AA220" s="312" t="str">
        <f>IFERROR(__xludf.DUMMYFUNCTION("IF(ISBLANK(B220),"""",IFERROR(IFERROR(""$""&amp;Trunc(GOOGLEFINANCE(B220,""Marketcap"")/1000000000)&amp;"" B"",""$""&amp;Trunc(IMPORTXML(""https://coinmarketcap.com/currencies/""&amp;B220,$AJ$4)/1000000000)&amp;"" B""),""-""))"),"")</f>
        <v/>
      </c>
      <c r="AB220" s="13" t="str">
        <f>IFERROR(__xludf.DUMMYFUNCTION("IF(ISBLANK(B220),"""",IFERROR(GOOGLEFINANCE(B220,""pe""),""-""))"),"")</f>
        <v/>
      </c>
      <c r="AC220" s="313" t="str">
        <f>IFERROR(__xludf.DUMMYFUNCTION("SPARKLINE(INDEX(GOOGLEFINANCE(B220,""price"",workday(today(),-$AC$17),today()),,2),{""charttype"",""column"";""color"",""green""})
"),"#N/A")</f>
        <v>#N/A</v>
      </c>
      <c r="AD220" s="313" t="str">
        <f>IFERROR(__xludf.DUMMYFUNCTION("IF(ISBLANK(B220),"""",IFERROR(INDEX(IMPORTXML(""https://eresearch.fidelity.com/eresearch/goto/evaluate/snapshot.jhtml?symbols=""&amp;B220&amp;"""",""//div[@class='sub-heading']//span[@class='right']""),1),""Enter Manually"")
)"),"")</f>
        <v/>
      </c>
      <c r="AE220" s="314" t="str">
        <f t="shared" si="10"/>
        <v>Info</v>
      </c>
      <c r="AF220" s="329"/>
      <c r="AG220" s="320"/>
      <c r="AH220" s="13"/>
      <c r="AI220" s="13"/>
      <c r="AJ220" s="13"/>
      <c r="AK220" s="13"/>
      <c r="AL220" s="13"/>
      <c r="AM220" s="13"/>
      <c r="AN220" s="13"/>
      <c r="AO220" s="13"/>
      <c r="AP220" s="13"/>
    </row>
    <row r="221" ht="18.75" customHeight="1">
      <c r="A221" s="13"/>
      <c r="B221" s="327"/>
      <c r="C221" s="306" t="str">
        <f>IFERROR(__xludf.DUMMYFUNCTION("GOOGLEFINANCE(B221,""name"")
"),"#N/A")</f>
        <v>#N/A</v>
      </c>
      <c r="D221" s="306"/>
      <c r="E221" s="328"/>
      <c r="F221" s="13" t="str">
        <f t="shared" si="1"/>
        <v/>
      </c>
      <c r="G221" s="309" t="str">
        <f>IFERROR(__xludf.DUMMYFUNCTION("IF(ISBLANK(B221),"""",IFERROR(SPARKLINE(INDEX(GOOGLEFINANCE(B221,""price"",TODAY()-$G$17,TODAY()),,2),{""charttype"",""column"";""color"",""17a7e0""}),""""))"),"")</f>
        <v/>
      </c>
      <c r="I221" s="309" t="str">
        <f>IFERROR(__xludf.DUMMYFUNCTION("IFERROR(IF(B221="""","""",GOOGLEFINANCE(B221)),IFERROR(GOOGLEFINANCE(""CURRENCY:""&amp;""USD""&amp;$D$15)*IMPORTXML(""https://coinmarketcap.com/currencies/""&amp;B221,$AJ$3),IMPORTXML(""https://coinmarketcap.com/currencies/""&amp;B221,$AJ$3)))"),"")</f>
        <v/>
      </c>
      <c r="J221" s="310" t="str">
        <f t="shared" si="2"/>
        <v/>
      </c>
      <c r="K221" s="310" t="str">
        <f>IFERROR(__xludf.DUMMYFUNCTION("IFERROR(IF(ISBLANK(B221),"""",GOOGLEFINANCE(B221,""changepct"")/100),"""")"),"")</f>
        <v/>
      </c>
      <c r="L221" s="310" t="str">
        <f>IFERROR(__xludf.DUMMYFUNCTION("IF(ISBLANK(B221),"""",IFERROR((GOOGLEFINANCE(B221,""price"")/INDEX(GOOGLEFINANCE(B221,""price"",DATEVALUE(TODAY()-365) ),2,2)-1),""""))"),"")</f>
        <v/>
      </c>
      <c r="M221" s="310" t="str">
        <f>IFERROR(__xludf.DUMMYFUNCTION("IF(ISBLANK(B221),"""",IFERROR((GOOGLEFINANCE($D$13,""price"")/INDEX(GOOGLEFINANCE($D$13,""price"",DATEVALUE(TODAY()-365) ),2,2)-1),""""))"),"")</f>
        <v/>
      </c>
      <c r="N221" s="310" t="str">
        <f t="shared" si="3"/>
        <v/>
      </c>
      <c r="O221" s="311" t="str">
        <f>IFERROR(__xludf.DUMMYFUNCTION("IFERROR(IF(ISBLANK(B221),"""",GOOGLEFINANCE(B221,""low52"")),"""")"),"")</f>
        <v/>
      </c>
      <c r="P221" s="310" t="str">
        <f t="shared" si="4"/>
        <v/>
      </c>
      <c r="Q221" s="311" t="str">
        <f>IFERROR(__xludf.DUMMYFUNCTION("IFERROR(IF(ISBLANK(B221),"""",GOOGLEFINANCE(B221,""high52"")),"""")"),"")</f>
        <v/>
      </c>
      <c r="R221" s="310" t="str">
        <f t="shared" si="5"/>
        <v/>
      </c>
      <c r="S221" s="13" t="str">
        <f t="shared" si="6"/>
        <v/>
      </c>
      <c r="U221" s="13" t="str">
        <f t="shared" si="7"/>
        <v/>
      </c>
      <c r="W221" s="13" t="str">
        <f t="shared" si="8"/>
        <v/>
      </c>
      <c r="X221" s="310" t="str">
        <f t="shared" si="9"/>
        <v/>
      </c>
      <c r="Y221" s="311" t="str">
        <f>IFERROR(__xludf.DUMMYFUNCTION("IF(ISBLANK(B221),"""",IFERROR(INDEX(GOOGLEFINANCE(B221,""price"",WORKDAY(TODAY(),-$Y$17)),2,2),""""))"),"")</f>
        <v/>
      </c>
      <c r="Z221" s="310" t="str">
        <f>IFERROR(__xludf.DUMMYFUNCTION("IF(ISBLANK(B221),"""",IFERROR(I221/(INDEX(GOOGLEFINANCE(B221,""price"",WORKDAY(TODAY(),-$Z$17)),2,2))-1,""""))"),"")</f>
        <v/>
      </c>
      <c r="AA221" s="312" t="str">
        <f>IFERROR(__xludf.DUMMYFUNCTION("IF(ISBLANK(B221),"""",IFERROR(IFERROR(""$""&amp;Trunc(GOOGLEFINANCE(B221,""Marketcap"")/1000000000)&amp;"" B"",""$""&amp;Trunc(IMPORTXML(""https://coinmarketcap.com/currencies/""&amp;B221,$AJ$4)/1000000000)&amp;"" B""),""-""))"),"")</f>
        <v/>
      </c>
      <c r="AB221" s="13" t="str">
        <f>IFERROR(__xludf.DUMMYFUNCTION("IF(ISBLANK(B221),"""",IFERROR(GOOGLEFINANCE(B221,""pe""),""-""))"),"")</f>
        <v/>
      </c>
      <c r="AC221" s="313" t="str">
        <f>IFERROR(__xludf.DUMMYFUNCTION("SPARKLINE(INDEX(GOOGLEFINANCE(B221,""price"",workday(today(),-$AC$17),today()),,2),{""charttype"",""column"";""color"",""green""})
"),"#N/A")</f>
        <v>#N/A</v>
      </c>
      <c r="AD221" s="313" t="str">
        <f>IFERROR(__xludf.DUMMYFUNCTION("IF(ISBLANK(B221),"""",IFERROR(INDEX(IMPORTXML(""https://eresearch.fidelity.com/eresearch/goto/evaluate/snapshot.jhtml?symbols=""&amp;B221&amp;"""",""//div[@class='sub-heading']//span[@class='right']""),1),""Enter Manually"")
)"),"")</f>
        <v/>
      </c>
      <c r="AE221" s="314" t="str">
        <f t="shared" si="10"/>
        <v>Info</v>
      </c>
      <c r="AF221" s="329"/>
      <c r="AG221" s="320"/>
      <c r="AH221" s="13"/>
      <c r="AI221" s="13"/>
      <c r="AJ221" s="13"/>
      <c r="AK221" s="13"/>
      <c r="AL221" s="13"/>
      <c r="AM221" s="13"/>
      <c r="AN221" s="13"/>
      <c r="AO221" s="13"/>
      <c r="AP221" s="13"/>
    </row>
    <row r="222" ht="18.75" customHeight="1">
      <c r="A222" s="13"/>
      <c r="B222" s="327"/>
      <c r="C222" s="306" t="str">
        <f>IFERROR(__xludf.DUMMYFUNCTION("GOOGLEFINANCE(B222,""name"")
"),"#N/A")</f>
        <v>#N/A</v>
      </c>
      <c r="D222" s="306"/>
      <c r="E222" s="328"/>
      <c r="F222" s="13" t="str">
        <f t="shared" si="1"/>
        <v/>
      </c>
      <c r="G222" s="309" t="str">
        <f>IFERROR(__xludf.DUMMYFUNCTION("IF(ISBLANK(B222),"""",IFERROR(SPARKLINE(INDEX(GOOGLEFINANCE(B222,""price"",TODAY()-$G$17,TODAY()),,2),{""charttype"",""column"";""color"",""17a7e0""}),""""))"),"")</f>
        <v/>
      </c>
      <c r="I222" s="309" t="str">
        <f>IFERROR(__xludf.DUMMYFUNCTION("IFERROR(IF(B222="""","""",GOOGLEFINANCE(B222)),IFERROR(GOOGLEFINANCE(""CURRENCY:""&amp;""USD""&amp;$D$15)*IMPORTXML(""https://coinmarketcap.com/currencies/""&amp;B222,$AJ$3),IMPORTXML(""https://coinmarketcap.com/currencies/""&amp;B222,$AJ$3)))"),"")</f>
        <v/>
      </c>
      <c r="J222" s="310" t="str">
        <f t="shared" si="2"/>
        <v/>
      </c>
      <c r="K222" s="310" t="str">
        <f>IFERROR(__xludf.DUMMYFUNCTION("IFERROR(IF(ISBLANK(B222),"""",GOOGLEFINANCE(B222,""changepct"")/100),"""")"),"")</f>
        <v/>
      </c>
      <c r="L222" s="310" t="str">
        <f>IFERROR(__xludf.DUMMYFUNCTION("IF(ISBLANK(B222),"""",IFERROR((GOOGLEFINANCE(B222,""price"")/INDEX(GOOGLEFINANCE(B222,""price"",DATEVALUE(TODAY()-365) ),2,2)-1),""""))"),"")</f>
        <v/>
      </c>
      <c r="M222" s="310" t="str">
        <f>IFERROR(__xludf.DUMMYFUNCTION("IF(ISBLANK(B222),"""",IFERROR((GOOGLEFINANCE($D$13,""price"")/INDEX(GOOGLEFINANCE($D$13,""price"",DATEVALUE(TODAY()-365) ),2,2)-1),""""))"),"")</f>
        <v/>
      </c>
      <c r="N222" s="310" t="str">
        <f t="shared" si="3"/>
        <v/>
      </c>
      <c r="O222" s="311" t="str">
        <f>IFERROR(__xludf.DUMMYFUNCTION("IFERROR(IF(ISBLANK(B222),"""",GOOGLEFINANCE(B222,""low52"")),"""")"),"")</f>
        <v/>
      </c>
      <c r="P222" s="310" t="str">
        <f t="shared" si="4"/>
        <v/>
      </c>
      <c r="Q222" s="311" t="str">
        <f>IFERROR(__xludf.DUMMYFUNCTION("IFERROR(IF(ISBLANK(B222),"""",GOOGLEFINANCE(B222,""high52"")),"""")"),"")</f>
        <v/>
      </c>
      <c r="R222" s="310" t="str">
        <f t="shared" si="5"/>
        <v/>
      </c>
      <c r="S222" s="13" t="str">
        <f t="shared" si="6"/>
        <v/>
      </c>
      <c r="U222" s="13" t="str">
        <f t="shared" si="7"/>
        <v/>
      </c>
      <c r="W222" s="13" t="str">
        <f t="shared" si="8"/>
        <v/>
      </c>
      <c r="X222" s="310" t="str">
        <f t="shared" si="9"/>
        <v/>
      </c>
      <c r="Y222" s="311" t="str">
        <f>IFERROR(__xludf.DUMMYFUNCTION("IF(ISBLANK(B222),"""",IFERROR(INDEX(GOOGLEFINANCE(B222,""price"",WORKDAY(TODAY(),-$Y$17)),2,2),""""))"),"")</f>
        <v/>
      </c>
      <c r="Z222" s="310" t="str">
        <f>IFERROR(__xludf.DUMMYFUNCTION("IF(ISBLANK(B222),"""",IFERROR(I222/(INDEX(GOOGLEFINANCE(B222,""price"",WORKDAY(TODAY(),-$Z$17)),2,2))-1,""""))"),"")</f>
        <v/>
      </c>
      <c r="AA222" s="312" t="str">
        <f>IFERROR(__xludf.DUMMYFUNCTION("IF(ISBLANK(B222),"""",IFERROR(IFERROR(""$""&amp;Trunc(GOOGLEFINANCE(B222,""Marketcap"")/1000000000)&amp;"" B"",""$""&amp;Trunc(IMPORTXML(""https://coinmarketcap.com/currencies/""&amp;B222,$AJ$4)/1000000000)&amp;"" B""),""-""))"),"")</f>
        <v/>
      </c>
      <c r="AB222" s="13" t="str">
        <f>IFERROR(__xludf.DUMMYFUNCTION("IF(ISBLANK(B222),"""",IFERROR(GOOGLEFINANCE(B222,""pe""),""-""))"),"")</f>
        <v/>
      </c>
      <c r="AC222" s="313" t="str">
        <f>IFERROR(__xludf.DUMMYFUNCTION("SPARKLINE(INDEX(GOOGLEFINANCE(B222,""price"",workday(today(),-$AC$17),today()),,2),{""charttype"",""column"";""color"",""green""})
"),"#N/A")</f>
        <v>#N/A</v>
      </c>
      <c r="AD222" s="313" t="str">
        <f>IFERROR(__xludf.DUMMYFUNCTION("IF(ISBLANK(B222),"""",IFERROR(INDEX(IMPORTXML(""https://eresearch.fidelity.com/eresearch/goto/evaluate/snapshot.jhtml?symbols=""&amp;B222&amp;"""",""//div[@class='sub-heading']//span[@class='right']""),1),""Enter Manually"")
)"),"")</f>
        <v/>
      </c>
      <c r="AE222" s="314" t="str">
        <f t="shared" si="10"/>
        <v>Info</v>
      </c>
      <c r="AF222" s="329"/>
      <c r="AG222" s="320"/>
      <c r="AH222" s="13"/>
      <c r="AI222" s="13"/>
      <c r="AJ222" s="13"/>
      <c r="AK222" s="13"/>
      <c r="AL222" s="13"/>
      <c r="AM222" s="13"/>
      <c r="AN222" s="13"/>
      <c r="AO222" s="13"/>
      <c r="AP222" s="13"/>
    </row>
    <row r="223" ht="18.75" customHeight="1">
      <c r="A223" s="13"/>
      <c r="B223" s="327"/>
      <c r="C223" s="306" t="str">
        <f>IFERROR(__xludf.DUMMYFUNCTION("GOOGLEFINANCE(B223,""name"")
"),"#N/A")</f>
        <v>#N/A</v>
      </c>
      <c r="D223" s="306"/>
      <c r="E223" s="328"/>
      <c r="F223" s="13" t="str">
        <f t="shared" si="1"/>
        <v/>
      </c>
      <c r="G223" s="309" t="str">
        <f>IFERROR(__xludf.DUMMYFUNCTION("IF(ISBLANK(B223),"""",IFERROR(SPARKLINE(INDEX(GOOGLEFINANCE(B223,""price"",TODAY()-$G$17,TODAY()),,2),{""charttype"",""column"";""color"",""17a7e0""}),""""))"),"")</f>
        <v/>
      </c>
      <c r="I223" s="309" t="str">
        <f>IFERROR(__xludf.DUMMYFUNCTION("IFERROR(IF(B223="""","""",GOOGLEFINANCE(B223)),IFERROR(GOOGLEFINANCE(""CURRENCY:""&amp;""USD""&amp;$D$15)*IMPORTXML(""https://coinmarketcap.com/currencies/""&amp;B223,$AJ$3),IMPORTXML(""https://coinmarketcap.com/currencies/""&amp;B223,$AJ$3)))"),"")</f>
        <v/>
      </c>
      <c r="J223" s="310" t="str">
        <f t="shared" si="2"/>
        <v/>
      </c>
      <c r="K223" s="310" t="str">
        <f>IFERROR(__xludf.DUMMYFUNCTION("IFERROR(IF(ISBLANK(B223),"""",GOOGLEFINANCE(B223,""changepct"")/100),"""")"),"")</f>
        <v/>
      </c>
      <c r="L223" s="310" t="str">
        <f>IFERROR(__xludf.DUMMYFUNCTION("IF(ISBLANK(B223),"""",IFERROR((GOOGLEFINANCE(B223,""price"")/INDEX(GOOGLEFINANCE(B223,""price"",DATEVALUE(TODAY()-365) ),2,2)-1),""""))"),"")</f>
        <v/>
      </c>
      <c r="M223" s="310" t="str">
        <f>IFERROR(__xludf.DUMMYFUNCTION("IF(ISBLANK(B223),"""",IFERROR((GOOGLEFINANCE($D$13,""price"")/INDEX(GOOGLEFINANCE($D$13,""price"",DATEVALUE(TODAY()-365) ),2,2)-1),""""))"),"")</f>
        <v/>
      </c>
      <c r="N223" s="310" t="str">
        <f t="shared" si="3"/>
        <v/>
      </c>
      <c r="O223" s="311" t="str">
        <f>IFERROR(__xludf.DUMMYFUNCTION("IFERROR(IF(ISBLANK(B223),"""",GOOGLEFINANCE(B223,""low52"")),"""")"),"")</f>
        <v/>
      </c>
      <c r="P223" s="310" t="str">
        <f t="shared" si="4"/>
        <v/>
      </c>
      <c r="Q223" s="311" t="str">
        <f>IFERROR(__xludf.DUMMYFUNCTION("IFERROR(IF(ISBLANK(B223),"""",GOOGLEFINANCE(B223,""high52"")),"""")"),"")</f>
        <v/>
      </c>
      <c r="R223" s="310" t="str">
        <f t="shared" si="5"/>
        <v/>
      </c>
      <c r="S223" s="13" t="str">
        <f t="shared" si="6"/>
        <v/>
      </c>
      <c r="U223" s="13" t="str">
        <f t="shared" si="7"/>
        <v/>
      </c>
      <c r="W223" s="13" t="str">
        <f t="shared" si="8"/>
        <v/>
      </c>
      <c r="X223" s="310" t="str">
        <f t="shared" si="9"/>
        <v/>
      </c>
      <c r="Y223" s="311" t="str">
        <f>IFERROR(__xludf.DUMMYFUNCTION("IF(ISBLANK(B223),"""",IFERROR(INDEX(GOOGLEFINANCE(B223,""price"",WORKDAY(TODAY(),-$Y$17)),2,2),""""))"),"")</f>
        <v/>
      </c>
      <c r="Z223" s="310" t="str">
        <f>IFERROR(__xludf.DUMMYFUNCTION("IF(ISBLANK(B223),"""",IFERROR(I223/(INDEX(GOOGLEFINANCE(B223,""price"",WORKDAY(TODAY(),-$Z$17)),2,2))-1,""""))"),"")</f>
        <v/>
      </c>
      <c r="AA223" s="312" t="str">
        <f>IFERROR(__xludf.DUMMYFUNCTION("IF(ISBLANK(B223),"""",IFERROR(IFERROR(""$""&amp;Trunc(GOOGLEFINANCE(B223,""Marketcap"")/1000000000)&amp;"" B"",""$""&amp;Trunc(IMPORTXML(""https://coinmarketcap.com/currencies/""&amp;B223,$AJ$4)/1000000000)&amp;"" B""),""-""))"),"")</f>
        <v/>
      </c>
      <c r="AB223" s="13" t="str">
        <f>IFERROR(__xludf.DUMMYFUNCTION("IF(ISBLANK(B223),"""",IFERROR(GOOGLEFINANCE(B223,""pe""),""-""))"),"")</f>
        <v/>
      </c>
      <c r="AC223" s="313" t="str">
        <f>IFERROR(__xludf.DUMMYFUNCTION("SPARKLINE(INDEX(GOOGLEFINANCE(B223,""price"",workday(today(),-$AC$17),today()),,2),{""charttype"",""column"";""color"",""green""})
"),"#N/A")</f>
        <v>#N/A</v>
      </c>
      <c r="AD223" s="313" t="str">
        <f>IFERROR(__xludf.DUMMYFUNCTION("IF(ISBLANK(B223),"""",IFERROR(INDEX(IMPORTXML(""https://eresearch.fidelity.com/eresearch/goto/evaluate/snapshot.jhtml?symbols=""&amp;B223&amp;"""",""//div[@class='sub-heading']//span[@class='right']""),1),""Enter Manually"")
)"),"")</f>
        <v/>
      </c>
      <c r="AE223" s="314" t="str">
        <f t="shared" si="10"/>
        <v>Info</v>
      </c>
      <c r="AF223" s="329"/>
      <c r="AG223" s="320"/>
      <c r="AH223" s="13"/>
      <c r="AI223" s="13"/>
      <c r="AJ223" s="13"/>
      <c r="AK223" s="13"/>
      <c r="AL223" s="13"/>
      <c r="AM223" s="13"/>
      <c r="AN223" s="13"/>
      <c r="AO223" s="13"/>
      <c r="AP223" s="13"/>
    </row>
    <row r="224" ht="18.75" customHeight="1">
      <c r="A224" s="13"/>
      <c r="B224" s="327"/>
      <c r="C224" s="306" t="str">
        <f>IFERROR(__xludf.DUMMYFUNCTION("GOOGLEFINANCE(B224,""name"")
"),"#N/A")</f>
        <v>#N/A</v>
      </c>
      <c r="D224" s="306"/>
      <c r="E224" s="328"/>
      <c r="F224" s="13" t="str">
        <f t="shared" si="1"/>
        <v/>
      </c>
      <c r="G224" s="309" t="str">
        <f>IFERROR(__xludf.DUMMYFUNCTION("IF(ISBLANK(B224),"""",IFERROR(SPARKLINE(INDEX(GOOGLEFINANCE(B224,""price"",TODAY()-$G$17,TODAY()),,2),{""charttype"",""column"";""color"",""17a7e0""}),""""))"),"")</f>
        <v/>
      </c>
      <c r="I224" s="309" t="str">
        <f>IFERROR(__xludf.DUMMYFUNCTION("IFERROR(IF(B224="""","""",GOOGLEFINANCE(B224)),IFERROR(GOOGLEFINANCE(""CURRENCY:""&amp;""USD""&amp;$D$15)*IMPORTXML(""https://coinmarketcap.com/currencies/""&amp;B224,$AJ$3),IMPORTXML(""https://coinmarketcap.com/currencies/""&amp;B224,$AJ$3)))"),"")</f>
        <v/>
      </c>
      <c r="J224" s="310" t="str">
        <f t="shared" si="2"/>
        <v/>
      </c>
      <c r="K224" s="310" t="str">
        <f>IFERROR(__xludf.DUMMYFUNCTION("IFERROR(IF(ISBLANK(B224),"""",GOOGLEFINANCE(B224,""changepct"")/100),"""")"),"")</f>
        <v/>
      </c>
      <c r="L224" s="310" t="str">
        <f>IFERROR(__xludf.DUMMYFUNCTION("IF(ISBLANK(B224),"""",IFERROR((GOOGLEFINANCE(B224,""price"")/INDEX(GOOGLEFINANCE(B224,""price"",DATEVALUE(TODAY()-365) ),2,2)-1),""""))"),"")</f>
        <v/>
      </c>
      <c r="M224" s="310" t="str">
        <f>IFERROR(__xludf.DUMMYFUNCTION("IF(ISBLANK(B224),"""",IFERROR((GOOGLEFINANCE($D$13,""price"")/INDEX(GOOGLEFINANCE($D$13,""price"",DATEVALUE(TODAY()-365) ),2,2)-1),""""))"),"")</f>
        <v/>
      </c>
      <c r="N224" s="310" t="str">
        <f t="shared" si="3"/>
        <v/>
      </c>
      <c r="O224" s="311" t="str">
        <f>IFERROR(__xludf.DUMMYFUNCTION("IFERROR(IF(ISBLANK(B224),"""",GOOGLEFINANCE(B224,""low52"")),"""")"),"")</f>
        <v/>
      </c>
      <c r="P224" s="310" t="str">
        <f t="shared" si="4"/>
        <v/>
      </c>
      <c r="Q224" s="311" t="str">
        <f>IFERROR(__xludf.DUMMYFUNCTION("IFERROR(IF(ISBLANK(B224),"""",GOOGLEFINANCE(B224,""high52"")),"""")"),"")</f>
        <v/>
      </c>
      <c r="R224" s="310" t="str">
        <f t="shared" si="5"/>
        <v/>
      </c>
      <c r="S224" s="13" t="str">
        <f t="shared" si="6"/>
        <v/>
      </c>
      <c r="U224" s="13" t="str">
        <f t="shared" si="7"/>
        <v/>
      </c>
      <c r="W224" s="13" t="str">
        <f t="shared" si="8"/>
        <v/>
      </c>
      <c r="X224" s="310" t="str">
        <f t="shared" si="9"/>
        <v/>
      </c>
      <c r="Y224" s="311" t="str">
        <f>IFERROR(__xludf.DUMMYFUNCTION("IF(ISBLANK(B224),"""",IFERROR(INDEX(GOOGLEFINANCE(B224,""price"",WORKDAY(TODAY(),-$Y$17)),2,2),""""))"),"")</f>
        <v/>
      </c>
      <c r="Z224" s="310" t="str">
        <f>IFERROR(__xludf.DUMMYFUNCTION("IF(ISBLANK(B224),"""",IFERROR(I224/(INDEX(GOOGLEFINANCE(B224,""price"",WORKDAY(TODAY(),-$Z$17)),2,2))-1,""""))"),"")</f>
        <v/>
      </c>
      <c r="AA224" s="312" t="str">
        <f>IFERROR(__xludf.DUMMYFUNCTION("IF(ISBLANK(B224),"""",IFERROR(IFERROR(""$""&amp;Trunc(GOOGLEFINANCE(B224,""Marketcap"")/1000000000)&amp;"" B"",""$""&amp;Trunc(IMPORTXML(""https://coinmarketcap.com/currencies/""&amp;B224,$AJ$4)/1000000000)&amp;"" B""),""-""))"),"")</f>
        <v/>
      </c>
      <c r="AB224" s="13" t="str">
        <f>IFERROR(__xludf.DUMMYFUNCTION("IF(ISBLANK(B224),"""",IFERROR(GOOGLEFINANCE(B224,""pe""),""-""))"),"")</f>
        <v/>
      </c>
      <c r="AC224" s="313" t="str">
        <f>IFERROR(__xludf.DUMMYFUNCTION("SPARKLINE(INDEX(GOOGLEFINANCE(B224,""price"",workday(today(),-$AC$17),today()),,2),{""charttype"",""column"";""color"",""green""})
"),"#N/A")</f>
        <v>#N/A</v>
      </c>
      <c r="AD224" s="313" t="str">
        <f>IFERROR(__xludf.DUMMYFUNCTION("IF(ISBLANK(B224),"""",IFERROR(INDEX(IMPORTXML(""https://eresearch.fidelity.com/eresearch/goto/evaluate/snapshot.jhtml?symbols=""&amp;B224&amp;"""",""//div[@class='sub-heading']//span[@class='right']""),1),""Enter Manually"")
)"),"")</f>
        <v/>
      </c>
      <c r="AE224" s="314" t="str">
        <f t="shared" si="10"/>
        <v>Info</v>
      </c>
      <c r="AF224" s="329"/>
      <c r="AG224" s="320"/>
      <c r="AH224" s="13"/>
      <c r="AI224" s="13"/>
      <c r="AJ224" s="13"/>
      <c r="AK224" s="13"/>
      <c r="AL224" s="13"/>
      <c r="AM224" s="13"/>
      <c r="AN224" s="13"/>
      <c r="AO224" s="13"/>
      <c r="AP224" s="13"/>
    </row>
    <row r="225" ht="18.75" customHeight="1">
      <c r="A225" s="13"/>
      <c r="B225" s="327"/>
      <c r="C225" s="306" t="str">
        <f>IFERROR(__xludf.DUMMYFUNCTION("GOOGLEFINANCE(B225,""name"")
"),"#N/A")</f>
        <v>#N/A</v>
      </c>
      <c r="D225" s="306"/>
      <c r="E225" s="328"/>
      <c r="F225" s="13" t="str">
        <f t="shared" si="1"/>
        <v/>
      </c>
      <c r="G225" s="309" t="str">
        <f>IFERROR(__xludf.DUMMYFUNCTION("IF(ISBLANK(B225),"""",IFERROR(SPARKLINE(INDEX(GOOGLEFINANCE(B225,""price"",TODAY()-$G$17,TODAY()),,2),{""charttype"",""column"";""color"",""17a7e0""}),""""))"),"")</f>
        <v/>
      </c>
      <c r="I225" s="309" t="str">
        <f>IFERROR(__xludf.DUMMYFUNCTION("IFERROR(IF(B225="""","""",GOOGLEFINANCE(B225)),IFERROR(GOOGLEFINANCE(""CURRENCY:""&amp;""USD""&amp;$D$15)*IMPORTXML(""https://coinmarketcap.com/currencies/""&amp;B225,$AJ$3),IMPORTXML(""https://coinmarketcap.com/currencies/""&amp;B225,$AJ$3)))"),"")</f>
        <v/>
      </c>
      <c r="J225" s="310" t="str">
        <f t="shared" si="2"/>
        <v/>
      </c>
      <c r="K225" s="310" t="str">
        <f>IFERROR(__xludf.DUMMYFUNCTION("IFERROR(IF(ISBLANK(B225),"""",GOOGLEFINANCE(B225,""changepct"")/100),"""")"),"")</f>
        <v/>
      </c>
      <c r="L225" s="310" t="str">
        <f>IFERROR(__xludf.DUMMYFUNCTION("IF(ISBLANK(B225),"""",IFERROR((GOOGLEFINANCE(B225,""price"")/INDEX(GOOGLEFINANCE(B225,""price"",DATEVALUE(TODAY()-365) ),2,2)-1),""""))"),"")</f>
        <v/>
      </c>
      <c r="M225" s="310" t="str">
        <f>IFERROR(__xludf.DUMMYFUNCTION("IF(ISBLANK(B225),"""",IFERROR((GOOGLEFINANCE($D$13,""price"")/INDEX(GOOGLEFINANCE($D$13,""price"",DATEVALUE(TODAY()-365) ),2,2)-1),""""))"),"")</f>
        <v/>
      </c>
      <c r="N225" s="310" t="str">
        <f t="shared" si="3"/>
        <v/>
      </c>
      <c r="O225" s="311" t="str">
        <f>IFERROR(__xludf.DUMMYFUNCTION("IFERROR(IF(ISBLANK(B225),"""",GOOGLEFINANCE(B225,""low52"")),"""")"),"")</f>
        <v/>
      </c>
      <c r="P225" s="310" t="str">
        <f t="shared" si="4"/>
        <v/>
      </c>
      <c r="Q225" s="311" t="str">
        <f>IFERROR(__xludf.DUMMYFUNCTION("IFERROR(IF(ISBLANK(B225),"""",GOOGLEFINANCE(B225,""high52"")),"""")"),"")</f>
        <v/>
      </c>
      <c r="R225" s="310" t="str">
        <f t="shared" si="5"/>
        <v/>
      </c>
      <c r="S225" s="13" t="str">
        <f t="shared" si="6"/>
        <v/>
      </c>
      <c r="U225" s="13" t="str">
        <f t="shared" si="7"/>
        <v/>
      </c>
      <c r="W225" s="13" t="str">
        <f t="shared" si="8"/>
        <v/>
      </c>
      <c r="X225" s="310" t="str">
        <f t="shared" si="9"/>
        <v/>
      </c>
      <c r="Y225" s="311" t="str">
        <f>IFERROR(__xludf.DUMMYFUNCTION("IF(ISBLANK(B225),"""",IFERROR(INDEX(GOOGLEFINANCE(B225,""price"",WORKDAY(TODAY(),-$Y$17)),2,2),""""))"),"")</f>
        <v/>
      </c>
      <c r="Z225" s="310" t="str">
        <f>IFERROR(__xludf.DUMMYFUNCTION("IF(ISBLANK(B225),"""",IFERROR(I225/(INDEX(GOOGLEFINANCE(B225,""price"",WORKDAY(TODAY(),-$Z$17)),2,2))-1,""""))"),"")</f>
        <v/>
      </c>
      <c r="AA225" s="312" t="str">
        <f>IFERROR(__xludf.DUMMYFUNCTION("IF(ISBLANK(B225),"""",IFERROR(IFERROR(""$""&amp;Trunc(GOOGLEFINANCE(B225,""Marketcap"")/1000000000)&amp;"" B"",""$""&amp;Trunc(IMPORTXML(""https://coinmarketcap.com/currencies/""&amp;B225,$AJ$4)/1000000000)&amp;"" B""),""-""))"),"")</f>
        <v/>
      </c>
      <c r="AB225" s="13" t="str">
        <f>IFERROR(__xludf.DUMMYFUNCTION("IF(ISBLANK(B225),"""",IFERROR(GOOGLEFINANCE(B225,""pe""),""-""))"),"")</f>
        <v/>
      </c>
      <c r="AC225" s="313" t="str">
        <f>IFERROR(__xludf.DUMMYFUNCTION("SPARKLINE(INDEX(GOOGLEFINANCE(B225,""price"",workday(today(),-$AC$17),today()),,2),{""charttype"",""column"";""color"",""green""})
"),"#N/A")</f>
        <v>#N/A</v>
      </c>
      <c r="AD225" s="313" t="str">
        <f>IFERROR(__xludf.DUMMYFUNCTION("IF(ISBLANK(B225),"""",IFERROR(INDEX(IMPORTXML(""https://eresearch.fidelity.com/eresearch/goto/evaluate/snapshot.jhtml?symbols=""&amp;B225&amp;"""",""//div[@class='sub-heading']//span[@class='right']""),1),""Enter Manually"")
)"),"")</f>
        <v/>
      </c>
      <c r="AE225" s="314" t="str">
        <f t="shared" si="10"/>
        <v>Info</v>
      </c>
      <c r="AF225" s="329"/>
      <c r="AG225" s="320"/>
      <c r="AH225" s="13"/>
      <c r="AI225" s="13"/>
      <c r="AJ225" s="13"/>
      <c r="AK225" s="13"/>
      <c r="AL225" s="13"/>
      <c r="AM225" s="13"/>
      <c r="AN225" s="13"/>
      <c r="AO225" s="13"/>
      <c r="AP225" s="13"/>
    </row>
    <row r="226" ht="18.75" customHeight="1">
      <c r="A226" s="13"/>
      <c r="B226" s="327"/>
      <c r="C226" s="306" t="str">
        <f>IFERROR(__xludf.DUMMYFUNCTION("GOOGLEFINANCE(B226,""name"")
"),"#N/A")</f>
        <v>#N/A</v>
      </c>
      <c r="D226" s="306"/>
      <c r="E226" s="328"/>
      <c r="F226" s="13" t="str">
        <f t="shared" si="1"/>
        <v/>
      </c>
      <c r="G226" s="309" t="str">
        <f>IFERROR(__xludf.DUMMYFUNCTION("IF(ISBLANK(B226),"""",IFERROR(SPARKLINE(INDEX(GOOGLEFINANCE(B226,""price"",TODAY()-$G$17,TODAY()),,2),{""charttype"",""column"";""color"",""17a7e0""}),""""))"),"")</f>
        <v/>
      </c>
      <c r="I226" s="309" t="str">
        <f>IFERROR(__xludf.DUMMYFUNCTION("IFERROR(IF(B226="""","""",GOOGLEFINANCE(B226)),IFERROR(GOOGLEFINANCE(""CURRENCY:""&amp;""USD""&amp;$D$15)*IMPORTXML(""https://coinmarketcap.com/currencies/""&amp;B226,$AJ$3),IMPORTXML(""https://coinmarketcap.com/currencies/""&amp;B226,$AJ$3)))"),"")</f>
        <v/>
      </c>
      <c r="J226" s="310" t="str">
        <f t="shared" si="2"/>
        <v/>
      </c>
      <c r="K226" s="310" t="str">
        <f>IFERROR(__xludf.DUMMYFUNCTION("IFERROR(IF(ISBLANK(B226),"""",GOOGLEFINANCE(B226,""changepct"")/100),"""")"),"")</f>
        <v/>
      </c>
      <c r="L226" s="310" t="str">
        <f>IFERROR(__xludf.DUMMYFUNCTION("IF(ISBLANK(B226),"""",IFERROR((GOOGLEFINANCE(B226,""price"")/INDEX(GOOGLEFINANCE(B226,""price"",DATEVALUE(TODAY()-365) ),2,2)-1),""""))"),"")</f>
        <v/>
      </c>
      <c r="M226" s="310" t="str">
        <f>IFERROR(__xludf.DUMMYFUNCTION("IF(ISBLANK(B226),"""",IFERROR((GOOGLEFINANCE($D$13,""price"")/INDEX(GOOGLEFINANCE($D$13,""price"",DATEVALUE(TODAY()-365) ),2,2)-1),""""))"),"")</f>
        <v/>
      </c>
      <c r="N226" s="310" t="str">
        <f t="shared" si="3"/>
        <v/>
      </c>
      <c r="O226" s="311" t="str">
        <f>IFERROR(__xludf.DUMMYFUNCTION("IFERROR(IF(ISBLANK(B226),"""",GOOGLEFINANCE(B226,""low52"")),"""")"),"")</f>
        <v/>
      </c>
      <c r="P226" s="310" t="str">
        <f t="shared" si="4"/>
        <v/>
      </c>
      <c r="Q226" s="311" t="str">
        <f>IFERROR(__xludf.DUMMYFUNCTION("IFERROR(IF(ISBLANK(B226),"""",GOOGLEFINANCE(B226,""high52"")),"""")"),"")</f>
        <v/>
      </c>
      <c r="R226" s="310" t="str">
        <f t="shared" si="5"/>
        <v/>
      </c>
      <c r="S226" s="13" t="str">
        <f t="shared" si="6"/>
        <v/>
      </c>
      <c r="U226" s="13" t="str">
        <f t="shared" si="7"/>
        <v/>
      </c>
      <c r="W226" s="13" t="str">
        <f t="shared" si="8"/>
        <v/>
      </c>
      <c r="X226" s="310" t="str">
        <f t="shared" si="9"/>
        <v/>
      </c>
      <c r="Y226" s="311" t="str">
        <f>IFERROR(__xludf.DUMMYFUNCTION("IF(ISBLANK(B226),"""",IFERROR(INDEX(GOOGLEFINANCE(B226,""price"",WORKDAY(TODAY(),-$Y$17)),2,2),""""))"),"")</f>
        <v/>
      </c>
      <c r="Z226" s="310" t="str">
        <f>IFERROR(__xludf.DUMMYFUNCTION("IF(ISBLANK(B226),"""",IFERROR(I226/(INDEX(GOOGLEFINANCE(B226,""price"",WORKDAY(TODAY(),-$Z$17)),2,2))-1,""""))"),"")</f>
        <v/>
      </c>
      <c r="AA226" s="312" t="str">
        <f>IFERROR(__xludf.DUMMYFUNCTION("IF(ISBLANK(B226),"""",IFERROR(IFERROR(""$""&amp;Trunc(GOOGLEFINANCE(B226,""Marketcap"")/1000000000)&amp;"" B"",""$""&amp;Trunc(IMPORTXML(""https://coinmarketcap.com/currencies/""&amp;B226,$AJ$4)/1000000000)&amp;"" B""),""-""))"),"")</f>
        <v/>
      </c>
      <c r="AB226" s="13" t="str">
        <f>IFERROR(__xludf.DUMMYFUNCTION("IF(ISBLANK(B226),"""",IFERROR(GOOGLEFINANCE(B226,""pe""),""-""))"),"")</f>
        <v/>
      </c>
      <c r="AC226" s="313" t="str">
        <f>IFERROR(__xludf.DUMMYFUNCTION("SPARKLINE(INDEX(GOOGLEFINANCE(B226,""price"",workday(today(),-$AC$17),today()),,2),{""charttype"",""column"";""color"",""green""})
"),"#N/A")</f>
        <v>#N/A</v>
      </c>
      <c r="AD226" s="313" t="str">
        <f>IFERROR(__xludf.DUMMYFUNCTION("IF(ISBLANK(B226),"""",IFERROR(INDEX(IMPORTXML(""https://eresearch.fidelity.com/eresearch/goto/evaluate/snapshot.jhtml?symbols=""&amp;B226&amp;"""",""//div[@class='sub-heading']//span[@class='right']""),1),""Enter Manually"")
)"),"")</f>
        <v/>
      </c>
      <c r="AE226" s="314" t="str">
        <f t="shared" si="10"/>
        <v>Info</v>
      </c>
      <c r="AF226" s="329"/>
      <c r="AG226" s="320"/>
      <c r="AH226" s="13"/>
      <c r="AI226" s="13"/>
      <c r="AJ226" s="13"/>
      <c r="AK226" s="13"/>
      <c r="AL226" s="13"/>
      <c r="AM226" s="13"/>
      <c r="AN226" s="13"/>
      <c r="AO226" s="13"/>
      <c r="AP226" s="13"/>
    </row>
    <row r="227" ht="18.75" customHeight="1">
      <c r="A227" s="13"/>
      <c r="B227" s="327"/>
      <c r="C227" s="306" t="str">
        <f>IFERROR(__xludf.DUMMYFUNCTION("GOOGLEFINANCE(B227,""name"")
"),"#N/A")</f>
        <v>#N/A</v>
      </c>
      <c r="D227" s="306"/>
      <c r="E227" s="328"/>
      <c r="F227" s="13" t="str">
        <f t="shared" si="1"/>
        <v/>
      </c>
      <c r="G227" s="309" t="str">
        <f>IFERROR(__xludf.DUMMYFUNCTION("IF(ISBLANK(B227),"""",IFERROR(SPARKLINE(INDEX(GOOGLEFINANCE(B227,""price"",TODAY()-$G$17,TODAY()),,2),{""charttype"",""column"";""color"",""17a7e0""}),""""))"),"")</f>
        <v/>
      </c>
      <c r="I227" s="309" t="str">
        <f>IFERROR(__xludf.DUMMYFUNCTION("IFERROR(IF(B227="""","""",GOOGLEFINANCE(B227)),IFERROR(GOOGLEFINANCE(""CURRENCY:""&amp;""USD""&amp;$D$15)*IMPORTXML(""https://coinmarketcap.com/currencies/""&amp;B227,$AJ$3),IMPORTXML(""https://coinmarketcap.com/currencies/""&amp;B227,$AJ$3)))"),"")</f>
        <v/>
      </c>
      <c r="J227" s="310" t="str">
        <f t="shared" si="2"/>
        <v/>
      </c>
      <c r="K227" s="310" t="str">
        <f>IFERROR(__xludf.DUMMYFUNCTION("IFERROR(IF(ISBLANK(B227),"""",GOOGLEFINANCE(B227,""changepct"")/100),"""")"),"")</f>
        <v/>
      </c>
      <c r="L227" s="310" t="str">
        <f>IFERROR(__xludf.DUMMYFUNCTION("IF(ISBLANK(B227),"""",IFERROR((GOOGLEFINANCE(B227,""price"")/INDEX(GOOGLEFINANCE(B227,""price"",DATEVALUE(TODAY()-365) ),2,2)-1),""""))"),"")</f>
        <v/>
      </c>
      <c r="M227" s="310" t="str">
        <f>IFERROR(__xludf.DUMMYFUNCTION("IF(ISBLANK(B227),"""",IFERROR((GOOGLEFINANCE($D$13,""price"")/INDEX(GOOGLEFINANCE($D$13,""price"",DATEVALUE(TODAY()-365) ),2,2)-1),""""))"),"")</f>
        <v/>
      </c>
      <c r="N227" s="310" t="str">
        <f t="shared" si="3"/>
        <v/>
      </c>
      <c r="O227" s="311" t="str">
        <f>IFERROR(__xludf.DUMMYFUNCTION("IFERROR(IF(ISBLANK(B227),"""",GOOGLEFINANCE(B227,""low52"")),"""")"),"")</f>
        <v/>
      </c>
      <c r="P227" s="310" t="str">
        <f t="shared" si="4"/>
        <v/>
      </c>
      <c r="Q227" s="311" t="str">
        <f>IFERROR(__xludf.DUMMYFUNCTION("IFERROR(IF(ISBLANK(B227),"""",GOOGLEFINANCE(B227,""high52"")),"""")"),"")</f>
        <v/>
      </c>
      <c r="R227" s="310" t="str">
        <f t="shared" si="5"/>
        <v/>
      </c>
      <c r="S227" s="13" t="str">
        <f t="shared" si="6"/>
        <v/>
      </c>
      <c r="U227" s="13" t="str">
        <f t="shared" si="7"/>
        <v/>
      </c>
      <c r="W227" s="13" t="str">
        <f t="shared" si="8"/>
        <v/>
      </c>
      <c r="X227" s="310" t="str">
        <f t="shared" si="9"/>
        <v/>
      </c>
      <c r="Y227" s="311" t="str">
        <f>IFERROR(__xludf.DUMMYFUNCTION("IF(ISBLANK(B227),"""",IFERROR(INDEX(GOOGLEFINANCE(B227,""price"",WORKDAY(TODAY(),-$Y$17)),2,2),""""))"),"")</f>
        <v/>
      </c>
      <c r="Z227" s="310" t="str">
        <f>IFERROR(__xludf.DUMMYFUNCTION("IF(ISBLANK(B227),"""",IFERROR(I227/(INDEX(GOOGLEFINANCE(B227,""price"",WORKDAY(TODAY(),-$Z$17)),2,2))-1,""""))"),"")</f>
        <v/>
      </c>
      <c r="AA227" s="312" t="str">
        <f>IFERROR(__xludf.DUMMYFUNCTION("IF(ISBLANK(B227),"""",IFERROR(IFERROR(""$""&amp;Trunc(GOOGLEFINANCE(B227,""Marketcap"")/1000000000)&amp;"" B"",""$""&amp;Trunc(IMPORTXML(""https://coinmarketcap.com/currencies/""&amp;B227,$AJ$4)/1000000000)&amp;"" B""),""-""))"),"")</f>
        <v/>
      </c>
      <c r="AB227" s="13" t="str">
        <f>IFERROR(__xludf.DUMMYFUNCTION("IF(ISBLANK(B227),"""",IFERROR(GOOGLEFINANCE(B227,""pe""),""-""))"),"")</f>
        <v/>
      </c>
      <c r="AC227" s="313" t="str">
        <f>IFERROR(__xludf.DUMMYFUNCTION("SPARKLINE(INDEX(GOOGLEFINANCE(B227,""price"",workday(today(),-$AC$17),today()),,2),{""charttype"",""column"";""color"",""green""})
"),"#N/A")</f>
        <v>#N/A</v>
      </c>
      <c r="AD227" s="313" t="str">
        <f>IFERROR(__xludf.DUMMYFUNCTION("IF(ISBLANK(B227),"""",IFERROR(INDEX(IMPORTXML(""https://eresearch.fidelity.com/eresearch/goto/evaluate/snapshot.jhtml?symbols=""&amp;B227&amp;"""",""//div[@class='sub-heading']//span[@class='right']""),1),""Enter Manually"")
)"),"")</f>
        <v/>
      </c>
      <c r="AE227" s="314" t="str">
        <f t="shared" si="10"/>
        <v>Info</v>
      </c>
      <c r="AF227" s="329"/>
      <c r="AG227" s="320"/>
      <c r="AH227" s="13"/>
      <c r="AI227" s="13"/>
      <c r="AJ227" s="13"/>
      <c r="AK227" s="13"/>
      <c r="AL227" s="13"/>
      <c r="AM227" s="13"/>
      <c r="AN227" s="13"/>
      <c r="AO227" s="13"/>
      <c r="AP227" s="13"/>
    </row>
    <row r="228" ht="18.75" customHeight="1">
      <c r="A228" s="13"/>
      <c r="B228" s="327"/>
      <c r="C228" s="306" t="str">
        <f>IFERROR(__xludf.DUMMYFUNCTION("GOOGLEFINANCE(B228,""name"")
"),"#N/A")</f>
        <v>#N/A</v>
      </c>
      <c r="D228" s="306"/>
      <c r="E228" s="328"/>
      <c r="F228" s="13" t="str">
        <f t="shared" si="1"/>
        <v/>
      </c>
      <c r="G228" s="309" t="str">
        <f>IFERROR(__xludf.DUMMYFUNCTION("IF(ISBLANK(B228),"""",IFERROR(SPARKLINE(INDEX(GOOGLEFINANCE(B228,""price"",TODAY()-$G$17,TODAY()),,2),{""charttype"",""column"";""color"",""17a7e0""}),""""))"),"")</f>
        <v/>
      </c>
      <c r="I228" s="309" t="str">
        <f>IFERROR(__xludf.DUMMYFUNCTION("IFERROR(IF(B228="""","""",GOOGLEFINANCE(B228)),IFERROR(GOOGLEFINANCE(""CURRENCY:""&amp;""USD""&amp;$D$15)*IMPORTXML(""https://coinmarketcap.com/currencies/""&amp;B228,$AJ$3),IMPORTXML(""https://coinmarketcap.com/currencies/""&amp;B228,$AJ$3)))"),"")</f>
        <v/>
      </c>
      <c r="J228" s="310" t="str">
        <f t="shared" si="2"/>
        <v/>
      </c>
      <c r="K228" s="310" t="str">
        <f>IFERROR(__xludf.DUMMYFUNCTION("IFERROR(IF(ISBLANK(B228),"""",GOOGLEFINANCE(B228,""changepct"")/100),"""")"),"")</f>
        <v/>
      </c>
      <c r="L228" s="310" t="str">
        <f>IFERROR(__xludf.DUMMYFUNCTION("IF(ISBLANK(B228),"""",IFERROR((GOOGLEFINANCE(B228,""price"")/INDEX(GOOGLEFINANCE(B228,""price"",DATEVALUE(TODAY()-365) ),2,2)-1),""""))"),"")</f>
        <v/>
      </c>
      <c r="M228" s="310" t="str">
        <f>IFERROR(__xludf.DUMMYFUNCTION("IF(ISBLANK(B228),"""",IFERROR((GOOGLEFINANCE($D$13,""price"")/INDEX(GOOGLEFINANCE($D$13,""price"",DATEVALUE(TODAY()-365) ),2,2)-1),""""))"),"")</f>
        <v/>
      </c>
      <c r="N228" s="310" t="str">
        <f t="shared" si="3"/>
        <v/>
      </c>
      <c r="O228" s="311" t="str">
        <f>IFERROR(__xludf.DUMMYFUNCTION("IFERROR(IF(ISBLANK(B228),"""",GOOGLEFINANCE(B228,""low52"")),"""")"),"")</f>
        <v/>
      </c>
      <c r="P228" s="310" t="str">
        <f t="shared" si="4"/>
        <v/>
      </c>
      <c r="Q228" s="311" t="str">
        <f>IFERROR(__xludf.DUMMYFUNCTION("IFERROR(IF(ISBLANK(B228),"""",GOOGLEFINANCE(B228,""high52"")),"""")"),"")</f>
        <v/>
      </c>
      <c r="R228" s="310" t="str">
        <f t="shared" si="5"/>
        <v/>
      </c>
      <c r="S228" s="13" t="str">
        <f t="shared" si="6"/>
        <v/>
      </c>
      <c r="U228" s="13" t="str">
        <f t="shared" si="7"/>
        <v/>
      </c>
      <c r="W228" s="13" t="str">
        <f t="shared" si="8"/>
        <v/>
      </c>
      <c r="X228" s="310" t="str">
        <f t="shared" si="9"/>
        <v/>
      </c>
      <c r="Y228" s="311" t="str">
        <f>IFERROR(__xludf.DUMMYFUNCTION("IF(ISBLANK(B228),"""",IFERROR(INDEX(GOOGLEFINANCE(B228,""price"",WORKDAY(TODAY(),-$Y$17)),2,2),""""))"),"")</f>
        <v/>
      </c>
      <c r="Z228" s="310" t="str">
        <f>IFERROR(__xludf.DUMMYFUNCTION("IF(ISBLANK(B228),"""",IFERROR(I228/(INDEX(GOOGLEFINANCE(B228,""price"",WORKDAY(TODAY(),-$Z$17)),2,2))-1,""""))"),"")</f>
        <v/>
      </c>
      <c r="AA228" s="312" t="str">
        <f>IFERROR(__xludf.DUMMYFUNCTION("IF(ISBLANK(B228),"""",IFERROR(IFERROR(""$""&amp;Trunc(GOOGLEFINANCE(B228,""Marketcap"")/1000000000)&amp;"" B"",""$""&amp;Trunc(IMPORTXML(""https://coinmarketcap.com/currencies/""&amp;B228,$AJ$4)/1000000000)&amp;"" B""),""-""))"),"")</f>
        <v/>
      </c>
      <c r="AB228" s="13" t="str">
        <f>IFERROR(__xludf.DUMMYFUNCTION("IF(ISBLANK(B228),"""",IFERROR(GOOGLEFINANCE(B228,""pe""),""-""))"),"")</f>
        <v/>
      </c>
      <c r="AC228" s="313" t="str">
        <f>IFERROR(__xludf.DUMMYFUNCTION("SPARKLINE(INDEX(GOOGLEFINANCE(B228,""price"",workday(today(),-$AC$17),today()),,2),{""charttype"",""column"";""color"",""green""})
"),"#N/A")</f>
        <v>#N/A</v>
      </c>
      <c r="AD228" s="313" t="str">
        <f>IFERROR(__xludf.DUMMYFUNCTION("IF(ISBLANK(B228),"""",IFERROR(INDEX(IMPORTXML(""https://eresearch.fidelity.com/eresearch/goto/evaluate/snapshot.jhtml?symbols=""&amp;B228&amp;"""",""//div[@class='sub-heading']//span[@class='right']""),1),""Enter Manually"")
)"),"")</f>
        <v/>
      </c>
      <c r="AE228" s="314" t="str">
        <f t="shared" si="10"/>
        <v>Info</v>
      </c>
      <c r="AF228" s="329"/>
      <c r="AG228" s="320"/>
      <c r="AH228" s="13"/>
      <c r="AI228" s="13"/>
      <c r="AJ228" s="13"/>
      <c r="AK228" s="13"/>
      <c r="AL228" s="13"/>
      <c r="AM228" s="13"/>
      <c r="AN228" s="13"/>
      <c r="AO228" s="13"/>
      <c r="AP228" s="13"/>
    </row>
    <row r="229" ht="18.75" customHeight="1">
      <c r="A229" s="13"/>
      <c r="B229" s="327"/>
      <c r="C229" s="306" t="str">
        <f>IFERROR(__xludf.DUMMYFUNCTION("GOOGLEFINANCE(B229,""name"")
"),"#N/A")</f>
        <v>#N/A</v>
      </c>
      <c r="D229" s="306"/>
      <c r="E229" s="328"/>
      <c r="F229" s="13" t="str">
        <f t="shared" si="1"/>
        <v/>
      </c>
      <c r="G229" s="309" t="str">
        <f>IFERROR(__xludf.DUMMYFUNCTION("IF(ISBLANK(B229),"""",IFERROR(SPARKLINE(INDEX(GOOGLEFINANCE(B229,""price"",TODAY()-$G$17,TODAY()),,2),{""charttype"",""column"";""color"",""17a7e0""}),""""))"),"")</f>
        <v/>
      </c>
      <c r="I229" s="309" t="str">
        <f>IFERROR(__xludf.DUMMYFUNCTION("IFERROR(IF(B229="""","""",GOOGLEFINANCE(B229)),IFERROR(GOOGLEFINANCE(""CURRENCY:""&amp;""USD""&amp;$D$15)*IMPORTXML(""https://coinmarketcap.com/currencies/""&amp;B229,$AJ$3),IMPORTXML(""https://coinmarketcap.com/currencies/""&amp;B229,$AJ$3)))"),"")</f>
        <v/>
      </c>
      <c r="J229" s="310" t="str">
        <f t="shared" si="2"/>
        <v/>
      </c>
      <c r="K229" s="310" t="str">
        <f>IFERROR(__xludf.DUMMYFUNCTION("IFERROR(IF(ISBLANK(B229),"""",GOOGLEFINANCE(B229,""changepct"")/100),"""")"),"")</f>
        <v/>
      </c>
      <c r="L229" s="310" t="str">
        <f>IFERROR(__xludf.DUMMYFUNCTION("IF(ISBLANK(B229),"""",IFERROR((GOOGLEFINANCE(B229,""price"")/INDEX(GOOGLEFINANCE(B229,""price"",DATEVALUE(TODAY()-365) ),2,2)-1),""""))"),"")</f>
        <v/>
      </c>
      <c r="M229" s="310" t="str">
        <f>IFERROR(__xludf.DUMMYFUNCTION("IF(ISBLANK(B229),"""",IFERROR((GOOGLEFINANCE($D$13,""price"")/INDEX(GOOGLEFINANCE($D$13,""price"",DATEVALUE(TODAY()-365) ),2,2)-1),""""))"),"")</f>
        <v/>
      </c>
      <c r="N229" s="310" t="str">
        <f t="shared" si="3"/>
        <v/>
      </c>
      <c r="O229" s="311" t="str">
        <f>IFERROR(__xludf.DUMMYFUNCTION("IFERROR(IF(ISBLANK(B229),"""",GOOGLEFINANCE(B229,""low52"")),"""")"),"")</f>
        <v/>
      </c>
      <c r="P229" s="310" t="str">
        <f t="shared" si="4"/>
        <v/>
      </c>
      <c r="Q229" s="311" t="str">
        <f>IFERROR(__xludf.DUMMYFUNCTION("IFERROR(IF(ISBLANK(B229),"""",GOOGLEFINANCE(B229,""high52"")),"""")"),"")</f>
        <v/>
      </c>
      <c r="R229" s="310" t="str">
        <f t="shared" si="5"/>
        <v/>
      </c>
      <c r="S229" s="13" t="str">
        <f t="shared" si="6"/>
        <v/>
      </c>
      <c r="U229" s="13" t="str">
        <f t="shared" si="7"/>
        <v/>
      </c>
      <c r="W229" s="13" t="str">
        <f t="shared" si="8"/>
        <v/>
      </c>
      <c r="X229" s="310" t="str">
        <f t="shared" si="9"/>
        <v/>
      </c>
      <c r="Y229" s="311" t="str">
        <f>IFERROR(__xludf.DUMMYFUNCTION("IF(ISBLANK(B229),"""",IFERROR(INDEX(GOOGLEFINANCE(B229,""price"",WORKDAY(TODAY(),-$Y$17)),2,2),""""))"),"")</f>
        <v/>
      </c>
      <c r="Z229" s="310" t="str">
        <f>IFERROR(__xludf.DUMMYFUNCTION("IF(ISBLANK(B229),"""",IFERROR(I229/(INDEX(GOOGLEFINANCE(B229,""price"",WORKDAY(TODAY(),-$Z$17)),2,2))-1,""""))"),"")</f>
        <v/>
      </c>
      <c r="AA229" s="312" t="str">
        <f>IFERROR(__xludf.DUMMYFUNCTION("IF(ISBLANK(B229),"""",IFERROR(IFERROR(""$""&amp;Trunc(GOOGLEFINANCE(B229,""Marketcap"")/1000000000)&amp;"" B"",""$""&amp;Trunc(IMPORTXML(""https://coinmarketcap.com/currencies/""&amp;B229,$AJ$4)/1000000000)&amp;"" B""),""-""))"),"")</f>
        <v/>
      </c>
      <c r="AB229" s="13" t="str">
        <f>IFERROR(__xludf.DUMMYFUNCTION("IF(ISBLANK(B229),"""",IFERROR(GOOGLEFINANCE(B229,""pe""),""-""))"),"")</f>
        <v/>
      </c>
      <c r="AC229" s="313" t="str">
        <f>IFERROR(__xludf.DUMMYFUNCTION("SPARKLINE(INDEX(GOOGLEFINANCE(B229,""price"",workday(today(),-$AC$17),today()),,2),{""charttype"",""column"";""color"",""green""})
"),"#N/A")</f>
        <v>#N/A</v>
      </c>
      <c r="AD229" s="313" t="str">
        <f>IFERROR(__xludf.DUMMYFUNCTION("IF(ISBLANK(B229),"""",IFERROR(INDEX(IMPORTXML(""https://eresearch.fidelity.com/eresearch/goto/evaluate/snapshot.jhtml?symbols=""&amp;B229&amp;"""",""//div[@class='sub-heading']//span[@class='right']""),1),""Enter Manually"")
)"),"")</f>
        <v/>
      </c>
      <c r="AE229" s="314" t="str">
        <f t="shared" si="10"/>
        <v>Info</v>
      </c>
      <c r="AF229" s="329"/>
      <c r="AG229" s="320"/>
      <c r="AH229" s="13"/>
      <c r="AI229" s="13"/>
      <c r="AJ229" s="13"/>
      <c r="AK229" s="13"/>
      <c r="AL229" s="13"/>
      <c r="AM229" s="13"/>
      <c r="AN229" s="13"/>
      <c r="AO229" s="13"/>
      <c r="AP229" s="13"/>
    </row>
    <row r="230" ht="18.75" customHeight="1">
      <c r="A230" s="13"/>
      <c r="B230" s="327"/>
      <c r="C230" s="306" t="str">
        <f>IFERROR(__xludf.DUMMYFUNCTION("GOOGLEFINANCE(B230,""name"")
"),"#N/A")</f>
        <v>#N/A</v>
      </c>
      <c r="D230" s="306"/>
      <c r="E230" s="328"/>
      <c r="F230" s="13" t="str">
        <f t="shared" si="1"/>
        <v/>
      </c>
      <c r="G230" s="309" t="str">
        <f>IFERROR(__xludf.DUMMYFUNCTION("IF(ISBLANK(B230),"""",IFERROR(SPARKLINE(INDEX(GOOGLEFINANCE(B230,""price"",TODAY()-$G$17,TODAY()),,2),{""charttype"",""column"";""color"",""17a7e0""}),""""))"),"")</f>
        <v/>
      </c>
      <c r="I230" s="309" t="str">
        <f>IFERROR(__xludf.DUMMYFUNCTION("IFERROR(IF(B230="""","""",GOOGLEFINANCE(B230)),IFERROR(GOOGLEFINANCE(""CURRENCY:""&amp;""USD""&amp;$D$15)*IMPORTXML(""https://coinmarketcap.com/currencies/""&amp;B230,$AJ$3),IMPORTXML(""https://coinmarketcap.com/currencies/""&amp;B230,$AJ$3)))"),"")</f>
        <v/>
      </c>
      <c r="J230" s="310" t="str">
        <f t="shared" si="2"/>
        <v/>
      </c>
      <c r="K230" s="310" t="str">
        <f>IFERROR(__xludf.DUMMYFUNCTION("IFERROR(IF(ISBLANK(B230),"""",GOOGLEFINANCE(B230,""changepct"")/100),"""")"),"")</f>
        <v/>
      </c>
      <c r="L230" s="310" t="str">
        <f>IFERROR(__xludf.DUMMYFUNCTION("IF(ISBLANK(B230),"""",IFERROR((GOOGLEFINANCE(B230,""price"")/INDEX(GOOGLEFINANCE(B230,""price"",DATEVALUE(TODAY()-365) ),2,2)-1),""""))"),"")</f>
        <v/>
      </c>
      <c r="M230" s="310" t="str">
        <f>IFERROR(__xludf.DUMMYFUNCTION("IF(ISBLANK(B230),"""",IFERROR((GOOGLEFINANCE($D$13,""price"")/INDEX(GOOGLEFINANCE($D$13,""price"",DATEVALUE(TODAY()-365) ),2,2)-1),""""))"),"")</f>
        <v/>
      </c>
      <c r="N230" s="310" t="str">
        <f t="shared" si="3"/>
        <v/>
      </c>
      <c r="O230" s="311" t="str">
        <f>IFERROR(__xludf.DUMMYFUNCTION("IFERROR(IF(ISBLANK(B230),"""",GOOGLEFINANCE(B230,""low52"")),"""")"),"")</f>
        <v/>
      </c>
      <c r="P230" s="310" t="str">
        <f t="shared" si="4"/>
        <v/>
      </c>
      <c r="Q230" s="311" t="str">
        <f>IFERROR(__xludf.DUMMYFUNCTION("IFERROR(IF(ISBLANK(B230),"""",GOOGLEFINANCE(B230,""high52"")),"""")"),"")</f>
        <v/>
      </c>
      <c r="R230" s="310" t="str">
        <f t="shared" si="5"/>
        <v/>
      </c>
      <c r="S230" s="13" t="str">
        <f t="shared" si="6"/>
        <v/>
      </c>
      <c r="U230" s="13" t="str">
        <f t="shared" si="7"/>
        <v/>
      </c>
      <c r="W230" s="13" t="str">
        <f t="shared" si="8"/>
        <v/>
      </c>
      <c r="X230" s="310" t="str">
        <f t="shared" si="9"/>
        <v/>
      </c>
      <c r="Y230" s="311" t="str">
        <f>IFERROR(__xludf.DUMMYFUNCTION("IF(ISBLANK(B230),"""",IFERROR(INDEX(GOOGLEFINANCE(B230,""price"",WORKDAY(TODAY(),-$Y$17)),2,2),""""))"),"")</f>
        <v/>
      </c>
      <c r="Z230" s="310" t="str">
        <f>IFERROR(__xludf.DUMMYFUNCTION("IF(ISBLANK(B230),"""",IFERROR(I230/(INDEX(GOOGLEFINANCE(B230,""price"",WORKDAY(TODAY(),-$Z$17)),2,2))-1,""""))"),"")</f>
        <v/>
      </c>
      <c r="AA230" s="312" t="str">
        <f>IFERROR(__xludf.DUMMYFUNCTION("IF(ISBLANK(B230),"""",IFERROR(IFERROR(""$""&amp;Trunc(GOOGLEFINANCE(B230,""Marketcap"")/1000000000)&amp;"" B"",""$""&amp;Trunc(IMPORTXML(""https://coinmarketcap.com/currencies/""&amp;B230,$AJ$4)/1000000000)&amp;"" B""),""-""))"),"")</f>
        <v/>
      </c>
      <c r="AB230" s="13" t="str">
        <f>IFERROR(__xludf.DUMMYFUNCTION("IF(ISBLANK(B230),"""",IFERROR(GOOGLEFINANCE(B230,""pe""),""-""))"),"")</f>
        <v/>
      </c>
      <c r="AC230" s="313" t="str">
        <f>IFERROR(__xludf.DUMMYFUNCTION("SPARKLINE(INDEX(GOOGLEFINANCE(B230,""price"",workday(today(),-$AC$17),today()),,2),{""charttype"",""column"";""color"",""green""})
"),"#N/A")</f>
        <v>#N/A</v>
      </c>
      <c r="AD230" s="313" t="str">
        <f>IFERROR(__xludf.DUMMYFUNCTION("IF(ISBLANK(B230),"""",IFERROR(INDEX(IMPORTXML(""https://eresearch.fidelity.com/eresearch/goto/evaluate/snapshot.jhtml?symbols=""&amp;B230&amp;"""",""//div[@class='sub-heading']//span[@class='right']""),1),""Enter Manually"")
)"),"")</f>
        <v/>
      </c>
      <c r="AE230" s="314" t="str">
        <f t="shared" si="10"/>
        <v>Info</v>
      </c>
      <c r="AF230" s="329"/>
      <c r="AG230" s="320"/>
      <c r="AH230" s="13"/>
      <c r="AI230" s="13"/>
      <c r="AJ230" s="13"/>
      <c r="AK230" s="13"/>
      <c r="AL230" s="13"/>
      <c r="AM230" s="13"/>
      <c r="AN230" s="13"/>
      <c r="AO230" s="13"/>
      <c r="AP230" s="13"/>
    </row>
    <row r="231" ht="18.75" customHeight="1">
      <c r="A231" s="13"/>
      <c r="B231" s="327"/>
      <c r="C231" s="306" t="str">
        <f>IFERROR(__xludf.DUMMYFUNCTION("GOOGLEFINANCE(B231,""name"")
"),"#N/A")</f>
        <v>#N/A</v>
      </c>
      <c r="D231" s="306"/>
      <c r="E231" s="328"/>
      <c r="F231" s="13" t="str">
        <f t="shared" si="1"/>
        <v/>
      </c>
      <c r="G231" s="309" t="str">
        <f>IFERROR(__xludf.DUMMYFUNCTION("IF(ISBLANK(B231),"""",IFERROR(SPARKLINE(INDEX(GOOGLEFINANCE(B231,""price"",TODAY()-$G$17,TODAY()),,2),{""charttype"",""column"";""color"",""17a7e0""}),""""))"),"")</f>
        <v/>
      </c>
      <c r="I231" s="309" t="str">
        <f>IFERROR(__xludf.DUMMYFUNCTION("IFERROR(IF(B231="""","""",GOOGLEFINANCE(B231)),IFERROR(GOOGLEFINANCE(""CURRENCY:""&amp;""USD""&amp;$D$15)*IMPORTXML(""https://coinmarketcap.com/currencies/""&amp;B231,$AJ$3),IMPORTXML(""https://coinmarketcap.com/currencies/""&amp;B231,$AJ$3)))"),"")</f>
        <v/>
      </c>
      <c r="J231" s="310" t="str">
        <f t="shared" si="2"/>
        <v/>
      </c>
      <c r="K231" s="310" t="str">
        <f>IFERROR(__xludf.DUMMYFUNCTION("IFERROR(IF(ISBLANK(B231),"""",GOOGLEFINANCE(B231,""changepct"")/100),"""")"),"")</f>
        <v/>
      </c>
      <c r="L231" s="310" t="str">
        <f>IFERROR(__xludf.DUMMYFUNCTION("IF(ISBLANK(B231),"""",IFERROR((GOOGLEFINANCE(B231,""price"")/INDEX(GOOGLEFINANCE(B231,""price"",DATEVALUE(TODAY()-365) ),2,2)-1),""""))"),"")</f>
        <v/>
      </c>
      <c r="M231" s="310" t="str">
        <f>IFERROR(__xludf.DUMMYFUNCTION("IF(ISBLANK(B231),"""",IFERROR((GOOGLEFINANCE($D$13,""price"")/INDEX(GOOGLEFINANCE($D$13,""price"",DATEVALUE(TODAY()-365) ),2,2)-1),""""))"),"")</f>
        <v/>
      </c>
      <c r="N231" s="310" t="str">
        <f t="shared" si="3"/>
        <v/>
      </c>
      <c r="O231" s="311" t="str">
        <f>IFERROR(__xludf.DUMMYFUNCTION("IFERROR(IF(ISBLANK(B231),"""",GOOGLEFINANCE(B231,""low52"")),"""")"),"")</f>
        <v/>
      </c>
      <c r="P231" s="310" t="str">
        <f t="shared" si="4"/>
        <v/>
      </c>
      <c r="Q231" s="311" t="str">
        <f>IFERROR(__xludf.DUMMYFUNCTION("IFERROR(IF(ISBLANK(B231),"""",GOOGLEFINANCE(B231,""high52"")),"""")"),"")</f>
        <v/>
      </c>
      <c r="R231" s="310" t="str">
        <f t="shared" si="5"/>
        <v/>
      </c>
      <c r="S231" s="13" t="str">
        <f t="shared" si="6"/>
        <v/>
      </c>
      <c r="U231" s="13" t="str">
        <f t="shared" si="7"/>
        <v/>
      </c>
      <c r="W231" s="13" t="str">
        <f t="shared" si="8"/>
        <v/>
      </c>
      <c r="X231" s="310" t="str">
        <f t="shared" si="9"/>
        <v/>
      </c>
      <c r="Y231" s="311" t="str">
        <f>IFERROR(__xludf.DUMMYFUNCTION("IF(ISBLANK(B231),"""",IFERROR(INDEX(GOOGLEFINANCE(B231,""price"",WORKDAY(TODAY(),-$Y$17)),2,2),""""))"),"")</f>
        <v/>
      </c>
      <c r="Z231" s="310" t="str">
        <f>IFERROR(__xludf.DUMMYFUNCTION("IF(ISBLANK(B231),"""",IFERROR(I231/(INDEX(GOOGLEFINANCE(B231,""price"",WORKDAY(TODAY(),-$Z$17)),2,2))-1,""""))"),"")</f>
        <v/>
      </c>
      <c r="AA231" s="312" t="str">
        <f>IFERROR(__xludf.DUMMYFUNCTION("IF(ISBLANK(B231),"""",IFERROR(IFERROR(""$""&amp;Trunc(GOOGLEFINANCE(B231,""Marketcap"")/1000000000)&amp;"" B"",""$""&amp;Trunc(IMPORTXML(""https://coinmarketcap.com/currencies/""&amp;B231,$AJ$4)/1000000000)&amp;"" B""),""-""))"),"")</f>
        <v/>
      </c>
      <c r="AB231" s="13" t="str">
        <f>IFERROR(__xludf.DUMMYFUNCTION("IF(ISBLANK(B231),"""",IFERROR(GOOGLEFINANCE(B231,""pe""),""-""))"),"")</f>
        <v/>
      </c>
      <c r="AC231" s="313" t="str">
        <f>IFERROR(__xludf.DUMMYFUNCTION("SPARKLINE(INDEX(GOOGLEFINANCE(B231,""price"",workday(today(),-$AC$17),today()),,2),{""charttype"",""column"";""color"",""green""})
"),"#N/A")</f>
        <v>#N/A</v>
      </c>
      <c r="AD231" s="313" t="str">
        <f>IFERROR(__xludf.DUMMYFUNCTION("IF(ISBLANK(B231),"""",IFERROR(INDEX(IMPORTXML(""https://eresearch.fidelity.com/eresearch/goto/evaluate/snapshot.jhtml?symbols=""&amp;B231&amp;"""",""//div[@class='sub-heading']//span[@class='right']""),1),""Enter Manually"")
)"),"")</f>
        <v/>
      </c>
      <c r="AE231" s="314" t="str">
        <f t="shared" si="10"/>
        <v>Info</v>
      </c>
      <c r="AF231" s="329"/>
      <c r="AG231" s="320"/>
      <c r="AH231" s="13"/>
      <c r="AI231" s="13"/>
      <c r="AJ231" s="13"/>
      <c r="AK231" s="13"/>
      <c r="AL231" s="13"/>
      <c r="AM231" s="13"/>
      <c r="AN231" s="13"/>
      <c r="AO231" s="13"/>
      <c r="AP231" s="13"/>
    </row>
    <row r="232" ht="18.75" customHeight="1">
      <c r="A232" s="13"/>
      <c r="B232" s="327"/>
      <c r="C232" s="306" t="str">
        <f>IFERROR(__xludf.DUMMYFUNCTION("GOOGLEFINANCE(B232,""name"")
"),"#N/A")</f>
        <v>#N/A</v>
      </c>
      <c r="D232" s="306"/>
      <c r="E232" s="328"/>
      <c r="F232" s="13" t="str">
        <f t="shared" si="1"/>
        <v/>
      </c>
      <c r="G232" s="309" t="str">
        <f>IFERROR(__xludf.DUMMYFUNCTION("IF(ISBLANK(B232),"""",IFERROR(SPARKLINE(INDEX(GOOGLEFINANCE(B232,""price"",TODAY()-$G$17,TODAY()),,2),{""charttype"",""column"";""color"",""17a7e0""}),""""))"),"")</f>
        <v/>
      </c>
      <c r="I232" s="309" t="str">
        <f>IFERROR(__xludf.DUMMYFUNCTION("IFERROR(IF(B232="""","""",GOOGLEFINANCE(B232)),IFERROR(GOOGLEFINANCE(""CURRENCY:""&amp;""USD""&amp;$D$15)*IMPORTXML(""https://coinmarketcap.com/currencies/""&amp;B232,$AJ$3),IMPORTXML(""https://coinmarketcap.com/currencies/""&amp;B232,$AJ$3)))"),"")</f>
        <v/>
      </c>
      <c r="J232" s="310" t="str">
        <f t="shared" si="2"/>
        <v/>
      </c>
      <c r="K232" s="310" t="str">
        <f>IFERROR(__xludf.DUMMYFUNCTION("IFERROR(IF(ISBLANK(B232),"""",GOOGLEFINANCE(B232,""changepct"")/100),"""")"),"")</f>
        <v/>
      </c>
      <c r="L232" s="310" t="str">
        <f>IFERROR(__xludf.DUMMYFUNCTION("IF(ISBLANK(B232),"""",IFERROR((GOOGLEFINANCE(B232,""price"")/INDEX(GOOGLEFINANCE(B232,""price"",DATEVALUE(TODAY()-365) ),2,2)-1),""""))"),"")</f>
        <v/>
      </c>
      <c r="M232" s="310" t="str">
        <f>IFERROR(__xludf.DUMMYFUNCTION("IF(ISBLANK(B232),"""",IFERROR((GOOGLEFINANCE($D$13,""price"")/INDEX(GOOGLEFINANCE($D$13,""price"",DATEVALUE(TODAY()-365) ),2,2)-1),""""))"),"")</f>
        <v/>
      </c>
      <c r="N232" s="310" t="str">
        <f t="shared" si="3"/>
        <v/>
      </c>
      <c r="O232" s="311" t="str">
        <f>IFERROR(__xludf.DUMMYFUNCTION("IFERROR(IF(ISBLANK(B232),"""",GOOGLEFINANCE(B232,""low52"")),"""")"),"")</f>
        <v/>
      </c>
      <c r="P232" s="310" t="str">
        <f t="shared" si="4"/>
        <v/>
      </c>
      <c r="Q232" s="311" t="str">
        <f>IFERROR(__xludf.DUMMYFUNCTION("IFERROR(IF(ISBLANK(B232),"""",GOOGLEFINANCE(B232,""high52"")),"""")"),"")</f>
        <v/>
      </c>
      <c r="R232" s="310" t="str">
        <f t="shared" si="5"/>
        <v/>
      </c>
      <c r="S232" s="13" t="str">
        <f t="shared" si="6"/>
        <v/>
      </c>
      <c r="U232" s="13" t="str">
        <f t="shared" si="7"/>
        <v/>
      </c>
      <c r="W232" s="13" t="str">
        <f t="shared" si="8"/>
        <v/>
      </c>
      <c r="X232" s="310" t="str">
        <f t="shared" si="9"/>
        <v/>
      </c>
      <c r="Y232" s="311" t="str">
        <f>IFERROR(__xludf.DUMMYFUNCTION("IF(ISBLANK(B232),"""",IFERROR(INDEX(GOOGLEFINANCE(B232,""price"",WORKDAY(TODAY(),-$Y$17)),2,2),""""))"),"")</f>
        <v/>
      </c>
      <c r="Z232" s="310" t="str">
        <f>IFERROR(__xludf.DUMMYFUNCTION("IF(ISBLANK(B232),"""",IFERROR(I232/(INDEX(GOOGLEFINANCE(B232,""price"",WORKDAY(TODAY(),-$Z$17)),2,2))-1,""""))"),"")</f>
        <v/>
      </c>
      <c r="AA232" s="312" t="str">
        <f>IFERROR(__xludf.DUMMYFUNCTION("IF(ISBLANK(B232),"""",IFERROR(IFERROR(""$""&amp;Trunc(GOOGLEFINANCE(B232,""Marketcap"")/1000000000)&amp;"" B"",""$""&amp;Trunc(IMPORTXML(""https://coinmarketcap.com/currencies/""&amp;B232,$AJ$4)/1000000000)&amp;"" B""),""-""))"),"")</f>
        <v/>
      </c>
      <c r="AB232" s="13" t="str">
        <f>IFERROR(__xludf.DUMMYFUNCTION("IF(ISBLANK(B232),"""",IFERROR(GOOGLEFINANCE(B232,""pe""),""-""))"),"")</f>
        <v/>
      </c>
      <c r="AC232" s="313" t="str">
        <f>IFERROR(__xludf.DUMMYFUNCTION("SPARKLINE(INDEX(GOOGLEFINANCE(B232,""price"",workday(today(),-$AC$17),today()),,2),{""charttype"",""column"";""color"",""green""})
"),"#N/A")</f>
        <v>#N/A</v>
      </c>
      <c r="AD232" s="313" t="str">
        <f>IFERROR(__xludf.DUMMYFUNCTION("IF(ISBLANK(B232),"""",IFERROR(INDEX(IMPORTXML(""https://eresearch.fidelity.com/eresearch/goto/evaluate/snapshot.jhtml?symbols=""&amp;B232&amp;"""",""//div[@class='sub-heading']//span[@class='right']""),1),""Enter Manually"")
)"),"")</f>
        <v/>
      </c>
      <c r="AE232" s="314" t="str">
        <f t="shared" si="10"/>
        <v>Info</v>
      </c>
      <c r="AF232" s="329"/>
      <c r="AG232" s="320"/>
      <c r="AH232" s="13"/>
      <c r="AI232" s="13"/>
      <c r="AJ232" s="13"/>
      <c r="AK232" s="13"/>
      <c r="AL232" s="13"/>
      <c r="AM232" s="13"/>
      <c r="AN232" s="13"/>
      <c r="AO232" s="13"/>
      <c r="AP232" s="13"/>
    </row>
    <row r="233" ht="18.75" customHeight="1">
      <c r="A233" s="13"/>
      <c r="B233" s="327"/>
      <c r="C233" s="306" t="str">
        <f>IFERROR(__xludf.DUMMYFUNCTION("GOOGLEFINANCE(B233,""name"")
"),"#N/A")</f>
        <v>#N/A</v>
      </c>
      <c r="D233" s="306"/>
      <c r="E233" s="328"/>
      <c r="F233" s="13" t="str">
        <f t="shared" si="1"/>
        <v/>
      </c>
      <c r="G233" s="309" t="str">
        <f>IFERROR(__xludf.DUMMYFUNCTION("IF(ISBLANK(B233),"""",IFERROR(SPARKLINE(INDEX(GOOGLEFINANCE(B233,""price"",TODAY()-$G$17,TODAY()),,2),{""charttype"",""column"";""color"",""17a7e0""}),""""))"),"")</f>
        <v/>
      </c>
      <c r="I233" s="309" t="str">
        <f>IFERROR(__xludf.DUMMYFUNCTION("IFERROR(IF(B233="""","""",GOOGLEFINANCE(B233)),IFERROR(GOOGLEFINANCE(""CURRENCY:""&amp;""USD""&amp;$D$15)*IMPORTXML(""https://coinmarketcap.com/currencies/""&amp;B233,$AJ$3),IMPORTXML(""https://coinmarketcap.com/currencies/""&amp;B233,$AJ$3)))"),"")</f>
        <v/>
      </c>
      <c r="J233" s="310" t="str">
        <f t="shared" si="2"/>
        <v/>
      </c>
      <c r="K233" s="310" t="str">
        <f>IFERROR(__xludf.DUMMYFUNCTION("IFERROR(IF(ISBLANK(B233),"""",GOOGLEFINANCE(B233,""changepct"")/100),"""")"),"")</f>
        <v/>
      </c>
      <c r="L233" s="310" t="str">
        <f>IFERROR(__xludf.DUMMYFUNCTION("IF(ISBLANK(B233),"""",IFERROR((GOOGLEFINANCE(B233,""price"")/INDEX(GOOGLEFINANCE(B233,""price"",DATEVALUE(TODAY()-365) ),2,2)-1),""""))"),"")</f>
        <v/>
      </c>
      <c r="M233" s="310" t="str">
        <f>IFERROR(__xludf.DUMMYFUNCTION("IF(ISBLANK(B233),"""",IFERROR((GOOGLEFINANCE($D$13,""price"")/INDEX(GOOGLEFINANCE($D$13,""price"",DATEVALUE(TODAY()-365) ),2,2)-1),""""))"),"")</f>
        <v/>
      </c>
      <c r="N233" s="310" t="str">
        <f t="shared" si="3"/>
        <v/>
      </c>
      <c r="O233" s="311" t="str">
        <f>IFERROR(__xludf.DUMMYFUNCTION("IFERROR(IF(ISBLANK(B233),"""",GOOGLEFINANCE(B233,""low52"")),"""")"),"")</f>
        <v/>
      </c>
      <c r="P233" s="310" t="str">
        <f t="shared" si="4"/>
        <v/>
      </c>
      <c r="Q233" s="311" t="str">
        <f>IFERROR(__xludf.DUMMYFUNCTION("IFERROR(IF(ISBLANK(B233),"""",GOOGLEFINANCE(B233,""high52"")),"""")"),"")</f>
        <v/>
      </c>
      <c r="R233" s="310" t="str">
        <f t="shared" si="5"/>
        <v/>
      </c>
      <c r="S233" s="13" t="str">
        <f t="shared" si="6"/>
        <v/>
      </c>
      <c r="U233" s="13" t="str">
        <f t="shared" si="7"/>
        <v/>
      </c>
      <c r="W233" s="13" t="str">
        <f t="shared" si="8"/>
        <v/>
      </c>
      <c r="X233" s="310" t="str">
        <f t="shared" si="9"/>
        <v/>
      </c>
      <c r="Y233" s="311" t="str">
        <f>IFERROR(__xludf.DUMMYFUNCTION("IF(ISBLANK(B233),"""",IFERROR(INDEX(GOOGLEFINANCE(B233,""price"",WORKDAY(TODAY(),-$Y$17)),2,2),""""))"),"")</f>
        <v/>
      </c>
      <c r="Z233" s="310" t="str">
        <f>IFERROR(__xludf.DUMMYFUNCTION("IF(ISBLANK(B233),"""",IFERROR(I233/(INDEX(GOOGLEFINANCE(B233,""price"",WORKDAY(TODAY(),-$Z$17)),2,2))-1,""""))"),"")</f>
        <v/>
      </c>
      <c r="AA233" s="312" t="str">
        <f>IFERROR(__xludf.DUMMYFUNCTION("IF(ISBLANK(B233),"""",IFERROR(IFERROR(""$""&amp;Trunc(GOOGLEFINANCE(B233,""Marketcap"")/1000000000)&amp;"" B"",""$""&amp;Trunc(IMPORTXML(""https://coinmarketcap.com/currencies/""&amp;B233,$AJ$4)/1000000000)&amp;"" B""),""-""))"),"")</f>
        <v/>
      </c>
      <c r="AB233" s="13" t="str">
        <f>IFERROR(__xludf.DUMMYFUNCTION("IF(ISBLANK(B233),"""",IFERROR(GOOGLEFINANCE(B233,""pe""),""-""))"),"")</f>
        <v/>
      </c>
      <c r="AC233" s="313" t="str">
        <f>IFERROR(__xludf.DUMMYFUNCTION("SPARKLINE(INDEX(GOOGLEFINANCE(B233,""price"",workday(today(),-$AC$17),today()),,2),{""charttype"",""column"";""color"",""green""})
"),"#N/A")</f>
        <v>#N/A</v>
      </c>
      <c r="AD233" s="313" t="str">
        <f>IFERROR(__xludf.DUMMYFUNCTION("IF(ISBLANK(B233),"""",IFERROR(INDEX(IMPORTXML(""https://eresearch.fidelity.com/eresearch/goto/evaluate/snapshot.jhtml?symbols=""&amp;B233&amp;"""",""//div[@class='sub-heading']//span[@class='right']""),1),""Enter Manually"")
)"),"")</f>
        <v/>
      </c>
      <c r="AE233" s="314" t="str">
        <f t="shared" si="10"/>
        <v>Info</v>
      </c>
      <c r="AF233" s="329"/>
      <c r="AG233" s="320"/>
      <c r="AH233" s="13"/>
      <c r="AI233" s="13"/>
      <c r="AJ233" s="13"/>
      <c r="AK233" s="13"/>
      <c r="AL233" s="13"/>
      <c r="AM233" s="13"/>
      <c r="AN233" s="13"/>
      <c r="AO233" s="13"/>
      <c r="AP233" s="13"/>
    </row>
    <row r="234" ht="18.75" customHeight="1">
      <c r="A234" s="13"/>
      <c r="B234" s="327"/>
      <c r="C234" s="306" t="str">
        <f>IFERROR(__xludf.DUMMYFUNCTION("GOOGLEFINANCE(B234,""name"")
"),"#N/A")</f>
        <v>#N/A</v>
      </c>
      <c r="D234" s="306"/>
      <c r="E234" s="328"/>
      <c r="F234" s="13" t="str">
        <f t="shared" si="1"/>
        <v/>
      </c>
      <c r="G234" s="309" t="str">
        <f>IFERROR(__xludf.DUMMYFUNCTION("IF(ISBLANK(B234),"""",IFERROR(SPARKLINE(INDEX(GOOGLEFINANCE(B234,""price"",TODAY()-$G$17,TODAY()),,2),{""charttype"",""column"";""color"",""17a7e0""}),""""))"),"")</f>
        <v/>
      </c>
      <c r="I234" s="309" t="str">
        <f>IFERROR(__xludf.DUMMYFUNCTION("IFERROR(IF(B234="""","""",GOOGLEFINANCE(B234)),IFERROR(GOOGLEFINANCE(""CURRENCY:""&amp;""USD""&amp;$D$15)*IMPORTXML(""https://coinmarketcap.com/currencies/""&amp;B234,$AJ$3),IMPORTXML(""https://coinmarketcap.com/currencies/""&amp;B234,$AJ$3)))"),"")</f>
        <v/>
      </c>
      <c r="J234" s="310" t="str">
        <f t="shared" si="2"/>
        <v/>
      </c>
      <c r="K234" s="310" t="str">
        <f>IFERROR(__xludf.DUMMYFUNCTION("IFERROR(IF(ISBLANK(B234),"""",GOOGLEFINANCE(B234,""changepct"")/100),"""")"),"")</f>
        <v/>
      </c>
      <c r="L234" s="310" t="str">
        <f>IFERROR(__xludf.DUMMYFUNCTION("IF(ISBLANK(B234),"""",IFERROR((GOOGLEFINANCE(B234,""price"")/INDEX(GOOGLEFINANCE(B234,""price"",DATEVALUE(TODAY()-365) ),2,2)-1),""""))"),"")</f>
        <v/>
      </c>
      <c r="M234" s="310" t="str">
        <f>IFERROR(__xludf.DUMMYFUNCTION("IF(ISBLANK(B234),"""",IFERROR((GOOGLEFINANCE($D$13,""price"")/INDEX(GOOGLEFINANCE($D$13,""price"",DATEVALUE(TODAY()-365) ),2,2)-1),""""))"),"")</f>
        <v/>
      </c>
      <c r="N234" s="310" t="str">
        <f t="shared" si="3"/>
        <v/>
      </c>
      <c r="O234" s="311" t="str">
        <f>IFERROR(__xludf.DUMMYFUNCTION("IFERROR(IF(ISBLANK(B234),"""",GOOGLEFINANCE(B234,""low52"")),"""")"),"")</f>
        <v/>
      </c>
      <c r="P234" s="310" t="str">
        <f t="shared" si="4"/>
        <v/>
      </c>
      <c r="Q234" s="311" t="str">
        <f>IFERROR(__xludf.DUMMYFUNCTION("IFERROR(IF(ISBLANK(B234),"""",GOOGLEFINANCE(B234,""high52"")),"""")"),"")</f>
        <v/>
      </c>
      <c r="R234" s="310" t="str">
        <f t="shared" si="5"/>
        <v/>
      </c>
      <c r="S234" s="13" t="str">
        <f t="shared" si="6"/>
        <v/>
      </c>
      <c r="U234" s="13" t="str">
        <f t="shared" si="7"/>
        <v/>
      </c>
      <c r="W234" s="13" t="str">
        <f t="shared" si="8"/>
        <v/>
      </c>
      <c r="X234" s="310" t="str">
        <f t="shared" si="9"/>
        <v/>
      </c>
      <c r="Y234" s="311" t="str">
        <f>IFERROR(__xludf.DUMMYFUNCTION("IF(ISBLANK(B234),"""",IFERROR(INDEX(GOOGLEFINANCE(B234,""price"",WORKDAY(TODAY(),-$Y$17)),2,2),""""))"),"")</f>
        <v/>
      </c>
      <c r="Z234" s="310" t="str">
        <f>IFERROR(__xludf.DUMMYFUNCTION("IF(ISBLANK(B234),"""",IFERROR(I234/(INDEX(GOOGLEFINANCE(B234,""price"",WORKDAY(TODAY(),-$Z$17)),2,2))-1,""""))"),"")</f>
        <v/>
      </c>
      <c r="AA234" s="312" t="str">
        <f>IFERROR(__xludf.DUMMYFUNCTION("IF(ISBLANK(B234),"""",IFERROR(IFERROR(""$""&amp;Trunc(GOOGLEFINANCE(B234,""Marketcap"")/1000000000)&amp;"" B"",""$""&amp;Trunc(IMPORTXML(""https://coinmarketcap.com/currencies/""&amp;B234,$AJ$4)/1000000000)&amp;"" B""),""-""))"),"")</f>
        <v/>
      </c>
      <c r="AB234" s="13" t="str">
        <f>IFERROR(__xludf.DUMMYFUNCTION("IF(ISBLANK(B234),"""",IFERROR(GOOGLEFINANCE(B234,""pe""),""-""))"),"")</f>
        <v/>
      </c>
      <c r="AC234" s="313" t="str">
        <f>IFERROR(__xludf.DUMMYFUNCTION("SPARKLINE(INDEX(GOOGLEFINANCE(B234,""price"",workday(today(),-$AC$17),today()),,2),{""charttype"",""column"";""color"",""green""})
"),"#N/A")</f>
        <v>#N/A</v>
      </c>
      <c r="AD234" s="313" t="str">
        <f>IFERROR(__xludf.DUMMYFUNCTION("IF(ISBLANK(B234),"""",IFERROR(INDEX(IMPORTXML(""https://eresearch.fidelity.com/eresearch/goto/evaluate/snapshot.jhtml?symbols=""&amp;B234&amp;"""",""//div[@class='sub-heading']//span[@class='right']""),1),""Enter Manually"")
)"),"")</f>
        <v/>
      </c>
      <c r="AE234" s="314" t="str">
        <f t="shared" si="10"/>
        <v>Info</v>
      </c>
      <c r="AF234" s="329"/>
      <c r="AG234" s="320"/>
      <c r="AH234" s="13"/>
      <c r="AI234" s="13"/>
      <c r="AJ234" s="13"/>
      <c r="AK234" s="13"/>
      <c r="AL234" s="13"/>
      <c r="AM234" s="13"/>
      <c r="AN234" s="13"/>
      <c r="AO234" s="13"/>
      <c r="AP234" s="13"/>
    </row>
    <row r="235" ht="18.75" customHeight="1">
      <c r="A235" s="13"/>
      <c r="B235" s="327"/>
      <c r="C235" s="306" t="str">
        <f>IFERROR(__xludf.DUMMYFUNCTION("GOOGLEFINANCE(B235,""name"")
"),"#N/A")</f>
        <v>#N/A</v>
      </c>
      <c r="D235" s="306"/>
      <c r="E235" s="328"/>
      <c r="F235" s="13" t="str">
        <f t="shared" si="1"/>
        <v/>
      </c>
      <c r="G235" s="309" t="str">
        <f>IFERROR(__xludf.DUMMYFUNCTION("IF(ISBLANK(B235),"""",IFERROR(SPARKLINE(INDEX(GOOGLEFINANCE(B235,""price"",TODAY()-$G$17,TODAY()),,2),{""charttype"",""column"";""color"",""17a7e0""}),""""))"),"")</f>
        <v/>
      </c>
      <c r="I235" s="309" t="str">
        <f>IFERROR(__xludf.DUMMYFUNCTION("IFERROR(IF(B235="""","""",GOOGLEFINANCE(B235)),IFERROR(GOOGLEFINANCE(""CURRENCY:""&amp;""USD""&amp;$D$15)*IMPORTXML(""https://coinmarketcap.com/currencies/""&amp;B235,$AJ$3),IMPORTXML(""https://coinmarketcap.com/currencies/""&amp;B235,$AJ$3)))"),"")</f>
        <v/>
      </c>
      <c r="J235" s="310" t="str">
        <f t="shared" si="2"/>
        <v/>
      </c>
      <c r="K235" s="310" t="str">
        <f>IFERROR(__xludf.DUMMYFUNCTION("IFERROR(IF(ISBLANK(B235),"""",GOOGLEFINANCE(B235,""changepct"")/100),"""")"),"")</f>
        <v/>
      </c>
      <c r="L235" s="310" t="str">
        <f>IFERROR(__xludf.DUMMYFUNCTION("IF(ISBLANK(B235),"""",IFERROR((GOOGLEFINANCE(B235,""price"")/INDEX(GOOGLEFINANCE(B235,""price"",DATEVALUE(TODAY()-365) ),2,2)-1),""""))"),"")</f>
        <v/>
      </c>
      <c r="M235" s="310" t="str">
        <f>IFERROR(__xludf.DUMMYFUNCTION("IF(ISBLANK(B235),"""",IFERROR((GOOGLEFINANCE($D$13,""price"")/INDEX(GOOGLEFINANCE($D$13,""price"",DATEVALUE(TODAY()-365) ),2,2)-1),""""))"),"")</f>
        <v/>
      </c>
      <c r="N235" s="310" t="str">
        <f t="shared" si="3"/>
        <v/>
      </c>
      <c r="O235" s="311" t="str">
        <f>IFERROR(__xludf.DUMMYFUNCTION("IFERROR(IF(ISBLANK(B235),"""",GOOGLEFINANCE(B235,""low52"")),"""")"),"")</f>
        <v/>
      </c>
      <c r="P235" s="310" t="str">
        <f t="shared" si="4"/>
        <v/>
      </c>
      <c r="Q235" s="311" t="str">
        <f>IFERROR(__xludf.DUMMYFUNCTION("IFERROR(IF(ISBLANK(B235),"""",GOOGLEFINANCE(B235,""high52"")),"""")"),"")</f>
        <v/>
      </c>
      <c r="R235" s="310" t="str">
        <f t="shared" si="5"/>
        <v/>
      </c>
      <c r="S235" s="13" t="str">
        <f t="shared" si="6"/>
        <v/>
      </c>
      <c r="U235" s="13" t="str">
        <f t="shared" si="7"/>
        <v/>
      </c>
      <c r="W235" s="13" t="str">
        <f t="shared" si="8"/>
        <v/>
      </c>
      <c r="X235" s="310" t="str">
        <f t="shared" si="9"/>
        <v/>
      </c>
      <c r="Y235" s="311" t="str">
        <f>IFERROR(__xludf.DUMMYFUNCTION("IF(ISBLANK(B235),"""",IFERROR(INDEX(GOOGLEFINANCE(B235,""price"",WORKDAY(TODAY(),-$Y$17)),2,2),""""))"),"")</f>
        <v/>
      </c>
      <c r="Z235" s="310" t="str">
        <f>IFERROR(__xludf.DUMMYFUNCTION("IF(ISBLANK(B235),"""",IFERROR(I235/(INDEX(GOOGLEFINANCE(B235,""price"",WORKDAY(TODAY(),-$Z$17)),2,2))-1,""""))"),"")</f>
        <v/>
      </c>
      <c r="AA235" s="312" t="str">
        <f>IFERROR(__xludf.DUMMYFUNCTION("IF(ISBLANK(B235),"""",IFERROR(IFERROR(""$""&amp;Trunc(GOOGLEFINANCE(B235,""Marketcap"")/1000000000)&amp;"" B"",""$""&amp;Trunc(IMPORTXML(""https://coinmarketcap.com/currencies/""&amp;B235,$AJ$4)/1000000000)&amp;"" B""),""-""))"),"")</f>
        <v/>
      </c>
      <c r="AB235" s="13" t="str">
        <f>IFERROR(__xludf.DUMMYFUNCTION("IF(ISBLANK(B235),"""",IFERROR(GOOGLEFINANCE(B235,""pe""),""-""))"),"")</f>
        <v/>
      </c>
      <c r="AC235" s="313" t="str">
        <f>IFERROR(__xludf.DUMMYFUNCTION("SPARKLINE(INDEX(GOOGLEFINANCE(B235,""price"",workday(today(),-$AC$17),today()),,2),{""charttype"",""column"";""color"",""green""})
"),"#N/A")</f>
        <v>#N/A</v>
      </c>
      <c r="AD235" s="313" t="str">
        <f>IFERROR(__xludf.DUMMYFUNCTION("IF(ISBLANK(B235),"""",IFERROR(INDEX(IMPORTXML(""https://eresearch.fidelity.com/eresearch/goto/evaluate/snapshot.jhtml?symbols=""&amp;B235&amp;"""",""//div[@class='sub-heading']//span[@class='right']""),1),""Enter Manually"")
)"),"")</f>
        <v/>
      </c>
      <c r="AE235" s="314" t="str">
        <f t="shared" si="10"/>
        <v>Info</v>
      </c>
      <c r="AF235" s="329"/>
      <c r="AG235" s="320"/>
      <c r="AH235" s="13"/>
      <c r="AI235" s="13"/>
      <c r="AJ235" s="13"/>
      <c r="AK235" s="13"/>
      <c r="AL235" s="13"/>
      <c r="AM235" s="13"/>
      <c r="AN235" s="13"/>
      <c r="AO235" s="13"/>
      <c r="AP235" s="13"/>
    </row>
    <row r="236" ht="18.75" customHeight="1">
      <c r="A236" s="13"/>
      <c r="B236" s="327"/>
      <c r="C236" s="306" t="str">
        <f>IFERROR(__xludf.DUMMYFUNCTION("GOOGLEFINANCE(B236,""name"")
"),"#N/A")</f>
        <v>#N/A</v>
      </c>
      <c r="D236" s="306"/>
      <c r="E236" s="328"/>
      <c r="F236" s="13" t="str">
        <f t="shared" si="1"/>
        <v/>
      </c>
      <c r="G236" s="309" t="str">
        <f>IFERROR(__xludf.DUMMYFUNCTION("IF(ISBLANK(B236),"""",IFERROR(SPARKLINE(INDEX(GOOGLEFINANCE(B236,""price"",TODAY()-$G$17,TODAY()),,2),{""charttype"",""column"";""color"",""17a7e0""}),""""))"),"")</f>
        <v/>
      </c>
      <c r="I236" s="309" t="str">
        <f>IFERROR(__xludf.DUMMYFUNCTION("IFERROR(IF(B236="""","""",GOOGLEFINANCE(B236)),IFERROR(GOOGLEFINANCE(""CURRENCY:""&amp;""USD""&amp;$D$15)*IMPORTXML(""https://coinmarketcap.com/currencies/""&amp;B236,$AJ$3),IMPORTXML(""https://coinmarketcap.com/currencies/""&amp;B236,$AJ$3)))"),"")</f>
        <v/>
      </c>
      <c r="J236" s="310" t="str">
        <f t="shared" si="2"/>
        <v/>
      </c>
      <c r="K236" s="310" t="str">
        <f>IFERROR(__xludf.DUMMYFUNCTION("IFERROR(IF(ISBLANK(B236),"""",GOOGLEFINANCE(B236,""changepct"")/100),"""")"),"")</f>
        <v/>
      </c>
      <c r="L236" s="310" t="str">
        <f>IFERROR(__xludf.DUMMYFUNCTION("IF(ISBLANK(B236),"""",IFERROR((GOOGLEFINANCE(B236,""price"")/INDEX(GOOGLEFINANCE(B236,""price"",DATEVALUE(TODAY()-365) ),2,2)-1),""""))"),"")</f>
        <v/>
      </c>
      <c r="M236" s="310" t="str">
        <f>IFERROR(__xludf.DUMMYFUNCTION("IF(ISBLANK(B236),"""",IFERROR((GOOGLEFINANCE($D$13,""price"")/INDEX(GOOGLEFINANCE($D$13,""price"",DATEVALUE(TODAY()-365) ),2,2)-1),""""))"),"")</f>
        <v/>
      </c>
      <c r="N236" s="310" t="str">
        <f t="shared" si="3"/>
        <v/>
      </c>
      <c r="O236" s="311" t="str">
        <f>IFERROR(__xludf.DUMMYFUNCTION("IFERROR(IF(ISBLANK(B236),"""",GOOGLEFINANCE(B236,""low52"")),"""")"),"")</f>
        <v/>
      </c>
      <c r="P236" s="310" t="str">
        <f t="shared" si="4"/>
        <v/>
      </c>
      <c r="Q236" s="311" t="str">
        <f>IFERROR(__xludf.DUMMYFUNCTION("IFERROR(IF(ISBLANK(B236),"""",GOOGLEFINANCE(B236,""high52"")),"""")"),"")</f>
        <v/>
      </c>
      <c r="R236" s="310" t="str">
        <f t="shared" si="5"/>
        <v/>
      </c>
      <c r="S236" s="13" t="str">
        <f t="shared" si="6"/>
        <v/>
      </c>
      <c r="U236" s="13" t="str">
        <f t="shared" si="7"/>
        <v/>
      </c>
      <c r="W236" s="13" t="str">
        <f t="shared" si="8"/>
        <v/>
      </c>
      <c r="X236" s="310" t="str">
        <f t="shared" si="9"/>
        <v/>
      </c>
      <c r="Y236" s="311" t="str">
        <f>IFERROR(__xludf.DUMMYFUNCTION("IF(ISBLANK(B236),"""",IFERROR(INDEX(GOOGLEFINANCE(B236,""price"",WORKDAY(TODAY(),-$Y$17)),2,2),""""))"),"")</f>
        <v/>
      </c>
      <c r="Z236" s="310" t="str">
        <f>IFERROR(__xludf.DUMMYFUNCTION("IF(ISBLANK(B236),"""",IFERROR(I236/(INDEX(GOOGLEFINANCE(B236,""price"",WORKDAY(TODAY(),-$Z$17)),2,2))-1,""""))"),"")</f>
        <v/>
      </c>
      <c r="AA236" s="312" t="str">
        <f>IFERROR(__xludf.DUMMYFUNCTION("IF(ISBLANK(B236),"""",IFERROR(IFERROR(""$""&amp;Trunc(GOOGLEFINANCE(B236,""Marketcap"")/1000000000)&amp;"" B"",""$""&amp;Trunc(IMPORTXML(""https://coinmarketcap.com/currencies/""&amp;B236,$AJ$4)/1000000000)&amp;"" B""),""-""))"),"")</f>
        <v/>
      </c>
      <c r="AB236" s="13" t="str">
        <f>IFERROR(__xludf.DUMMYFUNCTION("IF(ISBLANK(B236),"""",IFERROR(GOOGLEFINANCE(B236,""pe""),""-""))"),"")</f>
        <v/>
      </c>
      <c r="AC236" s="313" t="str">
        <f>IFERROR(__xludf.DUMMYFUNCTION("SPARKLINE(INDEX(GOOGLEFINANCE(B236,""price"",workday(today(),-$AC$17),today()),,2),{""charttype"",""column"";""color"",""green""})
"),"#N/A")</f>
        <v>#N/A</v>
      </c>
      <c r="AD236" s="313" t="str">
        <f>IFERROR(__xludf.DUMMYFUNCTION("IF(ISBLANK(B236),"""",IFERROR(INDEX(IMPORTXML(""https://eresearch.fidelity.com/eresearch/goto/evaluate/snapshot.jhtml?symbols=""&amp;B236&amp;"""",""//div[@class='sub-heading']//span[@class='right']""),1),""Enter Manually"")
)"),"")</f>
        <v/>
      </c>
      <c r="AE236" s="314" t="str">
        <f t="shared" si="10"/>
        <v>Info</v>
      </c>
      <c r="AF236" s="329"/>
      <c r="AG236" s="320"/>
      <c r="AH236" s="13"/>
      <c r="AI236" s="13"/>
      <c r="AJ236" s="13"/>
      <c r="AK236" s="13"/>
      <c r="AL236" s="13"/>
      <c r="AM236" s="13"/>
      <c r="AN236" s="13"/>
      <c r="AO236" s="13"/>
      <c r="AP236" s="13"/>
    </row>
    <row r="237" ht="18.75" customHeight="1">
      <c r="A237" s="13"/>
      <c r="B237" s="327"/>
      <c r="C237" s="306" t="str">
        <f>IFERROR(__xludf.DUMMYFUNCTION("GOOGLEFINANCE(B237,""name"")
"),"#N/A")</f>
        <v>#N/A</v>
      </c>
      <c r="D237" s="306"/>
      <c r="E237" s="328"/>
      <c r="F237" s="13" t="str">
        <f t="shared" si="1"/>
        <v/>
      </c>
      <c r="G237" s="309" t="str">
        <f>IFERROR(__xludf.DUMMYFUNCTION("IF(ISBLANK(B237),"""",IFERROR(SPARKLINE(INDEX(GOOGLEFINANCE(B237,""price"",TODAY()-$G$17,TODAY()),,2),{""charttype"",""column"";""color"",""17a7e0""}),""""))"),"")</f>
        <v/>
      </c>
      <c r="I237" s="309" t="str">
        <f>IFERROR(__xludf.DUMMYFUNCTION("IFERROR(IF(B237="""","""",GOOGLEFINANCE(B237)),IFERROR(GOOGLEFINANCE(""CURRENCY:""&amp;""USD""&amp;$D$15)*IMPORTXML(""https://coinmarketcap.com/currencies/""&amp;B237,$AJ$3),IMPORTXML(""https://coinmarketcap.com/currencies/""&amp;B237,$AJ$3)))"),"")</f>
        <v/>
      </c>
      <c r="J237" s="310" t="str">
        <f t="shared" si="2"/>
        <v/>
      </c>
      <c r="K237" s="310" t="str">
        <f>IFERROR(__xludf.DUMMYFUNCTION("IFERROR(IF(ISBLANK(B237),"""",GOOGLEFINANCE(B237,""changepct"")/100),"""")"),"")</f>
        <v/>
      </c>
      <c r="L237" s="310" t="str">
        <f>IFERROR(__xludf.DUMMYFUNCTION("IF(ISBLANK(B237),"""",IFERROR((GOOGLEFINANCE(B237,""price"")/INDEX(GOOGLEFINANCE(B237,""price"",DATEVALUE(TODAY()-365) ),2,2)-1),""""))"),"")</f>
        <v/>
      </c>
      <c r="M237" s="310" t="str">
        <f>IFERROR(__xludf.DUMMYFUNCTION("IF(ISBLANK(B237),"""",IFERROR((GOOGLEFINANCE($D$13,""price"")/INDEX(GOOGLEFINANCE($D$13,""price"",DATEVALUE(TODAY()-365) ),2,2)-1),""""))"),"")</f>
        <v/>
      </c>
      <c r="N237" s="310" t="str">
        <f t="shared" si="3"/>
        <v/>
      </c>
      <c r="O237" s="311" t="str">
        <f>IFERROR(__xludf.DUMMYFUNCTION("IFERROR(IF(ISBLANK(B237),"""",GOOGLEFINANCE(B237,""low52"")),"""")"),"")</f>
        <v/>
      </c>
      <c r="P237" s="310" t="str">
        <f t="shared" si="4"/>
        <v/>
      </c>
      <c r="Q237" s="311" t="str">
        <f>IFERROR(__xludf.DUMMYFUNCTION("IFERROR(IF(ISBLANK(B237),"""",GOOGLEFINANCE(B237,""high52"")),"""")"),"")</f>
        <v/>
      </c>
      <c r="R237" s="310" t="str">
        <f t="shared" si="5"/>
        <v/>
      </c>
      <c r="S237" s="13" t="str">
        <f t="shared" si="6"/>
        <v/>
      </c>
      <c r="U237" s="13" t="str">
        <f t="shared" si="7"/>
        <v/>
      </c>
      <c r="W237" s="13" t="str">
        <f t="shared" si="8"/>
        <v/>
      </c>
      <c r="X237" s="310" t="str">
        <f t="shared" si="9"/>
        <v/>
      </c>
      <c r="Y237" s="311" t="str">
        <f>IFERROR(__xludf.DUMMYFUNCTION("IF(ISBLANK(B237),"""",IFERROR(INDEX(GOOGLEFINANCE(B237,""price"",WORKDAY(TODAY(),-$Y$17)),2,2),""""))"),"")</f>
        <v/>
      </c>
      <c r="Z237" s="310" t="str">
        <f>IFERROR(__xludf.DUMMYFUNCTION("IF(ISBLANK(B237),"""",IFERROR(I237/(INDEX(GOOGLEFINANCE(B237,""price"",WORKDAY(TODAY(),-$Z$17)),2,2))-1,""""))"),"")</f>
        <v/>
      </c>
      <c r="AA237" s="312" t="str">
        <f>IFERROR(__xludf.DUMMYFUNCTION("IF(ISBLANK(B237),"""",IFERROR(IFERROR(""$""&amp;Trunc(GOOGLEFINANCE(B237,""Marketcap"")/1000000000)&amp;"" B"",""$""&amp;Trunc(IMPORTXML(""https://coinmarketcap.com/currencies/""&amp;B237,$AJ$4)/1000000000)&amp;"" B""),""-""))"),"")</f>
        <v/>
      </c>
      <c r="AB237" s="13" t="str">
        <f>IFERROR(__xludf.DUMMYFUNCTION("IF(ISBLANK(B237),"""",IFERROR(GOOGLEFINANCE(B237,""pe""),""-""))"),"")</f>
        <v/>
      </c>
      <c r="AC237" s="313" t="str">
        <f>IFERROR(__xludf.DUMMYFUNCTION("SPARKLINE(INDEX(GOOGLEFINANCE(B237,""price"",workday(today(),-$AC$17),today()),,2),{""charttype"",""column"";""color"",""green""})
"),"#N/A")</f>
        <v>#N/A</v>
      </c>
      <c r="AD237" s="313" t="str">
        <f>IFERROR(__xludf.DUMMYFUNCTION("IF(ISBLANK(B237),"""",IFERROR(INDEX(IMPORTXML(""https://eresearch.fidelity.com/eresearch/goto/evaluate/snapshot.jhtml?symbols=""&amp;B237&amp;"""",""//div[@class='sub-heading']//span[@class='right']""),1),""Enter Manually"")
)"),"")</f>
        <v/>
      </c>
      <c r="AE237" s="314" t="str">
        <f t="shared" si="10"/>
        <v>Info</v>
      </c>
      <c r="AF237" s="329"/>
      <c r="AG237" s="320"/>
      <c r="AH237" s="13"/>
      <c r="AI237" s="13"/>
      <c r="AJ237" s="13"/>
      <c r="AK237" s="13"/>
      <c r="AL237" s="13"/>
      <c r="AM237" s="13"/>
      <c r="AN237" s="13"/>
      <c r="AO237" s="13"/>
      <c r="AP237" s="13"/>
    </row>
    <row r="238" ht="18.75" customHeight="1">
      <c r="A238" s="13"/>
      <c r="B238" s="327"/>
      <c r="C238" s="306" t="str">
        <f>IFERROR(__xludf.DUMMYFUNCTION("GOOGLEFINANCE(B238,""name"")
"),"#N/A")</f>
        <v>#N/A</v>
      </c>
      <c r="D238" s="306"/>
      <c r="E238" s="328"/>
      <c r="F238" s="13" t="str">
        <f t="shared" si="1"/>
        <v/>
      </c>
      <c r="G238" s="309" t="str">
        <f>IFERROR(__xludf.DUMMYFUNCTION("IF(ISBLANK(B238),"""",IFERROR(SPARKLINE(INDEX(GOOGLEFINANCE(B238,""price"",TODAY()-$G$17,TODAY()),,2),{""charttype"",""column"";""color"",""17a7e0""}),""""))"),"")</f>
        <v/>
      </c>
      <c r="I238" s="309" t="str">
        <f>IFERROR(__xludf.DUMMYFUNCTION("IFERROR(IF(B238="""","""",GOOGLEFINANCE(B238)),IFERROR(GOOGLEFINANCE(""CURRENCY:""&amp;""USD""&amp;$D$15)*IMPORTXML(""https://coinmarketcap.com/currencies/""&amp;B238,$AJ$3),IMPORTXML(""https://coinmarketcap.com/currencies/""&amp;B238,$AJ$3)))"),"")</f>
        <v/>
      </c>
      <c r="J238" s="310" t="str">
        <f t="shared" si="2"/>
        <v/>
      </c>
      <c r="K238" s="310" t="str">
        <f>IFERROR(__xludf.DUMMYFUNCTION("IFERROR(IF(ISBLANK(B238),"""",GOOGLEFINANCE(B238,""changepct"")/100),"""")"),"")</f>
        <v/>
      </c>
      <c r="L238" s="310" t="str">
        <f>IFERROR(__xludf.DUMMYFUNCTION("IF(ISBLANK(B238),"""",IFERROR((GOOGLEFINANCE(B238,""price"")/INDEX(GOOGLEFINANCE(B238,""price"",DATEVALUE(TODAY()-365) ),2,2)-1),""""))"),"")</f>
        <v/>
      </c>
      <c r="M238" s="310" t="str">
        <f>IFERROR(__xludf.DUMMYFUNCTION("IF(ISBLANK(B238),"""",IFERROR((GOOGLEFINANCE($D$13,""price"")/INDEX(GOOGLEFINANCE($D$13,""price"",DATEVALUE(TODAY()-365) ),2,2)-1),""""))"),"")</f>
        <v/>
      </c>
      <c r="N238" s="310" t="str">
        <f t="shared" si="3"/>
        <v/>
      </c>
      <c r="O238" s="311" t="str">
        <f>IFERROR(__xludf.DUMMYFUNCTION("IFERROR(IF(ISBLANK(B238),"""",GOOGLEFINANCE(B238,""low52"")),"""")"),"")</f>
        <v/>
      </c>
      <c r="P238" s="310" t="str">
        <f t="shared" si="4"/>
        <v/>
      </c>
      <c r="Q238" s="311" t="str">
        <f>IFERROR(__xludf.DUMMYFUNCTION("IFERROR(IF(ISBLANK(B238),"""",GOOGLEFINANCE(B238,""high52"")),"""")"),"")</f>
        <v/>
      </c>
      <c r="R238" s="310" t="str">
        <f t="shared" si="5"/>
        <v/>
      </c>
      <c r="S238" s="13" t="str">
        <f t="shared" si="6"/>
        <v/>
      </c>
      <c r="U238" s="13" t="str">
        <f t="shared" si="7"/>
        <v/>
      </c>
      <c r="W238" s="13" t="str">
        <f t="shared" si="8"/>
        <v/>
      </c>
      <c r="X238" s="310" t="str">
        <f t="shared" si="9"/>
        <v/>
      </c>
      <c r="Y238" s="311" t="str">
        <f>IFERROR(__xludf.DUMMYFUNCTION("IF(ISBLANK(B238),"""",IFERROR(INDEX(GOOGLEFINANCE(B238,""price"",WORKDAY(TODAY(),-$Y$17)),2,2),""""))"),"")</f>
        <v/>
      </c>
      <c r="Z238" s="310" t="str">
        <f>IFERROR(__xludf.DUMMYFUNCTION("IF(ISBLANK(B238),"""",IFERROR(I238/(INDEX(GOOGLEFINANCE(B238,""price"",WORKDAY(TODAY(),-$Z$17)),2,2))-1,""""))"),"")</f>
        <v/>
      </c>
      <c r="AA238" s="312" t="str">
        <f>IFERROR(__xludf.DUMMYFUNCTION("IF(ISBLANK(B238),"""",IFERROR(IFERROR(""$""&amp;Trunc(GOOGLEFINANCE(B238,""Marketcap"")/1000000000)&amp;"" B"",""$""&amp;Trunc(IMPORTXML(""https://coinmarketcap.com/currencies/""&amp;B238,$AJ$4)/1000000000)&amp;"" B""),""-""))"),"")</f>
        <v/>
      </c>
      <c r="AB238" s="13" t="str">
        <f>IFERROR(__xludf.DUMMYFUNCTION("IF(ISBLANK(B238),"""",IFERROR(GOOGLEFINANCE(B238,""pe""),""-""))"),"")</f>
        <v/>
      </c>
      <c r="AC238" s="313" t="str">
        <f>IFERROR(__xludf.DUMMYFUNCTION("SPARKLINE(INDEX(GOOGLEFINANCE(B238,""price"",workday(today(),-$AC$17),today()),,2),{""charttype"",""column"";""color"",""green""})
"),"#N/A")</f>
        <v>#N/A</v>
      </c>
      <c r="AD238" s="313" t="str">
        <f>IFERROR(__xludf.DUMMYFUNCTION("IF(ISBLANK(B238),"""",IFERROR(INDEX(IMPORTXML(""https://eresearch.fidelity.com/eresearch/goto/evaluate/snapshot.jhtml?symbols=""&amp;B238&amp;"""",""//div[@class='sub-heading']//span[@class='right']""),1),""Enter Manually"")
)"),"")</f>
        <v/>
      </c>
      <c r="AE238" s="314" t="str">
        <f t="shared" si="10"/>
        <v>Info</v>
      </c>
      <c r="AF238" s="329"/>
      <c r="AG238" s="320"/>
      <c r="AH238" s="13"/>
      <c r="AI238" s="13"/>
      <c r="AJ238" s="13"/>
      <c r="AK238" s="13"/>
      <c r="AL238" s="13"/>
      <c r="AM238" s="13"/>
      <c r="AN238" s="13"/>
      <c r="AO238" s="13"/>
      <c r="AP238" s="13"/>
    </row>
    <row r="239" ht="18.75" customHeight="1">
      <c r="A239" s="13"/>
      <c r="B239" s="327"/>
      <c r="C239" s="306" t="str">
        <f>IFERROR(__xludf.DUMMYFUNCTION("GOOGLEFINANCE(B239,""name"")
"),"#N/A")</f>
        <v>#N/A</v>
      </c>
      <c r="D239" s="306"/>
      <c r="E239" s="328"/>
      <c r="F239" s="13" t="str">
        <f t="shared" si="1"/>
        <v/>
      </c>
      <c r="G239" s="309" t="str">
        <f>IFERROR(__xludf.DUMMYFUNCTION("IF(ISBLANK(B239),"""",IFERROR(SPARKLINE(INDEX(GOOGLEFINANCE(B239,""price"",TODAY()-$G$17,TODAY()),,2),{""charttype"",""column"";""color"",""17a7e0""}),""""))"),"")</f>
        <v/>
      </c>
      <c r="I239" s="309" t="str">
        <f>IFERROR(__xludf.DUMMYFUNCTION("IFERROR(IF(B239="""","""",GOOGLEFINANCE(B239)),IFERROR(GOOGLEFINANCE(""CURRENCY:""&amp;""USD""&amp;$D$15)*IMPORTXML(""https://coinmarketcap.com/currencies/""&amp;B239,$AJ$3),IMPORTXML(""https://coinmarketcap.com/currencies/""&amp;B239,$AJ$3)))"),"")</f>
        <v/>
      </c>
      <c r="J239" s="310" t="str">
        <f t="shared" si="2"/>
        <v/>
      </c>
      <c r="K239" s="310" t="str">
        <f>IFERROR(__xludf.DUMMYFUNCTION("IFERROR(IF(ISBLANK(B239),"""",GOOGLEFINANCE(B239,""changepct"")/100),"""")"),"")</f>
        <v/>
      </c>
      <c r="L239" s="310" t="str">
        <f>IFERROR(__xludf.DUMMYFUNCTION("IF(ISBLANK(B239),"""",IFERROR((GOOGLEFINANCE(B239,""price"")/INDEX(GOOGLEFINANCE(B239,""price"",DATEVALUE(TODAY()-365) ),2,2)-1),""""))"),"")</f>
        <v/>
      </c>
      <c r="M239" s="310" t="str">
        <f>IFERROR(__xludf.DUMMYFUNCTION("IF(ISBLANK(B239),"""",IFERROR((GOOGLEFINANCE($D$13,""price"")/INDEX(GOOGLEFINANCE($D$13,""price"",DATEVALUE(TODAY()-365) ),2,2)-1),""""))"),"")</f>
        <v/>
      </c>
      <c r="N239" s="310" t="str">
        <f t="shared" si="3"/>
        <v/>
      </c>
      <c r="O239" s="311" t="str">
        <f>IFERROR(__xludf.DUMMYFUNCTION("IFERROR(IF(ISBLANK(B239),"""",GOOGLEFINANCE(B239,""low52"")),"""")"),"")</f>
        <v/>
      </c>
      <c r="P239" s="310" t="str">
        <f t="shared" si="4"/>
        <v/>
      </c>
      <c r="Q239" s="311" t="str">
        <f>IFERROR(__xludf.DUMMYFUNCTION("IFERROR(IF(ISBLANK(B239),"""",GOOGLEFINANCE(B239,""high52"")),"""")"),"")</f>
        <v/>
      </c>
      <c r="R239" s="310" t="str">
        <f t="shared" si="5"/>
        <v/>
      </c>
      <c r="S239" s="13" t="str">
        <f t="shared" si="6"/>
        <v/>
      </c>
      <c r="U239" s="13" t="str">
        <f t="shared" si="7"/>
        <v/>
      </c>
      <c r="W239" s="13" t="str">
        <f t="shared" si="8"/>
        <v/>
      </c>
      <c r="X239" s="310" t="str">
        <f t="shared" si="9"/>
        <v/>
      </c>
      <c r="Y239" s="311" t="str">
        <f>IFERROR(__xludf.DUMMYFUNCTION("IF(ISBLANK(B239),"""",IFERROR(INDEX(GOOGLEFINANCE(B239,""price"",WORKDAY(TODAY(),-$Y$17)),2,2),""""))"),"")</f>
        <v/>
      </c>
      <c r="Z239" s="310" t="str">
        <f>IFERROR(__xludf.DUMMYFUNCTION("IF(ISBLANK(B239),"""",IFERROR(I239/(INDEX(GOOGLEFINANCE(B239,""price"",WORKDAY(TODAY(),-$Z$17)),2,2))-1,""""))"),"")</f>
        <v/>
      </c>
      <c r="AA239" s="312" t="str">
        <f>IFERROR(__xludf.DUMMYFUNCTION("IF(ISBLANK(B239),"""",IFERROR(IFERROR(""$""&amp;Trunc(GOOGLEFINANCE(B239,""Marketcap"")/1000000000)&amp;"" B"",""$""&amp;Trunc(IMPORTXML(""https://coinmarketcap.com/currencies/""&amp;B239,$AJ$4)/1000000000)&amp;"" B""),""-""))"),"")</f>
        <v/>
      </c>
      <c r="AB239" s="13" t="str">
        <f>IFERROR(__xludf.DUMMYFUNCTION("IF(ISBLANK(B239),"""",IFERROR(GOOGLEFINANCE(B239,""pe""),""-""))"),"")</f>
        <v/>
      </c>
      <c r="AC239" s="313" t="str">
        <f>IFERROR(__xludf.DUMMYFUNCTION("SPARKLINE(INDEX(GOOGLEFINANCE(B239,""price"",workday(today(),-$AC$17),today()),,2),{""charttype"",""column"";""color"",""green""})
"),"#N/A")</f>
        <v>#N/A</v>
      </c>
      <c r="AD239" s="313" t="str">
        <f>IFERROR(__xludf.DUMMYFUNCTION("IF(ISBLANK(B239),"""",IFERROR(INDEX(IMPORTXML(""https://eresearch.fidelity.com/eresearch/goto/evaluate/snapshot.jhtml?symbols=""&amp;B239&amp;"""",""//div[@class='sub-heading']//span[@class='right']""),1),""Enter Manually"")
)"),"")</f>
        <v/>
      </c>
      <c r="AE239" s="314" t="str">
        <f t="shared" si="10"/>
        <v>Info</v>
      </c>
      <c r="AF239" s="329"/>
      <c r="AG239" s="320"/>
      <c r="AH239" s="13"/>
      <c r="AI239" s="13"/>
      <c r="AJ239" s="13"/>
      <c r="AK239" s="13"/>
      <c r="AL239" s="13"/>
      <c r="AM239" s="13"/>
      <c r="AN239" s="13"/>
      <c r="AO239" s="13"/>
      <c r="AP239" s="13"/>
    </row>
    <row r="240" ht="18.75" customHeight="1">
      <c r="A240" s="13"/>
      <c r="B240" s="327"/>
      <c r="C240" s="306" t="str">
        <f>IFERROR(__xludf.DUMMYFUNCTION("GOOGLEFINANCE(B240,""name"")
"),"#N/A")</f>
        <v>#N/A</v>
      </c>
      <c r="D240" s="306"/>
      <c r="E240" s="328"/>
      <c r="F240" s="13" t="str">
        <f t="shared" si="1"/>
        <v/>
      </c>
      <c r="G240" s="309" t="str">
        <f>IFERROR(__xludf.DUMMYFUNCTION("IF(ISBLANK(B240),"""",IFERROR(SPARKLINE(INDEX(GOOGLEFINANCE(B240,""price"",TODAY()-$G$17,TODAY()),,2),{""charttype"",""column"";""color"",""17a7e0""}),""""))"),"")</f>
        <v/>
      </c>
      <c r="I240" s="309" t="str">
        <f>IFERROR(__xludf.DUMMYFUNCTION("IFERROR(IF(B240="""","""",GOOGLEFINANCE(B240)),IFERROR(GOOGLEFINANCE(""CURRENCY:""&amp;""USD""&amp;$D$15)*IMPORTXML(""https://coinmarketcap.com/currencies/""&amp;B240,$AJ$3),IMPORTXML(""https://coinmarketcap.com/currencies/""&amp;B240,$AJ$3)))"),"")</f>
        <v/>
      </c>
      <c r="J240" s="310" t="str">
        <f t="shared" si="2"/>
        <v/>
      </c>
      <c r="K240" s="310" t="str">
        <f>IFERROR(__xludf.DUMMYFUNCTION("IFERROR(IF(ISBLANK(B240),"""",GOOGLEFINANCE(B240,""changepct"")/100),"""")"),"")</f>
        <v/>
      </c>
      <c r="L240" s="310" t="str">
        <f>IFERROR(__xludf.DUMMYFUNCTION("IF(ISBLANK(B240),"""",IFERROR((GOOGLEFINANCE(B240,""price"")/INDEX(GOOGLEFINANCE(B240,""price"",DATEVALUE(TODAY()-365) ),2,2)-1),""""))"),"")</f>
        <v/>
      </c>
      <c r="M240" s="310" t="str">
        <f>IFERROR(__xludf.DUMMYFUNCTION("IF(ISBLANK(B240),"""",IFERROR((GOOGLEFINANCE($D$13,""price"")/INDEX(GOOGLEFINANCE($D$13,""price"",DATEVALUE(TODAY()-365) ),2,2)-1),""""))"),"")</f>
        <v/>
      </c>
      <c r="N240" s="310" t="str">
        <f t="shared" si="3"/>
        <v/>
      </c>
      <c r="O240" s="311" t="str">
        <f>IFERROR(__xludf.DUMMYFUNCTION("IFERROR(IF(ISBLANK(B240),"""",GOOGLEFINANCE(B240,""low52"")),"""")"),"")</f>
        <v/>
      </c>
      <c r="P240" s="310" t="str">
        <f t="shared" si="4"/>
        <v/>
      </c>
      <c r="Q240" s="311" t="str">
        <f>IFERROR(__xludf.DUMMYFUNCTION("IFERROR(IF(ISBLANK(B240),"""",GOOGLEFINANCE(B240,""high52"")),"""")"),"")</f>
        <v/>
      </c>
      <c r="R240" s="310" t="str">
        <f t="shared" si="5"/>
        <v/>
      </c>
      <c r="S240" s="13" t="str">
        <f t="shared" si="6"/>
        <v/>
      </c>
      <c r="U240" s="13" t="str">
        <f t="shared" si="7"/>
        <v/>
      </c>
      <c r="W240" s="13" t="str">
        <f t="shared" si="8"/>
        <v/>
      </c>
      <c r="X240" s="310" t="str">
        <f t="shared" si="9"/>
        <v/>
      </c>
      <c r="Y240" s="311" t="str">
        <f>IFERROR(__xludf.DUMMYFUNCTION("IF(ISBLANK(B240),"""",IFERROR(INDEX(GOOGLEFINANCE(B240,""price"",WORKDAY(TODAY(),-$Y$17)),2,2),""""))"),"")</f>
        <v/>
      </c>
      <c r="Z240" s="310" t="str">
        <f>IFERROR(__xludf.DUMMYFUNCTION("IF(ISBLANK(B240),"""",IFERROR(I240/(INDEX(GOOGLEFINANCE(B240,""price"",WORKDAY(TODAY(),-$Z$17)),2,2))-1,""""))"),"")</f>
        <v/>
      </c>
      <c r="AA240" s="312" t="str">
        <f>IFERROR(__xludf.DUMMYFUNCTION("IF(ISBLANK(B240),"""",IFERROR(IFERROR(""$""&amp;Trunc(GOOGLEFINANCE(B240,""Marketcap"")/1000000000)&amp;"" B"",""$""&amp;Trunc(IMPORTXML(""https://coinmarketcap.com/currencies/""&amp;B240,$AJ$4)/1000000000)&amp;"" B""),""-""))"),"")</f>
        <v/>
      </c>
      <c r="AB240" s="13" t="str">
        <f>IFERROR(__xludf.DUMMYFUNCTION("IF(ISBLANK(B240),"""",IFERROR(GOOGLEFINANCE(B240,""pe""),""-""))"),"")</f>
        <v/>
      </c>
      <c r="AC240" s="313" t="str">
        <f>IFERROR(__xludf.DUMMYFUNCTION("SPARKLINE(INDEX(GOOGLEFINANCE(B240,""price"",workday(today(),-$AC$17),today()),,2),{""charttype"",""column"";""color"",""green""})
"),"#N/A")</f>
        <v>#N/A</v>
      </c>
      <c r="AD240" s="313" t="str">
        <f>IFERROR(__xludf.DUMMYFUNCTION("IF(ISBLANK(B240),"""",IFERROR(INDEX(IMPORTXML(""https://eresearch.fidelity.com/eresearch/goto/evaluate/snapshot.jhtml?symbols=""&amp;B240&amp;"""",""//div[@class='sub-heading']//span[@class='right']""),1),""Enter Manually"")
)"),"")</f>
        <v/>
      </c>
      <c r="AE240" s="314" t="str">
        <f t="shared" si="10"/>
        <v>Info</v>
      </c>
      <c r="AF240" s="329"/>
      <c r="AG240" s="320"/>
      <c r="AH240" s="13"/>
      <c r="AI240" s="13"/>
      <c r="AJ240" s="13"/>
      <c r="AK240" s="13"/>
      <c r="AL240" s="13"/>
      <c r="AM240" s="13"/>
      <c r="AN240" s="13"/>
      <c r="AO240" s="13"/>
      <c r="AP240" s="13"/>
    </row>
    <row r="241" ht="18.75" customHeight="1">
      <c r="A241" s="13"/>
      <c r="B241" s="327"/>
      <c r="C241" s="306" t="str">
        <f>IFERROR(__xludf.DUMMYFUNCTION("GOOGLEFINANCE(B241,""name"")
"),"#N/A")</f>
        <v>#N/A</v>
      </c>
      <c r="D241" s="306"/>
      <c r="E241" s="328"/>
      <c r="F241" s="13" t="str">
        <f t="shared" si="1"/>
        <v/>
      </c>
      <c r="G241" s="309" t="str">
        <f>IFERROR(__xludf.DUMMYFUNCTION("IF(ISBLANK(B241),"""",IFERROR(SPARKLINE(INDEX(GOOGLEFINANCE(B241,""price"",TODAY()-$G$17,TODAY()),,2),{""charttype"",""column"";""color"",""17a7e0""}),""""))"),"")</f>
        <v/>
      </c>
      <c r="I241" s="309" t="str">
        <f>IFERROR(__xludf.DUMMYFUNCTION("IFERROR(IF(B241="""","""",GOOGLEFINANCE(B241)),IFERROR(GOOGLEFINANCE(""CURRENCY:""&amp;""USD""&amp;$D$15)*IMPORTXML(""https://coinmarketcap.com/currencies/""&amp;B241,$AJ$3),IMPORTXML(""https://coinmarketcap.com/currencies/""&amp;B241,$AJ$3)))"),"")</f>
        <v/>
      </c>
      <c r="J241" s="310" t="str">
        <f t="shared" si="2"/>
        <v/>
      </c>
      <c r="K241" s="310" t="str">
        <f>IFERROR(__xludf.DUMMYFUNCTION("IFERROR(IF(ISBLANK(B241),"""",GOOGLEFINANCE(B241,""changepct"")/100),"""")"),"")</f>
        <v/>
      </c>
      <c r="L241" s="310" t="str">
        <f>IFERROR(__xludf.DUMMYFUNCTION("IF(ISBLANK(B241),"""",IFERROR((GOOGLEFINANCE(B241,""price"")/INDEX(GOOGLEFINANCE(B241,""price"",DATEVALUE(TODAY()-365) ),2,2)-1),""""))"),"")</f>
        <v/>
      </c>
      <c r="M241" s="310" t="str">
        <f>IFERROR(__xludf.DUMMYFUNCTION("IF(ISBLANK(B241),"""",IFERROR((GOOGLEFINANCE($D$13,""price"")/INDEX(GOOGLEFINANCE($D$13,""price"",DATEVALUE(TODAY()-365) ),2,2)-1),""""))"),"")</f>
        <v/>
      </c>
      <c r="N241" s="310" t="str">
        <f t="shared" si="3"/>
        <v/>
      </c>
      <c r="O241" s="311" t="str">
        <f>IFERROR(__xludf.DUMMYFUNCTION("IFERROR(IF(ISBLANK(B241),"""",GOOGLEFINANCE(B241,""low52"")),"""")"),"")</f>
        <v/>
      </c>
      <c r="P241" s="310" t="str">
        <f t="shared" si="4"/>
        <v/>
      </c>
      <c r="Q241" s="311" t="str">
        <f>IFERROR(__xludf.DUMMYFUNCTION("IFERROR(IF(ISBLANK(B241),"""",GOOGLEFINANCE(B241,""high52"")),"""")"),"")</f>
        <v/>
      </c>
      <c r="R241" s="310" t="str">
        <f t="shared" si="5"/>
        <v/>
      </c>
      <c r="S241" s="13" t="str">
        <f t="shared" si="6"/>
        <v/>
      </c>
      <c r="U241" s="13" t="str">
        <f t="shared" si="7"/>
        <v/>
      </c>
      <c r="W241" s="13" t="str">
        <f t="shared" si="8"/>
        <v/>
      </c>
      <c r="X241" s="310" t="str">
        <f t="shared" si="9"/>
        <v/>
      </c>
      <c r="Y241" s="311" t="str">
        <f>IFERROR(__xludf.DUMMYFUNCTION("IF(ISBLANK(B241),"""",IFERROR(INDEX(GOOGLEFINANCE(B241,""price"",WORKDAY(TODAY(),-$Y$17)),2,2),""""))"),"")</f>
        <v/>
      </c>
      <c r="Z241" s="310" t="str">
        <f>IFERROR(__xludf.DUMMYFUNCTION("IF(ISBLANK(B241),"""",IFERROR(I241/(INDEX(GOOGLEFINANCE(B241,""price"",WORKDAY(TODAY(),-$Z$17)),2,2))-1,""""))"),"")</f>
        <v/>
      </c>
      <c r="AA241" s="312" t="str">
        <f>IFERROR(__xludf.DUMMYFUNCTION("IF(ISBLANK(B241),"""",IFERROR(IFERROR(""$""&amp;Trunc(GOOGLEFINANCE(B241,""Marketcap"")/1000000000)&amp;"" B"",""$""&amp;Trunc(IMPORTXML(""https://coinmarketcap.com/currencies/""&amp;B241,$AJ$4)/1000000000)&amp;"" B""),""-""))"),"")</f>
        <v/>
      </c>
      <c r="AB241" s="13" t="str">
        <f>IFERROR(__xludf.DUMMYFUNCTION("IF(ISBLANK(B241),"""",IFERROR(GOOGLEFINANCE(B241,""pe""),""-""))"),"")</f>
        <v/>
      </c>
      <c r="AC241" s="313" t="str">
        <f>IFERROR(__xludf.DUMMYFUNCTION("SPARKLINE(INDEX(GOOGLEFINANCE(B241,""price"",workday(today(),-$AC$17),today()),,2),{""charttype"",""column"";""color"",""green""})
"),"#N/A")</f>
        <v>#N/A</v>
      </c>
      <c r="AD241" s="313" t="str">
        <f>IFERROR(__xludf.DUMMYFUNCTION("IF(ISBLANK(B241),"""",IFERROR(INDEX(IMPORTXML(""https://eresearch.fidelity.com/eresearch/goto/evaluate/snapshot.jhtml?symbols=""&amp;B241&amp;"""",""//div[@class='sub-heading']//span[@class='right']""),1),""Enter Manually"")
)"),"")</f>
        <v/>
      </c>
      <c r="AE241" s="314" t="str">
        <f t="shared" si="10"/>
        <v>Info</v>
      </c>
      <c r="AF241" s="329"/>
      <c r="AG241" s="320"/>
      <c r="AH241" s="13"/>
      <c r="AI241" s="13"/>
      <c r="AJ241" s="13"/>
      <c r="AK241" s="13"/>
      <c r="AL241" s="13"/>
      <c r="AM241" s="13"/>
      <c r="AN241" s="13"/>
      <c r="AO241" s="13"/>
      <c r="AP241" s="13"/>
    </row>
    <row r="242" ht="18.75" customHeight="1">
      <c r="A242" s="13"/>
      <c r="B242" s="327"/>
      <c r="C242" s="306" t="str">
        <f>IFERROR(__xludf.DUMMYFUNCTION("GOOGLEFINANCE(B242,""name"")
"),"#N/A")</f>
        <v>#N/A</v>
      </c>
      <c r="D242" s="306"/>
      <c r="E242" s="328"/>
      <c r="F242" s="13" t="str">
        <f t="shared" si="1"/>
        <v/>
      </c>
      <c r="G242" s="309" t="str">
        <f>IFERROR(__xludf.DUMMYFUNCTION("IF(ISBLANK(B242),"""",IFERROR(SPARKLINE(INDEX(GOOGLEFINANCE(B242,""price"",TODAY()-$G$17,TODAY()),,2),{""charttype"",""column"";""color"",""17a7e0""}),""""))"),"")</f>
        <v/>
      </c>
      <c r="I242" s="309" t="str">
        <f>IFERROR(__xludf.DUMMYFUNCTION("IFERROR(IF(B242="""","""",GOOGLEFINANCE(B242)),IFERROR(GOOGLEFINANCE(""CURRENCY:""&amp;""USD""&amp;$D$15)*IMPORTXML(""https://coinmarketcap.com/currencies/""&amp;B242,$AJ$3),IMPORTXML(""https://coinmarketcap.com/currencies/""&amp;B242,$AJ$3)))"),"")</f>
        <v/>
      </c>
      <c r="J242" s="310" t="str">
        <f t="shared" si="2"/>
        <v/>
      </c>
      <c r="K242" s="310" t="str">
        <f>IFERROR(__xludf.DUMMYFUNCTION("IFERROR(IF(ISBLANK(B242),"""",GOOGLEFINANCE(B242,""changepct"")/100),"""")"),"")</f>
        <v/>
      </c>
      <c r="L242" s="310" t="str">
        <f>IFERROR(__xludf.DUMMYFUNCTION("IF(ISBLANK(B242),"""",IFERROR((GOOGLEFINANCE(B242,""price"")/INDEX(GOOGLEFINANCE(B242,""price"",DATEVALUE(TODAY()-365) ),2,2)-1),""""))"),"")</f>
        <v/>
      </c>
      <c r="M242" s="310" t="str">
        <f>IFERROR(__xludf.DUMMYFUNCTION("IF(ISBLANK(B242),"""",IFERROR((GOOGLEFINANCE($D$13,""price"")/INDEX(GOOGLEFINANCE($D$13,""price"",DATEVALUE(TODAY()-365) ),2,2)-1),""""))"),"")</f>
        <v/>
      </c>
      <c r="N242" s="310" t="str">
        <f t="shared" si="3"/>
        <v/>
      </c>
      <c r="O242" s="311" t="str">
        <f>IFERROR(__xludf.DUMMYFUNCTION("IFERROR(IF(ISBLANK(B242),"""",GOOGLEFINANCE(B242,""low52"")),"""")"),"")</f>
        <v/>
      </c>
      <c r="P242" s="310" t="str">
        <f t="shared" si="4"/>
        <v/>
      </c>
      <c r="Q242" s="311" t="str">
        <f>IFERROR(__xludf.DUMMYFUNCTION("IFERROR(IF(ISBLANK(B242),"""",GOOGLEFINANCE(B242,""high52"")),"""")"),"")</f>
        <v/>
      </c>
      <c r="R242" s="310" t="str">
        <f t="shared" si="5"/>
        <v/>
      </c>
      <c r="S242" s="13" t="str">
        <f t="shared" si="6"/>
        <v/>
      </c>
      <c r="U242" s="13" t="str">
        <f t="shared" si="7"/>
        <v/>
      </c>
      <c r="W242" s="13" t="str">
        <f t="shared" si="8"/>
        <v/>
      </c>
      <c r="X242" s="310" t="str">
        <f t="shared" si="9"/>
        <v/>
      </c>
      <c r="Y242" s="311" t="str">
        <f>IFERROR(__xludf.DUMMYFUNCTION("IF(ISBLANK(B242),"""",IFERROR(INDEX(GOOGLEFINANCE(B242,""price"",WORKDAY(TODAY(),-$Y$17)),2,2),""""))"),"")</f>
        <v/>
      </c>
      <c r="Z242" s="310" t="str">
        <f>IFERROR(__xludf.DUMMYFUNCTION("IF(ISBLANK(B242),"""",IFERROR(I242/(INDEX(GOOGLEFINANCE(B242,""price"",WORKDAY(TODAY(),-$Z$17)),2,2))-1,""""))"),"")</f>
        <v/>
      </c>
      <c r="AA242" s="312" t="str">
        <f>IFERROR(__xludf.DUMMYFUNCTION("IF(ISBLANK(B242),"""",IFERROR(IFERROR(""$""&amp;Trunc(GOOGLEFINANCE(B242,""Marketcap"")/1000000000)&amp;"" B"",""$""&amp;Trunc(IMPORTXML(""https://coinmarketcap.com/currencies/""&amp;B242,$AJ$4)/1000000000)&amp;"" B""),""-""))"),"")</f>
        <v/>
      </c>
      <c r="AB242" s="13" t="str">
        <f>IFERROR(__xludf.DUMMYFUNCTION("IF(ISBLANK(B242),"""",IFERROR(GOOGLEFINANCE(B242,""pe""),""-""))"),"")</f>
        <v/>
      </c>
      <c r="AC242" s="313" t="str">
        <f>IFERROR(__xludf.DUMMYFUNCTION("SPARKLINE(INDEX(GOOGLEFINANCE(B242,""price"",workday(today(),-$AC$17),today()),,2),{""charttype"",""column"";""color"",""green""})
"),"#N/A")</f>
        <v>#N/A</v>
      </c>
      <c r="AD242" s="313" t="str">
        <f>IFERROR(__xludf.DUMMYFUNCTION("IF(ISBLANK(B242),"""",IFERROR(INDEX(IMPORTXML(""https://eresearch.fidelity.com/eresearch/goto/evaluate/snapshot.jhtml?symbols=""&amp;B242&amp;"""",""//div[@class='sub-heading']//span[@class='right']""),1),""Enter Manually"")
)"),"")</f>
        <v/>
      </c>
      <c r="AE242" s="314" t="str">
        <f t="shared" si="10"/>
        <v>Info</v>
      </c>
      <c r="AF242" s="329"/>
      <c r="AG242" s="320"/>
      <c r="AH242" s="13"/>
      <c r="AI242" s="13"/>
      <c r="AJ242" s="13"/>
      <c r="AK242" s="13"/>
      <c r="AL242" s="13"/>
      <c r="AM242" s="13"/>
      <c r="AN242" s="13"/>
      <c r="AO242" s="13"/>
      <c r="AP242" s="13"/>
    </row>
    <row r="243" ht="18.75" customHeight="1">
      <c r="A243" s="13"/>
      <c r="B243" s="327"/>
      <c r="C243" s="306" t="str">
        <f>IFERROR(__xludf.DUMMYFUNCTION("GOOGLEFINANCE(B243,""name"")
"),"#N/A")</f>
        <v>#N/A</v>
      </c>
      <c r="D243" s="306"/>
      <c r="E243" s="328"/>
      <c r="F243" s="13" t="str">
        <f t="shared" si="1"/>
        <v/>
      </c>
      <c r="G243" s="309" t="str">
        <f>IFERROR(__xludf.DUMMYFUNCTION("IF(ISBLANK(B243),"""",IFERROR(SPARKLINE(INDEX(GOOGLEFINANCE(B243,""price"",TODAY()-$G$17,TODAY()),,2),{""charttype"",""column"";""color"",""17a7e0""}),""""))"),"")</f>
        <v/>
      </c>
      <c r="I243" s="309" t="str">
        <f>IFERROR(__xludf.DUMMYFUNCTION("IFERROR(IF(B243="""","""",GOOGLEFINANCE(B243)),IFERROR(GOOGLEFINANCE(""CURRENCY:""&amp;""USD""&amp;$D$15)*IMPORTXML(""https://coinmarketcap.com/currencies/""&amp;B243,$AJ$3),IMPORTXML(""https://coinmarketcap.com/currencies/""&amp;B243,$AJ$3)))"),"")</f>
        <v/>
      </c>
      <c r="J243" s="310" t="str">
        <f t="shared" si="2"/>
        <v/>
      </c>
      <c r="K243" s="310" t="str">
        <f>IFERROR(__xludf.DUMMYFUNCTION("IFERROR(IF(ISBLANK(B243),"""",GOOGLEFINANCE(B243,""changepct"")/100),"""")"),"")</f>
        <v/>
      </c>
      <c r="L243" s="310" t="str">
        <f>IFERROR(__xludf.DUMMYFUNCTION("IF(ISBLANK(B243),"""",IFERROR((GOOGLEFINANCE(B243,""price"")/INDEX(GOOGLEFINANCE(B243,""price"",DATEVALUE(TODAY()-365) ),2,2)-1),""""))"),"")</f>
        <v/>
      </c>
      <c r="M243" s="310" t="str">
        <f>IFERROR(__xludf.DUMMYFUNCTION("IF(ISBLANK(B243),"""",IFERROR((GOOGLEFINANCE($D$13,""price"")/INDEX(GOOGLEFINANCE($D$13,""price"",DATEVALUE(TODAY()-365) ),2,2)-1),""""))"),"")</f>
        <v/>
      </c>
      <c r="N243" s="310" t="str">
        <f t="shared" si="3"/>
        <v/>
      </c>
      <c r="O243" s="311" t="str">
        <f>IFERROR(__xludf.DUMMYFUNCTION("IFERROR(IF(ISBLANK(B243),"""",GOOGLEFINANCE(B243,""low52"")),"""")"),"")</f>
        <v/>
      </c>
      <c r="P243" s="310" t="str">
        <f t="shared" si="4"/>
        <v/>
      </c>
      <c r="Q243" s="311" t="str">
        <f>IFERROR(__xludf.DUMMYFUNCTION("IFERROR(IF(ISBLANK(B243),"""",GOOGLEFINANCE(B243,""high52"")),"""")"),"")</f>
        <v/>
      </c>
      <c r="R243" s="310" t="str">
        <f t="shared" si="5"/>
        <v/>
      </c>
      <c r="S243" s="13" t="str">
        <f t="shared" si="6"/>
        <v/>
      </c>
      <c r="U243" s="13" t="str">
        <f t="shared" si="7"/>
        <v/>
      </c>
      <c r="W243" s="13" t="str">
        <f t="shared" si="8"/>
        <v/>
      </c>
      <c r="X243" s="310" t="str">
        <f t="shared" si="9"/>
        <v/>
      </c>
      <c r="Y243" s="311" t="str">
        <f>IFERROR(__xludf.DUMMYFUNCTION("IF(ISBLANK(B243),"""",IFERROR(INDEX(GOOGLEFINANCE(B243,""price"",WORKDAY(TODAY(),-$Y$17)),2,2),""""))"),"")</f>
        <v/>
      </c>
      <c r="Z243" s="310" t="str">
        <f>IFERROR(__xludf.DUMMYFUNCTION("IF(ISBLANK(B243),"""",IFERROR(I243/(INDEX(GOOGLEFINANCE(B243,""price"",WORKDAY(TODAY(),-$Z$17)),2,2))-1,""""))"),"")</f>
        <v/>
      </c>
      <c r="AA243" s="312" t="str">
        <f>IFERROR(__xludf.DUMMYFUNCTION("IF(ISBLANK(B243),"""",IFERROR(IFERROR(""$""&amp;Trunc(GOOGLEFINANCE(B243,""Marketcap"")/1000000000)&amp;"" B"",""$""&amp;Trunc(IMPORTXML(""https://coinmarketcap.com/currencies/""&amp;B243,$AJ$4)/1000000000)&amp;"" B""),""-""))"),"")</f>
        <v/>
      </c>
      <c r="AB243" s="13" t="str">
        <f>IFERROR(__xludf.DUMMYFUNCTION("IF(ISBLANK(B243),"""",IFERROR(GOOGLEFINANCE(B243,""pe""),""-""))"),"")</f>
        <v/>
      </c>
      <c r="AC243" s="313" t="str">
        <f>IFERROR(__xludf.DUMMYFUNCTION("SPARKLINE(INDEX(GOOGLEFINANCE(B243,""price"",workday(today(),-$AC$17),today()),,2),{""charttype"",""column"";""color"",""green""})
"),"#N/A")</f>
        <v>#N/A</v>
      </c>
      <c r="AD243" s="313" t="str">
        <f>IFERROR(__xludf.DUMMYFUNCTION("IF(ISBLANK(B243),"""",IFERROR(INDEX(IMPORTXML(""https://eresearch.fidelity.com/eresearch/goto/evaluate/snapshot.jhtml?symbols=""&amp;B243&amp;"""",""//div[@class='sub-heading']//span[@class='right']""),1),""Enter Manually"")
)"),"")</f>
        <v/>
      </c>
      <c r="AE243" s="314" t="str">
        <f t="shared" si="10"/>
        <v>Info</v>
      </c>
      <c r="AF243" s="329"/>
      <c r="AG243" s="320"/>
      <c r="AH243" s="13"/>
      <c r="AI243" s="13"/>
      <c r="AJ243" s="13"/>
      <c r="AK243" s="13"/>
      <c r="AL243" s="13"/>
      <c r="AM243" s="13"/>
      <c r="AN243" s="13"/>
      <c r="AO243" s="13"/>
      <c r="AP243" s="13"/>
    </row>
    <row r="244" ht="18.75" customHeight="1">
      <c r="A244" s="13"/>
      <c r="B244" s="327"/>
      <c r="C244" s="306" t="str">
        <f>IFERROR(__xludf.DUMMYFUNCTION("GOOGLEFINANCE(B244,""name"")
"),"#N/A")</f>
        <v>#N/A</v>
      </c>
      <c r="D244" s="306"/>
      <c r="E244" s="328"/>
      <c r="F244" s="13" t="str">
        <f t="shared" si="1"/>
        <v/>
      </c>
      <c r="G244" s="309" t="str">
        <f>IFERROR(__xludf.DUMMYFUNCTION("IF(ISBLANK(B244),"""",IFERROR(SPARKLINE(INDEX(GOOGLEFINANCE(B244,""price"",TODAY()-$G$17,TODAY()),,2),{""charttype"",""column"";""color"",""17a7e0""}),""""))"),"")</f>
        <v/>
      </c>
      <c r="I244" s="309" t="str">
        <f>IFERROR(__xludf.DUMMYFUNCTION("IFERROR(IF(B244="""","""",GOOGLEFINANCE(B244)),IFERROR(GOOGLEFINANCE(""CURRENCY:""&amp;""USD""&amp;$D$15)*IMPORTXML(""https://coinmarketcap.com/currencies/""&amp;B244,$AJ$3),IMPORTXML(""https://coinmarketcap.com/currencies/""&amp;B244,$AJ$3)))"),"")</f>
        <v/>
      </c>
      <c r="J244" s="310" t="str">
        <f t="shared" si="2"/>
        <v/>
      </c>
      <c r="K244" s="310" t="str">
        <f>IFERROR(__xludf.DUMMYFUNCTION("IFERROR(IF(ISBLANK(B244),"""",GOOGLEFINANCE(B244,""changepct"")/100),"""")"),"")</f>
        <v/>
      </c>
      <c r="L244" s="310" t="str">
        <f>IFERROR(__xludf.DUMMYFUNCTION("IF(ISBLANK(B244),"""",IFERROR((GOOGLEFINANCE(B244,""price"")/INDEX(GOOGLEFINANCE(B244,""price"",DATEVALUE(TODAY()-365) ),2,2)-1),""""))"),"")</f>
        <v/>
      </c>
      <c r="M244" s="310" t="str">
        <f>IFERROR(__xludf.DUMMYFUNCTION("IF(ISBLANK(B244),"""",IFERROR((GOOGLEFINANCE($D$13,""price"")/INDEX(GOOGLEFINANCE($D$13,""price"",DATEVALUE(TODAY()-365) ),2,2)-1),""""))"),"")</f>
        <v/>
      </c>
      <c r="N244" s="310" t="str">
        <f t="shared" si="3"/>
        <v/>
      </c>
      <c r="O244" s="311" t="str">
        <f>IFERROR(__xludf.DUMMYFUNCTION("IFERROR(IF(ISBLANK(B244),"""",GOOGLEFINANCE(B244,""low52"")),"""")"),"")</f>
        <v/>
      </c>
      <c r="P244" s="310" t="str">
        <f t="shared" si="4"/>
        <v/>
      </c>
      <c r="Q244" s="311" t="str">
        <f>IFERROR(__xludf.DUMMYFUNCTION("IFERROR(IF(ISBLANK(B244),"""",GOOGLEFINANCE(B244,""high52"")),"""")"),"")</f>
        <v/>
      </c>
      <c r="R244" s="310" t="str">
        <f t="shared" si="5"/>
        <v/>
      </c>
      <c r="S244" s="13" t="str">
        <f t="shared" si="6"/>
        <v/>
      </c>
      <c r="U244" s="13" t="str">
        <f t="shared" si="7"/>
        <v/>
      </c>
      <c r="W244" s="13" t="str">
        <f t="shared" si="8"/>
        <v/>
      </c>
      <c r="X244" s="310" t="str">
        <f t="shared" si="9"/>
        <v/>
      </c>
      <c r="Y244" s="311" t="str">
        <f>IFERROR(__xludf.DUMMYFUNCTION("IF(ISBLANK(B244),"""",IFERROR(INDEX(GOOGLEFINANCE(B244,""price"",WORKDAY(TODAY(),-$Y$17)),2,2),""""))"),"")</f>
        <v/>
      </c>
      <c r="Z244" s="310" t="str">
        <f>IFERROR(__xludf.DUMMYFUNCTION("IF(ISBLANK(B244),"""",IFERROR(I244/(INDEX(GOOGLEFINANCE(B244,""price"",WORKDAY(TODAY(),-$Z$17)),2,2))-1,""""))"),"")</f>
        <v/>
      </c>
      <c r="AA244" s="312" t="str">
        <f>IFERROR(__xludf.DUMMYFUNCTION("IF(ISBLANK(B244),"""",IFERROR(IFERROR(""$""&amp;Trunc(GOOGLEFINANCE(B244,""Marketcap"")/1000000000)&amp;"" B"",""$""&amp;Trunc(IMPORTXML(""https://coinmarketcap.com/currencies/""&amp;B244,$AJ$4)/1000000000)&amp;"" B""),""-""))"),"")</f>
        <v/>
      </c>
      <c r="AB244" s="13" t="str">
        <f>IFERROR(__xludf.DUMMYFUNCTION("IF(ISBLANK(B244),"""",IFERROR(GOOGLEFINANCE(B244,""pe""),""-""))"),"")</f>
        <v/>
      </c>
      <c r="AC244" s="313" t="str">
        <f>IFERROR(__xludf.DUMMYFUNCTION("SPARKLINE(INDEX(GOOGLEFINANCE(B244,""price"",workday(today(),-$AC$17),today()),,2),{""charttype"",""column"";""color"",""green""})
"),"#N/A")</f>
        <v>#N/A</v>
      </c>
      <c r="AD244" s="313" t="str">
        <f>IFERROR(__xludf.DUMMYFUNCTION("IF(ISBLANK(B244),"""",IFERROR(INDEX(IMPORTXML(""https://eresearch.fidelity.com/eresearch/goto/evaluate/snapshot.jhtml?symbols=""&amp;B244&amp;"""",""//div[@class='sub-heading']//span[@class='right']""),1),""Enter Manually"")
)"),"")</f>
        <v/>
      </c>
      <c r="AE244" s="314" t="str">
        <f t="shared" si="10"/>
        <v>Info</v>
      </c>
      <c r="AF244" s="329"/>
      <c r="AG244" s="320"/>
      <c r="AH244" s="13"/>
      <c r="AI244" s="13"/>
      <c r="AJ244" s="13"/>
      <c r="AK244" s="13"/>
      <c r="AL244" s="13"/>
      <c r="AM244" s="13"/>
      <c r="AN244" s="13"/>
      <c r="AO244" s="13"/>
      <c r="AP244" s="13"/>
    </row>
    <row r="245" ht="18.75" customHeight="1">
      <c r="A245" s="13"/>
      <c r="B245" s="327"/>
      <c r="C245" s="306" t="str">
        <f>IFERROR(__xludf.DUMMYFUNCTION("GOOGLEFINANCE(B245,""name"")
"),"#N/A")</f>
        <v>#N/A</v>
      </c>
      <c r="D245" s="306"/>
      <c r="E245" s="328"/>
      <c r="F245" s="13" t="str">
        <f t="shared" si="1"/>
        <v/>
      </c>
      <c r="G245" s="309" t="str">
        <f>IFERROR(__xludf.DUMMYFUNCTION("IF(ISBLANK(B245),"""",IFERROR(SPARKLINE(INDEX(GOOGLEFINANCE(B245,""price"",TODAY()-$G$17,TODAY()),,2),{""charttype"",""column"";""color"",""17a7e0""}),""""))"),"")</f>
        <v/>
      </c>
      <c r="I245" s="309" t="str">
        <f>IFERROR(__xludf.DUMMYFUNCTION("IFERROR(IF(B245="""","""",GOOGLEFINANCE(B245)),IFERROR(GOOGLEFINANCE(""CURRENCY:""&amp;""USD""&amp;$D$15)*IMPORTXML(""https://coinmarketcap.com/currencies/""&amp;B245,$AJ$3),IMPORTXML(""https://coinmarketcap.com/currencies/""&amp;B245,$AJ$3)))"),"")</f>
        <v/>
      </c>
      <c r="J245" s="310" t="str">
        <f t="shared" si="2"/>
        <v/>
      </c>
      <c r="K245" s="310" t="str">
        <f>IFERROR(__xludf.DUMMYFUNCTION("IFERROR(IF(ISBLANK(B245),"""",GOOGLEFINANCE(B245,""changepct"")/100),"""")"),"")</f>
        <v/>
      </c>
      <c r="L245" s="310" t="str">
        <f>IFERROR(__xludf.DUMMYFUNCTION("IF(ISBLANK(B245),"""",IFERROR((GOOGLEFINANCE(B245,""price"")/INDEX(GOOGLEFINANCE(B245,""price"",DATEVALUE(TODAY()-365) ),2,2)-1),""""))"),"")</f>
        <v/>
      </c>
      <c r="M245" s="310" t="str">
        <f>IFERROR(__xludf.DUMMYFUNCTION("IF(ISBLANK(B245),"""",IFERROR((GOOGLEFINANCE($D$13,""price"")/INDEX(GOOGLEFINANCE($D$13,""price"",DATEVALUE(TODAY()-365) ),2,2)-1),""""))"),"")</f>
        <v/>
      </c>
      <c r="N245" s="310" t="str">
        <f t="shared" si="3"/>
        <v/>
      </c>
      <c r="O245" s="311" t="str">
        <f>IFERROR(__xludf.DUMMYFUNCTION("IFERROR(IF(ISBLANK(B245),"""",GOOGLEFINANCE(B245,""low52"")),"""")"),"")</f>
        <v/>
      </c>
      <c r="P245" s="310" t="str">
        <f t="shared" si="4"/>
        <v/>
      </c>
      <c r="Q245" s="311" t="str">
        <f>IFERROR(__xludf.DUMMYFUNCTION("IFERROR(IF(ISBLANK(B245),"""",GOOGLEFINANCE(B245,""high52"")),"""")"),"")</f>
        <v/>
      </c>
      <c r="R245" s="310" t="str">
        <f t="shared" si="5"/>
        <v/>
      </c>
      <c r="S245" s="13" t="str">
        <f t="shared" si="6"/>
        <v/>
      </c>
      <c r="U245" s="13" t="str">
        <f t="shared" si="7"/>
        <v/>
      </c>
      <c r="W245" s="13" t="str">
        <f t="shared" si="8"/>
        <v/>
      </c>
      <c r="X245" s="310" t="str">
        <f t="shared" si="9"/>
        <v/>
      </c>
      <c r="Y245" s="311" t="str">
        <f>IFERROR(__xludf.DUMMYFUNCTION("IF(ISBLANK(B245),"""",IFERROR(INDEX(GOOGLEFINANCE(B245,""price"",WORKDAY(TODAY(),-$Y$17)),2,2),""""))"),"")</f>
        <v/>
      </c>
      <c r="Z245" s="310" t="str">
        <f>IFERROR(__xludf.DUMMYFUNCTION("IF(ISBLANK(B245),"""",IFERROR(I245/(INDEX(GOOGLEFINANCE(B245,""price"",WORKDAY(TODAY(),-$Z$17)),2,2))-1,""""))"),"")</f>
        <v/>
      </c>
      <c r="AA245" s="312" t="str">
        <f>IFERROR(__xludf.DUMMYFUNCTION("IF(ISBLANK(B245),"""",IFERROR(IFERROR(""$""&amp;Trunc(GOOGLEFINANCE(B245,""Marketcap"")/1000000000)&amp;"" B"",""$""&amp;Trunc(IMPORTXML(""https://coinmarketcap.com/currencies/""&amp;B245,$AJ$4)/1000000000)&amp;"" B""),""-""))"),"")</f>
        <v/>
      </c>
      <c r="AB245" s="13" t="str">
        <f>IFERROR(__xludf.DUMMYFUNCTION("IF(ISBLANK(B245),"""",IFERROR(GOOGLEFINANCE(B245,""pe""),""-""))"),"")</f>
        <v/>
      </c>
      <c r="AC245" s="313" t="str">
        <f>IFERROR(__xludf.DUMMYFUNCTION("SPARKLINE(INDEX(GOOGLEFINANCE(B245,""price"",workday(today(),-$AC$17),today()),,2),{""charttype"",""column"";""color"",""green""})
"),"#N/A")</f>
        <v>#N/A</v>
      </c>
      <c r="AD245" s="313" t="str">
        <f>IFERROR(__xludf.DUMMYFUNCTION("IF(ISBLANK(B245),"""",IFERROR(INDEX(IMPORTXML(""https://eresearch.fidelity.com/eresearch/goto/evaluate/snapshot.jhtml?symbols=""&amp;B245&amp;"""",""//div[@class='sub-heading']//span[@class='right']""),1),""Enter Manually"")
)"),"")</f>
        <v/>
      </c>
      <c r="AE245" s="314" t="str">
        <f t="shared" si="10"/>
        <v>Info</v>
      </c>
      <c r="AF245" s="329"/>
      <c r="AG245" s="320"/>
      <c r="AH245" s="13"/>
      <c r="AI245" s="13"/>
      <c r="AJ245" s="13"/>
      <c r="AK245" s="13"/>
      <c r="AL245" s="13"/>
      <c r="AM245" s="13"/>
      <c r="AN245" s="13"/>
      <c r="AO245" s="13"/>
      <c r="AP245" s="13"/>
    </row>
    <row r="246" ht="18.75" customHeight="1">
      <c r="A246" s="13"/>
      <c r="B246" s="327"/>
      <c r="C246" s="306" t="str">
        <f>IFERROR(__xludf.DUMMYFUNCTION("GOOGLEFINANCE(B246,""name"")
"),"#N/A")</f>
        <v>#N/A</v>
      </c>
      <c r="D246" s="306"/>
      <c r="E246" s="328"/>
      <c r="F246" s="13" t="str">
        <f t="shared" si="1"/>
        <v/>
      </c>
      <c r="G246" s="309" t="str">
        <f>IFERROR(__xludf.DUMMYFUNCTION("IF(ISBLANK(B246),"""",IFERROR(SPARKLINE(INDEX(GOOGLEFINANCE(B246,""price"",TODAY()-$G$17,TODAY()),,2),{""charttype"",""column"";""color"",""17a7e0""}),""""))"),"")</f>
        <v/>
      </c>
      <c r="I246" s="309" t="str">
        <f>IFERROR(__xludf.DUMMYFUNCTION("IFERROR(IF(B246="""","""",GOOGLEFINANCE(B246)),IFERROR(GOOGLEFINANCE(""CURRENCY:""&amp;""USD""&amp;$D$15)*IMPORTXML(""https://coinmarketcap.com/currencies/""&amp;B246,$AJ$3),IMPORTXML(""https://coinmarketcap.com/currencies/""&amp;B246,$AJ$3)))"),"")</f>
        <v/>
      </c>
      <c r="J246" s="310" t="str">
        <f t="shared" si="2"/>
        <v/>
      </c>
      <c r="K246" s="310" t="str">
        <f>IFERROR(__xludf.DUMMYFUNCTION("IFERROR(IF(ISBLANK(B246),"""",GOOGLEFINANCE(B246,""changepct"")/100),"""")"),"")</f>
        <v/>
      </c>
      <c r="L246" s="310" t="str">
        <f>IFERROR(__xludf.DUMMYFUNCTION("IF(ISBLANK(B246),"""",IFERROR((GOOGLEFINANCE(B246,""price"")/INDEX(GOOGLEFINANCE(B246,""price"",DATEVALUE(TODAY()-365) ),2,2)-1),""""))"),"")</f>
        <v/>
      </c>
      <c r="M246" s="310" t="str">
        <f>IFERROR(__xludf.DUMMYFUNCTION("IF(ISBLANK(B246),"""",IFERROR((GOOGLEFINANCE($D$13,""price"")/INDEX(GOOGLEFINANCE($D$13,""price"",DATEVALUE(TODAY()-365) ),2,2)-1),""""))"),"")</f>
        <v/>
      </c>
      <c r="N246" s="310" t="str">
        <f t="shared" si="3"/>
        <v/>
      </c>
      <c r="O246" s="311" t="str">
        <f>IFERROR(__xludf.DUMMYFUNCTION("IFERROR(IF(ISBLANK(B246),"""",GOOGLEFINANCE(B246,""low52"")),"""")"),"")</f>
        <v/>
      </c>
      <c r="P246" s="310" t="str">
        <f t="shared" si="4"/>
        <v/>
      </c>
      <c r="Q246" s="311" t="str">
        <f>IFERROR(__xludf.DUMMYFUNCTION("IFERROR(IF(ISBLANK(B246),"""",GOOGLEFINANCE(B246,""high52"")),"""")"),"")</f>
        <v/>
      </c>
      <c r="R246" s="310" t="str">
        <f t="shared" si="5"/>
        <v/>
      </c>
      <c r="S246" s="13" t="str">
        <f t="shared" si="6"/>
        <v/>
      </c>
      <c r="U246" s="13" t="str">
        <f t="shared" si="7"/>
        <v/>
      </c>
      <c r="W246" s="13" t="str">
        <f t="shared" si="8"/>
        <v/>
      </c>
      <c r="X246" s="310" t="str">
        <f t="shared" si="9"/>
        <v/>
      </c>
      <c r="Y246" s="311" t="str">
        <f>IFERROR(__xludf.DUMMYFUNCTION("IF(ISBLANK(B246),"""",IFERROR(INDEX(GOOGLEFINANCE(B246,""price"",WORKDAY(TODAY(),-$Y$17)),2,2),""""))"),"")</f>
        <v/>
      </c>
      <c r="Z246" s="310" t="str">
        <f>IFERROR(__xludf.DUMMYFUNCTION("IF(ISBLANK(B246),"""",IFERROR(I246/(INDEX(GOOGLEFINANCE(B246,""price"",WORKDAY(TODAY(),-$Z$17)),2,2))-1,""""))"),"")</f>
        <v/>
      </c>
      <c r="AA246" s="312" t="str">
        <f>IFERROR(__xludf.DUMMYFUNCTION("IF(ISBLANK(B246),"""",IFERROR(IFERROR(""$""&amp;Trunc(GOOGLEFINANCE(B246,""Marketcap"")/1000000000)&amp;"" B"",""$""&amp;Trunc(IMPORTXML(""https://coinmarketcap.com/currencies/""&amp;B246,$AJ$4)/1000000000)&amp;"" B""),""-""))"),"")</f>
        <v/>
      </c>
      <c r="AB246" s="13" t="str">
        <f>IFERROR(__xludf.DUMMYFUNCTION("IF(ISBLANK(B246),"""",IFERROR(GOOGLEFINANCE(B246,""pe""),""-""))"),"")</f>
        <v/>
      </c>
      <c r="AC246" s="313" t="str">
        <f>IFERROR(__xludf.DUMMYFUNCTION("SPARKLINE(INDEX(GOOGLEFINANCE(B246,""price"",workday(today(),-$AC$17),today()),,2),{""charttype"",""column"";""color"",""green""})
"),"#N/A")</f>
        <v>#N/A</v>
      </c>
      <c r="AD246" s="313" t="str">
        <f>IFERROR(__xludf.DUMMYFUNCTION("IF(ISBLANK(B246),"""",IFERROR(INDEX(IMPORTXML(""https://eresearch.fidelity.com/eresearch/goto/evaluate/snapshot.jhtml?symbols=""&amp;B246&amp;"""",""//div[@class='sub-heading']//span[@class='right']""),1),""Enter Manually"")
)"),"")</f>
        <v/>
      </c>
      <c r="AE246" s="314" t="str">
        <f t="shared" si="10"/>
        <v>Info</v>
      </c>
      <c r="AF246" s="329"/>
      <c r="AG246" s="320"/>
      <c r="AH246" s="13"/>
      <c r="AI246" s="13"/>
      <c r="AJ246" s="13"/>
      <c r="AK246" s="13"/>
      <c r="AL246" s="13"/>
      <c r="AM246" s="13"/>
      <c r="AN246" s="13"/>
      <c r="AO246" s="13"/>
      <c r="AP246" s="13"/>
    </row>
    <row r="247" ht="18.75" customHeight="1">
      <c r="A247" s="13"/>
      <c r="B247" s="327"/>
      <c r="C247" s="306" t="str">
        <f>IFERROR(__xludf.DUMMYFUNCTION("GOOGLEFINANCE(B247,""name"")
"),"#N/A")</f>
        <v>#N/A</v>
      </c>
      <c r="D247" s="306"/>
      <c r="E247" s="328"/>
      <c r="F247" s="13" t="str">
        <f t="shared" si="1"/>
        <v/>
      </c>
      <c r="G247" s="309" t="str">
        <f>IFERROR(__xludf.DUMMYFUNCTION("IF(ISBLANK(B247),"""",IFERROR(SPARKLINE(INDEX(GOOGLEFINANCE(B247,""price"",TODAY()-$G$17,TODAY()),,2),{""charttype"",""column"";""color"",""17a7e0""}),""""))"),"")</f>
        <v/>
      </c>
      <c r="I247" s="309" t="str">
        <f>IFERROR(__xludf.DUMMYFUNCTION("IFERROR(IF(B247="""","""",GOOGLEFINANCE(B247)),IFERROR(GOOGLEFINANCE(""CURRENCY:""&amp;""USD""&amp;$D$15)*IMPORTXML(""https://coinmarketcap.com/currencies/""&amp;B247,$AJ$3),IMPORTXML(""https://coinmarketcap.com/currencies/""&amp;B247,$AJ$3)))"),"")</f>
        <v/>
      </c>
      <c r="J247" s="310" t="str">
        <f t="shared" si="2"/>
        <v/>
      </c>
      <c r="K247" s="310" t="str">
        <f>IFERROR(__xludf.DUMMYFUNCTION("IFERROR(IF(ISBLANK(B247),"""",GOOGLEFINANCE(B247,""changepct"")/100),"""")"),"")</f>
        <v/>
      </c>
      <c r="L247" s="310" t="str">
        <f>IFERROR(__xludf.DUMMYFUNCTION("IF(ISBLANK(B247),"""",IFERROR((GOOGLEFINANCE(B247,""price"")/INDEX(GOOGLEFINANCE(B247,""price"",DATEVALUE(TODAY()-365) ),2,2)-1),""""))"),"")</f>
        <v/>
      </c>
      <c r="M247" s="310" t="str">
        <f>IFERROR(__xludf.DUMMYFUNCTION("IF(ISBLANK(B247),"""",IFERROR((GOOGLEFINANCE($D$13,""price"")/INDEX(GOOGLEFINANCE($D$13,""price"",DATEVALUE(TODAY()-365) ),2,2)-1),""""))"),"")</f>
        <v/>
      </c>
      <c r="N247" s="310" t="str">
        <f t="shared" si="3"/>
        <v/>
      </c>
      <c r="O247" s="311" t="str">
        <f>IFERROR(__xludf.DUMMYFUNCTION("IFERROR(IF(ISBLANK(B247),"""",GOOGLEFINANCE(B247,""low52"")),"""")"),"")</f>
        <v/>
      </c>
      <c r="P247" s="310" t="str">
        <f t="shared" si="4"/>
        <v/>
      </c>
      <c r="Q247" s="311" t="str">
        <f>IFERROR(__xludf.DUMMYFUNCTION("IFERROR(IF(ISBLANK(B247),"""",GOOGLEFINANCE(B247,""high52"")),"""")"),"")</f>
        <v/>
      </c>
      <c r="R247" s="310" t="str">
        <f t="shared" si="5"/>
        <v/>
      </c>
      <c r="S247" s="13" t="str">
        <f t="shared" si="6"/>
        <v/>
      </c>
      <c r="U247" s="13" t="str">
        <f t="shared" si="7"/>
        <v/>
      </c>
      <c r="W247" s="13" t="str">
        <f t="shared" si="8"/>
        <v/>
      </c>
      <c r="X247" s="310" t="str">
        <f t="shared" si="9"/>
        <v/>
      </c>
      <c r="Y247" s="311" t="str">
        <f>IFERROR(__xludf.DUMMYFUNCTION("IF(ISBLANK(B247),"""",IFERROR(INDEX(GOOGLEFINANCE(B247,""price"",WORKDAY(TODAY(),-$Y$17)),2,2),""""))"),"")</f>
        <v/>
      </c>
      <c r="Z247" s="310" t="str">
        <f>IFERROR(__xludf.DUMMYFUNCTION("IF(ISBLANK(B247),"""",IFERROR(I247/(INDEX(GOOGLEFINANCE(B247,""price"",WORKDAY(TODAY(),-$Z$17)),2,2))-1,""""))"),"")</f>
        <v/>
      </c>
      <c r="AA247" s="312" t="str">
        <f>IFERROR(__xludf.DUMMYFUNCTION("IF(ISBLANK(B247),"""",IFERROR(IFERROR(""$""&amp;Trunc(GOOGLEFINANCE(B247,""Marketcap"")/1000000000)&amp;"" B"",""$""&amp;Trunc(IMPORTXML(""https://coinmarketcap.com/currencies/""&amp;B247,$AJ$4)/1000000000)&amp;"" B""),""-""))"),"")</f>
        <v/>
      </c>
      <c r="AB247" s="13" t="str">
        <f>IFERROR(__xludf.DUMMYFUNCTION("IF(ISBLANK(B247),"""",IFERROR(GOOGLEFINANCE(B247,""pe""),""-""))"),"")</f>
        <v/>
      </c>
      <c r="AC247" s="313" t="str">
        <f>IFERROR(__xludf.DUMMYFUNCTION("SPARKLINE(INDEX(GOOGLEFINANCE(B247,""price"",workday(today(),-$AC$17),today()),,2),{""charttype"",""column"";""color"",""green""})
"),"#N/A")</f>
        <v>#N/A</v>
      </c>
      <c r="AD247" s="313" t="str">
        <f>IFERROR(__xludf.DUMMYFUNCTION("IF(ISBLANK(B247),"""",IFERROR(INDEX(IMPORTXML(""https://eresearch.fidelity.com/eresearch/goto/evaluate/snapshot.jhtml?symbols=""&amp;B247&amp;"""",""//div[@class='sub-heading']//span[@class='right']""),1),""Enter Manually"")
)"),"")</f>
        <v/>
      </c>
      <c r="AE247" s="314" t="str">
        <f t="shared" si="10"/>
        <v>Info</v>
      </c>
      <c r="AF247" s="329"/>
      <c r="AG247" s="320"/>
      <c r="AH247" s="13"/>
      <c r="AI247" s="13"/>
      <c r="AJ247" s="13"/>
      <c r="AK247" s="13"/>
      <c r="AL247" s="13"/>
      <c r="AM247" s="13"/>
      <c r="AN247" s="13"/>
      <c r="AO247" s="13"/>
      <c r="AP247" s="13"/>
    </row>
    <row r="248" ht="18.75" customHeight="1">
      <c r="A248" s="13"/>
      <c r="B248" s="327"/>
      <c r="C248" s="306" t="str">
        <f>IFERROR(__xludf.DUMMYFUNCTION("GOOGLEFINANCE(B248,""name"")
"),"#N/A")</f>
        <v>#N/A</v>
      </c>
      <c r="D248" s="306"/>
      <c r="E248" s="328"/>
      <c r="F248" s="13" t="str">
        <f t="shared" si="1"/>
        <v/>
      </c>
      <c r="G248" s="309" t="str">
        <f>IFERROR(__xludf.DUMMYFUNCTION("IF(ISBLANK(B248),"""",IFERROR(SPARKLINE(INDEX(GOOGLEFINANCE(B248,""price"",TODAY()-$G$17,TODAY()),,2),{""charttype"",""column"";""color"",""17a7e0""}),""""))"),"")</f>
        <v/>
      </c>
      <c r="I248" s="309" t="str">
        <f>IFERROR(__xludf.DUMMYFUNCTION("IFERROR(IF(B248="""","""",GOOGLEFINANCE(B248)),IFERROR(GOOGLEFINANCE(""CURRENCY:""&amp;""USD""&amp;$D$15)*IMPORTXML(""https://coinmarketcap.com/currencies/""&amp;B248,$AJ$3),IMPORTXML(""https://coinmarketcap.com/currencies/""&amp;B248,$AJ$3)))"),"")</f>
        <v/>
      </c>
      <c r="J248" s="310" t="str">
        <f t="shared" si="2"/>
        <v/>
      </c>
      <c r="K248" s="310" t="str">
        <f>IFERROR(__xludf.DUMMYFUNCTION("IFERROR(IF(ISBLANK(B248),"""",GOOGLEFINANCE(B248,""changepct"")/100),"""")"),"")</f>
        <v/>
      </c>
      <c r="L248" s="310" t="str">
        <f>IFERROR(__xludf.DUMMYFUNCTION("IF(ISBLANK(B248),"""",IFERROR((GOOGLEFINANCE(B248,""price"")/INDEX(GOOGLEFINANCE(B248,""price"",DATEVALUE(TODAY()-365) ),2,2)-1),""""))"),"")</f>
        <v/>
      </c>
      <c r="M248" s="310" t="str">
        <f>IFERROR(__xludf.DUMMYFUNCTION("IF(ISBLANK(B248),"""",IFERROR((GOOGLEFINANCE($D$13,""price"")/INDEX(GOOGLEFINANCE($D$13,""price"",DATEVALUE(TODAY()-365) ),2,2)-1),""""))"),"")</f>
        <v/>
      </c>
      <c r="N248" s="310" t="str">
        <f t="shared" si="3"/>
        <v/>
      </c>
      <c r="O248" s="311" t="str">
        <f>IFERROR(__xludf.DUMMYFUNCTION("IFERROR(IF(ISBLANK(B248),"""",GOOGLEFINANCE(B248,""low52"")),"""")"),"")</f>
        <v/>
      </c>
      <c r="P248" s="310" t="str">
        <f t="shared" si="4"/>
        <v/>
      </c>
      <c r="Q248" s="311" t="str">
        <f>IFERROR(__xludf.DUMMYFUNCTION("IFERROR(IF(ISBLANK(B248),"""",GOOGLEFINANCE(B248,""high52"")),"""")"),"")</f>
        <v/>
      </c>
      <c r="R248" s="310" t="str">
        <f t="shared" si="5"/>
        <v/>
      </c>
      <c r="S248" s="13" t="str">
        <f t="shared" si="6"/>
        <v/>
      </c>
      <c r="U248" s="13" t="str">
        <f t="shared" si="7"/>
        <v/>
      </c>
      <c r="W248" s="13" t="str">
        <f t="shared" si="8"/>
        <v/>
      </c>
      <c r="X248" s="310" t="str">
        <f t="shared" si="9"/>
        <v/>
      </c>
      <c r="Y248" s="311" t="str">
        <f>IFERROR(__xludf.DUMMYFUNCTION("IF(ISBLANK(B248),"""",IFERROR(INDEX(GOOGLEFINANCE(B248,""price"",WORKDAY(TODAY(),-$Y$17)),2,2),""""))"),"")</f>
        <v/>
      </c>
      <c r="Z248" s="310" t="str">
        <f>IFERROR(__xludf.DUMMYFUNCTION("IF(ISBLANK(B248),"""",IFERROR(I248/(INDEX(GOOGLEFINANCE(B248,""price"",WORKDAY(TODAY(),-$Z$17)),2,2))-1,""""))"),"")</f>
        <v/>
      </c>
      <c r="AA248" s="312" t="str">
        <f>IFERROR(__xludf.DUMMYFUNCTION("IF(ISBLANK(B248),"""",IFERROR(IFERROR(""$""&amp;Trunc(GOOGLEFINANCE(B248,""Marketcap"")/1000000000)&amp;"" B"",""$""&amp;Trunc(IMPORTXML(""https://coinmarketcap.com/currencies/""&amp;B248,$AJ$4)/1000000000)&amp;"" B""),""-""))"),"")</f>
        <v/>
      </c>
      <c r="AB248" s="13" t="str">
        <f>IFERROR(__xludf.DUMMYFUNCTION("IF(ISBLANK(B248),"""",IFERROR(GOOGLEFINANCE(B248,""pe""),""-""))"),"")</f>
        <v/>
      </c>
      <c r="AC248" s="313" t="str">
        <f>IFERROR(__xludf.DUMMYFUNCTION("SPARKLINE(INDEX(GOOGLEFINANCE(B248,""price"",workday(today(),-$AC$17),today()),,2),{""charttype"",""column"";""color"",""green""})
"),"#N/A")</f>
        <v>#N/A</v>
      </c>
      <c r="AD248" s="313" t="str">
        <f>IFERROR(__xludf.DUMMYFUNCTION("IF(ISBLANK(B248),"""",IFERROR(INDEX(IMPORTXML(""https://eresearch.fidelity.com/eresearch/goto/evaluate/snapshot.jhtml?symbols=""&amp;B248&amp;"""",""//div[@class='sub-heading']//span[@class='right']""),1),""Enter Manually"")
)"),"")</f>
        <v/>
      </c>
      <c r="AE248" s="314" t="str">
        <f t="shared" si="10"/>
        <v>Info</v>
      </c>
      <c r="AF248" s="329"/>
      <c r="AG248" s="320"/>
      <c r="AH248" s="13"/>
      <c r="AI248" s="13"/>
      <c r="AJ248" s="13"/>
      <c r="AK248" s="13"/>
      <c r="AL248" s="13"/>
      <c r="AM248" s="13"/>
      <c r="AN248" s="13"/>
      <c r="AO248" s="13"/>
      <c r="AP248" s="13"/>
    </row>
    <row r="249" ht="18.75" customHeight="1">
      <c r="A249" s="13"/>
      <c r="B249" s="327"/>
      <c r="C249" s="306" t="str">
        <f>IFERROR(__xludf.DUMMYFUNCTION("GOOGLEFINANCE(B249,""name"")
"),"#N/A")</f>
        <v>#N/A</v>
      </c>
      <c r="D249" s="306"/>
      <c r="E249" s="328"/>
      <c r="F249" s="13" t="str">
        <f t="shared" si="1"/>
        <v/>
      </c>
      <c r="G249" s="309" t="str">
        <f>IFERROR(__xludf.DUMMYFUNCTION("IF(ISBLANK(B249),"""",IFERROR(SPARKLINE(INDEX(GOOGLEFINANCE(B249,""price"",TODAY()-$G$17,TODAY()),,2),{""charttype"",""column"";""color"",""17a7e0""}),""""))"),"")</f>
        <v/>
      </c>
      <c r="I249" s="309" t="str">
        <f>IFERROR(__xludf.DUMMYFUNCTION("IFERROR(IF(B249="""","""",GOOGLEFINANCE(B249)),IFERROR(GOOGLEFINANCE(""CURRENCY:""&amp;""USD""&amp;$D$15)*IMPORTXML(""https://coinmarketcap.com/currencies/""&amp;B249,$AJ$3),IMPORTXML(""https://coinmarketcap.com/currencies/""&amp;B249,$AJ$3)))"),"")</f>
        <v/>
      </c>
      <c r="J249" s="310" t="str">
        <f t="shared" si="2"/>
        <v/>
      </c>
      <c r="K249" s="310" t="str">
        <f>IFERROR(__xludf.DUMMYFUNCTION("IFERROR(IF(ISBLANK(B249),"""",GOOGLEFINANCE(B249,""changepct"")/100),"""")"),"")</f>
        <v/>
      </c>
      <c r="L249" s="310" t="str">
        <f>IFERROR(__xludf.DUMMYFUNCTION("IF(ISBLANK(B249),"""",IFERROR((GOOGLEFINANCE(B249,""price"")/INDEX(GOOGLEFINANCE(B249,""price"",DATEVALUE(TODAY()-365) ),2,2)-1),""""))"),"")</f>
        <v/>
      </c>
      <c r="M249" s="310" t="str">
        <f>IFERROR(__xludf.DUMMYFUNCTION("IF(ISBLANK(B249),"""",IFERROR((GOOGLEFINANCE($D$13,""price"")/INDEX(GOOGLEFINANCE($D$13,""price"",DATEVALUE(TODAY()-365) ),2,2)-1),""""))"),"")</f>
        <v/>
      </c>
      <c r="N249" s="310" t="str">
        <f t="shared" si="3"/>
        <v/>
      </c>
      <c r="O249" s="311" t="str">
        <f>IFERROR(__xludf.DUMMYFUNCTION("IFERROR(IF(ISBLANK(B249),"""",GOOGLEFINANCE(B249,""low52"")),"""")"),"")</f>
        <v/>
      </c>
      <c r="P249" s="310" t="str">
        <f t="shared" si="4"/>
        <v/>
      </c>
      <c r="Q249" s="311" t="str">
        <f>IFERROR(__xludf.DUMMYFUNCTION("IFERROR(IF(ISBLANK(B249),"""",GOOGLEFINANCE(B249,""high52"")),"""")"),"")</f>
        <v/>
      </c>
      <c r="R249" s="310" t="str">
        <f t="shared" si="5"/>
        <v/>
      </c>
      <c r="S249" s="13" t="str">
        <f t="shared" si="6"/>
        <v/>
      </c>
      <c r="U249" s="13" t="str">
        <f t="shared" si="7"/>
        <v/>
      </c>
      <c r="W249" s="13" t="str">
        <f t="shared" si="8"/>
        <v/>
      </c>
      <c r="X249" s="310" t="str">
        <f t="shared" si="9"/>
        <v/>
      </c>
      <c r="Y249" s="311" t="str">
        <f>IFERROR(__xludf.DUMMYFUNCTION("IF(ISBLANK(B249),"""",IFERROR(INDEX(GOOGLEFINANCE(B249,""price"",WORKDAY(TODAY(),-$Y$17)),2,2),""""))"),"")</f>
        <v/>
      </c>
      <c r="Z249" s="310" t="str">
        <f>IFERROR(__xludf.DUMMYFUNCTION("IF(ISBLANK(B249),"""",IFERROR(I249/(INDEX(GOOGLEFINANCE(B249,""price"",WORKDAY(TODAY(),-$Z$17)),2,2))-1,""""))"),"")</f>
        <v/>
      </c>
      <c r="AA249" s="312" t="str">
        <f>IFERROR(__xludf.DUMMYFUNCTION("IF(ISBLANK(B249),"""",IFERROR(IFERROR(""$""&amp;Trunc(GOOGLEFINANCE(B249,""Marketcap"")/1000000000)&amp;"" B"",""$""&amp;Trunc(IMPORTXML(""https://coinmarketcap.com/currencies/""&amp;B249,$AJ$4)/1000000000)&amp;"" B""),""-""))"),"")</f>
        <v/>
      </c>
      <c r="AB249" s="13" t="str">
        <f>IFERROR(__xludf.DUMMYFUNCTION("IF(ISBLANK(B249),"""",IFERROR(GOOGLEFINANCE(B249,""pe""),""-""))"),"")</f>
        <v/>
      </c>
      <c r="AC249" s="313" t="str">
        <f>IFERROR(__xludf.DUMMYFUNCTION("SPARKLINE(INDEX(GOOGLEFINANCE(B249,""price"",workday(today(),-$AC$17),today()),,2),{""charttype"",""column"";""color"",""green""})
"),"#N/A")</f>
        <v>#N/A</v>
      </c>
      <c r="AD249" s="313" t="str">
        <f>IFERROR(__xludf.DUMMYFUNCTION("IF(ISBLANK(B249),"""",IFERROR(INDEX(IMPORTXML(""https://eresearch.fidelity.com/eresearch/goto/evaluate/snapshot.jhtml?symbols=""&amp;B249&amp;"""",""//div[@class='sub-heading']//span[@class='right']""),1),""Enter Manually"")
)"),"")</f>
        <v/>
      </c>
      <c r="AE249" s="314" t="str">
        <f t="shared" si="10"/>
        <v>Info</v>
      </c>
      <c r="AF249" s="329"/>
      <c r="AG249" s="320"/>
      <c r="AH249" s="13"/>
      <c r="AI249" s="13"/>
      <c r="AJ249" s="13"/>
      <c r="AK249" s="13"/>
      <c r="AL249" s="13"/>
      <c r="AM249" s="13"/>
      <c r="AN249" s="13"/>
      <c r="AO249" s="13"/>
      <c r="AP249" s="13"/>
    </row>
    <row r="250" ht="18.75" customHeight="1">
      <c r="A250" s="13"/>
      <c r="B250" s="327"/>
      <c r="C250" s="306" t="str">
        <f>IFERROR(__xludf.DUMMYFUNCTION("GOOGLEFINANCE(B250,""name"")
"),"#N/A")</f>
        <v>#N/A</v>
      </c>
      <c r="D250" s="306"/>
      <c r="E250" s="328"/>
      <c r="F250" s="13" t="str">
        <f t="shared" si="1"/>
        <v/>
      </c>
      <c r="G250" s="309" t="str">
        <f>IFERROR(__xludf.DUMMYFUNCTION("IF(ISBLANK(B250),"""",IFERROR(SPARKLINE(INDEX(GOOGLEFINANCE(B250,""price"",TODAY()-$G$17,TODAY()),,2),{""charttype"",""column"";""color"",""17a7e0""}),""""))"),"")</f>
        <v/>
      </c>
      <c r="I250" s="309" t="str">
        <f>IFERROR(__xludf.DUMMYFUNCTION("IFERROR(IF(B250="""","""",GOOGLEFINANCE(B250)),IFERROR(GOOGLEFINANCE(""CURRENCY:""&amp;""USD""&amp;$D$15)*IMPORTXML(""https://coinmarketcap.com/currencies/""&amp;B250,$AJ$3),IMPORTXML(""https://coinmarketcap.com/currencies/""&amp;B250,$AJ$3)))"),"")</f>
        <v/>
      </c>
      <c r="J250" s="310" t="str">
        <f t="shared" si="2"/>
        <v/>
      </c>
      <c r="K250" s="310" t="str">
        <f>IFERROR(__xludf.DUMMYFUNCTION("IFERROR(IF(ISBLANK(B250),"""",GOOGLEFINANCE(B250,""changepct"")/100),"""")"),"")</f>
        <v/>
      </c>
      <c r="L250" s="310" t="str">
        <f>IFERROR(__xludf.DUMMYFUNCTION("IF(ISBLANK(B250),"""",IFERROR((GOOGLEFINANCE(B250,""price"")/INDEX(GOOGLEFINANCE(B250,""price"",DATEVALUE(TODAY()-365) ),2,2)-1),""""))"),"")</f>
        <v/>
      </c>
      <c r="M250" s="310" t="str">
        <f>IFERROR(__xludf.DUMMYFUNCTION("IF(ISBLANK(B250),"""",IFERROR((GOOGLEFINANCE($D$13,""price"")/INDEX(GOOGLEFINANCE($D$13,""price"",DATEVALUE(TODAY()-365) ),2,2)-1),""""))"),"")</f>
        <v/>
      </c>
      <c r="N250" s="310" t="str">
        <f t="shared" si="3"/>
        <v/>
      </c>
      <c r="O250" s="311" t="str">
        <f>IFERROR(__xludf.DUMMYFUNCTION("IFERROR(IF(ISBLANK(B250),"""",GOOGLEFINANCE(B250,""low52"")),"""")"),"")</f>
        <v/>
      </c>
      <c r="P250" s="310" t="str">
        <f t="shared" si="4"/>
        <v/>
      </c>
      <c r="Q250" s="311" t="str">
        <f>IFERROR(__xludf.DUMMYFUNCTION("IFERROR(IF(ISBLANK(B250),"""",GOOGLEFINANCE(B250,""high52"")),"""")"),"")</f>
        <v/>
      </c>
      <c r="R250" s="310" t="str">
        <f t="shared" si="5"/>
        <v/>
      </c>
      <c r="S250" s="13" t="str">
        <f t="shared" si="6"/>
        <v/>
      </c>
      <c r="U250" s="13" t="str">
        <f t="shared" si="7"/>
        <v/>
      </c>
      <c r="W250" s="13" t="str">
        <f t="shared" si="8"/>
        <v/>
      </c>
      <c r="X250" s="310" t="str">
        <f t="shared" si="9"/>
        <v/>
      </c>
      <c r="Y250" s="311" t="str">
        <f>IFERROR(__xludf.DUMMYFUNCTION("IF(ISBLANK(B250),"""",IFERROR(INDEX(GOOGLEFINANCE(B250,""price"",WORKDAY(TODAY(),-$Y$17)),2,2),""""))"),"")</f>
        <v/>
      </c>
      <c r="Z250" s="310" t="str">
        <f>IFERROR(__xludf.DUMMYFUNCTION("IF(ISBLANK(B250),"""",IFERROR(I250/(INDEX(GOOGLEFINANCE(B250,""price"",WORKDAY(TODAY(),-$Z$17)),2,2))-1,""""))"),"")</f>
        <v/>
      </c>
      <c r="AA250" s="312" t="str">
        <f>IFERROR(__xludf.DUMMYFUNCTION("IF(ISBLANK(B250),"""",IFERROR(IFERROR(""$""&amp;Trunc(GOOGLEFINANCE(B250,""Marketcap"")/1000000000)&amp;"" B"",""$""&amp;Trunc(IMPORTXML(""https://coinmarketcap.com/currencies/""&amp;B250,$AJ$4)/1000000000)&amp;"" B""),""-""))"),"")</f>
        <v/>
      </c>
      <c r="AB250" s="13" t="str">
        <f>IFERROR(__xludf.DUMMYFUNCTION("IF(ISBLANK(B250),"""",IFERROR(GOOGLEFINANCE(B250,""pe""),""-""))"),"")</f>
        <v/>
      </c>
      <c r="AC250" s="313" t="str">
        <f>IFERROR(__xludf.DUMMYFUNCTION("SPARKLINE(INDEX(GOOGLEFINANCE(B250,""price"",workday(today(),-$AC$17),today()),,2),{""charttype"",""column"";""color"",""green""})
"),"#N/A")</f>
        <v>#N/A</v>
      </c>
      <c r="AD250" s="313" t="str">
        <f>IFERROR(__xludf.DUMMYFUNCTION("IF(ISBLANK(B250),"""",IFERROR(INDEX(IMPORTXML(""https://eresearch.fidelity.com/eresearch/goto/evaluate/snapshot.jhtml?symbols=""&amp;B250&amp;"""",""//div[@class='sub-heading']//span[@class='right']""),1),""Enter Manually"")
)"),"")</f>
        <v/>
      </c>
      <c r="AE250" s="314" t="str">
        <f t="shared" si="10"/>
        <v>Info</v>
      </c>
      <c r="AF250" s="329"/>
      <c r="AG250" s="320"/>
      <c r="AH250" s="13"/>
      <c r="AI250" s="13"/>
      <c r="AJ250" s="13"/>
      <c r="AK250" s="13"/>
      <c r="AL250" s="13"/>
      <c r="AM250" s="13"/>
      <c r="AN250" s="13"/>
      <c r="AO250" s="13"/>
      <c r="AP250" s="13"/>
    </row>
    <row r="251" ht="18.75" customHeight="1">
      <c r="A251" s="13"/>
      <c r="B251" s="282"/>
      <c r="C251" s="330"/>
      <c r="D251" s="330"/>
      <c r="E251" s="330"/>
      <c r="F251" s="13"/>
      <c r="G251" s="309"/>
      <c r="H251" s="309"/>
      <c r="I251" s="309"/>
      <c r="J251" s="310"/>
      <c r="K251" s="310"/>
      <c r="L251" s="310"/>
      <c r="M251" s="310"/>
      <c r="N251" s="310"/>
      <c r="O251" s="311"/>
      <c r="P251" s="310"/>
      <c r="Q251" s="311"/>
      <c r="R251" s="310"/>
      <c r="S251" s="13"/>
      <c r="T251" s="13"/>
      <c r="U251" s="13"/>
      <c r="V251" s="13"/>
      <c r="W251" s="13"/>
      <c r="X251" s="310"/>
      <c r="Y251" s="311"/>
      <c r="Z251" s="310"/>
      <c r="AA251" s="312"/>
      <c r="AB251" s="13"/>
      <c r="AC251" s="313"/>
      <c r="AD251" s="313"/>
      <c r="AE251" s="313"/>
      <c r="AF251" s="331"/>
      <c r="AG251" s="320"/>
      <c r="AH251" s="13"/>
      <c r="AI251" s="13"/>
      <c r="AJ251" s="13"/>
      <c r="AK251" s="13"/>
      <c r="AL251" s="13"/>
      <c r="AM251" s="13"/>
      <c r="AN251" s="13"/>
      <c r="AO251" s="13"/>
      <c r="AP251" s="13"/>
    </row>
    <row r="252" ht="18.75" customHeight="1">
      <c r="A252" s="13"/>
      <c r="B252" s="282"/>
      <c r="C252" s="330"/>
      <c r="D252" s="330"/>
      <c r="E252" s="330"/>
      <c r="F252" s="13"/>
      <c r="G252" s="309"/>
      <c r="H252" s="309"/>
      <c r="I252" s="309"/>
      <c r="J252" s="310"/>
      <c r="K252" s="310"/>
      <c r="L252" s="310"/>
      <c r="M252" s="310"/>
      <c r="N252" s="310"/>
      <c r="O252" s="311"/>
      <c r="P252" s="310"/>
      <c r="Q252" s="311"/>
      <c r="R252" s="310"/>
      <c r="S252" s="13"/>
      <c r="T252" s="13"/>
      <c r="U252" s="13"/>
      <c r="V252" s="13"/>
      <c r="W252" s="13"/>
      <c r="X252" s="310"/>
      <c r="Y252" s="311"/>
      <c r="Z252" s="310"/>
      <c r="AA252" s="312"/>
      <c r="AB252" s="13"/>
      <c r="AC252" s="313"/>
      <c r="AD252" s="313"/>
      <c r="AE252" s="313"/>
      <c r="AF252" s="331"/>
      <c r="AG252" s="320"/>
      <c r="AH252" s="13"/>
      <c r="AI252" s="13"/>
      <c r="AJ252" s="13"/>
      <c r="AK252" s="13"/>
      <c r="AL252" s="13"/>
      <c r="AM252" s="13"/>
      <c r="AN252" s="13"/>
      <c r="AO252" s="13"/>
      <c r="AP252" s="13"/>
    </row>
    <row r="253" ht="18.75" customHeight="1">
      <c r="A253" s="13"/>
      <c r="B253" s="282"/>
      <c r="C253" s="330"/>
      <c r="D253" s="330"/>
      <c r="E253" s="330"/>
      <c r="F253" s="13"/>
      <c r="G253" s="309"/>
      <c r="H253" s="309"/>
      <c r="I253" s="309"/>
      <c r="J253" s="310"/>
      <c r="K253" s="310"/>
      <c r="L253" s="310"/>
      <c r="M253" s="310"/>
      <c r="N253" s="310"/>
      <c r="O253" s="311"/>
      <c r="P253" s="310"/>
      <c r="Q253" s="311"/>
      <c r="R253" s="310"/>
      <c r="S253" s="13"/>
      <c r="T253" s="13"/>
      <c r="U253" s="13"/>
      <c r="V253" s="13"/>
      <c r="W253" s="13"/>
      <c r="X253" s="310"/>
      <c r="Y253" s="311"/>
      <c r="Z253" s="310"/>
      <c r="AA253" s="312"/>
      <c r="AB253" s="13"/>
      <c r="AC253" s="313"/>
      <c r="AD253" s="313"/>
      <c r="AE253" s="313"/>
      <c r="AF253" s="331"/>
      <c r="AG253" s="320"/>
      <c r="AH253" s="13"/>
      <c r="AI253" s="13"/>
      <c r="AJ253" s="13"/>
      <c r="AK253" s="13"/>
      <c r="AL253" s="13"/>
      <c r="AM253" s="13"/>
      <c r="AN253" s="13"/>
      <c r="AO253" s="13"/>
      <c r="AP253" s="13"/>
    </row>
    <row r="254" ht="18.75" customHeight="1">
      <c r="A254" s="13"/>
      <c r="B254" s="282"/>
      <c r="C254" s="330"/>
      <c r="D254" s="330"/>
      <c r="E254" s="330"/>
      <c r="F254" s="13"/>
      <c r="G254" s="309"/>
      <c r="H254" s="309"/>
      <c r="I254" s="309"/>
      <c r="J254" s="310"/>
      <c r="K254" s="310"/>
      <c r="L254" s="310"/>
      <c r="M254" s="310"/>
      <c r="N254" s="310"/>
      <c r="O254" s="311"/>
      <c r="P254" s="310"/>
      <c r="Q254" s="311"/>
      <c r="R254" s="310"/>
      <c r="S254" s="13"/>
      <c r="T254" s="13"/>
      <c r="U254" s="13"/>
      <c r="V254" s="13"/>
      <c r="W254" s="13"/>
      <c r="X254" s="310"/>
      <c r="Y254" s="311"/>
      <c r="Z254" s="310"/>
      <c r="AA254" s="312"/>
      <c r="AB254" s="13"/>
      <c r="AC254" s="313"/>
      <c r="AD254" s="313"/>
      <c r="AE254" s="313"/>
      <c r="AF254" s="331"/>
      <c r="AG254" s="320"/>
      <c r="AH254" s="13"/>
      <c r="AI254" s="13"/>
      <c r="AJ254" s="13"/>
      <c r="AK254" s="13"/>
      <c r="AL254" s="13"/>
      <c r="AM254" s="13"/>
      <c r="AN254" s="13"/>
      <c r="AO254" s="13"/>
      <c r="AP254" s="13"/>
    </row>
    <row r="255" ht="18.75" customHeight="1">
      <c r="A255" s="13"/>
      <c r="B255" s="282"/>
      <c r="C255" s="330"/>
      <c r="D255" s="330"/>
      <c r="E255" s="330"/>
      <c r="F255" s="13"/>
      <c r="G255" s="309"/>
      <c r="H255" s="309"/>
      <c r="I255" s="309"/>
      <c r="J255" s="310"/>
      <c r="K255" s="310"/>
      <c r="L255" s="310"/>
      <c r="M255" s="310"/>
      <c r="N255" s="310"/>
      <c r="O255" s="311"/>
      <c r="P255" s="310"/>
      <c r="Q255" s="311"/>
      <c r="R255" s="310"/>
      <c r="S255" s="13"/>
      <c r="T255" s="13"/>
      <c r="U255" s="13"/>
      <c r="V255" s="13"/>
      <c r="W255" s="13"/>
      <c r="X255" s="310"/>
      <c r="Y255" s="311"/>
      <c r="Z255" s="310"/>
      <c r="AA255" s="312"/>
      <c r="AB255" s="13"/>
      <c r="AC255" s="313"/>
      <c r="AD255" s="313"/>
      <c r="AE255" s="313"/>
      <c r="AF255" s="331"/>
      <c r="AG255" s="320"/>
      <c r="AH255" s="13"/>
      <c r="AI255" s="13"/>
      <c r="AJ255" s="13"/>
      <c r="AK255" s="13"/>
      <c r="AL255" s="13"/>
      <c r="AM255" s="13"/>
      <c r="AN255" s="13"/>
      <c r="AO255" s="13"/>
      <c r="AP255" s="13"/>
    </row>
    <row r="256" ht="18.75" customHeight="1">
      <c r="A256" s="13"/>
      <c r="B256" s="282"/>
      <c r="C256" s="330"/>
      <c r="D256" s="330"/>
      <c r="E256" s="330"/>
      <c r="F256" s="13"/>
      <c r="G256" s="309"/>
      <c r="H256" s="309"/>
      <c r="I256" s="309"/>
      <c r="J256" s="310"/>
      <c r="K256" s="310"/>
      <c r="L256" s="310"/>
      <c r="M256" s="310"/>
      <c r="N256" s="310"/>
      <c r="O256" s="311"/>
      <c r="P256" s="310"/>
      <c r="Q256" s="311"/>
      <c r="R256" s="310"/>
      <c r="S256" s="13"/>
      <c r="T256" s="13"/>
      <c r="U256" s="13"/>
      <c r="V256" s="13"/>
      <c r="W256" s="13"/>
      <c r="X256" s="310"/>
      <c r="Y256" s="311"/>
      <c r="Z256" s="310"/>
      <c r="AA256" s="312"/>
      <c r="AB256" s="13"/>
      <c r="AC256" s="313"/>
      <c r="AD256" s="313"/>
      <c r="AE256" s="313"/>
      <c r="AF256" s="331"/>
      <c r="AG256" s="320"/>
      <c r="AH256" s="13"/>
      <c r="AI256" s="13"/>
      <c r="AJ256" s="13"/>
      <c r="AK256" s="13"/>
      <c r="AL256" s="13"/>
      <c r="AM256" s="13"/>
      <c r="AN256" s="13"/>
      <c r="AO256" s="13"/>
      <c r="AP256" s="13"/>
    </row>
    <row r="257" ht="18.75" customHeight="1">
      <c r="A257" s="13"/>
      <c r="B257" s="282"/>
      <c r="C257" s="330"/>
      <c r="D257" s="330"/>
      <c r="E257" s="330"/>
      <c r="F257" s="13"/>
      <c r="G257" s="309"/>
      <c r="H257" s="309"/>
      <c r="I257" s="309"/>
      <c r="J257" s="310"/>
      <c r="K257" s="310"/>
      <c r="L257" s="310"/>
      <c r="M257" s="310"/>
      <c r="N257" s="310"/>
      <c r="O257" s="311"/>
      <c r="P257" s="310"/>
      <c r="Q257" s="311"/>
      <c r="R257" s="310"/>
      <c r="S257" s="13"/>
      <c r="T257" s="13"/>
      <c r="U257" s="13"/>
      <c r="V257" s="13"/>
      <c r="W257" s="13"/>
      <c r="X257" s="310"/>
      <c r="Y257" s="311"/>
      <c r="Z257" s="310"/>
      <c r="AA257" s="312"/>
      <c r="AB257" s="13"/>
      <c r="AC257" s="313"/>
      <c r="AD257" s="313"/>
      <c r="AE257" s="313"/>
      <c r="AF257" s="331"/>
      <c r="AG257" s="320"/>
      <c r="AH257" s="13"/>
      <c r="AI257" s="13"/>
      <c r="AJ257" s="13"/>
      <c r="AK257" s="13"/>
      <c r="AL257" s="13"/>
      <c r="AM257" s="13"/>
      <c r="AN257" s="13"/>
      <c r="AO257" s="13"/>
      <c r="AP257" s="13"/>
    </row>
    <row r="258" ht="18.75" customHeight="1">
      <c r="A258" s="13"/>
      <c r="B258" s="282"/>
      <c r="C258" s="330"/>
      <c r="D258" s="330"/>
      <c r="E258" s="330"/>
      <c r="F258" s="13"/>
      <c r="G258" s="309"/>
      <c r="H258" s="309"/>
      <c r="I258" s="309"/>
      <c r="J258" s="310"/>
      <c r="K258" s="310"/>
      <c r="L258" s="310"/>
      <c r="M258" s="310"/>
      <c r="N258" s="310"/>
      <c r="O258" s="311"/>
      <c r="P258" s="310"/>
      <c r="Q258" s="311"/>
      <c r="R258" s="310"/>
      <c r="S258" s="13"/>
      <c r="T258" s="13"/>
      <c r="U258" s="13"/>
      <c r="V258" s="13"/>
      <c r="W258" s="13"/>
      <c r="X258" s="310"/>
      <c r="Y258" s="311"/>
      <c r="Z258" s="310"/>
      <c r="AA258" s="312"/>
      <c r="AB258" s="13"/>
      <c r="AC258" s="313"/>
      <c r="AD258" s="313"/>
      <c r="AE258" s="313"/>
      <c r="AF258" s="331"/>
      <c r="AG258" s="320"/>
      <c r="AH258" s="13"/>
      <c r="AI258" s="13"/>
      <c r="AJ258" s="13"/>
      <c r="AK258" s="13"/>
      <c r="AL258" s="13"/>
      <c r="AM258" s="13"/>
      <c r="AN258" s="13"/>
      <c r="AO258" s="13"/>
      <c r="AP258" s="13"/>
    </row>
    <row r="259" ht="18.75" customHeight="1">
      <c r="A259" s="13"/>
      <c r="B259" s="282"/>
      <c r="C259" s="330"/>
      <c r="D259" s="330"/>
      <c r="E259" s="330"/>
      <c r="F259" s="13"/>
      <c r="G259" s="309"/>
      <c r="H259" s="309"/>
      <c r="I259" s="309"/>
      <c r="J259" s="310"/>
      <c r="K259" s="310"/>
      <c r="L259" s="310"/>
      <c r="M259" s="310"/>
      <c r="N259" s="310"/>
      <c r="O259" s="311"/>
      <c r="P259" s="310"/>
      <c r="Q259" s="311"/>
      <c r="R259" s="310"/>
      <c r="S259" s="13"/>
      <c r="T259" s="13"/>
      <c r="U259" s="13"/>
      <c r="V259" s="13"/>
      <c r="W259" s="13"/>
      <c r="X259" s="310"/>
      <c r="Y259" s="311"/>
      <c r="Z259" s="310"/>
      <c r="AA259" s="312"/>
      <c r="AB259" s="13"/>
      <c r="AC259" s="313"/>
      <c r="AD259" s="313"/>
      <c r="AE259" s="313"/>
      <c r="AF259" s="331"/>
      <c r="AG259" s="320"/>
      <c r="AH259" s="13"/>
      <c r="AI259" s="13"/>
      <c r="AJ259" s="13"/>
      <c r="AK259" s="13"/>
      <c r="AL259" s="13"/>
      <c r="AM259" s="13"/>
      <c r="AN259" s="13"/>
      <c r="AO259" s="13"/>
      <c r="AP259" s="13"/>
    </row>
    <row r="260" ht="18.75" customHeight="1">
      <c r="A260" s="13"/>
      <c r="B260" s="282"/>
      <c r="C260" s="330"/>
      <c r="D260" s="330"/>
      <c r="E260" s="330"/>
      <c r="F260" s="13"/>
      <c r="G260" s="309"/>
      <c r="H260" s="309"/>
      <c r="I260" s="309"/>
      <c r="J260" s="310"/>
      <c r="K260" s="310"/>
      <c r="L260" s="310"/>
      <c r="M260" s="310"/>
      <c r="N260" s="310"/>
      <c r="O260" s="311"/>
      <c r="P260" s="310"/>
      <c r="Q260" s="311"/>
      <c r="R260" s="310"/>
      <c r="S260" s="13"/>
      <c r="T260" s="13"/>
      <c r="U260" s="13"/>
      <c r="V260" s="13"/>
      <c r="W260" s="13"/>
      <c r="X260" s="310"/>
      <c r="Y260" s="311"/>
      <c r="Z260" s="310"/>
      <c r="AA260" s="312"/>
      <c r="AB260" s="13"/>
      <c r="AC260" s="313"/>
      <c r="AD260" s="313"/>
      <c r="AE260" s="313"/>
      <c r="AF260" s="331"/>
      <c r="AG260" s="320"/>
      <c r="AH260" s="13"/>
      <c r="AI260" s="13"/>
      <c r="AJ260" s="13"/>
      <c r="AK260" s="13"/>
      <c r="AL260" s="13"/>
      <c r="AM260" s="13"/>
      <c r="AN260" s="13"/>
      <c r="AO260" s="13"/>
      <c r="AP260" s="13"/>
    </row>
    <row r="261" ht="18.75" customHeight="1">
      <c r="A261" s="13"/>
      <c r="B261" s="282"/>
      <c r="C261" s="330"/>
      <c r="D261" s="330"/>
      <c r="E261" s="330"/>
      <c r="F261" s="13"/>
      <c r="G261" s="309"/>
      <c r="H261" s="309"/>
      <c r="I261" s="309"/>
      <c r="J261" s="310"/>
      <c r="K261" s="310"/>
      <c r="L261" s="310"/>
      <c r="M261" s="310"/>
      <c r="N261" s="310"/>
      <c r="O261" s="311"/>
      <c r="P261" s="310"/>
      <c r="Q261" s="311"/>
      <c r="R261" s="310"/>
      <c r="S261" s="13"/>
      <c r="T261" s="13"/>
      <c r="U261" s="13"/>
      <c r="V261" s="13"/>
      <c r="W261" s="13"/>
      <c r="X261" s="310"/>
      <c r="Y261" s="311"/>
      <c r="Z261" s="310"/>
      <c r="AA261" s="312"/>
      <c r="AB261" s="13"/>
      <c r="AC261" s="313"/>
      <c r="AD261" s="313"/>
      <c r="AE261" s="313"/>
      <c r="AF261" s="331"/>
      <c r="AG261" s="320"/>
      <c r="AH261" s="13"/>
      <c r="AI261" s="13"/>
      <c r="AJ261" s="13"/>
      <c r="AK261" s="13"/>
      <c r="AL261" s="13"/>
      <c r="AM261" s="13"/>
      <c r="AN261" s="13"/>
      <c r="AO261" s="13"/>
      <c r="AP261" s="13"/>
    </row>
    <row r="262" ht="18.75" customHeight="1">
      <c r="A262" s="13"/>
      <c r="B262" s="282"/>
      <c r="C262" s="330"/>
      <c r="D262" s="330"/>
      <c r="E262" s="330"/>
      <c r="F262" s="13"/>
      <c r="G262" s="309"/>
      <c r="H262" s="309"/>
      <c r="I262" s="309"/>
      <c r="J262" s="310"/>
      <c r="K262" s="310"/>
      <c r="L262" s="310"/>
      <c r="M262" s="310"/>
      <c r="N262" s="310"/>
      <c r="O262" s="311"/>
      <c r="P262" s="310"/>
      <c r="Q262" s="311"/>
      <c r="R262" s="310"/>
      <c r="S262" s="13"/>
      <c r="T262" s="13"/>
      <c r="U262" s="13"/>
      <c r="V262" s="13"/>
      <c r="W262" s="13"/>
      <c r="X262" s="310"/>
      <c r="Y262" s="311"/>
      <c r="Z262" s="310"/>
      <c r="AA262" s="312"/>
      <c r="AB262" s="13"/>
      <c r="AC262" s="313"/>
      <c r="AD262" s="313"/>
      <c r="AE262" s="313"/>
      <c r="AF262" s="331"/>
      <c r="AG262" s="320"/>
      <c r="AH262" s="13"/>
      <c r="AI262" s="13"/>
      <c r="AJ262" s="13"/>
      <c r="AK262" s="13"/>
      <c r="AL262" s="13"/>
      <c r="AM262" s="13"/>
      <c r="AN262" s="13"/>
      <c r="AO262" s="13"/>
      <c r="AP262" s="13"/>
    </row>
    <row r="263" ht="18.75" customHeight="1">
      <c r="A263" s="13"/>
      <c r="B263" s="282"/>
      <c r="C263" s="330"/>
      <c r="D263" s="330"/>
      <c r="E263" s="330"/>
      <c r="F263" s="13"/>
      <c r="G263" s="309"/>
      <c r="H263" s="309"/>
      <c r="I263" s="309"/>
      <c r="J263" s="310"/>
      <c r="K263" s="310"/>
      <c r="L263" s="310"/>
      <c r="M263" s="310"/>
      <c r="N263" s="310"/>
      <c r="O263" s="311"/>
      <c r="P263" s="310"/>
      <c r="Q263" s="311"/>
      <c r="R263" s="310"/>
      <c r="S263" s="13"/>
      <c r="T263" s="13"/>
      <c r="U263" s="13"/>
      <c r="V263" s="13"/>
      <c r="W263" s="13"/>
      <c r="X263" s="310"/>
      <c r="Y263" s="311"/>
      <c r="Z263" s="310"/>
      <c r="AA263" s="312"/>
      <c r="AB263" s="13"/>
      <c r="AC263" s="313"/>
      <c r="AD263" s="313"/>
      <c r="AE263" s="313"/>
      <c r="AF263" s="331"/>
      <c r="AG263" s="320"/>
      <c r="AH263" s="13"/>
      <c r="AI263" s="13"/>
      <c r="AJ263" s="13"/>
      <c r="AK263" s="13"/>
      <c r="AL263" s="13"/>
      <c r="AM263" s="13"/>
      <c r="AN263" s="13"/>
      <c r="AO263" s="13"/>
      <c r="AP263" s="13"/>
    </row>
    <row r="264" ht="18.75" customHeight="1">
      <c r="A264" s="13"/>
      <c r="B264" s="282"/>
      <c r="C264" s="330"/>
      <c r="D264" s="330"/>
      <c r="E264" s="330"/>
      <c r="F264" s="13"/>
      <c r="G264" s="309"/>
      <c r="H264" s="309"/>
      <c r="I264" s="309"/>
      <c r="J264" s="310"/>
      <c r="K264" s="310"/>
      <c r="L264" s="310"/>
      <c r="M264" s="310"/>
      <c r="N264" s="310"/>
      <c r="O264" s="311"/>
      <c r="P264" s="310"/>
      <c r="Q264" s="311"/>
      <c r="R264" s="310"/>
      <c r="S264" s="13"/>
      <c r="T264" s="13"/>
      <c r="U264" s="13"/>
      <c r="V264" s="13"/>
      <c r="W264" s="13"/>
      <c r="X264" s="310"/>
      <c r="Y264" s="311"/>
      <c r="Z264" s="310"/>
      <c r="AA264" s="312"/>
      <c r="AB264" s="13"/>
      <c r="AC264" s="313"/>
      <c r="AD264" s="313"/>
      <c r="AE264" s="313"/>
      <c r="AF264" s="331"/>
      <c r="AG264" s="320"/>
      <c r="AH264" s="13"/>
      <c r="AI264" s="13"/>
      <c r="AJ264" s="13"/>
      <c r="AK264" s="13"/>
      <c r="AL264" s="13"/>
      <c r="AM264" s="13"/>
      <c r="AN264" s="13"/>
      <c r="AO264" s="13"/>
      <c r="AP264" s="13"/>
    </row>
    <row r="265" ht="18.75" customHeight="1">
      <c r="A265" s="13"/>
      <c r="B265" s="282"/>
      <c r="C265" s="330"/>
      <c r="D265" s="330"/>
      <c r="E265" s="330"/>
      <c r="F265" s="13"/>
      <c r="G265" s="309"/>
      <c r="H265" s="309"/>
      <c r="I265" s="309"/>
      <c r="J265" s="310"/>
      <c r="K265" s="310"/>
      <c r="L265" s="310"/>
      <c r="M265" s="310"/>
      <c r="N265" s="310"/>
      <c r="O265" s="311"/>
      <c r="P265" s="310"/>
      <c r="Q265" s="311"/>
      <c r="R265" s="310"/>
      <c r="S265" s="13"/>
      <c r="T265" s="13"/>
      <c r="U265" s="13"/>
      <c r="V265" s="13"/>
      <c r="W265" s="13"/>
      <c r="X265" s="310"/>
      <c r="Y265" s="311"/>
      <c r="Z265" s="310"/>
      <c r="AA265" s="312"/>
      <c r="AB265" s="13"/>
      <c r="AC265" s="313"/>
      <c r="AD265" s="313"/>
      <c r="AE265" s="313"/>
      <c r="AF265" s="331"/>
      <c r="AG265" s="320"/>
      <c r="AH265" s="13"/>
      <c r="AI265" s="13"/>
      <c r="AJ265" s="13"/>
      <c r="AK265" s="13"/>
      <c r="AL265" s="13"/>
      <c r="AM265" s="13"/>
      <c r="AN265" s="13"/>
      <c r="AO265" s="13"/>
      <c r="AP265" s="13"/>
    </row>
    <row r="266" ht="18.75" customHeight="1">
      <c r="A266" s="13"/>
      <c r="B266" s="282"/>
      <c r="C266" s="330"/>
      <c r="D266" s="330"/>
      <c r="E266" s="330"/>
      <c r="F266" s="13"/>
      <c r="G266" s="309"/>
      <c r="H266" s="309"/>
      <c r="I266" s="309"/>
      <c r="J266" s="310"/>
      <c r="K266" s="310"/>
      <c r="L266" s="310"/>
      <c r="M266" s="310"/>
      <c r="N266" s="310"/>
      <c r="O266" s="311"/>
      <c r="P266" s="310"/>
      <c r="Q266" s="311"/>
      <c r="R266" s="310"/>
      <c r="S266" s="13"/>
      <c r="T266" s="13"/>
      <c r="U266" s="13"/>
      <c r="V266" s="13"/>
      <c r="W266" s="13"/>
      <c r="X266" s="310"/>
      <c r="Y266" s="311"/>
      <c r="Z266" s="310"/>
      <c r="AA266" s="312"/>
      <c r="AB266" s="13"/>
      <c r="AC266" s="313"/>
      <c r="AD266" s="313"/>
      <c r="AE266" s="313"/>
      <c r="AF266" s="331"/>
      <c r="AG266" s="320"/>
      <c r="AH266" s="13"/>
      <c r="AI266" s="13"/>
      <c r="AJ266" s="13"/>
      <c r="AK266" s="13"/>
      <c r="AL266" s="13"/>
      <c r="AM266" s="13"/>
      <c r="AN266" s="13"/>
      <c r="AO266" s="13"/>
      <c r="AP266" s="13"/>
    </row>
    <row r="267" ht="18.75" customHeight="1">
      <c r="A267" s="13"/>
      <c r="B267" s="282"/>
      <c r="C267" s="330"/>
      <c r="D267" s="330"/>
      <c r="E267" s="330"/>
      <c r="F267" s="13"/>
      <c r="G267" s="309"/>
      <c r="H267" s="309"/>
      <c r="I267" s="309"/>
      <c r="J267" s="310"/>
      <c r="K267" s="310"/>
      <c r="L267" s="310"/>
      <c r="M267" s="310"/>
      <c r="N267" s="310"/>
      <c r="O267" s="311"/>
      <c r="P267" s="310"/>
      <c r="Q267" s="311"/>
      <c r="R267" s="310"/>
      <c r="S267" s="13"/>
      <c r="T267" s="13"/>
      <c r="U267" s="13"/>
      <c r="V267" s="13"/>
      <c r="W267" s="13"/>
      <c r="X267" s="310"/>
      <c r="Y267" s="311"/>
      <c r="Z267" s="310"/>
      <c r="AA267" s="312"/>
      <c r="AB267" s="13"/>
      <c r="AC267" s="313"/>
      <c r="AD267" s="313"/>
      <c r="AE267" s="313"/>
      <c r="AF267" s="331"/>
      <c r="AG267" s="320"/>
      <c r="AH267" s="13"/>
      <c r="AI267" s="13"/>
      <c r="AJ267" s="13"/>
      <c r="AK267" s="13"/>
      <c r="AL267" s="13"/>
      <c r="AM267" s="13"/>
      <c r="AN267" s="13"/>
      <c r="AO267" s="13"/>
      <c r="AP267" s="13"/>
    </row>
    <row r="268" ht="18.75" customHeight="1">
      <c r="A268" s="13"/>
      <c r="B268" s="282"/>
      <c r="C268" s="330"/>
      <c r="D268" s="330"/>
      <c r="E268" s="330"/>
      <c r="F268" s="13"/>
      <c r="G268" s="309"/>
      <c r="H268" s="309"/>
      <c r="I268" s="309"/>
      <c r="J268" s="310"/>
      <c r="K268" s="310"/>
      <c r="L268" s="310"/>
      <c r="M268" s="310"/>
      <c r="N268" s="310"/>
      <c r="O268" s="311"/>
      <c r="P268" s="310"/>
      <c r="Q268" s="311"/>
      <c r="R268" s="310"/>
      <c r="S268" s="13"/>
      <c r="T268" s="13"/>
      <c r="U268" s="13"/>
      <c r="V268" s="13"/>
      <c r="W268" s="13"/>
      <c r="X268" s="310"/>
      <c r="Y268" s="311"/>
      <c r="Z268" s="310"/>
      <c r="AA268" s="312"/>
      <c r="AB268" s="13"/>
      <c r="AC268" s="313"/>
      <c r="AD268" s="313"/>
      <c r="AE268" s="313"/>
      <c r="AF268" s="331"/>
      <c r="AG268" s="320"/>
      <c r="AH268" s="13"/>
      <c r="AI268" s="13"/>
      <c r="AJ268" s="13"/>
      <c r="AK268" s="13"/>
      <c r="AL268" s="13"/>
      <c r="AM268" s="13"/>
      <c r="AN268" s="13"/>
      <c r="AO268" s="13"/>
      <c r="AP268" s="13"/>
    </row>
    <row r="269" ht="18.75" customHeight="1">
      <c r="A269" s="13"/>
      <c r="B269" s="282"/>
      <c r="C269" s="330"/>
      <c r="D269" s="330"/>
      <c r="E269" s="330"/>
      <c r="F269" s="13"/>
      <c r="G269" s="309"/>
      <c r="H269" s="309"/>
      <c r="I269" s="309"/>
      <c r="J269" s="310"/>
      <c r="K269" s="310"/>
      <c r="L269" s="310"/>
      <c r="M269" s="310"/>
      <c r="N269" s="310"/>
      <c r="O269" s="311"/>
      <c r="P269" s="310"/>
      <c r="Q269" s="311"/>
      <c r="R269" s="310"/>
      <c r="S269" s="13"/>
      <c r="T269" s="13"/>
      <c r="U269" s="13"/>
      <c r="V269" s="13"/>
      <c r="W269" s="13"/>
      <c r="X269" s="310"/>
      <c r="Y269" s="311"/>
      <c r="Z269" s="310"/>
      <c r="AA269" s="312"/>
      <c r="AB269" s="13"/>
      <c r="AC269" s="313"/>
      <c r="AD269" s="313"/>
      <c r="AE269" s="313"/>
      <c r="AF269" s="331"/>
      <c r="AG269" s="320"/>
      <c r="AH269" s="13"/>
      <c r="AI269" s="13"/>
      <c r="AJ269" s="13"/>
      <c r="AK269" s="13"/>
      <c r="AL269" s="13"/>
      <c r="AM269" s="13"/>
      <c r="AN269" s="13"/>
      <c r="AO269" s="13"/>
      <c r="AP269" s="13"/>
    </row>
    <row r="270" ht="18.75" customHeight="1">
      <c r="A270" s="13"/>
      <c r="B270" s="282"/>
      <c r="C270" s="330"/>
      <c r="D270" s="330"/>
      <c r="E270" s="330"/>
      <c r="F270" s="13"/>
      <c r="G270" s="309"/>
      <c r="H270" s="309"/>
      <c r="I270" s="309"/>
      <c r="J270" s="310"/>
      <c r="K270" s="310"/>
      <c r="L270" s="310"/>
      <c r="M270" s="310"/>
      <c r="N270" s="310"/>
      <c r="O270" s="311"/>
      <c r="P270" s="310"/>
      <c r="Q270" s="311"/>
      <c r="R270" s="310"/>
      <c r="S270" s="13"/>
      <c r="T270" s="13"/>
      <c r="U270" s="13"/>
      <c r="V270" s="13"/>
      <c r="W270" s="13"/>
      <c r="X270" s="310"/>
      <c r="Y270" s="311"/>
      <c r="Z270" s="310"/>
      <c r="AA270" s="312"/>
      <c r="AB270" s="13"/>
      <c r="AC270" s="313"/>
      <c r="AD270" s="313"/>
      <c r="AE270" s="313"/>
      <c r="AF270" s="331"/>
      <c r="AG270" s="320"/>
      <c r="AH270" s="13"/>
      <c r="AI270" s="13"/>
      <c r="AJ270" s="13"/>
      <c r="AK270" s="13"/>
      <c r="AL270" s="13"/>
      <c r="AM270" s="13"/>
      <c r="AN270" s="13"/>
      <c r="AO270" s="13"/>
      <c r="AP270" s="13"/>
    </row>
    <row r="271" ht="18.75" customHeight="1">
      <c r="A271" s="13"/>
      <c r="B271" s="282"/>
      <c r="C271" s="330"/>
      <c r="D271" s="330"/>
      <c r="E271" s="330"/>
      <c r="F271" s="13"/>
      <c r="G271" s="309"/>
      <c r="H271" s="309"/>
      <c r="I271" s="309"/>
      <c r="J271" s="310"/>
      <c r="K271" s="310"/>
      <c r="L271" s="310"/>
      <c r="M271" s="310"/>
      <c r="N271" s="310"/>
      <c r="O271" s="311"/>
      <c r="P271" s="310"/>
      <c r="Q271" s="311"/>
      <c r="R271" s="310"/>
      <c r="S271" s="13"/>
      <c r="T271" s="13"/>
      <c r="U271" s="13"/>
      <c r="V271" s="13"/>
      <c r="W271" s="13"/>
      <c r="X271" s="310"/>
      <c r="Y271" s="311"/>
      <c r="Z271" s="310"/>
      <c r="AA271" s="312"/>
      <c r="AB271" s="13"/>
      <c r="AC271" s="313"/>
      <c r="AD271" s="313"/>
      <c r="AE271" s="313"/>
      <c r="AF271" s="331"/>
      <c r="AG271" s="320"/>
      <c r="AH271" s="13"/>
      <c r="AI271" s="13"/>
      <c r="AJ271" s="13"/>
      <c r="AK271" s="13"/>
      <c r="AL271" s="13"/>
      <c r="AM271" s="13"/>
      <c r="AN271" s="13"/>
      <c r="AO271" s="13"/>
      <c r="AP271" s="13"/>
    </row>
    <row r="272" ht="18.75" customHeight="1">
      <c r="A272" s="13"/>
      <c r="B272" s="282"/>
      <c r="C272" s="330"/>
      <c r="D272" s="330"/>
      <c r="E272" s="330"/>
      <c r="F272" s="13"/>
      <c r="G272" s="309"/>
      <c r="H272" s="309"/>
      <c r="I272" s="309"/>
      <c r="J272" s="310"/>
      <c r="K272" s="310"/>
      <c r="L272" s="310"/>
      <c r="M272" s="310"/>
      <c r="N272" s="310"/>
      <c r="O272" s="311"/>
      <c r="P272" s="310"/>
      <c r="Q272" s="311"/>
      <c r="R272" s="310"/>
      <c r="S272" s="13"/>
      <c r="T272" s="13"/>
      <c r="U272" s="13"/>
      <c r="V272" s="13"/>
      <c r="W272" s="13"/>
      <c r="X272" s="310"/>
      <c r="Y272" s="311"/>
      <c r="Z272" s="310"/>
      <c r="AA272" s="312"/>
      <c r="AB272" s="13"/>
      <c r="AC272" s="313"/>
      <c r="AD272" s="313"/>
      <c r="AE272" s="313"/>
      <c r="AF272" s="331"/>
      <c r="AG272" s="320"/>
      <c r="AH272" s="13"/>
      <c r="AI272" s="13"/>
      <c r="AJ272" s="13"/>
      <c r="AK272" s="13"/>
      <c r="AL272" s="13"/>
      <c r="AM272" s="13"/>
      <c r="AN272" s="13"/>
      <c r="AO272" s="13"/>
      <c r="AP272" s="13"/>
    </row>
    <row r="273" ht="18.75" customHeight="1">
      <c r="A273" s="13"/>
      <c r="B273" s="282"/>
      <c r="C273" s="330"/>
      <c r="D273" s="330"/>
      <c r="E273" s="330"/>
      <c r="F273" s="13"/>
      <c r="G273" s="309"/>
      <c r="H273" s="309"/>
      <c r="I273" s="309"/>
      <c r="J273" s="310"/>
      <c r="K273" s="310"/>
      <c r="L273" s="310"/>
      <c r="M273" s="310"/>
      <c r="N273" s="310"/>
      <c r="O273" s="311"/>
      <c r="P273" s="310"/>
      <c r="Q273" s="311"/>
      <c r="R273" s="310"/>
      <c r="S273" s="13"/>
      <c r="T273" s="13"/>
      <c r="U273" s="13"/>
      <c r="V273" s="13"/>
      <c r="W273" s="13"/>
      <c r="X273" s="310"/>
      <c r="Y273" s="311"/>
      <c r="Z273" s="310"/>
      <c r="AA273" s="312"/>
      <c r="AB273" s="13"/>
      <c r="AC273" s="313"/>
      <c r="AD273" s="313"/>
      <c r="AE273" s="313"/>
      <c r="AF273" s="331"/>
      <c r="AG273" s="320"/>
      <c r="AH273" s="13"/>
      <c r="AI273" s="13"/>
      <c r="AJ273" s="13"/>
      <c r="AK273" s="13"/>
      <c r="AL273" s="13"/>
      <c r="AM273" s="13"/>
      <c r="AN273" s="13"/>
      <c r="AO273" s="13"/>
      <c r="AP273" s="13"/>
    </row>
    <row r="274" ht="18.75" customHeight="1">
      <c r="A274" s="13"/>
      <c r="B274" s="282"/>
      <c r="C274" s="330"/>
      <c r="D274" s="330"/>
      <c r="E274" s="330"/>
      <c r="F274" s="13"/>
      <c r="G274" s="309"/>
      <c r="H274" s="309"/>
      <c r="I274" s="309"/>
      <c r="J274" s="310"/>
      <c r="K274" s="310"/>
      <c r="L274" s="310"/>
      <c r="M274" s="310"/>
      <c r="N274" s="310"/>
      <c r="O274" s="311"/>
      <c r="P274" s="310"/>
      <c r="Q274" s="311"/>
      <c r="R274" s="310"/>
      <c r="S274" s="13"/>
      <c r="T274" s="13"/>
      <c r="U274" s="13"/>
      <c r="V274" s="13"/>
      <c r="W274" s="13"/>
      <c r="X274" s="310"/>
      <c r="Y274" s="311"/>
      <c r="Z274" s="310"/>
      <c r="AA274" s="312"/>
      <c r="AB274" s="13"/>
      <c r="AC274" s="313"/>
      <c r="AD274" s="313"/>
      <c r="AE274" s="313"/>
      <c r="AF274" s="331"/>
      <c r="AG274" s="320"/>
      <c r="AH274" s="13"/>
      <c r="AI274" s="13"/>
      <c r="AJ274" s="13"/>
      <c r="AK274" s="13"/>
      <c r="AL274" s="13"/>
      <c r="AM274" s="13"/>
      <c r="AN274" s="13"/>
      <c r="AO274" s="13"/>
      <c r="AP274" s="13"/>
    </row>
    <row r="275" ht="18.75" customHeight="1">
      <c r="A275" s="13"/>
      <c r="B275" s="282"/>
      <c r="C275" s="330"/>
      <c r="D275" s="330"/>
      <c r="E275" s="330"/>
      <c r="F275" s="13"/>
      <c r="G275" s="309"/>
      <c r="H275" s="309"/>
      <c r="I275" s="309"/>
      <c r="J275" s="310"/>
      <c r="K275" s="310"/>
      <c r="L275" s="310"/>
      <c r="M275" s="310"/>
      <c r="N275" s="310"/>
      <c r="O275" s="311"/>
      <c r="P275" s="310"/>
      <c r="Q275" s="311"/>
      <c r="R275" s="310"/>
      <c r="S275" s="13"/>
      <c r="T275" s="13"/>
      <c r="U275" s="13"/>
      <c r="V275" s="13"/>
      <c r="W275" s="13"/>
      <c r="X275" s="310"/>
      <c r="Y275" s="311"/>
      <c r="Z275" s="310"/>
      <c r="AA275" s="312"/>
      <c r="AB275" s="13"/>
      <c r="AC275" s="313"/>
      <c r="AD275" s="313"/>
      <c r="AE275" s="313"/>
      <c r="AF275" s="331"/>
      <c r="AG275" s="320"/>
      <c r="AH275" s="13"/>
      <c r="AI275" s="13"/>
      <c r="AJ275" s="13"/>
      <c r="AK275" s="13"/>
      <c r="AL275" s="13"/>
      <c r="AM275" s="13"/>
      <c r="AN275" s="13"/>
      <c r="AO275" s="13"/>
      <c r="AP275" s="13"/>
    </row>
    <row r="276" ht="18.75" customHeight="1">
      <c r="A276" s="13"/>
      <c r="B276" s="282"/>
      <c r="C276" s="330"/>
      <c r="D276" s="330"/>
      <c r="E276" s="330"/>
      <c r="F276" s="13"/>
      <c r="G276" s="309"/>
      <c r="H276" s="309"/>
      <c r="I276" s="309"/>
      <c r="J276" s="310"/>
      <c r="K276" s="310"/>
      <c r="L276" s="310"/>
      <c r="M276" s="310"/>
      <c r="N276" s="310"/>
      <c r="O276" s="311"/>
      <c r="P276" s="310"/>
      <c r="Q276" s="311"/>
      <c r="R276" s="310"/>
      <c r="S276" s="13"/>
      <c r="T276" s="13"/>
      <c r="U276" s="13"/>
      <c r="V276" s="13"/>
      <c r="W276" s="13"/>
      <c r="X276" s="310"/>
      <c r="Y276" s="311"/>
      <c r="Z276" s="310"/>
      <c r="AA276" s="312"/>
      <c r="AB276" s="13"/>
      <c r="AC276" s="313"/>
      <c r="AD276" s="313"/>
      <c r="AE276" s="313"/>
      <c r="AF276" s="331"/>
      <c r="AG276" s="320"/>
      <c r="AH276" s="13"/>
      <c r="AI276" s="13"/>
      <c r="AJ276" s="13"/>
      <c r="AK276" s="13"/>
      <c r="AL276" s="13"/>
      <c r="AM276" s="13"/>
      <c r="AN276" s="13"/>
      <c r="AO276" s="13"/>
      <c r="AP276" s="13"/>
    </row>
    <row r="277" ht="18.75" customHeight="1">
      <c r="A277" s="13"/>
      <c r="B277" s="282"/>
      <c r="C277" s="330"/>
      <c r="D277" s="330"/>
      <c r="E277" s="330"/>
      <c r="F277" s="13"/>
      <c r="G277" s="309"/>
      <c r="H277" s="309"/>
      <c r="I277" s="309"/>
      <c r="J277" s="310"/>
      <c r="K277" s="310"/>
      <c r="L277" s="310"/>
      <c r="M277" s="310"/>
      <c r="N277" s="310"/>
      <c r="O277" s="311"/>
      <c r="P277" s="310"/>
      <c r="Q277" s="311"/>
      <c r="R277" s="310"/>
      <c r="S277" s="13"/>
      <c r="T277" s="13"/>
      <c r="U277" s="13"/>
      <c r="V277" s="13"/>
      <c r="W277" s="13"/>
      <c r="X277" s="310"/>
      <c r="Y277" s="311"/>
      <c r="Z277" s="310"/>
      <c r="AA277" s="312"/>
      <c r="AB277" s="13"/>
      <c r="AC277" s="313"/>
      <c r="AD277" s="313"/>
      <c r="AE277" s="313"/>
      <c r="AF277" s="331"/>
      <c r="AG277" s="320"/>
      <c r="AH277" s="13"/>
      <c r="AI277" s="13"/>
      <c r="AJ277" s="13"/>
      <c r="AK277" s="13"/>
      <c r="AL277" s="13"/>
      <c r="AM277" s="13"/>
      <c r="AN277" s="13"/>
      <c r="AO277" s="13"/>
      <c r="AP277" s="13"/>
    </row>
    <row r="278" ht="18.75" customHeight="1">
      <c r="A278" s="13"/>
      <c r="B278" s="282"/>
      <c r="C278" s="330"/>
      <c r="D278" s="330"/>
      <c r="E278" s="330"/>
      <c r="F278" s="13"/>
      <c r="G278" s="309"/>
      <c r="H278" s="309"/>
      <c r="I278" s="309"/>
      <c r="J278" s="310"/>
      <c r="K278" s="310"/>
      <c r="L278" s="310"/>
      <c r="M278" s="310"/>
      <c r="N278" s="310"/>
      <c r="O278" s="311"/>
      <c r="P278" s="310"/>
      <c r="Q278" s="311"/>
      <c r="R278" s="310"/>
      <c r="S278" s="13"/>
      <c r="T278" s="13"/>
      <c r="U278" s="13"/>
      <c r="V278" s="13"/>
      <c r="W278" s="13"/>
      <c r="X278" s="310"/>
      <c r="Y278" s="311"/>
      <c r="Z278" s="310"/>
      <c r="AA278" s="312"/>
      <c r="AB278" s="13"/>
      <c r="AC278" s="313"/>
      <c r="AD278" s="313"/>
      <c r="AE278" s="313"/>
      <c r="AF278" s="331"/>
      <c r="AG278" s="320"/>
      <c r="AH278" s="13"/>
      <c r="AI278" s="13"/>
      <c r="AJ278" s="13"/>
      <c r="AK278" s="13"/>
      <c r="AL278" s="13"/>
      <c r="AM278" s="13"/>
      <c r="AN278" s="13"/>
      <c r="AO278" s="13"/>
      <c r="AP278" s="13"/>
    </row>
    <row r="279" ht="18.75" customHeight="1">
      <c r="A279" s="13"/>
      <c r="B279" s="282"/>
      <c r="C279" s="330"/>
      <c r="D279" s="330"/>
      <c r="E279" s="330"/>
      <c r="F279" s="13"/>
      <c r="G279" s="309"/>
      <c r="H279" s="309"/>
      <c r="I279" s="309"/>
      <c r="J279" s="310"/>
      <c r="K279" s="310"/>
      <c r="L279" s="310"/>
      <c r="M279" s="310"/>
      <c r="N279" s="310"/>
      <c r="O279" s="311"/>
      <c r="P279" s="310"/>
      <c r="Q279" s="311"/>
      <c r="R279" s="310"/>
      <c r="S279" s="13"/>
      <c r="T279" s="13"/>
      <c r="U279" s="13"/>
      <c r="V279" s="13"/>
      <c r="W279" s="13"/>
      <c r="X279" s="310"/>
      <c r="Y279" s="311"/>
      <c r="Z279" s="310"/>
      <c r="AA279" s="312"/>
      <c r="AB279" s="13"/>
      <c r="AC279" s="313"/>
      <c r="AD279" s="313"/>
      <c r="AE279" s="313"/>
      <c r="AF279" s="331"/>
      <c r="AG279" s="320"/>
      <c r="AH279" s="13"/>
      <c r="AI279" s="13"/>
      <c r="AJ279" s="13"/>
      <c r="AK279" s="13"/>
      <c r="AL279" s="13"/>
      <c r="AM279" s="13"/>
      <c r="AN279" s="13"/>
      <c r="AO279" s="13"/>
      <c r="AP279" s="13"/>
    </row>
    <row r="280" ht="18.75" customHeight="1">
      <c r="A280" s="13"/>
      <c r="B280" s="282"/>
      <c r="C280" s="330"/>
      <c r="D280" s="330"/>
      <c r="E280" s="330"/>
      <c r="F280" s="13"/>
      <c r="G280" s="309"/>
      <c r="H280" s="309"/>
      <c r="I280" s="309"/>
      <c r="J280" s="310"/>
      <c r="K280" s="310"/>
      <c r="L280" s="310"/>
      <c r="M280" s="310"/>
      <c r="N280" s="310"/>
      <c r="O280" s="311"/>
      <c r="P280" s="310"/>
      <c r="Q280" s="311"/>
      <c r="R280" s="310"/>
      <c r="S280" s="13"/>
      <c r="T280" s="13"/>
      <c r="U280" s="13"/>
      <c r="V280" s="13"/>
      <c r="W280" s="13"/>
      <c r="X280" s="310"/>
      <c r="Y280" s="311"/>
      <c r="Z280" s="310"/>
      <c r="AA280" s="312"/>
      <c r="AB280" s="13"/>
      <c r="AC280" s="313"/>
      <c r="AD280" s="313"/>
      <c r="AE280" s="313"/>
      <c r="AF280" s="331"/>
      <c r="AG280" s="320"/>
      <c r="AH280" s="13"/>
      <c r="AI280" s="13"/>
      <c r="AJ280" s="13"/>
      <c r="AK280" s="13"/>
      <c r="AL280" s="13"/>
      <c r="AM280" s="13"/>
      <c r="AN280" s="13"/>
      <c r="AO280" s="13"/>
      <c r="AP280" s="13"/>
    </row>
    <row r="281" ht="18.75" customHeight="1">
      <c r="A281" s="13"/>
      <c r="B281" s="282"/>
      <c r="C281" s="330"/>
      <c r="D281" s="330"/>
      <c r="E281" s="330"/>
      <c r="F281" s="13"/>
      <c r="G281" s="309"/>
      <c r="H281" s="309"/>
      <c r="I281" s="309"/>
      <c r="J281" s="310"/>
      <c r="K281" s="310"/>
      <c r="L281" s="310"/>
      <c r="M281" s="310"/>
      <c r="N281" s="310"/>
      <c r="O281" s="311"/>
      <c r="P281" s="310"/>
      <c r="Q281" s="311"/>
      <c r="R281" s="310"/>
      <c r="S281" s="13"/>
      <c r="T281" s="13"/>
      <c r="U281" s="13"/>
      <c r="V281" s="13"/>
      <c r="W281" s="13"/>
      <c r="X281" s="310"/>
      <c r="Y281" s="311"/>
      <c r="Z281" s="310"/>
      <c r="AA281" s="312"/>
      <c r="AB281" s="13"/>
      <c r="AC281" s="313"/>
      <c r="AD281" s="313"/>
      <c r="AE281" s="313"/>
      <c r="AF281" s="331"/>
      <c r="AG281" s="320"/>
      <c r="AH281" s="13"/>
      <c r="AI281" s="13"/>
      <c r="AJ281" s="13"/>
      <c r="AK281" s="13"/>
      <c r="AL281" s="13"/>
      <c r="AM281" s="13"/>
      <c r="AN281" s="13"/>
      <c r="AO281" s="13"/>
      <c r="AP281" s="13"/>
    </row>
    <row r="282" ht="18.75" customHeight="1">
      <c r="A282" s="13"/>
      <c r="B282" s="282"/>
      <c r="C282" s="330"/>
      <c r="D282" s="330"/>
      <c r="E282" s="330"/>
      <c r="F282" s="13"/>
      <c r="G282" s="309"/>
      <c r="H282" s="309"/>
      <c r="I282" s="309"/>
      <c r="J282" s="310"/>
      <c r="K282" s="310"/>
      <c r="L282" s="310"/>
      <c r="M282" s="310"/>
      <c r="N282" s="310"/>
      <c r="O282" s="311"/>
      <c r="P282" s="310"/>
      <c r="Q282" s="311"/>
      <c r="R282" s="310"/>
      <c r="S282" s="13"/>
      <c r="T282" s="13"/>
      <c r="U282" s="13"/>
      <c r="V282" s="13"/>
      <c r="W282" s="13"/>
      <c r="X282" s="310"/>
      <c r="Y282" s="311"/>
      <c r="Z282" s="310"/>
      <c r="AA282" s="312"/>
      <c r="AB282" s="13"/>
      <c r="AC282" s="313"/>
      <c r="AD282" s="313"/>
      <c r="AE282" s="313"/>
      <c r="AF282" s="331"/>
      <c r="AG282" s="320"/>
      <c r="AH282" s="13"/>
      <c r="AI282" s="13"/>
      <c r="AJ282" s="13"/>
      <c r="AK282" s="13"/>
      <c r="AL282" s="13"/>
      <c r="AM282" s="13"/>
      <c r="AN282" s="13"/>
      <c r="AO282" s="13"/>
      <c r="AP282" s="13"/>
    </row>
    <row r="283" ht="18.75" customHeight="1">
      <c r="A283" s="13"/>
      <c r="B283" s="282"/>
      <c r="C283" s="330"/>
      <c r="D283" s="330"/>
      <c r="E283" s="330"/>
      <c r="F283" s="13"/>
      <c r="G283" s="309"/>
      <c r="H283" s="309"/>
      <c r="I283" s="309"/>
      <c r="J283" s="310"/>
      <c r="K283" s="310"/>
      <c r="L283" s="310"/>
      <c r="M283" s="310"/>
      <c r="N283" s="310"/>
      <c r="O283" s="311"/>
      <c r="P283" s="310"/>
      <c r="Q283" s="311"/>
      <c r="R283" s="310"/>
      <c r="S283" s="13"/>
      <c r="T283" s="13"/>
      <c r="U283" s="13"/>
      <c r="V283" s="13"/>
      <c r="W283" s="13"/>
      <c r="X283" s="310"/>
      <c r="Y283" s="311"/>
      <c r="Z283" s="310"/>
      <c r="AA283" s="312"/>
      <c r="AB283" s="13"/>
      <c r="AC283" s="313"/>
      <c r="AD283" s="313"/>
      <c r="AE283" s="313"/>
      <c r="AF283" s="331"/>
      <c r="AG283" s="320"/>
      <c r="AH283" s="13"/>
      <c r="AI283" s="13"/>
      <c r="AJ283" s="13"/>
      <c r="AK283" s="13"/>
      <c r="AL283" s="13"/>
      <c r="AM283" s="13"/>
      <c r="AN283" s="13"/>
      <c r="AO283" s="13"/>
      <c r="AP283" s="13"/>
    </row>
    <row r="284" ht="18.75" customHeight="1">
      <c r="A284" s="13"/>
      <c r="B284" s="282"/>
      <c r="C284" s="330"/>
      <c r="D284" s="330"/>
      <c r="E284" s="330"/>
      <c r="F284" s="13"/>
      <c r="G284" s="309"/>
      <c r="H284" s="309"/>
      <c r="I284" s="309"/>
      <c r="J284" s="310"/>
      <c r="K284" s="310"/>
      <c r="L284" s="310"/>
      <c r="M284" s="310"/>
      <c r="N284" s="310"/>
      <c r="O284" s="311"/>
      <c r="P284" s="310"/>
      <c r="Q284" s="311"/>
      <c r="R284" s="310"/>
      <c r="S284" s="13"/>
      <c r="T284" s="13"/>
      <c r="U284" s="13"/>
      <c r="V284" s="13"/>
      <c r="W284" s="13"/>
      <c r="X284" s="310"/>
      <c r="Y284" s="311"/>
      <c r="Z284" s="310"/>
      <c r="AA284" s="312"/>
      <c r="AB284" s="13"/>
      <c r="AC284" s="313"/>
      <c r="AD284" s="313"/>
      <c r="AE284" s="313"/>
      <c r="AF284" s="331"/>
      <c r="AG284" s="320"/>
      <c r="AH284" s="13"/>
      <c r="AI284" s="13"/>
      <c r="AJ284" s="13"/>
      <c r="AK284" s="13"/>
      <c r="AL284" s="13"/>
      <c r="AM284" s="13"/>
      <c r="AN284" s="13"/>
      <c r="AO284" s="13"/>
      <c r="AP284" s="13"/>
    </row>
    <row r="285" ht="18.75" customHeight="1">
      <c r="A285" s="13"/>
      <c r="B285" s="282"/>
      <c r="C285" s="330"/>
      <c r="D285" s="330"/>
      <c r="E285" s="330"/>
      <c r="F285" s="13"/>
      <c r="G285" s="309"/>
      <c r="H285" s="309"/>
      <c r="I285" s="309"/>
      <c r="J285" s="310"/>
      <c r="K285" s="310"/>
      <c r="L285" s="310"/>
      <c r="M285" s="310"/>
      <c r="N285" s="310"/>
      <c r="O285" s="311"/>
      <c r="P285" s="310"/>
      <c r="Q285" s="311"/>
      <c r="R285" s="310"/>
      <c r="S285" s="13"/>
      <c r="T285" s="13"/>
      <c r="U285" s="13"/>
      <c r="V285" s="13"/>
      <c r="W285" s="13"/>
      <c r="X285" s="310"/>
      <c r="Y285" s="311"/>
      <c r="Z285" s="310"/>
      <c r="AA285" s="312"/>
      <c r="AB285" s="13"/>
      <c r="AC285" s="313"/>
      <c r="AD285" s="313"/>
      <c r="AE285" s="313"/>
      <c r="AF285" s="331"/>
      <c r="AG285" s="320"/>
      <c r="AH285" s="13"/>
      <c r="AI285" s="13"/>
      <c r="AJ285" s="13"/>
      <c r="AK285" s="13"/>
      <c r="AL285" s="13"/>
      <c r="AM285" s="13"/>
      <c r="AN285" s="13"/>
      <c r="AO285" s="13"/>
      <c r="AP285" s="13"/>
    </row>
    <row r="286" ht="18.75" customHeight="1">
      <c r="A286" s="13"/>
      <c r="B286" s="282"/>
      <c r="C286" s="330"/>
      <c r="D286" s="330"/>
      <c r="E286" s="330"/>
      <c r="F286" s="13"/>
      <c r="G286" s="309"/>
      <c r="H286" s="309"/>
      <c r="I286" s="309"/>
      <c r="J286" s="310"/>
      <c r="K286" s="310"/>
      <c r="L286" s="310"/>
      <c r="M286" s="310"/>
      <c r="N286" s="310"/>
      <c r="O286" s="311"/>
      <c r="P286" s="310"/>
      <c r="Q286" s="311"/>
      <c r="R286" s="310"/>
      <c r="S286" s="13"/>
      <c r="T286" s="13"/>
      <c r="U286" s="13"/>
      <c r="V286" s="13"/>
      <c r="W286" s="13"/>
      <c r="X286" s="310"/>
      <c r="Y286" s="311"/>
      <c r="Z286" s="310"/>
      <c r="AA286" s="312"/>
      <c r="AB286" s="13"/>
      <c r="AC286" s="313"/>
      <c r="AD286" s="313"/>
      <c r="AE286" s="313"/>
      <c r="AF286" s="331"/>
      <c r="AG286" s="320"/>
      <c r="AH286" s="13"/>
      <c r="AI286" s="13"/>
      <c r="AJ286" s="13"/>
      <c r="AK286" s="13"/>
      <c r="AL286" s="13"/>
      <c r="AM286" s="13"/>
      <c r="AN286" s="13"/>
      <c r="AO286" s="13"/>
      <c r="AP286" s="13"/>
    </row>
    <row r="287" ht="18.75" customHeight="1">
      <c r="A287" s="13"/>
      <c r="B287" s="282"/>
      <c r="C287" s="330"/>
      <c r="D287" s="330"/>
      <c r="E287" s="330"/>
      <c r="F287" s="13"/>
      <c r="G287" s="309"/>
      <c r="H287" s="309"/>
      <c r="I287" s="309"/>
      <c r="J287" s="310"/>
      <c r="K287" s="310"/>
      <c r="L287" s="310"/>
      <c r="M287" s="310"/>
      <c r="N287" s="310"/>
      <c r="O287" s="311"/>
      <c r="P287" s="310"/>
      <c r="Q287" s="311"/>
      <c r="R287" s="310"/>
      <c r="S287" s="13"/>
      <c r="T287" s="13"/>
      <c r="U287" s="13"/>
      <c r="V287" s="13"/>
      <c r="W287" s="13"/>
      <c r="X287" s="310"/>
      <c r="Y287" s="311"/>
      <c r="Z287" s="310"/>
      <c r="AA287" s="312"/>
      <c r="AB287" s="13"/>
      <c r="AC287" s="313"/>
      <c r="AD287" s="313"/>
      <c r="AE287" s="313"/>
      <c r="AF287" s="331"/>
      <c r="AG287" s="320"/>
      <c r="AH287" s="13"/>
      <c r="AI287" s="13"/>
      <c r="AJ287" s="13"/>
      <c r="AK287" s="13"/>
      <c r="AL287" s="13"/>
      <c r="AM287" s="13"/>
      <c r="AN287" s="13"/>
      <c r="AO287" s="13"/>
      <c r="AP287" s="13"/>
    </row>
    <row r="288" ht="18.75" customHeight="1">
      <c r="A288" s="13"/>
      <c r="B288" s="282"/>
      <c r="C288" s="330"/>
      <c r="D288" s="330"/>
      <c r="E288" s="330"/>
      <c r="F288" s="13"/>
      <c r="G288" s="309"/>
      <c r="H288" s="309"/>
      <c r="I288" s="309"/>
      <c r="J288" s="310"/>
      <c r="K288" s="310"/>
      <c r="L288" s="310"/>
      <c r="M288" s="310"/>
      <c r="N288" s="310"/>
      <c r="O288" s="311"/>
      <c r="P288" s="310"/>
      <c r="Q288" s="311"/>
      <c r="R288" s="310"/>
      <c r="S288" s="13"/>
      <c r="T288" s="13"/>
      <c r="U288" s="13"/>
      <c r="V288" s="13"/>
      <c r="W288" s="13"/>
      <c r="X288" s="310"/>
      <c r="Y288" s="311"/>
      <c r="Z288" s="310"/>
      <c r="AA288" s="312"/>
      <c r="AB288" s="13"/>
      <c r="AC288" s="313"/>
      <c r="AD288" s="313"/>
      <c r="AE288" s="313"/>
      <c r="AF288" s="331"/>
      <c r="AG288" s="320"/>
      <c r="AH288" s="13"/>
      <c r="AI288" s="13"/>
      <c r="AJ288" s="13"/>
      <c r="AK288" s="13"/>
      <c r="AL288" s="13"/>
      <c r="AM288" s="13"/>
      <c r="AN288" s="13"/>
      <c r="AO288" s="13"/>
      <c r="AP288" s="13"/>
    </row>
    <row r="289" ht="18.75" customHeight="1">
      <c r="A289" s="13"/>
      <c r="B289" s="282"/>
      <c r="C289" s="330"/>
      <c r="D289" s="330"/>
      <c r="E289" s="330"/>
      <c r="F289" s="13"/>
      <c r="G289" s="309"/>
      <c r="H289" s="309"/>
      <c r="I289" s="309"/>
      <c r="J289" s="310"/>
      <c r="K289" s="310"/>
      <c r="L289" s="310"/>
      <c r="M289" s="310"/>
      <c r="N289" s="310"/>
      <c r="O289" s="311"/>
      <c r="P289" s="310"/>
      <c r="Q289" s="311"/>
      <c r="R289" s="310"/>
      <c r="S289" s="13"/>
      <c r="T289" s="13"/>
      <c r="U289" s="13"/>
      <c r="V289" s="13"/>
      <c r="W289" s="13"/>
      <c r="X289" s="310"/>
      <c r="Y289" s="311"/>
      <c r="Z289" s="310"/>
      <c r="AA289" s="312"/>
      <c r="AB289" s="13"/>
      <c r="AC289" s="313"/>
      <c r="AD289" s="313"/>
      <c r="AE289" s="313"/>
      <c r="AF289" s="331"/>
      <c r="AG289" s="320"/>
      <c r="AH289" s="13"/>
      <c r="AI289" s="13"/>
      <c r="AJ289" s="13"/>
      <c r="AK289" s="13"/>
      <c r="AL289" s="13"/>
      <c r="AM289" s="13"/>
      <c r="AN289" s="13"/>
      <c r="AO289" s="13"/>
      <c r="AP289" s="13"/>
    </row>
    <row r="290" ht="18.75" customHeight="1">
      <c r="A290" s="13"/>
      <c r="B290" s="282"/>
      <c r="C290" s="330"/>
      <c r="D290" s="330"/>
      <c r="E290" s="330"/>
      <c r="F290" s="13"/>
      <c r="G290" s="309"/>
      <c r="H290" s="309"/>
      <c r="I290" s="309"/>
      <c r="J290" s="310"/>
      <c r="K290" s="310"/>
      <c r="L290" s="310"/>
      <c r="M290" s="310"/>
      <c r="N290" s="310"/>
      <c r="O290" s="311"/>
      <c r="P290" s="310"/>
      <c r="Q290" s="311"/>
      <c r="R290" s="310"/>
      <c r="S290" s="13"/>
      <c r="T290" s="13"/>
      <c r="U290" s="13"/>
      <c r="V290" s="13"/>
      <c r="W290" s="13"/>
      <c r="X290" s="310"/>
      <c r="Y290" s="311"/>
      <c r="Z290" s="310"/>
      <c r="AA290" s="312"/>
      <c r="AB290" s="13"/>
      <c r="AC290" s="313"/>
      <c r="AD290" s="313"/>
      <c r="AE290" s="313"/>
      <c r="AF290" s="331"/>
      <c r="AG290" s="320"/>
      <c r="AH290" s="13"/>
      <c r="AI290" s="13"/>
      <c r="AJ290" s="13"/>
      <c r="AK290" s="13"/>
      <c r="AL290" s="13"/>
      <c r="AM290" s="13"/>
      <c r="AN290" s="13"/>
      <c r="AO290" s="13"/>
      <c r="AP290" s="13"/>
    </row>
    <row r="291" ht="18.75" customHeight="1">
      <c r="A291" s="13"/>
      <c r="B291" s="282"/>
      <c r="C291" s="330"/>
      <c r="D291" s="330"/>
      <c r="E291" s="330"/>
      <c r="F291" s="13"/>
      <c r="G291" s="309"/>
      <c r="H291" s="309"/>
      <c r="I291" s="309"/>
      <c r="J291" s="310"/>
      <c r="K291" s="310"/>
      <c r="L291" s="310"/>
      <c r="M291" s="310"/>
      <c r="N291" s="310"/>
      <c r="O291" s="311"/>
      <c r="P291" s="310"/>
      <c r="Q291" s="311"/>
      <c r="R291" s="310"/>
      <c r="S291" s="13"/>
      <c r="T291" s="13"/>
      <c r="U291" s="13"/>
      <c r="V291" s="13"/>
      <c r="W291" s="13"/>
      <c r="X291" s="310"/>
      <c r="Y291" s="311"/>
      <c r="Z291" s="310"/>
      <c r="AA291" s="312"/>
      <c r="AB291" s="13"/>
      <c r="AC291" s="313"/>
      <c r="AD291" s="313"/>
      <c r="AE291" s="313"/>
      <c r="AF291" s="331"/>
      <c r="AG291" s="320"/>
      <c r="AH291" s="13"/>
      <c r="AI291" s="13"/>
      <c r="AJ291" s="13"/>
      <c r="AK291" s="13"/>
      <c r="AL291" s="13"/>
      <c r="AM291" s="13"/>
      <c r="AN291" s="13"/>
      <c r="AO291" s="13"/>
      <c r="AP291" s="13"/>
    </row>
    <row r="292" ht="18.75" customHeight="1">
      <c r="A292" s="13"/>
      <c r="B292" s="282"/>
      <c r="C292" s="330"/>
      <c r="D292" s="330"/>
      <c r="E292" s="330"/>
      <c r="F292" s="13"/>
      <c r="G292" s="309"/>
      <c r="H292" s="309"/>
      <c r="I292" s="309"/>
      <c r="J292" s="310"/>
      <c r="K292" s="310"/>
      <c r="L292" s="310"/>
      <c r="M292" s="310"/>
      <c r="N292" s="310"/>
      <c r="O292" s="311"/>
      <c r="P292" s="310"/>
      <c r="Q292" s="311"/>
      <c r="R292" s="310"/>
      <c r="S292" s="13"/>
      <c r="T292" s="13"/>
      <c r="U292" s="13"/>
      <c r="V292" s="13"/>
      <c r="W292" s="13"/>
      <c r="X292" s="310"/>
      <c r="Y292" s="311"/>
      <c r="Z292" s="310"/>
      <c r="AA292" s="312"/>
      <c r="AB292" s="13"/>
      <c r="AC292" s="313"/>
      <c r="AD292" s="313"/>
      <c r="AE292" s="313"/>
      <c r="AF292" s="331"/>
      <c r="AG292" s="320"/>
      <c r="AH292" s="13"/>
      <c r="AI292" s="13"/>
      <c r="AJ292" s="13"/>
      <c r="AK292" s="13"/>
      <c r="AL292" s="13"/>
      <c r="AM292" s="13"/>
      <c r="AN292" s="13"/>
      <c r="AO292" s="13"/>
      <c r="AP292" s="13"/>
    </row>
    <row r="293" ht="18.75" customHeight="1">
      <c r="A293" s="13"/>
      <c r="B293" s="282"/>
      <c r="C293" s="330"/>
      <c r="D293" s="330"/>
      <c r="E293" s="330"/>
      <c r="F293" s="13"/>
      <c r="G293" s="309"/>
      <c r="H293" s="309"/>
      <c r="I293" s="309"/>
      <c r="J293" s="310"/>
      <c r="K293" s="310"/>
      <c r="L293" s="310"/>
      <c r="M293" s="310"/>
      <c r="N293" s="310"/>
      <c r="O293" s="311"/>
      <c r="P293" s="310"/>
      <c r="Q293" s="311"/>
      <c r="R293" s="310"/>
      <c r="S293" s="13"/>
      <c r="T293" s="13"/>
      <c r="U293" s="13"/>
      <c r="V293" s="13"/>
      <c r="W293" s="13"/>
      <c r="X293" s="310"/>
      <c r="Y293" s="311"/>
      <c r="Z293" s="310"/>
      <c r="AA293" s="312"/>
      <c r="AB293" s="13"/>
      <c r="AC293" s="313"/>
      <c r="AD293" s="313"/>
      <c r="AE293" s="313"/>
      <c r="AF293" s="331"/>
      <c r="AG293" s="320"/>
      <c r="AH293" s="13"/>
      <c r="AI293" s="13"/>
      <c r="AJ293" s="13"/>
      <c r="AK293" s="13"/>
      <c r="AL293" s="13"/>
      <c r="AM293" s="13"/>
      <c r="AN293" s="13"/>
      <c r="AO293" s="13"/>
      <c r="AP293" s="13"/>
    </row>
    <row r="294" ht="18.75" customHeight="1">
      <c r="A294" s="13"/>
      <c r="B294" s="282"/>
      <c r="C294" s="330"/>
      <c r="D294" s="330"/>
      <c r="E294" s="330"/>
      <c r="F294" s="13"/>
      <c r="G294" s="309"/>
      <c r="H294" s="309"/>
      <c r="I294" s="309"/>
      <c r="J294" s="310"/>
      <c r="K294" s="310"/>
      <c r="L294" s="310"/>
      <c r="M294" s="310"/>
      <c r="N294" s="310"/>
      <c r="O294" s="311"/>
      <c r="P294" s="310"/>
      <c r="Q294" s="311"/>
      <c r="R294" s="310"/>
      <c r="S294" s="13"/>
      <c r="T294" s="13"/>
      <c r="U294" s="13"/>
      <c r="V294" s="13"/>
      <c r="W294" s="13"/>
      <c r="X294" s="310"/>
      <c r="Y294" s="311"/>
      <c r="Z294" s="310"/>
      <c r="AA294" s="312"/>
      <c r="AB294" s="13"/>
      <c r="AC294" s="313"/>
      <c r="AD294" s="313"/>
      <c r="AE294" s="313"/>
      <c r="AF294" s="331"/>
      <c r="AG294" s="320"/>
      <c r="AH294" s="13"/>
      <c r="AI294" s="13"/>
      <c r="AJ294" s="13"/>
      <c r="AK294" s="13"/>
      <c r="AL294" s="13"/>
      <c r="AM294" s="13"/>
      <c r="AN294" s="13"/>
      <c r="AO294" s="13"/>
      <c r="AP294" s="13"/>
    </row>
    <row r="295" ht="18.75" customHeight="1">
      <c r="A295" s="13"/>
      <c r="B295" s="282"/>
      <c r="C295" s="330"/>
      <c r="D295" s="330"/>
      <c r="E295" s="330"/>
      <c r="F295" s="13"/>
      <c r="G295" s="309"/>
      <c r="H295" s="309"/>
      <c r="I295" s="309"/>
      <c r="J295" s="310"/>
      <c r="K295" s="310"/>
      <c r="L295" s="310"/>
      <c r="M295" s="310"/>
      <c r="N295" s="310"/>
      <c r="O295" s="311"/>
      <c r="P295" s="310"/>
      <c r="Q295" s="311"/>
      <c r="R295" s="310"/>
      <c r="S295" s="13"/>
      <c r="T295" s="13"/>
      <c r="U295" s="13"/>
      <c r="V295" s="13"/>
      <c r="W295" s="13"/>
      <c r="X295" s="310"/>
      <c r="Y295" s="311"/>
      <c r="Z295" s="310"/>
      <c r="AA295" s="312"/>
      <c r="AB295" s="13"/>
      <c r="AC295" s="313"/>
      <c r="AD295" s="313"/>
      <c r="AE295" s="313"/>
      <c r="AF295" s="331"/>
      <c r="AG295" s="320"/>
      <c r="AH295" s="13"/>
      <c r="AI295" s="13"/>
      <c r="AJ295" s="13"/>
      <c r="AK295" s="13"/>
      <c r="AL295" s="13"/>
      <c r="AM295" s="13"/>
      <c r="AN295" s="13"/>
      <c r="AO295" s="13"/>
      <c r="AP295" s="13"/>
    </row>
    <row r="296" ht="18.75" customHeight="1">
      <c r="A296" s="13"/>
      <c r="B296" s="282"/>
      <c r="C296" s="330"/>
      <c r="D296" s="330"/>
      <c r="E296" s="330"/>
      <c r="F296" s="13"/>
      <c r="G296" s="309"/>
      <c r="H296" s="309"/>
      <c r="I296" s="309"/>
      <c r="J296" s="310"/>
      <c r="K296" s="310"/>
      <c r="L296" s="310"/>
      <c r="M296" s="310"/>
      <c r="N296" s="310"/>
      <c r="O296" s="311"/>
      <c r="P296" s="310"/>
      <c r="Q296" s="311"/>
      <c r="R296" s="310"/>
      <c r="S296" s="13"/>
      <c r="T296" s="13"/>
      <c r="U296" s="13"/>
      <c r="V296" s="13"/>
      <c r="W296" s="13"/>
      <c r="X296" s="310"/>
      <c r="Y296" s="311"/>
      <c r="Z296" s="310"/>
      <c r="AA296" s="312"/>
      <c r="AB296" s="13"/>
      <c r="AC296" s="313"/>
      <c r="AD296" s="313"/>
      <c r="AE296" s="313"/>
      <c r="AF296" s="331"/>
      <c r="AG296" s="320"/>
      <c r="AH296" s="13"/>
      <c r="AI296" s="13"/>
      <c r="AJ296" s="13"/>
      <c r="AK296" s="13"/>
      <c r="AL296" s="13"/>
      <c r="AM296" s="13"/>
      <c r="AN296" s="13"/>
      <c r="AO296" s="13"/>
      <c r="AP296" s="13"/>
    </row>
    <row r="297" ht="18.75" customHeight="1">
      <c r="A297" s="13"/>
      <c r="B297" s="282"/>
      <c r="C297" s="330"/>
      <c r="D297" s="330"/>
      <c r="E297" s="330"/>
      <c r="F297" s="13"/>
      <c r="G297" s="309"/>
      <c r="H297" s="309"/>
      <c r="I297" s="309"/>
      <c r="J297" s="310"/>
      <c r="K297" s="310"/>
      <c r="L297" s="310"/>
      <c r="M297" s="310"/>
      <c r="N297" s="310"/>
      <c r="O297" s="311"/>
      <c r="P297" s="310"/>
      <c r="Q297" s="311"/>
      <c r="R297" s="310"/>
      <c r="S297" s="13"/>
      <c r="T297" s="13"/>
      <c r="U297" s="13"/>
      <c r="V297" s="13"/>
      <c r="W297" s="13"/>
      <c r="X297" s="310"/>
      <c r="Y297" s="311"/>
      <c r="Z297" s="310"/>
      <c r="AA297" s="312"/>
      <c r="AB297" s="13"/>
      <c r="AC297" s="313"/>
      <c r="AD297" s="313"/>
      <c r="AE297" s="313"/>
      <c r="AF297" s="331"/>
      <c r="AG297" s="320"/>
      <c r="AH297" s="13"/>
      <c r="AI297" s="13"/>
      <c r="AJ297" s="13"/>
      <c r="AK297" s="13"/>
      <c r="AL297" s="13"/>
      <c r="AM297" s="13"/>
      <c r="AN297" s="13"/>
      <c r="AO297" s="13"/>
      <c r="AP297" s="13"/>
    </row>
    <row r="298" ht="18.75" customHeight="1">
      <c r="A298" s="13"/>
      <c r="B298" s="282"/>
      <c r="C298" s="330"/>
      <c r="D298" s="330"/>
      <c r="E298" s="330"/>
      <c r="F298" s="13"/>
      <c r="G298" s="309"/>
      <c r="H298" s="309"/>
      <c r="I298" s="309"/>
      <c r="J298" s="310"/>
      <c r="K298" s="310"/>
      <c r="L298" s="310"/>
      <c r="M298" s="310"/>
      <c r="N298" s="310"/>
      <c r="O298" s="311"/>
      <c r="P298" s="310"/>
      <c r="Q298" s="311"/>
      <c r="R298" s="310"/>
      <c r="S298" s="13"/>
      <c r="T298" s="13"/>
      <c r="U298" s="13"/>
      <c r="V298" s="13"/>
      <c r="W298" s="13"/>
      <c r="X298" s="310"/>
      <c r="Y298" s="311"/>
      <c r="Z298" s="310"/>
      <c r="AA298" s="312"/>
      <c r="AB298" s="13"/>
      <c r="AC298" s="313"/>
      <c r="AD298" s="313"/>
      <c r="AE298" s="313"/>
      <c r="AF298" s="331"/>
      <c r="AG298" s="320"/>
      <c r="AH298" s="13"/>
      <c r="AI298" s="13"/>
      <c r="AJ298" s="13"/>
      <c r="AK298" s="13"/>
      <c r="AL298" s="13"/>
      <c r="AM298" s="13"/>
      <c r="AN298" s="13"/>
      <c r="AO298" s="13"/>
      <c r="AP298" s="13"/>
    </row>
    <row r="299" ht="18.75" customHeight="1">
      <c r="A299" s="13"/>
      <c r="B299" s="282"/>
      <c r="C299" s="330"/>
      <c r="D299" s="330"/>
      <c r="E299" s="330"/>
      <c r="F299" s="13"/>
      <c r="G299" s="309"/>
      <c r="H299" s="309"/>
      <c r="I299" s="309"/>
      <c r="J299" s="310"/>
      <c r="K299" s="310"/>
      <c r="L299" s="310"/>
      <c r="M299" s="310"/>
      <c r="N299" s="310"/>
      <c r="O299" s="311"/>
      <c r="P299" s="310"/>
      <c r="Q299" s="311"/>
      <c r="R299" s="310"/>
      <c r="S299" s="13"/>
      <c r="T299" s="13"/>
      <c r="U299" s="13"/>
      <c r="V299" s="13"/>
      <c r="W299" s="13"/>
      <c r="X299" s="310"/>
      <c r="Y299" s="311"/>
      <c r="Z299" s="310"/>
      <c r="AA299" s="312"/>
      <c r="AB299" s="13"/>
      <c r="AC299" s="313"/>
      <c r="AD299" s="313"/>
      <c r="AE299" s="313"/>
      <c r="AF299" s="331"/>
      <c r="AG299" s="320"/>
      <c r="AH299" s="13"/>
      <c r="AI299" s="13"/>
      <c r="AJ299" s="13"/>
      <c r="AK299" s="13"/>
      <c r="AL299" s="13"/>
      <c r="AM299" s="13"/>
      <c r="AN299" s="13"/>
      <c r="AO299" s="13"/>
      <c r="AP299" s="13"/>
    </row>
    <row r="300" ht="18.75" customHeight="1">
      <c r="A300" s="13"/>
      <c r="B300" s="282"/>
      <c r="C300" s="330"/>
      <c r="D300" s="330"/>
      <c r="E300" s="330"/>
      <c r="F300" s="13"/>
      <c r="G300" s="309"/>
      <c r="H300" s="309"/>
      <c r="I300" s="309"/>
      <c r="J300" s="310"/>
      <c r="K300" s="310"/>
      <c r="L300" s="310"/>
      <c r="M300" s="310"/>
      <c r="N300" s="310"/>
      <c r="O300" s="311"/>
      <c r="P300" s="310"/>
      <c r="Q300" s="311"/>
      <c r="R300" s="310"/>
      <c r="S300" s="13"/>
      <c r="T300" s="13"/>
      <c r="U300" s="13"/>
      <c r="V300" s="13"/>
      <c r="W300" s="13"/>
      <c r="X300" s="310"/>
      <c r="Y300" s="311"/>
      <c r="Z300" s="310"/>
      <c r="AA300" s="312"/>
      <c r="AB300" s="13"/>
      <c r="AC300" s="313"/>
      <c r="AD300" s="313"/>
      <c r="AE300" s="313"/>
      <c r="AF300" s="331"/>
      <c r="AG300" s="320"/>
      <c r="AH300" s="13"/>
      <c r="AI300" s="13"/>
      <c r="AJ300" s="13"/>
      <c r="AK300" s="13"/>
      <c r="AL300" s="13"/>
      <c r="AM300" s="13"/>
      <c r="AN300" s="13"/>
      <c r="AO300" s="13"/>
      <c r="AP300" s="13"/>
    </row>
    <row r="301" ht="18.75" customHeight="1">
      <c r="A301" s="13"/>
      <c r="B301" s="282"/>
      <c r="C301" s="330"/>
      <c r="D301" s="330"/>
      <c r="E301" s="330"/>
      <c r="F301" s="13"/>
      <c r="G301" s="309"/>
      <c r="H301" s="309"/>
      <c r="I301" s="309"/>
      <c r="J301" s="310"/>
      <c r="K301" s="310"/>
      <c r="L301" s="310"/>
      <c r="M301" s="310"/>
      <c r="N301" s="310"/>
      <c r="O301" s="311"/>
      <c r="P301" s="310"/>
      <c r="Q301" s="311"/>
      <c r="R301" s="310"/>
      <c r="S301" s="13"/>
      <c r="T301" s="13"/>
      <c r="U301" s="13"/>
      <c r="V301" s="13"/>
      <c r="W301" s="13"/>
      <c r="X301" s="310"/>
      <c r="Y301" s="311"/>
      <c r="Z301" s="310"/>
      <c r="AA301" s="312"/>
      <c r="AB301" s="13"/>
      <c r="AC301" s="313"/>
      <c r="AD301" s="313"/>
      <c r="AE301" s="313"/>
      <c r="AF301" s="331"/>
      <c r="AG301" s="320"/>
      <c r="AH301" s="13"/>
      <c r="AI301" s="13"/>
      <c r="AJ301" s="13"/>
      <c r="AK301" s="13"/>
      <c r="AL301" s="13"/>
      <c r="AM301" s="13"/>
      <c r="AN301" s="13"/>
      <c r="AO301" s="13"/>
      <c r="AP301" s="13"/>
    </row>
    <row r="302" ht="18.75" customHeight="1">
      <c r="A302" s="13"/>
      <c r="B302" s="282"/>
      <c r="C302" s="330"/>
      <c r="D302" s="330"/>
      <c r="E302" s="330"/>
      <c r="F302" s="13"/>
      <c r="G302" s="309"/>
      <c r="H302" s="309"/>
      <c r="I302" s="309"/>
      <c r="J302" s="310"/>
      <c r="K302" s="310"/>
      <c r="L302" s="310"/>
      <c r="M302" s="310"/>
      <c r="N302" s="310"/>
      <c r="O302" s="311"/>
      <c r="P302" s="310"/>
      <c r="Q302" s="311"/>
      <c r="R302" s="310"/>
      <c r="S302" s="13"/>
      <c r="T302" s="13"/>
      <c r="U302" s="13"/>
      <c r="V302" s="13"/>
      <c r="W302" s="13"/>
      <c r="X302" s="310"/>
      <c r="Y302" s="311"/>
      <c r="Z302" s="310"/>
      <c r="AA302" s="312"/>
      <c r="AB302" s="13"/>
      <c r="AC302" s="313"/>
      <c r="AD302" s="313"/>
      <c r="AE302" s="313"/>
      <c r="AF302" s="331"/>
      <c r="AG302" s="320"/>
      <c r="AH302" s="13"/>
      <c r="AI302" s="13"/>
      <c r="AJ302" s="13"/>
      <c r="AK302" s="13"/>
      <c r="AL302" s="13"/>
      <c r="AM302" s="13"/>
      <c r="AN302" s="13"/>
      <c r="AO302" s="13"/>
      <c r="AP302" s="13"/>
    </row>
    <row r="303" ht="18.75" customHeight="1">
      <c r="A303" s="13"/>
      <c r="B303" s="282"/>
      <c r="C303" s="330"/>
      <c r="D303" s="330"/>
      <c r="E303" s="330"/>
      <c r="F303" s="13"/>
      <c r="G303" s="309"/>
      <c r="H303" s="309"/>
      <c r="I303" s="309"/>
      <c r="J303" s="310"/>
      <c r="K303" s="310"/>
      <c r="L303" s="310"/>
      <c r="M303" s="310"/>
      <c r="N303" s="310"/>
      <c r="O303" s="311"/>
      <c r="P303" s="310"/>
      <c r="Q303" s="311"/>
      <c r="R303" s="310"/>
      <c r="S303" s="13"/>
      <c r="T303" s="13"/>
      <c r="U303" s="13"/>
      <c r="V303" s="13"/>
      <c r="W303" s="13"/>
      <c r="X303" s="310"/>
      <c r="Y303" s="311"/>
      <c r="Z303" s="310"/>
      <c r="AA303" s="312"/>
      <c r="AB303" s="13"/>
      <c r="AC303" s="313"/>
      <c r="AD303" s="313"/>
      <c r="AE303" s="313"/>
      <c r="AF303" s="331"/>
      <c r="AG303" s="320"/>
      <c r="AH303" s="13"/>
      <c r="AI303" s="13"/>
      <c r="AJ303" s="13"/>
      <c r="AK303" s="13"/>
      <c r="AL303" s="13"/>
      <c r="AM303" s="13"/>
      <c r="AN303" s="13"/>
      <c r="AO303" s="13"/>
      <c r="AP303" s="13"/>
    </row>
    <row r="304" ht="18.75" customHeight="1">
      <c r="A304" s="13"/>
      <c r="B304" s="282"/>
      <c r="C304" s="330"/>
      <c r="D304" s="330"/>
      <c r="E304" s="330"/>
      <c r="F304" s="13"/>
      <c r="G304" s="309"/>
      <c r="H304" s="309"/>
      <c r="I304" s="309"/>
      <c r="J304" s="310"/>
      <c r="K304" s="310"/>
      <c r="L304" s="310"/>
      <c r="M304" s="310"/>
      <c r="N304" s="310"/>
      <c r="O304" s="311"/>
      <c r="P304" s="310"/>
      <c r="Q304" s="311"/>
      <c r="R304" s="310"/>
      <c r="S304" s="13"/>
      <c r="T304" s="13"/>
      <c r="U304" s="13"/>
      <c r="V304" s="13"/>
      <c r="W304" s="13"/>
      <c r="X304" s="310"/>
      <c r="Y304" s="311"/>
      <c r="Z304" s="310"/>
      <c r="AA304" s="312"/>
      <c r="AB304" s="13"/>
      <c r="AC304" s="313"/>
      <c r="AD304" s="313"/>
      <c r="AE304" s="313"/>
      <c r="AF304" s="331"/>
      <c r="AG304" s="320"/>
      <c r="AH304" s="13"/>
      <c r="AI304" s="13"/>
      <c r="AJ304" s="13"/>
      <c r="AK304" s="13"/>
      <c r="AL304" s="13"/>
      <c r="AM304" s="13"/>
      <c r="AN304" s="13"/>
      <c r="AO304" s="13"/>
      <c r="AP304" s="13"/>
    </row>
    <row r="305" ht="18.75" customHeight="1">
      <c r="A305" s="13"/>
      <c r="B305" s="282"/>
      <c r="C305" s="330"/>
      <c r="D305" s="330"/>
      <c r="E305" s="330"/>
      <c r="F305" s="13"/>
      <c r="G305" s="309"/>
      <c r="H305" s="309"/>
      <c r="I305" s="309"/>
      <c r="J305" s="310"/>
      <c r="K305" s="310"/>
      <c r="L305" s="310"/>
      <c r="M305" s="310"/>
      <c r="N305" s="310"/>
      <c r="O305" s="311"/>
      <c r="P305" s="310"/>
      <c r="Q305" s="311"/>
      <c r="R305" s="310"/>
      <c r="S305" s="13"/>
      <c r="T305" s="13"/>
      <c r="U305" s="13"/>
      <c r="V305" s="13"/>
      <c r="W305" s="13"/>
      <c r="X305" s="310"/>
      <c r="Y305" s="311"/>
      <c r="Z305" s="310"/>
      <c r="AA305" s="312"/>
      <c r="AB305" s="13"/>
      <c r="AC305" s="313"/>
      <c r="AD305" s="313"/>
      <c r="AE305" s="313"/>
      <c r="AF305" s="331"/>
      <c r="AG305" s="320"/>
      <c r="AH305" s="13"/>
      <c r="AI305" s="13"/>
      <c r="AJ305" s="13"/>
      <c r="AK305" s="13"/>
      <c r="AL305" s="13"/>
      <c r="AM305" s="13"/>
      <c r="AN305" s="13"/>
      <c r="AO305" s="13"/>
      <c r="AP305" s="13"/>
    </row>
    <row r="306" ht="18.75" customHeight="1">
      <c r="A306" s="13"/>
      <c r="B306" s="282"/>
      <c r="C306" s="330"/>
      <c r="D306" s="330"/>
      <c r="E306" s="330"/>
      <c r="F306" s="13"/>
      <c r="G306" s="309"/>
      <c r="H306" s="309"/>
      <c r="I306" s="309"/>
      <c r="J306" s="310"/>
      <c r="K306" s="310"/>
      <c r="L306" s="310"/>
      <c r="M306" s="310"/>
      <c r="N306" s="310"/>
      <c r="O306" s="311"/>
      <c r="P306" s="310"/>
      <c r="Q306" s="311"/>
      <c r="R306" s="310"/>
      <c r="S306" s="13"/>
      <c r="T306" s="13"/>
      <c r="U306" s="13"/>
      <c r="V306" s="13"/>
      <c r="W306" s="13"/>
      <c r="X306" s="310"/>
      <c r="Y306" s="311"/>
      <c r="Z306" s="310"/>
      <c r="AA306" s="312"/>
      <c r="AB306" s="13"/>
      <c r="AC306" s="313"/>
      <c r="AD306" s="313"/>
      <c r="AE306" s="313"/>
      <c r="AF306" s="331"/>
      <c r="AG306" s="320"/>
      <c r="AH306" s="13"/>
      <c r="AI306" s="13"/>
      <c r="AJ306" s="13"/>
      <c r="AK306" s="13"/>
      <c r="AL306" s="13"/>
      <c r="AM306" s="13"/>
      <c r="AN306" s="13"/>
      <c r="AO306" s="13"/>
      <c r="AP306" s="13"/>
    </row>
    <row r="307" ht="18.75" customHeight="1">
      <c r="A307" s="13"/>
      <c r="B307" s="282"/>
      <c r="C307" s="330"/>
      <c r="D307" s="330"/>
      <c r="E307" s="330"/>
      <c r="F307" s="13"/>
      <c r="G307" s="309"/>
      <c r="H307" s="309"/>
      <c r="I307" s="309"/>
      <c r="J307" s="310"/>
      <c r="K307" s="310"/>
      <c r="L307" s="310"/>
      <c r="M307" s="310"/>
      <c r="N307" s="310"/>
      <c r="O307" s="311"/>
      <c r="P307" s="310"/>
      <c r="Q307" s="311"/>
      <c r="R307" s="310"/>
      <c r="S307" s="13"/>
      <c r="T307" s="13"/>
      <c r="U307" s="13"/>
      <c r="V307" s="13"/>
      <c r="W307" s="13"/>
      <c r="X307" s="310"/>
      <c r="Y307" s="311"/>
      <c r="Z307" s="310"/>
      <c r="AA307" s="312"/>
      <c r="AB307" s="13"/>
      <c r="AC307" s="313"/>
      <c r="AD307" s="313"/>
      <c r="AE307" s="313"/>
      <c r="AF307" s="331"/>
      <c r="AG307" s="320"/>
      <c r="AH307" s="13"/>
      <c r="AI307" s="13"/>
      <c r="AJ307" s="13"/>
      <c r="AK307" s="13"/>
      <c r="AL307" s="13"/>
      <c r="AM307" s="13"/>
      <c r="AN307" s="13"/>
      <c r="AO307" s="13"/>
      <c r="AP307" s="13"/>
    </row>
    <row r="308" ht="18.75" customHeight="1">
      <c r="A308" s="13"/>
      <c r="B308" s="282"/>
      <c r="C308" s="330"/>
      <c r="D308" s="330"/>
      <c r="E308" s="330"/>
      <c r="F308" s="13"/>
      <c r="G308" s="309"/>
      <c r="H308" s="309"/>
      <c r="I308" s="309"/>
      <c r="J308" s="310"/>
      <c r="K308" s="310"/>
      <c r="L308" s="310"/>
      <c r="M308" s="310"/>
      <c r="N308" s="310"/>
      <c r="O308" s="311"/>
      <c r="P308" s="310"/>
      <c r="Q308" s="311"/>
      <c r="R308" s="310"/>
      <c r="S308" s="13"/>
      <c r="T308" s="13"/>
      <c r="U308" s="13"/>
      <c r="V308" s="13"/>
      <c r="W308" s="13"/>
      <c r="X308" s="310"/>
      <c r="Y308" s="311"/>
      <c r="Z308" s="310"/>
      <c r="AA308" s="312"/>
      <c r="AB308" s="13"/>
      <c r="AC308" s="313"/>
      <c r="AD308" s="313"/>
      <c r="AE308" s="313"/>
      <c r="AF308" s="331"/>
      <c r="AG308" s="320"/>
      <c r="AH308" s="13"/>
      <c r="AI308" s="13"/>
      <c r="AJ308" s="13"/>
      <c r="AK308" s="13"/>
      <c r="AL308" s="13"/>
      <c r="AM308" s="13"/>
      <c r="AN308" s="13"/>
      <c r="AO308" s="13"/>
      <c r="AP308" s="13"/>
    </row>
    <row r="309" ht="18.75" customHeight="1">
      <c r="A309" s="13"/>
      <c r="B309" s="282"/>
      <c r="C309" s="330"/>
      <c r="D309" s="330"/>
      <c r="E309" s="330"/>
      <c r="F309" s="13"/>
      <c r="G309" s="309"/>
      <c r="H309" s="309"/>
      <c r="I309" s="309"/>
      <c r="J309" s="310"/>
      <c r="K309" s="310"/>
      <c r="L309" s="310"/>
      <c r="M309" s="310"/>
      <c r="N309" s="310"/>
      <c r="O309" s="311"/>
      <c r="P309" s="310"/>
      <c r="Q309" s="311"/>
      <c r="R309" s="310"/>
      <c r="S309" s="13"/>
      <c r="T309" s="13"/>
      <c r="U309" s="13"/>
      <c r="V309" s="13"/>
      <c r="W309" s="13"/>
      <c r="X309" s="310"/>
      <c r="Y309" s="311"/>
      <c r="Z309" s="310"/>
      <c r="AA309" s="312"/>
      <c r="AB309" s="13"/>
      <c r="AC309" s="313"/>
      <c r="AD309" s="313"/>
      <c r="AE309" s="313"/>
      <c r="AF309" s="331"/>
      <c r="AG309" s="320"/>
      <c r="AH309" s="13"/>
      <c r="AI309" s="13"/>
      <c r="AJ309" s="13"/>
      <c r="AK309" s="13"/>
      <c r="AL309" s="13"/>
      <c r="AM309" s="13"/>
      <c r="AN309" s="13"/>
      <c r="AO309" s="13"/>
      <c r="AP309" s="13"/>
    </row>
    <row r="310" ht="18.75" customHeight="1">
      <c r="A310" s="13"/>
      <c r="B310" s="282"/>
      <c r="C310" s="330"/>
      <c r="D310" s="330"/>
      <c r="E310" s="330"/>
      <c r="F310" s="13"/>
      <c r="G310" s="309"/>
      <c r="H310" s="309"/>
      <c r="I310" s="309"/>
      <c r="J310" s="310"/>
      <c r="K310" s="310"/>
      <c r="L310" s="310"/>
      <c r="M310" s="310"/>
      <c r="N310" s="310"/>
      <c r="O310" s="311"/>
      <c r="P310" s="310"/>
      <c r="Q310" s="311"/>
      <c r="R310" s="310"/>
      <c r="S310" s="13"/>
      <c r="T310" s="13"/>
      <c r="U310" s="13"/>
      <c r="V310" s="13"/>
      <c r="W310" s="13"/>
      <c r="X310" s="310"/>
      <c r="Y310" s="311"/>
      <c r="Z310" s="310"/>
      <c r="AA310" s="312"/>
      <c r="AB310" s="13"/>
      <c r="AC310" s="313"/>
      <c r="AD310" s="313"/>
      <c r="AE310" s="313"/>
      <c r="AF310" s="331"/>
      <c r="AG310" s="320"/>
      <c r="AH310" s="13"/>
      <c r="AI310" s="13"/>
      <c r="AJ310" s="13"/>
      <c r="AK310" s="13"/>
      <c r="AL310" s="13"/>
      <c r="AM310" s="13"/>
      <c r="AN310" s="13"/>
      <c r="AO310" s="13"/>
      <c r="AP310" s="13"/>
    </row>
    <row r="311" ht="18.75" customHeight="1">
      <c r="A311" s="13"/>
      <c r="B311" s="282"/>
      <c r="C311" s="330"/>
      <c r="D311" s="330"/>
      <c r="E311" s="330"/>
      <c r="F311" s="13"/>
      <c r="G311" s="309"/>
      <c r="H311" s="309"/>
      <c r="I311" s="309"/>
      <c r="J311" s="310"/>
      <c r="K311" s="310"/>
      <c r="L311" s="310"/>
      <c r="M311" s="310"/>
      <c r="N311" s="310"/>
      <c r="O311" s="311"/>
      <c r="P311" s="310"/>
      <c r="Q311" s="311"/>
      <c r="R311" s="310"/>
      <c r="S311" s="13"/>
      <c r="T311" s="13"/>
      <c r="U311" s="13"/>
      <c r="V311" s="13"/>
      <c r="W311" s="13"/>
      <c r="X311" s="310"/>
      <c r="Y311" s="311"/>
      <c r="Z311" s="310"/>
      <c r="AA311" s="312"/>
      <c r="AB311" s="13"/>
      <c r="AC311" s="313"/>
      <c r="AD311" s="313"/>
      <c r="AE311" s="313"/>
      <c r="AF311" s="331"/>
      <c r="AG311" s="320"/>
      <c r="AH311" s="13"/>
      <c r="AI311" s="13"/>
      <c r="AJ311" s="13"/>
      <c r="AK311" s="13"/>
      <c r="AL311" s="13"/>
      <c r="AM311" s="13"/>
      <c r="AN311" s="13"/>
      <c r="AO311" s="13"/>
      <c r="AP311" s="13"/>
    </row>
    <row r="312" ht="18.75" customHeight="1">
      <c r="A312" s="13"/>
      <c r="B312" s="282"/>
      <c r="C312" s="330"/>
      <c r="D312" s="330"/>
      <c r="E312" s="330"/>
      <c r="F312" s="13"/>
      <c r="G312" s="309"/>
      <c r="H312" s="309"/>
      <c r="I312" s="309"/>
      <c r="J312" s="310"/>
      <c r="K312" s="310"/>
      <c r="L312" s="310"/>
      <c r="M312" s="310"/>
      <c r="N312" s="310"/>
      <c r="O312" s="311"/>
      <c r="P312" s="310"/>
      <c r="Q312" s="311"/>
      <c r="R312" s="310"/>
      <c r="S312" s="13"/>
      <c r="T312" s="13"/>
      <c r="U312" s="13"/>
      <c r="V312" s="13"/>
      <c r="W312" s="13"/>
      <c r="X312" s="310"/>
      <c r="Y312" s="311"/>
      <c r="Z312" s="310"/>
      <c r="AA312" s="312"/>
      <c r="AB312" s="13"/>
      <c r="AC312" s="313"/>
      <c r="AD312" s="313"/>
      <c r="AE312" s="313"/>
      <c r="AF312" s="331"/>
      <c r="AG312" s="320"/>
      <c r="AH312" s="13"/>
      <c r="AI312" s="13"/>
      <c r="AJ312" s="13"/>
      <c r="AK312" s="13"/>
      <c r="AL312" s="13"/>
      <c r="AM312" s="13"/>
      <c r="AN312" s="13"/>
      <c r="AO312" s="13"/>
      <c r="AP312" s="13"/>
    </row>
    <row r="313" ht="18.75" customHeight="1">
      <c r="A313" s="13"/>
      <c r="B313" s="282"/>
      <c r="C313" s="330"/>
      <c r="D313" s="330"/>
      <c r="E313" s="330"/>
      <c r="F313" s="13"/>
      <c r="G313" s="309"/>
      <c r="H313" s="309"/>
      <c r="I313" s="309"/>
      <c r="J313" s="310"/>
      <c r="K313" s="310"/>
      <c r="L313" s="310"/>
      <c r="M313" s="310"/>
      <c r="N313" s="310"/>
      <c r="O313" s="311"/>
      <c r="P313" s="310"/>
      <c r="Q313" s="311"/>
      <c r="R313" s="310"/>
      <c r="S313" s="13"/>
      <c r="T313" s="13"/>
      <c r="U313" s="13"/>
      <c r="V313" s="13"/>
      <c r="W313" s="13"/>
      <c r="X313" s="310"/>
      <c r="Y313" s="311"/>
      <c r="Z313" s="310"/>
      <c r="AA313" s="312"/>
      <c r="AB313" s="13"/>
      <c r="AC313" s="313"/>
      <c r="AD313" s="313"/>
      <c r="AE313" s="313"/>
      <c r="AF313" s="331"/>
      <c r="AG313" s="320"/>
      <c r="AH313" s="13"/>
      <c r="AI313" s="13"/>
      <c r="AJ313" s="13"/>
      <c r="AK313" s="13"/>
      <c r="AL313" s="13"/>
      <c r="AM313" s="13"/>
      <c r="AN313" s="13"/>
      <c r="AO313" s="13"/>
      <c r="AP313" s="13"/>
    </row>
    <row r="314" ht="18.75" customHeight="1">
      <c r="A314" s="13"/>
      <c r="B314" s="282"/>
      <c r="C314" s="330"/>
      <c r="D314" s="330"/>
      <c r="E314" s="330"/>
      <c r="F314" s="13"/>
      <c r="G314" s="309"/>
      <c r="H314" s="309"/>
      <c r="I314" s="309"/>
      <c r="J314" s="310"/>
      <c r="K314" s="310"/>
      <c r="L314" s="310"/>
      <c r="M314" s="310"/>
      <c r="N314" s="310"/>
      <c r="O314" s="311"/>
      <c r="P314" s="310"/>
      <c r="Q314" s="311"/>
      <c r="R314" s="310"/>
      <c r="S314" s="13"/>
      <c r="T314" s="13"/>
      <c r="U314" s="13"/>
      <c r="V314" s="13"/>
      <c r="W314" s="13"/>
      <c r="X314" s="310"/>
      <c r="Y314" s="311"/>
      <c r="Z314" s="310"/>
      <c r="AA314" s="312"/>
      <c r="AB314" s="13"/>
      <c r="AC314" s="313"/>
      <c r="AD314" s="313"/>
      <c r="AE314" s="313"/>
      <c r="AF314" s="331"/>
      <c r="AG314" s="320"/>
      <c r="AH314" s="13"/>
      <c r="AI314" s="13"/>
      <c r="AJ314" s="13"/>
      <c r="AK314" s="13"/>
      <c r="AL314" s="13"/>
      <c r="AM314" s="13"/>
      <c r="AN314" s="13"/>
      <c r="AO314" s="13"/>
      <c r="AP314" s="13"/>
    </row>
    <row r="315" ht="18.75" customHeight="1">
      <c r="A315" s="13"/>
      <c r="B315" s="282"/>
      <c r="C315" s="330"/>
      <c r="D315" s="330"/>
      <c r="E315" s="330"/>
      <c r="F315" s="13"/>
      <c r="G315" s="309"/>
      <c r="H315" s="309"/>
      <c r="I315" s="309"/>
      <c r="J315" s="310"/>
      <c r="K315" s="310"/>
      <c r="L315" s="310"/>
      <c r="M315" s="310"/>
      <c r="N315" s="310"/>
      <c r="O315" s="311"/>
      <c r="P315" s="310"/>
      <c r="Q315" s="311"/>
      <c r="R315" s="310"/>
      <c r="S315" s="13"/>
      <c r="T315" s="13"/>
      <c r="U315" s="13"/>
      <c r="V315" s="13"/>
      <c r="W315" s="13"/>
      <c r="X315" s="310"/>
      <c r="Y315" s="311"/>
      <c r="Z315" s="310"/>
      <c r="AA315" s="312"/>
      <c r="AB315" s="13"/>
      <c r="AC315" s="313"/>
      <c r="AD315" s="313"/>
      <c r="AE315" s="313"/>
      <c r="AF315" s="331"/>
      <c r="AG315" s="320"/>
      <c r="AH315" s="13"/>
      <c r="AI315" s="13"/>
      <c r="AJ315" s="13"/>
      <c r="AK315" s="13"/>
      <c r="AL315" s="13"/>
      <c r="AM315" s="13"/>
      <c r="AN315" s="13"/>
      <c r="AO315" s="13"/>
      <c r="AP315" s="13"/>
    </row>
    <row r="316" ht="18.75" customHeight="1">
      <c r="A316" s="13"/>
      <c r="B316" s="282"/>
      <c r="C316" s="330"/>
      <c r="D316" s="330"/>
      <c r="E316" s="330"/>
      <c r="F316" s="13"/>
      <c r="G316" s="309"/>
      <c r="H316" s="309"/>
      <c r="I316" s="309"/>
      <c r="J316" s="310"/>
      <c r="K316" s="310"/>
      <c r="L316" s="310"/>
      <c r="M316" s="310"/>
      <c r="N316" s="310"/>
      <c r="O316" s="311"/>
      <c r="P316" s="310"/>
      <c r="Q316" s="311"/>
      <c r="R316" s="310"/>
      <c r="S316" s="13"/>
      <c r="T316" s="13"/>
      <c r="U316" s="13"/>
      <c r="V316" s="13"/>
      <c r="W316" s="13"/>
      <c r="X316" s="310"/>
      <c r="Y316" s="311"/>
      <c r="Z316" s="310"/>
      <c r="AA316" s="312"/>
      <c r="AB316" s="13"/>
      <c r="AC316" s="313"/>
      <c r="AD316" s="313"/>
      <c r="AE316" s="313"/>
      <c r="AF316" s="331"/>
      <c r="AG316" s="320"/>
      <c r="AH316" s="13"/>
      <c r="AI316" s="13"/>
      <c r="AJ316" s="13"/>
      <c r="AK316" s="13"/>
      <c r="AL316" s="13"/>
      <c r="AM316" s="13"/>
      <c r="AN316" s="13"/>
      <c r="AO316" s="13"/>
      <c r="AP316" s="13"/>
    </row>
    <row r="317" ht="18.75" customHeight="1">
      <c r="A317" s="13"/>
      <c r="B317" s="282"/>
      <c r="C317" s="330"/>
      <c r="D317" s="330"/>
      <c r="E317" s="330"/>
      <c r="F317" s="13"/>
      <c r="G317" s="309"/>
      <c r="H317" s="309"/>
      <c r="I317" s="309"/>
      <c r="J317" s="310"/>
      <c r="K317" s="310"/>
      <c r="L317" s="310"/>
      <c r="M317" s="310"/>
      <c r="N317" s="310"/>
      <c r="O317" s="311"/>
      <c r="P317" s="310"/>
      <c r="Q317" s="311"/>
      <c r="R317" s="310"/>
      <c r="S317" s="13"/>
      <c r="T317" s="13"/>
      <c r="U317" s="13"/>
      <c r="V317" s="13"/>
      <c r="W317" s="13"/>
      <c r="X317" s="310"/>
      <c r="Y317" s="311"/>
      <c r="Z317" s="310"/>
      <c r="AA317" s="312"/>
      <c r="AB317" s="13"/>
      <c r="AC317" s="313"/>
      <c r="AD317" s="313"/>
      <c r="AE317" s="313"/>
      <c r="AF317" s="331"/>
      <c r="AG317" s="320"/>
      <c r="AH317" s="13"/>
      <c r="AI317" s="13"/>
      <c r="AJ317" s="13"/>
      <c r="AK317" s="13"/>
      <c r="AL317" s="13"/>
      <c r="AM317" s="13"/>
      <c r="AN317" s="13"/>
      <c r="AO317" s="13"/>
      <c r="AP317" s="13"/>
    </row>
    <row r="318" ht="18.75" customHeight="1">
      <c r="A318" s="13"/>
      <c r="B318" s="282"/>
      <c r="C318" s="330"/>
      <c r="D318" s="330"/>
      <c r="E318" s="330"/>
      <c r="F318" s="13"/>
      <c r="G318" s="309"/>
      <c r="H318" s="309"/>
      <c r="I318" s="309"/>
      <c r="J318" s="310"/>
      <c r="K318" s="310"/>
      <c r="L318" s="310"/>
      <c r="M318" s="310"/>
      <c r="N318" s="310"/>
      <c r="O318" s="311"/>
      <c r="P318" s="310"/>
      <c r="Q318" s="311"/>
      <c r="R318" s="310"/>
      <c r="S318" s="13"/>
      <c r="T318" s="13"/>
      <c r="U318" s="13"/>
      <c r="V318" s="13"/>
      <c r="W318" s="13"/>
      <c r="X318" s="310"/>
      <c r="Y318" s="311"/>
      <c r="Z318" s="310"/>
      <c r="AA318" s="312"/>
      <c r="AB318" s="13"/>
      <c r="AC318" s="313"/>
      <c r="AD318" s="313"/>
      <c r="AE318" s="313"/>
      <c r="AF318" s="331"/>
      <c r="AG318" s="320"/>
      <c r="AH318" s="13"/>
      <c r="AI318" s="13"/>
      <c r="AJ318" s="13"/>
      <c r="AK318" s="13"/>
      <c r="AL318" s="13"/>
      <c r="AM318" s="13"/>
      <c r="AN318" s="13"/>
      <c r="AO318" s="13"/>
      <c r="AP318" s="13"/>
    </row>
    <row r="319" ht="18.75" customHeight="1">
      <c r="A319" s="13"/>
      <c r="B319" s="282"/>
      <c r="C319" s="330"/>
      <c r="D319" s="330"/>
      <c r="E319" s="330"/>
      <c r="F319" s="13"/>
      <c r="G319" s="309"/>
      <c r="H319" s="309"/>
      <c r="I319" s="309"/>
      <c r="J319" s="310"/>
      <c r="K319" s="310"/>
      <c r="L319" s="310"/>
      <c r="M319" s="310"/>
      <c r="N319" s="310"/>
      <c r="O319" s="311"/>
      <c r="P319" s="310"/>
      <c r="Q319" s="311"/>
      <c r="R319" s="310"/>
      <c r="S319" s="13"/>
      <c r="T319" s="13"/>
      <c r="U319" s="13"/>
      <c r="V319" s="13"/>
      <c r="W319" s="13"/>
      <c r="X319" s="310"/>
      <c r="Y319" s="311"/>
      <c r="Z319" s="310"/>
      <c r="AA319" s="312"/>
      <c r="AB319" s="13"/>
      <c r="AC319" s="313"/>
      <c r="AD319" s="313"/>
      <c r="AE319" s="313"/>
      <c r="AF319" s="331"/>
      <c r="AG319" s="320"/>
      <c r="AH319" s="13"/>
      <c r="AI319" s="13"/>
      <c r="AJ319" s="13"/>
      <c r="AK319" s="13"/>
      <c r="AL319" s="13"/>
      <c r="AM319" s="13"/>
      <c r="AN319" s="13"/>
      <c r="AO319" s="13"/>
      <c r="AP319" s="13"/>
    </row>
    <row r="320" ht="18.75" customHeight="1">
      <c r="A320" s="13"/>
      <c r="B320" s="282"/>
      <c r="C320" s="330"/>
      <c r="D320" s="330"/>
      <c r="E320" s="330"/>
      <c r="F320" s="13"/>
      <c r="G320" s="309"/>
      <c r="H320" s="309"/>
      <c r="I320" s="309"/>
      <c r="J320" s="310"/>
      <c r="K320" s="310"/>
      <c r="L320" s="310"/>
      <c r="M320" s="310"/>
      <c r="N320" s="310"/>
      <c r="O320" s="311"/>
      <c r="P320" s="310"/>
      <c r="Q320" s="311"/>
      <c r="R320" s="310"/>
      <c r="S320" s="13"/>
      <c r="T320" s="13"/>
      <c r="U320" s="13"/>
      <c r="V320" s="13"/>
      <c r="W320" s="13"/>
      <c r="X320" s="310"/>
      <c r="Y320" s="311"/>
      <c r="Z320" s="310"/>
      <c r="AA320" s="312"/>
      <c r="AB320" s="13"/>
      <c r="AC320" s="313"/>
      <c r="AD320" s="313"/>
      <c r="AE320" s="313"/>
      <c r="AF320" s="331"/>
      <c r="AG320" s="320"/>
      <c r="AH320" s="13"/>
      <c r="AI320" s="13"/>
      <c r="AJ320" s="13"/>
      <c r="AK320" s="13"/>
      <c r="AL320" s="13"/>
      <c r="AM320" s="13"/>
      <c r="AN320" s="13"/>
      <c r="AO320" s="13"/>
      <c r="AP320" s="13"/>
    </row>
    <row r="321" ht="18.75" customHeight="1">
      <c r="A321" s="13"/>
      <c r="B321" s="282"/>
      <c r="C321" s="330"/>
      <c r="D321" s="330"/>
      <c r="E321" s="330"/>
      <c r="F321" s="13"/>
      <c r="G321" s="309"/>
      <c r="H321" s="309"/>
      <c r="I321" s="309"/>
      <c r="J321" s="310"/>
      <c r="K321" s="310"/>
      <c r="L321" s="310"/>
      <c r="M321" s="310"/>
      <c r="N321" s="310"/>
      <c r="O321" s="311"/>
      <c r="P321" s="310"/>
      <c r="Q321" s="311"/>
      <c r="R321" s="310"/>
      <c r="S321" s="13"/>
      <c r="T321" s="13"/>
      <c r="U321" s="13"/>
      <c r="V321" s="13"/>
      <c r="W321" s="13"/>
      <c r="X321" s="310"/>
      <c r="Y321" s="311"/>
      <c r="Z321" s="310"/>
      <c r="AA321" s="312"/>
      <c r="AB321" s="13"/>
      <c r="AC321" s="313"/>
      <c r="AD321" s="313"/>
      <c r="AE321" s="313"/>
      <c r="AF321" s="331"/>
      <c r="AG321" s="320"/>
      <c r="AH321" s="13"/>
      <c r="AI321" s="13"/>
      <c r="AJ321" s="13"/>
      <c r="AK321" s="13"/>
      <c r="AL321" s="13"/>
      <c r="AM321" s="13"/>
      <c r="AN321" s="13"/>
      <c r="AO321" s="13"/>
      <c r="AP321" s="13"/>
    </row>
    <row r="322" ht="18.75" customHeight="1">
      <c r="A322" s="13"/>
      <c r="B322" s="282"/>
      <c r="C322" s="330"/>
      <c r="D322" s="330"/>
      <c r="E322" s="330"/>
      <c r="F322" s="13"/>
      <c r="G322" s="309"/>
      <c r="H322" s="309"/>
      <c r="I322" s="309"/>
      <c r="J322" s="310"/>
      <c r="K322" s="310"/>
      <c r="L322" s="310"/>
      <c r="M322" s="310"/>
      <c r="N322" s="310"/>
      <c r="O322" s="311"/>
      <c r="P322" s="310"/>
      <c r="Q322" s="311"/>
      <c r="R322" s="310"/>
      <c r="S322" s="13"/>
      <c r="T322" s="13"/>
      <c r="U322" s="13"/>
      <c r="V322" s="13"/>
      <c r="W322" s="13"/>
      <c r="X322" s="310"/>
      <c r="Y322" s="311"/>
      <c r="Z322" s="310"/>
      <c r="AA322" s="312"/>
      <c r="AB322" s="13"/>
      <c r="AC322" s="313"/>
      <c r="AD322" s="313"/>
      <c r="AE322" s="313"/>
      <c r="AF322" s="331"/>
      <c r="AG322" s="320"/>
      <c r="AH322" s="13"/>
      <c r="AI322" s="13"/>
      <c r="AJ322" s="13"/>
      <c r="AK322" s="13"/>
      <c r="AL322" s="13"/>
      <c r="AM322" s="13"/>
      <c r="AN322" s="13"/>
      <c r="AO322" s="13"/>
      <c r="AP322" s="13"/>
    </row>
    <row r="323" ht="18.75" customHeight="1">
      <c r="A323" s="13"/>
      <c r="B323" s="282"/>
      <c r="C323" s="330"/>
      <c r="D323" s="330"/>
      <c r="E323" s="330"/>
      <c r="F323" s="13"/>
      <c r="G323" s="309"/>
      <c r="H323" s="309"/>
      <c r="I323" s="309"/>
      <c r="J323" s="310"/>
      <c r="K323" s="310"/>
      <c r="L323" s="310"/>
      <c r="M323" s="310"/>
      <c r="N323" s="310"/>
      <c r="O323" s="311"/>
      <c r="P323" s="310"/>
      <c r="Q323" s="311"/>
      <c r="R323" s="310"/>
      <c r="S323" s="13"/>
      <c r="T323" s="13"/>
      <c r="U323" s="13"/>
      <c r="V323" s="13"/>
      <c r="W323" s="13"/>
      <c r="X323" s="310"/>
      <c r="Y323" s="311"/>
      <c r="Z323" s="310"/>
      <c r="AA323" s="312"/>
      <c r="AB323" s="13"/>
      <c r="AC323" s="313"/>
      <c r="AD323" s="313"/>
      <c r="AE323" s="313"/>
      <c r="AF323" s="331"/>
      <c r="AG323" s="320"/>
      <c r="AH323" s="13"/>
      <c r="AI323" s="13"/>
      <c r="AJ323" s="13"/>
      <c r="AK323" s="13"/>
      <c r="AL323" s="13"/>
      <c r="AM323" s="13"/>
      <c r="AN323" s="13"/>
      <c r="AO323" s="13"/>
      <c r="AP323" s="13"/>
    </row>
    <row r="324" ht="18.75" customHeight="1">
      <c r="A324" s="13"/>
      <c r="B324" s="282"/>
      <c r="C324" s="330"/>
      <c r="D324" s="330"/>
      <c r="E324" s="330"/>
      <c r="F324" s="13"/>
      <c r="G324" s="309"/>
      <c r="H324" s="309"/>
      <c r="I324" s="309"/>
      <c r="J324" s="310"/>
      <c r="K324" s="310"/>
      <c r="L324" s="310"/>
      <c r="M324" s="310"/>
      <c r="N324" s="310"/>
      <c r="O324" s="311"/>
      <c r="P324" s="310"/>
      <c r="Q324" s="311"/>
      <c r="R324" s="310"/>
      <c r="S324" s="13"/>
      <c r="T324" s="13"/>
      <c r="U324" s="13"/>
      <c r="V324" s="13"/>
      <c r="W324" s="13"/>
      <c r="X324" s="310"/>
      <c r="Y324" s="311"/>
      <c r="Z324" s="310"/>
      <c r="AA324" s="312"/>
      <c r="AB324" s="13"/>
      <c r="AC324" s="313"/>
      <c r="AD324" s="313"/>
      <c r="AE324" s="313"/>
      <c r="AF324" s="331"/>
      <c r="AG324" s="320"/>
      <c r="AH324" s="13"/>
      <c r="AI324" s="13"/>
      <c r="AJ324" s="13"/>
      <c r="AK324" s="13"/>
      <c r="AL324" s="13"/>
      <c r="AM324" s="13"/>
      <c r="AN324" s="13"/>
      <c r="AO324" s="13"/>
      <c r="AP324" s="13"/>
    </row>
    <row r="325" ht="18.75" customHeight="1">
      <c r="A325" s="13"/>
      <c r="B325" s="282"/>
      <c r="C325" s="330"/>
      <c r="D325" s="330"/>
      <c r="E325" s="330"/>
      <c r="F325" s="13"/>
      <c r="G325" s="309"/>
      <c r="H325" s="309"/>
      <c r="I325" s="309"/>
      <c r="J325" s="310"/>
      <c r="K325" s="310"/>
      <c r="L325" s="310"/>
      <c r="M325" s="310"/>
      <c r="N325" s="310"/>
      <c r="O325" s="311"/>
      <c r="P325" s="310"/>
      <c r="Q325" s="311"/>
      <c r="R325" s="310"/>
      <c r="S325" s="13"/>
      <c r="T325" s="13"/>
      <c r="U325" s="13"/>
      <c r="V325" s="13"/>
      <c r="W325" s="13"/>
      <c r="X325" s="310"/>
      <c r="Y325" s="311"/>
      <c r="Z325" s="310"/>
      <c r="AA325" s="312"/>
      <c r="AB325" s="13"/>
      <c r="AC325" s="313"/>
      <c r="AD325" s="313"/>
      <c r="AE325" s="313"/>
      <c r="AF325" s="331"/>
      <c r="AG325" s="320"/>
      <c r="AH325" s="13"/>
      <c r="AI325" s="13"/>
      <c r="AJ325" s="13"/>
      <c r="AK325" s="13"/>
      <c r="AL325" s="13"/>
      <c r="AM325" s="13"/>
      <c r="AN325" s="13"/>
      <c r="AO325" s="13"/>
      <c r="AP325" s="13"/>
    </row>
    <row r="326" ht="18.75" customHeight="1">
      <c r="A326" s="13"/>
      <c r="B326" s="282"/>
      <c r="C326" s="330"/>
      <c r="D326" s="330"/>
      <c r="E326" s="330"/>
      <c r="F326" s="13"/>
      <c r="G326" s="309"/>
      <c r="H326" s="309"/>
      <c r="I326" s="309"/>
      <c r="J326" s="310"/>
      <c r="K326" s="310"/>
      <c r="L326" s="310"/>
      <c r="M326" s="310"/>
      <c r="N326" s="310"/>
      <c r="O326" s="311"/>
      <c r="P326" s="310"/>
      <c r="Q326" s="311"/>
      <c r="R326" s="310"/>
      <c r="S326" s="13"/>
      <c r="T326" s="13"/>
      <c r="U326" s="13"/>
      <c r="V326" s="13"/>
      <c r="W326" s="13"/>
      <c r="X326" s="310"/>
      <c r="Y326" s="311"/>
      <c r="Z326" s="310"/>
      <c r="AA326" s="312"/>
      <c r="AB326" s="13"/>
      <c r="AC326" s="313"/>
      <c r="AD326" s="313"/>
      <c r="AE326" s="313"/>
      <c r="AF326" s="331"/>
      <c r="AG326" s="320"/>
      <c r="AH326" s="13"/>
      <c r="AI326" s="13"/>
      <c r="AJ326" s="13"/>
      <c r="AK326" s="13"/>
      <c r="AL326" s="13"/>
      <c r="AM326" s="13"/>
      <c r="AN326" s="13"/>
      <c r="AO326" s="13"/>
      <c r="AP326" s="13"/>
    </row>
    <row r="327" ht="18.75" customHeight="1">
      <c r="A327" s="13"/>
      <c r="B327" s="282"/>
      <c r="C327" s="330"/>
      <c r="D327" s="330"/>
      <c r="E327" s="330"/>
      <c r="F327" s="13"/>
      <c r="G327" s="309"/>
      <c r="H327" s="309"/>
      <c r="I327" s="309"/>
      <c r="J327" s="310"/>
      <c r="K327" s="310"/>
      <c r="L327" s="310"/>
      <c r="M327" s="310"/>
      <c r="N327" s="310"/>
      <c r="O327" s="311"/>
      <c r="P327" s="310"/>
      <c r="Q327" s="311"/>
      <c r="R327" s="310"/>
      <c r="S327" s="13"/>
      <c r="T327" s="13"/>
      <c r="U327" s="13"/>
      <c r="V327" s="13"/>
      <c r="W327" s="13"/>
      <c r="X327" s="310"/>
      <c r="Y327" s="311"/>
      <c r="Z327" s="310"/>
      <c r="AA327" s="312"/>
      <c r="AB327" s="13"/>
      <c r="AC327" s="313"/>
      <c r="AD327" s="313"/>
      <c r="AE327" s="313"/>
      <c r="AF327" s="331"/>
      <c r="AG327" s="320"/>
      <c r="AH327" s="13"/>
      <c r="AI327" s="13"/>
      <c r="AJ327" s="13"/>
      <c r="AK327" s="13"/>
      <c r="AL327" s="13"/>
      <c r="AM327" s="13"/>
      <c r="AN327" s="13"/>
      <c r="AO327" s="13"/>
      <c r="AP327" s="13"/>
    </row>
    <row r="328" ht="18.75" customHeight="1">
      <c r="A328" s="13"/>
      <c r="B328" s="282"/>
      <c r="C328" s="330"/>
      <c r="D328" s="330"/>
      <c r="E328" s="330"/>
      <c r="F328" s="13"/>
      <c r="G328" s="309"/>
      <c r="H328" s="309"/>
      <c r="I328" s="309"/>
      <c r="J328" s="310"/>
      <c r="K328" s="310"/>
      <c r="L328" s="310"/>
      <c r="M328" s="310"/>
      <c r="N328" s="310"/>
      <c r="O328" s="311"/>
      <c r="P328" s="310"/>
      <c r="Q328" s="311"/>
      <c r="R328" s="310"/>
      <c r="S328" s="13"/>
      <c r="T328" s="13"/>
      <c r="U328" s="13"/>
      <c r="V328" s="13"/>
      <c r="W328" s="13"/>
      <c r="X328" s="310"/>
      <c r="Y328" s="311"/>
      <c r="Z328" s="310"/>
      <c r="AA328" s="312"/>
      <c r="AB328" s="13"/>
      <c r="AC328" s="313"/>
      <c r="AD328" s="313"/>
      <c r="AE328" s="313"/>
      <c r="AF328" s="331"/>
      <c r="AG328" s="320"/>
      <c r="AH328" s="13"/>
      <c r="AI328" s="13"/>
      <c r="AJ328" s="13"/>
      <c r="AK328" s="13"/>
      <c r="AL328" s="13"/>
      <c r="AM328" s="13"/>
      <c r="AN328" s="13"/>
      <c r="AO328" s="13"/>
      <c r="AP328" s="13"/>
    </row>
    <row r="329" ht="18.75" customHeight="1">
      <c r="A329" s="13"/>
      <c r="B329" s="282"/>
      <c r="C329" s="330"/>
      <c r="D329" s="330"/>
      <c r="E329" s="330"/>
      <c r="F329" s="13"/>
      <c r="G329" s="309"/>
      <c r="H329" s="309"/>
      <c r="I329" s="309"/>
      <c r="J329" s="310"/>
      <c r="K329" s="310"/>
      <c r="L329" s="310"/>
      <c r="M329" s="310"/>
      <c r="N329" s="310"/>
      <c r="O329" s="311"/>
      <c r="P329" s="310"/>
      <c r="Q329" s="311"/>
      <c r="R329" s="310"/>
      <c r="S329" s="13"/>
      <c r="T329" s="13"/>
      <c r="U329" s="13"/>
      <c r="V329" s="13"/>
      <c r="W329" s="13"/>
      <c r="X329" s="310"/>
      <c r="Y329" s="311"/>
      <c r="Z329" s="310"/>
      <c r="AA329" s="312"/>
      <c r="AB329" s="13"/>
      <c r="AC329" s="313"/>
      <c r="AD329" s="313"/>
      <c r="AE329" s="313"/>
      <c r="AF329" s="331"/>
      <c r="AG329" s="320"/>
      <c r="AH329" s="13"/>
      <c r="AI329" s="13"/>
      <c r="AJ329" s="13"/>
      <c r="AK329" s="13"/>
      <c r="AL329" s="13"/>
      <c r="AM329" s="13"/>
      <c r="AN329" s="13"/>
      <c r="AO329" s="13"/>
      <c r="AP329" s="13"/>
    </row>
    <row r="330" ht="18.75" customHeight="1">
      <c r="A330" s="13"/>
      <c r="B330" s="282"/>
      <c r="C330" s="330"/>
      <c r="D330" s="330"/>
      <c r="E330" s="330"/>
      <c r="F330" s="13"/>
      <c r="G330" s="309"/>
      <c r="H330" s="309"/>
      <c r="I330" s="309"/>
      <c r="J330" s="310"/>
      <c r="K330" s="310"/>
      <c r="L330" s="310"/>
      <c r="M330" s="310"/>
      <c r="N330" s="310"/>
      <c r="O330" s="311"/>
      <c r="P330" s="310"/>
      <c r="Q330" s="311"/>
      <c r="R330" s="310"/>
      <c r="S330" s="13"/>
      <c r="T330" s="13"/>
      <c r="U330" s="13"/>
      <c r="V330" s="13"/>
      <c r="W330" s="13"/>
      <c r="X330" s="310"/>
      <c r="Y330" s="311"/>
      <c r="Z330" s="310"/>
      <c r="AA330" s="312"/>
      <c r="AB330" s="13"/>
      <c r="AC330" s="313"/>
      <c r="AD330" s="313"/>
      <c r="AE330" s="313"/>
      <c r="AF330" s="331"/>
      <c r="AG330" s="320"/>
      <c r="AH330" s="13"/>
      <c r="AI330" s="13"/>
      <c r="AJ330" s="13"/>
      <c r="AK330" s="13"/>
      <c r="AL330" s="13"/>
      <c r="AM330" s="13"/>
      <c r="AN330" s="13"/>
      <c r="AO330" s="13"/>
      <c r="AP330" s="13"/>
    </row>
    <row r="331" ht="18.75" customHeight="1">
      <c r="A331" s="13"/>
      <c r="B331" s="282"/>
      <c r="C331" s="330"/>
      <c r="D331" s="330"/>
      <c r="E331" s="330"/>
      <c r="F331" s="13"/>
      <c r="G331" s="309"/>
      <c r="H331" s="309"/>
      <c r="I331" s="309"/>
      <c r="J331" s="310"/>
      <c r="K331" s="310"/>
      <c r="L331" s="310"/>
      <c r="M331" s="310"/>
      <c r="N331" s="310"/>
      <c r="O331" s="311"/>
      <c r="P331" s="310"/>
      <c r="Q331" s="311"/>
      <c r="R331" s="310"/>
      <c r="S331" s="13"/>
      <c r="T331" s="13"/>
      <c r="U331" s="13"/>
      <c r="V331" s="13"/>
      <c r="W331" s="13"/>
      <c r="X331" s="310"/>
      <c r="Y331" s="311"/>
      <c r="Z331" s="310"/>
      <c r="AA331" s="312"/>
      <c r="AB331" s="13"/>
      <c r="AC331" s="313"/>
      <c r="AD331" s="313"/>
      <c r="AE331" s="313"/>
      <c r="AF331" s="331"/>
      <c r="AG331" s="320"/>
      <c r="AH331" s="13"/>
      <c r="AI331" s="13"/>
      <c r="AJ331" s="13"/>
      <c r="AK331" s="13"/>
      <c r="AL331" s="13"/>
      <c r="AM331" s="13"/>
      <c r="AN331" s="13"/>
      <c r="AO331" s="13"/>
      <c r="AP331" s="13"/>
    </row>
    <row r="332" ht="18.75" customHeight="1">
      <c r="A332" s="13"/>
      <c r="B332" s="282"/>
      <c r="C332" s="330"/>
      <c r="D332" s="330"/>
      <c r="E332" s="330"/>
      <c r="F332" s="13"/>
      <c r="G332" s="309"/>
      <c r="H332" s="309"/>
      <c r="I332" s="309"/>
      <c r="J332" s="310"/>
      <c r="K332" s="310"/>
      <c r="L332" s="310"/>
      <c r="M332" s="310"/>
      <c r="N332" s="310"/>
      <c r="O332" s="311"/>
      <c r="P332" s="310"/>
      <c r="Q332" s="311"/>
      <c r="R332" s="310"/>
      <c r="S332" s="13"/>
      <c r="T332" s="13"/>
      <c r="U332" s="13"/>
      <c r="V332" s="13"/>
      <c r="W332" s="13"/>
      <c r="X332" s="310"/>
      <c r="Y332" s="311"/>
      <c r="Z332" s="310"/>
      <c r="AA332" s="312"/>
      <c r="AB332" s="13"/>
      <c r="AC332" s="313"/>
      <c r="AD332" s="313"/>
      <c r="AE332" s="313"/>
      <c r="AF332" s="331"/>
      <c r="AG332" s="320"/>
      <c r="AH332" s="13"/>
      <c r="AI332" s="13"/>
      <c r="AJ332" s="13"/>
      <c r="AK332" s="13"/>
      <c r="AL332" s="13"/>
      <c r="AM332" s="13"/>
      <c r="AN332" s="13"/>
      <c r="AO332" s="13"/>
      <c r="AP332" s="13"/>
    </row>
    <row r="333" ht="18.75" customHeight="1">
      <c r="A333" s="13"/>
      <c r="B333" s="282"/>
      <c r="C333" s="330"/>
      <c r="D333" s="330"/>
      <c r="E333" s="330"/>
      <c r="F333" s="13"/>
      <c r="G333" s="309"/>
      <c r="H333" s="309"/>
      <c r="I333" s="309"/>
      <c r="J333" s="310"/>
      <c r="K333" s="310"/>
      <c r="L333" s="310"/>
      <c r="M333" s="310"/>
      <c r="N333" s="310"/>
      <c r="O333" s="311"/>
      <c r="P333" s="310"/>
      <c r="Q333" s="311"/>
      <c r="R333" s="310"/>
      <c r="S333" s="13"/>
      <c r="T333" s="13"/>
      <c r="U333" s="13"/>
      <c r="V333" s="13"/>
      <c r="W333" s="13"/>
      <c r="X333" s="310"/>
      <c r="Y333" s="311"/>
      <c r="Z333" s="310"/>
      <c r="AA333" s="312"/>
      <c r="AB333" s="13"/>
      <c r="AC333" s="313"/>
      <c r="AD333" s="313"/>
      <c r="AE333" s="313"/>
      <c r="AF333" s="331"/>
      <c r="AG333" s="320"/>
      <c r="AH333" s="13"/>
      <c r="AI333" s="13"/>
      <c r="AJ333" s="13"/>
      <c r="AK333" s="13"/>
      <c r="AL333" s="13"/>
      <c r="AM333" s="13"/>
      <c r="AN333" s="13"/>
      <c r="AO333" s="13"/>
      <c r="AP333" s="13"/>
    </row>
    <row r="334" ht="18.75" customHeight="1">
      <c r="A334" s="13"/>
      <c r="B334" s="282"/>
      <c r="C334" s="330"/>
      <c r="D334" s="330"/>
      <c r="E334" s="330"/>
      <c r="F334" s="13"/>
      <c r="G334" s="309"/>
      <c r="H334" s="309"/>
      <c r="I334" s="309"/>
      <c r="J334" s="310"/>
      <c r="K334" s="310"/>
      <c r="L334" s="310"/>
      <c r="M334" s="310"/>
      <c r="N334" s="310"/>
      <c r="O334" s="311"/>
      <c r="P334" s="310"/>
      <c r="Q334" s="311"/>
      <c r="R334" s="310"/>
      <c r="S334" s="13"/>
      <c r="T334" s="13"/>
      <c r="U334" s="13"/>
      <c r="V334" s="13"/>
      <c r="W334" s="13"/>
      <c r="X334" s="310"/>
      <c r="Y334" s="311"/>
      <c r="Z334" s="310"/>
      <c r="AA334" s="312"/>
      <c r="AB334" s="13"/>
      <c r="AC334" s="313"/>
      <c r="AD334" s="313"/>
      <c r="AE334" s="313"/>
      <c r="AF334" s="331"/>
      <c r="AG334" s="320"/>
      <c r="AH334" s="13"/>
      <c r="AI334" s="13"/>
      <c r="AJ334" s="13"/>
      <c r="AK334" s="13"/>
      <c r="AL334" s="13"/>
      <c r="AM334" s="13"/>
      <c r="AN334" s="13"/>
      <c r="AO334" s="13"/>
      <c r="AP334" s="13"/>
    </row>
    <row r="335" ht="18.75" customHeight="1">
      <c r="A335" s="13"/>
      <c r="B335" s="282"/>
      <c r="C335" s="330"/>
      <c r="D335" s="330"/>
      <c r="E335" s="330"/>
      <c r="F335" s="13"/>
      <c r="G335" s="309"/>
      <c r="H335" s="309"/>
      <c r="I335" s="309"/>
      <c r="J335" s="310"/>
      <c r="K335" s="310"/>
      <c r="L335" s="310"/>
      <c r="M335" s="310"/>
      <c r="N335" s="310"/>
      <c r="O335" s="311"/>
      <c r="P335" s="310"/>
      <c r="Q335" s="311"/>
      <c r="R335" s="310"/>
      <c r="S335" s="13"/>
      <c r="T335" s="13"/>
      <c r="U335" s="13"/>
      <c r="V335" s="13"/>
      <c r="W335" s="13"/>
      <c r="X335" s="310"/>
      <c r="Y335" s="311"/>
      <c r="Z335" s="310"/>
      <c r="AA335" s="312"/>
      <c r="AB335" s="13"/>
      <c r="AC335" s="313"/>
      <c r="AD335" s="313"/>
      <c r="AE335" s="313"/>
      <c r="AF335" s="331"/>
      <c r="AG335" s="320"/>
      <c r="AH335" s="13"/>
      <c r="AI335" s="13"/>
      <c r="AJ335" s="13"/>
      <c r="AK335" s="13"/>
      <c r="AL335" s="13"/>
      <c r="AM335" s="13"/>
      <c r="AN335" s="13"/>
      <c r="AO335" s="13"/>
      <c r="AP335" s="13"/>
    </row>
    <row r="336" ht="18.75" customHeight="1">
      <c r="A336" s="13"/>
      <c r="B336" s="282"/>
      <c r="C336" s="330"/>
      <c r="D336" s="330"/>
      <c r="E336" s="330"/>
      <c r="F336" s="13"/>
      <c r="G336" s="309"/>
      <c r="H336" s="309"/>
      <c r="I336" s="309"/>
      <c r="J336" s="310"/>
      <c r="K336" s="310"/>
      <c r="L336" s="310"/>
      <c r="M336" s="310"/>
      <c r="N336" s="310"/>
      <c r="O336" s="311"/>
      <c r="P336" s="310"/>
      <c r="Q336" s="311"/>
      <c r="R336" s="310"/>
      <c r="S336" s="13"/>
      <c r="T336" s="13"/>
      <c r="U336" s="13"/>
      <c r="V336" s="13"/>
      <c r="W336" s="13"/>
      <c r="X336" s="310"/>
      <c r="Y336" s="311"/>
      <c r="Z336" s="310"/>
      <c r="AA336" s="312"/>
      <c r="AB336" s="13"/>
      <c r="AC336" s="313"/>
      <c r="AD336" s="313"/>
      <c r="AE336" s="313"/>
      <c r="AF336" s="331"/>
      <c r="AG336" s="320"/>
      <c r="AH336" s="13"/>
      <c r="AI336" s="13"/>
      <c r="AJ336" s="13"/>
      <c r="AK336" s="13"/>
      <c r="AL336" s="13"/>
      <c r="AM336" s="13"/>
      <c r="AN336" s="13"/>
      <c r="AO336" s="13"/>
      <c r="AP336" s="13"/>
    </row>
    <row r="337" ht="18.75" customHeight="1">
      <c r="A337" s="13"/>
      <c r="B337" s="282"/>
      <c r="C337" s="330"/>
      <c r="D337" s="330"/>
      <c r="E337" s="330"/>
      <c r="F337" s="13"/>
      <c r="G337" s="309"/>
      <c r="H337" s="309"/>
      <c r="I337" s="309"/>
      <c r="J337" s="310"/>
      <c r="K337" s="310"/>
      <c r="L337" s="310"/>
      <c r="M337" s="310"/>
      <c r="N337" s="310"/>
      <c r="O337" s="311"/>
      <c r="P337" s="310"/>
      <c r="Q337" s="311"/>
      <c r="R337" s="310"/>
      <c r="S337" s="13"/>
      <c r="T337" s="13"/>
      <c r="U337" s="13"/>
      <c r="V337" s="13"/>
      <c r="W337" s="13"/>
      <c r="X337" s="310"/>
      <c r="Y337" s="311"/>
      <c r="Z337" s="310"/>
      <c r="AA337" s="312"/>
      <c r="AB337" s="13"/>
      <c r="AC337" s="313"/>
      <c r="AD337" s="313"/>
      <c r="AE337" s="313"/>
      <c r="AF337" s="331"/>
      <c r="AG337" s="320"/>
      <c r="AH337" s="13"/>
      <c r="AI337" s="13"/>
      <c r="AJ337" s="13"/>
      <c r="AK337" s="13"/>
      <c r="AL337" s="13"/>
      <c r="AM337" s="13"/>
      <c r="AN337" s="13"/>
      <c r="AO337" s="13"/>
      <c r="AP337" s="13"/>
    </row>
    <row r="338" ht="18.75" customHeight="1">
      <c r="A338" s="13"/>
      <c r="B338" s="282"/>
      <c r="C338" s="330"/>
      <c r="D338" s="330"/>
      <c r="E338" s="330"/>
      <c r="F338" s="13"/>
      <c r="G338" s="309"/>
      <c r="H338" s="309"/>
      <c r="I338" s="309"/>
      <c r="J338" s="310"/>
      <c r="K338" s="310"/>
      <c r="L338" s="310"/>
      <c r="M338" s="310"/>
      <c r="N338" s="310"/>
      <c r="O338" s="311"/>
      <c r="P338" s="310"/>
      <c r="Q338" s="311"/>
      <c r="R338" s="310"/>
      <c r="S338" s="13"/>
      <c r="T338" s="13"/>
      <c r="U338" s="13"/>
      <c r="V338" s="13"/>
      <c r="W338" s="13"/>
      <c r="X338" s="310"/>
      <c r="Y338" s="311"/>
      <c r="Z338" s="310"/>
      <c r="AA338" s="312"/>
      <c r="AB338" s="13"/>
      <c r="AC338" s="313"/>
      <c r="AD338" s="313"/>
      <c r="AE338" s="313"/>
      <c r="AF338" s="331"/>
      <c r="AG338" s="320"/>
      <c r="AH338" s="13"/>
      <c r="AI338" s="13"/>
      <c r="AJ338" s="13"/>
      <c r="AK338" s="13"/>
      <c r="AL338" s="13"/>
      <c r="AM338" s="13"/>
      <c r="AN338" s="13"/>
      <c r="AO338" s="13"/>
      <c r="AP338" s="13"/>
    </row>
    <row r="339" ht="18.75" customHeight="1">
      <c r="A339" s="13"/>
      <c r="B339" s="282"/>
      <c r="C339" s="330"/>
      <c r="D339" s="330"/>
      <c r="E339" s="330"/>
      <c r="F339" s="13"/>
      <c r="G339" s="309"/>
      <c r="H339" s="309"/>
      <c r="I339" s="309"/>
      <c r="J339" s="310"/>
      <c r="K339" s="310"/>
      <c r="L339" s="310"/>
      <c r="M339" s="310"/>
      <c r="N339" s="310"/>
      <c r="O339" s="311"/>
      <c r="P339" s="310"/>
      <c r="Q339" s="311"/>
      <c r="R339" s="310"/>
      <c r="S339" s="13"/>
      <c r="T339" s="13"/>
      <c r="U339" s="13"/>
      <c r="V339" s="13"/>
      <c r="W339" s="13"/>
      <c r="X339" s="310"/>
      <c r="Y339" s="311"/>
      <c r="Z339" s="310"/>
      <c r="AA339" s="312"/>
      <c r="AB339" s="13"/>
      <c r="AC339" s="313"/>
      <c r="AD339" s="313"/>
      <c r="AE339" s="313"/>
      <c r="AF339" s="331"/>
      <c r="AG339" s="320"/>
      <c r="AH339" s="13"/>
      <c r="AI339" s="13"/>
      <c r="AJ339" s="13"/>
      <c r="AK339" s="13"/>
      <c r="AL339" s="13"/>
      <c r="AM339" s="13"/>
      <c r="AN339" s="13"/>
      <c r="AO339" s="13"/>
      <c r="AP339" s="13"/>
    </row>
    <row r="340" ht="18.75" customHeight="1">
      <c r="A340" s="13"/>
      <c r="B340" s="282"/>
      <c r="C340" s="330"/>
      <c r="D340" s="330"/>
      <c r="E340" s="330"/>
      <c r="F340" s="13"/>
      <c r="G340" s="309"/>
      <c r="H340" s="309"/>
      <c r="I340" s="309"/>
      <c r="J340" s="310"/>
      <c r="K340" s="310"/>
      <c r="L340" s="310"/>
      <c r="M340" s="310"/>
      <c r="N340" s="310"/>
      <c r="O340" s="311"/>
      <c r="P340" s="310"/>
      <c r="Q340" s="311"/>
      <c r="R340" s="310"/>
      <c r="S340" s="13"/>
      <c r="T340" s="13"/>
      <c r="U340" s="13"/>
      <c r="V340" s="13"/>
      <c r="W340" s="13"/>
      <c r="X340" s="310"/>
      <c r="Y340" s="311"/>
      <c r="Z340" s="310"/>
      <c r="AA340" s="312"/>
      <c r="AB340" s="13"/>
      <c r="AC340" s="313"/>
      <c r="AD340" s="313"/>
      <c r="AE340" s="313"/>
      <c r="AF340" s="331"/>
      <c r="AG340" s="320"/>
      <c r="AH340" s="13"/>
      <c r="AI340" s="13"/>
      <c r="AJ340" s="13"/>
      <c r="AK340" s="13"/>
      <c r="AL340" s="13"/>
      <c r="AM340" s="13"/>
      <c r="AN340" s="13"/>
      <c r="AO340" s="13"/>
      <c r="AP340" s="13"/>
    </row>
    <row r="341" ht="18.75" customHeight="1">
      <c r="A341" s="13"/>
      <c r="B341" s="282"/>
      <c r="C341" s="330"/>
      <c r="D341" s="330"/>
      <c r="E341" s="330"/>
      <c r="F341" s="13"/>
      <c r="G341" s="309"/>
      <c r="H341" s="309"/>
      <c r="I341" s="309"/>
      <c r="J341" s="310"/>
      <c r="K341" s="310"/>
      <c r="L341" s="310"/>
      <c r="M341" s="310"/>
      <c r="N341" s="310"/>
      <c r="O341" s="311"/>
      <c r="P341" s="310"/>
      <c r="Q341" s="311"/>
      <c r="R341" s="310"/>
      <c r="S341" s="13"/>
      <c r="T341" s="13"/>
      <c r="U341" s="13"/>
      <c r="V341" s="13"/>
      <c r="W341" s="13"/>
      <c r="X341" s="310"/>
      <c r="Y341" s="311"/>
      <c r="Z341" s="310"/>
      <c r="AA341" s="312"/>
      <c r="AB341" s="13"/>
      <c r="AC341" s="313"/>
      <c r="AD341" s="313"/>
      <c r="AE341" s="313"/>
      <c r="AF341" s="331"/>
      <c r="AG341" s="320"/>
      <c r="AH341" s="13"/>
      <c r="AI341" s="13"/>
      <c r="AJ341" s="13"/>
      <c r="AK341" s="13"/>
      <c r="AL341" s="13"/>
      <c r="AM341" s="13"/>
      <c r="AN341" s="13"/>
      <c r="AO341" s="13"/>
      <c r="AP341" s="13"/>
    </row>
    <row r="342" ht="18.75" customHeight="1">
      <c r="A342" s="13"/>
      <c r="B342" s="282"/>
      <c r="C342" s="330"/>
      <c r="D342" s="330"/>
      <c r="E342" s="330"/>
      <c r="F342" s="13"/>
      <c r="G342" s="309"/>
      <c r="H342" s="309"/>
      <c r="I342" s="309"/>
      <c r="J342" s="310"/>
      <c r="K342" s="310"/>
      <c r="L342" s="310"/>
      <c r="M342" s="310"/>
      <c r="N342" s="310"/>
      <c r="O342" s="311"/>
      <c r="P342" s="310"/>
      <c r="Q342" s="311"/>
      <c r="R342" s="310"/>
      <c r="S342" s="13"/>
      <c r="T342" s="13"/>
      <c r="U342" s="13"/>
      <c r="V342" s="13"/>
      <c r="W342" s="13"/>
      <c r="X342" s="310"/>
      <c r="Y342" s="311"/>
      <c r="Z342" s="310"/>
      <c r="AA342" s="312"/>
      <c r="AB342" s="13"/>
      <c r="AC342" s="313"/>
      <c r="AD342" s="313"/>
      <c r="AE342" s="313"/>
      <c r="AF342" s="331"/>
      <c r="AG342" s="320"/>
      <c r="AH342" s="13"/>
      <c r="AI342" s="13"/>
      <c r="AJ342" s="13"/>
      <c r="AK342" s="13"/>
      <c r="AL342" s="13"/>
      <c r="AM342" s="13"/>
      <c r="AN342" s="13"/>
      <c r="AO342" s="13"/>
      <c r="AP342" s="13"/>
    </row>
    <row r="343" ht="18.75" customHeight="1">
      <c r="A343" s="13"/>
      <c r="B343" s="282"/>
      <c r="C343" s="330"/>
      <c r="D343" s="330"/>
      <c r="E343" s="330"/>
      <c r="F343" s="13"/>
      <c r="G343" s="309"/>
      <c r="H343" s="309"/>
      <c r="I343" s="309"/>
      <c r="J343" s="310"/>
      <c r="K343" s="310"/>
      <c r="L343" s="310"/>
      <c r="M343" s="310"/>
      <c r="N343" s="310"/>
      <c r="O343" s="311"/>
      <c r="P343" s="310"/>
      <c r="Q343" s="311"/>
      <c r="R343" s="310"/>
      <c r="S343" s="13"/>
      <c r="T343" s="13"/>
      <c r="U343" s="13"/>
      <c r="V343" s="13"/>
      <c r="W343" s="13"/>
      <c r="X343" s="310"/>
      <c r="Y343" s="311"/>
      <c r="Z343" s="310"/>
      <c r="AA343" s="312"/>
      <c r="AB343" s="13"/>
      <c r="AC343" s="313"/>
      <c r="AD343" s="313"/>
      <c r="AE343" s="313"/>
      <c r="AF343" s="331"/>
      <c r="AG343" s="320"/>
      <c r="AH343" s="13"/>
      <c r="AI343" s="13"/>
      <c r="AJ343" s="13"/>
      <c r="AK343" s="13"/>
      <c r="AL343" s="13"/>
      <c r="AM343" s="13"/>
      <c r="AN343" s="13"/>
      <c r="AO343" s="13"/>
      <c r="AP343" s="13"/>
    </row>
    <row r="344" ht="18.75" customHeight="1">
      <c r="A344" s="13"/>
      <c r="B344" s="282"/>
      <c r="C344" s="330"/>
      <c r="D344" s="330"/>
      <c r="E344" s="330"/>
      <c r="F344" s="13"/>
      <c r="G344" s="309"/>
      <c r="H344" s="309"/>
      <c r="I344" s="309"/>
      <c r="J344" s="310"/>
      <c r="K344" s="310"/>
      <c r="L344" s="310"/>
      <c r="M344" s="310"/>
      <c r="N344" s="310"/>
      <c r="O344" s="311"/>
      <c r="P344" s="310"/>
      <c r="Q344" s="311"/>
      <c r="R344" s="310"/>
      <c r="S344" s="13"/>
      <c r="T344" s="13"/>
      <c r="U344" s="13"/>
      <c r="V344" s="13"/>
      <c r="W344" s="13"/>
      <c r="X344" s="310"/>
      <c r="Y344" s="311"/>
      <c r="Z344" s="310"/>
      <c r="AA344" s="312"/>
      <c r="AB344" s="13"/>
      <c r="AC344" s="313"/>
      <c r="AD344" s="313"/>
      <c r="AE344" s="313"/>
      <c r="AF344" s="331"/>
      <c r="AG344" s="320"/>
      <c r="AH344" s="13"/>
      <c r="AI344" s="13"/>
      <c r="AJ344" s="13"/>
      <c r="AK344" s="13"/>
      <c r="AL344" s="13"/>
      <c r="AM344" s="13"/>
      <c r="AN344" s="13"/>
      <c r="AO344" s="13"/>
      <c r="AP344" s="13"/>
    </row>
    <row r="345" ht="18.75" customHeight="1">
      <c r="A345" s="13"/>
      <c r="B345" s="282"/>
      <c r="C345" s="330"/>
      <c r="D345" s="330"/>
      <c r="E345" s="330"/>
      <c r="F345" s="13"/>
      <c r="G345" s="309"/>
      <c r="H345" s="309"/>
      <c r="I345" s="309"/>
      <c r="J345" s="310"/>
      <c r="K345" s="310"/>
      <c r="L345" s="310"/>
      <c r="M345" s="310"/>
      <c r="N345" s="310"/>
      <c r="O345" s="311"/>
      <c r="P345" s="310"/>
      <c r="Q345" s="311"/>
      <c r="R345" s="310"/>
      <c r="S345" s="13"/>
      <c r="T345" s="13"/>
      <c r="U345" s="13"/>
      <c r="V345" s="13"/>
      <c r="W345" s="13"/>
      <c r="X345" s="310"/>
      <c r="Y345" s="311"/>
      <c r="Z345" s="310"/>
      <c r="AA345" s="312"/>
      <c r="AB345" s="13"/>
      <c r="AC345" s="313"/>
      <c r="AD345" s="313"/>
      <c r="AE345" s="313"/>
      <c r="AF345" s="331"/>
      <c r="AG345" s="320"/>
      <c r="AH345" s="13"/>
      <c r="AI345" s="13"/>
      <c r="AJ345" s="13"/>
      <c r="AK345" s="13"/>
      <c r="AL345" s="13"/>
      <c r="AM345" s="13"/>
      <c r="AN345" s="13"/>
      <c r="AO345" s="13"/>
      <c r="AP345" s="13"/>
    </row>
    <row r="346" ht="18.75" customHeight="1">
      <c r="A346" s="13"/>
      <c r="B346" s="282"/>
      <c r="C346" s="330"/>
      <c r="D346" s="330"/>
      <c r="E346" s="330"/>
      <c r="F346" s="13"/>
      <c r="G346" s="309"/>
      <c r="H346" s="309"/>
      <c r="I346" s="309"/>
      <c r="J346" s="310"/>
      <c r="K346" s="310"/>
      <c r="L346" s="310"/>
      <c r="M346" s="310"/>
      <c r="N346" s="310"/>
      <c r="O346" s="311"/>
      <c r="P346" s="310"/>
      <c r="Q346" s="311"/>
      <c r="R346" s="310"/>
      <c r="S346" s="13"/>
      <c r="T346" s="13"/>
      <c r="U346" s="13"/>
      <c r="V346" s="13"/>
      <c r="W346" s="13"/>
      <c r="X346" s="310"/>
      <c r="Y346" s="311"/>
      <c r="Z346" s="310"/>
      <c r="AA346" s="312"/>
      <c r="AB346" s="13"/>
      <c r="AC346" s="313"/>
      <c r="AD346" s="313"/>
      <c r="AE346" s="313"/>
      <c r="AF346" s="331"/>
      <c r="AG346" s="320"/>
      <c r="AH346" s="13"/>
      <c r="AI346" s="13"/>
      <c r="AJ346" s="13"/>
      <c r="AK346" s="13"/>
      <c r="AL346" s="13"/>
      <c r="AM346" s="13"/>
      <c r="AN346" s="13"/>
      <c r="AO346" s="13"/>
      <c r="AP346" s="13"/>
    </row>
    <row r="347" ht="18.75" customHeight="1">
      <c r="A347" s="13"/>
      <c r="B347" s="282"/>
      <c r="C347" s="330"/>
      <c r="D347" s="330"/>
      <c r="E347" s="330"/>
      <c r="F347" s="13"/>
      <c r="G347" s="309"/>
      <c r="H347" s="309"/>
      <c r="I347" s="309"/>
      <c r="J347" s="310"/>
      <c r="K347" s="310"/>
      <c r="L347" s="310"/>
      <c r="M347" s="310"/>
      <c r="N347" s="310"/>
      <c r="O347" s="311"/>
      <c r="P347" s="310"/>
      <c r="Q347" s="311"/>
      <c r="R347" s="310"/>
      <c r="S347" s="13"/>
      <c r="T347" s="13"/>
      <c r="U347" s="13"/>
      <c r="V347" s="13"/>
      <c r="W347" s="13"/>
      <c r="X347" s="310"/>
      <c r="Y347" s="311"/>
      <c r="Z347" s="310"/>
      <c r="AA347" s="312"/>
      <c r="AB347" s="13"/>
      <c r="AC347" s="313"/>
      <c r="AD347" s="313"/>
      <c r="AE347" s="313"/>
      <c r="AF347" s="331"/>
      <c r="AG347" s="320"/>
      <c r="AH347" s="13"/>
      <c r="AI347" s="13"/>
      <c r="AJ347" s="13"/>
      <c r="AK347" s="13"/>
      <c r="AL347" s="13"/>
      <c r="AM347" s="13"/>
      <c r="AN347" s="13"/>
      <c r="AO347" s="13"/>
      <c r="AP347" s="13"/>
    </row>
    <row r="348" ht="18.75" customHeight="1">
      <c r="A348" s="13"/>
      <c r="B348" s="282"/>
      <c r="C348" s="330"/>
      <c r="D348" s="330"/>
      <c r="E348" s="330"/>
      <c r="F348" s="13"/>
      <c r="G348" s="309"/>
      <c r="H348" s="309"/>
      <c r="I348" s="309"/>
      <c r="J348" s="310"/>
      <c r="K348" s="310"/>
      <c r="L348" s="310"/>
      <c r="M348" s="310"/>
      <c r="N348" s="310"/>
      <c r="O348" s="311"/>
      <c r="P348" s="310"/>
      <c r="Q348" s="311"/>
      <c r="R348" s="310"/>
      <c r="S348" s="13"/>
      <c r="T348" s="13"/>
      <c r="U348" s="13"/>
      <c r="V348" s="13"/>
      <c r="W348" s="13"/>
      <c r="X348" s="310"/>
      <c r="Y348" s="311"/>
      <c r="Z348" s="310"/>
      <c r="AA348" s="312"/>
      <c r="AB348" s="13"/>
      <c r="AC348" s="313"/>
      <c r="AD348" s="313"/>
      <c r="AE348" s="313"/>
      <c r="AF348" s="331"/>
      <c r="AG348" s="320"/>
      <c r="AH348" s="13"/>
      <c r="AI348" s="13"/>
      <c r="AJ348" s="13"/>
      <c r="AK348" s="13"/>
      <c r="AL348" s="13"/>
      <c r="AM348" s="13"/>
      <c r="AN348" s="13"/>
      <c r="AO348" s="13"/>
      <c r="AP348" s="13"/>
    </row>
    <row r="349" ht="18.75" customHeight="1">
      <c r="A349" s="13"/>
      <c r="B349" s="282"/>
      <c r="C349" s="330"/>
      <c r="D349" s="330"/>
      <c r="E349" s="330"/>
      <c r="F349" s="13"/>
      <c r="G349" s="309"/>
      <c r="H349" s="309"/>
      <c r="I349" s="309"/>
      <c r="J349" s="310"/>
      <c r="K349" s="310"/>
      <c r="L349" s="310"/>
      <c r="M349" s="310"/>
      <c r="N349" s="310"/>
      <c r="O349" s="311"/>
      <c r="P349" s="310"/>
      <c r="Q349" s="311"/>
      <c r="R349" s="310"/>
      <c r="S349" s="13"/>
      <c r="T349" s="13"/>
      <c r="U349" s="13"/>
      <c r="V349" s="13"/>
      <c r="W349" s="13"/>
      <c r="X349" s="310"/>
      <c r="Y349" s="311"/>
      <c r="Z349" s="310"/>
      <c r="AA349" s="312"/>
      <c r="AB349" s="13"/>
      <c r="AC349" s="313"/>
      <c r="AD349" s="313"/>
      <c r="AE349" s="313"/>
      <c r="AF349" s="331"/>
      <c r="AG349" s="320"/>
      <c r="AH349" s="13"/>
      <c r="AI349" s="13"/>
      <c r="AJ349" s="13"/>
      <c r="AK349" s="13"/>
      <c r="AL349" s="13"/>
      <c r="AM349" s="13"/>
      <c r="AN349" s="13"/>
      <c r="AO349" s="13"/>
      <c r="AP349" s="13"/>
    </row>
    <row r="350" ht="18.75" customHeight="1">
      <c r="A350" s="13"/>
      <c r="B350" s="282"/>
      <c r="C350" s="330"/>
      <c r="D350" s="330"/>
      <c r="E350" s="330"/>
      <c r="F350" s="13"/>
      <c r="G350" s="309"/>
      <c r="H350" s="309"/>
      <c r="I350" s="309"/>
      <c r="J350" s="310"/>
      <c r="K350" s="310"/>
      <c r="L350" s="310"/>
      <c r="M350" s="310"/>
      <c r="N350" s="310"/>
      <c r="O350" s="311"/>
      <c r="P350" s="310"/>
      <c r="Q350" s="311"/>
      <c r="R350" s="310"/>
      <c r="S350" s="13"/>
      <c r="T350" s="13"/>
      <c r="U350" s="13"/>
      <c r="V350" s="13"/>
      <c r="W350" s="13"/>
      <c r="X350" s="310"/>
      <c r="Y350" s="311"/>
      <c r="Z350" s="310"/>
      <c r="AA350" s="312"/>
      <c r="AB350" s="13"/>
      <c r="AC350" s="313"/>
      <c r="AD350" s="313"/>
      <c r="AE350" s="313"/>
      <c r="AF350" s="331"/>
      <c r="AG350" s="320"/>
      <c r="AH350" s="13"/>
      <c r="AI350" s="13"/>
      <c r="AJ350" s="13"/>
      <c r="AK350" s="13"/>
      <c r="AL350" s="13"/>
      <c r="AM350" s="13"/>
      <c r="AN350" s="13"/>
      <c r="AO350" s="13"/>
      <c r="AP350" s="13"/>
    </row>
    <row r="351" ht="18.75" customHeight="1">
      <c r="A351" s="13"/>
      <c r="B351" s="282"/>
      <c r="C351" s="330"/>
      <c r="D351" s="330"/>
      <c r="E351" s="330"/>
      <c r="F351" s="13"/>
      <c r="G351" s="309"/>
      <c r="H351" s="309"/>
      <c r="I351" s="309"/>
      <c r="J351" s="310"/>
      <c r="K351" s="310"/>
      <c r="L351" s="310"/>
      <c r="M351" s="310"/>
      <c r="N351" s="310"/>
      <c r="O351" s="311"/>
      <c r="P351" s="310"/>
      <c r="Q351" s="311"/>
      <c r="R351" s="310"/>
      <c r="S351" s="13"/>
      <c r="T351" s="13"/>
      <c r="U351" s="13"/>
      <c r="V351" s="13"/>
      <c r="W351" s="13"/>
      <c r="X351" s="310"/>
      <c r="Y351" s="311"/>
      <c r="Z351" s="310"/>
      <c r="AA351" s="312"/>
      <c r="AB351" s="13"/>
      <c r="AC351" s="313"/>
      <c r="AD351" s="313"/>
      <c r="AE351" s="313"/>
      <c r="AF351" s="331"/>
      <c r="AG351" s="320"/>
      <c r="AH351" s="13"/>
      <c r="AI351" s="13"/>
      <c r="AJ351" s="13"/>
      <c r="AK351" s="13"/>
      <c r="AL351" s="13"/>
      <c r="AM351" s="13"/>
      <c r="AN351" s="13"/>
      <c r="AO351" s="13"/>
      <c r="AP351" s="13"/>
    </row>
    <row r="352" ht="18.75" customHeight="1">
      <c r="A352" s="13"/>
      <c r="B352" s="282"/>
      <c r="C352" s="330"/>
      <c r="D352" s="330"/>
      <c r="E352" s="330"/>
      <c r="F352" s="13"/>
      <c r="G352" s="309"/>
      <c r="H352" s="309"/>
      <c r="I352" s="309"/>
      <c r="J352" s="310"/>
      <c r="K352" s="310"/>
      <c r="L352" s="310"/>
      <c r="M352" s="310"/>
      <c r="N352" s="310"/>
      <c r="O352" s="311"/>
      <c r="P352" s="310"/>
      <c r="Q352" s="311"/>
      <c r="R352" s="310"/>
      <c r="S352" s="13"/>
      <c r="T352" s="13"/>
      <c r="U352" s="13"/>
      <c r="V352" s="13"/>
      <c r="W352" s="13"/>
      <c r="X352" s="310"/>
      <c r="Y352" s="311"/>
      <c r="Z352" s="310"/>
      <c r="AA352" s="312"/>
      <c r="AB352" s="13"/>
      <c r="AC352" s="313"/>
      <c r="AD352" s="313"/>
      <c r="AE352" s="313"/>
      <c r="AF352" s="331"/>
      <c r="AG352" s="320"/>
      <c r="AH352" s="13"/>
      <c r="AI352" s="13"/>
      <c r="AJ352" s="13"/>
      <c r="AK352" s="13"/>
      <c r="AL352" s="13"/>
      <c r="AM352" s="13"/>
      <c r="AN352" s="13"/>
      <c r="AO352" s="13"/>
      <c r="AP352" s="13"/>
    </row>
    <row r="353" ht="18.75" customHeight="1">
      <c r="A353" s="13"/>
      <c r="B353" s="282"/>
      <c r="C353" s="330"/>
      <c r="D353" s="330"/>
      <c r="E353" s="330"/>
      <c r="F353" s="13"/>
      <c r="G353" s="309"/>
      <c r="H353" s="309"/>
      <c r="I353" s="309"/>
      <c r="J353" s="310"/>
      <c r="K353" s="310"/>
      <c r="L353" s="310"/>
      <c r="M353" s="310"/>
      <c r="N353" s="310"/>
      <c r="O353" s="311"/>
      <c r="P353" s="310"/>
      <c r="Q353" s="311"/>
      <c r="R353" s="310"/>
      <c r="S353" s="13"/>
      <c r="T353" s="13"/>
      <c r="U353" s="13"/>
      <c r="V353" s="13"/>
      <c r="W353" s="13"/>
      <c r="X353" s="310"/>
      <c r="Y353" s="311"/>
      <c r="Z353" s="310"/>
      <c r="AA353" s="312"/>
      <c r="AB353" s="13"/>
      <c r="AC353" s="313"/>
      <c r="AD353" s="313"/>
      <c r="AE353" s="313"/>
      <c r="AF353" s="331"/>
      <c r="AG353" s="320"/>
      <c r="AH353" s="13"/>
      <c r="AI353" s="13"/>
      <c r="AJ353" s="13"/>
      <c r="AK353" s="13"/>
      <c r="AL353" s="13"/>
      <c r="AM353" s="13"/>
      <c r="AN353" s="13"/>
      <c r="AO353" s="13"/>
      <c r="AP353" s="13"/>
    </row>
    <row r="354" ht="18.75" customHeight="1">
      <c r="A354" s="13"/>
      <c r="B354" s="282"/>
      <c r="C354" s="330"/>
      <c r="D354" s="330"/>
      <c r="E354" s="330"/>
      <c r="F354" s="13"/>
      <c r="G354" s="309"/>
      <c r="H354" s="309"/>
      <c r="I354" s="309"/>
      <c r="J354" s="310"/>
      <c r="K354" s="310"/>
      <c r="L354" s="310"/>
      <c r="M354" s="310"/>
      <c r="N354" s="310"/>
      <c r="O354" s="311"/>
      <c r="P354" s="310"/>
      <c r="Q354" s="311"/>
      <c r="R354" s="310"/>
      <c r="S354" s="13"/>
      <c r="T354" s="13"/>
      <c r="U354" s="13"/>
      <c r="V354" s="13"/>
      <c r="W354" s="13"/>
      <c r="X354" s="310"/>
      <c r="Y354" s="311"/>
      <c r="Z354" s="310"/>
      <c r="AA354" s="312"/>
      <c r="AB354" s="13"/>
      <c r="AC354" s="313"/>
      <c r="AD354" s="313"/>
      <c r="AE354" s="313"/>
      <c r="AF354" s="331"/>
      <c r="AG354" s="320"/>
      <c r="AH354" s="13"/>
      <c r="AI354" s="13"/>
      <c r="AJ354" s="13"/>
      <c r="AK354" s="13"/>
      <c r="AL354" s="13"/>
      <c r="AM354" s="13"/>
      <c r="AN354" s="13"/>
      <c r="AO354" s="13"/>
      <c r="AP354" s="13"/>
    </row>
    <row r="355" ht="18.75" customHeight="1">
      <c r="A355" s="13"/>
      <c r="B355" s="282"/>
      <c r="C355" s="330"/>
      <c r="D355" s="330"/>
      <c r="E355" s="330"/>
      <c r="F355" s="13"/>
      <c r="G355" s="309"/>
      <c r="H355" s="309"/>
      <c r="I355" s="309"/>
      <c r="J355" s="310"/>
      <c r="K355" s="310"/>
      <c r="L355" s="310"/>
      <c r="M355" s="310"/>
      <c r="N355" s="310"/>
      <c r="O355" s="311"/>
      <c r="P355" s="310"/>
      <c r="Q355" s="311"/>
      <c r="R355" s="310"/>
      <c r="S355" s="13"/>
      <c r="T355" s="13"/>
      <c r="U355" s="13"/>
      <c r="V355" s="13"/>
      <c r="W355" s="13"/>
      <c r="X355" s="310"/>
      <c r="Y355" s="311"/>
      <c r="Z355" s="310"/>
      <c r="AA355" s="312"/>
      <c r="AB355" s="13"/>
      <c r="AC355" s="313"/>
      <c r="AD355" s="313"/>
      <c r="AE355" s="313"/>
      <c r="AF355" s="331"/>
      <c r="AG355" s="320"/>
      <c r="AH355" s="13"/>
      <c r="AI355" s="13"/>
      <c r="AJ355" s="13"/>
      <c r="AK355" s="13"/>
      <c r="AL355" s="13"/>
      <c r="AM355" s="13"/>
      <c r="AN355" s="13"/>
      <c r="AO355" s="13"/>
      <c r="AP355" s="13"/>
    </row>
    <row r="356" ht="18.75" customHeight="1">
      <c r="A356" s="13"/>
      <c r="B356" s="282"/>
      <c r="C356" s="330"/>
      <c r="D356" s="330"/>
      <c r="E356" s="330"/>
      <c r="F356" s="13"/>
      <c r="G356" s="309"/>
      <c r="H356" s="309"/>
      <c r="I356" s="309"/>
      <c r="J356" s="310"/>
      <c r="K356" s="310"/>
      <c r="L356" s="310"/>
      <c r="M356" s="310"/>
      <c r="N356" s="310"/>
      <c r="O356" s="311"/>
      <c r="P356" s="310"/>
      <c r="Q356" s="311"/>
      <c r="R356" s="310"/>
      <c r="S356" s="13"/>
      <c r="T356" s="13"/>
      <c r="U356" s="13"/>
      <c r="V356" s="13"/>
      <c r="W356" s="13"/>
      <c r="X356" s="310"/>
      <c r="Y356" s="311"/>
      <c r="Z356" s="310"/>
      <c r="AA356" s="312"/>
      <c r="AB356" s="13"/>
      <c r="AC356" s="313"/>
      <c r="AD356" s="313"/>
      <c r="AE356" s="313"/>
      <c r="AF356" s="331"/>
      <c r="AG356" s="320"/>
      <c r="AH356" s="13"/>
      <c r="AI356" s="13"/>
      <c r="AJ356" s="13"/>
      <c r="AK356" s="13"/>
      <c r="AL356" s="13"/>
      <c r="AM356" s="13"/>
      <c r="AN356" s="13"/>
      <c r="AO356" s="13"/>
      <c r="AP356" s="13"/>
    </row>
    <row r="357" ht="18.75" customHeight="1">
      <c r="A357" s="13"/>
      <c r="B357" s="282"/>
      <c r="C357" s="330"/>
      <c r="D357" s="330"/>
      <c r="E357" s="330"/>
      <c r="F357" s="13"/>
      <c r="G357" s="309"/>
      <c r="H357" s="309"/>
      <c r="I357" s="309"/>
      <c r="J357" s="310"/>
      <c r="K357" s="310"/>
      <c r="L357" s="310"/>
      <c r="M357" s="310"/>
      <c r="N357" s="310"/>
      <c r="O357" s="311"/>
      <c r="P357" s="310"/>
      <c r="Q357" s="311"/>
      <c r="R357" s="310"/>
      <c r="S357" s="13"/>
      <c r="T357" s="13"/>
      <c r="U357" s="13"/>
      <c r="V357" s="13"/>
      <c r="W357" s="13"/>
      <c r="X357" s="310"/>
      <c r="Y357" s="311"/>
      <c r="Z357" s="310"/>
      <c r="AA357" s="312"/>
      <c r="AB357" s="13"/>
      <c r="AC357" s="313"/>
      <c r="AD357" s="313"/>
      <c r="AE357" s="313"/>
      <c r="AF357" s="331"/>
      <c r="AG357" s="320"/>
      <c r="AH357" s="13"/>
      <c r="AI357" s="13"/>
      <c r="AJ357" s="13"/>
      <c r="AK357" s="13"/>
      <c r="AL357" s="13"/>
      <c r="AM357" s="13"/>
      <c r="AN357" s="13"/>
      <c r="AO357" s="13"/>
      <c r="AP357" s="13"/>
    </row>
    <row r="358" ht="18.75" customHeight="1">
      <c r="A358" s="13"/>
      <c r="B358" s="282"/>
      <c r="C358" s="330"/>
      <c r="D358" s="330"/>
      <c r="E358" s="330"/>
      <c r="F358" s="13"/>
      <c r="G358" s="309"/>
      <c r="H358" s="309"/>
      <c r="I358" s="309"/>
      <c r="J358" s="310"/>
      <c r="K358" s="310"/>
      <c r="L358" s="310"/>
      <c r="M358" s="310"/>
      <c r="N358" s="310"/>
      <c r="O358" s="311"/>
      <c r="P358" s="310"/>
      <c r="Q358" s="311"/>
      <c r="R358" s="310"/>
      <c r="S358" s="13"/>
      <c r="T358" s="13"/>
      <c r="U358" s="13"/>
      <c r="V358" s="13"/>
      <c r="W358" s="13"/>
      <c r="X358" s="310"/>
      <c r="Y358" s="311"/>
      <c r="Z358" s="310"/>
      <c r="AA358" s="312"/>
      <c r="AB358" s="13"/>
      <c r="AC358" s="313"/>
      <c r="AD358" s="313"/>
      <c r="AE358" s="313"/>
      <c r="AF358" s="331"/>
      <c r="AG358" s="320"/>
      <c r="AH358" s="13"/>
      <c r="AI358" s="13"/>
      <c r="AJ358" s="13"/>
      <c r="AK358" s="13"/>
      <c r="AL358" s="13"/>
      <c r="AM358" s="13"/>
      <c r="AN358" s="13"/>
      <c r="AO358" s="13"/>
      <c r="AP358" s="13"/>
    </row>
    <row r="359" ht="18.75" customHeight="1">
      <c r="A359" s="13"/>
      <c r="B359" s="282"/>
      <c r="C359" s="330"/>
      <c r="D359" s="330"/>
      <c r="E359" s="330"/>
      <c r="F359" s="13"/>
      <c r="G359" s="309"/>
      <c r="H359" s="309"/>
      <c r="I359" s="309"/>
      <c r="J359" s="310"/>
      <c r="K359" s="310"/>
      <c r="L359" s="310"/>
      <c r="M359" s="310"/>
      <c r="N359" s="310"/>
      <c r="O359" s="311"/>
      <c r="P359" s="310"/>
      <c r="Q359" s="311"/>
      <c r="R359" s="310"/>
      <c r="S359" s="13"/>
      <c r="T359" s="13"/>
      <c r="U359" s="13"/>
      <c r="V359" s="13"/>
      <c r="W359" s="13"/>
      <c r="X359" s="310"/>
      <c r="Y359" s="311"/>
      <c r="Z359" s="310"/>
      <c r="AA359" s="312"/>
      <c r="AB359" s="13"/>
      <c r="AC359" s="313"/>
      <c r="AD359" s="313"/>
      <c r="AE359" s="313"/>
      <c r="AF359" s="331"/>
      <c r="AG359" s="320"/>
      <c r="AH359" s="13"/>
      <c r="AI359" s="13"/>
      <c r="AJ359" s="13"/>
      <c r="AK359" s="13"/>
      <c r="AL359" s="13"/>
      <c r="AM359" s="13"/>
      <c r="AN359" s="13"/>
      <c r="AO359" s="13"/>
      <c r="AP359" s="13"/>
    </row>
    <row r="360" ht="18.75" customHeight="1">
      <c r="A360" s="13"/>
      <c r="B360" s="282"/>
      <c r="C360" s="330"/>
      <c r="D360" s="330"/>
      <c r="E360" s="330"/>
      <c r="F360" s="13"/>
      <c r="G360" s="309"/>
      <c r="H360" s="309"/>
      <c r="I360" s="309"/>
      <c r="J360" s="310"/>
      <c r="K360" s="310"/>
      <c r="L360" s="310"/>
      <c r="M360" s="310"/>
      <c r="N360" s="310"/>
      <c r="O360" s="311"/>
      <c r="P360" s="310"/>
      <c r="Q360" s="311"/>
      <c r="R360" s="310"/>
      <c r="S360" s="13"/>
      <c r="T360" s="13"/>
      <c r="U360" s="13"/>
      <c r="V360" s="13"/>
      <c r="W360" s="13"/>
      <c r="X360" s="310"/>
      <c r="Y360" s="311"/>
      <c r="Z360" s="310"/>
      <c r="AA360" s="312"/>
      <c r="AB360" s="13"/>
      <c r="AC360" s="313"/>
      <c r="AD360" s="313"/>
      <c r="AE360" s="313"/>
      <c r="AF360" s="331"/>
      <c r="AG360" s="320"/>
      <c r="AH360" s="13"/>
      <c r="AI360" s="13"/>
      <c r="AJ360" s="13"/>
      <c r="AK360" s="13"/>
      <c r="AL360" s="13"/>
      <c r="AM360" s="13"/>
      <c r="AN360" s="13"/>
      <c r="AO360" s="13"/>
      <c r="AP360" s="13"/>
    </row>
    <row r="361" ht="18.75" customHeight="1">
      <c r="A361" s="13"/>
      <c r="B361" s="282"/>
      <c r="C361" s="330"/>
      <c r="D361" s="330"/>
      <c r="E361" s="330"/>
      <c r="F361" s="13"/>
      <c r="G361" s="309"/>
      <c r="H361" s="309"/>
      <c r="I361" s="309"/>
      <c r="J361" s="310"/>
      <c r="K361" s="310"/>
      <c r="L361" s="310"/>
      <c r="M361" s="310"/>
      <c r="N361" s="310"/>
      <c r="O361" s="311"/>
      <c r="P361" s="310"/>
      <c r="Q361" s="311"/>
      <c r="R361" s="310"/>
      <c r="S361" s="13"/>
      <c r="T361" s="13"/>
      <c r="U361" s="13"/>
      <c r="V361" s="13"/>
      <c r="W361" s="13"/>
      <c r="X361" s="310"/>
      <c r="Y361" s="311"/>
      <c r="Z361" s="310"/>
      <c r="AA361" s="312"/>
      <c r="AB361" s="13"/>
      <c r="AC361" s="313"/>
      <c r="AD361" s="313"/>
      <c r="AE361" s="313"/>
      <c r="AF361" s="331"/>
      <c r="AG361" s="320"/>
      <c r="AH361" s="13"/>
      <c r="AI361" s="13"/>
      <c r="AJ361" s="13"/>
      <c r="AK361" s="13"/>
      <c r="AL361" s="13"/>
      <c r="AM361" s="13"/>
      <c r="AN361" s="13"/>
      <c r="AO361" s="13"/>
      <c r="AP361" s="13"/>
    </row>
    <row r="362" ht="18.75" customHeight="1">
      <c r="A362" s="13"/>
      <c r="B362" s="282"/>
      <c r="C362" s="330"/>
      <c r="D362" s="330"/>
      <c r="E362" s="330"/>
      <c r="F362" s="13"/>
      <c r="G362" s="309"/>
      <c r="H362" s="309"/>
      <c r="I362" s="309"/>
      <c r="J362" s="310"/>
      <c r="K362" s="310"/>
      <c r="L362" s="310"/>
      <c r="M362" s="310"/>
      <c r="N362" s="310"/>
      <c r="O362" s="311"/>
      <c r="P362" s="310"/>
      <c r="Q362" s="311"/>
      <c r="R362" s="310"/>
      <c r="S362" s="13"/>
      <c r="T362" s="13"/>
      <c r="U362" s="13"/>
      <c r="V362" s="13"/>
      <c r="W362" s="13"/>
      <c r="X362" s="310"/>
      <c r="Y362" s="311"/>
      <c r="Z362" s="310"/>
      <c r="AA362" s="312"/>
      <c r="AB362" s="13"/>
      <c r="AC362" s="313"/>
      <c r="AD362" s="313"/>
      <c r="AE362" s="313"/>
      <c r="AF362" s="331"/>
      <c r="AG362" s="320"/>
      <c r="AH362" s="13"/>
      <c r="AI362" s="13"/>
      <c r="AJ362" s="13"/>
      <c r="AK362" s="13"/>
      <c r="AL362" s="13"/>
      <c r="AM362" s="13"/>
      <c r="AN362" s="13"/>
      <c r="AO362" s="13"/>
      <c r="AP362" s="13"/>
    </row>
    <row r="363" ht="18.75" customHeight="1">
      <c r="A363" s="13"/>
      <c r="B363" s="282"/>
      <c r="C363" s="330"/>
      <c r="D363" s="330"/>
      <c r="E363" s="330"/>
      <c r="F363" s="13"/>
      <c r="G363" s="309"/>
      <c r="H363" s="309"/>
      <c r="I363" s="309"/>
      <c r="J363" s="310"/>
      <c r="K363" s="310"/>
      <c r="L363" s="310"/>
      <c r="M363" s="310"/>
      <c r="N363" s="310"/>
      <c r="O363" s="311"/>
      <c r="P363" s="310"/>
      <c r="Q363" s="311"/>
      <c r="R363" s="310"/>
      <c r="S363" s="13"/>
      <c r="T363" s="13"/>
      <c r="U363" s="13"/>
      <c r="V363" s="13"/>
      <c r="W363" s="13"/>
      <c r="X363" s="310"/>
      <c r="Y363" s="311"/>
      <c r="Z363" s="310"/>
      <c r="AA363" s="312"/>
      <c r="AB363" s="13"/>
      <c r="AC363" s="313"/>
      <c r="AD363" s="313"/>
      <c r="AE363" s="313"/>
      <c r="AF363" s="331"/>
      <c r="AG363" s="320"/>
      <c r="AH363" s="13"/>
      <c r="AI363" s="13"/>
      <c r="AJ363" s="13"/>
      <c r="AK363" s="13"/>
      <c r="AL363" s="13"/>
      <c r="AM363" s="13"/>
      <c r="AN363" s="13"/>
      <c r="AO363" s="13"/>
      <c r="AP363" s="13"/>
    </row>
    <row r="364" ht="18.75" customHeight="1">
      <c r="A364" s="13"/>
      <c r="B364" s="282"/>
      <c r="C364" s="330"/>
      <c r="D364" s="330"/>
      <c r="E364" s="330"/>
      <c r="F364" s="13"/>
      <c r="G364" s="309"/>
      <c r="H364" s="309"/>
      <c r="I364" s="309"/>
      <c r="J364" s="310"/>
      <c r="K364" s="310"/>
      <c r="L364" s="310"/>
      <c r="M364" s="310"/>
      <c r="N364" s="310"/>
      <c r="O364" s="311"/>
      <c r="P364" s="310"/>
      <c r="Q364" s="311"/>
      <c r="R364" s="310"/>
      <c r="S364" s="13"/>
      <c r="T364" s="13"/>
      <c r="U364" s="13"/>
      <c r="V364" s="13"/>
      <c r="W364" s="13"/>
      <c r="X364" s="310"/>
      <c r="Y364" s="311"/>
      <c r="Z364" s="310"/>
      <c r="AA364" s="312"/>
      <c r="AB364" s="13"/>
      <c r="AC364" s="313"/>
      <c r="AD364" s="313"/>
      <c r="AE364" s="313"/>
      <c r="AF364" s="331"/>
      <c r="AG364" s="320"/>
      <c r="AH364" s="13"/>
      <c r="AI364" s="13"/>
      <c r="AJ364" s="13"/>
      <c r="AK364" s="13"/>
      <c r="AL364" s="13"/>
      <c r="AM364" s="13"/>
      <c r="AN364" s="13"/>
      <c r="AO364" s="13"/>
      <c r="AP364" s="13"/>
    </row>
    <row r="365" ht="18.75" customHeight="1">
      <c r="A365" s="13"/>
      <c r="B365" s="282"/>
      <c r="C365" s="330"/>
      <c r="D365" s="330"/>
      <c r="E365" s="330"/>
      <c r="F365" s="13"/>
      <c r="G365" s="309"/>
      <c r="H365" s="309"/>
      <c r="I365" s="309"/>
      <c r="J365" s="310"/>
      <c r="K365" s="310"/>
      <c r="L365" s="310"/>
      <c r="M365" s="310"/>
      <c r="N365" s="310"/>
      <c r="O365" s="311"/>
      <c r="P365" s="310"/>
      <c r="Q365" s="311"/>
      <c r="R365" s="310"/>
      <c r="S365" s="13"/>
      <c r="T365" s="13"/>
      <c r="U365" s="13"/>
      <c r="V365" s="13"/>
      <c r="W365" s="13"/>
      <c r="X365" s="310"/>
      <c r="Y365" s="311"/>
      <c r="Z365" s="310"/>
      <c r="AA365" s="312"/>
      <c r="AB365" s="13"/>
      <c r="AC365" s="313"/>
      <c r="AD365" s="313"/>
      <c r="AE365" s="313"/>
      <c r="AF365" s="331"/>
      <c r="AG365" s="320"/>
      <c r="AH365" s="13"/>
      <c r="AI365" s="13"/>
      <c r="AJ365" s="13"/>
      <c r="AK365" s="13"/>
      <c r="AL365" s="13"/>
      <c r="AM365" s="13"/>
      <c r="AN365" s="13"/>
      <c r="AO365" s="13"/>
      <c r="AP365" s="13"/>
    </row>
    <row r="366" ht="18.75" customHeight="1">
      <c r="A366" s="13"/>
      <c r="B366" s="282"/>
      <c r="C366" s="330"/>
      <c r="D366" s="330"/>
      <c r="E366" s="330"/>
      <c r="F366" s="13"/>
      <c r="G366" s="309"/>
      <c r="H366" s="309"/>
      <c r="I366" s="309"/>
      <c r="J366" s="310"/>
      <c r="K366" s="310"/>
      <c r="L366" s="310"/>
      <c r="M366" s="310"/>
      <c r="N366" s="310"/>
      <c r="O366" s="311"/>
      <c r="P366" s="310"/>
      <c r="Q366" s="311"/>
      <c r="R366" s="310"/>
      <c r="S366" s="13"/>
      <c r="T366" s="13"/>
      <c r="U366" s="13"/>
      <c r="V366" s="13"/>
      <c r="W366" s="13"/>
      <c r="X366" s="310"/>
      <c r="Y366" s="311"/>
      <c r="Z366" s="310"/>
      <c r="AA366" s="312"/>
      <c r="AB366" s="13"/>
      <c r="AC366" s="313"/>
      <c r="AD366" s="313"/>
      <c r="AE366" s="313"/>
      <c r="AF366" s="331"/>
      <c r="AG366" s="320"/>
      <c r="AH366" s="13"/>
      <c r="AI366" s="13"/>
      <c r="AJ366" s="13"/>
      <c r="AK366" s="13"/>
      <c r="AL366" s="13"/>
      <c r="AM366" s="13"/>
      <c r="AN366" s="13"/>
      <c r="AO366" s="13"/>
      <c r="AP366" s="13"/>
    </row>
    <row r="367" ht="18.75" customHeight="1">
      <c r="A367" s="13"/>
      <c r="B367" s="282"/>
      <c r="C367" s="330"/>
      <c r="D367" s="330"/>
      <c r="E367" s="330"/>
      <c r="F367" s="13"/>
      <c r="G367" s="309"/>
      <c r="H367" s="309"/>
      <c r="I367" s="309"/>
      <c r="J367" s="310"/>
      <c r="K367" s="310"/>
      <c r="L367" s="310"/>
      <c r="M367" s="310"/>
      <c r="N367" s="310"/>
      <c r="O367" s="311"/>
      <c r="P367" s="310"/>
      <c r="Q367" s="311"/>
      <c r="R367" s="310"/>
      <c r="S367" s="13"/>
      <c r="T367" s="13"/>
      <c r="U367" s="13"/>
      <c r="V367" s="13"/>
      <c r="W367" s="13"/>
      <c r="X367" s="310"/>
      <c r="Y367" s="311"/>
      <c r="Z367" s="310"/>
      <c r="AA367" s="312"/>
      <c r="AB367" s="13"/>
      <c r="AC367" s="313"/>
      <c r="AD367" s="313"/>
      <c r="AE367" s="313"/>
      <c r="AF367" s="331"/>
      <c r="AG367" s="320"/>
      <c r="AH367" s="13"/>
      <c r="AI367" s="13"/>
      <c r="AJ367" s="13"/>
      <c r="AK367" s="13"/>
      <c r="AL367" s="13"/>
      <c r="AM367" s="13"/>
      <c r="AN367" s="13"/>
      <c r="AO367" s="13"/>
      <c r="AP367" s="13"/>
    </row>
    <row r="368" ht="18.75" customHeight="1">
      <c r="A368" s="13"/>
      <c r="B368" s="282"/>
      <c r="C368" s="330"/>
      <c r="D368" s="330"/>
      <c r="E368" s="330"/>
      <c r="F368" s="13"/>
      <c r="G368" s="309"/>
      <c r="H368" s="309"/>
      <c r="I368" s="309"/>
      <c r="J368" s="310"/>
      <c r="K368" s="310"/>
      <c r="L368" s="310"/>
      <c r="M368" s="310"/>
      <c r="N368" s="310"/>
      <c r="O368" s="311"/>
      <c r="P368" s="310"/>
      <c r="Q368" s="311"/>
      <c r="R368" s="310"/>
      <c r="S368" s="13"/>
      <c r="T368" s="13"/>
      <c r="U368" s="13"/>
      <c r="V368" s="13"/>
      <c r="W368" s="13"/>
      <c r="X368" s="310"/>
      <c r="Y368" s="311"/>
      <c r="Z368" s="310"/>
      <c r="AA368" s="312"/>
      <c r="AB368" s="13"/>
      <c r="AC368" s="313"/>
      <c r="AD368" s="313"/>
      <c r="AE368" s="313"/>
      <c r="AF368" s="331"/>
      <c r="AG368" s="320"/>
      <c r="AH368" s="13"/>
      <c r="AI368" s="13"/>
      <c r="AJ368" s="13"/>
      <c r="AK368" s="13"/>
      <c r="AL368" s="13"/>
      <c r="AM368" s="13"/>
      <c r="AN368" s="13"/>
      <c r="AO368" s="13"/>
      <c r="AP368" s="13"/>
    </row>
    <row r="369" ht="18.75" customHeight="1">
      <c r="A369" s="13"/>
      <c r="B369" s="282"/>
      <c r="C369" s="330"/>
      <c r="D369" s="330"/>
      <c r="E369" s="330"/>
      <c r="F369" s="13"/>
      <c r="G369" s="309"/>
      <c r="H369" s="309"/>
      <c r="I369" s="309"/>
      <c r="J369" s="310"/>
      <c r="K369" s="310"/>
      <c r="L369" s="310"/>
      <c r="M369" s="310"/>
      <c r="N369" s="310"/>
      <c r="O369" s="311"/>
      <c r="P369" s="310"/>
      <c r="Q369" s="311"/>
      <c r="R369" s="310"/>
      <c r="S369" s="13"/>
      <c r="T369" s="13"/>
      <c r="U369" s="13"/>
      <c r="V369" s="13"/>
      <c r="W369" s="13"/>
      <c r="X369" s="310"/>
      <c r="Y369" s="311"/>
      <c r="Z369" s="310"/>
      <c r="AA369" s="312"/>
      <c r="AB369" s="13"/>
      <c r="AC369" s="313"/>
      <c r="AD369" s="313"/>
      <c r="AE369" s="313"/>
      <c r="AF369" s="331"/>
      <c r="AG369" s="320"/>
      <c r="AH369" s="13"/>
      <c r="AI369" s="13"/>
      <c r="AJ369" s="13"/>
      <c r="AK369" s="13"/>
      <c r="AL369" s="13"/>
      <c r="AM369" s="13"/>
      <c r="AN369" s="13"/>
      <c r="AO369" s="13"/>
      <c r="AP369" s="13"/>
    </row>
    <row r="370" ht="18.75" customHeight="1">
      <c r="A370" s="13"/>
      <c r="B370" s="282"/>
      <c r="C370" s="330"/>
      <c r="D370" s="330"/>
      <c r="E370" s="330"/>
      <c r="F370" s="13"/>
      <c r="G370" s="309"/>
      <c r="H370" s="309"/>
      <c r="I370" s="309"/>
      <c r="J370" s="310"/>
      <c r="K370" s="310"/>
      <c r="L370" s="310"/>
      <c r="M370" s="310"/>
      <c r="N370" s="310"/>
      <c r="O370" s="311"/>
      <c r="P370" s="310"/>
      <c r="Q370" s="311"/>
      <c r="R370" s="310"/>
      <c r="S370" s="13"/>
      <c r="T370" s="13"/>
      <c r="U370" s="13"/>
      <c r="V370" s="13"/>
      <c r="W370" s="13"/>
      <c r="X370" s="310"/>
      <c r="Y370" s="311"/>
      <c r="Z370" s="310"/>
      <c r="AA370" s="312"/>
      <c r="AB370" s="13"/>
      <c r="AC370" s="313"/>
      <c r="AD370" s="313"/>
      <c r="AE370" s="313"/>
      <c r="AF370" s="331"/>
      <c r="AG370" s="320"/>
      <c r="AH370" s="13"/>
      <c r="AI370" s="13"/>
      <c r="AJ370" s="13"/>
      <c r="AK370" s="13"/>
      <c r="AL370" s="13"/>
      <c r="AM370" s="13"/>
      <c r="AN370" s="13"/>
      <c r="AO370" s="13"/>
      <c r="AP370" s="13"/>
    </row>
    <row r="371" ht="18.75" customHeight="1">
      <c r="A371" s="13"/>
      <c r="B371" s="282"/>
      <c r="C371" s="330"/>
      <c r="D371" s="330"/>
      <c r="E371" s="330"/>
      <c r="F371" s="13"/>
      <c r="G371" s="309"/>
      <c r="H371" s="309"/>
      <c r="I371" s="309"/>
      <c r="J371" s="310"/>
      <c r="K371" s="310"/>
      <c r="L371" s="310"/>
      <c r="M371" s="310"/>
      <c r="N371" s="310"/>
      <c r="O371" s="311"/>
      <c r="P371" s="310"/>
      <c r="Q371" s="311"/>
      <c r="R371" s="310"/>
      <c r="S371" s="13"/>
      <c r="T371" s="13"/>
      <c r="U371" s="13"/>
      <c r="V371" s="13"/>
      <c r="W371" s="13"/>
      <c r="X371" s="310"/>
      <c r="Y371" s="311"/>
      <c r="Z371" s="310"/>
      <c r="AA371" s="312"/>
      <c r="AB371" s="13"/>
      <c r="AC371" s="313"/>
      <c r="AD371" s="313"/>
      <c r="AE371" s="313"/>
      <c r="AF371" s="331"/>
      <c r="AG371" s="320"/>
      <c r="AH371" s="13"/>
      <c r="AI371" s="13"/>
      <c r="AJ371" s="13"/>
      <c r="AK371" s="13"/>
      <c r="AL371" s="13"/>
      <c r="AM371" s="13"/>
      <c r="AN371" s="13"/>
      <c r="AO371" s="13"/>
      <c r="AP371" s="13"/>
    </row>
    <row r="372" ht="18.75" customHeight="1">
      <c r="A372" s="13"/>
      <c r="B372" s="282"/>
      <c r="C372" s="330"/>
      <c r="D372" s="330"/>
      <c r="E372" s="330"/>
      <c r="F372" s="13"/>
      <c r="G372" s="309"/>
      <c r="H372" s="309"/>
      <c r="I372" s="309"/>
      <c r="J372" s="310"/>
      <c r="K372" s="310"/>
      <c r="L372" s="310"/>
      <c r="M372" s="310"/>
      <c r="N372" s="310"/>
      <c r="O372" s="311"/>
      <c r="P372" s="310"/>
      <c r="Q372" s="311"/>
      <c r="R372" s="310"/>
      <c r="S372" s="13"/>
      <c r="T372" s="13"/>
      <c r="U372" s="13"/>
      <c r="V372" s="13"/>
      <c r="W372" s="13"/>
      <c r="X372" s="310"/>
      <c r="Y372" s="311"/>
      <c r="Z372" s="310"/>
      <c r="AA372" s="312"/>
      <c r="AB372" s="13"/>
      <c r="AC372" s="313"/>
      <c r="AD372" s="313"/>
      <c r="AE372" s="313"/>
      <c r="AF372" s="331"/>
      <c r="AG372" s="320"/>
      <c r="AH372" s="13"/>
      <c r="AI372" s="13"/>
      <c r="AJ372" s="13"/>
      <c r="AK372" s="13"/>
      <c r="AL372" s="13"/>
      <c r="AM372" s="13"/>
      <c r="AN372" s="13"/>
      <c r="AO372" s="13"/>
      <c r="AP372" s="13"/>
    </row>
    <row r="373" ht="18.75" customHeight="1">
      <c r="A373" s="13"/>
      <c r="B373" s="282"/>
      <c r="C373" s="330"/>
      <c r="D373" s="330"/>
      <c r="E373" s="330"/>
      <c r="F373" s="13"/>
      <c r="G373" s="309"/>
      <c r="H373" s="309"/>
      <c r="I373" s="309"/>
      <c r="J373" s="310"/>
      <c r="K373" s="310"/>
      <c r="L373" s="310"/>
      <c r="M373" s="310"/>
      <c r="N373" s="310"/>
      <c r="O373" s="311"/>
      <c r="P373" s="310"/>
      <c r="Q373" s="311"/>
      <c r="R373" s="310"/>
      <c r="S373" s="13"/>
      <c r="T373" s="13"/>
      <c r="U373" s="13"/>
      <c r="V373" s="13"/>
      <c r="W373" s="13"/>
      <c r="X373" s="310"/>
      <c r="Y373" s="311"/>
      <c r="Z373" s="310"/>
      <c r="AA373" s="312"/>
      <c r="AB373" s="13"/>
      <c r="AC373" s="313"/>
      <c r="AD373" s="313"/>
      <c r="AE373" s="313"/>
      <c r="AF373" s="331"/>
      <c r="AG373" s="320"/>
      <c r="AH373" s="13"/>
      <c r="AI373" s="13"/>
      <c r="AJ373" s="13"/>
      <c r="AK373" s="13"/>
      <c r="AL373" s="13"/>
      <c r="AM373" s="13"/>
      <c r="AN373" s="13"/>
      <c r="AO373" s="13"/>
      <c r="AP373" s="13"/>
    </row>
    <row r="374" ht="18.75" customHeight="1">
      <c r="A374" s="13"/>
      <c r="B374" s="282"/>
      <c r="C374" s="330"/>
      <c r="D374" s="330"/>
      <c r="E374" s="330"/>
      <c r="F374" s="13"/>
      <c r="G374" s="309"/>
      <c r="H374" s="309"/>
      <c r="I374" s="309"/>
      <c r="J374" s="310"/>
      <c r="K374" s="310"/>
      <c r="L374" s="310"/>
      <c r="M374" s="310"/>
      <c r="N374" s="310"/>
      <c r="O374" s="311"/>
      <c r="P374" s="310"/>
      <c r="Q374" s="311"/>
      <c r="R374" s="310"/>
      <c r="S374" s="13"/>
      <c r="T374" s="13"/>
      <c r="U374" s="13"/>
      <c r="V374" s="13"/>
      <c r="W374" s="13"/>
      <c r="X374" s="310"/>
      <c r="Y374" s="311"/>
      <c r="Z374" s="310"/>
      <c r="AA374" s="312"/>
      <c r="AB374" s="13"/>
      <c r="AC374" s="313"/>
      <c r="AD374" s="313"/>
      <c r="AE374" s="313"/>
      <c r="AF374" s="331"/>
      <c r="AG374" s="320"/>
      <c r="AH374" s="13"/>
      <c r="AI374" s="13"/>
      <c r="AJ374" s="13"/>
      <c r="AK374" s="13"/>
      <c r="AL374" s="13"/>
      <c r="AM374" s="13"/>
      <c r="AN374" s="13"/>
      <c r="AO374" s="13"/>
      <c r="AP374" s="13"/>
    </row>
    <row r="375" ht="18.75" customHeight="1">
      <c r="A375" s="13"/>
      <c r="B375" s="282"/>
      <c r="C375" s="330"/>
      <c r="D375" s="330"/>
      <c r="E375" s="330"/>
      <c r="F375" s="13"/>
      <c r="G375" s="309"/>
      <c r="H375" s="309"/>
      <c r="I375" s="309"/>
      <c r="J375" s="310"/>
      <c r="K375" s="310"/>
      <c r="L375" s="310"/>
      <c r="M375" s="310"/>
      <c r="N375" s="310"/>
      <c r="O375" s="311"/>
      <c r="P375" s="310"/>
      <c r="Q375" s="311"/>
      <c r="R375" s="310"/>
      <c r="S375" s="13"/>
      <c r="T375" s="13"/>
      <c r="U375" s="13"/>
      <c r="V375" s="13"/>
      <c r="W375" s="13"/>
      <c r="X375" s="310"/>
      <c r="Y375" s="311"/>
      <c r="Z375" s="310"/>
      <c r="AA375" s="312"/>
      <c r="AB375" s="13"/>
      <c r="AC375" s="313"/>
      <c r="AD375" s="313"/>
      <c r="AE375" s="313"/>
      <c r="AF375" s="331"/>
      <c r="AG375" s="320"/>
      <c r="AH375" s="13"/>
      <c r="AI375" s="13"/>
      <c r="AJ375" s="13"/>
      <c r="AK375" s="13"/>
      <c r="AL375" s="13"/>
      <c r="AM375" s="13"/>
      <c r="AN375" s="13"/>
      <c r="AO375" s="13"/>
      <c r="AP375" s="13"/>
    </row>
    <row r="376" ht="18.75" customHeight="1">
      <c r="A376" s="13"/>
      <c r="B376" s="282"/>
      <c r="C376" s="330"/>
      <c r="D376" s="330"/>
      <c r="E376" s="330"/>
      <c r="F376" s="13"/>
      <c r="G376" s="309"/>
      <c r="H376" s="309"/>
      <c r="I376" s="309"/>
      <c r="J376" s="310"/>
      <c r="K376" s="310"/>
      <c r="L376" s="310"/>
      <c r="M376" s="310"/>
      <c r="N376" s="310"/>
      <c r="O376" s="311"/>
      <c r="P376" s="310"/>
      <c r="Q376" s="311"/>
      <c r="R376" s="310"/>
      <c r="S376" s="13"/>
      <c r="T376" s="13"/>
      <c r="U376" s="13"/>
      <c r="V376" s="13"/>
      <c r="W376" s="13"/>
      <c r="X376" s="310"/>
      <c r="Y376" s="311"/>
      <c r="Z376" s="310"/>
      <c r="AA376" s="312"/>
      <c r="AB376" s="13"/>
      <c r="AC376" s="313"/>
      <c r="AD376" s="313"/>
      <c r="AE376" s="313"/>
      <c r="AF376" s="331"/>
      <c r="AG376" s="320"/>
      <c r="AH376" s="13"/>
      <c r="AI376" s="13"/>
      <c r="AJ376" s="13"/>
      <c r="AK376" s="13"/>
      <c r="AL376" s="13"/>
      <c r="AM376" s="13"/>
      <c r="AN376" s="13"/>
      <c r="AO376" s="13"/>
      <c r="AP376" s="13"/>
    </row>
    <row r="377" ht="18.75" customHeight="1">
      <c r="A377" s="13"/>
      <c r="B377" s="282"/>
      <c r="C377" s="330"/>
      <c r="D377" s="330"/>
      <c r="E377" s="330"/>
      <c r="F377" s="13"/>
      <c r="G377" s="309"/>
      <c r="H377" s="309"/>
      <c r="I377" s="309"/>
      <c r="J377" s="310"/>
      <c r="K377" s="310"/>
      <c r="L377" s="310"/>
      <c r="M377" s="310"/>
      <c r="N377" s="310"/>
      <c r="O377" s="311"/>
      <c r="P377" s="310"/>
      <c r="Q377" s="311"/>
      <c r="R377" s="310"/>
      <c r="S377" s="13"/>
      <c r="T377" s="13"/>
      <c r="U377" s="13"/>
      <c r="V377" s="13"/>
      <c r="W377" s="13"/>
      <c r="X377" s="310"/>
      <c r="Y377" s="311"/>
      <c r="Z377" s="310"/>
      <c r="AA377" s="312"/>
      <c r="AB377" s="13"/>
      <c r="AC377" s="313"/>
      <c r="AD377" s="313"/>
      <c r="AE377" s="313"/>
      <c r="AF377" s="331"/>
      <c r="AG377" s="320"/>
      <c r="AH377" s="13"/>
      <c r="AI377" s="13"/>
      <c r="AJ377" s="13"/>
      <c r="AK377" s="13"/>
      <c r="AL377" s="13"/>
      <c r="AM377" s="13"/>
      <c r="AN377" s="13"/>
      <c r="AO377" s="13"/>
      <c r="AP377" s="13"/>
    </row>
    <row r="378" ht="18.75" customHeight="1">
      <c r="A378" s="13"/>
      <c r="B378" s="282"/>
      <c r="C378" s="330"/>
      <c r="D378" s="330"/>
      <c r="E378" s="330"/>
      <c r="F378" s="13"/>
      <c r="G378" s="309"/>
      <c r="H378" s="309"/>
      <c r="I378" s="309"/>
      <c r="J378" s="310"/>
      <c r="K378" s="310"/>
      <c r="L378" s="310"/>
      <c r="M378" s="310"/>
      <c r="N378" s="310"/>
      <c r="O378" s="311"/>
      <c r="P378" s="310"/>
      <c r="Q378" s="311"/>
      <c r="R378" s="310"/>
      <c r="S378" s="13"/>
      <c r="T378" s="13"/>
      <c r="U378" s="13"/>
      <c r="V378" s="13"/>
      <c r="W378" s="13"/>
      <c r="X378" s="310"/>
      <c r="Y378" s="311"/>
      <c r="Z378" s="310"/>
      <c r="AA378" s="312"/>
      <c r="AB378" s="13"/>
      <c r="AC378" s="313"/>
      <c r="AD378" s="313"/>
      <c r="AE378" s="313"/>
      <c r="AF378" s="331"/>
      <c r="AG378" s="320"/>
      <c r="AH378" s="13"/>
      <c r="AI378" s="13"/>
      <c r="AJ378" s="13"/>
      <c r="AK378" s="13"/>
      <c r="AL378" s="13"/>
      <c r="AM378" s="13"/>
      <c r="AN378" s="13"/>
      <c r="AO378" s="13"/>
      <c r="AP378" s="13"/>
    </row>
    <row r="379" ht="18.75" customHeight="1">
      <c r="A379" s="13"/>
      <c r="B379" s="282"/>
      <c r="C379" s="330"/>
      <c r="D379" s="330"/>
      <c r="E379" s="330"/>
      <c r="F379" s="13"/>
      <c r="G379" s="309"/>
      <c r="H379" s="309"/>
      <c r="I379" s="309"/>
      <c r="J379" s="310"/>
      <c r="K379" s="310"/>
      <c r="L379" s="310"/>
      <c r="M379" s="310"/>
      <c r="N379" s="310"/>
      <c r="O379" s="311"/>
      <c r="P379" s="310"/>
      <c r="Q379" s="311"/>
      <c r="R379" s="310"/>
      <c r="S379" s="13"/>
      <c r="T379" s="13"/>
      <c r="U379" s="13"/>
      <c r="V379" s="13"/>
      <c r="W379" s="13"/>
      <c r="X379" s="310"/>
      <c r="Y379" s="311"/>
      <c r="Z379" s="310"/>
      <c r="AA379" s="312"/>
      <c r="AB379" s="13"/>
      <c r="AC379" s="313"/>
      <c r="AD379" s="313"/>
      <c r="AE379" s="313"/>
      <c r="AF379" s="331"/>
      <c r="AG379" s="320"/>
      <c r="AH379" s="13"/>
      <c r="AI379" s="13"/>
      <c r="AJ379" s="13"/>
      <c r="AK379" s="13"/>
      <c r="AL379" s="13"/>
      <c r="AM379" s="13"/>
      <c r="AN379" s="13"/>
      <c r="AO379" s="13"/>
      <c r="AP379" s="13"/>
    </row>
    <row r="380" ht="18.75" customHeight="1">
      <c r="A380" s="13"/>
      <c r="B380" s="282"/>
      <c r="C380" s="330"/>
      <c r="D380" s="330"/>
      <c r="E380" s="330"/>
      <c r="F380" s="13"/>
      <c r="G380" s="309"/>
      <c r="H380" s="309"/>
      <c r="I380" s="309"/>
      <c r="J380" s="310"/>
      <c r="K380" s="310"/>
      <c r="L380" s="310"/>
      <c r="M380" s="310"/>
      <c r="N380" s="310"/>
      <c r="O380" s="311"/>
      <c r="P380" s="310"/>
      <c r="Q380" s="311"/>
      <c r="R380" s="310"/>
      <c r="S380" s="13"/>
      <c r="T380" s="13"/>
      <c r="U380" s="13"/>
      <c r="V380" s="13"/>
      <c r="W380" s="13"/>
      <c r="X380" s="310"/>
      <c r="Y380" s="311"/>
      <c r="Z380" s="310"/>
      <c r="AA380" s="312"/>
      <c r="AB380" s="13"/>
      <c r="AC380" s="313"/>
      <c r="AD380" s="313"/>
      <c r="AE380" s="313"/>
      <c r="AF380" s="331"/>
      <c r="AG380" s="320"/>
      <c r="AH380" s="13"/>
      <c r="AI380" s="13"/>
      <c r="AJ380" s="13"/>
      <c r="AK380" s="13"/>
      <c r="AL380" s="13"/>
      <c r="AM380" s="13"/>
      <c r="AN380" s="13"/>
      <c r="AO380" s="13"/>
      <c r="AP380" s="13"/>
    </row>
    <row r="381" ht="18.75" customHeight="1">
      <c r="A381" s="13"/>
      <c r="B381" s="282"/>
      <c r="C381" s="330"/>
      <c r="D381" s="330"/>
      <c r="E381" s="330"/>
      <c r="F381" s="13"/>
      <c r="G381" s="309"/>
      <c r="H381" s="309"/>
      <c r="I381" s="309"/>
      <c r="J381" s="310"/>
      <c r="K381" s="310"/>
      <c r="L381" s="310"/>
      <c r="M381" s="310"/>
      <c r="N381" s="310"/>
      <c r="O381" s="311"/>
      <c r="P381" s="310"/>
      <c r="Q381" s="311"/>
      <c r="R381" s="310"/>
      <c r="S381" s="13"/>
      <c r="T381" s="13"/>
      <c r="U381" s="13"/>
      <c r="V381" s="13"/>
      <c r="W381" s="13"/>
      <c r="X381" s="310"/>
      <c r="Y381" s="311"/>
      <c r="Z381" s="310"/>
      <c r="AA381" s="312"/>
      <c r="AB381" s="13"/>
      <c r="AC381" s="313"/>
      <c r="AD381" s="313"/>
      <c r="AE381" s="313"/>
      <c r="AF381" s="331"/>
      <c r="AG381" s="320"/>
      <c r="AH381" s="13"/>
      <c r="AI381" s="13"/>
      <c r="AJ381" s="13"/>
      <c r="AK381" s="13"/>
      <c r="AL381" s="13"/>
      <c r="AM381" s="13"/>
      <c r="AN381" s="13"/>
      <c r="AO381" s="13"/>
      <c r="AP381" s="13"/>
    </row>
    <row r="382" ht="18.75" customHeight="1">
      <c r="A382" s="13"/>
      <c r="B382" s="282"/>
      <c r="C382" s="330"/>
      <c r="D382" s="330"/>
      <c r="E382" s="330"/>
      <c r="F382" s="13"/>
      <c r="G382" s="309"/>
      <c r="H382" s="309"/>
      <c r="I382" s="309"/>
      <c r="J382" s="310"/>
      <c r="K382" s="310"/>
      <c r="L382" s="310"/>
      <c r="M382" s="310"/>
      <c r="N382" s="310"/>
      <c r="O382" s="311"/>
      <c r="P382" s="310"/>
      <c r="Q382" s="311"/>
      <c r="R382" s="310"/>
      <c r="S382" s="13"/>
      <c r="T382" s="13"/>
      <c r="U382" s="13"/>
      <c r="V382" s="13"/>
      <c r="W382" s="13"/>
      <c r="X382" s="310"/>
      <c r="Y382" s="311"/>
      <c r="Z382" s="310"/>
      <c r="AA382" s="312"/>
      <c r="AB382" s="13"/>
      <c r="AC382" s="313"/>
      <c r="AD382" s="313"/>
      <c r="AE382" s="313"/>
      <c r="AF382" s="331"/>
      <c r="AG382" s="320"/>
      <c r="AH382" s="13"/>
      <c r="AI382" s="13"/>
      <c r="AJ382" s="13"/>
      <c r="AK382" s="13"/>
      <c r="AL382" s="13"/>
      <c r="AM382" s="13"/>
      <c r="AN382" s="13"/>
      <c r="AO382" s="13"/>
      <c r="AP382" s="13"/>
    </row>
    <row r="383" ht="18.75" customHeight="1">
      <c r="A383" s="13"/>
      <c r="B383" s="282"/>
      <c r="C383" s="330"/>
      <c r="D383" s="330"/>
      <c r="E383" s="330"/>
      <c r="F383" s="13"/>
      <c r="G383" s="309"/>
      <c r="H383" s="309"/>
      <c r="I383" s="309"/>
      <c r="J383" s="310"/>
      <c r="K383" s="310"/>
      <c r="L383" s="310"/>
      <c r="M383" s="310"/>
      <c r="N383" s="310"/>
      <c r="O383" s="311"/>
      <c r="P383" s="310"/>
      <c r="Q383" s="311"/>
      <c r="R383" s="310"/>
      <c r="S383" s="13"/>
      <c r="T383" s="13"/>
      <c r="U383" s="13"/>
      <c r="V383" s="13"/>
      <c r="W383" s="13"/>
      <c r="X383" s="310"/>
      <c r="Y383" s="311"/>
      <c r="Z383" s="310"/>
      <c r="AA383" s="312"/>
      <c r="AB383" s="13"/>
      <c r="AC383" s="313"/>
      <c r="AD383" s="313"/>
      <c r="AE383" s="313"/>
      <c r="AF383" s="331"/>
      <c r="AG383" s="320"/>
      <c r="AH383" s="13"/>
      <c r="AI383" s="13"/>
      <c r="AJ383" s="13"/>
      <c r="AK383" s="13"/>
      <c r="AL383" s="13"/>
      <c r="AM383" s="13"/>
      <c r="AN383" s="13"/>
      <c r="AO383" s="13"/>
      <c r="AP383" s="13"/>
    </row>
    <row r="384" ht="18.75" customHeight="1">
      <c r="A384" s="13"/>
      <c r="B384" s="282"/>
      <c r="C384" s="330"/>
      <c r="D384" s="330"/>
      <c r="E384" s="330"/>
      <c r="F384" s="13"/>
      <c r="G384" s="309"/>
      <c r="H384" s="309"/>
      <c r="I384" s="309"/>
      <c r="J384" s="310"/>
      <c r="K384" s="310"/>
      <c r="L384" s="310"/>
      <c r="M384" s="310"/>
      <c r="N384" s="310"/>
      <c r="O384" s="311"/>
      <c r="P384" s="310"/>
      <c r="Q384" s="311"/>
      <c r="R384" s="310"/>
      <c r="S384" s="13"/>
      <c r="T384" s="13"/>
      <c r="U384" s="13"/>
      <c r="V384" s="13"/>
      <c r="W384" s="13"/>
      <c r="X384" s="310"/>
      <c r="Y384" s="311"/>
      <c r="Z384" s="310"/>
      <c r="AA384" s="312"/>
      <c r="AB384" s="13"/>
      <c r="AC384" s="313"/>
      <c r="AD384" s="313"/>
      <c r="AE384" s="313"/>
      <c r="AF384" s="331"/>
      <c r="AG384" s="320"/>
      <c r="AH384" s="13"/>
      <c r="AI384" s="13"/>
      <c r="AJ384" s="13"/>
      <c r="AK384" s="13"/>
      <c r="AL384" s="13"/>
      <c r="AM384" s="13"/>
      <c r="AN384" s="13"/>
      <c r="AO384" s="13"/>
      <c r="AP384" s="13"/>
    </row>
    <row r="385" ht="18.75" customHeight="1">
      <c r="A385" s="13"/>
      <c r="B385" s="282"/>
      <c r="C385" s="330"/>
      <c r="D385" s="330"/>
      <c r="E385" s="330"/>
      <c r="F385" s="13"/>
      <c r="G385" s="309"/>
      <c r="H385" s="309"/>
      <c r="I385" s="309"/>
      <c r="J385" s="310"/>
      <c r="K385" s="310"/>
      <c r="L385" s="310"/>
      <c r="M385" s="310"/>
      <c r="N385" s="310"/>
      <c r="O385" s="311"/>
      <c r="P385" s="310"/>
      <c r="Q385" s="311"/>
      <c r="R385" s="310"/>
      <c r="S385" s="13"/>
      <c r="T385" s="13"/>
      <c r="U385" s="13"/>
      <c r="V385" s="13"/>
      <c r="W385" s="13"/>
      <c r="X385" s="310"/>
      <c r="Y385" s="311"/>
      <c r="Z385" s="310"/>
      <c r="AA385" s="312"/>
      <c r="AB385" s="13"/>
      <c r="AC385" s="313"/>
      <c r="AD385" s="313"/>
      <c r="AE385" s="313"/>
      <c r="AF385" s="331"/>
      <c r="AG385" s="320"/>
      <c r="AH385" s="13"/>
      <c r="AI385" s="13"/>
      <c r="AJ385" s="13"/>
      <c r="AK385" s="13"/>
      <c r="AL385" s="13"/>
      <c r="AM385" s="13"/>
      <c r="AN385" s="13"/>
      <c r="AO385" s="13"/>
      <c r="AP385" s="13"/>
    </row>
    <row r="386" ht="18.75" customHeight="1">
      <c r="A386" s="13"/>
      <c r="B386" s="282"/>
      <c r="C386" s="330"/>
      <c r="D386" s="330"/>
      <c r="E386" s="330"/>
      <c r="F386" s="13"/>
      <c r="G386" s="309"/>
      <c r="H386" s="309"/>
      <c r="I386" s="309"/>
      <c r="J386" s="310"/>
      <c r="K386" s="310"/>
      <c r="L386" s="310"/>
      <c r="M386" s="310"/>
      <c r="N386" s="310"/>
      <c r="O386" s="311"/>
      <c r="P386" s="310"/>
      <c r="Q386" s="311"/>
      <c r="R386" s="310"/>
      <c r="S386" s="13"/>
      <c r="T386" s="13"/>
      <c r="U386" s="13"/>
      <c r="V386" s="13"/>
      <c r="W386" s="13"/>
      <c r="X386" s="310"/>
      <c r="Y386" s="311"/>
      <c r="Z386" s="310"/>
      <c r="AA386" s="312"/>
      <c r="AB386" s="13"/>
      <c r="AC386" s="313"/>
      <c r="AD386" s="313"/>
      <c r="AE386" s="313"/>
      <c r="AF386" s="331"/>
      <c r="AG386" s="320"/>
      <c r="AH386" s="13"/>
      <c r="AI386" s="13"/>
      <c r="AJ386" s="13"/>
      <c r="AK386" s="13"/>
      <c r="AL386" s="13"/>
      <c r="AM386" s="13"/>
      <c r="AN386" s="13"/>
      <c r="AO386" s="13"/>
      <c r="AP386" s="13"/>
    </row>
    <row r="387" ht="18.75" customHeight="1">
      <c r="A387" s="13"/>
      <c r="B387" s="282"/>
      <c r="C387" s="330"/>
      <c r="D387" s="330"/>
      <c r="E387" s="330"/>
      <c r="F387" s="13"/>
      <c r="G387" s="309"/>
      <c r="H387" s="309"/>
      <c r="I387" s="309"/>
      <c r="J387" s="310"/>
      <c r="K387" s="310"/>
      <c r="L387" s="310"/>
      <c r="M387" s="310"/>
      <c r="N387" s="310"/>
      <c r="O387" s="311"/>
      <c r="P387" s="310"/>
      <c r="Q387" s="311"/>
      <c r="R387" s="310"/>
      <c r="S387" s="13"/>
      <c r="T387" s="13"/>
      <c r="U387" s="13"/>
      <c r="V387" s="13"/>
      <c r="W387" s="13"/>
      <c r="X387" s="310"/>
      <c r="Y387" s="311"/>
      <c r="Z387" s="310"/>
      <c r="AA387" s="312"/>
      <c r="AB387" s="13"/>
      <c r="AC387" s="313"/>
      <c r="AD387" s="313"/>
      <c r="AE387" s="313"/>
      <c r="AF387" s="331"/>
      <c r="AG387" s="320"/>
      <c r="AH387" s="13"/>
      <c r="AI387" s="13"/>
      <c r="AJ387" s="13"/>
      <c r="AK387" s="13"/>
      <c r="AL387" s="13"/>
      <c r="AM387" s="13"/>
      <c r="AN387" s="13"/>
      <c r="AO387" s="13"/>
      <c r="AP387" s="13"/>
    </row>
    <row r="388" ht="18.75" customHeight="1">
      <c r="A388" s="13"/>
      <c r="B388" s="282"/>
      <c r="C388" s="330"/>
      <c r="D388" s="330"/>
      <c r="E388" s="330"/>
      <c r="F388" s="13"/>
      <c r="G388" s="309"/>
      <c r="H388" s="309"/>
      <c r="I388" s="309"/>
      <c r="J388" s="310"/>
      <c r="K388" s="310"/>
      <c r="L388" s="310"/>
      <c r="M388" s="310"/>
      <c r="N388" s="310"/>
      <c r="O388" s="311"/>
      <c r="P388" s="310"/>
      <c r="Q388" s="311"/>
      <c r="R388" s="310"/>
      <c r="S388" s="13"/>
      <c r="T388" s="13"/>
      <c r="U388" s="13"/>
      <c r="V388" s="13"/>
      <c r="W388" s="13"/>
      <c r="X388" s="310"/>
      <c r="Y388" s="311"/>
      <c r="Z388" s="310"/>
      <c r="AA388" s="312"/>
      <c r="AB388" s="13"/>
      <c r="AC388" s="313"/>
      <c r="AD388" s="313"/>
      <c r="AE388" s="313"/>
      <c r="AF388" s="331"/>
      <c r="AG388" s="320"/>
      <c r="AH388" s="13"/>
      <c r="AI388" s="13"/>
      <c r="AJ388" s="13"/>
      <c r="AK388" s="13"/>
      <c r="AL388" s="13"/>
      <c r="AM388" s="13"/>
      <c r="AN388" s="13"/>
      <c r="AO388" s="13"/>
      <c r="AP388" s="13"/>
    </row>
    <row r="389" ht="18.75" customHeight="1">
      <c r="A389" s="13"/>
      <c r="B389" s="282"/>
      <c r="C389" s="330"/>
      <c r="D389" s="330"/>
      <c r="E389" s="330"/>
      <c r="F389" s="13"/>
      <c r="G389" s="309"/>
      <c r="H389" s="309"/>
      <c r="I389" s="309"/>
      <c r="J389" s="310"/>
      <c r="K389" s="310"/>
      <c r="L389" s="310"/>
      <c r="M389" s="310"/>
      <c r="N389" s="310"/>
      <c r="O389" s="311"/>
      <c r="P389" s="310"/>
      <c r="Q389" s="311"/>
      <c r="R389" s="310"/>
      <c r="S389" s="13"/>
      <c r="T389" s="13"/>
      <c r="U389" s="13"/>
      <c r="V389" s="13"/>
      <c r="W389" s="13"/>
      <c r="X389" s="310"/>
      <c r="Y389" s="311"/>
      <c r="Z389" s="310"/>
      <c r="AA389" s="312"/>
      <c r="AB389" s="13"/>
      <c r="AC389" s="313"/>
      <c r="AD389" s="313"/>
      <c r="AE389" s="313"/>
      <c r="AF389" s="331"/>
      <c r="AG389" s="320"/>
      <c r="AH389" s="13"/>
      <c r="AI389" s="13"/>
      <c r="AJ389" s="13"/>
      <c r="AK389" s="13"/>
      <c r="AL389" s="13"/>
      <c r="AM389" s="13"/>
      <c r="AN389" s="13"/>
      <c r="AO389" s="13"/>
      <c r="AP389" s="13"/>
    </row>
    <row r="390" ht="18.75" customHeight="1">
      <c r="A390" s="13"/>
      <c r="B390" s="282"/>
      <c r="C390" s="330"/>
      <c r="D390" s="330"/>
      <c r="E390" s="330"/>
      <c r="F390" s="13"/>
      <c r="G390" s="309"/>
      <c r="H390" s="309"/>
      <c r="I390" s="309"/>
      <c r="J390" s="310"/>
      <c r="K390" s="310"/>
      <c r="L390" s="310"/>
      <c r="M390" s="310"/>
      <c r="N390" s="310"/>
      <c r="O390" s="311"/>
      <c r="P390" s="310"/>
      <c r="Q390" s="311"/>
      <c r="R390" s="310"/>
      <c r="S390" s="13"/>
      <c r="T390" s="13"/>
      <c r="U390" s="13"/>
      <c r="V390" s="13"/>
      <c r="W390" s="13"/>
      <c r="X390" s="310"/>
      <c r="Y390" s="311"/>
      <c r="Z390" s="310"/>
      <c r="AA390" s="312"/>
      <c r="AB390" s="13"/>
      <c r="AC390" s="313"/>
      <c r="AD390" s="313"/>
      <c r="AE390" s="313"/>
      <c r="AF390" s="331"/>
      <c r="AG390" s="320"/>
      <c r="AH390" s="13"/>
      <c r="AI390" s="13"/>
      <c r="AJ390" s="13"/>
      <c r="AK390" s="13"/>
      <c r="AL390" s="13"/>
      <c r="AM390" s="13"/>
      <c r="AN390" s="13"/>
      <c r="AO390" s="13"/>
      <c r="AP390" s="13"/>
    </row>
    <row r="391" ht="18.75" customHeight="1">
      <c r="A391" s="13"/>
      <c r="B391" s="282"/>
      <c r="C391" s="330"/>
      <c r="D391" s="330"/>
      <c r="E391" s="330"/>
      <c r="F391" s="13"/>
      <c r="G391" s="309"/>
      <c r="H391" s="309"/>
      <c r="I391" s="309"/>
      <c r="J391" s="310"/>
      <c r="K391" s="310"/>
      <c r="L391" s="310"/>
      <c r="M391" s="310"/>
      <c r="N391" s="310"/>
      <c r="O391" s="311"/>
      <c r="P391" s="310"/>
      <c r="Q391" s="311"/>
      <c r="R391" s="310"/>
      <c r="S391" s="13"/>
      <c r="T391" s="13"/>
      <c r="U391" s="13"/>
      <c r="V391" s="13"/>
      <c r="W391" s="13"/>
      <c r="X391" s="310"/>
      <c r="Y391" s="311"/>
      <c r="Z391" s="310"/>
      <c r="AA391" s="312"/>
      <c r="AB391" s="13"/>
      <c r="AC391" s="313"/>
      <c r="AD391" s="313"/>
      <c r="AE391" s="313"/>
      <c r="AF391" s="331"/>
      <c r="AG391" s="320"/>
      <c r="AH391" s="13"/>
      <c r="AI391" s="13"/>
      <c r="AJ391" s="13"/>
      <c r="AK391" s="13"/>
      <c r="AL391" s="13"/>
      <c r="AM391" s="13"/>
      <c r="AN391" s="13"/>
      <c r="AO391" s="13"/>
      <c r="AP391" s="13"/>
    </row>
    <row r="392" ht="18.75" customHeight="1">
      <c r="A392" s="13"/>
      <c r="B392" s="282"/>
      <c r="C392" s="330"/>
      <c r="D392" s="330"/>
      <c r="E392" s="330"/>
      <c r="F392" s="13"/>
      <c r="G392" s="309"/>
      <c r="H392" s="309"/>
      <c r="I392" s="309"/>
      <c r="J392" s="310"/>
      <c r="K392" s="310"/>
      <c r="L392" s="310"/>
      <c r="M392" s="310"/>
      <c r="N392" s="310"/>
      <c r="O392" s="311"/>
      <c r="P392" s="310"/>
      <c r="Q392" s="311"/>
      <c r="R392" s="310"/>
      <c r="S392" s="13"/>
      <c r="T392" s="13"/>
      <c r="U392" s="13"/>
      <c r="V392" s="13"/>
      <c r="W392" s="13"/>
      <c r="X392" s="310"/>
      <c r="Y392" s="311"/>
      <c r="Z392" s="310"/>
      <c r="AA392" s="312"/>
      <c r="AB392" s="13"/>
      <c r="AC392" s="313"/>
      <c r="AD392" s="313"/>
      <c r="AE392" s="313"/>
      <c r="AF392" s="331"/>
      <c r="AG392" s="320"/>
      <c r="AH392" s="13"/>
      <c r="AI392" s="13"/>
      <c r="AJ392" s="13"/>
      <c r="AK392" s="13"/>
      <c r="AL392" s="13"/>
      <c r="AM392" s="13"/>
      <c r="AN392" s="13"/>
      <c r="AO392" s="13"/>
      <c r="AP392" s="13"/>
    </row>
    <row r="393" ht="18.75" customHeight="1">
      <c r="A393" s="13"/>
      <c r="B393" s="282"/>
      <c r="C393" s="330"/>
      <c r="D393" s="330"/>
      <c r="E393" s="330"/>
      <c r="F393" s="13"/>
      <c r="G393" s="309"/>
      <c r="H393" s="309"/>
      <c r="I393" s="309"/>
      <c r="J393" s="310"/>
      <c r="K393" s="310"/>
      <c r="L393" s="310"/>
      <c r="M393" s="310"/>
      <c r="N393" s="310"/>
      <c r="O393" s="311"/>
      <c r="P393" s="310"/>
      <c r="Q393" s="311"/>
      <c r="R393" s="310"/>
      <c r="S393" s="13"/>
      <c r="T393" s="13"/>
      <c r="U393" s="13"/>
      <c r="V393" s="13"/>
      <c r="W393" s="13"/>
      <c r="X393" s="310"/>
      <c r="Y393" s="311"/>
      <c r="Z393" s="310"/>
      <c r="AA393" s="312"/>
      <c r="AB393" s="13"/>
      <c r="AC393" s="313"/>
      <c r="AD393" s="313"/>
      <c r="AE393" s="313"/>
      <c r="AF393" s="331"/>
      <c r="AG393" s="320"/>
      <c r="AH393" s="13"/>
      <c r="AI393" s="13"/>
      <c r="AJ393" s="13"/>
      <c r="AK393" s="13"/>
      <c r="AL393" s="13"/>
      <c r="AM393" s="13"/>
      <c r="AN393" s="13"/>
      <c r="AO393" s="13"/>
      <c r="AP393" s="13"/>
    </row>
    <row r="394" ht="18.75" customHeight="1">
      <c r="A394" s="13"/>
      <c r="B394" s="282"/>
      <c r="C394" s="330"/>
      <c r="D394" s="330"/>
      <c r="E394" s="330"/>
      <c r="F394" s="13"/>
      <c r="G394" s="309"/>
      <c r="H394" s="309"/>
      <c r="I394" s="309"/>
      <c r="J394" s="310"/>
      <c r="K394" s="310"/>
      <c r="L394" s="310"/>
      <c r="M394" s="310"/>
      <c r="N394" s="310"/>
      <c r="O394" s="311"/>
      <c r="P394" s="310"/>
      <c r="Q394" s="311"/>
      <c r="R394" s="310"/>
      <c r="S394" s="13"/>
      <c r="T394" s="13"/>
      <c r="U394" s="13"/>
      <c r="V394" s="13"/>
      <c r="W394" s="13"/>
      <c r="X394" s="310"/>
      <c r="Y394" s="311"/>
      <c r="Z394" s="310"/>
      <c r="AA394" s="312"/>
      <c r="AB394" s="13"/>
      <c r="AC394" s="313"/>
      <c r="AD394" s="313"/>
      <c r="AE394" s="313"/>
      <c r="AF394" s="331"/>
      <c r="AG394" s="320"/>
      <c r="AH394" s="13"/>
      <c r="AI394" s="13"/>
      <c r="AJ394" s="13"/>
      <c r="AK394" s="13"/>
      <c r="AL394" s="13"/>
      <c r="AM394" s="13"/>
      <c r="AN394" s="13"/>
      <c r="AO394" s="13"/>
      <c r="AP394" s="13"/>
    </row>
    <row r="395" ht="18.75" customHeight="1">
      <c r="A395" s="13"/>
      <c r="B395" s="282"/>
      <c r="C395" s="330"/>
      <c r="D395" s="330"/>
      <c r="E395" s="330"/>
      <c r="F395" s="13"/>
      <c r="G395" s="309"/>
      <c r="H395" s="309"/>
      <c r="I395" s="309"/>
      <c r="J395" s="310"/>
      <c r="K395" s="310"/>
      <c r="L395" s="310"/>
      <c r="M395" s="310"/>
      <c r="N395" s="310"/>
      <c r="O395" s="311"/>
      <c r="P395" s="310"/>
      <c r="Q395" s="311"/>
      <c r="R395" s="310"/>
      <c r="S395" s="13"/>
      <c r="T395" s="13"/>
      <c r="U395" s="13"/>
      <c r="V395" s="13"/>
      <c r="W395" s="13"/>
      <c r="X395" s="310"/>
      <c r="Y395" s="311"/>
      <c r="Z395" s="310"/>
      <c r="AA395" s="312"/>
      <c r="AB395" s="13"/>
      <c r="AC395" s="313"/>
      <c r="AD395" s="313"/>
      <c r="AE395" s="313"/>
      <c r="AF395" s="331"/>
      <c r="AG395" s="320"/>
      <c r="AH395" s="13"/>
      <c r="AI395" s="13"/>
      <c r="AJ395" s="13"/>
      <c r="AK395" s="13"/>
      <c r="AL395" s="13"/>
      <c r="AM395" s="13"/>
      <c r="AN395" s="13"/>
      <c r="AO395" s="13"/>
      <c r="AP395" s="13"/>
    </row>
    <row r="396" ht="18.75" customHeight="1">
      <c r="A396" s="13"/>
      <c r="B396" s="282"/>
      <c r="C396" s="330"/>
      <c r="D396" s="330"/>
      <c r="E396" s="330"/>
      <c r="F396" s="13"/>
      <c r="G396" s="309"/>
      <c r="H396" s="309"/>
      <c r="I396" s="309"/>
      <c r="J396" s="310"/>
      <c r="K396" s="310"/>
      <c r="L396" s="310"/>
      <c r="M396" s="310"/>
      <c r="N396" s="310"/>
      <c r="O396" s="311"/>
      <c r="P396" s="310"/>
      <c r="Q396" s="311"/>
      <c r="R396" s="310"/>
      <c r="S396" s="13"/>
      <c r="T396" s="13"/>
      <c r="U396" s="13"/>
      <c r="V396" s="13"/>
      <c r="W396" s="13"/>
      <c r="X396" s="310"/>
      <c r="Y396" s="311"/>
      <c r="Z396" s="310"/>
      <c r="AA396" s="312"/>
      <c r="AB396" s="13"/>
      <c r="AC396" s="313"/>
      <c r="AD396" s="313"/>
      <c r="AE396" s="313"/>
      <c r="AF396" s="331"/>
      <c r="AG396" s="320"/>
      <c r="AH396" s="13"/>
      <c r="AI396" s="13"/>
      <c r="AJ396" s="13"/>
      <c r="AK396" s="13"/>
      <c r="AL396" s="13"/>
      <c r="AM396" s="13"/>
      <c r="AN396" s="13"/>
      <c r="AO396" s="13"/>
      <c r="AP396" s="13"/>
    </row>
    <row r="397" ht="18.75" customHeight="1">
      <c r="A397" s="13"/>
      <c r="B397" s="282"/>
      <c r="C397" s="330"/>
      <c r="D397" s="330"/>
      <c r="E397" s="330"/>
      <c r="F397" s="13"/>
      <c r="G397" s="309"/>
      <c r="H397" s="309"/>
      <c r="I397" s="309"/>
      <c r="J397" s="310"/>
      <c r="K397" s="310"/>
      <c r="L397" s="310"/>
      <c r="M397" s="310"/>
      <c r="N397" s="310"/>
      <c r="O397" s="311"/>
      <c r="P397" s="310"/>
      <c r="Q397" s="311"/>
      <c r="R397" s="310"/>
      <c r="S397" s="13"/>
      <c r="T397" s="13"/>
      <c r="U397" s="13"/>
      <c r="V397" s="13"/>
      <c r="W397" s="13"/>
      <c r="X397" s="310"/>
      <c r="Y397" s="311"/>
      <c r="Z397" s="310"/>
      <c r="AA397" s="312"/>
      <c r="AB397" s="13"/>
      <c r="AC397" s="313"/>
      <c r="AD397" s="313"/>
      <c r="AE397" s="313"/>
      <c r="AF397" s="331"/>
      <c r="AG397" s="320"/>
      <c r="AH397" s="13"/>
      <c r="AI397" s="13"/>
      <c r="AJ397" s="13"/>
      <c r="AK397" s="13"/>
      <c r="AL397" s="13"/>
      <c r="AM397" s="13"/>
      <c r="AN397" s="13"/>
      <c r="AO397" s="13"/>
      <c r="AP397" s="13"/>
    </row>
    <row r="398" ht="18.75" customHeight="1">
      <c r="A398" s="13"/>
      <c r="B398" s="282"/>
      <c r="C398" s="330"/>
      <c r="D398" s="330"/>
      <c r="E398" s="330"/>
      <c r="F398" s="13"/>
      <c r="G398" s="309"/>
      <c r="H398" s="309"/>
      <c r="I398" s="309"/>
      <c r="J398" s="310"/>
      <c r="K398" s="310"/>
      <c r="L398" s="310"/>
      <c r="M398" s="310"/>
      <c r="N398" s="310"/>
      <c r="O398" s="311"/>
      <c r="P398" s="310"/>
      <c r="Q398" s="311"/>
      <c r="R398" s="310"/>
      <c r="S398" s="13"/>
      <c r="T398" s="13"/>
      <c r="U398" s="13"/>
      <c r="V398" s="13"/>
      <c r="W398" s="13"/>
      <c r="X398" s="310"/>
      <c r="Y398" s="311"/>
      <c r="Z398" s="310"/>
      <c r="AA398" s="312"/>
      <c r="AB398" s="13"/>
      <c r="AC398" s="313"/>
      <c r="AD398" s="313"/>
      <c r="AE398" s="313"/>
      <c r="AF398" s="331"/>
      <c r="AG398" s="320"/>
      <c r="AH398" s="13"/>
      <c r="AI398" s="13"/>
      <c r="AJ398" s="13"/>
      <c r="AK398" s="13"/>
      <c r="AL398" s="13"/>
      <c r="AM398" s="13"/>
      <c r="AN398" s="13"/>
      <c r="AO398" s="13"/>
      <c r="AP398" s="13"/>
    </row>
    <row r="399" ht="18.75" customHeight="1">
      <c r="A399" s="13"/>
      <c r="B399" s="282"/>
      <c r="C399" s="330"/>
      <c r="D399" s="330"/>
      <c r="E399" s="330"/>
      <c r="F399" s="13"/>
      <c r="G399" s="309"/>
      <c r="H399" s="309"/>
      <c r="I399" s="309"/>
      <c r="J399" s="310"/>
      <c r="K399" s="310"/>
      <c r="L399" s="310"/>
      <c r="M399" s="310"/>
      <c r="N399" s="310"/>
      <c r="O399" s="311"/>
      <c r="P399" s="310"/>
      <c r="Q399" s="311"/>
      <c r="R399" s="310"/>
      <c r="S399" s="13"/>
      <c r="T399" s="13"/>
      <c r="U399" s="13"/>
      <c r="V399" s="13"/>
      <c r="W399" s="13"/>
      <c r="X399" s="310"/>
      <c r="Y399" s="311"/>
      <c r="Z399" s="310"/>
      <c r="AA399" s="312"/>
      <c r="AB399" s="13"/>
      <c r="AC399" s="313"/>
      <c r="AD399" s="313"/>
      <c r="AE399" s="313"/>
      <c r="AF399" s="331"/>
      <c r="AG399" s="320"/>
      <c r="AH399" s="13"/>
      <c r="AI399" s="13"/>
      <c r="AJ399" s="13"/>
      <c r="AK399" s="13"/>
      <c r="AL399" s="13"/>
      <c r="AM399" s="13"/>
      <c r="AN399" s="13"/>
      <c r="AO399" s="13"/>
      <c r="AP399" s="13"/>
    </row>
    <row r="400" ht="18.75" customHeight="1">
      <c r="A400" s="13"/>
      <c r="B400" s="282"/>
      <c r="C400" s="330"/>
      <c r="D400" s="330"/>
      <c r="E400" s="330"/>
      <c r="F400" s="13"/>
      <c r="G400" s="309"/>
      <c r="H400" s="309"/>
      <c r="I400" s="309"/>
      <c r="J400" s="310"/>
      <c r="K400" s="310"/>
      <c r="L400" s="310"/>
      <c r="M400" s="310"/>
      <c r="N400" s="310"/>
      <c r="O400" s="311"/>
      <c r="P400" s="310"/>
      <c r="Q400" s="311"/>
      <c r="R400" s="310"/>
      <c r="S400" s="13"/>
      <c r="T400" s="13"/>
      <c r="U400" s="13"/>
      <c r="V400" s="13"/>
      <c r="W400" s="13"/>
      <c r="X400" s="310"/>
      <c r="Y400" s="311"/>
      <c r="Z400" s="310"/>
      <c r="AA400" s="312"/>
      <c r="AB400" s="13"/>
      <c r="AC400" s="313"/>
      <c r="AD400" s="313"/>
      <c r="AE400" s="313"/>
      <c r="AF400" s="331"/>
      <c r="AG400" s="320"/>
      <c r="AH400" s="13"/>
      <c r="AI400" s="13"/>
      <c r="AJ400" s="13"/>
      <c r="AK400" s="13"/>
      <c r="AL400" s="13"/>
      <c r="AM400" s="13"/>
      <c r="AN400" s="13"/>
      <c r="AO400" s="13"/>
      <c r="AP400" s="13"/>
    </row>
    <row r="401" ht="18.75" customHeight="1">
      <c r="A401" s="13"/>
      <c r="B401" s="282"/>
      <c r="C401" s="330"/>
      <c r="D401" s="330"/>
      <c r="E401" s="330"/>
      <c r="F401" s="13"/>
      <c r="G401" s="309"/>
      <c r="H401" s="309"/>
      <c r="I401" s="309"/>
      <c r="J401" s="310"/>
      <c r="K401" s="310"/>
      <c r="L401" s="310"/>
      <c r="M401" s="310"/>
      <c r="N401" s="310"/>
      <c r="O401" s="311"/>
      <c r="P401" s="310"/>
      <c r="Q401" s="311"/>
      <c r="R401" s="310"/>
      <c r="S401" s="13"/>
      <c r="T401" s="13"/>
      <c r="U401" s="13"/>
      <c r="V401" s="13"/>
      <c r="W401" s="13"/>
      <c r="X401" s="310"/>
      <c r="Y401" s="311"/>
      <c r="Z401" s="310"/>
      <c r="AA401" s="312"/>
      <c r="AB401" s="13"/>
      <c r="AC401" s="313"/>
      <c r="AD401" s="313"/>
      <c r="AE401" s="313"/>
      <c r="AF401" s="331"/>
      <c r="AG401" s="320"/>
      <c r="AH401" s="13"/>
      <c r="AI401" s="13"/>
      <c r="AJ401" s="13"/>
      <c r="AK401" s="13"/>
      <c r="AL401" s="13"/>
      <c r="AM401" s="13"/>
      <c r="AN401" s="13"/>
      <c r="AO401" s="13"/>
      <c r="AP401" s="13"/>
    </row>
    <row r="402" ht="18.75" customHeight="1">
      <c r="A402" s="13"/>
      <c r="B402" s="282"/>
      <c r="C402" s="330"/>
      <c r="D402" s="330"/>
      <c r="E402" s="330"/>
      <c r="F402" s="13"/>
      <c r="G402" s="309"/>
      <c r="H402" s="309"/>
      <c r="I402" s="309"/>
      <c r="J402" s="310"/>
      <c r="K402" s="310"/>
      <c r="L402" s="310"/>
      <c r="M402" s="310"/>
      <c r="N402" s="310"/>
      <c r="O402" s="311"/>
      <c r="P402" s="310"/>
      <c r="Q402" s="311"/>
      <c r="R402" s="310"/>
      <c r="S402" s="13"/>
      <c r="T402" s="13"/>
      <c r="U402" s="13"/>
      <c r="V402" s="13"/>
      <c r="W402" s="13"/>
      <c r="X402" s="310"/>
      <c r="Y402" s="311"/>
      <c r="Z402" s="310"/>
      <c r="AA402" s="312"/>
      <c r="AB402" s="13"/>
      <c r="AC402" s="313"/>
      <c r="AD402" s="313"/>
      <c r="AE402" s="313"/>
      <c r="AF402" s="331"/>
      <c r="AG402" s="320"/>
      <c r="AH402" s="13"/>
      <c r="AI402" s="13"/>
      <c r="AJ402" s="13"/>
      <c r="AK402" s="13"/>
      <c r="AL402" s="13"/>
      <c r="AM402" s="13"/>
      <c r="AN402" s="13"/>
      <c r="AO402" s="13"/>
      <c r="AP402" s="13"/>
    </row>
    <row r="403" ht="18.75" customHeight="1">
      <c r="A403" s="13"/>
      <c r="B403" s="282"/>
      <c r="C403" s="330"/>
      <c r="D403" s="330"/>
      <c r="E403" s="330"/>
      <c r="F403" s="13"/>
      <c r="G403" s="309"/>
      <c r="H403" s="309"/>
      <c r="I403" s="309"/>
      <c r="J403" s="310"/>
      <c r="K403" s="310"/>
      <c r="L403" s="310"/>
      <c r="M403" s="310"/>
      <c r="N403" s="310"/>
      <c r="O403" s="311"/>
      <c r="P403" s="310"/>
      <c r="Q403" s="311"/>
      <c r="R403" s="310"/>
      <c r="S403" s="13"/>
      <c r="T403" s="13"/>
      <c r="U403" s="13"/>
      <c r="V403" s="13"/>
      <c r="W403" s="13"/>
      <c r="X403" s="310"/>
      <c r="Y403" s="311"/>
      <c r="Z403" s="310"/>
      <c r="AA403" s="312"/>
      <c r="AB403" s="13"/>
      <c r="AC403" s="313"/>
      <c r="AD403" s="313"/>
      <c r="AE403" s="313"/>
      <c r="AF403" s="331"/>
      <c r="AG403" s="320"/>
      <c r="AH403" s="13"/>
      <c r="AI403" s="13"/>
      <c r="AJ403" s="13"/>
      <c r="AK403" s="13"/>
      <c r="AL403" s="13"/>
      <c r="AM403" s="13"/>
      <c r="AN403" s="13"/>
      <c r="AO403" s="13"/>
      <c r="AP403" s="13"/>
    </row>
    <row r="404" ht="18.75" customHeight="1">
      <c r="A404" s="13"/>
      <c r="B404" s="282"/>
      <c r="C404" s="330"/>
      <c r="D404" s="330"/>
      <c r="E404" s="330"/>
      <c r="F404" s="13"/>
      <c r="G404" s="309"/>
      <c r="H404" s="309"/>
      <c r="I404" s="309"/>
      <c r="J404" s="310"/>
      <c r="K404" s="310"/>
      <c r="L404" s="310"/>
      <c r="M404" s="310"/>
      <c r="N404" s="310"/>
      <c r="O404" s="311"/>
      <c r="P404" s="310"/>
      <c r="Q404" s="311"/>
      <c r="R404" s="310"/>
      <c r="S404" s="13"/>
      <c r="T404" s="13"/>
      <c r="U404" s="13"/>
      <c r="V404" s="13"/>
      <c r="W404" s="13"/>
      <c r="X404" s="310"/>
      <c r="Y404" s="311"/>
      <c r="Z404" s="310"/>
      <c r="AA404" s="312"/>
      <c r="AB404" s="13"/>
      <c r="AC404" s="313"/>
      <c r="AD404" s="313"/>
      <c r="AE404" s="313"/>
      <c r="AF404" s="331"/>
      <c r="AG404" s="320"/>
      <c r="AH404" s="13"/>
      <c r="AI404" s="13"/>
      <c r="AJ404" s="13"/>
      <c r="AK404" s="13"/>
      <c r="AL404" s="13"/>
      <c r="AM404" s="13"/>
      <c r="AN404" s="13"/>
      <c r="AO404" s="13"/>
      <c r="AP404" s="13"/>
    </row>
    <row r="405" ht="18.75" customHeight="1">
      <c r="A405" s="13"/>
      <c r="B405" s="282"/>
      <c r="C405" s="330"/>
      <c r="D405" s="330"/>
      <c r="E405" s="330"/>
      <c r="F405" s="13"/>
      <c r="G405" s="309"/>
      <c r="H405" s="309"/>
      <c r="I405" s="309"/>
      <c r="J405" s="310"/>
      <c r="K405" s="310"/>
      <c r="L405" s="310"/>
      <c r="M405" s="310"/>
      <c r="N405" s="310"/>
      <c r="O405" s="311"/>
      <c r="P405" s="310"/>
      <c r="Q405" s="311"/>
      <c r="R405" s="310"/>
      <c r="S405" s="13"/>
      <c r="T405" s="13"/>
      <c r="U405" s="13"/>
      <c r="V405" s="13"/>
      <c r="W405" s="13"/>
      <c r="X405" s="310"/>
      <c r="Y405" s="311"/>
      <c r="Z405" s="310"/>
      <c r="AA405" s="312"/>
      <c r="AB405" s="13"/>
      <c r="AC405" s="313"/>
      <c r="AD405" s="313"/>
      <c r="AE405" s="313"/>
      <c r="AF405" s="331"/>
      <c r="AG405" s="320"/>
      <c r="AH405" s="13"/>
      <c r="AI405" s="13"/>
      <c r="AJ405" s="13"/>
      <c r="AK405" s="13"/>
      <c r="AL405" s="13"/>
      <c r="AM405" s="13"/>
      <c r="AN405" s="13"/>
      <c r="AO405" s="13"/>
      <c r="AP405" s="13"/>
    </row>
    <row r="406" ht="18.75" customHeight="1">
      <c r="A406" s="13"/>
      <c r="B406" s="282"/>
      <c r="C406" s="330"/>
      <c r="D406" s="330"/>
      <c r="E406" s="330"/>
      <c r="F406" s="13"/>
      <c r="G406" s="309"/>
      <c r="H406" s="309"/>
      <c r="I406" s="309"/>
      <c r="J406" s="310"/>
      <c r="K406" s="310"/>
      <c r="L406" s="310"/>
      <c r="M406" s="310"/>
      <c r="N406" s="310"/>
      <c r="O406" s="311"/>
      <c r="P406" s="310"/>
      <c r="Q406" s="311"/>
      <c r="R406" s="310"/>
      <c r="S406" s="13"/>
      <c r="T406" s="13"/>
      <c r="U406" s="13"/>
      <c r="V406" s="13"/>
      <c r="W406" s="13"/>
      <c r="X406" s="310"/>
      <c r="Y406" s="311"/>
      <c r="Z406" s="310"/>
      <c r="AA406" s="312"/>
      <c r="AB406" s="13"/>
      <c r="AC406" s="313"/>
      <c r="AD406" s="313"/>
      <c r="AE406" s="313"/>
      <c r="AF406" s="331"/>
      <c r="AG406" s="320"/>
      <c r="AH406" s="13"/>
      <c r="AI406" s="13"/>
      <c r="AJ406" s="13"/>
      <c r="AK406" s="13"/>
      <c r="AL406" s="13"/>
      <c r="AM406" s="13"/>
      <c r="AN406" s="13"/>
      <c r="AO406" s="13"/>
      <c r="AP406" s="13"/>
    </row>
    <row r="407" ht="18.75" customHeight="1">
      <c r="A407" s="13"/>
      <c r="B407" s="282"/>
      <c r="C407" s="330"/>
      <c r="D407" s="330"/>
      <c r="E407" s="330"/>
      <c r="F407" s="13"/>
      <c r="G407" s="309"/>
      <c r="H407" s="309"/>
      <c r="I407" s="309"/>
      <c r="J407" s="310"/>
      <c r="K407" s="310"/>
      <c r="L407" s="310"/>
      <c r="M407" s="310"/>
      <c r="N407" s="310"/>
      <c r="O407" s="311"/>
      <c r="P407" s="310"/>
      <c r="Q407" s="311"/>
      <c r="R407" s="310"/>
      <c r="S407" s="13"/>
      <c r="T407" s="13"/>
      <c r="U407" s="13"/>
      <c r="V407" s="13"/>
      <c r="W407" s="13"/>
      <c r="X407" s="310"/>
      <c r="Y407" s="311"/>
      <c r="Z407" s="310"/>
      <c r="AA407" s="312"/>
      <c r="AB407" s="13"/>
      <c r="AC407" s="313"/>
      <c r="AD407" s="313"/>
      <c r="AE407" s="313"/>
      <c r="AF407" s="331"/>
      <c r="AG407" s="320"/>
      <c r="AH407" s="13"/>
      <c r="AI407" s="13"/>
      <c r="AJ407" s="13"/>
      <c r="AK407" s="13"/>
      <c r="AL407" s="13"/>
      <c r="AM407" s="13"/>
      <c r="AN407" s="13"/>
      <c r="AO407" s="13"/>
      <c r="AP407" s="13"/>
    </row>
    <row r="408" ht="18.75" customHeight="1">
      <c r="A408" s="13"/>
      <c r="B408" s="282"/>
      <c r="C408" s="330"/>
      <c r="D408" s="330"/>
      <c r="E408" s="330"/>
      <c r="F408" s="13"/>
      <c r="G408" s="309"/>
      <c r="H408" s="309"/>
      <c r="I408" s="309"/>
      <c r="J408" s="310"/>
      <c r="K408" s="310"/>
      <c r="L408" s="310"/>
      <c r="M408" s="310"/>
      <c r="N408" s="310"/>
      <c r="O408" s="311"/>
      <c r="P408" s="310"/>
      <c r="Q408" s="311"/>
      <c r="R408" s="310"/>
      <c r="S408" s="13"/>
      <c r="T408" s="13"/>
      <c r="U408" s="13"/>
      <c r="V408" s="13"/>
      <c r="W408" s="13"/>
      <c r="X408" s="310"/>
      <c r="Y408" s="311"/>
      <c r="Z408" s="310"/>
      <c r="AA408" s="312"/>
      <c r="AB408" s="13"/>
      <c r="AC408" s="313"/>
      <c r="AD408" s="313"/>
      <c r="AE408" s="313"/>
      <c r="AF408" s="331"/>
      <c r="AG408" s="320"/>
      <c r="AH408" s="13"/>
      <c r="AI408" s="13"/>
      <c r="AJ408" s="13"/>
      <c r="AK408" s="13"/>
      <c r="AL408" s="13"/>
      <c r="AM408" s="13"/>
      <c r="AN408" s="13"/>
      <c r="AO408" s="13"/>
      <c r="AP408" s="13"/>
    </row>
    <row r="409" ht="18.75" customHeight="1">
      <c r="A409" s="13"/>
      <c r="B409" s="282"/>
      <c r="C409" s="330"/>
      <c r="D409" s="330"/>
      <c r="E409" s="330"/>
      <c r="F409" s="13"/>
      <c r="G409" s="309"/>
      <c r="H409" s="309"/>
      <c r="I409" s="309"/>
      <c r="J409" s="310"/>
      <c r="K409" s="310"/>
      <c r="L409" s="310"/>
      <c r="M409" s="310"/>
      <c r="N409" s="310"/>
      <c r="O409" s="311"/>
      <c r="P409" s="310"/>
      <c r="Q409" s="311"/>
      <c r="R409" s="310"/>
      <c r="S409" s="13"/>
      <c r="T409" s="13"/>
      <c r="U409" s="13"/>
      <c r="V409" s="13"/>
      <c r="W409" s="13"/>
      <c r="X409" s="310"/>
      <c r="Y409" s="311"/>
      <c r="Z409" s="310"/>
      <c r="AA409" s="312"/>
      <c r="AB409" s="13"/>
      <c r="AC409" s="313"/>
      <c r="AD409" s="313"/>
      <c r="AE409" s="313"/>
      <c r="AF409" s="331"/>
      <c r="AG409" s="320"/>
      <c r="AH409" s="13"/>
      <c r="AI409" s="13"/>
      <c r="AJ409" s="13"/>
      <c r="AK409" s="13"/>
      <c r="AL409" s="13"/>
      <c r="AM409" s="13"/>
      <c r="AN409" s="13"/>
      <c r="AO409" s="13"/>
      <c r="AP409" s="13"/>
    </row>
    <row r="410" ht="18.75" customHeight="1">
      <c r="A410" s="13"/>
      <c r="B410" s="282"/>
      <c r="C410" s="330"/>
      <c r="D410" s="330"/>
      <c r="E410" s="330"/>
      <c r="F410" s="13"/>
      <c r="G410" s="309"/>
      <c r="H410" s="309"/>
      <c r="I410" s="309"/>
      <c r="J410" s="310"/>
      <c r="K410" s="310"/>
      <c r="L410" s="310"/>
      <c r="M410" s="310"/>
      <c r="N410" s="310"/>
      <c r="O410" s="311"/>
      <c r="P410" s="310"/>
      <c r="Q410" s="311"/>
      <c r="R410" s="310"/>
      <c r="S410" s="13"/>
      <c r="T410" s="13"/>
      <c r="U410" s="13"/>
      <c r="V410" s="13"/>
      <c r="W410" s="13"/>
      <c r="X410" s="310"/>
      <c r="Y410" s="311"/>
      <c r="Z410" s="310"/>
      <c r="AA410" s="312"/>
      <c r="AB410" s="13"/>
      <c r="AC410" s="313"/>
      <c r="AD410" s="313"/>
      <c r="AE410" s="313"/>
      <c r="AF410" s="331"/>
      <c r="AG410" s="320"/>
      <c r="AH410" s="13"/>
      <c r="AI410" s="13"/>
      <c r="AJ410" s="13"/>
      <c r="AK410" s="13"/>
      <c r="AL410" s="13"/>
      <c r="AM410" s="13"/>
      <c r="AN410" s="13"/>
      <c r="AO410" s="13"/>
      <c r="AP410" s="13"/>
    </row>
    <row r="411" ht="18.75" customHeight="1">
      <c r="A411" s="13"/>
      <c r="B411" s="282"/>
      <c r="C411" s="330"/>
      <c r="D411" s="330"/>
      <c r="E411" s="330"/>
      <c r="F411" s="13"/>
      <c r="G411" s="309"/>
      <c r="H411" s="309"/>
      <c r="I411" s="309"/>
      <c r="J411" s="310"/>
      <c r="K411" s="310"/>
      <c r="L411" s="310"/>
      <c r="M411" s="310"/>
      <c r="N411" s="310"/>
      <c r="O411" s="311"/>
      <c r="P411" s="310"/>
      <c r="Q411" s="311"/>
      <c r="R411" s="310"/>
      <c r="S411" s="13"/>
      <c r="T411" s="13"/>
      <c r="U411" s="13"/>
      <c r="V411" s="13"/>
      <c r="W411" s="13"/>
      <c r="X411" s="310"/>
      <c r="Y411" s="311"/>
      <c r="Z411" s="310"/>
      <c r="AA411" s="312"/>
      <c r="AB411" s="13"/>
      <c r="AC411" s="313"/>
      <c r="AD411" s="313"/>
      <c r="AE411" s="313"/>
      <c r="AF411" s="331"/>
      <c r="AG411" s="320"/>
      <c r="AH411" s="13"/>
      <c r="AI411" s="13"/>
      <c r="AJ411" s="13"/>
      <c r="AK411" s="13"/>
      <c r="AL411" s="13"/>
      <c r="AM411" s="13"/>
      <c r="AN411" s="13"/>
      <c r="AO411" s="13"/>
      <c r="AP411" s="13"/>
    </row>
    <row r="412" ht="18.75" customHeight="1">
      <c r="A412" s="13"/>
      <c r="B412" s="282"/>
      <c r="C412" s="330"/>
      <c r="D412" s="330"/>
      <c r="E412" s="330"/>
      <c r="F412" s="13"/>
      <c r="G412" s="309"/>
      <c r="H412" s="309"/>
      <c r="I412" s="309"/>
      <c r="J412" s="310"/>
      <c r="K412" s="310"/>
      <c r="L412" s="310"/>
      <c r="M412" s="310"/>
      <c r="N412" s="310"/>
      <c r="O412" s="311"/>
      <c r="P412" s="310"/>
      <c r="Q412" s="311"/>
      <c r="R412" s="310"/>
      <c r="S412" s="13"/>
      <c r="T412" s="13"/>
      <c r="U412" s="13"/>
      <c r="V412" s="13"/>
      <c r="W412" s="13"/>
      <c r="X412" s="310"/>
      <c r="Y412" s="311"/>
      <c r="Z412" s="310"/>
      <c r="AA412" s="312"/>
      <c r="AB412" s="13"/>
      <c r="AC412" s="313"/>
      <c r="AD412" s="313"/>
      <c r="AE412" s="313"/>
      <c r="AF412" s="331"/>
      <c r="AG412" s="320"/>
      <c r="AH412" s="13"/>
      <c r="AI412" s="13"/>
      <c r="AJ412" s="13"/>
      <c r="AK412" s="13"/>
      <c r="AL412" s="13"/>
      <c r="AM412" s="13"/>
      <c r="AN412" s="13"/>
      <c r="AO412" s="13"/>
      <c r="AP412" s="13"/>
    </row>
    <row r="413" ht="18.75" customHeight="1">
      <c r="A413" s="13"/>
      <c r="B413" s="282"/>
      <c r="C413" s="330"/>
      <c r="D413" s="330"/>
      <c r="E413" s="330"/>
      <c r="F413" s="13"/>
      <c r="G413" s="309"/>
      <c r="H413" s="309"/>
      <c r="I413" s="309"/>
      <c r="J413" s="310"/>
      <c r="K413" s="310"/>
      <c r="L413" s="310"/>
      <c r="M413" s="310"/>
      <c r="N413" s="310"/>
      <c r="O413" s="311"/>
      <c r="P413" s="310"/>
      <c r="Q413" s="311"/>
      <c r="R413" s="310"/>
      <c r="S413" s="13"/>
      <c r="T413" s="13"/>
      <c r="U413" s="13"/>
      <c r="V413" s="13"/>
      <c r="W413" s="13"/>
      <c r="X413" s="310"/>
      <c r="Y413" s="311"/>
      <c r="Z413" s="310"/>
      <c r="AA413" s="312"/>
      <c r="AB413" s="13"/>
      <c r="AC413" s="313"/>
      <c r="AD413" s="313"/>
      <c r="AE413" s="313"/>
      <c r="AF413" s="331"/>
      <c r="AG413" s="320"/>
      <c r="AH413" s="13"/>
      <c r="AI413" s="13"/>
      <c r="AJ413" s="13"/>
      <c r="AK413" s="13"/>
      <c r="AL413" s="13"/>
      <c r="AM413" s="13"/>
      <c r="AN413" s="13"/>
      <c r="AO413" s="13"/>
      <c r="AP413" s="13"/>
    </row>
    <row r="414" ht="18.75" customHeight="1">
      <c r="A414" s="13"/>
      <c r="B414" s="282"/>
      <c r="C414" s="330"/>
      <c r="D414" s="330"/>
      <c r="E414" s="330"/>
      <c r="F414" s="13"/>
      <c r="G414" s="309"/>
      <c r="H414" s="309"/>
      <c r="I414" s="309"/>
      <c r="J414" s="310"/>
      <c r="K414" s="310"/>
      <c r="L414" s="310"/>
      <c r="M414" s="310"/>
      <c r="N414" s="310"/>
      <c r="O414" s="311"/>
      <c r="P414" s="310"/>
      <c r="Q414" s="311"/>
      <c r="R414" s="310"/>
      <c r="S414" s="13"/>
      <c r="T414" s="13"/>
      <c r="U414" s="13"/>
      <c r="V414" s="13"/>
      <c r="W414" s="13"/>
      <c r="X414" s="310"/>
      <c r="Y414" s="311"/>
      <c r="Z414" s="310"/>
      <c r="AA414" s="312"/>
      <c r="AB414" s="13"/>
      <c r="AC414" s="313"/>
      <c r="AD414" s="313"/>
      <c r="AE414" s="313"/>
      <c r="AF414" s="331"/>
      <c r="AG414" s="320"/>
      <c r="AH414" s="13"/>
      <c r="AI414" s="13"/>
      <c r="AJ414" s="13"/>
      <c r="AK414" s="13"/>
      <c r="AL414" s="13"/>
      <c r="AM414" s="13"/>
      <c r="AN414" s="13"/>
      <c r="AO414" s="13"/>
      <c r="AP414" s="13"/>
    </row>
    <row r="415" ht="18.75" customHeight="1">
      <c r="A415" s="13"/>
      <c r="B415" s="282"/>
      <c r="C415" s="330"/>
      <c r="D415" s="330"/>
      <c r="E415" s="330"/>
      <c r="F415" s="13"/>
      <c r="G415" s="309"/>
      <c r="H415" s="309"/>
      <c r="I415" s="309"/>
      <c r="J415" s="310"/>
      <c r="K415" s="310"/>
      <c r="L415" s="310"/>
      <c r="M415" s="310"/>
      <c r="N415" s="310"/>
      <c r="O415" s="311"/>
      <c r="P415" s="310"/>
      <c r="Q415" s="311"/>
      <c r="R415" s="310"/>
      <c r="S415" s="13"/>
      <c r="T415" s="13"/>
      <c r="U415" s="13"/>
      <c r="V415" s="13"/>
      <c r="W415" s="13"/>
      <c r="X415" s="310"/>
      <c r="Y415" s="311"/>
      <c r="Z415" s="310"/>
      <c r="AA415" s="312"/>
      <c r="AB415" s="13"/>
      <c r="AC415" s="313"/>
      <c r="AD415" s="313"/>
      <c r="AE415" s="313"/>
      <c r="AF415" s="331"/>
      <c r="AG415" s="320"/>
      <c r="AH415" s="13"/>
      <c r="AI415" s="13"/>
      <c r="AJ415" s="13"/>
      <c r="AK415" s="13"/>
      <c r="AL415" s="13"/>
      <c r="AM415" s="13"/>
      <c r="AN415" s="13"/>
      <c r="AO415" s="13"/>
      <c r="AP415" s="13"/>
    </row>
    <row r="416" ht="18.75" customHeight="1">
      <c r="A416" s="13"/>
      <c r="B416" s="282"/>
      <c r="C416" s="330"/>
      <c r="D416" s="330"/>
      <c r="E416" s="330"/>
      <c r="F416" s="13"/>
      <c r="G416" s="309"/>
      <c r="H416" s="309"/>
      <c r="I416" s="309"/>
      <c r="J416" s="310"/>
      <c r="K416" s="310"/>
      <c r="L416" s="310"/>
      <c r="M416" s="310"/>
      <c r="N416" s="310"/>
      <c r="O416" s="311"/>
      <c r="P416" s="310"/>
      <c r="Q416" s="311"/>
      <c r="R416" s="310"/>
      <c r="S416" s="13"/>
      <c r="T416" s="13"/>
      <c r="U416" s="13"/>
      <c r="V416" s="13"/>
      <c r="W416" s="13"/>
      <c r="X416" s="310"/>
      <c r="Y416" s="311"/>
      <c r="Z416" s="310"/>
      <c r="AA416" s="312"/>
      <c r="AB416" s="13"/>
      <c r="AC416" s="313"/>
      <c r="AD416" s="313"/>
      <c r="AE416" s="313"/>
      <c r="AF416" s="331"/>
      <c r="AG416" s="320"/>
      <c r="AH416" s="13"/>
      <c r="AI416" s="13"/>
      <c r="AJ416" s="13"/>
      <c r="AK416" s="13"/>
      <c r="AL416" s="13"/>
      <c r="AM416" s="13"/>
      <c r="AN416" s="13"/>
      <c r="AO416" s="13"/>
      <c r="AP416" s="13"/>
    </row>
    <row r="417" ht="18.75" customHeight="1">
      <c r="A417" s="13"/>
      <c r="B417" s="282"/>
      <c r="C417" s="330"/>
      <c r="D417" s="330"/>
      <c r="E417" s="330"/>
      <c r="F417" s="13"/>
      <c r="G417" s="309"/>
      <c r="H417" s="309"/>
      <c r="I417" s="309"/>
      <c r="J417" s="310"/>
      <c r="K417" s="310"/>
      <c r="L417" s="310"/>
      <c r="M417" s="310"/>
      <c r="N417" s="310"/>
      <c r="O417" s="311"/>
      <c r="P417" s="310"/>
      <c r="Q417" s="311"/>
      <c r="R417" s="310"/>
      <c r="S417" s="13"/>
      <c r="T417" s="13"/>
      <c r="U417" s="13"/>
      <c r="V417" s="13"/>
      <c r="W417" s="13"/>
      <c r="X417" s="310"/>
      <c r="Y417" s="311"/>
      <c r="Z417" s="310"/>
      <c r="AA417" s="312"/>
      <c r="AB417" s="13"/>
      <c r="AC417" s="313"/>
      <c r="AD417" s="313"/>
      <c r="AE417" s="313"/>
      <c r="AF417" s="331"/>
      <c r="AG417" s="320"/>
      <c r="AH417" s="13"/>
      <c r="AI417" s="13"/>
      <c r="AJ417" s="13"/>
      <c r="AK417" s="13"/>
      <c r="AL417" s="13"/>
      <c r="AM417" s="13"/>
      <c r="AN417" s="13"/>
      <c r="AO417" s="13"/>
      <c r="AP417" s="13"/>
    </row>
    <row r="418" ht="18.75" customHeight="1">
      <c r="A418" s="13"/>
      <c r="B418" s="282"/>
      <c r="C418" s="330"/>
      <c r="D418" s="330"/>
      <c r="E418" s="330"/>
      <c r="F418" s="13"/>
      <c r="G418" s="309"/>
      <c r="H418" s="309"/>
      <c r="I418" s="309"/>
      <c r="J418" s="310"/>
      <c r="K418" s="310"/>
      <c r="L418" s="310"/>
      <c r="M418" s="310"/>
      <c r="N418" s="310"/>
      <c r="O418" s="311"/>
      <c r="P418" s="310"/>
      <c r="Q418" s="311"/>
      <c r="R418" s="310"/>
      <c r="S418" s="13"/>
      <c r="T418" s="13"/>
      <c r="U418" s="13"/>
      <c r="V418" s="13"/>
      <c r="W418" s="13"/>
      <c r="X418" s="310"/>
      <c r="Y418" s="311"/>
      <c r="Z418" s="310"/>
      <c r="AA418" s="312"/>
      <c r="AB418" s="13"/>
      <c r="AC418" s="313"/>
      <c r="AD418" s="313"/>
      <c r="AE418" s="313"/>
      <c r="AF418" s="331"/>
      <c r="AG418" s="320"/>
      <c r="AH418" s="13"/>
      <c r="AI418" s="13"/>
      <c r="AJ418" s="13"/>
      <c r="AK418" s="13"/>
      <c r="AL418" s="13"/>
      <c r="AM418" s="13"/>
      <c r="AN418" s="13"/>
      <c r="AO418" s="13"/>
      <c r="AP418" s="13"/>
    </row>
    <row r="419" ht="18.75" customHeight="1">
      <c r="A419" s="13"/>
      <c r="B419" s="282"/>
      <c r="C419" s="330"/>
      <c r="D419" s="330"/>
      <c r="E419" s="330"/>
      <c r="F419" s="13"/>
      <c r="G419" s="309"/>
      <c r="H419" s="309"/>
      <c r="I419" s="309"/>
      <c r="J419" s="310"/>
      <c r="K419" s="310"/>
      <c r="L419" s="310"/>
      <c r="M419" s="310"/>
      <c r="N419" s="310"/>
      <c r="O419" s="311"/>
      <c r="P419" s="310"/>
      <c r="Q419" s="311"/>
      <c r="R419" s="310"/>
      <c r="S419" s="13"/>
      <c r="T419" s="13"/>
      <c r="U419" s="13"/>
      <c r="V419" s="13"/>
      <c r="W419" s="13"/>
      <c r="X419" s="310"/>
      <c r="Y419" s="311"/>
      <c r="Z419" s="310"/>
      <c r="AA419" s="312"/>
      <c r="AB419" s="13"/>
      <c r="AC419" s="313"/>
      <c r="AD419" s="313"/>
      <c r="AE419" s="313"/>
      <c r="AF419" s="331"/>
      <c r="AG419" s="320"/>
      <c r="AH419" s="13"/>
      <c r="AI419" s="13"/>
      <c r="AJ419" s="13"/>
      <c r="AK419" s="13"/>
      <c r="AL419" s="13"/>
      <c r="AM419" s="13"/>
      <c r="AN419" s="13"/>
      <c r="AO419" s="13"/>
      <c r="AP419" s="13"/>
    </row>
    <row r="420" ht="18.75" customHeight="1">
      <c r="A420" s="13"/>
      <c r="B420" s="282"/>
      <c r="C420" s="330"/>
      <c r="D420" s="330"/>
      <c r="E420" s="330"/>
      <c r="F420" s="13"/>
      <c r="G420" s="309"/>
      <c r="H420" s="309"/>
      <c r="I420" s="309"/>
      <c r="J420" s="310"/>
      <c r="K420" s="310"/>
      <c r="L420" s="310"/>
      <c r="M420" s="310"/>
      <c r="N420" s="310"/>
      <c r="O420" s="311"/>
      <c r="P420" s="310"/>
      <c r="Q420" s="311"/>
      <c r="R420" s="310"/>
      <c r="S420" s="13"/>
      <c r="T420" s="13"/>
      <c r="U420" s="13"/>
      <c r="V420" s="13"/>
      <c r="W420" s="13"/>
      <c r="X420" s="310"/>
      <c r="Y420" s="311"/>
      <c r="Z420" s="310"/>
      <c r="AA420" s="312"/>
      <c r="AB420" s="13"/>
      <c r="AC420" s="313"/>
      <c r="AD420" s="313"/>
      <c r="AE420" s="313"/>
      <c r="AF420" s="331"/>
      <c r="AG420" s="320"/>
      <c r="AH420" s="13"/>
      <c r="AI420" s="13"/>
      <c r="AJ420" s="13"/>
      <c r="AK420" s="13"/>
      <c r="AL420" s="13"/>
      <c r="AM420" s="13"/>
      <c r="AN420" s="13"/>
      <c r="AO420" s="13"/>
      <c r="AP420" s="13"/>
    </row>
    <row r="421" ht="18.75" customHeight="1">
      <c r="A421" s="13"/>
      <c r="B421" s="282"/>
      <c r="C421" s="330"/>
      <c r="D421" s="330"/>
      <c r="E421" s="330"/>
      <c r="F421" s="13"/>
      <c r="G421" s="309"/>
      <c r="H421" s="309"/>
      <c r="I421" s="309"/>
      <c r="J421" s="310"/>
      <c r="K421" s="310"/>
      <c r="L421" s="310"/>
      <c r="M421" s="310"/>
      <c r="N421" s="310"/>
      <c r="O421" s="311"/>
      <c r="P421" s="310"/>
      <c r="Q421" s="311"/>
      <c r="R421" s="310"/>
      <c r="S421" s="13"/>
      <c r="T421" s="13"/>
      <c r="U421" s="13"/>
      <c r="V421" s="13"/>
      <c r="W421" s="13"/>
      <c r="X421" s="310"/>
      <c r="Y421" s="311"/>
      <c r="Z421" s="310"/>
      <c r="AA421" s="312"/>
      <c r="AB421" s="13"/>
      <c r="AC421" s="313"/>
      <c r="AD421" s="313"/>
      <c r="AE421" s="313"/>
      <c r="AF421" s="331"/>
      <c r="AG421" s="320"/>
      <c r="AH421" s="13"/>
      <c r="AI421" s="13"/>
      <c r="AJ421" s="13"/>
      <c r="AK421" s="13"/>
      <c r="AL421" s="13"/>
      <c r="AM421" s="13"/>
      <c r="AN421" s="13"/>
      <c r="AO421" s="13"/>
      <c r="AP421" s="13"/>
    </row>
    <row r="422" ht="18.75" customHeight="1">
      <c r="A422" s="13"/>
      <c r="B422" s="282"/>
      <c r="C422" s="330"/>
      <c r="D422" s="330"/>
      <c r="E422" s="330"/>
      <c r="F422" s="13"/>
      <c r="G422" s="309"/>
      <c r="H422" s="309"/>
      <c r="I422" s="309"/>
      <c r="J422" s="310"/>
      <c r="K422" s="310"/>
      <c r="L422" s="310"/>
      <c r="M422" s="310"/>
      <c r="N422" s="310"/>
      <c r="O422" s="311"/>
      <c r="P422" s="310"/>
      <c r="Q422" s="311"/>
      <c r="R422" s="310"/>
      <c r="S422" s="13"/>
      <c r="T422" s="13"/>
      <c r="U422" s="13"/>
      <c r="V422" s="13"/>
      <c r="W422" s="13"/>
      <c r="X422" s="310"/>
      <c r="Y422" s="311"/>
      <c r="Z422" s="310"/>
      <c r="AA422" s="312"/>
      <c r="AB422" s="13"/>
      <c r="AC422" s="313"/>
      <c r="AD422" s="313"/>
      <c r="AE422" s="313"/>
      <c r="AF422" s="331"/>
      <c r="AG422" s="320"/>
      <c r="AH422" s="13"/>
      <c r="AI422" s="13"/>
      <c r="AJ422" s="13"/>
      <c r="AK422" s="13"/>
      <c r="AL422" s="13"/>
      <c r="AM422" s="13"/>
      <c r="AN422" s="13"/>
      <c r="AO422" s="13"/>
      <c r="AP422" s="13"/>
    </row>
    <row r="423" ht="18.75" customHeight="1">
      <c r="A423" s="13"/>
      <c r="B423" s="282"/>
      <c r="C423" s="330"/>
      <c r="D423" s="330"/>
      <c r="E423" s="330"/>
      <c r="F423" s="13"/>
      <c r="G423" s="309"/>
      <c r="H423" s="309"/>
      <c r="I423" s="309"/>
      <c r="J423" s="310"/>
      <c r="K423" s="310"/>
      <c r="L423" s="310"/>
      <c r="M423" s="310"/>
      <c r="N423" s="310"/>
      <c r="O423" s="311"/>
      <c r="P423" s="310"/>
      <c r="Q423" s="311"/>
      <c r="R423" s="310"/>
      <c r="S423" s="13"/>
      <c r="T423" s="13"/>
      <c r="U423" s="13"/>
      <c r="V423" s="13"/>
      <c r="W423" s="13"/>
      <c r="X423" s="310"/>
      <c r="Y423" s="311"/>
      <c r="Z423" s="310"/>
      <c r="AA423" s="312"/>
      <c r="AB423" s="13"/>
      <c r="AC423" s="313"/>
      <c r="AD423" s="313"/>
      <c r="AE423" s="313"/>
      <c r="AF423" s="331"/>
      <c r="AG423" s="320"/>
      <c r="AH423" s="13"/>
      <c r="AI423" s="13"/>
      <c r="AJ423" s="13"/>
      <c r="AK423" s="13"/>
      <c r="AL423" s="13"/>
      <c r="AM423" s="13"/>
      <c r="AN423" s="13"/>
      <c r="AO423" s="13"/>
      <c r="AP423" s="13"/>
    </row>
    <row r="424" ht="18.75" customHeight="1">
      <c r="A424" s="13"/>
      <c r="B424" s="282"/>
      <c r="C424" s="330"/>
      <c r="D424" s="330"/>
      <c r="E424" s="330"/>
      <c r="F424" s="13"/>
      <c r="G424" s="309"/>
      <c r="H424" s="309"/>
      <c r="I424" s="309"/>
      <c r="J424" s="310"/>
      <c r="K424" s="310"/>
      <c r="L424" s="310"/>
      <c r="M424" s="310"/>
      <c r="N424" s="310"/>
      <c r="O424" s="311"/>
      <c r="P424" s="310"/>
      <c r="Q424" s="311"/>
      <c r="R424" s="310"/>
      <c r="S424" s="13"/>
      <c r="T424" s="13"/>
      <c r="U424" s="13"/>
      <c r="V424" s="13"/>
      <c r="W424" s="13"/>
      <c r="X424" s="310"/>
      <c r="Y424" s="311"/>
      <c r="Z424" s="310"/>
      <c r="AA424" s="312"/>
      <c r="AB424" s="13"/>
      <c r="AC424" s="313"/>
      <c r="AD424" s="313"/>
      <c r="AE424" s="313"/>
      <c r="AF424" s="331"/>
      <c r="AG424" s="320"/>
      <c r="AH424" s="13"/>
      <c r="AI424" s="13"/>
      <c r="AJ424" s="13"/>
      <c r="AK424" s="13"/>
      <c r="AL424" s="13"/>
      <c r="AM424" s="13"/>
      <c r="AN424" s="13"/>
      <c r="AO424" s="13"/>
      <c r="AP424" s="13"/>
    </row>
    <row r="425" ht="18.75" customHeight="1">
      <c r="A425" s="13"/>
      <c r="B425" s="282"/>
      <c r="C425" s="330"/>
      <c r="D425" s="330"/>
      <c r="E425" s="330"/>
      <c r="F425" s="13"/>
      <c r="G425" s="309"/>
      <c r="H425" s="309"/>
      <c r="I425" s="309"/>
      <c r="J425" s="310"/>
      <c r="K425" s="310"/>
      <c r="L425" s="310"/>
      <c r="M425" s="310"/>
      <c r="N425" s="310"/>
      <c r="O425" s="311"/>
      <c r="P425" s="310"/>
      <c r="Q425" s="311"/>
      <c r="R425" s="310"/>
      <c r="S425" s="13"/>
      <c r="T425" s="13"/>
      <c r="U425" s="13"/>
      <c r="V425" s="13"/>
      <c r="W425" s="13"/>
      <c r="X425" s="310"/>
      <c r="Y425" s="311"/>
      <c r="Z425" s="310"/>
      <c r="AA425" s="312"/>
      <c r="AB425" s="13"/>
      <c r="AC425" s="313"/>
      <c r="AD425" s="313"/>
      <c r="AE425" s="313"/>
      <c r="AF425" s="331"/>
      <c r="AG425" s="320"/>
      <c r="AH425" s="13"/>
      <c r="AI425" s="13"/>
      <c r="AJ425" s="13"/>
      <c r="AK425" s="13"/>
      <c r="AL425" s="13"/>
      <c r="AM425" s="13"/>
      <c r="AN425" s="13"/>
      <c r="AO425" s="13"/>
      <c r="AP425" s="13"/>
    </row>
    <row r="426" ht="18.75" customHeight="1">
      <c r="A426" s="13"/>
      <c r="B426" s="282"/>
      <c r="C426" s="330"/>
      <c r="D426" s="330"/>
      <c r="E426" s="330"/>
      <c r="F426" s="13"/>
      <c r="G426" s="309"/>
      <c r="H426" s="309"/>
      <c r="I426" s="309"/>
      <c r="J426" s="310"/>
      <c r="K426" s="310"/>
      <c r="L426" s="310"/>
      <c r="M426" s="310"/>
      <c r="N426" s="310"/>
      <c r="O426" s="311"/>
      <c r="P426" s="310"/>
      <c r="Q426" s="311"/>
      <c r="R426" s="310"/>
      <c r="S426" s="13"/>
      <c r="T426" s="13"/>
      <c r="U426" s="13"/>
      <c r="V426" s="13"/>
      <c r="W426" s="13"/>
      <c r="X426" s="310"/>
      <c r="Y426" s="311"/>
      <c r="Z426" s="310"/>
      <c r="AA426" s="312"/>
      <c r="AB426" s="13"/>
      <c r="AC426" s="313"/>
      <c r="AD426" s="313"/>
      <c r="AE426" s="313"/>
      <c r="AF426" s="331"/>
      <c r="AG426" s="320"/>
      <c r="AH426" s="13"/>
      <c r="AI426" s="13"/>
      <c r="AJ426" s="13"/>
      <c r="AK426" s="13"/>
      <c r="AL426" s="13"/>
      <c r="AM426" s="13"/>
      <c r="AN426" s="13"/>
      <c r="AO426" s="13"/>
      <c r="AP426" s="13"/>
    </row>
    <row r="427" ht="18.75" customHeight="1">
      <c r="A427" s="13"/>
      <c r="B427" s="282"/>
      <c r="C427" s="330"/>
      <c r="D427" s="330"/>
      <c r="E427" s="330"/>
      <c r="F427" s="13"/>
      <c r="G427" s="309"/>
      <c r="H427" s="309"/>
      <c r="I427" s="309"/>
      <c r="J427" s="310"/>
      <c r="K427" s="310"/>
      <c r="L427" s="310"/>
      <c r="M427" s="310"/>
      <c r="N427" s="310"/>
      <c r="O427" s="311"/>
      <c r="P427" s="310"/>
      <c r="Q427" s="311"/>
      <c r="R427" s="310"/>
      <c r="S427" s="13"/>
      <c r="T427" s="13"/>
      <c r="U427" s="13"/>
      <c r="V427" s="13"/>
      <c r="W427" s="13"/>
      <c r="X427" s="310"/>
      <c r="Y427" s="311"/>
      <c r="Z427" s="310"/>
      <c r="AA427" s="312"/>
      <c r="AB427" s="13"/>
      <c r="AC427" s="313"/>
      <c r="AD427" s="313"/>
      <c r="AE427" s="313"/>
      <c r="AF427" s="331"/>
      <c r="AG427" s="320"/>
      <c r="AH427" s="13"/>
      <c r="AI427" s="13"/>
      <c r="AJ427" s="13"/>
      <c r="AK427" s="13"/>
      <c r="AL427" s="13"/>
      <c r="AM427" s="13"/>
      <c r="AN427" s="13"/>
      <c r="AO427" s="13"/>
      <c r="AP427" s="13"/>
    </row>
    <row r="428" ht="18.75" customHeight="1">
      <c r="A428" s="13"/>
      <c r="B428" s="282"/>
      <c r="C428" s="330"/>
      <c r="D428" s="330"/>
      <c r="E428" s="330"/>
      <c r="F428" s="13"/>
      <c r="G428" s="309"/>
      <c r="H428" s="309"/>
      <c r="I428" s="309"/>
      <c r="J428" s="310"/>
      <c r="K428" s="310"/>
      <c r="L428" s="310"/>
      <c r="M428" s="310"/>
      <c r="N428" s="310"/>
      <c r="O428" s="311"/>
      <c r="P428" s="310"/>
      <c r="Q428" s="311"/>
      <c r="R428" s="310"/>
      <c r="S428" s="13"/>
      <c r="T428" s="13"/>
      <c r="U428" s="13"/>
      <c r="V428" s="13"/>
      <c r="W428" s="13"/>
      <c r="X428" s="310"/>
      <c r="Y428" s="311"/>
      <c r="Z428" s="310"/>
      <c r="AA428" s="312"/>
      <c r="AB428" s="13"/>
      <c r="AC428" s="313"/>
      <c r="AD428" s="313"/>
      <c r="AE428" s="313"/>
      <c r="AF428" s="331"/>
      <c r="AG428" s="320"/>
      <c r="AH428" s="13"/>
      <c r="AI428" s="13"/>
      <c r="AJ428" s="13"/>
      <c r="AK428" s="13"/>
      <c r="AL428" s="13"/>
      <c r="AM428" s="13"/>
      <c r="AN428" s="13"/>
      <c r="AO428" s="13"/>
      <c r="AP428" s="13"/>
    </row>
    <row r="429" ht="18.75" customHeight="1">
      <c r="A429" s="13"/>
      <c r="B429" s="282"/>
      <c r="C429" s="330"/>
      <c r="D429" s="330"/>
      <c r="E429" s="330"/>
      <c r="F429" s="13"/>
      <c r="G429" s="309"/>
      <c r="H429" s="309"/>
      <c r="I429" s="309"/>
      <c r="J429" s="310"/>
      <c r="K429" s="310"/>
      <c r="L429" s="310"/>
      <c r="M429" s="310"/>
      <c r="N429" s="310"/>
      <c r="O429" s="311"/>
      <c r="P429" s="310"/>
      <c r="Q429" s="311"/>
      <c r="R429" s="310"/>
      <c r="S429" s="13"/>
      <c r="T429" s="13"/>
      <c r="U429" s="13"/>
      <c r="V429" s="13"/>
      <c r="W429" s="13"/>
      <c r="X429" s="310"/>
      <c r="Y429" s="311"/>
      <c r="Z429" s="310"/>
      <c r="AA429" s="312"/>
      <c r="AB429" s="13"/>
      <c r="AC429" s="313"/>
      <c r="AD429" s="313"/>
      <c r="AE429" s="313"/>
      <c r="AF429" s="331"/>
      <c r="AG429" s="320"/>
      <c r="AH429" s="13"/>
      <c r="AI429" s="13"/>
      <c r="AJ429" s="13"/>
      <c r="AK429" s="13"/>
      <c r="AL429" s="13"/>
      <c r="AM429" s="13"/>
      <c r="AN429" s="13"/>
      <c r="AO429" s="13"/>
      <c r="AP429" s="13"/>
    </row>
    <row r="430" ht="18.75" customHeight="1">
      <c r="A430" s="13"/>
      <c r="B430" s="282"/>
      <c r="C430" s="330"/>
      <c r="D430" s="330"/>
      <c r="E430" s="330"/>
      <c r="F430" s="13"/>
      <c r="G430" s="309"/>
      <c r="H430" s="309"/>
      <c r="I430" s="309"/>
      <c r="J430" s="310"/>
      <c r="K430" s="310"/>
      <c r="L430" s="310"/>
      <c r="M430" s="310"/>
      <c r="N430" s="310"/>
      <c r="O430" s="311"/>
      <c r="P430" s="310"/>
      <c r="Q430" s="311"/>
      <c r="R430" s="310"/>
      <c r="S430" s="13"/>
      <c r="T430" s="13"/>
      <c r="U430" s="13"/>
      <c r="V430" s="13"/>
      <c r="W430" s="13"/>
      <c r="X430" s="310"/>
      <c r="Y430" s="311"/>
      <c r="Z430" s="310"/>
      <c r="AA430" s="312"/>
      <c r="AB430" s="13"/>
      <c r="AC430" s="313"/>
      <c r="AD430" s="313"/>
      <c r="AE430" s="313"/>
      <c r="AF430" s="331"/>
      <c r="AG430" s="320"/>
      <c r="AH430" s="13"/>
      <c r="AI430" s="13"/>
      <c r="AJ430" s="13"/>
      <c r="AK430" s="13"/>
      <c r="AL430" s="13"/>
      <c r="AM430" s="13"/>
      <c r="AN430" s="13"/>
      <c r="AO430" s="13"/>
      <c r="AP430" s="13"/>
    </row>
    <row r="431" ht="18.75" customHeight="1">
      <c r="A431" s="13"/>
      <c r="B431" s="282"/>
      <c r="C431" s="330"/>
      <c r="D431" s="330"/>
      <c r="E431" s="330"/>
      <c r="F431" s="13"/>
      <c r="G431" s="309"/>
      <c r="H431" s="309"/>
      <c r="I431" s="309"/>
      <c r="J431" s="310"/>
      <c r="K431" s="310"/>
      <c r="L431" s="310"/>
      <c r="M431" s="310"/>
      <c r="N431" s="310"/>
      <c r="O431" s="311"/>
      <c r="P431" s="310"/>
      <c r="Q431" s="311"/>
      <c r="R431" s="310"/>
      <c r="S431" s="13"/>
      <c r="T431" s="13"/>
      <c r="U431" s="13"/>
      <c r="V431" s="13"/>
      <c r="W431" s="13"/>
      <c r="X431" s="310"/>
      <c r="Y431" s="311"/>
      <c r="Z431" s="310"/>
      <c r="AA431" s="312"/>
      <c r="AB431" s="13"/>
      <c r="AC431" s="313"/>
      <c r="AD431" s="313"/>
      <c r="AE431" s="313"/>
      <c r="AF431" s="331"/>
      <c r="AG431" s="320"/>
      <c r="AH431" s="13"/>
      <c r="AI431" s="13"/>
      <c r="AJ431" s="13"/>
      <c r="AK431" s="13"/>
      <c r="AL431" s="13"/>
      <c r="AM431" s="13"/>
      <c r="AN431" s="13"/>
      <c r="AO431" s="13"/>
      <c r="AP431" s="13"/>
    </row>
    <row r="432" ht="18.75" customHeight="1">
      <c r="A432" s="13"/>
      <c r="B432" s="282"/>
      <c r="C432" s="330"/>
      <c r="D432" s="330"/>
      <c r="E432" s="330"/>
      <c r="F432" s="13"/>
      <c r="G432" s="309"/>
      <c r="H432" s="309"/>
      <c r="I432" s="309"/>
      <c r="J432" s="310"/>
      <c r="K432" s="310"/>
      <c r="L432" s="310"/>
      <c r="M432" s="310"/>
      <c r="N432" s="310"/>
      <c r="O432" s="311"/>
      <c r="P432" s="310"/>
      <c r="Q432" s="311"/>
      <c r="R432" s="310"/>
      <c r="S432" s="13"/>
      <c r="T432" s="13"/>
      <c r="U432" s="13"/>
      <c r="V432" s="13"/>
      <c r="W432" s="13"/>
      <c r="X432" s="310"/>
      <c r="Y432" s="311"/>
      <c r="Z432" s="310"/>
      <c r="AA432" s="312"/>
      <c r="AB432" s="13"/>
      <c r="AC432" s="313"/>
      <c r="AD432" s="313"/>
      <c r="AE432" s="313"/>
      <c r="AF432" s="331"/>
      <c r="AG432" s="320"/>
      <c r="AH432" s="13"/>
      <c r="AI432" s="13"/>
      <c r="AJ432" s="13"/>
      <c r="AK432" s="13"/>
      <c r="AL432" s="13"/>
      <c r="AM432" s="13"/>
      <c r="AN432" s="13"/>
      <c r="AO432" s="13"/>
      <c r="AP432" s="13"/>
    </row>
    <row r="433" ht="18.75" customHeight="1">
      <c r="A433" s="13"/>
      <c r="B433" s="282"/>
      <c r="C433" s="330"/>
      <c r="D433" s="330"/>
      <c r="E433" s="330"/>
      <c r="F433" s="13"/>
      <c r="G433" s="309"/>
      <c r="H433" s="309"/>
      <c r="I433" s="309"/>
      <c r="J433" s="310"/>
      <c r="K433" s="310"/>
      <c r="L433" s="310"/>
      <c r="M433" s="310"/>
      <c r="N433" s="310"/>
      <c r="O433" s="311"/>
      <c r="P433" s="310"/>
      <c r="Q433" s="311"/>
      <c r="R433" s="310"/>
      <c r="S433" s="13"/>
      <c r="T433" s="13"/>
      <c r="U433" s="13"/>
      <c r="V433" s="13"/>
      <c r="W433" s="13"/>
      <c r="X433" s="310"/>
      <c r="Y433" s="311"/>
      <c r="Z433" s="310"/>
      <c r="AA433" s="312"/>
      <c r="AB433" s="13"/>
      <c r="AC433" s="313"/>
      <c r="AD433" s="313"/>
      <c r="AE433" s="313"/>
      <c r="AF433" s="331"/>
      <c r="AG433" s="320"/>
      <c r="AH433" s="13"/>
      <c r="AI433" s="13"/>
      <c r="AJ433" s="13"/>
      <c r="AK433" s="13"/>
      <c r="AL433" s="13"/>
      <c r="AM433" s="13"/>
      <c r="AN433" s="13"/>
      <c r="AO433" s="13"/>
      <c r="AP433" s="13"/>
    </row>
    <row r="434" ht="18.75" customHeight="1">
      <c r="A434" s="13"/>
      <c r="B434" s="282"/>
      <c r="C434" s="330"/>
      <c r="D434" s="330"/>
      <c r="E434" s="330"/>
      <c r="F434" s="13"/>
      <c r="G434" s="309"/>
      <c r="H434" s="309"/>
      <c r="I434" s="309"/>
      <c r="J434" s="310"/>
      <c r="K434" s="310"/>
      <c r="L434" s="310"/>
      <c r="M434" s="310"/>
      <c r="N434" s="310"/>
      <c r="O434" s="311"/>
      <c r="P434" s="310"/>
      <c r="Q434" s="311"/>
      <c r="R434" s="310"/>
      <c r="S434" s="13"/>
      <c r="T434" s="13"/>
      <c r="U434" s="13"/>
      <c r="V434" s="13"/>
      <c r="W434" s="13"/>
      <c r="X434" s="310"/>
      <c r="Y434" s="311"/>
      <c r="Z434" s="310"/>
      <c r="AA434" s="312"/>
      <c r="AB434" s="13"/>
      <c r="AC434" s="313"/>
      <c r="AD434" s="313"/>
      <c r="AE434" s="313"/>
      <c r="AF434" s="331"/>
      <c r="AG434" s="320"/>
      <c r="AH434" s="13"/>
      <c r="AI434" s="13"/>
      <c r="AJ434" s="13"/>
      <c r="AK434" s="13"/>
      <c r="AL434" s="13"/>
      <c r="AM434" s="13"/>
      <c r="AN434" s="13"/>
      <c r="AO434" s="13"/>
      <c r="AP434" s="13"/>
    </row>
    <row r="435" ht="18.75" customHeight="1">
      <c r="A435" s="13"/>
      <c r="B435" s="282"/>
      <c r="C435" s="330"/>
      <c r="D435" s="330"/>
      <c r="E435" s="330"/>
      <c r="F435" s="13"/>
      <c r="G435" s="309"/>
      <c r="H435" s="309"/>
      <c r="I435" s="309"/>
      <c r="J435" s="310"/>
      <c r="K435" s="310"/>
      <c r="L435" s="310"/>
      <c r="M435" s="310"/>
      <c r="N435" s="310"/>
      <c r="O435" s="311"/>
      <c r="P435" s="310"/>
      <c r="Q435" s="311"/>
      <c r="R435" s="310"/>
      <c r="S435" s="13"/>
      <c r="T435" s="13"/>
      <c r="U435" s="13"/>
      <c r="V435" s="13"/>
      <c r="W435" s="13"/>
      <c r="X435" s="310"/>
      <c r="Y435" s="311"/>
      <c r="Z435" s="310"/>
      <c r="AA435" s="312"/>
      <c r="AB435" s="13"/>
      <c r="AC435" s="313"/>
      <c r="AD435" s="313"/>
      <c r="AE435" s="313"/>
      <c r="AF435" s="331"/>
      <c r="AG435" s="320"/>
      <c r="AH435" s="13"/>
      <c r="AI435" s="13"/>
      <c r="AJ435" s="13"/>
      <c r="AK435" s="13"/>
      <c r="AL435" s="13"/>
      <c r="AM435" s="13"/>
      <c r="AN435" s="13"/>
      <c r="AO435" s="13"/>
      <c r="AP435" s="13"/>
    </row>
    <row r="436" ht="18.75" customHeight="1">
      <c r="A436" s="13"/>
      <c r="B436" s="282"/>
      <c r="C436" s="330"/>
      <c r="D436" s="330"/>
      <c r="E436" s="330"/>
      <c r="F436" s="13"/>
      <c r="G436" s="309"/>
      <c r="H436" s="309"/>
      <c r="I436" s="309"/>
      <c r="J436" s="310"/>
      <c r="K436" s="310"/>
      <c r="L436" s="310"/>
      <c r="M436" s="310"/>
      <c r="N436" s="310"/>
      <c r="O436" s="311"/>
      <c r="P436" s="310"/>
      <c r="Q436" s="311"/>
      <c r="R436" s="310"/>
      <c r="S436" s="13"/>
      <c r="T436" s="13"/>
      <c r="U436" s="13"/>
      <c r="V436" s="13"/>
      <c r="W436" s="13"/>
      <c r="X436" s="310"/>
      <c r="Y436" s="311"/>
      <c r="Z436" s="310"/>
      <c r="AA436" s="312"/>
      <c r="AB436" s="13"/>
      <c r="AC436" s="313"/>
      <c r="AD436" s="313"/>
      <c r="AE436" s="313"/>
      <c r="AF436" s="331"/>
      <c r="AG436" s="320"/>
      <c r="AH436" s="13"/>
      <c r="AI436" s="13"/>
      <c r="AJ436" s="13"/>
      <c r="AK436" s="13"/>
      <c r="AL436" s="13"/>
      <c r="AM436" s="13"/>
      <c r="AN436" s="13"/>
      <c r="AO436" s="13"/>
      <c r="AP436" s="13"/>
    </row>
    <row r="437" ht="18.75" customHeight="1">
      <c r="A437" s="13"/>
      <c r="B437" s="282"/>
      <c r="C437" s="330"/>
      <c r="D437" s="330"/>
      <c r="E437" s="330"/>
      <c r="F437" s="13"/>
      <c r="G437" s="309"/>
      <c r="H437" s="309"/>
      <c r="I437" s="309"/>
      <c r="J437" s="310"/>
      <c r="K437" s="310"/>
      <c r="L437" s="310"/>
      <c r="M437" s="310"/>
      <c r="N437" s="310"/>
      <c r="O437" s="311"/>
      <c r="P437" s="310"/>
      <c r="Q437" s="311"/>
      <c r="R437" s="310"/>
      <c r="S437" s="13"/>
      <c r="T437" s="13"/>
      <c r="U437" s="13"/>
      <c r="V437" s="13"/>
      <c r="W437" s="13"/>
      <c r="X437" s="310"/>
      <c r="Y437" s="311"/>
      <c r="Z437" s="310"/>
      <c r="AA437" s="312"/>
      <c r="AB437" s="13"/>
      <c r="AC437" s="313"/>
      <c r="AD437" s="313"/>
      <c r="AE437" s="313"/>
      <c r="AF437" s="331"/>
      <c r="AG437" s="320"/>
      <c r="AH437" s="13"/>
      <c r="AI437" s="13"/>
      <c r="AJ437" s="13"/>
      <c r="AK437" s="13"/>
      <c r="AL437" s="13"/>
      <c r="AM437" s="13"/>
      <c r="AN437" s="13"/>
      <c r="AO437" s="13"/>
      <c r="AP437" s="13"/>
    </row>
    <row r="438" ht="18.75" customHeight="1">
      <c r="A438" s="13"/>
      <c r="B438" s="282"/>
      <c r="C438" s="330"/>
      <c r="D438" s="330"/>
      <c r="E438" s="330"/>
      <c r="F438" s="13"/>
      <c r="G438" s="309"/>
      <c r="H438" s="309"/>
      <c r="I438" s="309"/>
      <c r="J438" s="310"/>
      <c r="K438" s="310"/>
      <c r="L438" s="310"/>
      <c r="M438" s="310"/>
      <c r="N438" s="310"/>
      <c r="O438" s="311"/>
      <c r="P438" s="310"/>
      <c r="Q438" s="311"/>
      <c r="R438" s="310"/>
      <c r="S438" s="13"/>
      <c r="T438" s="13"/>
      <c r="U438" s="13"/>
      <c r="V438" s="13"/>
      <c r="W438" s="13"/>
      <c r="X438" s="310"/>
      <c r="Y438" s="311"/>
      <c r="Z438" s="310"/>
      <c r="AA438" s="312"/>
      <c r="AB438" s="13"/>
      <c r="AC438" s="313"/>
      <c r="AD438" s="313"/>
      <c r="AE438" s="313"/>
      <c r="AF438" s="331"/>
      <c r="AG438" s="320"/>
      <c r="AH438" s="13"/>
      <c r="AI438" s="13"/>
      <c r="AJ438" s="13"/>
      <c r="AK438" s="13"/>
      <c r="AL438" s="13"/>
      <c r="AM438" s="13"/>
      <c r="AN438" s="13"/>
      <c r="AO438" s="13"/>
      <c r="AP438" s="13"/>
    </row>
    <row r="439" ht="18.75" customHeight="1">
      <c r="A439" s="13"/>
      <c r="B439" s="282"/>
      <c r="C439" s="330"/>
      <c r="D439" s="330"/>
      <c r="E439" s="330"/>
      <c r="F439" s="13"/>
      <c r="G439" s="309"/>
      <c r="H439" s="309"/>
      <c r="I439" s="309"/>
      <c r="J439" s="310"/>
      <c r="K439" s="310"/>
      <c r="L439" s="310"/>
      <c r="M439" s="310"/>
      <c r="N439" s="310"/>
      <c r="O439" s="311"/>
      <c r="P439" s="310"/>
      <c r="Q439" s="311"/>
      <c r="R439" s="310"/>
      <c r="S439" s="13"/>
      <c r="T439" s="13"/>
      <c r="U439" s="13"/>
      <c r="V439" s="13"/>
      <c r="W439" s="13"/>
      <c r="X439" s="310"/>
      <c r="Y439" s="311"/>
      <c r="Z439" s="310"/>
      <c r="AA439" s="312"/>
      <c r="AB439" s="13"/>
      <c r="AC439" s="313"/>
      <c r="AD439" s="313"/>
      <c r="AE439" s="313"/>
      <c r="AF439" s="331"/>
      <c r="AG439" s="320"/>
      <c r="AH439" s="13"/>
      <c r="AI439" s="13"/>
      <c r="AJ439" s="13"/>
      <c r="AK439" s="13"/>
      <c r="AL439" s="13"/>
      <c r="AM439" s="13"/>
      <c r="AN439" s="13"/>
      <c r="AO439" s="13"/>
      <c r="AP439" s="13"/>
    </row>
    <row r="440" ht="18.75" customHeight="1">
      <c r="A440" s="13"/>
      <c r="B440" s="282"/>
      <c r="C440" s="330"/>
      <c r="D440" s="330"/>
      <c r="E440" s="330"/>
      <c r="F440" s="13"/>
      <c r="G440" s="309"/>
      <c r="H440" s="309"/>
      <c r="I440" s="309"/>
      <c r="J440" s="310"/>
      <c r="K440" s="310"/>
      <c r="L440" s="310"/>
      <c r="M440" s="310"/>
      <c r="N440" s="310"/>
      <c r="O440" s="311"/>
      <c r="P440" s="310"/>
      <c r="Q440" s="311"/>
      <c r="R440" s="310"/>
      <c r="S440" s="13"/>
      <c r="T440" s="13"/>
      <c r="U440" s="13"/>
      <c r="V440" s="13"/>
      <c r="W440" s="13"/>
      <c r="X440" s="310"/>
      <c r="Y440" s="311"/>
      <c r="Z440" s="310"/>
      <c r="AA440" s="312"/>
      <c r="AB440" s="13"/>
      <c r="AC440" s="313"/>
      <c r="AD440" s="313"/>
      <c r="AE440" s="313"/>
      <c r="AF440" s="331"/>
      <c r="AG440" s="320"/>
      <c r="AH440" s="13"/>
      <c r="AI440" s="13"/>
      <c r="AJ440" s="13"/>
      <c r="AK440" s="13"/>
      <c r="AL440" s="13"/>
      <c r="AM440" s="13"/>
      <c r="AN440" s="13"/>
      <c r="AO440" s="13"/>
      <c r="AP440" s="13"/>
    </row>
    <row r="441" ht="18.75" customHeight="1">
      <c r="A441" s="13"/>
      <c r="B441" s="282"/>
      <c r="C441" s="330"/>
      <c r="D441" s="330"/>
      <c r="E441" s="330"/>
      <c r="F441" s="13"/>
      <c r="G441" s="309"/>
      <c r="H441" s="309"/>
      <c r="I441" s="309"/>
      <c r="J441" s="310"/>
      <c r="K441" s="310"/>
      <c r="L441" s="310"/>
      <c r="M441" s="310"/>
      <c r="N441" s="310"/>
      <c r="O441" s="311"/>
      <c r="P441" s="310"/>
      <c r="Q441" s="311"/>
      <c r="R441" s="310"/>
      <c r="S441" s="13"/>
      <c r="T441" s="13"/>
      <c r="U441" s="13"/>
      <c r="V441" s="13"/>
      <c r="W441" s="13"/>
      <c r="X441" s="310"/>
      <c r="Y441" s="311"/>
      <c r="Z441" s="310"/>
      <c r="AA441" s="312"/>
      <c r="AB441" s="13"/>
      <c r="AC441" s="313"/>
      <c r="AD441" s="313"/>
      <c r="AE441" s="313"/>
      <c r="AF441" s="331"/>
      <c r="AG441" s="320"/>
      <c r="AH441" s="13"/>
      <c r="AI441" s="13"/>
      <c r="AJ441" s="13"/>
      <c r="AK441" s="13"/>
      <c r="AL441" s="13"/>
      <c r="AM441" s="13"/>
      <c r="AN441" s="13"/>
      <c r="AO441" s="13"/>
      <c r="AP441" s="13"/>
    </row>
    <row r="442" ht="18.75" customHeight="1">
      <c r="A442" s="13"/>
      <c r="B442" s="282"/>
      <c r="C442" s="330"/>
      <c r="D442" s="330"/>
      <c r="E442" s="330"/>
      <c r="F442" s="13"/>
      <c r="G442" s="309"/>
      <c r="H442" s="309"/>
      <c r="I442" s="309"/>
      <c r="J442" s="310"/>
      <c r="K442" s="310"/>
      <c r="L442" s="310"/>
      <c r="M442" s="310"/>
      <c r="N442" s="310"/>
      <c r="O442" s="311"/>
      <c r="P442" s="310"/>
      <c r="Q442" s="311"/>
      <c r="R442" s="310"/>
      <c r="S442" s="13"/>
      <c r="T442" s="13"/>
      <c r="U442" s="13"/>
      <c r="V442" s="13"/>
      <c r="W442" s="13"/>
      <c r="X442" s="310"/>
      <c r="Y442" s="311"/>
      <c r="Z442" s="310"/>
      <c r="AA442" s="312"/>
      <c r="AB442" s="13"/>
      <c r="AC442" s="313"/>
      <c r="AD442" s="313"/>
      <c r="AE442" s="313"/>
      <c r="AF442" s="331"/>
      <c r="AG442" s="320"/>
      <c r="AH442" s="13"/>
      <c r="AI442" s="13"/>
      <c r="AJ442" s="13"/>
      <c r="AK442" s="13"/>
      <c r="AL442" s="13"/>
      <c r="AM442" s="13"/>
      <c r="AN442" s="13"/>
      <c r="AO442" s="13"/>
      <c r="AP442" s="13"/>
    </row>
    <row r="443" ht="18.75" customHeight="1">
      <c r="A443" s="13"/>
      <c r="B443" s="282"/>
      <c r="C443" s="330"/>
      <c r="D443" s="330"/>
      <c r="E443" s="330"/>
      <c r="F443" s="13"/>
      <c r="G443" s="309"/>
      <c r="H443" s="309"/>
      <c r="I443" s="309"/>
      <c r="J443" s="310"/>
      <c r="K443" s="310"/>
      <c r="L443" s="310"/>
      <c r="M443" s="310"/>
      <c r="N443" s="310"/>
      <c r="O443" s="311"/>
      <c r="P443" s="310"/>
      <c r="Q443" s="311"/>
      <c r="R443" s="310"/>
      <c r="S443" s="13"/>
      <c r="T443" s="13"/>
      <c r="U443" s="13"/>
      <c r="V443" s="13"/>
      <c r="W443" s="13"/>
      <c r="X443" s="310"/>
      <c r="Y443" s="311"/>
      <c r="Z443" s="310"/>
      <c r="AA443" s="312"/>
      <c r="AB443" s="13"/>
      <c r="AC443" s="313"/>
      <c r="AD443" s="313"/>
      <c r="AE443" s="313"/>
      <c r="AF443" s="331"/>
      <c r="AG443" s="320"/>
      <c r="AH443" s="13"/>
      <c r="AI443" s="13"/>
      <c r="AJ443" s="13"/>
      <c r="AK443" s="13"/>
      <c r="AL443" s="13"/>
      <c r="AM443" s="13"/>
      <c r="AN443" s="13"/>
      <c r="AO443" s="13"/>
      <c r="AP443" s="13"/>
    </row>
    <row r="444" ht="18.75" customHeight="1">
      <c r="A444" s="13"/>
      <c r="B444" s="282"/>
      <c r="C444" s="330"/>
      <c r="D444" s="330"/>
      <c r="E444" s="330"/>
      <c r="F444" s="13"/>
      <c r="G444" s="309"/>
      <c r="H444" s="309"/>
      <c r="I444" s="309"/>
      <c r="J444" s="310"/>
      <c r="K444" s="310"/>
      <c r="L444" s="310"/>
      <c r="M444" s="310"/>
      <c r="N444" s="310"/>
      <c r="O444" s="311"/>
      <c r="P444" s="310"/>
      <c r="Q444" s="311"/>
      <c r="R444" s="310"/>
      <c r="S444" s="13"/>
      <c r="T444" s="13"/>
      <c r="U444" s="13"/>
      <c r="V444" s="13"/>
      <c r="W444" s="13"/>
      <c r="X444" s="310"/>
      <c r="Y444" s="311"/>
      <c r="Z444" s="310"/>
      <c r="AA444" s="312"/>
      <c r="AB444" s="13"/>
      <c r="AC444" s="313"/>
      <c r="AD444" s="313"/>
      <c r="AE444" s="313"/>
      <c r="AF444" s="331"/>
      <c r="AG444" s="320"/>
      <c r="AH444" s="13"/>
      <c r="AI444" s="13"/>
      <c r="AJ444" s="13"/>
      <c r="AK444" s="13"/>
      <c r="AL444" s="13"/>
      <c r="AM444" s="13"/>
      <c r="AN444" s="13"/>
      <c r="AO444" s="13"/>
      <c r="AP444" s="13"/>
    </row>
    <row r="445" ht="18.75" customHeight="1">
      <c r="A445" s="13"/>
      <c r="B445" s="282"/>
      <c r="C445" s="330"/>
      <c r="D445" s="330"/>
      <c r="E445" s="330"/>
      <c r="F445" s="13"/>
      <c r="G445" s="309"/>
      <c r="H445" s="309"/>
      <c r="I445" s="309"/>
      <c r="J445" s="310"/>
      <c r="K445" s="310"/>
      <c r="L445" s="310"/>
      <c r="M445" s="310"/>
      <c r="N445" s="310"/>
      <c r="O445" s="311"/>
      <c r="P445" s="310"/>
      <c r="Q445" s="311"/>
      <c r="R445" s="310"/>
      <c r="S445" s="13"/>
      <c r="T445" s="13"/>
      <c r="U445" s="13"/>
      <c r="V445" s="13"/>
      <c r="W445" s="13"/>
      <c r="X445" s="310"/>
      <c r="Y445" s="311"/>
      <c r="Z445" s="310"/>
      <c r="AA445" s="312"/>
      <c r="AB445" s="13"/>
      <c r="AC445" s="313"/>
      <c r="AD445" s="313"/>
      <c r="AE445" s="313"/>
      <c r="AF445" s="331"/>
      <c r="AG445" s="320"/>
      <c r="AH445" s="13"/>
      <c r="AI445" s="13"/>
      <c r="AJ445" s="13"/>
      <c r="AK445" s="13"/>
      <c r="AL445" s="13"/>
      <c r="AM445" s="13"/>
      <c r="AN445" s="13"/>
      <c r="AO445" s="13"/>
      <c r="AP445" s="13"/>
    </row>
    <row r="446" ht="18.75" customHeight="1">
      <c r="A446" s="13"/>
      <c r="B446" s="282"/>
      <c r="C446" s="330"/>
      <c r="D446" s="330"/>
      <c r="E446" s="330"/>
      <c r="F446" s="13"/>
      <c r="G446" s="309"/>
      <c r="H446" s="309"/>
      <c r="I446" s="309"/>
      <c r="J446" s="310"/>
      <c r="K446" s="310"/>
      <c r="L446" s="310"/>
      <c r="M446" s="310"/>
      <c r="N446" s="310"/>
      <c r="O446" s="311"/>
      <c r="P446" s="310"/>
      <c r="Q446" s="311"/>
      <c r="R446" s="310"/>
      <c r="S446" s="13"/>
      <c r="T446" s="13"/>
      <c r="U446" s="13"/>
      <c r="V446" s="13"/>
      <c r="W446" s="13"/>
      <c r="X446" s="310"/>
      <c r="Y446" s="311"/>
      <c r="Z446" s="310"/>
      <c r="AA446" s="312"/>
      <c r="AB446" s="13"/>
      <c r="AC446" s="313"/>
      <c r="AD446" s="313"/>
      <c r="AE446" s="313"/>
      <c r="AF446" s="331"/>
      <c r="AG446" s="320"/>
      <c r="AH446" s="13"/>
      <c r="AI446" s="13"/>
      <c r="AJ446" s="13"/>
      <c r="AK446" s="13"/>
      <c r="AL446" s="13"/>
      <c r="AM446" s="13"/>
      <c r="AN446" s="13"/>
      <c r="AO446" s="13"/>
      <c r="AP446" s="13"/>
    </row>
    <row r="447" ht="18.75" customHeight="1">
      <c r="A447" s="13"/>
      <c r="B447" s="282"/>
      <c r="C447" s="330"/>
      <c r="D447" s="330"/>
      <c r="E447" s="330"/>
      <c r="F447" s="13"/>
      <c r="G447" s="309"/>
      <c r="H447" s="309"/>
      <c r="I447" s="309"/>
      <c r="J447" s="310"/>
      <c r="K447" s="310"/>
      <c r="L447" s="310"/>
      <c r="M447" s="310"/>
      <c r="N447" s="310"/>
      <c r="O447" s="311"/>
      <c r="P447" s="310"/>
      <c r="Q447" s="311"/>
      <c r="R447" s="310"/>
      <c r="S447" s="13"/>
      <c r="T447" s="13"/>
      <c r="U447" s="13"/>
      <c r="V447" s="13"/>
      <c r="W447" s="13"/>
      <c r="X447" s="310"/>
      <c r="Y447" s="311"/>
      <c r="Z447" s="310"/>
      <c r="AA447" s="312"/>
      <c r="AB447" s="13"/>
      <c r="AC447" s="313"/>
      <c r="AD447" s="313"/>
      <c r="AE447" s="313"/>
      <c r="AF447" s="331"/>
      <c r="AG447" s="320"/>
      <c r="AH447" s="13"/>
      <c r="AI447" s="13"/>
      <c r="AJ447" s="13"/>
      <c r="AK447" s="13"/>
      <c r="AL447" s="13"/>
      <c r="AM447" s="13"/>
      <c r="AN447" s="13"/>
      <c r="AO447" s="13"/>
      <c r="AP447" s="13"/>
    </row>
    <row r="448" ht="18.75" customHeight="1">
      <c r="A448" s="13"/>
      <c r="B448" s="282"/>
      <c r="C448" s="330"/>
      <c r="D448" s="330"/>
      <c r="E448" s="330"/>
      <c r="F448" s="13"/>
      <c r="G448" s="309"/>
      <c r="H448" s="309"/>
      <c r="I448" s="309"/>
      <c r="J448" s="310"/>
      <c r="K448" s="310"/>
      <c r="L448" s="310"/>
      <c r="M448" s="310"/>
      <c r="N448" s="310"/>
      <c r="O448" s="311"/>
      <c r="P448" s="310"/>
      <c r="Q448" s="311"/>
      <c r="R448" s="310"/>
      <c r="S448" s="13"/>
      <c r="T448" s="13"/>
      <c r="U448" s="13"/>
      <c r="V448" s="13"/>
      <c r="W448" s="13"/>
      <c r="X448" s="310"/>
      <c r="Y448" s="311"/>
      <c r="Z448" s="310"/>
      <c r="AA448" s="312"/>
      <c r="AB448" s="13"/>
      <c r="AC448" s="313"/>
      <c r="AD448" s="313"/>
      <c r="AE448" s="313"/>
      <c r="AF448" s="331"/>
      <c r="AG448" s="320"/>
      <c r="AH448" s="13"/>
      <c r="AI448" s="13"/>
      <c r="AJ448" s="13"/>
      <c r="AK448" s="13"/>
      <c r="AL448" s="13"/>
      <c r="AM448" s="13"/>
      <c r="AN448" s="13"/>
      <c r="AO448" s="13"/>
      <c r="AP448" s="13"/>
    </row>
    <row r="449" ht="18.75" customHeight="1">
      <c r="A449" s="13"/>
      <c r="B449" s="282"/>
      <c r="C449" s="330"/>
      <c r="D449" s="330"/>
      <c r="E449" s="330"/>
      <c r="F449" s="13"/>
      <c r="G449" s="309"/>
      <c r="H449" s="309"/>
      <c r="I449" s="309"/>
      <c r="J449" s="310"/>
      <c r="K449" s="310"/>
      <c r="L449" s="310"/>
      <c r="M449" s="310"/>
      <c r="N449" s="310"/>
      <c r="O449" s="311"/>
      <c r="P449" s="310"/>
      <c r="Q449" s="311"/>
      <c r="R449" s="310"/>
      <c r="S449" s="13"/>
      <c r="T449" s="13"/>
      <c r="U449" s="13"/>
      <c r="V449" s="13"/>
      <c r="W449" s="13"/>
      <c r="X449" s="310"/>
      <c r="Y449" s="311"/>
      <c r="Z449" s="310"/>
      <c r="AA449" s="312"/>
      <c r="AB449" s="13"/>
      <c r="AC449" s="313"/>
      <c r="AD449" s="313"/>
      <c r="AE449" s="313"/>
      <c r="AF449" s="331"/>
      <c r="AG449" s="320"/>
      <c r="AH449" s="13"/>
      <c r="AI449" s="13"/>
      <c r="AJ449" s="13"/>
      <c r="AK449" s="13"/>
      <c r="AL449" s="13"/>
      <c r="AM449" s="13"/>
      <c r="AN449" s="13"/>
      <c r="AO449" s="13"/>
      <c r="AP449" s="13"/>
    </row>
    <row r="450" ht="18.75" customHeight="1">
      <c r="A450" s="13"/>
      <c r="B450" s="282"/>
      <c r="C450" s="330"/>
      <c r="D450" s="330"/>
      <c r="E450" s="330"/>
      <c r="F450" s="13"/>
      <c r="G450" s="309"/>
      <c r="H450" s="309"/>
      <c r="I450" s="309"/>
      <c r="J450" s="310"/>
      <c r="K450" s="310"/>
      <c r="L450" s="310"/>
      <c r="M450" s="310"/>
      <c r="N450" s="310"/>
      <c r="O450" s="311"/>
      <c r="P450" s="310"/>
      <c r="Q450" s="311"/>
      <c r="R450" s="310"/>
      <c r="S450" s="13"/>
      <c r="T450" s="13"/>
      <c r="U450" s="13"/>
      <c r="V450" s="13"/>
      <c r="W450" s="13"/>
      <c r="X450" s="310"/>
      <c r="Y450" s="311"/>
      <c r="Z450" s="310"/>
      <c r="AA450" s="312"/>
      <c r="AB450" s="13"/>
      <c r="AC450" s="313"/>
      <c r="AD450" s="313"/>
      <c r="AE450" s="313"/>
      <c r="AF450" s="331"/>
      <c r="AG450" s="320"/>
      <c r="AH450" s="13"/>
      <c r="AI450" s="13"/>
      <c r="AJ450" s="13"/>
      <c r="AK450" s="13"/>
      <c r="AL450" s="13"/>
      <c r="AM450" s="13"/>
      <c r="AN450" s="13"/>
      <c r="AO450" s="13"/>
      <c r="AP450" s="13"/>
    </row>
    <row r="451" ht="18.75" customHeight="1">
      <c r="A451" s="13"/>
      <c r="B451" s="282"/>
      <c r="C451" s="330"/>
      <c r="D451" s="330"/>
      <c r="E451" s="330"/>
      <c r="F451" s="13"/>
      <c r="G451" s="309"/>
      <c r="H451" s="309"/>
      <c r="I451" s="309"/>
      <c r="J451" s="310"/>
      <c r="K451" s="310"/>
      <c r="L451" s="310"/>
      <c r="M451" s="310"/>
      <c r="N451" s="310"/>
      <c r="O451" s="311"/>
      <c r="P451" s="310"/>
      <c r="Q451" s="311"/>
      <c r="R451" s="310"/>
      <c r="S451" s="13"/>
      <c r="T451" s="13"/>
      <c r="U451" s="13"/>
      <c r="V451" s="13"/>
      <c r="W451" s="13"/>
      <c r="X451" s="310"/>
      <c r="Y451" s="311"/>
      <c r="Z451" s="310"/>
      <c r="AA451" s="312"/>
      <c r="AB451" s="13"/>
      <c r="AC451" s="313"/>
      <c r="AD451" s="313"/>
      <c r="AE451" s="313"/>
      <c r="AF451" s="331"/>
      <c r="AG451" s="320"/>
      <c r="AH451" s="13"/>
      <c r="AI451" s="13"/>
      <c r="AJ451" s="13"/>
      <c r="AK451" s="13"/>
      <c r="AL451" s="13"/>
      <c r="AM451" s="13"/>
      <c r="AN451" s="13"/>
      <c r="AO451" s="13"/>
      <c r="AP451" s="13"/>
    </row>
    <row r="452" ht="18.75" customHeight="1">
      <c r="A452" s="13"/>
      <c r="B452" s="282"/>
      <c r="C452" s="330"/>
      <c r="D452" s="330"/>
      <c r="E452" s="330"/>
      <c r="F452" s="13"/>
      <c r="G452" s="309"/>
      <c r="H452" s="309"/>
      <c r="I452" s="309"/>
      <c r="J452" s="310"/>
      <c r="K452" s="310"/>
      <c r="L452" s="310"/>
      <c r="M452" s="310"/>
      <c r="N452" s="310"/>
      <c r="O452" s="311"/>
      <c r="P452" s="310"/>
      <c r="Q452" s="311"/>
      <c r="R452" s="310"/>
      <c r="S452" s="13"/>
      <c r="T452" s="13"/>
      <c r="U452" s="13"/>
      <c r="V452" s="13"/>
      <c r="W452" s="13"/>
      <c r="X452" s="310"/>
      <c r="Y452" s="311"/>
      <c r="Z452" s="310"/>
      <c r="AA452" s="312"/>
      <c r="AB452" s="13"/>
      <c r="AC452" s="313"/>
      <c r="AD452" s="313"/>
      <c r="AE452" s="313"/>
      <c r="AF452" s="331"/>
      <c r="AG452" s="320"/>
      <c r="AH452" s="13"/>
      <c r="AI452" s="13"/>
      <c r="AJ452" s="13"/>
      <c r="AK452" s="13"/>
      <c r="AL452" s="13"/>
      <c r="AM452" s="13"/>
      <c r="AN452" s="13"/>
      <c r="AO452" s="13"/>
      <c r="AP452" s="13"/>
    </row>
    <row r="453" ht="18.75" customHeight="1">
      <c r="A453" s="13"/>
      <c r="B453" s="282"/>
      <c r="C453" s="330"/>
      <c r="D453" s="330"/>
      <c r="E453" s="330"/>
      <c r="F453" s="13"/>
      <c r="G453" s="309"/>
      <c r="H453" s="309"/>
      <c r="I453" s="309"/>
      <c r="J453" s="310"/>
      <c r="K453" s="310"/>
      <c r="L453" s="310"/>
      <c r="M453" s="310"/>
      <c r="N453" s="310"/>
      <c r="O453" s="311"/>
      <c r="P453" s="310"/>
      <c r="Q453" s="311"/>
      <c r="R453" s="310"/>
      <c r="S453" s="13"/>
      <c r="T453" s="13"/>
      <c r="U453" s="13"/>
      <c r="V453" s="13"/>
      <c r="W453" s="13"/>
      <c r="X453" s="310"/>
      <c r="Y453" s="311"/>
      <c r="Z453" s="310"/>
      <c r="AA453" s="312"/>
      <c r="AB453" s="13"/>
      <c r="AC453" s="313"/>
      <c r="AD453" s="313"/>
      <c r="AE453" s="313"/>
      <c r="AF453" s="331"/>
      <c r="AG453" s="320"/>
      <c r="AH453" s="13"/>
      <c r="AI453" s="13"/>
      <c r="AJ453" s="13"/>
      <c r="AK453" s="13"/>
      <c r="AL453" s="13"/>
      <c r="AM453" s="13"/>
      <c r="AN453" s="13"/>
      <c r="AO453" s="13"/>
      <c r="AP453" s="13"/>
    </row>
    <row r="454" ht="18.75" customHeight="1">
      <c r="A454" s="13"/>
      <c r="B454" s="282"/>
      <c r="C454" s="330"/>
      <c r="D454" s="330"/>
      <c r="E454" s="330"/>
      <c r="F454" s="13"/>
      <c r="G454" s="309"/>
      <c r="H454" s="309"/>
      <c r="I454" s="309"/>
      <c r="J454" s="310"/>
      <c r="K454" s="310"/>
      <c r="L454" s="310"/>
      <c r="M454" s="310"/>
      <c r="N454" s="310"/>
      <c r="O454" s="311"/>
      <c r="P454" s="310"/>
      <c r="Q454" s="311"/>
      <c r="R454" s="310"/>
      <c r="S454" s="13"/>
      <c r="T454" s="13"/>
      <c r="U454" s="13"/>
      <c r="V454" s="13"/>
      <c r="W454" s="13"/>
      <c r="X454" s="310"/>
      <c r="Y454" s="311"/>
      <c r="Z454" s="310"/>
      <c r="AA454" s="312"/>
      <c r="AB454" s="13"/>
      <c r="AC454" s="313"/>
      <c r="AD454" s="313"/>
      <c r="AE454" s="313"/>
      <c r="AF454" s="331"/>
      <c r="AG454" s="320"/>
      <c r="AH454" s="13"/>
      <c r="AI454" s="13"/>
      <c r="AJ454" s="13"/>
      <c r="AK454" s="13"/>
      <c r="AL454" s="13"/>
      <c r="AM454" s="13"/>
      <c r="AN454" s="13"/>
      <c r="AO454" s="13"/>
      <c r="AP454" s="13"/>
    </row>
    <row r="455" ht="18.75" customHeight="1">
      <c r="A455" s="13"/>
      <c r="B455" s="282"/>
      <c r="C455" s="330"/>
      <c r="D455" s="330"/>
      <c r="E455" s="330"/>
      <c r="F455" s="13"/>
      <c r="G455" s="309"/>
      <c r="H455" s="309"/>
      <c r="I455" s="309"/>
      <c r="J455" s="310"/>
      <c r="K455" s="310"/>
      <c r="L455" s="310"/>
      <c r="M455" s="310"/>
      <c r="N455" s="310"/>
      <c r="O455" s="311"/>
      <c r="P455" s="310"/>
      <c r="Q455" s="311"/>
      <c r="R455" s="310"/>
      <c r="S455" s="13"/>
      <c r="T455" s="13"/>
      <c r="U455" s="13"/>
      <c r="V455" s="13"/>
      <c r="W455" s="13"/>
      <c r="X455" s="310"/>
      <c r="Y455" s="311"/>
      <c r="Z455" s="310"/>
      <c r="AA455" s="312"/>
      <c r="AB455" s="13"/>
      <c r="AC455" s="313"/>
      <c r="AD455" s="313"/>
      <c r="AE455" s="313"/>
      <c r="AF455" s="331"/>
      <c r="AG455" s="320"/>
      <c r="AH455" s="13"/>
      <c r="AI455" s="13"/>
      <c r="AJ455" s="13"/>
      <c r="AK455" s="13"/>
      <c r="AL455" s="13"/>
      <c r="AM455" s="13"/>
      <c r="AN455" s="13"/>
      <c r="AO455" s="13"/>
      <c r="AP455" s="13"/>
    </row>
    <row r="456" ht="18.75" customHeight="1">
      <c r="A456" s="13"/>
      <c r="B456" s="282"/>
      <c r="C456" s="330"/>
      <c r="D456" s="330"/>
      <c r="E456" s="330"/>
      <c r="F456" s="13"/>
      <c r="G456" s="309"/>
      <c r="H456" s="309"/>
      <c r="I456" s="309"/>
      <c r="J456" s="310"/>
      <c r="K456" s="310"/>
      <c r="L456" s="310"/>
      <c r="M456" s="310"/>
      <c r="N456" s="310"/>
      <c r="O456" s="311"/>
      <c r="P456" s="310"/>
      <c r="Q456" s="311"/>
      <c r="R456" s="310"/>
      <c r="S456" s="13"/>
      <c r="T456" s="13"/>
      <c r="U456" s="13"/>
      <c r="V456" s="13"/>
      <c r="W456" s="13"/>
      <c r="X456" s="310"/>
      <c r="Y456" s="311"/>
      <c r="Z456" s="310"/>
      <c r="AA456" s="312"/>
      <c r="AB456" s="13"/>
      <c r="AC456" s="313"/>
      <c r="AD456" s="313"/>
      <c r="AE456" s="313"/>
      <c r="AF456" s="331"/>
      <c r="AG456" s="320"/>
      <c r="AH456" s="13"/>
      <c r="AI456" s="13"/>
      <c r="AJ456" s="13"/>
      <c r="AK456" s="13"/>
      <c r="AL456" s="13"/>
      <c r="AM456" s="13"/>
      <c r="AN456" s="13"/>
      <c r="AO456" s="13"/>
      <c r="AP456" s="13"/>
    </row>
    <row r="457" ht="18.75" customHeight="1">
      <c r="A457" s="13"/>
      <c r="B457" s="282"/>
      <c r="C457" s="330"/>
      <c r="D457" s="330"/>
      <c r="E457" s="330"/>
      <c r="F457" s="13"/>
      <c r="G457" s="309"/>
      <c r="H457" s="309"/>
      <c r="I457" s="309"/>
      <c r="J457" s="310"/>
      <c r="K457" s="310"/>
      <c r="L457" s="310"/>
      <c r="M457" s="310"/>
      <c r="N457" s="310"/>
      <c r="O457" s="311"/>
      <c r="P457" s="310"/>
      <c r="Q457" s="311"/>
      <c r="R457" s="310"/>
      <c r="S457" s="13"/>
      <c r="T457" s="13"/>
      <c r="U457" s="13"/>
      <c r="V457" s="13"/>
      <c r="W457" s="13"/>
      <c r="X457" s="310"/>
      <c r="Y457" s="311"/>
      <c r="Z457" s="310"/>
      <c r="AA457" s="312"/>
      <c r="AB457" s="13"/>
      <c r="AC457" s="313"/>
      <c r="AD457" s="313"/>
      <c r="AE457" s="313"/>
      <c r="AF457" s="331"/>
      <c r="AG457" s="320"/>
      <c r="AH457" s="13"/>
      <c r="AI457" s="13"/>
      <c r="AJ457" s="13"/>
      <c r="AK457" s="13"/>
      <c r="AL457" s="13"/>
      <c r="AM457" s="13"/>
      <c r="AN457" s="13"/>
      <c r="AO457" s="13"/>
      <c r="AP457" s="13"/>
    </row>
    <row r="458" ht="18.75" customHeight="1">
      <c r="A458" s="13"/>
      <c r="B458" s="282"/>
      <c r="C458" s="330"/>
      <c r="D458" s="330"/>
      <c r="E458" s="330"/>
      <c r="F458" s="13"/>
      <c r="G458" s="309"/>
      <c r="H458" s="309"/>
      <c r="I458" s="309"/>
      <c r="J458" s="310"/>
      <c r="K458" s="310"/>
      <c r="L458" s="310"/>
      <c r="M458" s="310"/>
      <c r="N458" s="310"/>
      <c r="O458" s="311"/>
      <c r="P458" s="310"/>
      <c r="Q458" s="311"/>
      <c r="R458" s="310"/>
      <c r="S458" s="13"/>
      <c r="T458" s="13"/>
      <c r="U458" s="13"/>
      <c r="V458" s="13"/>
      <c r="W458" s="13"/>
      <c r="X458" s="310"/>
      <c r="Y458" s="311"/>
      <c r="Z458" s="310"/>
      <c r="AA458" s="312"/>
      <c r="AB458" s="13"/>
      <c r="AC458" s="313"/>
      <c r="AD458" s="313"/>
      <c r="AE458" s="313"/>
      <c r="AF458" s="331"/>
      <c r="AG458" s="320"/>
      <c r="AH458" s="13"/>
      <c r="AI458" s="13"/>
      <c r="AJ458" s="13"/>
      <c r="AK458" s="13"/>
      <c r="AL458" s="13"/>
      <c r="AM458" s="13"/>
      <c r="AN458" s="13"/>
      <c r="AO458" s="13"/>
      <c r="AP458" s="13"/>
    </row>
    <row r="459" ht="18.75" customHeight="1">
      <c r="A459" s="13"/>
      <c r="B459" s="282"/>
      <c r="C459" s="330"/>
      <c r="D459" s="330"/>
      <c r="E459" s="330"/>
      <c r="F459" s="13"/>
      <c r="G459" s="309"/>
      <c r="H459" s="309"/>
      <c r="I459" s="309"/>
      <c r="J459" s="310"/>
      <c r="K459" s="310"/>
      <c r="L459" s="310"/>
      <c r="M459" s="310"/>
      <c r="N459" s="310"/>
      <c r="O459" s="311"/>
      <c r="P459" s="310"/>
      <c r="Q459" s="311"/>
      <c r="R459" s="310"/>
      <c r="S459" s="13"/>
      <c r="T459" s="13"/>
      <c r="U459" s="13"/>
      <c r="V459" s="13"/>
      <c r="W459" s="13"/>
      <c r="X459" s="310"/>
      <c r="Y459" s="311"/>
      <c r="Z459" s="310"/>
      <c r="AA459" s="312"/>
      <c r="AB459" s="13"/>
      <c r="AC459" s="313"/>
      <c r="AD459" s="313"/>
      <c r="AE459" s="313"/>
      <c r="AF459" s="331"/>
      <c r="AG459" s="320"/>
      <c r="AH459" s="13"/>
      <c r="AI459" s="13"/>
      <c r="AJ459" s="13"/>
      <c r="AK459" s="13"/>
      <c r="AL459" s="13"/>
      <c r="AM459" s="13"/>
      <c r="AN459" s="13"/>
      <c r="AO459" s="13"/>
      <c r="AP459" s="13"/>
    </row>
    <row r="460" ht="18.75" customHeight="1">
      <c r="A460" s="13"/>
      <c r="B460" s="282"/>
      <c r="C460" s="330"/>
      <c r="D460" s="330"/>
      <c r="E460" s="330"/>
      <c r="F460" s="13"/>
      <c r="G460" s="309"/>
      <c r="H460" s="309"/>
      <c r="I460" s="309"/>
      <c r="J460" s="310"/>
      <c r="K460" s="310"/>
      <c r="L460" s="310"/>
      <c r="M460" s="310"/>
      <c r="N460" s="310"/>
      <c r="O460" s="311"/>
      <c r="P460" s="310"/>
      <c r="Q460" s="311"/>
      <c r="R460" s="310"/>
      <c r="S460" s="13"/>
      <c r="T460" s="13"/>
      <c r="U460" s="13"/>
      <c r="V460" s="13"/>
      <c r="W460" s="13"/>
      <c r="X460" s="310"/>
      <c r="Y460" s="311"/>
      <c r="Z460" s="310"/>
      <c r="AA460" s="312"/>
      <c r="AB460" s="13"/>
      <c r="AC460" s="313"/>
      <c r="AD460" s="313"/>
      <c r="AE460" s="313"/>
      <c r="AF460" s="331"/>
      <c r="AG460" s="320"/>
      <c r="AH460" s="13"/>
      <c r="AI460" s="13"/>
      <c r="AJ460" s="13"/>
      <c r="AK460" s="13"/>
      <c r="AL460" s="13"/>
      <c r="AM460" s="13"/>
      <c r="AN460" s="13"/>
      <c r="AO460" s="13"/>
      <c r="AP460" s="13"/>
    </row>
    <row r="461" ht="18.75" customHeight="1">
      <c r="A461" s="13"/>
      <c r="B461" s="282"/>
      <c r="C461" s="330"/>
      <c r="D461" s="330"/>
      <c r="E461" s="330"/>
      <c r="F461" s="13"/>
      <c r="G461" s="309"/>
      <c r="H461" s="309"/>
      <c r="I461" s="309"/>
      <c r="J461" s="310"/>
      <c r="K461" s="310"/>
      <c r="L461" s="310"/>
      <c r="M461" s="310"/>
      <c r="N461" s="310"/>
      <c r="O461" s="311"/>
      <c r="P461" s="310"/>
      <c r="Q461" s="311"/>
      <c r="R461" s="310"/>
      <c r="S461" s="13"/>
      <c r="T461" s="13"/>
      <c r="U461" s="13"/>
      <c r="V461" s="13"/>
      <c r="W461" s="13"/>
      <c r="X461" s="310"/>
      <c r="Y461" s="311"/>
      <c r="Z461" s="310"/>
      <c r="AA461" s="312"/>
      <c r="AB461" s="13"/>
      <c r="AC461" s="313"/>
      <c r="AD461" s="313"/>
      <c r="AE461" s="313"/>
      <c r="AF461" s="331"/>
      <c r="AG461" s="320"/>
      <c r="AH461" s="13"/>
      <c r="AI461" s="13"/>
      <c r="AJ461" s="13"/>
      <c r="AK461" s="13"/>
      <c r="AL461" s="13"/>
      <c r="AM461" s="13"/>
      <c r="AN461" s="13"/>
      <c r="AO461" s="13"/>
      <c r="AP461" s="13"/>
    </row>
    <row r="462" ht="18.75" customHeight="1">
      <c r="A462" s="13"/>
      <c r="B462" s="282"/>
      <c r="C462" s="330"/>
      <c r="D462" s="330"/>
      <c r="E462" s="330"/>
      <c r="F462" s="13"/>
      <c r="G462" s="309"/>
      <c r="H462" s="309"/>
      <c r="I462" s="309"/>
      <c r="J462" s="310"/>
      <c r="K462" s="310"/>
      <c r="L462" s="310"/>
      <c r="M462" s="310"/>
      <c r="N462" s="310"/>
      <c r="O462" s="311"/>
      <c r="P462" s="310"/>
      <c r="Q462" s="311"/>
      <c r="R462" s="310"/>
      <c r="S462" s="13"/>
      <c r="T462" s="13"/>
      <c r="U462" s="13"/>
      <c r="V462" s="13"/>
      <c r="W462" s="13"/>
      <c r="X462" s="310"/>
      <c r="Y462" s="311"/>
      <c r="Z462" s="310"/>
      <c r="AA462" s="312"/>
      <c r="AB462" s="13"/>
      <c r="AC462" s="313"/>
      <c r="AD462" s="313"/>
      <c r="AE462" s="313"/>
      <c r="AF462" s="331"/>
      <c r="AG462" s="320"/>
      <c r="AH462" s="13"/>
      <c r="AI462" s="13"/>
      <c r="AJ462" s="13"/>
      <c r="AK462" s="13"/>
      <c r="AL462" s="13"/>
      <c r="AM462" s="13"/>
      <c r="AN462" s="13"/>
      <c r="AO462" s="13"/>
      <c r="AP462" s="13"/>
    </row>
    <row r="463" ht="18.75" customHeight="1">
      <c r="A463" s="13"/>
      <c r="B463" s="282"/>
      <c r="C463" s="330"/>
      <c r="D463" s="330"/>
      <c r="E463" s="330"/>
      <c r="F463" s="13"/>
      <c r="G463" s="309"/>
      <c r="H463" s="309"/>
      <c r="I463" s="309"/>
      <c r="J463" s="310"/>
      <c r="K463" s="310"/>
      <c r="L463" s="310"/>
      <c r="M463" s="310"/>
      <c r="N463" s="310"/>
      <c r="O463" s="311"/>
      <c r="P463" s="310"/>
      <c r="Q463" s="311"/>
      <c r="R463" s="310"/>
      <c r="S463" s="13"/>
      <c r="T463" s="13"/>
      <c r="U463" s="13"/>
      <c r="V463" s="13"/>
      <c r="W463" s="13"/>
      <c r="X463" s="310"/>
      <c r="Y463" s="311"/>
      <c r="Z463" s="310"/>
      <c r="AA463" s="312"/>
      <c r="AB463" s="13"/>
      <c r="AC463" s="313"/>
      <c r="AD463" s="313"/>
      <c r="AE463" s="313"/>
      <c r="AF463" s="331"/>
      <c r="AG463" s="320"/>
      <c r="AH463" s="13"/>
      <c r="AI463" s="13"/>
      <c r="AJ463" s="13"/>
      <c r="AK463" s="13"/>
      <c r="AL463" s="13"/>
      <c r="AM463" s="13"/>
      <c r="AN463" s="13"/>
      <c r="AO463" s="13"/>
      <c r="AP463" s="13"/>
    </row>
    <row r="464" ht="18.75" customHeight="1">
      <c r="A464" s="13"/>
      <c r="B464" s="282"/>
      <c r="C464" s="330"/>
      <c r="D464" s="330"/>
      <c r="E464" s="330"/>
      <c r="F464" s="13"/>
      <c r="G464" s="309"/>
      <c r="H464" s="309"/>
      <c r="I464" s="309"/>
      <c r="J464" s="310"/>
      <c r="K464" s="310"/>
      <c r="L464" s="310"/>
      <c r="M464" s="310"/>
      <c r="N464" s="310"/>
      <c r="O464" s="311"/>
      <c r="P464" s="310"/>
      <c r="Q464" s="311"/>
      <c r="R464" s="310"/>
      <c r="S464" s="13"/>
      <c r="T464" s="13"/>
      <c r="U464" s="13"/>
      <c r="V464" s="13"/>
      <c r="W464" s="13"/>
      <c r="X464" s="310"/>
      <c r="Y464" s="311"/>
      <c r="Z464" s="310"/>
      <c r="AA464" s="312"/>
      <c r="AB464" s="13"/>
      <c r="AC464" s="313"/>
      <c r="AD464" s="313"/>
      <c r="AE464" s="313"/>
      <c r="AF464" s="331"/>
      <c r="AG464" s="320"/>
      <c r="AH464" s="13"/>
      <c r="AI464" s="13"/>
      <c r="AJ464" s="13"/>
      <c r="AK464" s="13"/>
      <c r="AL464" s="13"/>
      <c r="AM464" s="13"/>
      <c r="AN464" s="13"/>
      <c r="AO464" s="13"/>
      <c r="AP464" s="13"/>
    </row>
    <row r="465" ht="18.75" customHeight="1">
      <c r="A465" s="13"/>
      <c r="B465" s="282"/>
      <c r="C465" s="330"/>
      <c r="D465" s="330"/>
      <c r="E465" s="330"/>
      <c r="F465" s="13"/>
      <c r="G465" s="309"/>
      <c r="H465" s="309"/>
      <c r="I465" s="309"/>
      <c r="J465" s="310"/>
      <c r="K465" s="310"/>
      <c r="L465" s="310"/>
      <c r="M465" s="310"/>
      <c r="N465" s="310"/>
      <c r="O465" s="311"/>
      <c r="P465" s="310"/>
      <c r="Q465" s="311"/>
      <c r="R465" s="310"/>
      <c r="S465" s="13"/>
      <c r="T465" s="13"/>
      <c r="U465" s="13"/>
      <c r="V465" s="13"/>
      <c r="W465" s="13"/>
      <c r="X465" s="310"/>
      <c r="Y465" s="311"/>
      <c r="Z465" s="310"/>
      <c r="AA465" s="312"/>
      <c r="AB465" s="13"/>
      <c r="AC465" s="313"/>
      <c r="AD465" s="313"/>
      <c r="AE465" s="313"/>
      <c r="AF465" s="331"/>
      <c r="AG465" s="320"/>
      <c r="AH465" s="13"/>
      <c r="AI465" s="13"/>
      <c r="AJ465" s="13"/>
      <c r="AK465" s="13"/>
      <c r="AL465" s="13"/>
      <c r="AM465" s="13"/>
      <c r="AN465" s="13"/>
      <c r="AO465" s="13"/>
      <c r="AP465" s="13"/>
    </row>
    <row r="466" ht="18.75" customHeight="1">
      <c r="A466" s="13"/>
      <c r="B466" s="282"/>
      <c r="C466" s="330"/>
      <c r="D466" s="330"/>
      <c r="E466" s="330"/>
      <c r="F466" s="13"/>
      <c r="G466" s="309"/>
      <c r="H466" s="309"/>
      <c r="I466" s="309"/>
      <c r="J466" s="310"/>
      <c r="K466" s="310"/>
      <c r="L466" s="310"/>
      <c r="M466" s="310"/>
      <c r="N466" s="310"/>
      <c r="O466" s="311"/>
      <c r="P466" s="310"/>
      <c r="Q466" s="311"/>
      <c r="R466" s="310"/>
      <c r="S466" s="13"/>
      <c r="T466" s="13"/>
      <c r="U466" s="13"/>
      <c r="V466" s="13"/>
      <c r="W466" s="13"/>
      <c r="X466" s="310"/>
      <c r="Y466" s="311"/>
      <c r="Z466" s="310"/>
      <c r="AA466" s="312"/>
      <c r="AB466" s="13"/>
      <c r="AC466" s="313"/>
      <c r="AD466" s="313"/>
      <c r="AE466" s="313"/>
      <c r="AF466" s="331"/>
      <c r="AG466" s="320"/>
      <c r="AH466" s="13"/>
      <c r="AI466" s="13"/>
      <c r="AJ466" s="13"/>
      <c r="AK466" s="13"/>
      <c r="AL466" s="13"/>
      <c r="AM466" s="13"/>
      <c r="AN466" s="13"/>
      <c r="AO466" s="13"/>
      <c r="AP466" s="13"/>
    </row>
    <row r="467" ht="18.75" customHeight="1">
      <c r="A467" s="13"/>
      <c r="B467" s="282"/>
      <c r="C467" s="330"/>
      <c r="D467" s="330"/>
      <c r="E467" s="330"/>
      <c r="F467" s="13"/>
      <c r="G467" s="309"/>
      <c r="H467" s="309"/>
      <c r="I467" s="309"/>
      <c r="J467" s="310"/>
      <c r="K467" s="310"/>
      <c r="L467" s="310"/>
      <c r="M467" s="310"/>
      <c r="N467" s="310"/>
      <c r="O467" s="311"/>
      <c r="P467" s="310"/>
      <c r="Q467" s="311"/>
      <c r="R467" s="310"/>
      <c r="S467" s="13"/>
      <c r="T467" s="13"/>
      <c r="U467" s="13"/>
      <c r="V467" s="13"/>
      <c r="W467" s="13"/>
      <c r="X467" s="310"/>
      <c r="Y467" s="311"/>
      <c r="Z467" s="310"/>
      <c r="AA467" s="312"/>
      <c r="AB467" s="13"/>
      <c r="AC467" s="313"/>
      <c r="AD467" s="313"/>
      <c r="AE467" s="313"/>
      <c r="AF467" s="331"/>
      <c r="AG467" s="320"/>
      <c r="AH467" s="13"/>
      <c r="AI467" s="13"/>
      <c r="AJ467" s="13"/>
      <c r="AK467" s="13"/>
      <c r="AL467" s="13"/>
      <c r="AM467" s="13"/>
      <c r="AN467" s="13"/>
      <c r="AO467" s="13"/>
      <c r="AP467" s="13"/>
    </row>
    <row r="468" ht="18.75" customHeight="1">
      <c r="A468" s="13"/>
      <c r="B468" s="282"/>
      <c r="C468" s="330"/>
      <c r="D468" s="330"/>
      <c r="E468" s="330"/>
      <c r="F468" s="13"/>
      <c r="G468" s="309"/>
      <c r="H468" s="309"/>
      <c r="I468" s="309"/>
      <c r="J468" s="310"/>
      <c r="K468" s="310"/>
      <c r="L468" s="310"/>
      <c r="M468" s="310"/>
      <c r="N468" s="310"/>
      <c r="O468" s="311"/>
      <c r="P468" s="310"/>
      <c r="Q468" s="311"/>
      <c r="R468" s="310"/>
      <c r="S468" s="13"/>
      <c r="T468" s="13"/>
      <c r="U468" s="13"/>
      <c r="V468" s="13"/>
      <c r="W468" s="13"/>
      <c r="X468" s="310"/>
      <c r="Y468" s="311"/>
      <c r="Z468" s="310"/>
      <c r="AA468" s="312"/>
      <c r="AB468" s="13"/>
      <c r="AC468" s="313"/>
      <c r="AD468" s="313"/>
      <c r="AE468" s="313"/>
      <c r="AF468" s="331"/>
      <c r="AG468" s="320"/>
      <c r="AH468" s="13"/>
      <c r="AI468" s="13"/>
      <c r="AJ468" s="13"/>
      <c r="AK468" s="13"/>
      <c r="AL468" s="13"/>
      <c r="AM468" s="13"/>
      <c r="AN468" s="13"/>
      <c r="AO468" s="13"/>
      <c r="AP468" s="13"/>
    </row>
    <row r="469" ht="18.75" customHeight="1">
      <c r="A469" s="13"/>
      <c r="B469" s="282"/>
      <c r="C469" s="330"/>
      <c r="D469" s="330"/>
      <c r="E469" s="330"/>
      <c r="F469" s="13"/>
      <c r="G469" s="309"/>
      <c r="H469" s="309"/>
      <c r="I469" s="309"/>
      <c r="J469" s="310"/>
      <c r="K469" s="310"/>
      <c r="L469" s="310"/>
      <c r="M469" s="310"/>
      <c r="N469" s="310"/>
      <c r="O469" s="311"/>
      <c r="P469" s="310"/>
      <c r="Q469" s="311"/>
      <c r="R469" s="310"/>
      <c r="S469" s="13"/>
      <c r="T469" s="13"/>
      <c r="U469" s="13"/>
      <c r="V469" s="13"/>
      <c r="W469" s="13"/>
      <c r="X469" s="310"/>
      <c r="Y469" s="311"/>
      <c r="Z469" s="310"/>
      <c r="AA469" s="312"/>
      <c r="AB469" s="13"/>
      <c r="AC469" s="313"/>
      <c r="AD469" s="313"/>
      <c r="AE469" s="313"/>
      <c r="AF469" s="331"/>
      <c r="AG469" s="320"/>
      <c r="AH469" s="13"/>
      <c r="AI469" s="13"/>
      <c r="AJ469" s="13"/>
      <c r="AK469" s="13"/>
      <c r="AL469" s="13"/>
      <c r="AM469" s="13"/>
      <c r="AN469" s="13"/>
      <c r="AO469" s="13"/>
      <c r="AP469" s="13"/>
    </row>
    <row r="470" ht="18.75" customHeight="1">
      <c r="A470" s="13"/>
      <c r="B470" s="282"/>
      <c r="C470" s="330"/>
      <c r="D470" s="330"/>
      <c r="E470" s="330"/>
      <c r="F470" s="13"/>
      <c r="G470" s="309"/>
      <c r="H470" s="309"/>
      <c r="I470" s="309"/>
      <c r="J470" s="310"/>
      <c r="K470" s="310"/>
      <c r="L470" s="310"/>
      <c r="M470" s="310"/>
      <c r="N470" s="310"/>
      <c r="O470" s="311"/>
      <c r="P470" s="310"/>
      <c r="Q470" s="311"/>
      <c r="R470" s="310"/>
      <c r="S470" s="13"/>
      <c r="T470" s="13"/>
      <c r="U470" s="13"/>
      <c r="V470" s="13"/>
      <c r="W470" s="13"/>
      <c r="X470" s="310"/>
      <c r="Y470" s="311"/>
      <c r="Z470" s="310"/>
      <c r="AA470" s="312"/>
      <c r="AB470" s="13"/>
      <c r="AC470" s="313"/>
      <c r="AD470" s="313"/>
      <c r="AE470" s="313"/>
      <c r="AF470" s="331"/>
      <c r="AG470" s="320"/>
      <c r="AH470" s="13"/>
      <c r="AI470" s="13"/>
      <c r="AJ470" s="13"/>
      <c r="AK470" s="13"/>
      <c r="AL470" s="13"/>
      <c r="AM470" s="13"/>
      <c r="AN470" s="13"/>
      <c r="AO470" s="13"/>
      <c r="AP470" s="13"/>
    </row>
    <row r="471" ht="18.75" customHeight="1">
      <c r="A471" s="13"/>
      <c r="B471" s="282"/>
      <c r="C471" s="330"/>
      <c r="D471" s="330"/>
      <c r="E471" s="330"/>
      <c r="F471" s="13"/>
      <c r="G471" s="309"/>
      <c r="H471" s="309"/>
      <c r="I471" s="309"/>
      <c r="J471" s="310"/>
      <c r="K471" s="310"/>
      <c r="L471" s="310"/>
      <c r="M471" s="310"/>
      <c r="N471" s="310"/>
      <c r="O471" s="311"/>
      <c r="P471" s="310"/>
      <c r="Q471" s="311"/>
      <c r="R471" s="310"/>
      <c r="S471" s="13"/>
      <c r="T471" s="13"/>
      <c r="U471" s="13"/>
      <c r="V471" s="13"/>
      <c r="W471" s="13"/>
      <c r="X471" s="310"/>
      <c r="Y471" s="311"/>
      <c r="Z471" s="310"/>
      <c r="AA471" s="312"/>
      <c r="AB471" s="13"/>
      <c r="AC471" s="313"/>
      <c r="AD471" s="313"/>
      <c r="AE471" s="313"/>
      <c r="AF471" s="331"/>
      <c r="AG471" s="320"/>
      <c r="AH471" s="13"/>
      <c r="AI471" s="13"/>
      <c r="AJ471" s="13"/>
      <c r="AK471" s="13"/>
      <c r="AL471" s="13"/>
      <c r="AM471" s="13"/>
      <c r="AN471" s="13"/>
      <c r="AO471" s="13"/>
      <c r="AP471" s="13"/>
    </row>
    <row r="472" ht="18.75" customHeight="1">
      <c r="A472" s="13"/>
      <c r="B472" s="282"/>
      <c r="C472" s="330"/>
      <c r="D472" s="330"/>
      <c r="E472" s="330"/>
      <c r="F472" s="13"/>
      <c r="G472" s="309"/>
      <c r="H472" s="309"/>
      <c r="I472" s="309"/>
      <c r="J472" s="310"/>
      <c r="K472" s="310"/>
      <c r="L472" s="310"/>
      <c r="M472" s="310"/>
      <c r="N472" s="310"/>
      <c r="O472" s="311"/>
      <c r="P472" s="310"/>
      <c r="Q472" s="311"/>
      <c r="R472" s="310"/>
      <c r="S472" s="13"/>
      <c r="T472" s="13"/>
      <c r="U472" s="13"/>
      <c r="V472" s="13"/>
      <c r="W472" s="13"/>
      <c r="X472" s="310"/>
      <c r="Y472" s="311"/>
      <c r="Z472" s="310"/>
      <c r="AA472" s="312"/>
      <c r="AB472" s="13"/>
      <c r="AC472" s="313"/>
      <c r="AD472" s="313"/>
      <c r="AE472" s="313"/>
      <c r="AF472" s="331"/>
      <c r="AG472" s="320"/>
      <c r="AH472" s="13"/>
      <c r="AI472" s="13"/>
      <c r="AJ472" s="13"/>
      <c r="AK472" s="13"/>
      <c r="AL472" s="13"/>
      <c r="AM472" s="13"/>
      <c r="AN472" s="13"/>
      <c r="AO472" s="13"/>
      <c r="AP472" s="13"/>
    </row>
    <row r="473" ht="18.75" customHeight="1">
      <c r="A473" s="13"/>
      <c r="B473" s="282"/>
      <c r="C473" s="330"/>
      <c r="D473" s="330"/>
      <c r="E473" s="330"/>
      <c r="F473" s="13"/>
      <c r="G473" s="309"/>
      <c r="H473" s="309"/>
      <c r="I473" s="309"/>
      <c r="J473" s="310"/>
      <c r="K473" s="310"/>
      <c r="L473" s="310"/>
      <c r="M473" s="310"/>
      <c r="N473" s="310"/>
      <c r="O473" s="311"/>
      <c r="P473" s="310"/>
      <c r="Q473" s="311"/>
      <c r="R473" s="310"/>
      <c r="S473" s="13"/>
      <c r="T473" s="13"/>
      <c r="U473" s="13"/>
      <c r="V473" s="13"/>
      <c r="W473" s="13"/>
      <c r="X473" s="310"/>
      <c r="Y473" s="311"/>
      <c r="Z473" s="310"/>
      <c r="AA473" s="312"/>
      <c r="AB473" s="13"/>
      <c r="AC473" s="313"/>
      <c r="AD473" s="313"/>
      <c r="AE473" s="313"/>
      <c r="AF473" s="331"/>
      <c r="AG473" s="320"/>
      <c r="AH473" s="13"/>
      <c r="AI473" s="13"/>
      <c r="AJ473" s="13"/>
      <c r="AK473" s="13"/>
      <c r="AL473" s="13"/>
      <c r="AM473" s="13"/>
      <c r="AN473" s="13"/>
      <c r="AO473" s="13"/>
      <c r="AP473" s="13"/>
    </row>
    <row r="474" ht="18.75" customHeight="1">
      <c r="A474" s="13"/>
      <c r="B474" s="282"/>
      <c r="C474" s="330"/>
      <c r="D474" s="330"/>
      <c r="E474" s="330"/>
      <c r="F474" s="13"/>
      <c r="G474" s="309"/>
      <c r="H474" s="309"/>
      <c r="I474" s="309"/>
      <c r="J474" s="310"/>
      <c r="K474" s="310"/>
      <c r="L474" s="310"/>
      <c r="M474" s="310"/>
      <c r="N474" s="310"/>
      <c r="O474" s="311"/>
      <c r="P474" s="310"/>
      <c r="Q474" s="311"/>
      <c r="R474" s="310"/>
      <c r="S474" s="13"/>
      <c r="T474" s="13"/>
      <c r="U474" s="13"/>
      <c r="V474" s="13"/>
      <c r="W474" s="13"/>
      <c r="X474" s="310"/>
      <c r="Y474" s="311"/>
      <c r="Z474" s="310"/>
      <c r="AA474" s="312"/>
      <c r="AB474" s="13"/>
      <c r="AC474" s="313"/>
      <c r="AD474" s="313"/>
      <c r="AE474" s="313"/>
      <c r="AF474" s="331"/>
      <c r="AG474" s="320"/>
      <c r="AH474" s="13"/>
      <c r="AI474" s="13"/>
      <c r="AJ474" s="13"/>
      <c r="AK474" s="13"/>
      <c r="AL474" s="13"/>
      <c r="AM474" s="13"/>
      <c r="AN474" s="13"/>
      <c r="AO474" s="13"/>
      <c r="AP474" s="13"/>
    </row>
    <row r="475" ht="18.75" customHeight="1">
      <c r="A475" s="13"/>
      <c r="B475" s="282"/>
      <c r="C475" s="330"/>
      <c r="D475" s="330"/>
      <c r="E475" s="330"/>
      <c r="F475" s="13"/>
      <c r="G475" s="309"/>
      <c r="H475" s="309"/>
      <c r="I475" s="309"/>
      <c r="J475" s="310"/>
      <c r="K475" s="310"/>
      <c r="L475" s="310"/>
      <c r="M475" s="310"/>
      <c r="N475" s="310"/>
      <c r="O475" s="311"/>
      <c r="P475" s="310"/>
      <c r="Q475" s="311"/>
      <c r="R475" s="310"/>
      <c r="S475" s="13"/>
      <c r="T475" s="13"/>
      <c r="U475" s="13"/>
      <c r="V475" s="13"/>
      <c r="W475" s="13"/>
      <c r="X475" s="310"/>
      <c r="Y475" s="311"/>
      <c r="Z475" s="310"/>
      <c r="AA475" s="312"/>
      <c r="AB475" s="13"/>
      <c r="AC475" s="313"/>
      <c r="AD475" s="313"/>
      <c r="AE475" s="313"/>
      <c r="AF475" s="331"/>
      <c r="AG475" s="320"/>
      <c r="AH475" s="13"/>
      <c r="AI475" s="13"/>
      <c r="AJ475" s="13"/>
      <c r="AK475" s="13"/>
      <c r="AL475" s="13"/>
      <c r="AM475" s="13"/>
      <c r="AN475" s="13"/>
      <c r="AO475" s="13"/>
      <c r="AP475" s="13"/>
    </row>
    <row r="476" ht="18.75" customHeight="1">
      <c r="A476" s="13"/>
      <c r="B476" s="282"/>
      <c r="C476" s="330"/>
      <c r="D476" s="330"/>
      <c r="E476" s="330"/>
      <c r="F476" s="13"/>
      <c r="G476" s="309"/>
      <c r="H476" s="309"/>
      <c r="I476" s="309"/>
      <c r="J476" s="310"/>
      <c r="K476" s="310"/>
      <c r="L476" s="310"/>
      <c r="M476" s="310"/>
      <c r="N476" s="310"/>
      <c r="O476" s="311"/>
      <c r="P476" s="310"/>
      <c r="Q476" s="311"/>
      <c r="R476" s="310"/>
      <c r="S476" s="13"/>
      <c r="T476" s="13"/>
      <c r="U476" s="13"/>
      <c r="V476" s="13"/>
      <c r="W476" s="13"/>
      <c r="X476" s="310"/>
      <c r="Y476" s="311"/>
      <c r="Z476" s="310"/>
      <c r="AA476" s="312"/>
      <c r="AB476" s="13"/>
      <c r="AC476" s="313"/>
      <c r="AD476" s="313"/>
      <c r="AE476" s="313"/>
      <c r="AF476" s="331"/>
      <c r="AG476" s="320"/>
      <c r="AH476" s="13"/>
      <c r="AI476" s="13"/>
      <c r="AJ476" s="13"/>
      <c r="AK476" s="13"/>
      <c r="AL476" s="13"/>
      <c r="AM476" s="13"/>
      <c r="AN476" s="13"/>
      <c r="AO476" s="13"/>
      <c r="AP476" s="13"/>
    </row>
    <row r="477" ht="18.75" customHeight="1">
      <c r="A477" s="13"/>
      <c r="B477" s="282"/>
      <c r="C477" s="330"/>
      <c r="D477" s="330"/>
      <c r="E477" s="330"/>
      <c r="F477" s="13"/>
      <c r="G477" s="309"/>
      <c r="H477" s="309"/>
      <c r="I477" s="309"/>
      <c r="J477" s="310"/>
      <c r="K477" s="310"/>
      <c r="L477" s="310"/>
      <c r="M477" s="310"/>
      <c r="N477" s="310"/>
      <c r="O477" s="311"/>
      <c r="P477" s="310"/>
      <c r="Q477" s="311"/>
      <c r="R477" s="310"/>
      <c r="S477" s="13"/>
      <c r="T477" s="13"/>
      <c r="U477" s="13"/>
      <c r="V477" s="13"/>
      <c r="W477" s="13"/>
      <c r="X477" s="310"/>
      <c r="Y477" s="311"/>
      <c r="Z477" s="310"/>
      <c r="AA477" s="312"/>
      <c r="AB477" s="13"/>
      <c r="AC477" s="313"/>
      <c r="AD477" s="313"/>
      <c r="AE477" s="313"/>
      <c r="AF477" s="331"/>
      <c r="AG477" s="320"/>
      <c r="AH477" s="13"/>
      <c r="AI477" s="13"/>
      <c r="AJ477" s="13"/>
      <c r="AK477" s="13"/>
      <c r="AL477" s="13"/>
      <c r="AM477" s="13"/>
      <c r="AN477" s="13"/>
      <c r="AO477" s="13"/>
      <c r="AP477" s="13"/>
    </row>
    <row r="478" ht="18.75" customHeight="1">
      <c r="A478" s="13"/>
      <c r="B478" s="282"/>
      <c r="C478" s="330"/>
      <c r="D478" s="330"/>
      <c r="E478" s="330"/>
      <c r="F478" s="13"/>
      <c r="G478" s="309"/>
      <c r="H478" s="309"/>
      <c r="I478" s="309"/>
      <c r="J478" s="310"/>
      <c r="K478" s="310"/>
      <c r="L478" s="310"/>
      <c r="M478" s="310"/>
      <c r="N478" s="310"/>
      <c r="O478" s="311"/>
      <c r="P478" s="310"/>
      <c r="Q478" s="311"/>
      <c r="R478" s="310"/>
      <c r="S478" s="13"/>
      <c r="T478" s="13"/>
      <c r="U478" s="13"/>
      <c r="V478" s="13"/>
      <c r="W478" s="13"/>
      <c r="X478" s="310"/>
      <c r="Y478" s="311"/>
      <c r="Z478" s="310"/>
      <c r="AA478" s="312"/>
      <c r="AB478" s="13"/>
      <c r="AC478" s="313"/>
      <c r="AD478" s="313"/>
      <c r="AE478" s="313"/>
      <c r="AF478" s="331"/>
      <c r="AG478" s="320"/>
      <c r="AH478" s="13"/>
      <c r="AI478" s="13"/>
      <c r="AJ478" s="13"/>
      <c r="AK478" s="13"/>
      <c r="AL478" s="13"/>
      <c r="AM478" s="13"/>
      <c r="AN478" s="13"/>
      <c r="AO478" s="13"/>
      <c r="AP478" s="13"/>
    </row>
    <row r="479" ht="18.75" customHeight="1">
      <c r="A479" s="13"/>
      <c r="B479" s="282"/>
      <c r="C479" s="330"/>
      <c r="D479" s="330"/>
      <c r="E479" s="330"/>
      <c r="F479" s="13"/>
      <c r="G479" s="309"/>
      <c r="H479" s="309"/>
      <c r="I479" s="309"/>
      <c r="J479" s="310"/>
      <c r="K479" s="310"/>
      <c r="L479" s="310"/>
      <c r="M479" s="310"/>
      <c r="N479" s="310"/>
      <c r="O479" s="311"/>
      <c r="P479" s="310"/>
      <c r="Q479" s="311"/>
      <c r="R479" s="310"/>
      <c r="S479" s="13"/>
      <c r="T479" s="13"/>
      <c r="U479" s="13"/>
      <c r="V479" s="13"/>
      <c r="W479" s="13"/>
      <c r="X479" s="310"/>
      <c r="Y479" s="311"/>
      <c r="Z479" s="310"/>
      <c r="AA479" s="312"/>
      <c r="AB479" s="13"/>
      <c r="AC479" s="313"/>
      <c r="AD479" s="313"/>
      <c r="AE479" s="313"/>
      <c r="AF479" s="331"/>
      <c r="AG479" s="320"/>
      <c r="AH479" s="13"/>
      <c r="AI479" s="13"/>
      <c r="AJ479" s="13"/>
      <c r="AK479" s="13"/>
      <c r="AL479" s="13"/>
      <c r="AM479" s="13"/>
      <c r="AN479" s="13"/>
      <c r="AO479" s="13"/>
      <c r="AP479" s="13"/>
    </row>
    <row r="480" ht="18.75" customHeight="1">
      <c r="A480" s="13"/>
      <c r="B480" s="282"/>
      <c r="C480" s="330"/>
      <c r="D480" s="330"/>
      <c r="E480" s="330"/>
      <c r="F480" s="13"/>
      <c r="G480" s="309"/>
      <c r="H480" s="309"/>
      <c r="I480" s="309"/>
      <c r="J480" s="310"/>
      <c r="K480" s="310"/>
      <c r="L480" s="310"/>
      <c r="M480" s="310"/>
      <c r="N480" s="310"/>
      <c r="O480" s="311"/>
      <c r="P480" s="310"/>
      <c r="Q480" s="311"/>
      <c r="R480" s="310"/>
      <c r="S480" s="13"/>
      <c r="T480" s="13"/>
      <c r="U480" s="13"/>
      <c r="V480" s="13"/>
      <c r="W480" s="13"/>
      <c r="X480" s="310"/>
      <c r="Y480" s="311"/>
      <c r="Z480" s="310"/>
      <c r="AA480" s="312"/>
      <c r="AB480" s="13"/>
      <c r="AC480" s="313"/>
      <c r="AD480" s="313"/>
      <c r="AE480" s="313"/>
      <c r="AF480" s="331"/>
      <c r="AG480" s="320"/>
      <c r="AH480" s="13"/>
      <c r="AI480" s="13"/>
      <c r="AJ480" s="13"/>
      <c r="AK480" s="13"/>
      <c r="AL480" s="13"/>
      <c r="AM480" s="13"/>
      <c r="AN480" s="13"/>
      <c r="AO480" s="13"/>
      <c r="AP480" s="13"/>
    </row>
    <row r="481" ht="18.75" customHeight="1">
      <c r="A481" s="13"/>
      <c r="B481" s="282"/>
      <c r="C481" s="330"/>
      <c r="D481" s="330"/>
      <c r="E481" s="330"/>
      <c r="F481" s="13"/>
      <c r="G481" s="309"/>
      <c r="H481" s="309"/>
      <c r="I481" s="309"/>
      <c r="J481" s="310"/>
      <c r="K481" s="310"/>
      <c r="L481" s="310"/>
      <c r="M481" s="310"/>
      <c r="N481" s="310"/>
      <c r="O481" s="311"/>
      <c r="P481" s="310"/>
      <c r="Q481" s="311"/>
      <c r="R481" s="310"/>
      <c r="S481" s="13"/>
      <c r="T481" s="13"/>
      <c r="U481" s="13"/>
      <c r="V481" s="13"/>
      <c r="W481" s="13"/>
      <c r="X481" s="310"/>
      <c r="Y481" s="311"/>
      <c r="Z481" s="310"/>
      <c r="AA481" s="312"/>
      <c r="AB481" s="13"/>
      <c r="AC481" s="313"/>
      <c r="AD481" s="313"/>
      <c r="AE481" s="313"/>
      <c r="AF481" s="331"/>
      <c r="AG481" s="320"/>
      <c r="AH481" s="13"/>
      <c r="AI481" s="13"/>
      <c r="AJ481" s="13"/>
      <c r="AK481" s="13"/>
      <c r="AL481" s="13"/>
      <c r="AM481" s="13"/>
      <c r="AN481" s="13"/>
      <c r="AO481" s="13"/>
      <c r="AP481" s="13"/>
    </row>
    <row r="482" ht="18.75" customHeight="1">
      <c r="A482" s="13"/>
      <c r="B482" s="282"/>
      <c r="C482" s="330"/>
      <c r="D482" s="330"/>
      <c r="E482" s="330"/>
      <c r="F482" s="13"/>
      <c r="G482" s="309"/>
      <c r="H482" s="309"/>
      <c r="I482" s="309"/>
      <c r="J482" s="310"/>
      <c r="K482" s="310"/>
      <c r="L482" s="310"/>
      <c r="M482" s="310"/>
      <c r="N482" s="310"/>
      <c r="O482" s="311"/>
      <c r="P482" s="310"/>
      <c r="Q482" s="311"/>
      <c r="R482" s="310"/>
      <c r="S482" s="13"/>
      <c r="T482" s="13"/>
      <c r="U482" s="13"/>
      <c r="V482" s="13"/>
      <c r="W482" s="13"/>
      <c r="X482" s="310"/>
      <c r="Y482" s="311"/>
      <c r="Z482" s="310"/>
      <c r="AA482" s="312"/>
      <c r="AB482" s="13"/>
      <c r="AC482" s="313"/>
      <c r="AD482" s="313"/>
      <c r="AE482" s="313"/>
      <c r="AF482" s="331"/>
      <c r="AG482" s="320"/>
      <c r="AH482" s="13"/>
      <c r="AI482" s="13"/>
      <c r="AJ482" s="13"/>
      <c r="AK482" s="13"/>
      <c r="AL482" s="13"/>
      <c r="AM482" s="13"/>
      <c r="AN482" s="13"/>
      <c r="AO482" s="13"/>
      <c r="AP482" s="13"/>
    </row>
    <row r="483" ht="18.75" customHeight="1">
      <c r="A483" s="13"/>
      <c r="B483" s="282"/>
      <c r="C483" s="330"/>
      <c r="D483" s="330"/>
      <c r="E483" s="330"/>
      <c r="F483" s="13"/>
      <c r="G483" s="309"/>
      <c r="H483" s="309"/>
      <c r="I483" s="309"/>
      <c r="J483" s="310"/>
      <c r="K483" s="310"/>
      <c r="L483" s="310"/>
      <c r="M483" s="310"/>
      <c r="N483" s="310"/>
      <c r="O483" s="311"/>
      <c r="P483" s="310"/>
      <c r="Q483" s="311"/>
      <c r="R483" s="310"/>
      <c r="S483" s="13"/>
      <c r="T483" s="13"/>
      <c r="U483" s="13"/>
      <c r="V483" s="13"/>
      <c r="W483" s="13"/>
      <c r="X483" s="310"/>
      <c r="Y483" s="311"/>
      <c r="Z483" s="310"/>
      <c r="AA483" s="312"/>
      <c r="AB483" s="13"/>
      <c r="AC483" s="313"/>
      <c r="AD483" s="313"/>
      <c r="AE483" s="313"/>
      <c r="AF483" s="331"/>
      <c r="AG483" s="320"/>
      <c r="AH483" s="13"/>
      <c r="AI483" s="13"/>
      <c r="AJ483" s="13"/>
      <c r="AK483" s="13"/>
      <c r="AL483" s="13"/>
      <c r="AM483" s="13"/>
      <c r="AN483" s="13"/>
      <c r="AO483" s="13"/>
      <c r="AP483" s="13"/>
    </row>
    <row r="484" ht="18.75" customHeight="1">
      <c r="A484" s="13"/>
      <c r="B484" s="282"/>
      <c r="C484" s="330"/>
      <c r="D484" s="330"/>
      <c r="E484" s="330"/>
      <c r="F484" s="13"/>
      <c r="G484" s="309"/>
      <c r="H484" s="309"/>
      <c r="I484" s="309"/>
      <c r="J484" s="310"/>
      <c r="K484" s="310"/>
      <c r="L484" s="310"/>
      <c r="M484" s="310"/>
      <c r="N484" s="310"/>
      <c r="O484" s="311"/>
      <c r="P484" s="310"/>
      <c r="Q484" s="311"/>
      <c r="R484" s="310"/>
      <c r="S484" s="13"/>
      <c r="T484" s="13"/>
      <c r="U484" s="13"/>
      <c r="V484" s="13"/>
      <c r="W484" s="13"/>
      <c r="X484" s="310"/>
      <c r="Y484" s="311"/>
      <c r="Z484" s="310"/>
      <c r="AA484" s="312"/>
      <c r="AB484" s="13"/>
      <c r="AC484" s="313"/>
      <c r="AD484" s="313"/>
      <c r="AE484" s="313"/>
      <c r="AF484" s="331"/>
      <c r="AG484" s="320"/>
      <c r="AH484" s="13"/>
      <c r="AI484" s="13"/>
      <c r="AJ484" s="13"/>
      <c r="AK484" s="13"/>
      <c r="AL484" s="13"/>
      <c r="AM484" s="13"/>
      <c r="AN484" s="13"/>
      <c r="AO484" s="13"/>
      <c r="AP484" s="13"/>
    </row>
    <row r="485" ht="18.75" customHeight="1">
      <c r="A485" s="13"/>
      <c r="B485" s="282"/>
      <c r="C485" s="330"/>
      <c r="D485" s="330"/>
      <c r="E485" s="330"/>
      <c r="F485" s="13"/>
      <c r="G485" s="309"/>
      <c r="H485" s="309"/>
      <c r="I485" s="309"/>
      <c r="J485" s="310"/>
      <c r="K485" s="310"/>
      <c r="L485" s="310"/>
      <c r="M485" s="310"/>
      <c r="N485" s="310"/>
      <c r="O485" s="311"/>
      <c r="P485" s="310"/>
      <c r="Q485" s="311"/>
      <c r="R485" s="310"/>
      <c r="S485" s="13"/>
      <c r="T485" s="13"/>
      <c r="U485" s="13"/>
      <c r="V485" s="13"/>
      <c r="W485" s="13"/>
      <c r="X485" s="310"/>
      <c r="Y485" s="311"/>
      <c r="Z485" s="310"/>
      <c r="AA485" s="312"/>
      <c r="AB485" s="13"/>
      <c r="AC485" s="313"/>
      <c r="AD485" s="313"/>
      <c r="AE485" s="313"/>
      <c r="AF485" s="331"/>
      <c r="AG485" s="320"/>
      <c r="AH485" s="13"/>
      <c r="AI485" s="13"/>
      <c r="AJ485" s="13"/>
      <c r="AK485" s="13"/>
      <c r="AL485" s="13"/>
      <c r="AM485" s="13"/>
      <c r="AN485" s="13"/>
      <c r="AO485" s="13"/>
      <c r="AP485" s="13"/>
    </row>
    <row r="486" ht="18.75" customHeight="1">
      <c r="A486" s="13"/>
      <c r="B486" s="282"/>
      <c r="C486" s="330"/>
      <c r="D486" s="330"/>
      <c r="E486" s="330"/>
      <c r="F486" s="13"/>
      <c r="G486" s="309"/>
      <c r="H486" s="309"/>
      <c r="I486" s="309"/>
      <c r="J486" s="310"/>
      <c r="K486" s="310"/>
      <c r="L486" s="310"/>
      <c r="M486" s="310"/>
      <c r="N486" s="310"/>
      <c r="O486" s="311"/>
      <c r="P486" s="310"/>
      <c r="Q486" s="311"/>
      <c r="R486" s="310"/>
      <c r="S486" s="13"/>
      <c r="T486" s="13"/>
      <c r="U486" s="13"/>
      <c r="V486" s="13"/>
      <c r="W486" s="13"/>
      <c r="X486" s="310"/>
      <c r="Y486" s="311"/>
      <c r="Z486" s="310"/>
      <c r="AA486" s="312"/>
      <c r="AB486" s="13"/>
      <c r="AC486" s="313"/>
      <c r="AD486" s="313"/>
      <c r="AE486" s="313"/>
      <c r="AF486" s="331"/>
      <c r="AG486" s="320"/>
      <c r="AH486" s="13"/>
      <c r="AI486" s="13"/>
      <c r="AJ486" s="13"/>
      <c r="AK486" s="13"/>
      <c r="AL486" s="13"/>
      <c r="AM486" s="13"/>
      <c r="AN486" s="13"/>
      <c r="AO486" s="13"/>
      <c r="AP486" s="13"/>
    </row>
    <row r="487" ht="18.75" customHeight="1">
      <c r="A487" s="13"/>
      <c r="B487" s="282"/>
      <c r="C487" s="330"/>
      <c r="D487" s="330"/>
      <c r="E487" s="330"/>
      <c r="F487" s="13"/>
      <c r="G487" s="309"/>
      <c r="H487" s="309"/>
      <c r="I487" s="309"/>
      <c r="J487" s="310"/>
      <c r="K487" s="310"/>
      <c r="L487" s="310"/>
      <c r="M487" s="310"/>
      <c r="N487" s="310"/>
      <c r="O487" s="311"/>
      <c r="P487" s="310"/>
      <c r="Q487" s="311"/>
      <c r="R487" s="310"/>
      <c r="S487" s="13"/>
      <c r="T487" s="13"/>
      <c r="U487" s="13"/>
      <c r="V487" s="13"/>
      <c r="W487" s="13"/>
      <c r="X487" s="310"/>
      <c r="Y487" s="311"/>
      <c r="Z487" s="310"/>
      <c r="AA487" s="312"/>
      <c r="AB487" s="13"/>
      <c r="AC487" s="313"/>
      <c r="AD487" s="313"/>
      <c r="AE487" s="313"/>
      <c r="AF487" s="331"/>
      <c r="AG487" s="320"/>
      <c r="AH487" s="13"/>
      <c r="AI487" s="13"/>
      <c r="AJ487" s="13"/>
      <c r="AK487" s="13"/>
      <c r="AL487" s="13"/>
      <c r="AM487" s="13"/>
      <c r="AN487" s="13"/>
      <c r="AO487" s="13"/>
      <c r="AP487" s="13"/>
    </row>
    <row r="488" ht="18.75" customHeight="1">
      <c r="A488" s="13"/>
      <c r="B488" s="282"/>
      <c r="C488" s="330"/>
      <c r="D488" s="330"/>
      <c r="E488" s="330"/>
      <c r="F488" s="13"/>
      <c r="G488" s="309"/>
      <c r="H488" s="309"/>
      <c r="I488" s="309"/>
      <c r="J488" s="310"/>
      <c r="K488" s="310"/>
      <c r="L488" s="310"/>
      <c r="M488" s="310"/>
      <c r="N488" s="310"/>
      <c r="O488" s="311"/>
      <c r="P488" s="310"/>
      <c r="Q488" s="311"/>
      <c r="R488" s="310"/>
      <c r="S488" s="13"/>
      <c r="T488" s="13"/>
      <c r="U488" s="13"/>
      <c r="V488" s="13"/>
      <c r="W488" s="13"/>
      <c r="X488" s="310"/>
      <c r="Y488" s="311"/>
      <c r="Z488" s="310"/>
      <c r="AA488" s="312"/>
      <c r="AB488" s="13"/>
      <c r="AC488" s="313"/>
      <c r="AD488" s="313"/>
      <c r="AE488" s="313"/>
      <c r="AF488" s="331"/>
      <c r="AG488" s="320"/>
      <c r="AH488" s="13"/>
      <c r="AI488" s="13"/>
      <c r="AJ488" s="13"/>
      <c r="AK488" s="13"/>
      <c r="AL488" s="13"/>
      <c r="AM488" s="13"/>
      <c r="AN488" s="13"/>
      <c r="AO488" s="13"/>
      <c r="AP488" s="13"/>
    </row>
    <row r="489" ht="18.75" customHeight="1">
      <c r="A489" s="13"/>
      <c r="B489" s="282"/>
      <c r="C489" s="330"/>
      <c r="D489" s="330"/>
      <c r="E489" s="330"/>
      <c r="F489" s="13"/>
      <c r="G489" s="309"/>
      <c r="H489" s="309"/>
      <c r="I489" s="309"/>
      <c r="J489" s="310"/>
      <c r="K489" s="310"/>
      <c r="L489" s="310"/>
      <c r="M489" s="310"/>
      <c r="N489" s="310"/>
      <c r="O489" s="311"/>
      <c r="P489" s="310"/>
      <c r="Q489" s="311"/>
      <c r="R489" s="310"/>
      <c r="S489" s="13"/>
      <c r="T489" s="13"/>
      <c r="U489" s="13"/>
      <c r="V489" s="13"/>
      <c r="W489" s="13"/>
      <c r="X489" s="310"/>
      <c r="Y489" s="311"/>
      <c r="Z489" s="310"/>
      <c r="AA489" s="312"/>
      <c r="AB489" s="13"/>
      <c r="AC489" s="313"/>
      <c r="AD489" s="313"/>
      <c r="AE489" s="313"/>
      <c r="AF489" s="331"/>
      <c r="AG489" s="320"/>
      <c r="AH489" s="13"/>
      <c r="AI489" s="13"/>
      <c r="AJ489" s="13"/>
      <c r="AK489" s="13"/>
      <c r="AL489" s="13"/>
      <c r="AM489" s="13"/>
      <c r="AN489" s="13"/>
      <c r="AO489" s="13"/>
      <c r="AP489" s="13"/>
    </row>
    <row r="490" ht="18.75" customHeight="1">
      <c r="A490" s="13"/>
      <c r="B490" s="282"/>
      <c r="C490" s="330"/>
      <c r="D490" s="330"/>
      <c r="E490" s="330"/>
      <c r="F490" s="13"/>
      <c r="G490" s="309"/>
      <c r="H490" s="309"/>
      <c r="I490" s="309"/>
      <c r="J490" s="310"/>
      <c r="K490" s="310"/>
      <c r="L490" s="310"/>
      <c r="M490" s="310"/>
      <c r="N490" s="310"/>
      <c r="O490" s="311"/>
      <c r="P490" s="310"/>
      <c r="Q490" s="311"/>
      <c r="R490" s="310"/>
      <c r="S490" s="13"/>
      <c r="T490" s="13"/>
      <c r="U490" s="13"/>
      <c r="V490" s="13"/>
      <c r="W490" s="13"/>
      <c r="X490" s="310"/>
      <c r="Y490" s="311"/>
      <c r="Z490" s="310"/>
      <c r="AA490" s="312"/>
      <c r="AB490" s="13"/>
      <c r="AC490" s="313"/>
      <c r="AD490" s="313"/>
      <c r="AE490" s="313"/>
      <c r="AF490" s="331"/>
      <c r="AG490" s="320"/>
      <c r="AH490" s="13"/>
      <c r="AI490" s="13"/>
      <c r="AJ490" s="13"/>
      <c r="AK490" s="13"/>
      <c r="AL490" s="13"/>
      <c r="AM490" s="13"/>
      <c r="AN490" s="13"/>
      <c r="AO490" s="13"/>
      <c r="AP490" s="13"/>
    </row>
    <row r="491" ht="18.75" customHeight="1">
      <c r="A491" s="13"/>
      <c r="B491" s="282"/>
      <c r="C491" s="330"/>
      <c r="D491" s="330"/>
      <c r="E491" s="330"/>
      <c r="F491" s="13"/>
      <c r="G491" s="309"/>
      <c r="H491" s="309"/>
      <c r="I491" s="309"/>
      <c r="J491" s="310"/>
      <c r="K491" s="310"/>
      <c r="L491" s="310"/>
      <c r="M491" s="310"/>
      <c r="N491" s="310"/>
      <c r="O491" s="311"/>
      <c r="P491" s="310"/>
      <c r="Q491" s="311"/>
      <c r="R491" s="310"/>
      <c r="S491" s="13"/>
      <c r="T491" s="13"/>
      <c r="U491" s="13"/>
      <c r="V491" s="13"/>
      <c r="W491" s="13"/>
      <c r="X491" s="310"/>
      <c r="Y491" s="311"/>
      <c r="Z491" s="310"/>
      <c r="AA491" s="312"/>
      <c r="AB491" s="13"/>
      <c r="AC491" s="313"/>
      <c r="AD491" s="313"/>
      <c r="AE491" s="313"/>
      <c r="AF491" s="331"/>
      <c r="AG491" s="320"/>
      <c r="AH491" s="13"/>
      <c r="AI491" s="13"/>
      <c r="AJ491" s="13"/>
      <c r="AK491" s="13"/>
      <c r="AL491" s="13"/>
      <c r="AM491" s="13"/>
      <c r="AN491" s="13"/>
      <c r="AO491" s="13"/>
      <c r="AP491" s="13"/>
    </row>
    <row r="492" ht="18.75" customHeight="1">
      <c r="A492" s="13"/>
      <c r="B492" s="282"/>
      <c r="C492" s="330"/>
      <c r="D492" s="330"/>
      <c r="E492" s="330"/>
      <c r="F492" s="13"/>
      <c r="G492" s="309"/>
      <c r="H492" s="309"/>
      <c r="I492" s="309"/>
      <c r="J492" s="310"/>
      <c r="K492" s="310"/>
      <c r="L492" s="310"/>
      <c r="M492" s="310"/>
      <c r="N492" s="310"/>
      <c r="O492" s="311"/>
      <c r="P492" s="310"/>
      <c r="Q492" s="311"/>
      <c r="R492" s="310"/>
      <c r="S492" s="13"/>
      <c r="T492" s="13"/>
      <c r="U492" s="13"/>
      <c r="V492" s="13"/>
      <c r="W492" s="13"/>
      <c r="X492" s="310"/>
      <c r="Y492" s="311"/>
      <c r="Z492" s="310"/>
      <c r="AA492" s="312"/>
      <c r="AB492" s="13"/>
      <c r="AC492" s="313"/>
      <c r="AD492" s="313"/>
      <c r="AE492" s="313"/>
      <c r="AF492" s="331"/>
      <c r="AG492" s="320"/>
      <c r="AH492" s="13"/>
      <c r="AI492" s="13"/>
      <c r="AJ492" s="13"/>
      <c r="AK492" s="13"/>
      <c r="AL492" s="13"/>
      <c r="AM492" s="13"/>
      <c r="AN492" s="13"/>
      <c r="AO492" s="13"/>
      <c r="AP492" s="13"/>
    </row>
    <row r="493" ht="18.75" customHeight="1">
      <c r="A493" s="13"/>
      <c r="B493" s="282"/>
      <c r="C493" s="330"/>
      <c r="D493" s="330"/>
      <c r="E493" s="330"/>
      <c r="F493" s="13"/>
      <c r="G493" s="309"/>
      <c r="H493" s="309"/>
      <c r="I493" s="309"/>
      <c r="J493" s="310"/>
      <c r="K493" s="310"/>
      <c r="L493" s="310"/>
      <c r="M493" s="310"/>
      <c r="N493" s="310"/>
      <c r="O493" s="311"/>
      <c r="P493" s="310"/>
      <c r="Q493" s="311"/>
      <c r="R493" s="310"/>
      <c r="S493" s="13"/>
      <c r="T493" s="13"/>
      <c r="U493" s="13"/>
      <c r="V493" s="13"/>
      <c r="W493" s="13"/>
      <c r="X493" s="310"/>
      <c r="Y493" s="311"/>
      <c r="Z493" s="310"/>
      <c r="AA493" s="312"/>
      <c r="AB493" s="13"/>
      <c r="AC493" s="313"/>
      <c r="AD493" s="313"/>
      <c r="AE493" s="313"/>
      <c r="AF493" s="331"/>
      <c r="AG493" s="320"/>
      <c r="AH493" s="13"/>
      <c r="AI493" s="13"/>
      <c r="AJ493" s="13"/>
      <c r="AK493" s="13"/>
      <c r="AL493" s="13"/>
      <c r="AM493" s="13"/>
      <c r="AN493" s="13"/>
      <c r="AO493" s="13"/>
      <c r="AP493" s="13"/>
    </row>
    <row r="494" ht="18.75" customHeight="1">
      <c r="A494" s="13"/>
      <c r="B494" s="282"/>
      <c r="C494" s="330"/>
      <c r="D494" s="330"/>
      <c r="E494" s="330"/>
      <c r="F494" s="13"/>
      <c r="G494" s="309"/>
      <c r="H494" s="309"/>
      <c r="I494" s="309"/>
      <c r="J494" s="310"/>
      <c r="K494" s="310"/>
      <c r="L494" s="310"/>
      <c r="M494" s="310"/>
      <c r="N494" s="310"/>
      <c r="O494" s="311"/>
      <c r="P494" s="310"/>
      <c r="Q494" s="311"/>
      <c r="R494" s="310"/>
      <c r="S494" s="13"/>
      <c r="T494" s="13"/>
      <c r="U494" s="13"/>
      <c r="V494" s="13"/>
      <c r="W494" s="13"/>
      <c r="X494" s="310"/>
      <c r="Y494" s="311"/>
      <c r="Z494" s="310"/>
      <c r="AA494" s="312"/>
      <c r="AB494" s="13"/>
      <c r="AC494" s="313"/>
      <c r="AD494" s="313"/>
      <c r="AE494" s="313"/>
      <c r="AF494" s="331"/>
      <c r="AG494" s="320"/>
      <c r="AH494" s="13"/>
      <c r="AI494" s="13"/>
      <c r="AJ494" s="13"/>
      <c r="AK494" s="13"/>
      <c r="AL494" s="13"/>
      <c r="AM494" s="13"/>
      <c r="AN494" s="13"/>
      <c r="AO494" s="13"/>
      <c r="AP494" s="13"/>
    </row>
    <row r="495" ht="18.75" customHeight="1">
      <c r="A495" s="13"/>
      <c r="B495" s="282"/>
      <c r="C495" s="330"/>
      <c r="D495" s="330"/>
      <c r="E495" s="330"/>
      <c r="F495" s="13"/>
      <c r="G495" s="309"/>
      <c r="H495" s="309"/>
      <c r="I495" s="309"/>
      <c r="J495" s="310"/>
      <c r="K495" s="310"/>
      <c r="L495" s="310"/>
      <c r="M495" s="310"/>
      <c r="N495" s="310"/>
      <c r="O495" s="311"/>
      <c r="P495" s="310"/>
      <c r="Q495" s="311"/>
      <c r="R495" s="310"/>
      <c r="S495" s="13"/>
      <c r="T495" s="13"/>
      <c r="U495" s="13"/>
      <c r="V495" s="13"/>
      <c r="W495" s="13"/>
      <c r="X495" s="310"/>
      <c r="Y495" s="311"/>
      <c r="Z495" s="310"/>
      <c r="AA495" s="312"/>
      <c r="AB495" s="13"/>
      <c r="AC495" s="313"/>
      <c r="AD495" s="313"/>
      <c r="AE495" s="313"/>
      <c r="AF495" s="331"/>
      <c r="AG495" s="320"/>
      <c r="AH495" s="13"/>
      <c r="AI495" s="13"/>
      <c r="AJ495" s="13"/>
      <c r="AK495" s="13"/>
      <c r="AL495" s="13"/>
      <c r="AM495" s="13"/>
      <c r="AN495" s="13"/>
      <c r="AO495" s="13"/>
      <c r="AP495" s="13"/>
    </row>
    <row r="496" ht="18.75" customHeight="1">
      <c r="A496" s="13"/>
      <c r="B496" s="282"/>
      <c r="C496" s="330"/>
      <c r="D496" s="330"/>
      <c r="E496" s="330"/>
      <c r="F496" s="13"/>
      <c r="G496" s="309"/>
      <c r="H496" s="309"/>
      <c r="I496" s="309"/>
      <c r="J496" s="310"/>
      <c r="K496" s="310"/>
      <c r="L496" s="310"/>
      <c r="M496" s="310"/>
      <c r="N496" s="310"/>
      <c r="O496" s="311"/>
      <c r="P496" s="310"/>
      <c r="Q496" s="311"/>
      <c r="R496" s="310"/>
      <c r="S496" s="13"/>
      <c r="T496" s="13"/>
      <c r="U496" s="13"/>
      <c r="V496" s="13"/>
      <c r="W496" s="13"/>
      <c r="X496" s="310"/>
      <c r="Y496" s="311"/>
      <c r="Z496" s="310"/>
      <c r="AA496" s="312"/>
      <c r="AB496" s="13"/>
      <c r="AC496" s="313"/>
      <c r="AD496" s="313"/>
      <c r="AE496" s="313"/>
      <c r="AF496" s="331"/>
      <c r="AG496" s="320"/>
      <c r="AH496" s="13"/>
      <c r="AI496" s="13"/>
      <c r="AJ496" s="13"/>
      <c r="AK496" s="13"/>
      <c r="AL496" s="13"/>
      <c r="AM496" s="13"/>
      <c r="AN496" s="13"/>
      <c r="AO496" s="13"/>
      <c r="AP496" s="13"/>
    </row>
    <row r="497" ht="18.75" customHeight="1">
      <c r="A497" s="13"/>
      <c r="B497" s="282"/>
      <c r="C497" s="330"/>
      <c r="D497" s="330"/>
      <c r="E497" s="330"/>
      <c r="F497" s="13"/>
      <c r="G497" s="309"/>
      <c r="H497" s="309"/>
      <c r="I497" s="309"/>
      <c r="J497" s="310"/>
      <c r="K497" s="310"/>
      <c r="L497" s="310"/>
      <c r="M497" s="310"/>
      <c r="N497" s="310"/>
      <c r="O497" s="311"/>
      <c r="P497" s="310"/>
      <c r="Q497" s="311"/>
      <c r="R497" s="310"/>
      <c r="S497" s="13"/>
      <c r="T497" s="13"/>
      <c r="U497" s="13"/>
      <c r="V497" s="13"/>
      <c r="W497" s="13"/>
      <c r="X497" s="310"/>
      <c r="Y497" s="311"/>
      <c r="Z497" s="310"/>
      <c r="AA497" s="312"/>
      <c r="AB497" s="13"/>
      <c r="AC497" s="313"/>
      <c r="AD497" s="313"/>
      <c r="AE497" s="313"/>
      <c r="AF497" s="331"/>
      <c r="AG497" s="320"/>
      <c r="AH497" s="13"/>
      <c r="AI497" s="13"/>
      <c r="AJ497" s="13"/>
      <c r="AK497" s="13"/>
      <c r="AL497" s="13"/>
      <c r="AM497" s="13"/>
      <c r="AN497" s="13"/>
      <c r="AO497" s="13"/>
      <c r="AP497" s="13"/>
    </row>
    <row r="498" ht="18.75" customHeight="1">
      <c r="A498" s="13"/>
      <c r="B498" s="282"/>
      <c r="C498" s="330"/>
      <c r="D498" s="330"/>
      <c r="E498" s="330"/>
      <c r="F498" s="13"/>
      <c r="G498" s="309"/>
      <c r="H498" s="309"/>
      <c r="I498" s="309"/>
      <c r="J498" s="310"/>
      <c r="K498" s="310"/>
      <c r="L498" s="310"/>
      <c r="M498" s="310"/>
      <c r="N498" s="310"/>
      <c r="O498" s="311"/>
      <c r="P498" s="310"/>
      <c r="Q498" s="311"/>
      <c r="R498" s="310"/>
      <c r="S498" s="13"/>
      <c r="T498" s="13"/>
      <c r="U498" s="13"/>
      <c r="V498" s="13"/>
      <c r="W498" s="13"/>
      <c r="X498" s="310"/>
      <c r="Y498" s="311"/>
      <c r="Z498" s="310"/>
      <c r="AA498" s="312"/>
      <c r="AB498" s="13"/>
      <c r="AC498" s="313"/>
      <c r="AD498" s="313"/>
      <c r="AE498" s="313"/>
      <c r="AF498" s="331"/>
      <c r="AG498" s="320"/>
      <c r="AH498" s="13"/>
      <c r="AI498" s="13"/>
      <c r="AJ498" s="13"/>
      <c r="AK498" s="13"/>
      <c r="AL498" s="13"/>
      <c r="AM498" s="13"/>
      <c r="AN498" s="13"/>
      <c r="AO498" s="13"/>
      <c r="AP498" s="13"/>
    </row>
    <row r="499" ht="18.75" customHeight="1">
      <c r="A499" s="13"/>
      <c r="B499" s="282"/>
      <c r="C499" s="330"/>
      <c r="D499" s="330"/>
      <c r="E499" s="330"/>
      <c r="F499" s="13"/>
      <c r="G499" s="309"/>
      <c r="H499" s="309"/>
      <c r="I499" s="309"/>
      <c r="J499" s="310"/>
      <c r="K499" s="310"/>
      <c r="L499" s="310"/>
      <c r="M499" s="310"/>
      <c r="N499" s="310"/>
      <c r="O499" s="311"/>
      <c r="P499" s="310"/>
      <c r="Q499" s="311"/>
      <c r="R499" s="310"/>
      <c r="S499" s="13"/>
      <c r="T499" s="13"/>
      <c r="U499" s="13"/>
      <c r="V499" s="13"/>
      <c r="W499" s="13"/>
      <c r="X499" s="310"/>
      <c r="Y499" s="311"/>
      <c r="Z499" s="310"/>
      <c r="AA499" s="312"/>
      <c r="AB499" s="13"/>
      <c r="AC499" s="313"/>
      <c r="AD499" s="313"/>
      <c r="AE499" s="313"/>
      <c r="AF499" s="331"/>
      <c r="AG499" s="320"/>
      <c r="AH499" s="13"/>
      <c r="AI499" s="13"/>
      <c r="AJ499" s="13"/>
      <c r="AK499" s="13"/>
      <c r="AL499" s="13"/>
      <c r="AM499" s="13"/>
      <c r="AN499" s="13"/>
      <c r="AO499" s="13"/>
      <c r="AP499" s="13"/>
    </row>
    <row r="500" ht="18.75" customHeight="1">
      <c r="A500" s="13"/>
      <c r="B500" s="282"/>
      <c r="C500" s="330"/>
      <c r="D500" s="330"/>
      <c r="E500" s="330"/>
      <c r="F500" s="13"/>
      <c r="G500" s="309"/>
      <c r="H500" s="309"/>
      <c r="I500" s="309"/>
      <c r="J500" s="310"/>
      <c r="K500" s="310"/>
      <c r="L500" s="310"/>
      <c r="M500" s="310"/>
      <c r="N500" s="310"/>
      <c r="O500" s="311"/>
      <c r="P500" s="310"/>
      <c r="Q500" s="311"/>
      <c r="R500" s="310"/>
      <c r="S500" s="13"/>
      <c r="T500" s="13"/>
      <c r="U500" s="13"/>
      <c r="V500" s="13"/>
      <c r="W500" s="13"/>
      <c r="X500" s="310"/>
      <c r="Y500" s="311"/>
      <c r="Z500" s="310"/>
      <c r="AA500" s="312"/>
      <c r="AB500" s="13"/>
      <c r="AC500" s="313"/>
      <c r="AD500" s="313"/>
      <c r="AE500" s="313"/>
      <c r="AF500" s="331"/>
      <c r="AG500" s="320"/>
      <c r="AH500" s="13"/>
      <c r="AI500" s="13"/>
      <c r="AJ500" s="13"/>
      <c r="AK500" s="13"/>
      <c r="AL500" s="13"/>
      <c r="AM500" s="13"/>
      <c r="AN500" s="13"/>
      <c r="AO500" s="13"/>
      <c r="AP500" s="13"/>
    </row>
    <row r="501" ht="18.75" customHeight="1">
      <c r="A501" s="13"/>
      <c r="B501" s="282"/>
      <c r="C501" s="330"/>
      <c r="D501" s="330"/>
      <c r="E501" s="330"/>
      <c r="F501" s="13"/>
      <c r="G501" s="309"/>
      <c r="H501" s="309"/>
      <c r="I501" s="309"/>
      <c r="J501" s="310"/>
      <c r="K501" s="310"/>
      <c r="L501" s="310"/>
      <c r="M501" s="310"/>
      <c r="N501" s="310"/>
      <c r="O501" s="311"/>
      <c r="P501" s="310"/>
      <c r="Q501" s="311"/>
      <c r="R501" s="310"/>
      <c r="S501" s="13"/>
      <c r="T501" s="13"/>
      <c r="U501" s="13"/>
      <c r="V501" s="13"/>
      <c r="W501" s="13"/>
      <c r="X501" s="310"/>
      <c r="Y501" s="311"/>
      <c r="Z501" s="310"/>
      <c r="AA501" s="312"/>
      <c r="AB501" s="13"/>
      <c r="AC501" s="313"/>
      <c r="AD501" s="313"/>
      <c r="AE501" s="313"/>
      <c r="AF501" s="331"/>
      <c r="AG501" s="320"/>
      <c r="AH501" s="13"/>
      <c r="AI501" s="13"/>
      <c r="AJ501" s="13"/>
      <c r="AK501" s="13"/>
      <c r="AL501" s="13"/>
      <c r="AM501" s="13"/>
      <c r="AN501" s="13"/>
      <c r="AO501" s="13"/>
      <c r="AP501" s="13"/>
    </row>
    <row r="502" ht="18.75" customHeight="1">
      <c r="A502" s="13"/>
      <c r="B502" s="282"/>
      <c r="C502" s="330"/>
      <c r="D502" s="330"/>
      <c r="E502" s="330"/>
      <c r="F502" s="13"/>
      <c r="G502" s="309"/>
      <c r="H502" s="309"/>
      <c r="I502" s="309"/>
      <c r="J502" s="310"/>
      <c r="K502" s="310"/>
      <c r="L502" s="310"/>
      <c r="M502" s="310"/>
      <c r="N502" s="310"/>
      <c r="O502" s="311"/>
      <c r="P502" s="310"/>
      <c r="Q502" s="311"/>
      <c r="R502" s="310"/>
      <c r="S502" s="13"/>
      <c r="T502" s="13"/>
      <c r="U502" s="13"/>
      <c r="V502" s="13"/>
      <c r="W502" s="13"/>
      <c r="X502" s="310"/>
      <c r="Y502" s="311"/>
      <c r="Z502" s="310"/>
      <c r="AA502" s="312"/>
      <c r="AB502" s="13"/>
      <c r="AC502" s="313"/>
      <c r="AD502" s="313"/>
      <c r="AE502" s="313"/>
      <c r="AF502" s="331"/>
      <c r="AG502" s="320"/>
      <c r="AH502" s="13"/>
      <c r="AI502" s="13"/>
      <c r="AJ502" s="13"/>
      <c r="AK502" s="13"/>
      <c r="AL502" s="13"/>
      <c r="AM502" s="13"/>
      <c r="AN502" s="13"/>
      <c r="AO502" s="13"/>
      <c r="AP502" s="13"/>
    </row>
    <row r="503" ht="18.75" customHeight="1">
      <c r="A503" s="13"/>
      <c r="B503" s="282"/>
      <c r="C503" s="330"/>
      <c r="D503" s="330"/>
      <c r="E503" s="330"/>
      <c r="F503" s="13"/>
      <c r="G503" s="309"/>
      <c r="H503" s="309"/>
      <c r="I503" s="309"/>
      <c r="J503" s="310"/>
      <c r="K503" s="310"/>
      <c r="L503" s="310"/>
      <c r="M503" s="310"/>
      <c r="N503" s="310"/>
      <c r="O503" s="311"/>
      <c r="P503" s="310"/>
      <c r="Q503" s="311"/>
      <c r="R503" s="310"/>
      <c r="S503" s="13"/>
      <c r="T503" s="13"/>
      <c r="U503" s="13"/>
      <c r="V503" s="13"/>
      <c r="W503" s="13"/>
      <c r="X503" s="310"/>
      <c r="Y503" s="311"/>
      <c r="Z503" s="310"/>
      <c r="AA503" s="312"/>
      <c r="AB503" s="13"/>
      <c r="AC503" s="313"/>
      <c r="AD503" s="313"/>
      <c r="AE503" s="313"/>
      <c r="AF503" s="331"/>
      <c r="AG503" s="320"/>
      <c r="AH503" s="13"/>
      <c r="AI503" s="13"/>
      <c r="AJ503" s="13"/>
      <c r="AK503" s="13"/>
      <c r="AL503" s="13"/>
      <c r="AM503" s="13"/>
      <c r="AN503" s="13"/>
      <c r="AO503" s="13"/>
      <c r="AP503" s="13"/>
    </row>
    <row r="504" ht="18.75" customHeight="1">
      <c r="A504" s="13"/>
      <c r="B504" s="282"/>
      <c r="C504" s="330"/>
      <c r="D504" s="330"/>
      <c r="E504" s="330"/>
      <c r="F504" s="13"/>
      <c r="G504" s="309"/>
      <c r="H504" s="309"/>
      <c r="I504" s="309"/>
      <c r="J504" s="310"/>
      <c r="K504" s="310"/>
      <c r="L504" s="310"/>
      <c r="M504" s="310"/>
      <c r="N504" s="310"/>
      <c r="O504" s="311"/>
      <c r="P504" s="310"/>
      <c r="Q504" s="311"/>
      <c r="R504" s="310"/>
      <c r="S504" s="13"/>
      <c r="T504" s="13"/>
      <c r="U504" s="13"/>
      <c r="V504" s="13"/>
      <c r="W504" s="13"/>
      <c r="X504" s="310"/>
      <c r="Y504" s="311"/>
      <c r="Z504" s="310"/>
      <c r="AA504" s="312"/>
      <c r="AB504" s="13"/>
      <c r="AC504" s="313"/>
      <c r="AD504" s="313"/>
      <c r="AE504" s="313"/>
      <c r="AF504" s="331"/>
      <c r="AG504" s="320"/>
      <c r="AH504" s="13"/>
      <c r="AI504" s="13"/>
      <c r="AJ504" s="13"/>
      <c r="AK504" s="13"/>
      <c r="AL504" s="13"/>
      <c r="AM504" s="13"/>
      <c r="AN504" s="13"/>
      <c r="AO504" s="13"/>
      <c r="AP504" s="13"/>
    </row>
    <row r="505" ht="18.75" customHeight="1">
      <c r="A505" s="13"/>
      <c r="B505" s="282"/>
      <c r="C505" s="330"/>
      <c r="D505" s="330"/>
      <c r="E505" s="330"/>
      <c r="F505" s="13"/>
      <c r="G505" s="309"/>
      <c r="H505" s="309"/>
      <c r="I505" s="309"/>
      <c r="J505" s="310"/>
      <c r="K505" s="310"/>
      <c r="L505" s="310"/>
      <c r="M505" s="310"/>
      <c r="N505" s="310"/>
      <c r="O505" s="311"/>
      <c r="P505" s="310"/>
      <c r="Q505" s="311"/>
      <c r="R505" s="310"/>
      <c r="S505" s="13"/>
      <c r="T505" s="13"/>
      <c r="U505" s="13"/>
      <c r="V505" s="13"/>
      <c r="W505" s="13"/>
      <c r="X505" s="310"/>
      <c r="Y505" s="311"/>
      <c r="Z505" s="310"/>
      <c r="AA505" s="312"/>
      <c r="AB505" s="13"/>
      <c r="AC505" s="313"/>
      <c r="AD505" s="313"/>
      <c r="AE505" s="313"/>
      <c r="AF505" s="331"/>
      <c r="AG505" s="320"/>
      <c r="AH505" s="13"/>
      <c r="AI505" s="13"/>
      <c r="AJ505" s="13"/>
      <c r="AK505" s="13"/>
      <c r="AL505" s="13"/>
      <c r="AM505" s="13"/>
      <c r="AN505" s="13"/>
      <c r="AO505" s="13"/>
      <c r="AP505" s="13"/>
    </row>
    <row r="506" ht="18.75" customHeight="1">
      <c r="A506" s="13"/>
      <c r="B506" s="282"/>
      <c r="C506" s="330"/>
      <c r="D506" s="330"/>
      <c r="E506" s="330"/>
      <c r="F506" s="13"/>
      <c r="G506" s="309"/>
      <c r="H506" s="309"/>
      <c r="I506" s="309"/>
      <c r="J506" s="310"/>
      <c r="K506" s="310"/>
      <c r="L506" s="310"/>
      <c r="M506" s="310"/>
      <c r="N506" s="310"/>
      <c r="O506" s="311"/>
      <c r="P506" s="310"/>
      <c r="Q506" s="311"/>
      <c r="R506" s="310"/>
      <c r="S506" s="13"/>
      <c r="T506" s="13"/>
      <c r="U506" s="13"/>
      <c r="V506" s="13"/>
      <c r="W506" s="13"/>
      <c r="X506" s="310"/>
      <c r="Y506" s="311"/>
      <c r="Z506" s="310"/>
      <c r="AA506" s="312"/>
      <c r="AB506" s="13"/>
      <c r="AC506" s="313"/>
      <c r="AD506" s="313"/>
      <c r="AE506" s="313"/>
      <c r="AF506" s="331"/>
      <c r="AG506" s="320"/>
      <c r="AH506" s="13"/>
      <c r="AI506" s="13"/>
      <c r="AJ506" s="13"/>
      <c r="AK506" s="13"/>
      <c r="AL506" s="13"/>
      <c r="AM506" s="13"/>
      <c r="AN506" s="13"/>
      <c r="AO506" s="13"/>
      <c r="AP506" s="13"/>
    </row>
    <row r="507" ht="18.75" customHeight="1">
      <c r="A507" s="13"/>
      <c r="B507" s="282"/>
      <c r="C507" s="330"/>
      <c r="D507" s="330"/>
      <c r="E507" s="330"/>
      <c r="F507" s="13"/>
      <c r="G507" s="309"/>
      <c r="H507" s="309"/>
      <c r="I507" s="309"/>
      <c r="J507" s="310"/>
      <c r="K507" s="310"/>
      <c r="L507" s="310"/>
      <c r="M507" s="310"/>
      <c r="N507" s="310"/>
      <c r="O507" s="311"/>
      <c r="P507" s="310"/>
      <c r="Q507" s="311"/>
      <c r="R507" s="310"/>
      <c r="S507" s="13"/>
      <c r="T507" s="13"/>
      <c r="U507" s="13"/>
      <c r="V507" s="13"/>
      <c r="W507" s="13"/>
      <c r="X507" s="310"/>
      <c r="Y507" s="311"/>
      <c r="Z507" s="310"/>
      <c r="AA507" s="312"/>
      <c r="AB507" s="13"/>
      <c r="AC507" s="313"/>
      <c r="AD507" s="313"/>
      <c r="AE507" s="313"/>
      <c r="AF507" s="331"/>
      <c r="AG507" s="320"/>
      <c r="AH507" s="13"/>
      <c r="AI507" s="13"/>
      <c r="AJ507" s="13"/>
      <c r="AK507" s="13"/>
      <c r="AL507" s="13"/>
      <c r="AM507" s="13"/>
      <c r="AN507" s="13"/>
      <c r="AO507" s="13"/>
      <c r="AP507" s="13"/>
    </row>
    <row r="508" ht="18.75" customHeight="1">
      <c r="A508" s="13"/>
      <c r="B508" s="282"/>
      <c r="C508" s="330"/>
      <c r="D508" s="330"/>
      <c r="E508" s="330"/>
      <c r="F508" s="13"/>
      <c r="G508" s="309"/>
      <c r="H508" s="309"/>
      <c r="I508" s="309"/>
      <c r="J508" s="310"/>
      <c r="K508" s="310"/>
      <c r="L508" s="310"/>
      <c r="M508" s="310"/>
      <c r="N508" s="310"/>
      <c r="O508" s="311"/>
      <c r="P508" s="310"/>
      <c r="Q508" s="311"/>
      <c r="R508" s="310"/>
      <c r="S508" s="13"/>
      <c r="T508" s="13"/>
      <c r="U508" s="13"/>
      <c r="V508" s="13"/>
      <c r="W508" s="13"/>
      <c r="X508" s="310"/>
      <c r="Y508" s="311"/>
      <c r="Z508" s="310"/>
      <c r="AA508" s="312"/>
      <c r="AB508" s="13"/>
      <c r="AC508" s="313"/>
      <c r="AD508" s="313"/>
      <c r="AE508" s="313"/>
      <c r="AF508" s="331"/>
      <c r="AG508" s="320"/>
      <c r="AH508" s="13"/>
      <c r="AI508" s="13"/>
      <c r="AJ508" s="13"/>
      <c r="AK508" s="13"/>
      <c r="AL508" s="13"/>
      <c r="AM508" s="13"/>
      <c r="AN508" s="13"/>
      <c r="AO508" s="13"/>
      <c r="AP508" s="13"/>
    </row>
    <row r="509" ht="18.75" customHeight="1">
      <c r="A509" s="13"/>
      <c r="B509" s="282"/>
      <c r="C509" s="330"/>
      <c r="D509" s="330"/>
      <c r="E509" s="330"/>
      <c r="F509" s="13"/>
      <c r="G509" s="309"/>
      <c r="H509" s="309"/>
      <c r="I509" s="309"/>
      <c r="J509" s="310"/>
      <c r="K509" s="310"/>
      <c r="L509" s="310"/>
      <c r="M509" s="310"/>
      <c r="N509" s="310"/>
      <c r="O509" s="311"/>
      <c r="P509" s="310"/>
      <c r="Q509" s="311"/>
      <c r="R509" s="310"/>
      <c r="S509" s="13"/>
      <c r="T509" s="13"/>
      <c r="U509" s="13"/>
      <c r="V509" s="13"/>
      <c r="W509" s="13"/>
      <c r="X509" s="310"/>
      <c r="Y509" s="311"/>
      <c r="Z509" s="310"/>
      <c r="AA509" s="312"/>
      <c r="AB509" s="13"/>
      <c r="AC509" s="313"/>
      <c r="AD509" s="313"/>
      <c r="AE509" s="313"/>
      <c r="AF509" s="331"/>
      <c r="AG509" s="320"/>
      <c r="AH509" s="13"/>
      <c r="AI509" s="13"/>
      <c r="AJ509" s="13"/>
      <c r="AK509" s="13"/>
      <c r="AL509" s="13"/>
      <c r="AM509" s="13"/>
      <c r="AN509" s="13"/>
      <c r="AO509" s="13"/>
      <c r="AP509" s="13"/>
    </row>
    <row r="510" ht="18.75" customHeight="1">
      <c r="A510" s="13"/>
      <c r="B510" s="282"/>
      <c r="C510" s="330"/>
      <c r="D510" s="330"/>
      <c r="E510" s="330"/>
      <c r="F510" s="13"/>
      <c r="G510" s="309"/>
      <c r="H510" s="309"/>
      <c r="I510" s="309"/>
      <c r="J510" s="310"/>
      <c r="K510" s="310"/>
      <c r="L510" s="310"/>
      <c r="M510" s="310"/>
      <c r="N510" s="310"/>
      <c r="O510" s="311"/>
      <c r="P510" s="310"/>
      <c r="Q510" s="311"/>
      <c r="R510" s="310"/>
      <c r="S510" s="13"/>
      <c r="T510" s="13"/>
      <c r="U510" s="13"/>
      <c r="V510" s="13"/>
      <c r="W510" s="13"/>
      <c r="X510" s="310"/>
      <c r="Y510" s="311"/>
      <c r="Z510" s="310"/>
      <c r="AA510" s="312"/>
      <c r="AB510" s="13"/>
      <c r="AC510" s="313"/>
      <c r="AD510" s="313"/>
      <c r="AE510" s="313"/>
      <c r="AF510" s="331"/>
      <c r="AG510" s="320"/>
      <c r="AH510" s="13"/>
      <c r="AI510" s="13"/>
      <c r="AJ510" s="13"/>
      <c r="AK510" s="13"/>
      <c r="AL510" s="13"/>
      <c r="AM510" s="13"/>
      <c r="AN510" s="13"/>
      <c r="AO510" s="13"/>
      <c r="AP510" s="13"/>
    </row>
    <row r="511" ht="18.75" customHeight="1">
      <c r="A511" s="13"/>
      <c r="B511" s="282"/>
      <c r="C511" s="330"/>
      <c r="D511" s="330"/>
      <c r="E511" s="330"/>
      <c r="F511" s="13"/>
      <c r="G511" s="309"/>
      <c r="H511" s="309"/>
      <c r="I511" s="309"/>
      <c r="J511" s="310"/>
      <c r="K511" s="310"/>
      <c r="L511" s="310"/>
      <c r="M511" s="310"/>
      <c r="N511" s="310"/>
      <c r="O511" s="311"/>
      <c r="P511" s="310"/>
      <c r="Q511" s="311"/>
      <c r="R511" s="310"/>
      <c r="S511" s="13"/>
      <c r="T511" s="13"/>
      <c r="U511" s="13"/>
      <c r="V511" s="13"/>
      <c r="W511" s="13"/>
      <c r="X511" s="310"/>
      <c r="Y511" s="311"/>
      <c r="Z511" s="310"/>
      <c r="AA511" s="312"/>
      <c r="AB511" s="13"/>
      <c r="AC511" s="313"/>
      <c r="AD511" s="313"/>
      <c r="AE511" s="313"/>
      <c r="AF511" s="331"/>
      <c r="AG511" s="320"/>
      <c r="AH511" s="13"/>
      <c r="AI511" s="13"/>
      <c r="AJ511" s="13"/>
      <c r="AK511" s="13"/>
      <c r="AL511" s="13"/>
      <c r="AM511" s="13"/>
      <c r="AN511" s="13"/>
      <c r="AO511" s="13"/>
      <c r="AP511" s="13"/>
    </row>
    <row r="512" ht="18.75" customHeight="1">
      <c r="A512" s="13"/>
      <c r="B512" s="282"/>
      <c r="C512" s="330"/>
      <c r="D512" s="330"/>
      <c r="E512" s="330"/>
      <c r="F512" s="13"/>
      <c r="G512" s="309"/>
      <c r="H512" s="309"/>
      <c r="I512" s="309"/>
      <c r="J512" s="310"/>
      <c r="K512" s="310"/>
      <c r="L512" s="310"/>
      <c r="M512" s="310"/>
      <c r="N512" s="310"/>
      <c r="O512" s="311"/>
      <c r="P512" s="310"/>
      <c r="Q512" s="311"/>
      <c r="R512" s="310"/>
      <c r="S512" s="13"/>
      <c r="T512" s="13"/>
      <c r="U512" s="13"/>
      <c r="V512" s="13"/>
      <c r="W512" s="13"/>
      <c r="X512" s="310"/>
      <c r="Y512" s="311"/>
      <c r="Z512" s="310"/>
      <c r="AA512" s="312"/>
      <c r="AB512" s="13"/>
      <c r="AC512" s="313"/>
      <c r="AD512" s="313"/>
      <c r="AE512" s="313"/>
      <c r="AF512" s="331"/>
      <c r="AG512" s="320"/>
      <c r="AH512" s="13"/>
      <c r="AI512" s="13"/>
      <c r="AJ512" s="13"/>
      <c r="AK512" s="13"/>
      <c r="AL512" s="13"/>
      <c r="AM512" s="13"/>
      <c r="AN512" s="13"/>
      <c r="AO512" s="13"/>
      <c r="AP512" s="13"/>
    </row>
    <row r="513" ht="18.75" customHeight="1">
      <c r="A513" s="13"/>
      <c r="B513" s="282"/>
      <c r="C513" s="330"/>
      <c r="D513" s="330"/>
      <c r="E513" s="330"/>
      <c r="F513" s="13"/>
      <c r="G513" s="309"/>
      <c r="H513" s="309"/>
      <c r="I513" s="309"/>
      <c r="J513" s="310"/>
      <c r="K513" s="310"/>
      <c r="L513" s="310"/>
      <c r="M513" s="310"/>
      <c r="N513" s="310"/>
      <c r="O513" s="311"/>
      <c r="P513" s="310"/>
      <c r="Q513" s="311"/>
      <c r="R513" s="310"/>
      <c r="S513" s="13"/>
      <c r="T513" s="13"/>
      <c r="U513" s="13"/>
      <c r="V513" s="13"/>
      <c r="W513" s="13"/>
      <c r="X513" s="310"/>
      <c r="Y513" s="311"/>
      <c r="Z513" s="310"/>
      <c r="AA513" s="312"/>
      <c r="AB513" s="13"/>
      <c r="AC513" s="313"/>
      <c r="AD513" s="313"/>
      <c r="AE513" s="313"/>
      <c r="AF513" s="331"/>
      <c r="AG513" s="320"/>
      <c r="AH513" s="13"/>
      <c r="AI513" s="13"/>
      <c r="AJ513" s="13"/>
      <c r="AK513" s="13"/>
      <c r="AL513" s="13"/>
      <c r="AM513" s="13"/>
      <c r="AN513" s="13"/>
      <c r="AO513" s="13"/>
      <c r="AP513" s="13"/>
    </row>
    <row r="514" ht="18.75" customHeight="1">
      <c r="A514" s="13"/>
      <c r="B514" s="282"/>
      <c r="C514" s="330"/>
      <c r="D514" s="330"/>
      <c r="E514" s="330"/>
      <c r="F514" s="13"/>
      <c r="G514" s="309"/>
      <c r="H514" s="309"/>
      <c r="I514" s="309"/>
      <c r="J514" s="310"/>
      <c r="K514" s="310"/>
      <c r="L514" s="310"/>
      <c r="M514" s="310"/>
      <c r="N514" s="310"/>
      <c r="O514" s="311"/>
      <c r="P514" s="310"/>
      <c r="Q514" s="311"/>
      <c r="R514" s="310"/>
      <c r="S514" s="13"/>
      <c r="T514" s="13"/>
      <c r="U514" s="13"/>
      <c r="V514" s="13"/>
      <c r="W514" s="13"/>
      <c r="X514" s="310"/>
      <c r="Y514" s="311"/>
      <c r="Z514" s="310"/>
      <c r="AA514" s="312"/>
      <c r="AB514" s="13"/>
      <c r="AC514" s="313"/>
      <c r="AD514" s="313"/>
      <c r="AE514" s="313"/>
      <c r="AF514" s="331"/>
      <c r="AG514" s="320"/>
      <c r="AH514" s="13"/>
      <c r="AI514" s="13"/>
      <c r="AJ514" s="13"/>
      <c r="AK514" s="13"/>
      <c r="AL514" s="13"/>
      <c r="AM514" s="13"/>
      <c r="AN514" s="13"/>
      <c r="AO514" s="13"/>
      <c r="AP514" s="13"/>
    </row>
    <row r="515" ht="18.75" customHeight="1">
      <c r="A515" s="13"/>
      <c r="B515" s="282"/>
      <c r="C515" s="330"/>
      <c r="D515" s="330"/>
      <c r="E515" s="330"/>
      <c r="F515" s="13"/>
      <c r="G515" s="309"/>
      <c r="H515" s="309"/>
      <c r="I515" s="309"/>
      <c r="J515" s="310"/>
      <c r="K515" s="310"/>
      <c r="L515" s="310"/>
      <c r="M515" s="310"/>
      <c r="N515" s="310"/>
      <c r="O515" s="311"/>
      <c r="P515" s="310"/>
      <c r="Q515" s="311"/>
      <c r="R515" s="310"/>
      <c r="S515" s="13"/>
      <c r="T515" s="13"/>
      <c r="U515" s="13"/>
      <c r="V515" s="13"/>
      <c r="W515" s="13"/>
      <c r="X515" s="310"/>
      <c r="Y515" s="311"/>
      <c r="Z515" s="310"/>
      <c r="AA515" s="312"/>
      <c r="AB515" s="13"/>
      <c r="AC515" s="313"/>
      <c r="AD515" s="313"/>
      <c r="AE515" s="313"/>
      <c r="AF515" s="331"/>
      <c r="AG515" s="320"/>
      <c r="AH515" s="13"/>
      <c r="AI515" s="13"/>
      <c r="AJ515" s="13"/>
      <c r="AK515" s="13"/>
      <c r="AL515" s="13"/>
      <c r="AM515" s="13"/>
      <c r="AN515" s="13"/>
      <c r="AO515" s="13"/>
      <c r="AP515" s="13"/>
    </row>
    <row r="516" ht="18.75" customHeight="1">
      <c r="A516" s="13"/>
      <c r="B516" s="282"/>
      <c r="C516" s="330"/>
      <c r="D516" s="330"/>
      <c r="E516" s="330"/>
      <c r="F516" s="13"/>
      <c r="G516" s="309"/>
      <c r="H516" s="309"/>
      <c r="I516" s="309"/>
      <c r="J516" s="310"/>
      <c r="K516" s="310"/>
      <c r="L516" s="310"/>
      <c r="M516" s="310"/>
      <c r="N516" s="310"/>
      <c r="O516" s="311"/>
      <c r="P516" s="310"/>
      <c r="Q516" s="311"/>
      <c r="R516" s="310"/>
      <c r="S516" s="13"/>
      <c r="T516" s="13"/>
      <c r="U516" s="13"/>
      <c r="V516" s="13"/>
      <c r="W516" s="13"/>
      <c r="X516" s="310"/>
      <c r="Y516" s="311"/>
      <c r="Z516" s="310"/>
      <c r="AA516" s="312"/>
      <c r="AB516" s="13"/>
      <c r="AC516" s="313"/>
      <c r="AD516" s="313"/>
      <c r="AE516" s="313"/>
      <c r="AF516" s="331"/>
      <c r="AG516" s="320"/>
      <c r="AH516" s="13"/>
      <c r="AI516" s="13"/>
      <c r="AJ516" s="13"/>
      <c r="AK516" s="13"/>
      <c r="AL516" s="13"/>
      <c r="AM516" s="13"/>
      <c r="AN516" s="13"/>
      <c r="AO516" s="13"/>
      <c r="AP516" s="13"/>
    </row>
    <row r="517" ht="18.75" customHeight="1">
      <c r="A517" s="13"/>
      <c r="B517" s="282"/>
      <c r="C517" s="330"/>
      <c r="D517" s="330"/>
      <c r="E517" s="330"/>
      <c r="F517" s="13"/>
      <c r="G517" s="309"/>
      <c r="H517" s="309"/>
      <c r="I517" s="309"/>
      <c r="J517" s="310"/>
      <c r="K517" s="310"/>
      <c r="L517" s="310"/>
      <c r="M517" s="310"/>
      <c r="N517" s="310"/>
      <c r="O517" s="311"/>
      <c r="P517" s="310"/>
      <c r="Q517" s="311"/>
      <c r="R517" s="310"/>
      <c r="S517" s="13"/>
      <c r="T517" s="13"/>
      <c r="U517" s="13"/>
      <c r="V517" s="13"/>
      <c r="W517" s="13"/>
      <c r="X517" s="310"/>
      <c r="Y517" s="311"/>
      <c r="Z517" s="310"/>
      <c r="AA517" s="312"/>
      <c r="AB517" s="13"/>
      <c r="AC517" s="313"/>
      <c r="AD517" s="313"/>
      <c r="AE517" s="313"/>
      <c r="AF517" s="331"/>
      <c r="AG517" s="320"/>
      <c r="AH517" s="13"/>
      <c r="AI517" s="13"/>
      <c r="AJ517" s="13"/>
      <c r="AK517" s="13"/>
      <c r="AL517" s="13"/>
      <c r="AM517" s="13"/>
      <c r="AN517" s="13"/>
      <c r="AO517" s="13"/>
      <c r="AP517" s="13"/>
    </row>
    <row r="518" ht="18.75" customHeight="1">
      <c r="A518" s="13"/>
      <c r="B518" s="282"/>
      <c r="C518" s="330"/>
      <c r="D518" s="330"/>
      <c r="E518" s="330"/>
      <c r="F518" s="13"/>
      <c r="G518" s="309"/>
      <c r="H518" s="309"/>
      <c r="I518" s="309"/>
      <c r="J518" s="310"/>
      <c r="K518" s="310"/>
      <c r="L518" s="310"/>
      <c r="M518" s="310"/>
      <c r="N518" s="310"/>
      <c r="O518" s="311"/>
      <c r="P518" s="310"/>
      <c r="Q518" s="311"/>
      <c r="R518" s="310"/>
      <c r="S518" s="13"/>
      <c r="T518" s="13"/>
      <c r="U518" s="13"/>
      <c r="V518" s="13"/>
      <c r="W518" s="13"/>
      <c r="X518" s="310"/>
      <c r="Y518" s="311"/>
      <c r="Z518" s="310"/>
      <c r="AA518" s="312"/>
      <c r="AB518" s="13"/>
      <c r="AC518" s="313"/>
      <c r="AD518" s="313"/>
      <c r="AE518" s="313"/>
      <c r="AF518" s="331"/>
      <c r="AG518" s="320"/>
      <c r="AH518" s="13"/>
      <c r="AI518" s="13"/>
      <c r="AJ518" s="13"/>
      <c r="AK518" s="13"/>
      <c r="AL518" s="13"/>
      <c r="AM518" s="13"/>
      <c r="AN518" s="13"/>
      <c r="AO518" s="13"/>
      <c r="AP518" s="13"/>
    </row>
    <row r="519" ht="18.75" customHeight="1">
      <c r="A519" s="13"/>
      <c r="B519" s="282"/>
      <c r="C519" s="330"/>
      <c r="D519" s="330"/>
      <c r="E519" s="330"/>
      <c r="F519" s="13"/>
      <c r="G519" s="309"/>
      <c r="H519" s="309"/>
      <c r="I519" s="309"/>
      <c r="J519" s="310"/>
      <c r="K519" s="310"/>
      <c r="L519" s="310"/>
      <c r="M519" s="310"/>
      <c r="N519" s="310"/>
      <c r="O519" s="311"/>
      <c r="P519" s="310"/>
      <c r="Q519" s="311"/>
      <c r="R519" s="310"/>
      <c r="S519" s="13"/>
      <c r="T519" s="13"/>
      <c r="U519" s="13"/>
      <c r="V519" s="13"/>
      <c r="W519" s="13"/>
      <c r="X519" s="310"/>
      <c r="Y519" s="311"/>
      <c r="Z519" s="310"/>
      <c r="AA519" s="312"/>
      <c r="AB519" s="13"/>
      <c r="AC519" s="313"/>
      <c r="AD519" s="313"/>
      <c r="AE519" s="313"/>
      <c r="AF519" s="331"/>
      <c r="AG519" s="320"/>
      <c r="AH519" s="13"/>
      <c r="AI519" s="13"/>
      <c r="AJ519" s="13"/>
      <c r="AK519" s="13"/>
      <c r="AL519" s="13"/>
      <c r="AM519" s="13"/>
      <c r="AN519" s="13"/>
      <c r="AO519" s="13"/>
      <c r="AP519" s="13"/>
    </row>
    <row r="520" ht="18.75" customHeight="1">
      <c r="A520" s="13"/>
      <c r="B520" s="282"/>
      <c r="C520" s="330"/>
      <c r="D520" s="330"/>
      <c r="E520" s="330"/>
      <c r="F520" s="13"/>
      <c r="G520" s="309"/>
      <c r="H520" s="309"/>
      <c r="I520" s="309"/>
      <c r="J520" s="310"/>
      <c r="K520" s="310"/>
      <c r="L520" s="310"/>
      <c r="M520" s="310"/>
      <c r="N520" s="310"/>
      <c r="O520" s="311"/>
      <c r="P520" s="310"/>
      <c r="Q520" s="311"/>
      <c r="R520" s="310"/>
      <c r="S520" s="13"/>
      <c r="T520" s="13"/>
      <c r="U520" s="13"/>
      <c r="V520" s="13"/>
      <c r="W520" s="13"/>
      <c r="X520" s="310"/>
      <c r="Y520" s="311"/>
      <c r="Z520" s="310"/>
      <c r="AA520" s="312"/>
      <c r="AB520" s="13"/>
      <c r="AC520" s="313"/>
      <c r="AD520" s="313"/>
      <c r="AE520" s="313"/>
      <c r="AF520" s="331"/>
      <c r="AG520" s="320"/>
      <c r="AH520" s="13"/>
      <c r="AI520" s="13"/>
      <c r="AJ520" s="13"/>
      <c r="AK520" s="13"/>
      <c r="AL520" s="13"/>
      <c r="AM520" s="13"/>
      <c r="AN520" s="13"/>
      <c r="AO520" s="13"/>
      <c r="AP520" s="13"/>
    </row>
    <row r="521" ht="18.75" customHeight="1">
      <c r="A521" s="13"/>
      <c r="B521" s="282"/>
      <c r="C521" s="330"/>
      <c r="D521" s="330"/>
      <c r="E521" s="330"/>
      <c r="F521" s="13"/>
      <c r="G521" s="309"/>
      <c r="H521" s="309"/>
      <c r="I521" s="309"/>
      <c r="J521" s="310"/>
      <c r="K521" s="310"/>
      <c r="L521" s="310"/>
      <c r="M521" s="310"/>
      <c r="N521" s="310"/>
      <c r="O521" s="311"/>
      <c r="P521" s="310"/>
      <c r="Q521" s="311"/>
      <c r="R521" s="310"/>
      <c r="S521" s="13"/>
      <c r="T521" s="13"/>
      <c r="U521" s="13"/>
      <c r="V521" s="13"/>
      <c r="W521" s="13"/>
      <c r="X521" s="310"/>
      <c r="Y521" s="311"/>
      <c r="Z521" s="310"/>
      <c r="AA521" s="312"/>
      <c r="AB521" s="13"/>
      <c r="AC521" s="313"/>
      <c r="AD521" s="313"/>
      <c r="AE521" s="313"/>
      <c r="AF521" s="331"/>
      <c r="AG521" s="320"/>
      <c r="AH521" s="13"/>
      <c r="AI521" s="13"/>
      <c r="AJ521" s="13"/>
      <c r="AK521" s="13"/>
      <c r="AL521" s="13"/>
      <c r="AM521" s="13"/>
      <c r="AN521" s="13"/>
      <c r="AO521" s="13"/>
      <c r="AP521" s="13"/>
    </row>
    <row r="522" ht="18.75" customHeight="1">
      <c r="A522" s="13"/>
      <c r="B522" s="282"/>
      <c r="C522" s="330"/>
      <c r="D522" s="330"/>
      <c r="E522" s="330"/>
      <c r="F522" s="13"/>
      <c r="G522" s="309"/>
      <c r="H522" s="309"/>
      <c r="I522" s="309"/>
      <c r="J522" s="310"/>
      <c r="K522" s="310"/>
      <c r="L522" s="310"/>
      <c r="M522" s="310"/>
      <c r="N522" s="310"/>
      <c r="O522" s="311"/>
      <c r="P522" s="310"/>
      <c r="Q522" s="311"/>
      <c r="R522" s="310"/>
      <c r="S522" s="13"/>
      <c r="T522" s="13"/>
      <c r="U522" s="13"/>
      <c r="V522" s="13"/>
      <c r="W522" s="13"/>
      <c r="X522" s="310"/>
      <c r="Y522" s="311"/>
      <c r="Z522" s="310"/>
      <c r="AA522" s="312"/>
      <c r="AB522" s="13"/>
      <c r="AC522" s="313"/>
      <c r="AD522" s="313"/>
      <c r="AE522" s="313"/>
      <c r="AF522" s="331"/>
      <c r="AG522" s="320"/>
      <c r="AH522" s="13"/>
      <c r="AI522" s="13"/>
      <c r="AJ522" s="13"/>
      <c r="AK522" s="13"/>
      <c r="AL522" s="13"/>
      <c r="AM522" s="13"/>
      <c r="AN522" s="13"/>
      <c r="AO522" s="13"/>
      <c r="AP522" s="13"/>
    </row>
    <row r="523" ht="18.75" customHeight="1">
      <c r="A523" s="13"/>
      <c r="B523" s="282"/>
      <c r="C523" s="330"/>
      <c r="D523" s="330"/>
      <c r="E523" s="330"/>
      <c r="F523" s="13"/>
      <c r="G523" s="309"/>
      <c r="H523" s="309"/>
      <c r="I523" s="309"/>
      <c r="J523" s="310"/>
      <c r="K523" s="310"/>
      <c r="L523" s="310"/>
      <c r="M523" s="310"/>
      <c r="N523" s="310"/>
      <c r="O523" s="311"/>
      <c r="P523" s="310"/>
      <c r="Q523" s="311"/>
      <c r="R523" s="310"/>
      <c r="S523" s="13"/>
      <c r="T523" s="13"/>
      <c r="U523" s="13"/>
      <c r="V523" s="13"/>
      <c r="W523" s="13"/>
      <c r="X523" s="310"/>
      <c r="Y523" s="311"/>
      <c r="Z523" s="310"/>
      <c r="AA523" s="312"/>
      <c r="AB523" s="13"/>
      <c r="AC523" s="313"/>
      <c r="AD523" s="313"/>
      <c r="AE523" s="313"/>
      <c r="AF523" s="331"/>
      <c r="AG523" s="320"/>
      <c r="AH523" s="13"/>
      <c r="AI523" s="13"/>
      <c r="AJ523" s="13"/>
      <c r="AK523" s="13"/>
      <c r="AL523" s="13"/>
      <c r="AM523" s="13"/>
      <c r="AN523" s="13"/>
      <c r="AO523" s="13"/>
      <c r="AP523" s="13"/>
    </row>
    <row r="524" ht="18.75" customHeight="1">
      <c r="A524" s="13"/>
      <c r="B524" s="282"/>
      <c r="C524" s="330"/>
      <c r="D524" s="330"/>
      <c r="E524" s="330"/>
      <c r="F524" s="13"/>
      <c r="G524" s="309"/>
      <c r="H524" s="309"/>
      <c r="I524" s="309"/>
      <c r="J524" s="310"/>
      <c r="K524" s="310"/>
      <c r="L524" s="310"/>
      <c r="M524" s="310"/>
      <c r="N524" s="310"/>
      <c r="O524" s="311"/>
      <c r="P524" s="310"/>
      <c r="Q524" s="311"/>
      <c r="R524" s="310"/>
      <c r="S524" s="13"/>
      <c r="T524" s="13"/>
      <c r="U524" s="13"/>
      <c r="V524" s="13"/>
      <c r="W524" s="13"/>
      <c r="X524" s="310"/>
      <c r="Y524" s="311"/>
      <c r="Z524" s="310"/>
      <c r="AA524" s="312"/>
      <c r="AB524" s="13"/>
      <c r="AC524" s="313"/>
      <c r="AD524" s="313"/>
      <c r="AE524" s="313"/>
      <c r="AF524" s="331"/>
      <c r="AG524" s="320"/>
      <c r="AH524" s="13"/>
      <c r="AI524" s="13"/>
      <c r="AJ524" s="13"/>
      <c r="AK524" s="13"/>
      <c r="AL524" s="13"/>
      <c r="AM524" s="13"/>
      <c r="AN524" s="13"/>
      <c r="AO524" s="13"/>
      <c r="AP524" s="13"/>
    </row>
    <row r="525" ht="18.75" customHeight="1">
      <c r="A525" s="13"/>
      <c r="B525" s="282"/>
      <c r="C525" s="330"/>
      <c r="D525" s="330"/>
      <c r="E525" s="330"/>
      <c r="F525" s="13"/>
      <c r="G525" s="309"/>
      <c r="H525" s="309"/>
      <c r="I525" s="309"/>
      <c r="J525" s="310"/>
      <c r="K525" s="310"/>
      <c r="L525" s="310"/>
      <c r="M525" s="310"/>
      <c r="N525" s="310"/>
      <c r="O525" s="311"/>
      <c r="P525" s="310"/>
      <c r="Q525" s="311"/>
      <c r="R525" s="310"/>
      <c r="S525" s="13"/>
      <c r="T525" s="13"/>
      <c r="U525" s="13"/>
      <c r="V525" s="13"/>
      <c r="W525" s="13"/>
      <c r="X525" s="310"/>
      <c r="Y525" s="311"/>
      <c r="Z525" s="310"/>
      <c r="AA525" s="312"/>
      <c r="AB525" s="13"/>
      <c r="AC525" s="313"/>
      <c r="AD525" s="313"/>
      <c r="AE525" s="313"/>
      <c r="AF525" s="331"/>
      <c r="AG525" s="320"/>
      <c r="AH525" s="13"/>
      <c r="AI525" s="13"/>
      <c r="AJ525" s="13"/>
      <c r="AK525" s="13"/>
      <c r="AL525" s="13"/>
      <c r="AM525" s="13"/>
      <c r="AN525" s="13"/>
      <c r="AO525" s="13"/>
      <c r="AP525" s="13"/>
    </row>
    <row r="526" ht="18.75" customHeight="1">
      <c r="A526" s="13"/>
      <c r="B526" s="282"/>
      <c r="C526" s="330"/>
      <c r="D526" s="330"/>
      <c r="E526" s="330"/>
      <c r="F526" s="13"/>
      <c r="G526" s="309"/>
      <c r="H526" s="309"/>
      <c r="I526" s="309"/>
      <c r="J526" s="310"/>
      <c r="K526" s="310"/>
      <c r="L526" s="310"/>
      <c r="M526" s="310"/>
      <c r="N526" s="310"/>
      <c r="O526" s="311"/>
      <c r="P526" s="310"/>
      <c r="Q526" s="311"/>
      <c r="R526" s="310"/>
      <c r="S526" s="13"/>
      <c r="T526" s="13"/>
      <c r="U526" s="13"/>
      <c r="V526" s="13"/>
      <c r="W526" s="13"/>
      <c r="X526" s="310"/>
      <c r="Y526" s="311"/>
      <c r="Z526" s="310"/>
      <c r="AA526" s="312"/>
      <c r="AB526" s="13"/>
      <c r="AC526" s="313"/>
      <c r="AD526" s="313"/>
      <c r="AE526" s="313"/>
      <c r="AF526" s="331"/>
      <c r="AG526" s="320"/>
      <c r="AH526" s="13"/>
      <c r="AI526" s="13"/>
      <c r="AJ526" s="13"/>
      <c r="AK526" s="13"/>
      <c r="AL526" s="13"/>
      <c r="AM526" s="13"/>
      <c r="AN526" s="13"/>
      <c r="AO526" s="13"/>
      <c r="AP526" s="13"/>
    </row>
    <row r="527" ht="18.75" customHeight="1">
      <c r="A527" s="13"/>
      <c r="B527" s="282"/>
      <c r="C527" s="330"/>
      <c r="D527" s="330"/>
      <c r="E527" s="330"/>
      <c r="F527" s="13"/>
      <c r="G527" s="309"/>
      <c r="H527" s="309"/>
      <c r="I527" s="309"/>
      <c r="J527" s="310"/>
      <c r="K527" s="310"/>
      <c r="L527" s="310"/>
      <c r="M527" s="310"/>
      <c r="N527" s="310"/>
      <c r="O527" s="311"/>
      <c r="P527" s="310"/>
      <c r="Q527" s="311"/>
      <c r="R527" s="310"/>
      <c r="S527" s="13"/>
      <c r="T527" s="13"/>
      <c r="U527" s="13"/>
      <c r="V527" s="13"/>
      <c r="W527" s="13"/>
      <c r="X527" s="310"/>
      <c r="Y527" s="311"/>
      <c r="Z527" s="310"/>
      <c r="AA527" s="312"/>
      <c r="AB527" s="13"/>
      <c r="AC527" s="313"/>
      <c r="AD527" s="313"/>
      <c r="AE527" s="313"/>
      <c r="AF527" s="331"/>
      <c r="AG527" s="320"/>
      <c r="AH527" s="13"/>
      <c r="AI527" s="13"/>
      <c r="AJ527" s="13"/>
      <c r="AK527" s="13"/>
      <c r="AL527" s="13"/>
      <c r="AM527" s="13"/>
      <c r="AN527" s="13"/>
      <c r="AO527" s="13"/>
      <c r="AP527" s="13"/>
    </row>
    <row r="528" ht="18.75" customHeight="1">
      <c r="A528" s="13"/>
      <c r="B528" s="282"/>
      <c r="C528" s="330"/>
      <c r="D528" s="330"/>
      <c r="E528" s="330"/>
      <c r="F528" s="13"/>
      <c r="G528" s="309"/>
      <c r="H528" s="309"/>
      <c r="I528" s="309"/>
      <c r="J528" s="310"/>
      <c r="K528" s="310"/>
      <c r="L528" s="310"/>
      <c r="M528" s="310"/>
      <c r="N528" s="310"/>
      <c r="O528" s="311"/>
      <c r="P528" s="310"/>
      <c r="Q528" s="311"/>
      <c r="R528" s="310"/>
      <c r="S528" s="13"/>
      <c r="T528" s="13"/>
      <c r="U528" s="13"/>
      <c r="V528" s="13"/>
      <c r="W528" s="13"/>
      <c r="X528" s="310"/>
      <c r="Y528" s="311"/>
      <c r="Z528" s="310"/>
      <c r="AA528" s="312"/>
      <c r="AB528" s="13"/>
      <c r="AC528" s="313"/>
      <c r="AD528" s="313"/>
      <c r="AE528" s="313"/>
      <c r="AF528" s="331"/>
      <c r="AG528" s="320"/>
      <c r="AH528" s="13"/>
      <c r="AI528" s="13"/>
      <c r="AJ528" s="13"/>
      <c r="AK528" s="13"/>
      <c r="AL528" s="13"/>
      <c r="AM528" s="13"/>
      <c r="AN528" s="13"/>
      <c r="AO528" s="13"/>
      <c r="AP528" s="13"/>
    </row>
    <row r="529" ht="18.75" customHeight="1">
      <c r="A529" s="13"/>
      <c r="B529" s="282"/>
      <c r="C529" s="330"/>
      <c r="D529" s="330"/>
      <c r="E529" s="330"/>
      <c r="F529" s="13"/>
      <c r="G529" s="309"/>
      <c r="H529" s="309"/>
      <c r="I529" s="309"/>
      <c r="J529" s="310"/>
      <c r="K529" s="310"/>
      <c r="L529" s="310"/>
      <c r="M529" s="310"/>
      <c r="N529" s="310"/>
      <c r="O529" s="311"/>
      <c r="P529" s="310"/>
      <c r="Q529" s="311"/>
      <c r="R529" s="310"/>
      <c r="S529" s="13"/>
      <c r="T529" s="13"/>
      <c r="U529" s="13"/>
      <c r="V529" s="13"/>
      <c r="W529" s="13"/>
      <c r="X529" s="310"/>
      <c r="Y529" s="311"/>
      <c r="Z529" s="310"/>
      <c r="AA529" s="312"/>
      <c r="AB529" s="13"/>
      <c r="AC529" s="313"/>
      <c r="AD529" s="313"/>
      <c r="AE529" s="313"/>
      <c r="AF529" s="331"/>
      <c r="AG529" s="320"/>
      <c r="AH529" s="13"/>
      <c r="AI529" s="13"/>
      <c r="AJ529" s="13"/>
      <c r="AK529" s="13"/>
      <c r="AL529" s="13"/>
      <c r="AM529" s="13"/>
      <c r="AN529" s="13"/>
      <c r="AO529" s="13"/>
      <c r="AP529" s="13"/>
    </row>
    <row r="530" ht="18.75" customHeight="1">
      <c r="A530" s="13"/>
      <c r="B530" s="282"/>
      <c r="C530" s="330"/>
      <c r="D530" s="330"/>
      <c r="E530" s="330"/>
      <c r="F530" s="13"/>
      <c r="G530" s="309"/>
      <c r="H530" s="309"/>
      <c r="I530" s="309"/>
      <c r="J530" s="310"/>
      <c r="K530" s="310"/>
      <c r="L530" s="310"/>
      <c r="M530" s="310"/>
      <c r="N530" s="310"/>
      <c r="O530" s="311"/>
      <c r="P530" s="310"/>
      <c r="Q530" s="311"/>
      <c r="R530" s="310"/>
      <c r="S530" s="13"/>
      <c r="T530" s="13"/>
      <c r="U530" s="13"/>
      <c r="V530" s="13"/>
      <c r="W530" s="13"/>
      <c r="X530" s="310"/>
      <c r="Y530" s="311"/>
      <c r="Z530" s="310"/>
      <c r="AA530" s="312"/>
      <c r="AB530" s="13"/>
      <c r="AC530" s="313"/>
      <c r="AD530" s="313"/>
      <c r="AE530" s="313"/>
      <c r="AF530" s="331"/>
      <c r="AG530" s="320"/>
      <c r="AH530" s="13"/>
      <c r="AI530" s="13"/>
      <c r="AJ530" s="13"/>
      <c r="AK530" s="13"/>
      <c r="AL530" s="13"/>
      <c r="AM530" s="13"/>
      <c r="AN530" s="13"/>
      <c r="AO530" s="13"/>
      <c r="AP530" s="13"/>
    </row>
    <row r="531" ht="18.75" customHeight="1">
      <c r="A531" s="13"/>
      <c r="B531" s="282"/>
      <c r="C531" s="330"/>
      <c r="D531" s="330"/>
      <c r="E531" s="330"/>
      <c r="F531" s="13"/>
      <c r="G531" s="309"/>
      <c r="H531" s="309"/>
      <c r="I531" s="309"/>
      <c r="J531" s="310"/>
      <c r="K531" s="310"/>
      <c r="L531" s="310"/>
      <c r="M531" s="310"/>
      <c r="N531" s="310"/>
      <c r="O531" s="311"/>
      <c r="P531" s="310"/>
      <c r="Q531" s="311"/>
      <c r="R531" s="310"/>
      <c r="S531" s="13"/>
      <c r="T531" s="13"/>
      <c r="U531" s="13"/>
      <c r="V531" s="13"/>
      <c r="W531" s="13"/>
      <c r="X531" s="310"/>
      <c r="Y531" s="311"/>
      <c r="Z531" s="310"/>
      <c r="AA531" s="312"/>
      <c r="AB531" s="13"/>
      <c r="AC531" s="313"/>
      <c r="AD531" s="313"/>
      <c r="AE531" s="313"/>
      <c r="AF531" s="331"/>
      <c r="AG531" s="320"/>
      <c r="AH531" s="13"/>
      <c r="AI531" s="13"/>
      <c r="AJ531" s="13"/>
      <c r="AK531" s="13"/>
      <c r="AL531" s="13"/>
      <c r="AM531" s="13"/>
      <c r="AN531" s="13"/>
      <c r="AO531" s="13"/>
      <c r="AP531" s="13"/>
    </row>
    <row r="532" ht="18.75" customHeight="1">
      <c r="A532" s="13"/>
      <c r="B532" s="282"/>
      <c r="C532" s="330"/>
      <c r="D532" s="330"/>
      <c r="E532" s="330"/>
      <c r="F532" s="13"/>
      <c r="G532" s="309"/>
      <c r="H532" s="309"/>
      <c r="I532" s="309"/>
      <c r="J532" s="310"/>
      <c r="K532" s="310"/>
      <c r="L532" s="310"/>
      <c r="M532" s="310"/>
      <c r="N532" s="310"/>
      <c r="O532" s="311"/>
      <c r="P532" s="310"/>
      <c r="Q532" s="311"/>
      <c r="R532" s="310"/>
      <c r="S532" s="13"/>
      <c r="T532" s="13"/>
      <c r="U532" s="13"/>
      <c r="V532" s="13"/>
      <c r="W532" s="13"/>
      <c r="X532" s="310"/>
      <c r="Y532" s="311"/>
      <c r="Z532" s="310"/>
      <c r="AA532" s="312"/>
      <c r="AB532" s="13"/>
      <c r="AC532" s="313"/>
      <c r="AD532" s="313"/>
      <c r="AE532" s="313"/>
      <c r="AF532" s="331"/>
      <c r="AG532" s="320"/>
      <c r="AH532" s="13"/>
      <c r="AI532" s="13"/>
      <c r="AJ532" s="13"/>
      <c r="AK532" s="13"/>
      <c r="AL532" s="13"/>
      <c r="AM532" s="13"/>
      <c r="AN532" s="13"/>
      <c r="AO532" s="13"/>
      <c r="AP532" s="13"/>
    </row>
    <row r="533" ht="18.75" customHeight="1">
      <c r="A533" s="13"/>
      <c r="B533" s="282"/>
      <c r="C533" s="330"/>
      <c r="D533" s="330"/>
      <c r="E533" s="330"/>
      <c r="F533" s="13"/>
      <c r="G533" s="309"/>
      <c r="H533" s="309"/>
      <c r="I533" s="309"/>
      <c r="J533" s="310"/>
      <c r="K533" s="310"/>
      <c r="L533" s="310"/>
      <c r="M533" s="310"/>
      <c r="N533" s="310"/>
      <c r="O533" s="311"/>
      <c r="P533" s="310"/>
      <c r="Q533" s="311"/>
      <c r="R533" s="310"/>
      <c r="S533" s="13"/>
      <c r="T533" s="13"/>
      <c r="U533" s="13"/>
      <c r="V533" s="13"/>
      <c r="W533" s="13"/>
      <c r="X533" s="310"/>
      <c r="Y533" s="311"/>
      <c r="Z533" s="310"/>
      <c r="AA533" s="312"/>
      <c r="AB533" s="13"/>
      <c r="AC533" s="313"/>
      <c r="AD533" s="313"/>
      <c r="AE533" s="313"/>
      <c r="AF533" s="331"/>
      <c r="AG533" s="320"/>
      <c r="AH533" s="13"/>
      <c r="AI533" s="13"/>
      <c r="AJ533" s="13"/>
      <c r="AK533" s="13"/>
      <c r="AL533" s="13"/>
      <c r="AM533" s="13"/>
      <c r="AN533" s="13"/>
      <c r="AO533" s="13"/>
      <c r="AP533" s="13"/>
    </row>
    <row r="534" ht="18.75" customHeight="1">
      <c r="A534" s="13"/>
      <c r="B534" s="282"/>
      <c r="C534" s="330"/>
      <c r="D534" s="330"/>
      <c r="E534" s="330"/>
      <c r="F534" s="13"/>
      <c r="G534" s="309"/>
      <c r="H534" s="309"/>
      <c r="I534" s="309"/>
      <c r="J534" s="310"/>
      <c r="K534" s="310"/>
      <c r="L534" s="310"/>
      <c r="M534" s="310"/>
      <c r="N534" s="310"/>
      <c r="O534" s="311"/>
      <c r="P534" s="310"/>
      <c r="Q534" s="311"/>
      <c r="R534" s="310"/>
      <c r="S534" s="13"/>
      <c r="T534" s="13"/>
      <c r="U534" s="13"/>
      <c r="V534" s="13"/>
      <c r="W534" s="13"/>
      <c r="X534" s="310"/>
      <c r="Y534" s="311"/>
      <c r="Z534" s="310"/>
      <c r="AA534" s="312"/>
      <c r="AB534" s="13"/>
      <c r="AC534" s="313"/>
      <c r="AD534" s="313"/>
      <c r="AE534" s="313"/>
      <c r="AF534" s="331"/>
      <c r="AG534" s="320"/>
      <c r="AH534" s="13"/>
      <c r="AI534" s="13"/>
      <c r="AJ534" s="13"/>
      <c r="AK534" s="13"/>
      <c r="AL534" s="13"/>
      <c r="AM534" s="13"/>
      <c r="AN534" s="13"/>
      <c r="AO534" s="13"/>
      <c r="AP534" s="13"/>
    </row>
    <row r="535" ht="18.75" customHeight="1">
      <c r="A535" s="13"/>
      <c r="B535" s="282"/>
      <c r="C535" s="330"/>
      <c r="D535" s="330"/>
      <c r="E535" s="330"/>
      <c r="F535" s="13"/>
      <c r="G535" s="309"/>
      <c r="H535" s="309"/>
      <c r="I535" s="309"/>
      <c r="J535" s="310"/>
      <c r="K535" s="310"/>
      <c r="L535" s="310"/>
      <c r="M535" s="310"/>
      <c r="N535" s="310"/>
      <c r="O535" s="311"/>
      <c r="P535" s="310"/>
      <c r="Q535" s="311"/>
      <c r="R535" s="310"/>
      <c r="S535" s="13"/>
      <c r="T535" s="13"/>
      <c r="U535" s="13"/>
      <c r="V535" s="13"/>
      <c r="W535" s="13"/>
      <c r="X535" s="310"/>
      <c r="Y535" s="311"/>
      <c r="Z535" s="310"/>
      <c r="AA535" s="312"/>
      <c r="AB535" s="13"/>
      <c r="AC535" s="313"/>
      <c r="AD535" s="313"/>
      <c r="AE535" s="313"/>
      <c r="AF535" s="331"/>
      <c r="AG535" s="320"/>
      <c r="AH535" s="13"/>
      <c r="AI535" s="13"/>
      <c r="AJ535" s="13"/>
      <c r="AK535" s="13"/>
      <c r="AL535" s="13"/>
      <c r="AM535" s="13"/>
      <c r="AN535" s="13"/>
      <c r="AO535" s="13"/>
      <c r="AP535" s="13"/>
    </row>
    <row r="536" ht="18.75" customHeight="1">
      <c r="A536" s="13"/>
      <c r="B536" s="282"/>
      <c r="C536" s="330"/>
      <c r="D536" s="330"/>
      <c r="E536" s="330"/>
      <c r="F536" s="13"/>
      <c r="G536" s="309"/>
      <c r="H536" s="309"/>
      <c r="I536" s="309"/>
      <c r="J536" s="310"/>
      <c r="K536" s="310"/>
      <c r="L536" s="310"/>
      <c r="M536" s="310"/>
      <c r="N536" s="310"/>
      <c r="O536" s="311"/>
      <c r="P536" s="310"/>
      <c r="Q536" s="311"/>
      <c r="R536" s="310"/>
      <c r="S536" s="13"/>
      <c r="T536" s="13"/>
      <c r="U536" s="13"/>
      <c r="V536" s="13"/>
      <c r="W536" s="13"/>
      <c r="X536" s="310"/>
      <c r="Y536" s="311"/>
      <c r="Z536" s="310"/>
      <c r="AA536" s="312"/>
      <c r="AB536" s="13"/>
      <c r="AC536" s="313"/>
      <c r="AD536" s="313"/>
      <c r="AE536" s="313"/>
      <c r="AF536" s="331"/>
      <c r="AG536" s="320"/>
      <c r="AH536" s="13"/>
      <c r="AI536" s="13"/>
      <c r="AJ536" s="13"/>
      <c r="AK536" s="13"/>
      <c r="AL536" s="13"/>
      <c r="AM536" s="13"/>
      <c r="AN536" s="13"/>
      <c r="AO536" s="13"/>
      <c r="AP536" s="13"/>
    </row>
    <row r="537" ht="18.75" customHeight="1">
      <c r="A537" s="13"/>
      <c r="B537" s="282"/>
      <c r="C537" s="330"/>
      <c r="D537" s="330"/>
      <c r="E537" s="330"/>
      <c r="F537" s="13"/>
      <c r="G537" s="309"/>
      <c r="H537" s="309"/>
      <c r="I537" s="309"/>
      <c r="J537" s="310"/>
      <c r="K537" s="310"/>
      <c r="L537" s="310"/>
      <c r="M537" s="310"/>
      <c r="N537" s="310"/>
      <c r="O537" s="311"/>
      <c r="P537" s="310"/>
      <c r="Q537" s="311"/>
      <c r="R537" s="310"/>
      <c r="S537" s="13"/>
      <c r="T537" s="13"/>
      <c r="U537" s="13"/>
      <c r="V537" s="13"/>
      <c r="W537" s="13"/>
      <c r="X537" s="310"/>
      <c r="Y537" s="311"/>
      <c r="Z537" s="310"/>
      <c r="AA537" s="312"/>
      <c r="AB537" s="13"/>
      <c r="AC537" s="313"/>
      <c r="AD537" s="313"/>
      <c r="AE537" s="313"/>
      <c r="AF537" s="331"/>
      <c r="AG537" s="320"/>
      <c r="AH537" s="13"/>
      <c r="AI537" s="13"/>
      <c r="AJ537" s="13"/>
      <c r="AK537" s="13"/>
      <c r="AL537" s="13"/>
      <c r="AM537" s="13"/>
      <c r="AN537" s="13"/>
      <c r="AO537" s="13"/>
      <c r="AP537" s="13"/>
    </row>
    <row r="538" ht="18.75" customHeight="1">
      <c r="A538" s="13"/>
      <c r="B538" s="282"/>
      <c r="C538" s="330"/>
      <c r="D538" s="330"/>
      <c r="E538" s="330"/>
      <c r="F538" s="13"/>
      <c r="G538" s="309"/>
      <c r="H538" s="309"/>
      <c r="I538" s="309"/>
      <c r="J538" s="310"/>
      <c r="K538" s="310"/>
      <c r="L538" s="310"/>
      <c r="M538" s="310"/>
      <c r="N538" s="310"/>
      <c r="O538" s="311"/>
      <c r="P538" s="310"/>
      <c r="Q538" s="311"/>
      <c r="R538" s="310"/>
      <c r="S538" s="13"/>
      <c r="T538" s="13"/>
      <c r="U538" s="13"/>
      <c r="V538" s="13"/>
      <c r="W538" s="13"/>
      <c r="X538" s="310"/>
      <c r="Y538" s="311"/>
      <c r="Z538" s="310"/>
      <c r="AA538" s="312"/>
      <c r="AB538" s="13"/>
      <c r="AC538" s="313"/>
      <c r="AD538" s="313"/>
      <c r="AE538" s="313"/>
      <c r="AF538" s="331"/>
      <c r="AG538" s="320"/>
      <c r="AH538" s="13"/>
      <c r="AI538" s="13"/>
      <c r="AJ538" s="13"/>
      <c r="AK538" s="13"/>
      <c r="AL538" s="13"/>
      <c r="AM538" s="13"/>
      <c r="AN538" s="13"/>
      <c r="AO538" s="13"/>
      <c r="AP538" s="13"/>
    </row>
    <row r="539" ht="18.75" customHeight="1">
      <c r="A539" s="13"/>
      <c r="B539" s="282"/>
      <c r="C539" s="330"/>
      <c r="D539" s="330"/>
      <c r="E539" s="330"/>
      <c r="F539" s="13"/>
      <c r="G539" s="309"/>
      <c r="H539" s="309"/>
      <c r="I539" s="309"/>
      <c r="J539" s="310"/>
      <c r="K539" s="310"/>
      <c r="L539" s="310"/>
      <c r="M539" s="310"/>
      <c r="N539" s="310"/>
      <c r="O539" s="311"/>
      <c r="P539" s="310"/>
      <c r="Q539" s="311"/>
      <c r="R539" s="310"/>
      <c r="S539" s="13"/>
      <c r="T539" s="13"/>
      <c r="U539" s="13"/>
      <c r="V539" s="13"/>
      <c r="W539" s="13"/>
      <c r="X539" s="310"/>
      <c r="Y539" s="311"/>
      <c r="Z539" s="310"/>
      <c r="AA539" s="312"/>
      <c r="AB539" s="13"/>
      <c r="AC539" s="313"/>
      <c r="AD539" s="313"/>
      <c r="AE539" s="313"/>
      <c r="AF539" s="331"/>
      <c r="AG539" s="320"/>
      <c r="AH539" s="13"/>
      <c r="AI539" s="13"/>
      <c r="AJ539" s="13"/>
      <c r="AK539" s="13"/>
      <c r="AL539" s="13"/>
      <c r="AM539" s="13"/>
      <c r="AN539" s="13"/>
      <c r="AO539" s="13"/>
      <c r="AP539" s="13"/>
    </row>
    <row r="540" ht="18.75" customHeight="1">
      <c r="A540" s="13"/>
      <c r="B540" s="282"/>
      <c r="C540" s="330"/>
      <c r="D540" s="330"/>
      <c r="E540" s="330"/>
      <c r="F540" s="13"/>
      <c r="G540" s="309"/>
      <c r="H540" s="309"/>
      <c r="I540" s="309"/>
      <c r="J540" s="310"/>
      <c r="K540" s="310"/>
      <c r="L540" s="310"/>
      <c r="M540" s="310"/>
      <c r="N540" s="310"/>
      <c r="O540" s="311"/>
      <c r="P540" s="310"/>
      <c r="Q540" s="311"/>
      <c r="R540" s="310"/>
      <c r="S540" s="13"/>
      <c r="T540" s="13"/>
      <c r="U540" s="13"/>
      <c r="V540" s="13"/>
      <c r="W540" s="13"/>
      <c r="X540" s="310"/>
      <c r="Y540" s="311"/>
      <c r="Z540" s="310"/>
      <c r="AA540" s="312"/>
      <c r="AB540" s="13"/>
      <c r="AC540" s="313"/>
      <c r="AD540" s="313"/>
      <c r="AE540" s="313"/>
      <c r="AF540" s="331"/>
      <c r="AG540" s="320"/>
      <c r="AH540" s="13"/>
      <c r="AI540" s="13"/>
      <c r="AJ540" s="13"/>
      <c r="AK540" s="13"/>
      <c r="AL540" s="13"/>
      <c r="AM540" s="13"/>
      <c r="AN540" s="13"/>
      <c r="AO540" s="13"/>
      <c r="AP540" s="13"/>
    </row>
    <row r="541" ht="18.75" customHeight="1">
      <c r="A541" s="13"/>
      <c r="B541" s="282"/>
      <c r="C541" s="330"/>
      <c r="D541" s="330"/>
      <c r="E541" s="330"/>
      <c r="F541" s="13"/>
      <c r="G541" s="309"/>
      <c r="H541" s="309"/>
      <c r="I541" s="309"/>
      <c r="J541" s="310"/>
      <c r="K541" s="310"/>
      <c r="L541" s="310"/>
      <c r="M541" s="310"/>
      <c r="N541" s="310"/>
      <c r="O541" s="311"/>
      <c r="P541" s="310"/>
      <c r="Q541" s="311"/>
      <c r="R541" s="310"/>
      <c r="S541" s="13"/>
      <c r="T541" s="13"/>
      <c r="U541" s="13"/>
      <c r="V541" s="13"/>
      <c r="W541" s="13"/>
      <c r="X541" s="310"/>
      <c r="Y541" s="311"/>
      <c r="Z541" s="310"/>
      <c r="AA541" s="312"/>
      <c r="AB541" s="13"/>
      <c r="AC541" s="313"/>
      <c r="AD541" s="313"/>
      <c r="AE541" s="313"/>
      <c r="AF541" s="331"/>
      <c r="AG541" s="320"/>
      <c r="AH541" s="13"/>
      <c r="AI541" s="13"/>
      <c r="AJ541" s="13"/>
      <c r="AK541" s="13"/>
      <c r="AL541" s="13"/>
      <c r="AM541" s="13"/>
      <c r="AN541" s="13"/>
      <c r="AO541" s="13"/>
      <c r="AP541" s="13"/>
    </row>
    <row r="542" ht="18.75" customHeight="1">
      <c r="A542" s="13"/>
      <c r="B542" s="282"/>
      <c r="C542" s="330"/>
      <c r="D542" s="330"/>
      <c r="E542" s="330"/>
      <c r="F542" s="13"/>
      <c r="G542" s="309"/>
      <c r="H542" s="309"/>
      <c r="I542" s="309"/>
      <c r="J542" s="310"/>
      <c r="K542" s="310"/>
      <c r="L542" s="310"/>
      <c r="M542" s="310"/>
      <c r="N542" s="310"/>
      <c r="O542" s="311"/>
      <c r="P542" s="310"/>
      <c r="Q542" s="311"/>
      <c r="R542" s="310"/>
      <c r="S542" s="13"/>
      <c r="T542" s="13"/>
      <c r="U542" s="13"/>
      <c r="V542" s="13"/>
      <c r="W542" s="13"/>
      <c r="X542" s="310"/>
      <c r="Y542" s="311"/>
      <c r="Z542" s="310"/>
      <c r="AA542" s="312"/>
      <c r="AB542" s="13"/>
      <c r="AC542" s="313"/>
      <c r="AD542" s="313"/>
      <c r="AE542" s="313"/>
      <c r="AF542" s="331"/>
      <c r="AG542" s="320"/>
      <c r="AH542" s="13"/>
      <c r="AI542" s="13"/>
      <c r="AJ542" s="13"/>
      <c r="AK542" s="13"/>
      <c r="AL542" s="13"/>
      <c r="AM542" s="13"/>
      <c r="AN542" s="13"/>
      <c r="AO542" s="13"/>
      <c r="AP542" s="13"/>
    </row>
    <row r="543" ht="18.75" customHeight="1">
      <c r="A543" s="13"/>
      <c r="B543" s="282"/>
      <c r="C543" s="330"/>
      <c r="D543" s="330"/>
      <c r="E543" s="330"/>
      <c r="F543" s="13"/>
      <c r="G543" s="309"/>
      <c r="H543" s="309"/>
      <c r="I543" s="309"/>
      <c r="J543" s="310"/>
      <c r="K543" s="310"/>
      <c r="L543" s="310"/>
      <c r="M543" s="310"/>
      <c r="N543" s="310"/>
      <c r="O543" s="311"/>
      <c r="P543" s="310"/>
      <c r="Q543" s="311"/>
      <c r="R543" s="310"/>
      <c r="S543" s="13"/>
      <c r="T543" s="13"/>
      <c r="U543" s="13"/>
      <c r="V543" s="13"/>
      <c r="W543" s="13"/>
      <c r="X543" s="310"/>
      <c r="Y543" s="311"/>
      <c r="Z543" s="310"/>
      <c r="AA543" s="312"/>
      <c r="AB543" s="13"/>
      <c r="AC543" s="313"/>
      <c r="AD543" s="313"/>
      <c r="AE543" s="313"/>
      <c r="AF543" s="331"/>
      <c r="AG543" s="320"/>
      <c r="AH543" s="13"/>
      <c r="AI543" s="13"/>
      <c r="AJ543" s="13"/>
      <c r="AK543" s="13"/>
      <c r="AL543" s="13"/>
      <c r="AM543" s="13"/>
      <c r="AN543" s="13"/>
      <c r="AO543" s="13"/>
      <c r="AP543" s="13"/>
    </row>
    <row r="544" ht="18.75" customHeight="1">
      <c r="A544" s="13"/>
      <c r="B544" s="282"/>
      <c r="C544" s="330"/>
      <c r="D544" s="330"/>
      <c r="E544" s="330"/>
      <c r="F544" s="13"/>
      <c r="G544" s="309"/>
      <c r="H544" s="309"/>
      <c r="I544" s="309"/>
      <c r="J544" s="310"/>
      <c r="K544" s="310"/>
      <c r="L544" s="310"/>
      <c r="M544" s="310"/>
      <c r="N544" s="310"/>
      <c r="O544" s="311"/>
      <c r="P544" s="310"/>
      <c r="Q544" s="311"/>
      <c r="R544" s="310"/>
      <c r="S544" s="13"/>
      <c r="T544" s="13"/>
      <c r="U544" s="13"/>
      <c r="V544" s="13"/>
      <c r="W544" s="13"/>
      <c r="X544" s="310"/>
      <c r="Y544" s="311"/>
      <c r="Z544" s="310"/>
      <c r="AA544" s="312"/>
      <c r="AB544" s="13"/>
      <c r="AC544" s="313"/>
      <c r="AD544" s="313"/>
      <c r="AE544" s="313"/>
      <c r="AF544" s="331"/>
      <c r="AG544" s="320"/>
      <c r="AH544" s="13"/>
      <c r="AI544" s="13"/>
      <c r="AJ544" s="13"/>
      <c r="AK544" s="13"/>
      <c r="AL544" s="13"/>
      <c r="AM544" s="13"/>
      <c r="AN544" s="13"/>
      <c r="AO544" s="13"/>
      <c r="AP544" s="13"/>
    </row>
    <row r="545" ht="18.75" customHeight="1">
      <c r="A545" s="13"/>
      <c r="B545" s="282"/>
      <c r="C545" s="330"/>
      <c r="D545" s="330"/>
      <c r="E545" s="330"/>
      <c r="F545" s="13"/>
      <c r="G545" s="309"/>
      <c r="H545" s="309"/>
      <c r="I545" s="309"/>
      <c r="J545" s="310"/>
      <c r="K545" s="310"/>
      <c r="L545" s="310"/>
      <c r="M545" s="310"/>
      <c r="N545" s="310"/>
      <c r="O545" s="311"/>
      <c r="P545" s="310"/>
      <c r="Q545" s="311"/>
      <c r="R545" s="310"/>
      <c r="S545" s="13"/>
      <c r="T545" s="13"/>
      <c r="U545" s="13"/>
      <c r="V545" s="13"/>
      <c r="W545" s="13"/>
      <c r="X545" s="310"/>
      <c r="Y545" s="311"/>
      <c r="Z545" s="310"/>
      <c r="AA545" s="312"/>
      <c r="AB545" s="13"/>
      <c r="AC545" s="313"/>
      <c r="AD545" s="313"/>
      <c r="AE545" s="313"/>
      <c r="AF545" s="331"/>
      <c r="AG545" s="320"/>
      <c r="AH545" s="13"/>
      <c r="AI545" s="13"/>
      <c r="AJ545" s="13"/>
      <c r="AK545" s="13"/>
      <c r="AL545" s="13"/>
      <c r="AM545" s="13"/>
      <c r="AN545" s="13"/>
      <c r="AO545" s="13"/>
      <c r="AP545" s="13"/>
    </row>
    <row r="546" ht="18.75" customHeight="1">
      <c r="A546" s="13"/>
      <c r="B546" s="282"/>
      <c r="C546" s="330"/>
      <c r="D546" s="330"/>
      <c r="E546" s="330"/>
      <c r="F546" s="13"/>
      <c r="G546" s="309"/>
      <c r="H546" s="309"/>
      <c r="I546" s="309"/>
      <c r="J546" s="310"/>
      <c r="K546" s="310"/>
      <c r="L546" s="310"/>
      <c r="M546" s="310"/>
      <c r="N546" s="310"/>
      <c r="O546" s="311"/>
      <c r="P546" s="310"/>
      <c r="Q546" s="311"/>
      <c r="R546" s="310"/>
      <c r="S546" s="13"/>
      <c r="T546" s="13"/>
      <c r="U546" s="13"/>
      <c r="V546" s="13"/>
      <c r="W546" s="13"/>
      <c r="X546" s="310"/>
      <c r="Y546" s="311"/>
      <c r="Z546" s="310"/>
      <c r="AA546" s="312"/>
      <c r="AB546" s="13"/>
      <c r="AC546" s="313"/>
      <c r="AD546" s="313"/>
      <c r="AE546" s="313"/>
      <c r="AF546" s="331"/>
      <c r="AG546" s="320"/>
      <c r="AH546" s="13"/>
      <c r="AI546" s="13"/>
      <c r="AJ546" s="13"/>
      <c r="AK546" s="13"/>
      <c r="AL546" s="13"/>
      <c r="AM546" s="13"/>
      <c r="AN546" s="13"/>
      <c r="AO546" s="13"/>
      <c r="AP546" s="13"/>
    </row>
    <row r="547" ht="18.75" customHeight="1">
      <c r="A547" s="13"/>
      <c r="B547" s="282"/>
      <c r="C547" s="330"/>
      <c r="D547" s="330"/>
      <c r="E547" s="330"/>
      <c r="F547" s="13"/>
      <c r="G547" s="309"/>
      <c r="H547" s="309"/>
      <c r="I547" s="309"/>
      <c r="J547" s="310"/>
      <c r="K547" s="310"/>
      <c r="L547" s="310"/>
      <c r="M547" s="310"/>
      <c r="N547" s="310"/>
      <c r="O547" s="311"/>
      <c r="P547" s="310"/>
      <c r="Q547" s="311"/>
      <c r="R547" s="310"/>
      <c r="S547" s="13"/>
      <c r="T547" s="13"/>
      <c r="U547" s="13"/>
      <c r="V547" s="13"/>
      <c r="W547" s="13"/>
      <c r="X547" s="310"/>
      <c r="Y547" s="311"/>
      <c r="Z547" s="310"/>
      <c r="AA547" s="312"/>
      <c r="AB547" s="13"/>
      <c r="AC547" s="313"/>
      <c r="AD547" s="313"/>
      <c r="AE547" s="313"/>
      <c r="AF547" s="331"/>
      <c r="AG547" s="320"/>
      <c r="AH547" s="13"/>
      <c r="AI547" s="13"/>
      <c r="AJ547" s="13"/>
      <c r="AK547" s="13"/>
      <c r="AL547" s="13"/>
      <c r="AM547" s="13"/>
      <c r="AN547" s="13"/>
      <c r="AO547" s="13"/>
      <c r="AP547" s="13"/>
    </row>
    <row r="548" ht="18.75" customHeight="1">
      <c r="A548" s="13"/>
      <c r="B548" s="282"/>
      <c r="C548" s="330"/>
      <c r="D548" s="330"/>
      <c r="E548" s="330"/>
      <c r="F548" s="13"/>
      <c r="G548" s="309"/>
      <c r="H548" s="309"/>
      <c r="I548" s="309"/>
      <c r="J548" s="310"/>
      <c r="K548" s="310"/>
      <c r="L548" s="310"/>
      <c r="M548" s="310"/>
      <c r="N548" s="310"/>
      <c r="O548" s="311"/>
      <c r="P548" s="310"/>
      <c r="Q548" s="311"/>
      <c r="R548" s="310"/>
      <c r="S548" s="13"/>
      <c r="T548" s="13"/>
      <c r="U548" s="13"/>
      <c r="V548" s="13"/>
      <c r="W548" s="13"/>
      <c r="X548" s="310"/>
      <c r="Y548" s="311"/>
      <c r="Z548" s="310"/>
      <c r="AA548" s="312"/>
      <c r="AB548" s="13"/>
      <c r="AC548" s="313"/>
      <c r="AD548" s="313"/>
      <c r="AE548" s="313"/>
      <c r="AF548" s="331"/>
      <c r="AG548" s="320"/>
      <c r="AH548" s="13"/>
      <c r="AI548" s="13"/>
      <c r="AJ548" s="13"/>
      <c r="AK548" s="13"/>
      <c r="AL548" s="13"/>
      <c r="AM548" s="13"/>
      <c r="AN548" s="13"/>
      <c r="AO548" s="13"/>
      <c r="AP548" s="13"/>
    </row>
    <row r="549" ht="18.75" customHeight="1">
      <c r="A549" s="13"/>
      <c r="B549" s="282"/>
      <c r="C549" s="330"/>
      <c r="D549" s="330"/>
      <c r="E549" s="330"/>
      <c r="F549" s="13"/>
      <c r="G549" s="309"/>
      <c r="H549" s="309"/>
      <c r="I549" s="309"/>
      <c r="J549" s="310"/>
      <c r="K549" s="310"/>
      <c r="L549" s="310"/>
      <c r="M549" s="310"/>
      <c r="N549" s="310"/>
      <c r="O549" s="311"/>
      <c r="P549" s="310"/>
      <c r="Q549" s="311"/>
      <c r="R549" s="310"/>
      <c r="S549" s="13"/>
      <c r="T549" s="13"/>
      <c r="U549" s="13"/>
      <c r="V549" s="13"/>
      <c r="W549" s="13"/>
      <c r="X549" s="310"/>
      <c r="Y549" s="311"/>
      <c r="Z549" s="310"/>
      <c r="AA549" s="312"/>
      <c r="AB549" s="13"/>
      <c r="AC549" s="313"/>
      <c r="AD549" s="313"/>
      <c r="AE549" s="313"/>
      <c r="AF549" s="331"/>
      <c r="AG549" s="320"/>
      <c r="AH549" s="13"/>
      <c r="AI549" s="13"/>
      <c r="AJ549" s="13"/>
      <c r="AK549" s="13"/>
      <c r="AL549" s="13"/>
      <c r="AM549" s="13"/>
      <c r="AN549" s="13"/>
      <c r="AO549" s="13"/>
      <c r="AP549" s="13"/>
    </row>
    <row r="550" ht="18.75" customHeight="1">
      <c r="A550" s="13"/>
      <c r="B550" s="282"/>
      <c r="C550" s="330"/>
      <c r="D550" s="330"/>
      <c r="E550" s="330"/>
      <c r="F550" s="13"/>
      <c r="G550" s="309"/>
      <c r="H550" s="309"/>
      <c r="I550" s="309"/>
      <c r="J550" s="310"/>
      <c r="K550" s="310"/>
      <c r="L550" s="310"/>
      <c r="M550" s="310"/>
      <c r="N550" s="310"/>
      <c r="O550" s="311"/>
      <c r="P550" s="310"/>
      <c r="Q550" s="311"/>
      <c r="R550" s="310"/>
      <c r="S550" s="13"/>
      <c r="T550" s="13"/>
      <c r="U550" s="13"/>
      <c r="V550" s="13"/>
      <c r="W550" s="13"/>
      <c r="X550" s="310"/>
      <c r="Y550" s="311"/>
      <c r="Z550" s="310"/>
      <c r="AA550" s="312"/>
      <c r="AB550" s="13"/>
      <c r="AC550" s="313"/>
      <c r="AD550" s="313"/>
      <c r="AE550" s="313"/>
      <c r="AF550" s="331"/>
      <c r="AG550" s="320"/>
      <c r="AH550" s="13"/>
      <c r="AI550" s="13"/>
      <c r="AJ550" s="13"/>
      <c r="AK550" s="13"/>
      <c r="AL550" s="13"/>
      <c r="AM550" s="13"/>
      <c r="AN550" s="13"/>
      <c r="AO550" s="13"/>
      <c r="AP550" s="13"/>
    </row>
    <row r="551" ht="18.75" customHeight="1">
      <c r="A551" s="13"/>
      <c r="B551" s="282"/>
      <c r="C551" s="330"/>
      <c r="D551" s="330"/>
      <c r="E551" s="330"/>
      <c r="F551" s="13"/>
      <c r="G551" s="309"/>
      <c r="H551" s="309"/>
      <c r="I551" s="309"/>
      <c r="J551" s="310"/>
      <c r="K551" s="310"/>
      <c r="L551" s="310"/>
      <c r="M551" s="310"/>
      <c r="N551" s="310"/>
      <c r="O551" s="311"/>
      <c r="P551" s="310"/>
      <c r="Q551" s="311"/>
      <c r="R551" s="310"/>
      <c r="S551" s="13"/>
      <c r="T551" s="13"/>
      <c r="U551" s="13"/>
      <c r="V551" s="13"/>
      <c r="W551" s="13"/>
      <c r="X551" s="310"/>
      <c r="Y551" s="311"/>
      <c r="Z551" s="310"/>
      <c r="AA551" s="312"/>
      <c r="AB551" s="13"/>
      <c r="AC551" s="313"/>
      <c r="AD551" s="313"/>
      <c r="AE551" s="313"/>
      <c r="AF551" s="331"/>
      <c r="AG551" s="320"/>
      <c r="AH551" s="13"/>
      <c r="AI551" s="13"/>
      <c r="AJ551" s="13"/>
      <c r="AK551" s="13"/>
      <c r="AL551" s="13"/>
      <c r="AM551" s="13"/>
      <c r="AN551" s="13"/>
      <c r="AO551" s="13"/>
      <c r="AP551" s="13"/>
    </row>
    <row r="552" ht="18.75" customHeight="1">
      <c r="A552" s="13"/>
      <c r="B552" s="282"/>
      <c r="C552" s="330"/>
      <c r="D552" s="330"/>
      <c r="E552" s="330"/>
      <c r="F552" s="13"/>
      <c r="G552" s="309"/>
      <c r="H552" s="309"/>
      <c r="I552" s="309"/>
      <c r="J552" s="310"/>
      <c r="K552" s="310"/>
      <c r="L552" s="310"/>
      <c r="M552" s="310"/>
      <c r="N552" s="310"/>
      <c r="O552" s="311"/>
      <c r="P552" s="310"/>
      <c r="Q552" s="311"/>
      <c r="R552" s="310"/>
      <c r="S552" s="13"/>
      <c r="T552" s="13"/>
      <c r="U552" s="13"/>
      <c r="V552" s="13"/>
      <c r="W552" s="13"/>
      <c r="X552" s="310"/>
      <c r="Y552" s="311"/>
      <c r="Z552" s="310"/>
      <c r="AA552" s="312"/>
      <c r="AB552" s="13"/>
      <c r="AC552" s="313"/>
      <c r="AD552" s="313"/>
      <c r="AE552" s="313"/>
      <c r="AF552" s="331"/>
      <c r="AG552" s="320"/>
      <c r="AH552" s="13"/>
      <c r="AI552" s="13"/>
      <c r="AJ552" s="13"/>
      <c r="AK552" s="13"/>
      <c r="AL552" s="13"/>
      <c r="AM552" s="13"/>
      <c r="AN552" s="13"/>
      <c r="AO552" s="13"/>
      <c r="AP552" s="13"/>
    </row>
    <row r="553" ht="18.75" customHeight="1">
      <c r="A553" s="13"/>
      <c r="B553" s="282"/>
      <c r="C553" s="330"/>
      <c r="D553" s="330"/>
      <c r="E553" s="330"/>
      <c r="F553" s="13"/>
      <c r="G553" s="309"/>
      <c r="H553" s="309"/>
      <c r="I553" s="309"/>
      <c r="J553" s="310"/>
      <c r="K553" s="310"/>
      <c r="L553" s="310"/>
      <c r="M553" s="310"/>
      <c r="N553" s="310"/>
      <c r="O553" s="311"/>
      <c r="P553" s="310"/>
      <c r="Q553" s="311"/>
      <c r="R553" s="310"/>
      <c r="S553" s="13"/>
      <c r="T553" s="13"/>
      <c r="U553" s="13"/>
      <c r="V553" s="13"/>
      <c r="W553" s="13"/>
      <c r="X553" s="310"/>
      <c r="Y553" s="311"/>
      <c r="Z553" s="310"/>
      <c r="AA553" s="312"/>
      <c r="AB553" s="13"/>
      <c r="AC553" s="313"/>
      <c r="AD553" s="313"/>
      <c r="AE553" s="313"/>
      <c r="AF553" s="331"/>
      <c r="AG553" s="320"/>
      <c r="AH553" s="13"/>
      <c r="AI553" s="13"/>
      <c r="AJ553" s="13"/>
      <c r="AK553" s="13"/>
      <c r="AL553" s="13"/>
      <c r="AM553" s="13"/>
      <c r="AN553" s="13"/>
      <c r="AO553" s="13"/>
      <c r="AP553" s="13"/>
    </row>
    <row r="554" ht="18.75" customHeight="1">
      <c r="A554" s="13"/>
      <c r="B554" s="282"/>
      <c r="C554" s="330"/>
      <c r="D554" s="330"/>
      <c r="E554" s="330"/>
      <c r="F554" s="13"/>
      <c r="G554" s="309"/>
      <c r="H554" s="309"/>
      <c r="I554" s="309"/>
      <c r="J554" s="310"/>
      <c r="K554" s="310"/>
      <c r="L554" s="310"/>
      <c r="M554" s="310"/>
      <c r="N554" s="310"/>
      <c r="O554" s="311"/>
      <c r="P554" s="310"/>
      <c r="Q554" s="311"/>
      <c r="R554" s="310"/>
      <c r="S554" s="13"/>
      <c r="T554" s="13"/>
      <c r="U554" s="13"/>
      <c r="V554" s="13"/>
      <c r="W554" s="13"/>
      <c r="X554" s="310"/>
      <c r="Y554" s="311"/>
      <c r="Z554" s="310"/>
      <c r="AA554" s="312"/>
      <c r="AB554" s="13"/>
      <c r="AC554" s="313"/>
      <c r="AD554" s="313"/>
      <c r="AE554" s="313"/>
      <c r="AF554" s="331"/>
      <c r="AG554" s="320"/>
      <c r="AH554" s="13"/>
      <c r="AI554" s="13"/>
      <c r="AJ554" s="13"/>
      <c r="AK554" s="13"/>
      <c r="AL554" s="13"/>
      <c r="AM554" s="13"/>
      <c r="AN554" s="13"/>
      <c r="AO554" s="13"/>
      <c r="AP554" s="13"/>
    </row>
    <row r="555" ht="18.75" customHeight="1">
      <c r="A555" s="13"/>
      <c r="B555" s="282"/>
      <c r="C555" s="330"/>
      <c r="D555" s="330"/>
      <c r="E555" s="330"/>
      <c r="F555" s="13"/>
      <c r="G555" s="309"/>
      <c r="H555" s="309"/>
      <c r="I555" s="309"/>
      <c r="J555" s="310"/>
      <c r="K555" s="310"/>
      <c r="L555" s="310"/>
      <c r="M555" s="310"/>
      <c r="N555" s="310"/>
      <c r="O555" s="311"/>
      <c r="P555" s="310"/>
      <c r="Q555" s="311"/>
      <c r="R555" s="310"/>
      <c r="S555" s="13"/>
      <c r="T555" s="13"/>
      <c r="U555" s="13"/>
      <c r="V555" s="13"/>
      <c r="W555" s="13"/>
      <c r="X555" s="310"/>
      <c r="Y555" s="311"/>
      <c r="Z555" s="310"/>
      <c r="AA555" s="312"/>
      <c r="AB555" s="13"/>
      <c r="AC555" s="313"/>
      <c r="AD555" s="313"/>
      <c r="AE555" s="313"/>
      <c r="AF555" s="331"/>
      <c r="AG555" s="320"/>
      <c r="AH555" s="13"/>
      <c r="AI555" s="13"/>
      <c r="AJ555" s="13"/>
      <c r="AK555" s="13"/>
      <c r="AL555" s="13"/>
      <c r="AM555" s="13"/>
      <c r="AN555" s="13"/>
      <c r="AO555" s="13"/>
      <c r="AP555" s="13"/>
    </row>
    <row r="556" ht="18.75" customHeight="1">
      <c r="A556" s="13"/>
      <c r="B556" s="282"/>
      <c r="C556" s="330"/>
      <c r="D556" s="330"/>
      <c r="E556" s="330"/>
      <c r="F556" s="13"/>
      <c r="G556" s="309"/>
      <c r="H556" s="309"/>
      <c r="I556" s="309"/>
      <c r="J556" s="310"/>
      <c r="K556" s="310"/>
      <c r="L556" s="310"/>
      <c r="M556" s="310"/>
      <c r="N556" s="310"/>
      <c r="O556" s="311"/>
      <c r="P556" s="310"/>
      <c r="Q556" s="311"/>
      <c r="R556" s="310"/>
      <c r="S556" s="13"/>
      <c r="T556" s="13"/>
      <c r="U556" s="13"/>
      <c r="V556" s="13"/>
      <c r="W556" s="13"/>
      <c r="X556" s="310"/>
      <c r="Y556" s="311"/>
      <c r="Z556" s="310"/>
      <c r="AA556" s="312"/>
      <c r="AB556" s="13"/>
      <c r="AC556" s="313"/>
      <c r="AD556" s="313"/>
      <c r="AE556" s="313"/>
      <c r="AF556" s="331"/>
      <c r="AG556" s="320"/>
      <c r="AH556" s="13"/>
      <c r="AI556" s="13"/>
      <c r="AJ556" s="13"/>
      <c r="AK556" s="13"/>
      <c r="AL556" s="13"/>
      <c r="AM556" s="13"/>
      <c r="AN556" s="13"/>
      <c r="AO556" s="13"/>
      <c r="AP556" s="13"/>
    </row>
    <row r="557" ht="18.75" customHeight="1">
      <c r="A557" s="13"/>
      <c r="B557" s="282"/>
      <c r="C557" s="330"/>
      <c r="D557" s="330"/>
      <c r="E557" s="330"/>
      <c r="F557" s="13"/>
      <c r="G557" s="309"/>
      <c r="H557" s="309"/>
      <c r="I557" s="309"/>
      <c r="J557" s="310"/>
      <c r="K557" s="310"/>
      <c r="L557" s="310"/>
      <c r="M557" s="310"/>
      <c r="N557" s="310"/>
      <c r="O557" s="311"/>
      <c r="P557" s="310"/>
      <c r="Q557" s="311"/>
      <c r="R557" s="310"/>
      <c r="S557" s="13"/>
      <c r="T557" s="13"/>
      <c r="U557" s="13"/>
      <c r="V557" s="13"/>
      <c r="W557" s="13"/>
      <c r="X557" s="310"/>
      <c r="Y557" s="311"/>
      <c r="Z557" s="310"/>
      <c r="AA557" s="312"/>
      <c r="AB557" s="13"/>
      <c r="AC557" s="313"/>
      <c r="AD557" s="313"/>
      <c r="AE557" s="313"/>
      <c r="AF557" s="331"/>
      <c r="AG557" s="320"/>
      <c r="AH557" s="13"/>
      <c r="AI557" s="13"/>
      <c r="AJ557" s="13"/>
      <c r="AK557" s="13"/>
      <c r="AL557" s="13"/>
      <c r="AM557" s="13"/>
      <c r="AN557" s="13"/>
      <c r="AO557" s="13"/>
      <c r="AP557" s="13"/>
    </row>
    <row r="558" ht="18.75" customHeight="1">
      <c r="A558" s="13"/>
      <c r="B558" s="282"/>
      <c r="C558" s="330"/>
      <c r="D558" s="330"/>
      <c r="E558" s="330"/>
      <c r="F558" s="13"/>
      <c r="G558" s="309"/>
      <c r="H558" s="309"/>
      <c r="I558" s="309"/>
      <c r="J558" s="310"/>
      <c r="K558" s="310"/>
      <c r="L558" s="310"/>
      <c r="M558" s="310"/>
      <c r="N558" s="310"/>
      <c r="O558" s="311"/>
      <c r="P558" s="310"/>
      <c r="Q558" s="311"/>
      <c r="R558" s="310"/>
      <c r="S558" s="13"/>
      <c r="T558" s="13"/>
      <c r="U558" s="13"/>
      <c r="V558" s="13"/>
      <c r="W558" s="13"/>
      <c r="X558" s="310"/>
      <c r="Y558" s="311"/>
      <c r="Z558" s="310"/>
      <c r="AA558" s="312"/>
      <c r="AB558" s="13"/>
      <c r="AC558" s="313"/>
      <c r="AD558" s="313"/>
      <c r="AE558" s="313"/>
      <c r="AF558" s="331"/>
      <c r="AG558" s="320"/>
      <c r="AH558" s="13"/>
      <c r="AI558" s="13"/>
      <c r="AJ558" s="13"/>
      <c r="AK558" s="13"/>
      <c r="AL558" s="13"/>
      <c r="AM558" s="13"/>
      <c r="AN558" s="13"/>
      <c r="AO558" s="13"/>
      <c r="AP558" s="13"/>
    </row>
    <row r="559" ht="18.75" customHeight="1">
      <c r="A559" s="13"/>
      <c r="B559" s="282"/>
      <c r="C559" s="330"/>
      <c r="D559" s="330"/>
      <c r="E559" s="330"/>
      <c r="F559" s="13"/>
      <c r="G559" s="309"/>
      <c r="H559" s="309"/>
      <c r="I559" s="309"/>
      <c r="J559" s="310"/>
      <c r="K559" s="310"/>
      <c r="L559" s="310"/>
      <c r="M559" s="310"/>
      <c r="N559" s="310"/>
      <c r="O559" s="311"/>
      <c r="P559" s="310"/>
      <c r="Q559" s="311"/>
      <c r="R559" s="310"/>
      <c r="S559" s="13"/>
      <c r="T559" s="13"/>
      <c r="U559" s="13"/>
      <c r="V559" s="13"/>
      <c r="W559" s="13"/>
      <c r="X559" s="310"/>
      <c r="Y559" s="311"/>
      <c r="Z559" s="310"/>
      <c r="AA559" s="312"/>
      <c r="AB559" s="13"/>
      <c r="AC559" s="313"/>
      <c r="AD559" s="313"/>
      <c r="AE559" s="313"/>
      <c r="AF559" s="331"/>
      <c r="AG559" s="320"/>
      <c r="AH559" s="13"/>
      <c r="AI559" s="13"/>
      <c r="AJ559" s="13"/>
      <c r="AK559" s="13"/>
      <c r="AL559" s="13"/>
      <c r="AM559" s="13"/>
      <c r="AN559" s="13"/>
      <c r="AO559" s="13"/>
      <c r="AP559" s="13"/>
    </row>
    <row r="560" ht="18.75" customHeight="1">
      <c r="A560" s="13"/>
      <c r="B560" s="282"/>
      <c r="C560" s="330"/>
      <c r="D560" s="330"/>
      <c r="E560" s="330"/>
      <c r="F560" s="13"/>
      <c r="G560" s="309"/>
      <c r="H560" s="309"/>
      <c r="I560" s="309"/>
      <c r="J560" s="310"/>
      <c r="K560" s="310"/>
      <c r="L560" s="310"/>
      <c r="M560" s="310"/>
      <c r="N560" s="310"/>
      <c r="O560" s="311"/>
      <c r="P560" s="310"/>
      <c r="Q560" s="311"/>
      <c r="R560" s="310"/>
      <c r="S560" s="13"/>
      <c r="T560" s="13"/>
      <c r="U560" s="13"/>
      <c r="V560" s="13"/>
      <c r="W560" s="13"/>
      <c r="X560" s="310"/>
      <c r="Y560" s="311"/>
      <c r="Z560" s="310"/>
      <c r="AA560" s="312"/>
      <c r="AB560" s="13"/>
      <c r="AC560" s="313"/>
      <c r="AD560" s="313"/>
      <c r="AE560" s="313"/>
      <c r="AF560" s="331"/>
      <c r="AG560" s="320"/>
      <c r="AH560" s="13"/>
      <c r="AI560" s="13"/>
      <c r="AJ560" s="13"/>
      <c r="AK560" s="13"/>
      <c r="AL560" s="13"/>
      <c r="AM560" s="13"/>
      <c r="AN560" s="13"/>
      <c r="AO560" s="13"/>
      <c r="AP560" s="13"/>
    </row>
    <row r="561" ht="18.75" customHeight="1">
      <c r="A561" s="13"/>
      <c r="B561" s="282"/>
      <c r="C561" s="330"/>
      <c r="D561" s="330"/>
      <c r="E561" s="330"/>
      <c r="F561" s="13"/>
      <c r="G561" s="309"/>
      <c r="H561" s="309"/>
      <c r="I561" s="309"/>
      <c r="J561" s="310"/>
      <c r="K561" s="310"/>
      <c r="L561" s="310"/>
      <c r="M561" s="310"/>
      <c r="N561" s="310"/>
      <c r="O561" s="311"/>
      <c r="P561" s="310"/>
      <c r="Q561" s="311"/>
      <c r="R561" s="310"/>
      <c r="S561" s="13"/>
      <c r="T561" s="13"/>
      <c r="U561" s="13"/>
      <c r="V561" s="13"/>
      <c r="W561" s="13"/>
      <c r="X561" s="310"/>
      <c r="Y561" s="311"/>
      <c r="Z561" s="310"/>
      <c r="AA561" s="312"/>
      <c r="AB561" s="13"/>
      <c r="AC561" s="313"/>
      <c r="AD561" s="313"/>
      <c r="AE561" s="313"/>
      <c r="AF561" s="331"/>
      <c r="AG561" s="320"/>
      <c r="AH561" s="13"/>
      <c r="AI561" s="13"/>
      <c r="AJ561" s="13"/>
      <c r="AK561" s="13"/>
      <c r="AL561" s="13"/>
      <c r="AM561" s="13"/>
      <c r="AN561" s="13"/>
      <c r="AO561" s="13"/>
      <c r="AP561" s="13"/>
    </row>
    <row r="562" ht="18.75" customHeight="1">
      <c r="A562" s="13"/>
      <c r="B562" s="282"/>
      <c r="C562" s="330"/>
      <c r="D562" s="330"/>
      <c r="E562" s="330"/>
      <c r="F562" s="13"/>
      <c r="G562" s="309"/>
      <c r="H562" s="309"/>
      <c r="I562" s="309"/>
      <c r="J562" s="310"/>
      <c r="K562" s="310"/>
      <c r="L562" s="310"/>
      <c r="M562" s="310"/>
      <c r="N562" s="310"/>
      <c r="O562" s="311"/>
      <c r="P562" s="310"/>
      <c r="Q562" s="311"/>
      <c r="R562" s="310"/>
      <c r="S562" s="13"/>
      <c r="T562" s="13"/>
      <c r="U562" s="13"/>
      <c r="V562" s="13"/>
      <c r="W562" s="13"/>
      <c r="X562" s="310"/>
      <c r="Y562" s="311"/>
      <c r="Z562" s="310"/>
      <c r="AA562" s="312"/>
      <c r="AB562" s="13"/>
      <c r="AC562" s="313"/>
      <c r="AD562" s="313"/>
      <c r="AE562" s="313"/>
      <c r="AF562" s="331"/>
      <c r="AG562" s="320"/>
      <c r="AH562" s="13"/>
      <c r="AI562" s="13"/>
      <c r="AJ562" s="13"/>
      <c r="AK562" s="13"/>
      <c r="AL562" s="13"/>
      <c r="AM562" s="13"/>
      <c r="AN562" s="13"/>
      <c r="AO562" s="13"/>
      <c r="AP562" s="13"/>
    </row>
    <row r="563" ht="18.75" customHeight="1">
      <c r="A563" s="13"/>
      <c r="B563" s="282"/>
      <c r="C563" s="330"/>
      <c r="D563" s="330"/>
      <c r="E563" s="330"/>
      <c r="F563" s="13"/>
      <c r="G563" s="309"/>
      <c r="H563" s="309"/>
      <c r="I563" s="309"/>
      <c r="J563" s="310"/>
      <c r="K563" s="310"/>
      <c r="L563" s="310"/>
      <c r="M563" s="310"/>
      <c r="N563" s="310"/>
      <c r="O563" s="311"/>
      <c r="P563" s="310"/>
      <c r="Q563" s="311"/>
      <c r="R563" s="310"/>
      <c r="S563" s="13"/>
      <c r="T563" s="13"/>
      <c r="U563" s="13"/>
      <c r="V563" s="13"/>
      <c r="W563" s="13"/>
      <c r="X563" s="310"/>
      <c r="Y563" s="311"/>
      <c r="Z563" s="310"/>
      <c r="AA563" s="312"/>
      <c r="AB563" s="13"/>
      <c r="AC563" s="313"/>
      <c r="AD563" s="313"/>
      <c r="AE563" s="313"/>
      <c r="AF563" s="331"/>
      <c r="AG563" s="320"/>
      <c r="AH563" s="13"/>
      <c r="AI563" s="13"/>
      <c r="AJ563" s="13"/>
      <c r="AK563" s="13"/>
      <c r="AL563" s="13"/>
      <c r="AM563" s="13"/>
      <c r="AN563" s="13"/>
      <c r="AO563" s="13"/>
      <c r="AP563" s="13"/>
    </row>
    <row r="564" ht="18.75" customHeight="1">
      <c r="A564" s="13"/>
      <c r="B564" s="282"/>
      <c r="C564" s="330"/>
      <c r="D564" s="330"/>
      <c r="E564" s="330"/>
      <c r="F564" s="13"/>
      <c r="G564" s="309"/>
      <c r="H564" s="309"/>
      <c r="I564" s="309"/>
      <c r="J564" s="310"/>
      <c r="K564" s="310"/>
      <c r="L564" s="310"/>
      <c r="M564" s="310"/>
      <c r="N564" s="310"/>
      <c r="O564" s="311"/>
      <c r="P564" s="310"/>
      <c r="Q564" s="311"/>
      <c r="R564" s="310"/>
      <c r="S564" s="13"/>
      <c r="T564" s="13"/>
      <c r="U564" s="13"/>
      <c r="V564" s="13"/>
      <c r="W564" s="13"/>
      <c r="X564" s="310"/>
      <c r="Y564" s="311"/>
      <c r="Z564" s="310"/>
      <c r="AA564" s="312"/>
      <c r="AB564" s="13"/>
      <c r="AC564" s="313"/>
      <c r="AD564" s="313"/>
      <c r="AE564" s="313"/>
      <c r="AF564" s="331"/>
      <c r="AG564" s="320"/>
      <c r="AH564" s="13"/>
      <c r="AI564" s="13"/>
      <c r="AJ564" s="13"/>
      <c r="AK564" s="13"/>
      <c r="AL564" s="13"/>
      <c r="AM564" s="13"/>
      <c r="AN564" s="13"/>
      <c r="AO564" s="13"/>
      <c r="AP564" s="13"/>
    </row>
    <row r="565" ht="18.75" customHeight="1">
      <c r="A565" s="13"/>
      <c r="B565" s="282"/>
      <c r="C565" s="330"/>
      <c r="D565" s="330"/>
      <c r="E565" s="330"/>
      <c r="F565" s="13"/>
      <c r="G565" s="309"/>
      <c r="H565" s="309"/>
      <c r="I565" s="309"/>
      <c r="J565" s="310"/>
      <c r="K565" s="310"/>
      <c r="L565" s="310"/>
      <c r="M565" s="310"/>
      <c r="N565" s="310"/>
      <c r="O565" s="311"/>
      <c r="P565" s="310"/>
      <c r="Q565" s="311"/>
      <c r="R565" s="310"/>
      <c r="S565" s="13"/>
      <c r="T565" s="13"/>
      <c r="U565" s="13"/>
      <c r="V565" s="13"/>
      <c r="W565" s="13"/>
      <c r="X565" s="310"/>
      <c r="Y565" s="311"/>
      <c r="Z565" s="310"/>
      <c r="AA565" s="312"/>
      <c r="AB565" s="13"/>
      <c r="AC565" s="313"/>
      <c r="AD565" s="313"/>
      <c r="AE565" s="313"/>
      <c r="AF565" s="331"/>
      <c r="AG565" s="320"/>
      <c r="AH565" s="13"/>
      <c r="AI565" s="13"/>
      <c r="AJ565" s="13"/>
      <c r="AK565" s="13"/>
      <c r="AL565" s="13"/>
      <c r="AM565" s="13"/>
      <c r="AN565" s="13"/>
      <c r="AO565" s="13"/>
      <c r="AP565" s="13"/>
    </row>
    <row r="566" ht="18.75" customHeight="1">
      <c r="A566" s="13"/>
      <c r="B566" s="282"/>
      <c r="C566" s="330"/>
      <c r="D566" s="330"/>
      <c r="E566" s="330"/>
      <c r="F566" s="13"/>
      <c r="G566" s="309"/>
      <c r="H566" s="309"/>
      <c r="I566" s="309"/>
      <c r="J566" s="310"/>
      <c r="K566" s="310"/>
      <c r="L566" s="310"/>
      <c r="M566" s="310"/>
      <c r="N566" s="310"/>
      <c r="O566" s="311"/>
      <c r="P566" s="310"/>
      <c r="Q566" s="311"/>
      <c r="R566" s="310"/>
      <c r="S566" s="13"/>
      <c r="T566" s="13"/>
      <c r="U566" s="13"/>
      <c r="V566" s="13"/>
      <c r="W566" s="13"/>
      <c r="X566" s="310"/>
      <c r="Y566" s="311"/>
      <c r="Z566" s="310"/>
      <c r="AA566" s="312"/>
      <c r="AB566" s="13"/>
      <c r="AC566" s="313"/>
      <c r="AD566" s="313"/>
      <c r="AE566" s="313"/>
      <c r="AF566" s="331"/>
      <c r="AG566" s="320"/>
      <c r="AH566" s="13"/>
      <c r="AI566" s="13"/>
      <c r="AJ566" s="13"/>
      <c r="AK566" s="13"/>
      <c r="AL566" s="13"/>
      <c r="AM566" s="13"/>
      <c r="AN566" s="13"/>
      <c r="AO566" s="13"/>
      <c r="AP566" s="13"/>
    </row>
    <row r="567" ht="18.75" customHeight="1">
      <c r="A567" s="13"/>
      <c r="B567" s="282"/>
      <c r="C567" s="330"/>
      <c r="D567" s="330"/>
      <c r="E567" s="330"/>
      <c r="F567" s="13"/>
      <c r="G567" s="309"/>
      <c r="H567" s="309"/>
      <c r="I567" s="309"/>
      <c r="J567" s="310"/>
      <c r="K567" s="310"/>
      <c r="L567" s="310"/>
      <c r="M567" s="310"/>
      <c r="N567" s="310"/>
      <c r="O567" s="311"/>
      <c r="P567" s="310"/>
      <c r="Q567" s="311"/>
      <c r="R567" s="310"/>
      <c r="S567" s="13"/>
      <c r="T567" s="13"/>
      <c r="U567" s="13"/>
      <c r="V567" s="13"/>
      <c r="W567" s="13"/>
      <c r="X567" s="310"/>
      <c r="Y567" s="311"/>
      <c r="Z567" s="310"/>
      <c r="AA567" s="312"/>
      <c r="AB567" s="13"/>
      <c r="AC567" s="313"/>
      <c r="AD567" s="313"/>
      <c r="AE567" s="313"/>
      <c r="AF567" s="331"/>
      <c r="AG567" s="320"/>
      <c r="AH567" s="13"/>
      <c r="AI567" s="13"/>
      <c r="AJ567" s="13"/>
      <c r="AK567" s="13"/>
      <c r="AL567" s="13"/>
      <c r="AM567" s="13"/>
      <c r="AN567" s="13"/>
      <c r="AO567" s="13"/>
      <c r="AP567" s="13"/>
    </row>
    <row r="568" ht="18.75" customHeight="1">
      <c r="A568" s="13"/>
      <c r="B568" s="282"/>
      <c r="C568" s="330"/>
      <c r="D568" s="330"/>
      <c r="E568" s="330"/>
      <c r="F568" s="13"/>
      <c r="G568" s="309"/>
      <c r="H568" s="309"/>
      <c r="I568" s="309"/>
      <c r="J568" s="310"/>
      <c r="K568" s="310"/>
      <c r="L568" s="310"/>
      <c r="M568" s="310"/>
      <c r="N568" s="310"/>
      <c r="O568" s="311"/>
      <c r="P568" s="310"/>
      <c r="Q568" s="311"/>
      <c r="R568" s="310"/>
      <c r="S568" s="13"/>
      <c r="T568" s="13"/>
      <c r="U568" s="13"/>
      <c r="V568" s="13"/>
      <c r="W568" s="13"/>
      <c r="X568" s="310"/>
      <c r="Y568" s="311"/>
      <c r="Z568" s="310"/>
      <c r="AA568" s="312"/>
      <c r="AB568" s="13"/>
      <c r="AC568" s="313"/>
      <c r="AD568" s="313"/>
      <c r="AE568" s="313"/>
      <c r="AF568" s="331"/>
      <c r="AG568" s="320"/>
      <c r="AH568" s="13"/>
      <c r="AI568" s="13"/>
      <c r="AJ568" s="13"/>
      <c r="AK568" s="13"/>
      <c r="AL568" s="13"/>
      <c r="AM568" s="13"/>
      <c r="AN568" s="13"/>
      <c r="AO568" s="13"/>
      <c r="AP568" s="13"/>
    </row>
    <row r="569" ht="18.75" customHeight="1">
      <c r="A569" s="13"/>
      <c r="B569" s="282"/>
      <c r="C569" s="330"/>
      <c r="D569" s="330"/>
      <c r="E569" s="330"/>
      <c r="F569" s="13"/>
      <c r="G569" s="309"/>
      <c r="H569" s="309"/>
      <c r="I569" s="309"/>
      <c r="J569" s="310"/>
      <c r="K569" s="310"/>
      <c r="L569" s="310"/>
      <c r="M569" s="310"/>
      <c r="N569" s="310"/>
      <c r="O569" s="311"/>
      <c r="P569" s="310"/>
      <c r="Q569" s="311"/>
      <c r="R569" s="310"/>
      <c r="S569" s="13"/>
      <c r="T569" s="13"/>
      <c r="U569" s="13"/>
      <c r="V569" s="13"/>
      <c r="W569" s="13"/>
      <c r="X569" s="310"/>
      <c r="Y569" s="311"/>
      <c r="Z569" s="310"/>
      <c r="AA569" s="312"/>
      <c r="AB569" s="13"/>
      <c r="AC569" s="313"/>
      <c r="AD569" s="313"/>
      <c r="AE569" s="313"/>
      <c r="AF569" s="331"/>
      <c r="AG569" s="320"/>
      <c r="AH569" s="13"/>
      <c r="AI569" s="13"/>
      <c r="AJ569" s="13"/>
      <c r="AK569" s="13"/>
      <c r="AL569" s="13"/>
      <c r="AM569" s="13"/>
      <c r="AN569" s="13"/>
      <c r="AO569" s="13"/>
      <c r="AP569" s="13"/>
    </row>
    <row r="570" ht="18.75" customHeight="1">
      <c r="A570" s="13"/>
      <c r="B570" s="282"/>
      <c r="C570" s="330"/>
      <c r="D570" s="330"/>
      <c r="E570" s="330"/>
      <c r="F570" s="13"/>
      <c r="G570" s="309"/>
      <c r="H570" s="309"/>
      <c r="I570" s="309"/>
      <c r="J570" s="310"/>
      <c r="K570" s="310"/>
      <c r="L570" s="310"/>
      <c r="M570" s="310"/>
      <c r="N570" s="310"/>
      <c r="O570" s="311"/>
      <c r="P570" s="310"/>
      <c r="Q570" s="311"/>
      <c r="R570" s="310"/>
      <c r="S570" s="13"/>
      <c r="T570" s="13"/>
      <c r="U570" s="13"/>
      <c r="V570" s="13"/>
      <c r="W570" s="13"/>
      <c r="X570" s="310"/>
      <c r="Y570" s="311"/>
      <c r="Z570" s="310"/>
      <c r="AA570" s="312"/>
      <c r="AB570" s="13"/>
      <c r="AC570" s="313"/>
      <c r="AD570" s="313"/>
      <c r="AE570" s="313"/>
      <c r="AF570" s="331"/>
      <c r="AG570" s="320"/>
      <c r="AH570" s="13"/>
      <c r="AI570" s="13"/>
      <c r="AJ570" s="13"/>
      <c r="AK570" s="13"/>
      <c r="AL570" s="13"/>
      <c r="AM570" s="13"/>
      <c r="AN570" s="13"/>
      <c r="AO570" s="13"/>
      <c r="AP570" s="13"/>
    </row>
    <row r="571" ht="18.75" customHeight="1">
      <c r="A571" s="13"/>
      <c r="B571" s="282"/>
      <c r="C571" s="330"/>
      <c r="D571" s="330"/>
      <c r="E571" s="330"/>
      <c r="F571" s="13"/>
      <c r="G571" s="309"/>
      <c r="H571" s="309"/>
      <c r="I571" s="309"/>
      <c r="J571" s="310"/>
      <c r="K571" s="310"/>
      <c r="L571" s="310"/>
      <c r="M571" s="310"/>
      <c r="N571" s="310"/>
      <c r="O571" s="311"/>
      <c r="P571" s="310"/>
      <c r="Q571" s="311"/>
      <c r="R571" s="310"/>
      <c r="S571" s="13"/>
      <c r="T571" s="13"/>
      <c r="U571" s="13"/>
      <c r="V571" s="13"/>
      <c r="W571" s="13"/>
      <c r="X571" s="310"/>
      <c r="Y571" s="311"/>
      <c r="Z571" s="310"/>
      <c r="AA571" s="312"/>
      <c r="AB571" s="13"/>
      <c r="AC571" s="313"/>
      <c r="AD571" s="313"/>
      <c r="AE571" s="313"/>
      <c r="AF571" s="331"/>
      <c r="AG571" s="320"/>
      <c r="AH571" s="13"/>
      <c r="AI571" s="13"/>
      <c r="AJ571" s="13"/>
      <c r="AK571" s="13"/>
      <c r="AL571" s="13"/>
      <c r="AM571" s="13"/>
      <c r="AN571" s="13"/>
      <c r="AO571" s="13"/>
      <c r="AP571" s="13"/>
    </row>
    <row r="572" ht="18.75" customHeight="1">
      <c r="A572" s="13"/>
      <c r="B572" s="282"/>
      <c r="C572" s="330"/>
      <c r="D572" s="330"/>
      <c r="E572" s="330"/>
      <c r="F572" s="13"/>
      <c r="G572" s="309"/>
      <c r="H572" s="309"/>
      <c r="I572" s="309"/>
      <c r="J572" s="310"/>
      <c r="K572" s="310"/>
      <c r="L572" s="310"/>
      <c r="M572" s="310"/>
      <c r="N572" s="310"/>
      <c r="O572" s="311"/>
      <c r="P572" s="310"/>
      <c r="Q572" s="311"/>
      <c r="R572" s="310"/>
      <c r="S572" s="13"/>
      <c r="T572" s="13"/>
      <c r="U572" s="13"/>
      <c r="V572" s="13"/>
      <c r="W572" s="13"/>
      <c r="X572" s="310"/>
      <c r="Y572" s="311"/>
      <c r="Z572" s="310"/>
      <c r="AA572" s="312"/>
      <c r="AB572" s="13"/>
      <c r="AC572" s="313"/>
      <c r="AD572" s="313"/>
      <c r="AE572" s="313"/>
      <c r="AF572" s="331"/>
      <c r="AG572" s="320"/>
      <c r="AH572" s="13"/>
      <c r="AI572" s="13"/>
      <c r="AJ572" s="13"/>
      <c r="AK572" s="13"/>
      <c r="AL572" s="13"/>
      <c r="AM572" s="13"/>
      <c r="AN572" s="13"/>
      <c r="AO572" s="13"/>
      <c r="AP572" s="13"/>
    </row>
    <row r="573" ht="18.75" customHeight="1">
      <c r="A573" s="13"/>
      <c r="B573" s="282"/>
      <c r="C573" s="330"/>
      <c r="D573" s="330"/>
      <c r="E573" s="330"/>
      <c r="F573" s="13"/>
      <c r="G573" s="309"/>
      <c r="H573" s="309"/>
      <c r="I573" s="309"/>
      <c r="J573" s="310"/>
      <c r="K573" s="310"/>
      <c r="L573" s="310"/>
      <c r="M573" s="310"/>
      <c r="N573" s="310"/>
      <c r="O573" s="311"/>
      <c r="P573" s="310"/>
      <c r="Q573" s="311"/>
      <c r="R573" s="310"/>
      <c r="S573" s="13"/>
      <c r="T573" s="13"/>
      <c r="U573" s="13"/>
      <c r="V573" s="13"/>
      <c r="W573" s="13"/>
      <c r="X573" s="310"/>
      <c r="Y573" s="311"/>
      <c r="Z573" s="310"/>
      <c r="AA573" s="312"/>
      <c r="AB573" s="13"/>
      <c r="AC573" s="313"/>
      <c r="AD573" s="313"/>
      <c r="AE573" s="313"/>
      <c r="AF573" s="331"/>
      <c r="AG573" s="320"/>
      <c r="AH573" s="13"/>
      <c r="AI573" s="13"/>
      <c r="AJ573" s="13"/>
      <c r="AK573" s="13"/>
      <c r="AL573" s="13"/>
      <c r="AM573" s="13"/>
      <c r="AN573" s="13"/>
      <c r="AO573" s="13"/>
      <c r="AP573" s="13"/>
    </row>
    <row r="574" ht="18.75" customHeight="1">
      <c r="A574" s="13"/>
      <c r="B574" s="282"/>
      <c r="C574" s="330"/>
      <c r="D574" s="330"/>
      <c r="E574" s="330"/>
      <c r="F574" s="13"/>
      <c r="G574" s="309"/>
      <c r="H574" s="309"/>
      <c r="I574" s="309"/>
      <c r="J574" s="310"/>
      <c r="K574" s="310"/>
      <c r="L574" s="310"/>
      <c r="M574" s="310"/>
      <c r="N574" s="310"/>
      <c r="O574" s="311"/>
      <c r="P574" s="310"/>
      <c r="Q574" s="311"/>
      <c r="R574" s="310"/>
      <c r="S574" s="13"/>
      <c r="T574" s="13"/>
      <c r="U574" s="13"/>
      <c r="V574" s="13"/>
      <c r="W574" s="13"/>
      <c r="X574" s="310"/>
      <c r="Y574" s="311"/>
      <c r="Z574" s="310"/>
      <c r="AA574" s="312"/>
      <c r="AB574" s="13"/>
      <c r="AC574" s="313"/>
      <c r="AD574" s="313"/>
      <c r="AE574" s="313"/>
      <c r="AF574" s="331"/>
      <c r="AG574" s="320"/>
      <c r="AH574" s="13"/>
      <c r="AI574" s="13"/>
      <c r="AJ574" s="13"/>
      <c r="AK574" s="13"/>
      <c r="AL574" s="13"/>
      <c r="AM574" s="13"/>
      <c r="AN574" s="13"/>
      <c r="AO574" s="13"/>
      <c r="AP574" s="13"/>
    </row>
    <row r="575" ht="18.75" customHeight="1">
      <c r="A575" s="13"/>
      <c r="B575" s="282"/>
      <c r="C575" s="330"/>
      <c r="D575" s="330"/>
      <c r="E575" s="330"/>
      <c r="F575" s="13"/>
      <c r="G575" s="309"/>
      <c r="H575" s="309"/>
      <c r="I575" s="309"/>
      <c r="J575" s="310"/>
      <c r="K575" s="310"/>
      <c r="L575" s="310"/>
      <c r="M575" s="310"/>
      <c r="N575" s="310"/>
      <c r="O575" s="311"/>
      <c r="P575" s="310"/>
      <c r="Q575" s="311"/>
      <c r="R575" s="310"/>
      <c r="S575" s="13"/>
      <c r="T575" s="13"/>
      <c r="U575" s="13"/>
      <c r="V575" s="13"/>
      <c r="W575" s="13"/>
      <c r="X575" s="310"/>
      <c r="Y575" s="311"/>
      <c r="Z575" s="310"/>
      <c r="AA575" s="312"/>
      <c r="AB575" s="13"/>
      <c r="AC575" s="313"/>
      <c r="AD575" s="313"/>
      <c r="AE575" s="313"/>
      <c r="AF575" s="331"/>
      <c r="AG575" s="320"/>
      <c r="AH575" s="13"/>
      <c r="AI575" s="13"/>
      <c r="AJ575" s="13"/>
      <c r="AK575" s="13"/>
      <c r="AL575" s="13"/>
      <c r="AM575" s="13"/>
      <c r="AN575" s="13"/>
      <c r="AO575" s="13"/>
      <c r="AP575" s="13"/>
    </row>
    <row r="576" ht="18.75" customHeight="1">
      <c r="A576" s="13"/>
      <c r="B576" s="282"/>
      <c r="C576" s="330"/>
      <c r="D576" s="330"/>
      <c r="E576" s="330"/>
      <c r="F576" s="13"/>
      <c r="G576" s="309"/>
      <c r="H576" s="309"/>
      <c r="I576" s="309"/>
      <c r="J576" s="310"/>
      <c r="K576" s="310"/>
      <c r="L576" s="310"/>
      <c r="M576" s="310"/>
      <c r="N576" s="310"/>
      <c r="O576" s="311"/>
      <c r="P576" s="310"/>
      <c r="Q576" s="311"/>
      <c r="R576" s="310"/>
      <c r="S576" s="13"/>
      <c r="T576" s="13"/>
      <c r="U576" s="13"/>
      <c r="V576" s="13"/>
      <c r="W576" s="13"/>
      <c r="X576" s="310"/>
      <c r="Y576" s="311"/>
      <c r="Z576" s="310"/>
      <c r="AA576" s="312"/>
      <c r="AB576" s="13"/>
      <c r="AC576" s="313"/>
      <c r="AD576" s="313"/>
      <c r="AE576" s="313"/>
      <c r="AF576" s="331"/>
      <c r="AG576" s="320"/>
      <c r="AH576" s="13"/>
      <c r="AI576" s="13"/>
      <c r="AJ576" s="13"/>
      <c r="AK576" s="13"/>
      <c r="AL576" s="13"/>
      <c r="AM576" s="13"/>
      <c r="AN576" s="13"/>
      <c r="AO576" s="13"/>
      <c r="AP576" s="13"/>
    </row>
    <row r="577" ht="18.75" customHeight="1">
      <c r="A577" s="13"/>
      <c r="B577" s="282"/>
      <c r="C577" s="330"/>
      <c r="D577" s="330"/>
      <c r="E577" s="330"/>
      <c r="F577" s="13"/>
      <c r="G577" s="309"/>
      <c r="H577" s="309"/>
      <c r="I577" s="309"/>
      <c r="J577" s="310"/>
      <c r="K577" s="310"/>
      <c r="L577" s="310"/>
      <c r="M577" s="310"/>
      <c r="N577" s="310"/>
      <c r="O577" s="311"/>
      <c r="P577" s="310"/>
      <c r="Q577" s="311"/>
      <c r="R577" s="310"/>
      <c r="S577" s="13"/>
      <c r="T577" s="13"/>
      <c r="U577" s="13"/>
      <c r="V577" s="13"/>
      <c r="W577" s="13"/>
      <c r="X577" s="310"/>
      <c r="Y577" s="311"/>
      <c r="Z577" s="310"/>
      <c r="AA577" s="312"/>
      <c r="AB577" s="13"/>
      <c r="AC577" s="313"/>
      <c r="AD577" s="313"/>
      <c r="AE577" s="313"/>
      <c r="AF577" s="331"/>
      <c r="AG577" s="320"/>
      <c r="AH577" s="13"/>
      <c r="AI577" s="13"/>
      <c r="AJ577" s="13"/>
      <c r="AK577" s="13"/>
      <c r="AL577" s="13"/>
      <c r="AM577" s="13"/>
      <c r="AN577" s="13"/>
      <c r="AO577" s="13"/>
      <c r="AP577" s="13"/>
    </row>
    <row r="578" ht="18.75" customHeight="1">
      <c r="A578" s="13"/>
      <c r="B578" s="282"/>
      <c r="C578" s="330"/>
      <c r="D578" s="330"/>
      <c r="E578" s="330"/>
      <c r="F578" s="13"/>
      <c r="G578" s="309"/>
      <c r="H578" s="309"/>
      <c r="I578" s="309"/>
      <c r="J578" s="310"/>
      <c r="K578" s="310"/>
      <c r="L578" s="310"/>
      <c r="M578" s="310"/>
      <c r="N578" s="310"/>
      <c r="O578" s="311"/>
      <c r="P578" s="310"/>
      <c r="Q578" s="311"/>
      <c r="R578" s="310"/>
      <c r="S578" s="13"/>
      <c r="T578" s="13"/>
      <c r="U578" s="13"/>
      <c r="V578" s="13"/>
      <c r="W578" s="13"/>
      <c r="X578" s="310"/>
      <c r="Y578" s="311"/>
      <c r="Z578" s="310"/>
      <c r="AA578" s="312"/>
      <c r="AB578" s="13"/>
      <c r="AC578" s="313"/>
      <c r="AD578" s="313"/>
      <c r="AE578" s="313"/>
      <c r="AF578" s="331"/>
      <c r="AG578" s="320"/>
      <c r="AH578" s="13"/>
      <c r="AI578" s="13"/>
      <c r="AJ578" s="13"/>
      <c r="AK578" s="13"/>
      <c r="AL578" s="13"/>
      <c r="AM578" s="13"/>
      <c r="AN578" s="13"/>
      <c r="AO578" s="13"/>
      <c r="AP578" s="13"/>
    </row>
    <row r="579" ht="18.75" customHeight="1">
      <c r="A579" s="13"/>
      <c r="B579" s="282"/>
      <c r="C579" s="330"/>
      <c r="D579" s="330"/>
      <c r="E579" s="330"/>
      <c r="F579" s="13"/>
      <c r="G579" s="309"/>
      <c r="H579" s="309"/>
      <c r="I579" s="309"/>
      <c r="J579" s="310"/>
      <c r="K579" s="310"/>
      <c r="L579" s="310"/>
      <c r="M579" s="310"/>
      <c r="N579" s="310"/>
      <c r="O579" s="311"/>
      <c r="P579" s="310"/>
      <c r="Q579" s="311"/>
      <c r="R579" s="310"/>
      <c r="S579" s="13"/>
      <c r="T579" s="13"/>
      <c r="U579" s="13"/>
      <c r="V579" s="13"/>
      <c r="W579" s="13"/>
      <c r="X579" s="310"/>
      <c r="Y579" s="311"/>
      <c r="Z579" s="310"/>
      <c r="AA579" s="312"/>
      <c r="AB579" s="13"/>
      <c r="AC579" s="313"/>
      <c r="AD579" s="313"/>
      <c r="AE579" s="313"/>
      <c r="AF579" s="331"/>
      <c r="AG579" s="320"/>
      <c r="AH579" s="13"/>
      <c r="AI579" s="13"/>
      <c r="AJ579" s="13"/>
      <c r="AK579" s="13"/>
      <c r="AL579" s="13"/>
      <c r="AM579" s="13"/>
      <c r="AN579" s="13"/>
      <c r="AO579" s="13"/>
      <c r="AP579" s="13"/>
    </row>
    <row r="580" ht="18.75" customHeight="1">
      <c r="A580" s="13"/>
      <c r="B580" s="282"/>
      <c r="C580" s="330"/>
      <c r="D580" s="330"/>
      <c r="E580" s="330"/>
      <c r="F580" s="13"/>
      <c r="G580" s="309"/>
      <c r="H580" s="309"/>
      <c r="I580" s="309"/>
      <c r="J580" s="310"/>
      <c r="K580" s="310"/>
      <c r="L580" s="310"/>
      <c r="M580" s="310"/>
      <c r="N580" s="310"/>
      <c r="O580" s="311"/>
      <c r="P580" s="310"/>
      <c r="Q580" s="311"/>
      <c r="R580" s="310"/>
      <c r="S580" s="13"/>
      <c r="T580" s="13"/>
      <c r="U580" s="13"/>
      <c r="V580" s="13"/>
      <c r="W580" s="13"/>
      <c r="X580" s="310"/>
      <c r="Y580" s="311"/>
      <c r="Z580" s="310"/>
      <c r="AA580" s="312"/>
      <c r="AB580" s="13"/>
      <c r="AC580" s="313"/>
      <c r="AD580" s="313"/>
      <c r="AE580" s="313"/>
      <c r="AF580" s="331"/>
      <c r="AG580" s="320"/>
      <c r="AH580" s="13"/>
      <c r="AI580" s="13"/>
      <c r="AJ580" s="13"/>
      <c r="AK580" s="13"/>
      <c r="AL580" s="13"/>
      <c r="AM580" s="13"/>
      <c r="AN580" s="13"/>
      <c r="AO580" s="13"/>
      <c r="AP580" s="13"/>
    </row>
    <row r="581" ht="18.75" customHeight="1">
      <c r="A581" s="13"/>
      <c r="B581" s="282"/>
      <c r="C581" s="330"/>
      <c r="D581" s="330"/>
      <c r="E581" s="330"/>
      <c r="F581" s="13"/>
      <c r="G581" s="309"/>
      <c r="H581" s="309"/>
      <c r="I581" s="309"/>
      <c r="J581" s="310"/>
      <c r="K581" s="310"/>
      <c r="L581" s="310"/>
      <c r="M581" s="310"/>
      <c r="N581" s="310"/>
      <c r="O581" s="311"/>
      <c r="P581" s="310"/>
      <c r="Q581" s="311"/>
      <c r="R581" s="310"/>
      <c r="S581" s="13"/>
      <c r="T581" s="13"/>
      <c r="U581" s="13"/>
      <c r="V581" s="13"/>
      <c r="W581" s="13"/>
      <c r="X581" s="310"/>
      <c r="Y581" s="311"/>
      <c r="Z581" s="310"/>
      <c r="AA581" s="312"/>
      <c r="AB581" s="13"/>
      <c r="AC581" s="313"/>
      <c r="AD581" s="313"/>
      <c r="AE581" s="313"/>
      <c r="AF581" s="331"/>
      <c r="AG581" s="320"/>
      <c r="AH581" s="13"/>
      <c r="AI581" s="13"/>
      <c r="AJ581" s="13"/>
      <c r="AK581" s="13"/>
      <c r="AL581" s="13"/>
      <c r="AM581" s="13"/>
      <c r="AN581" s="13"/>
      <c r="AO581" s="13"/>
      <c r="AP581" s="13"/>
    </row>
    <row r="582" ht="18.75" customHeight="1">
      <c r="A582" s="13"/>
      <c r="B582" s="282"/>
      <c r="C582" s="330"/>
      <c r="D582" s="330"/>
      <c r="E582" s="330"/>
      <c r="F582" s="13"/>
      <c r="G582" s="309"/>
      <c r="H582" s="309"/>
      <c r="I582" s="309"/>
      <c r="J582" s="310"/>
      <c r="K582" s="310"/>
      <c r="L582" s="310"/>
      <c r="M582" s="310"/>
      <c r="N582" s="310"/>
      <c r="O582" s="311"/>
      <c r="P582" s="310"/>
      <c r="Q582" s="311"/>
      <c r="R582" s="310"/>
      <c r="S582" s="13"/>
      <c r="T582" s="13"/>
      <c r="U582" s="13"/>
      <c r="V582" s="13"/>
      <c r="W582" s="13"/>
      <c r="X582" s="310"/>
      <c r="Y582" s="311"/>
      <c r="Z582" s="310"/>
      <c r="AA582" s="312"/>
      <c r="AB582" s="13"/>
      <c r="AC582" s="313"/>
      <c r="AD582" s="313"/>
      <c r="AE582" s="313"/>
      <c r="AF582" s="331"/>
      <c r="AG582" s="320"/>
      <c r="AH582" s="13"/>
      <c r="AI582" s="13"/>
      <c r="AJ582" s="13"/>
      <c r="AK582" s="13"/>
      <c r="AL582" s="13"/>
      <c r="AM582" s="13"/>
      <c r="AN582" s="13"/>
      <c r="AO582" s="13"/>
      <c r="AP582" s="13"/>
    </row>
    <row r="583" ht="18.75" customHeight="1">
      <c r="A583" s="13"/>
      <c r="B583" s="282"/>
      <c r="C583" s="330"/>
      <c r="D583" s="330"/>
      <c r="E583" s="330"/>
      <c r="F583" s="13"/>
      <c r="G583" s="309"/>
      <c r="H583" s="309"/>
      <c r="I583" s="309"/>
      <c r="J583" s="310"/>
      <c r="K583" s="310"/>
      <c r="L583" s="310"/>
      <c r="M583" s="310"/>
      <c r="N583" s="310"/>
      <c r="O583" s="311"/>
      <c r="P583" s="310"/>
      <c r="Q583" s="311"/>
      <c r="R583" s="310"/>
      <c r="S583" s="13"/>
      <c r="T583" s="13"/>
      <c r="U583" s="13"/>
      <c r="V583" s="13"/>
      <c r="W583" s="13"/>
      <c r="X583" s="310"/>
      <c r="Y583" s="311"/>
      <c r="Z583" s="310"/>
      <c r="AA583" s="312"/>
      <c r="AB583" s="13"/>
      <c r="AC583" s="313"/>
      <c r="AD583" s="313"/>
      <c r="AE583" s="313"/>
      <c r="AF583" s="331"/>
      <c r="AG583" s="320"/>
      <c r="AH583" s="13"/>
      <c r="AI583" s="13"/>
      <c r="AJ583" s="13"/>
      <c r="AK583" s="13"/>
      <c r="AL583" s="13"/>
      <c r="AM583" s="13"/>
      <c r="AN583" s="13"/>
      <c r="AO583" s="13"/>
      <c r="AP583" s="13"/>
    </row>
    <row r="584" ht="18.75" customHeight="1">
      <c r="A584" s="13"/>
      <c r="B584" s="282"/>
      <c r="C584" s="330"/>
      <c r="D584" s="330"/>
      <c r="E584" s="330"/>
      <c r="F584" s="13"/>
      <c r="G584" s="309"/>
      <c r="H584" s="309"/>
      <c r="I584" s="309"/>
      <c r="J584" s="310"/>
      <c r="K584" s="310"/>
      <c r="L584" s="310"/>
      <c r="M584" s="310"/>
      <c r="N584" s="310"/>
      <c r="O584" s="311"/>
      <c r="P584" s="310"/>
      <c r="Q584" s="311"/>
      <c r="R584" s="310"/>
      <c r="S584" s="13"/>
      <c r="T584" s="13"/>
      <c r="U584" s="13"/>
      <c r="V584" s="13"/>
      <c r="W584" s="13"/>
      <c r="X584" s="310"/>
      <c r="Y584" s="311"/>
      <c r="Z584" s="310"/>
      <c r="AA584" s="312"/>
      <c r="AB584" s="13"/>
      <c r="AC584" s="313"/>
      <c r="AD584" s="313"/>
      <c r="AE584" s="313"/>
      <c r="AF584" s="331"/>
      <c r="AG584" s="320"/>
      <c r="AH584" s="13"/>
      <c r="AI584" s="13"/>
      <c r="AJ584" s="13"/>
      <c r="AK584" s="13"/>
      <c r="AL584" s="13"/>
      <c r="AM584" s="13"/>
      <c r="AN584" s="13"/>
      <c r="AO584" s="13"/>
      <c r="AP584" s="13"/>
    </row>
    <row r="585" ht="18.75" customHeight="1">
      <c r="A585" s="13"/>
      <c r="B585" s="282"/>
      <c r="C585" s="330"/>
      <c r="D585" s="330"/>
      <c r="E585" s="330"/>
      <c r="F585" s="13"/>
      <c r="G585" s="309"/>
      <c r="H585" s="309"/>
      <c r="I585" s="309"/>
      <c r="J585" s="310"/>
      <c r="K585" s="310"/>
      <c r="L585" s="310"/>
      <c r="M585" s="310"/>
      <c r="N585" s="310"/>
      <c r="O585" s="311"/>
      <c r="P585" s="310"/>
      <c r="Q585" s="311"/>
      <c r="R585" s="310"/>
      <c r="S585" s="13"/>
      <c r="T585" s="13"/>
      <c r="U585" s="13"/>
      <c r="V585" s="13"/>
      <c r="W585" s="13"/>
      <c r="X585" s="310"/>
      <c r="Y585" s="311"/>
      <c r="Z585" s="310"/>
      <c r="AA585" s="312"/>
      <c r="AB585" s="13"/>
      <c r="AC585" s="313"/>
      <c r="AD585" s="313"/>
      <c r="AE585" s="313"/>
      <c r="AF585" s="331"/>
      <c r="AG585" s="320"/>
      <c r="AH585" s="13"/>
      <c r="AI585" s="13"/>
      <c r="AJ585" s="13"/>
      <c r="AK585" s="13"/>
      <c r="AL585" s="13"/>
      <c r="AM585" s="13"/>
      <c r="AN585" s="13"/>
      <c r="AO585" s="13"/>
      <c r="AP585" s="13"/>
    </row>
    <row r="586" ht="18.75" customHeight="1">
      <c r="A586" s="13"/>
      <c r="B586" s="282"/>
      <c r="C586" s="330"/>
      <c r="D586" s="330"/>
      <c r="E586" s="330"/>
      <c r="F586" s="13"/>
      <c r="G586" s="309"/>
      <c r="H586" s="309"/>
      <c r="I586" s="309"/>
      <c r="J586" s="310"/>
      <c r="K586" s="310"/>
      <c r="L586" s="310"/>
      <c r="M586" s="310"/>
      <c r="N586" s="310"/>
      <c r="O586" s="311"/>
      <c r="P586" s="310"/>
      <c r="Q586" s="311"/>
      <c r="R586" s="310"/>
      <c r="S586" s="13"/>
      <c r="T586" s="13"/>
      <c r="U586" s="13"/>
      <c r="V586" s="13"/>
      <c r="W586" s="13"/>
      <c r="X586" s="310"/>
      <c r="Y586" s="311"/>
      <c r="Z586" s="310"/>
      <c r="AA586" s="312"/>
      <c r="AB586" s="13"/>
      <c r="AC586" s="313"/>
      <c r="AD586" s="313"/>
      <c r="AE586" s="313"/>
      <c r="AF586" s="331"/>
      <c r="AG586" s="320"/>
      <c r="AH586" s="13"/>
      <c r="AI586" s="13"/>
      <c r="AJ586" s="13"/>
      <c r="AK586" s="13"/>
      <c r="AL586" s="13"/>
      <c r="AM586" s="13"/>
      <c r="AN586" s="13"/>
      <c r="AO586" s="13"/>
      <c r="AP586" s="13"/>
    </row>
    <row r="587" ht="18.75" customHeight="1">
      <c r="A587" s="13"/>
      <c r="B587" s="282"/>
      <c r="C587" s="330"/>
      <c r="D587" s="330"/>
      <c r="E587" s="330"/>
      <c r="F587" s="13"/>
      <c r="G587" s="309"/>
      <c r="H587" s="309"/>
      <c r="I587" s="309"/>
      <c r="J587" s="310"/>
      <c r="K587" s="310"/>
      <c r="L587" s="310"/>
      <c r="M587" s="310"/>
      <c r="N587" s="310"/>
      <c r="O587" s="311"/>
      <c r="P587" s="310"/>
      <c r="Q587" s="311"/>
      <c r="R587" s="310"/>
      <c r="S587" s="13"/>
      <c r="T587" s="13"/>
      <c r="U587" s="13"/>
      <c r="V587" s="13"/>
      <c r="W587" s="13"/>
      <c r="X587" s="310"/>
      <c r="Y587" s="311"/>
      <c r="Z587" s="310"/>
      <c r="AA587" s="312"/>
      <c r="AB587" s="13"/>
      <c r="AC587" s="313"/>
      <c r="AD587" s="313"/>
      <c r="AE587" s="313"/>
      <c r="AF587" s="331"/>
      <c r="AG587" s="320"/>
      <c r="AH587" s="13"/>
      <c r="AI587" s="13"/>
      <c r="AJ587" s="13"/>
      <c r="AK587" s="13"/>
      <c r="AL587" s="13"/>
      <c r="AM587" s="13"/>
      <c r="AN587" s="13"/>
      <c r="AO587" s="13"/>
      <c r="AP587" s="13"/>
    </row>
    <row r="588" ht="18.75" customHeight="1">
      <c r="A588" s="13"/>
      <c r="B588" s="282"/>
      <c r="C588" s="330"/>
      <c r="D588" s="330"/>
      <c r="E588" s="330"/>
      <c r="F588" s="13"/>
      <c r="G588" s="309"/>
      <c r="H588" s="309"/>
      <c r="I588" s="309"/>
      <c r="J588" s="310"/>
      <c r="K588" s="310"/>
      <c r="L588" s="310"/>
      <c r="M588" s="310"/>
      <c r="N588" s="310"/>
      <c r="O588" s="311"/>
      <c r="P588" s="310"/>
      <c r="Q588" s="311"/>
      <c r="R588" s="310"/>
      <c r="S588" s="13"/>
      <c r="T588" s="13"/>
      <c r="U588" s="13"/>
      <c r="V588" s="13"/>
      <c r="W588" s="13"/>
      <c r="X588" s="310"/>
      <c r="Y588" s="311"/>
      <c r="Z588" s="310"/>
      <c r="AA588" s="312"/>
      <c r="AB588" s="13"/>
      <c r="AC588" s="313"/>
      <c r="AD588" s="313"/>
      <c r="AE588" s="313"/>
      <c r="AF588" s="331"/>
      <c r="AG588" s="320"/>
      <c r="AH588" s="13"/>
      <c r="AI588" s="13"/>
      <c r="AJ588" s="13"/>
      <c r="AK588" s="13"/>
      <c r="AL588" s="13"/>
      <c r="AM588" s="13"/>
      <c r="AN588" s="13"/>
      <c r="AO588" s="13"/>
      <c r="AP588" s="13"/>
    </row>
    <row r="589" ht="18.75" customHeight="1">
      <c r="A589" s="13"/>
      <c r="B589" s="282"/>
      <c r="C589" s="330"/>
      <c r="D589" s="330"/>
      <c r="E589" s="330"/>
      <c r="F589" s="13"/>
      <c r="G589" s="309"/>
      <c r="H589" s="309"/>
      <c r="I589" s="309"/>
      <c r="J589" s="310"/>
      <c r="K589" s="310"/>
      <c r="L589" s="310"/>
      <c r="M589" s="310"/>
      <c r="N589" s="310"/>
      <c r="O589" s="311"/>
      <c r="P589" s="310"/>
      <c r="Q589" s="311"/>
      <c r="R589" s="310"/>
      <c r="S589" s="13"/>
      <c r="T589" s="13"/>
      <c r="U589" s="13"/>
      <c r="V589" s="13"/>
      <c r="W589" s="13"/>
      <c r="X589" s="310"/>
      <c r="Y589" s="311"/>
      <c r="Z589" s="310"/>
      <c r="AA589" s="312"/>
      <c r="AB589" s="13"/>
      <c r="AC589" s="313"/>
      <c r="AD589" s="313"/>
      <c r="AE589" s="313"/>
      <c r="AF589" s="331"/>
      <c r="AG589" s="320"/>
      <c r="AH589" s="13"/>
      <c r="AI589" s="13"/>
      <c r="AJ589" s="13"/>
      <c r="AK589" s="13"/>
      <c r="AL589" s="13"/>
      <c r="AM589" s="13"/>
      <c r="AN589" s="13"/>
      <c r="AO589" s="13"/>
      <c r="AP589" s="13"/>
    </row>
    <row r="590" ht="18.75" customHeight="1">
      <c r="A590" s="13"/>
      <c r="B590" s="282"/>
      <c r="C590" s="330"/>
      <c r="D590" s="330"/>
      <c r="E590" s="330"/>
      <c r="F590" s="13"/>
      <c r="G590" s="309"/>
      <c r="H590" s="309"/>
      <c r="I590" s="309"/>
      <c r="J590" s="310"/>
      <c r="K590" s="310"/>
      <c r="L590" s="310"/>
      <c r="M590" s="310"/>
      <c r="N590" s="310"/>
      <c r="O590" s="311"/>
      <c r="P590" s="310"/>
      <c r="Q590" s="311"/>
      <c r="R590" s="310"/>
      <c r="S590" s="13"/>
      <c r="T590" s="13"/>
      <c r="U590" s="13"/>
      <c r="V590" s="13"/>
      <c r="W590" s="13"/>
      <c r="X590" s="310"/>
      <c r="Y590" s="311"/>
      <c r="Z590" s="310"/>
      <c r="AA590" s="312"/>
      <c r="AB590" s="13"/>
      <c r="AC590" s="313"/>
      <c r="AD590" s="313"/>
      <c r="AE590" s="313"/>
      <c r="AF590" s="331"/>
      <c r="AG590" s="320"/>
      <c r="AH590" s="13"/>
      <c r="AI590" s="13"/>
      <c r="AJ590" s="13"/>
      <c r="AK590" s="13"/>
      <c r="AL590" s="13"/>
      <c r="AM590" s="13"/>
      <c r="AN590" s="13"/>
      <c r="AO590" s="13"/>
      <c r="AP590" s="13"/>
    </row>
    <row r="591" ht="18.75" customHeight="1">
      <c r="A591" s="13"/>
      <c r="B591" s="282"/>
      <c r="C591" s="330"/>
      <c r="D591" s="330"/>
      <c r="E591" s="330"/>
      <c r="F591" s="13"/>
      <c r="G591" s="309"/>
      <c r="H591" s="309"/>
      <c r="I591" s="309"/>
      <c r="J591" s="310"/>
      <c r="K591" s="310"/>
      <c r="L591" s="310"/>
      <c r="M591" s="310"/>
      <c r="N591" s="310"/>
      <c r="O591" s="311"/>
      <c r="P591" s="310"/>
      <c r="Q591" s="311"/>
      <c r="R591" s="310"/>
      <c r="S591" s="13"/>
      <c r="T591" s="13"/>
      <c r="U591" s="13"/>
      <c r="V591" s="13"/>
      <c r="W591" s="13"/>
      <c r="X591" s="310"/>
      <c r="Y591" s="311"/>
      <c r="Z591" s="310"/>
      <c r="AA591" s="312"/>
      <c r="AB591" s="13"/>
      <c r="AC591" s="313"/>
      <c r="AD591" s="313"/>
      <c r="AE591" s="313"/>
      <c r="AF591" s="331"/>
      <c r="AG591" s="320"/>
      <c r="AH591" s="13"/>
      <c r="AI591" s="13"/>
      <c r="AJ591" s="13"/>
      <c r="AK591" s="13"/>
      <c r="AL591" s="13"/>
      <c r="AM591" s="13"/>
      <c r="AN591" s="13"/>
      <c r="AO591" s="13"/>
      <c r="AP591" s="13"/>
    </row>
    <row r="592" ht="18.75" customHeight="1">
      <c r="A592" s="13"/>
      <c r="B592" s="282"/>
      <c r="C592" s="330"/>
      <c r="D592" s="330"/>
      <c r="E592" s="330"/>
      <c r="F592" s="13"/>
      <c r="G592" s="309"/>
      <c r="H592" s="309"/>
      <c r="I592" s="309"/>
      <c r="J592" s="310"/>
      <c r="K592" s="310"/>
      <c r="L592" s="310"/>
      <c r="M592" s="310"/>
      <c r="N592" s="310"/>
      <c r="O592" s="311"/>
      <c r="P592" s="310"/>
      <c r="Q592" s="311"/>
      <c r="R592" s="310"/>
      <c r="S592" s="13"/>
      <c r="T592" s="13"/>
      <c r="U592" s="13"/>
      <c r="V592" s="13"/>
      <c r="W592" s="13"/>
      <c r="X592" s="310"/>
      <c r="Y592" s="311"/>
      <c r="Z592" s="310"/>
      <c r="AA592" s="312"/>
      <c r="AB592" s="13"/>
      <c r="AC592" s="313"/>
      <c r="AD592" s="313"/>
      <c r="AE592" s="313"/>
      <c r="AF592" s="331"/>
      <c r="AG592" s="320"/>
      <c r="AH592" s="13"/>
      <c r="AI592" s="13"/>
      <c r="AJ592" s="13"/>
      <c r="AK592" s="13"/>
      <c r="AL592" s="13"/>
      <c r="AM592" s="13"/>
      <c r="AN592" s="13"/>
      <c r="AO592" s="13"/>
      <c r="AP592" s="13"/>
    </row>
    <row r="593" ht="18.75" customHeight="1">
      <c r="A593" s="13"/>
      <c r="B593" s="282"/>
      <c r="C593" s="330"/>
      <c r="D593" s="330"/>
      <c r="E593" s="330"/>
      <c r="F593" s="13"/>
      <c r="G593" s="309"/>
      <c r="H593" s="309"/>
      <c r="I593" s="309"/>
      <c r="J593" s="310"/>
      <c r="K593" s="310"/>
      <c r="L593" s="310"/>
      <c r="M593" s="310"/>
      <c r="N593" s="310"/>
      <c r="O593" s="311"/>
      <c r="P593" s="310"/>
      <c r="Q593" s="311"/>
      <c r="R593" s="310"/>
      <c r="S593" s="13"/>
      <c r="T593" s="13"/>
      <c r="U593" s="13"/>
      <c r="V593" s="13"/>
      <c r="W593" s="13"/>
      <c r="X593" s="310"/>
      <c r="Y593" s="311"/>
      <c r="Z593" s="310"/>
      <c r="AA593" s="312"/>
      <c r="AB593" s="13"/>
      <c r="AC593" s="313"/>
      <c r="AD593" s="313"/>
      <c r="AE593" s="313"/>
      <c r="AF593" s="331"/>
      <c r="AG593" s="320"/>
      <c r="AH593" s="13"/>
      <c r="AI593" s="13"/>
      <c r="AJ593" s="13"/>
      <c r="AK593" s="13"/>
      <c r="AL593" s="13"/>
      <c r="AM593" s="13"/>
      <c r="AN593" s="13"/>
      <c r="AO593" s="13"/>
      <c r="AP593" s="13"/>
    </row>
    <row r="594" ht="18.75" customHeight="1">
      <c r="A594" s="13"/>
      <c r="B594" s="282"/>
      <c r="C594" s="330"/>
      <c r="D594" s="330"/>
      <c r="E594" s="330"/>
      <c r="F594" s="13"/>
      <c r="G594" s="309"/>
      <c r="H594" s="309"/>
      <c r="I594" s="309"/>
      <c r="J594" s="310"/>
      <c r="K594" s="310"/>
      <c r="L594" s="310"/>
      <c r="M594" s="310"/>
      <c r="N594" s="310"/>
      <c r="O594" s="311"/>
      <c r="P594" s="310"/>
      <c r="Q594" s="311"/>
      <c r="R594" s="310"/>
      <c r="S594" s="13"/>
      <c r="T594" s="13"/>
      <c r="U594" s="13"/>
      <c r="V594" s="13"/>
      <c r="W594" s="13"/>
      <c r="X594" s="310"/>
      <c r="Y594" s="311"/>
      <c r="Z594" s="310"/>
      <c r="AA594" s="312"/>
      <c r="AB594" s="13"/>
      <c r="AC594" s="313"/>
      <c r="AD594" s="313"/>
      <c r="AE594" s="313"/>
      <c r="AF594" s="331"/>
      <c r="AG594" s="320"/>
      <c r="AH594" s="13"/>
      <c r="AI594" s="13"/>
      <c r="AJ594" s="13"/>
      <c r="AK594" s="13"/>
      <c r="AL594" s="13"/>
      <c r="AM594" s="13"/>
      <c r="AN594" s="13"/>
      <c r="AO594" s="13"/>
      <c r="AP594" s="13"/>
    </row>
    <row r="595" ht="18.75" customHeight="1">
      <c r="A595" s="13"/>
      <c r="B595" s="282"/>
      <c r="C595" s="330"/>
      <c r="D595" s="330"/>
      <c r="E595" s="330"/>
      <c r="F595" s="13"/>
      <c r="G595" s="309"/>
      <c r="H595" s="309"/>
      <c r="I595" s="309"/>
      <c r="J595" s="310"/>
      <c r="K595" s="310"/>
      <c r="L595" s="310"/>
      <c r="M595" s="310"/>
      <c r="N595" s="310"/>
      <c r="O595" s="311"/>
      <c r="P595" s="310"/>
      <c r="Q595" s="311"/>
      <c r="R595" s="310"/>
      <c r="S595" s="13"/>
      <c r="T595" s="13"/>
      <c r="U595" s="13"/>
      <c r="V595" s="13"/>
      <c r="W595" s="13"/>
      <c r="X595" s="310"/>
      <c r="Y595" s="311"/>
      <c r="Z595" s="310"/>
      <c r="AA595" s="312"/>
      <c r="AB595" s="13"/>
      <c r="AC595" s="313"/>
      <c r="AD595" s="313"/>
      <c r="AE595" s="313"/>
      <c r="AF595" s="331"/>
      <c r="AG595" s="320"/>
      <c r="AH595" s="13"/>
      <c r="AI595" s="13"/>
      <c r="AJ595" s="13"/>
      <c r="AK595" s="13"/>
      <c r="AL595" s="13"/>
      <c r="AM595" s="13"/>
      <c r="AN595" s="13"/>
      <c r="AO595" s="13"/>
      <c r="AP595" s="13"/>
    </row>
    <row r="596" ht="18.75" customHeight="1">
      <c r="A596" s="13"/>
      <c r="B596" s="282"/>
      <c r="C596" s="330"/>
      <c r="D596" s="330"/>
      <c r="E596" s="330"/>
      <c r="F596" s="13"/>
      <c r="G596" s="309"/>
      <c r="H596" s="309"/>
      <c r="I596" s="309"/>
      <c r="J596" s="310"/>
      <c r="K596" s="310"/>
      <c r="L596" s="310"/>
      <c r="M596" s="310"/>
      <c r="N596" s="310"/>
      <c r="O596" s="311"/>
      <c r="P596" s="310"/>
      <c r="Q596" s="311"/>
      <c r="R596" s="310"/>
      <c r="S596" s="13"/>
      <c r="T596" s="13"/>
      <c r="U596" s="13"/>
      <c r="V596" s="13"/>
      <c r="W596" s="13"/>
      <c r="X596" s="310"/>
      <c r="Y596" s="311"/>
      <c r="Z596" s="310"/>
      <c r="AA596" s="312"/>
      <c r="AB596" s="13"/>
      <c r="AC596" s="313"/>
      <c r="AD596" s="313"/>
      <c r="AE596" s="313"/>
      <c r="AF596" s="331"/>
      <c r="AG596" s="320"/>
      <c r="AH596" s="13"/>
      <c r="AI596" s="13"/>
      <c r="AJ596" s="13"/>
      <c r="AK596" s="13"/>
      <c r="AL596" s="13"/>
      <c r="AM596" s="13"/>
      <c r="AN596" s="13"/>
      <c r="AO596" s="13"/>
      <c r="AP596" s="13"/>
    </row>
    <row r="597" ht="18.75" customHeight="1">
      <c r="A597" s="13"/>
      <c r="B597" s="282"/>
      <c r="C597" s="330"/>
      <c r="D597" s="330"/>
      <c r="E597" s="330"/>
      <c r="F597" s="13"/>
      <c r="G597" s="309"/>
      <c r="H597" s="309"/>
      <c r="I597" s="309"/>
      <c r="J597" s="310"/>
      <c r="K597" s="310"/>
      <c r="L597" s="310"/>
      <c r="M597" s="310"/>
      <c r="N597" s="310"/>
      <c r="O597" s="311"/>
      <c r="P597" s="310"/>
      <c r="Q597" s="311"/>
      <c r="R597" s="310"/>
      <c r="S597" s="13"/>
      <c r="T597" s="13"/>
      <c r="U597" s="13"/>
      <c r="V597" s="13"/>
      <c r="W597" s="13"/>
      <c r="X597" s="310"/>
      <c r="Y597" s="311"/>
      <c r="Z597" s="310"/>
      <c r="AA597" s="312"/>
      <c r="AB597" s="13"/>
      <c r="AC597" s="313"/>
      <c r="AD597" s="313"/>
      <c r="AE597" s="313"/>
      <c r="AF597" s="331"/>
      <c r="AG597" s="320"/>
      <c r="AH597" s="13"/>
      <c r="AI597" s="13"/>
      <c r="AJ597" s="13"/>
      <c r="AK597" s="13"/>
      <c r="AL597" s="13"/>
      <c r="AM597" s="13"/>
      <c r="AN597" s="13"/>
      <c r="AO597" s="13"/>
      <c r="AP597" s="13"/>
    </row>
    <row r="598" ht="18.75" customHeight="1">
      <c r="A598" s="13"/>
      <c r="B598" s="282"/>
      <c r="C598" s="330"/>
      <c r="D598" s="330"/>
      <c r="E598" s="330"/>
      <c r="F598" s="13"/>
      <c r="G598" s="309"/>
      <c r="H598" s="309"/>
      <c r="I598" s="309"/>
      <c r="J598" s="310"/>
      <c r="K598" s="310"/>
      <c r="L598" s="310"/>
      <c r="M598" s="310"/>
      <c r="N598" s="310"/>
      <c r="O598" s="311"/>
      <c r="P598" s="310"/>
      <c r="Q598" s="311"/>
      <c r="R598" s="310"/>
      <c r="S598" s="13"/>
      <c r="T598" s="13"/>
      <c r="U598" s="13"/>
      <c r="V598" s="13"/>
      <c r="W598" s="13"/>
      <c r="X598" s="310"/>
      <c r="Y598" s="311"/>
      <c r="Z598" s="310"/>
      <c r="AA598" s="312"/>
      <c r="AB598" s="13"/>
      <c r="AC598" s="313"/>
      <c r="AD598" s="313"/>
      <c r="AE598" s="313"/>
      <c r="AF598" s="331"/>
      <c r="AG598" s="320"/>
      <c r="AH598" s="13"/>
      <c r="AI598" s="13"/>
      <c r="AJ598" s="13"/>
      <c r="AK598" s="13"/>
      <c r="AL598" s="13"/>
      <c r="AM598" s="13"/>
      <c r="AN598" s="13"/>
      <c r="AO598" s="13"/>
      <c r="AP598" s="13"/>
    </row>
    <row r="599" ht="18.75" customHeight="1">
      <c r="A599" s="13"/>
      <c r="B599" s="282"/>
      <c r="C599" s="330"/>
      <c r="D599" s="330"/>
      <c r="E599" s="330"/>
      <c r="F599" s="13"/>
      <c r="G599" s="309"/>
      <c r="H599" s="309"/>
      <c r="I599" s="309"/>
      <c r="J599" s="310"/>
      <c r="K599" s="310"/>
      <c r="L599" s="310"/>
      <c r="M599" s="310"/>
      <c r="N599" s="310"/>
      <c r="O599" s="311"/>
      <c r="P599" s="310"/>
      <c r="Q599" s="311"/>
      <c r="R599" s="310"/>
      <c r="S599" s="13"/>
      <c r="T599" s="13"/>
      <c r="U599" s="13"/>
      <c r="V599" s="13"/>
      <c r="W599" s="13"/>
      <c r="X599" s="310"/>
      <c r="Y599" s="311"/>
      <c r="Z599" s="310"/>
      <c r="AA599" s="312"/>
      <c r="AB599" s="13"/>
      <c r="AC599" s="313"/>
      <c r="AD599" s="313"/>
      <c r="AE599" s="313"/>
      <c r="AF599" s="331"/>
      <c r="AG599" s="320"/>
      <c r="AH599" s="13"/>
      <c r="AI599" s="13"/>
      <c r="AJ599" s="13"/>
      <c r="AK599" s="13"/>
      <c r="AL599" s="13"/>
      <c r="AM599" s="13"/>
      <c r="AN599" s="13"/>
      <c r="AO599" s="13"/>
      <c r="AP599" s="13"/>
    </row>
    <row r="600" ht="18.75" customHeight="1">
      <c r="A600" s="13"/>
      <c r="B600" s="282"/>
      <c r="C600" s="330"/>
      <c r="D600" s="330"/>
      <c r="E600" s="330"/>
      <c r="F600" s="13"/>
      <c r="G600" s="309"/>
      <c r="H600" s="309"/>
      <c r="I600" s="309"/>
      <c r="J600" s="310"/>
      <c r="K600" s="310"/>
      <c r="L600" s="310"/>
      <c r="M600" s="310"/>
      <c r="N600" s="310"/>
      <c r="O600" s="311"/>
      <c r="P600" s="310"/>
      <c r="Q600" s="311"/>
      <c r="R600" s="310"/>
      <c r="S600" s="13"/>
      <c r="T600" s="13"/>
      <c r="U600" s="13"/>
      <c r="V600" s="13"/>
      <c r="W600" s="13"/>
      <c r="X600" s="310"/>
      <c r="Y600" s="311"/>
      <c r="Z600" s="310"/>
      <c r="AA600" s="312"/>
      <c r="AB600" s="13"/>
      <c r="AC600" s="313"/>
      <c r="AD600" s="313"/>
      <c r="AE600" s="313"/>
      <c r="AF600" s="331"/>
      <c r="AG600" s="320"/>
      <c r="AH600" s="13"/>
      <c r="AI600" s="13"/>
      <c r="AJ600" s="13"/>
      <c r="AK600" s="13"/>
      <c r="AL600" s="13"/>
      <c r="AM600" s="13"/>
      <c r="AN600" s="13"/>
      <c r="AO600" s="13"/>
      <c r="AP600" s="13"/>
    </row>
    <row r="601" ht="18.75" customHeight="1">
      <c r="A601" s="13"/>
      <c r="B601" s="282"/>
      <c r="C601" s="330"/>
      <c r="D601" s="330"/>
      <c r="E601" s="330"/>
      <c r="F601" s="13"/>
      <c r="G601" s="309"/>
      <c r="H601" s="309"/>
      <c r="I601" s="309"/>
      <c r="J601" s="310"/>
      <c r="K601" s="310"/>
      <c r="L601" s="310"/>
      <c r="M601" s="310"/>
      <c r="N601" s="310"/>
      <c r="O601" s="311"/>
      <c r="P601" s="310"/>
      <c r="Q601" s="311"/>
      <c r="R601" s="310"/>
      <c r="S601" s="13"/>
      <c r="T601" s="13"/>
      <c r="U601" s="13"/>
      <c r="V601" s="13"/>
      <c r="W601" s="13"/>
      <c r="X601" s="310"/>
      <c r="Y601" s="311"/>
      <c r="Z601" s="310"/>
      <c r="AA601" s="312"/>
      <c r="AB601" s="13"/>
      <c r="AC601" s="313"/>
      <c r="AD601" s="313"/>
      <c r="AE601" s="313"/>
      <c r="AF601" s="331"/>
      <c r="AG601" s="320"/>
      <c r="AH601" s="13"/>
      <c r="AI601" s="13"/>
      <c r="AJ601" s="13"/>
      <c r="AK601" s="13"/>
      <c r="AL601" s="13"/>
      <c r="AM601" s="13"/>
      <c r="AN601" s="13"/>
      <c r="AO601" s="13"/>
      <c r="AP601" s="13"/>
    </row>
    <row r="602" ht="18.75" customHeight="1">
      <c r="A602" s="13"/>
      <c r="B602" s="282"/>
      <c r="C602" s="330"/>
      <c r="D602" s="330"/>
      <c r="E602" s="330"/>
      <c r="F602" s="13"/>
      <c r="G602" s="309"/>
      <c r="H602" s="309"/>
      <c r="I602" s="309"/>
      <c r="J602" s="310"/>
      <c r="K602" s="310"/>
      <c r="L602" s="310"/>
      <c r="M602" s="310"/>
      <c r="N602" s="310"/>
      <c r="O602" s="311"/>
      <c r="P602" s="310"/>
      <c r="Q602" s="311"/>
      <c r="R602" s="310"/>
      <c r="S602" s="13"/>
      <c r="T602" s="13"/>
      <c r="U602" s="13"/>
      <c r="V602" s="13"/>
      <c r="W602" s="13"/>
      <c r="X602" s="310"/>
      <c r="Y602" s="311"/>
      <c r="Z602" s="310"/>
      <c r="AA602" s="312"/>
      <c r="AB602" s="13"/>
      <c r="AC602" s="313"/>
      <c r="AD602" s="313"/>
      <c r="AE602" s="313"/>
      <c r="AF602" s="331"/>
      <c r="AG602" s="320"/>
      <c r="AH602" s="13"/>
      <c r="AI602" s="13"/>
      <c r="AJ602" s="13"/>
      <c r="AK602" s="13"/>
      <c r="AL602" s="13"/>
      <c r="AM602" s="13"/>
      <c r="AN602" s="13"/>
      <c r="AO602" s="13"/>
      <c r="AP602" s="13"/>
    </row>
    <row r="603" ht="18.75" customHeight="1">
      <c r="A603" s="13"/>
      <c r="B603" s="282"/>
      <c r="C603" s="330"/>
      <c r="D603" s="330"/>
      <c r="E603" s="330"/>
      <c r="F603" s="13"/>
      <c r="G603" s="309"/>
      <c r="H603" s="309"/>
      <c r="I603" s="309"/>
      <c r="J603" s="310"/>
      <c r="K603" s="310"/>
      <c r="L603" s="310"/>
      <c r="M603" s="310"/>
      <c r="N603" s="310"/>
      <c r="O603" s="311"/>
      <c r="P603" s="310"/>
      <c r="Q603" s="311"/>
      <c r="R603" s="310"/>
      <c r="S603" s="13"/>
      <c r="T603" s="13"/>
      <c r="U603" s="13"/>
      <c r="V603" s="13"/>
      <c r="W603" s="13"/>
      <c r="X603" s="310"/>
      <c r="Y603" s="311"/>
      <c r="Z603" s="310"/>
      <c r="AA603" s="312"/>
      <c r="AB603" s="13"/>
      <c r="AC603" s="313"/>
      <c r="AD603" s="313"/>
      <c r="AE603" s="313"/>
      <c r="AF603" s="331"/>
      <c r="AG603" s="320"/>
      <c r="AH603" s="13"/>
      <c r="AI603" s="13"/>
      <c r="AJ603" s="13"/>
      <c r="AK603" s="13"/>
      <c r="AL603" s="13"/>
      <c r="AM603" s="13"/>
      <c r="AN603" s="13"/>
      <c r="AO603" s="13"/>
      <c r="AP603" s="13"/>
    </row>
    <row r="604" ht="18.75" customHeight="1">
      <c r="A604" s="13"/>
      <c r="B604" s="282"/>
      <c r="C604" s="330"/>
      <c r="D604" s="330"/>
      <c r="E604" s="330"/>
      <c r="F604" s="13"/>
      <c r="G604" s="309"/>
      <c r="H604" s="309"/>
      <c r="I604" s="309"/>
      <c r="J604" s="310"/>
      <c r="K604" s="310"/>
      <c r="L604" s="310"/>
      <c r="M604" s="310"/>
      <c r="N604" s="310"/>
      <c r="O604" s="311"/>
      <c r="P604" s="310"/>
      <c r="Q604" s="311"/>
      <c r="R604" s="310"/>
      <c r="S604" s="13"/>
      <c r="T604" s="13"/>
      <c r="U604" s="13"/>
      <c r="V604" s="13"/>
      <c r="W604" s="13"/>
      <c r="X604" s="310"/>
      <c r="Y604" s="311"/>
      <c r="Z604" s="310"/>
      <c r="AA604" s="312"/>
      <c r="AB604" s="13"/>
      <c r="AC604" s="313"/>
      <c r="AD604" s="313"/>
      <c r="AE604" s="313"/>
      <c r="AF604" s="331"/>
      <c r="AG604" s="320"/>
      <c r="AH604" s="13"/>
      <c r="AI604" s="13"/>
      <c r="AJ604" s="13"/>
      <c r="AK604" s="13"/>
      <c r="AL604" s="13"/>
      <c r="AM604" s="13"/>
      <c r="AN604" s="13"/>
      <c r="AO604" s="13"/>
      <c r="AP604" s="13"/>
    </row>
    <row r="605" ht="18.75" customHeight="1">
      <c r="A605" s="13"/>
      <c r="B605" s="282"/>
      <c r="C605" s="330"/>
      <c r="D605" s="330"/>
      <c r="E605" s="330"/>
      <c r="F605" s="13"/>
      <c r="G605" s="309"/>
      <c r="H605" s="309"/>
      <c r="I605" s="309"/>
      <c r="J605" s="310"/>
      <c r="K605" s="310"/>
      <c r="L605" s="310"/>
      <c r="M605" s="310"/>
      <c r="N605" s="310"/>
      <c r="O605" s="311"/>
      <c r="P605" s="310"/>
      <c r="Q605" s="311"/>
      <c r="R605" s="310"/>
      <c r="S605" s="13"/>
      <c r="T605" s="13"/>
      <c r="U605" s="13"/>
      <c r="V605" s="13"/>
      <c r="W605" s="13"/>
      <c r="X605" s="310"/>
      <c r="Y605" s="311"/>
      <c r="Z605" s="310"/>
      <c r="AA605" s="312"/>
      <c r="AB605" s="13"/>
      <c r="AC605" s="313"/>
      <c r="AD605" s="313"/>
      <c r="AE605" s="313"/>
      <c r="AF605" s="331"/>
      <c r="AG605" s="320"/>
      <c r="AH605" s="13"/>
      <c r="AI605" s="13"/>
      <c r="AJ605" s="13"/>
      <c r="AK605" s="13"/>
      <c r="AL605" s="13"/>
      <c r="AM605" s="13"/>
      <c r="AN605" s="13"/>
      <c r="AO605" s="13"/>
      <c r="AP605" s="13"/>
    </row>
    <row r="606" ht="18.75" customHeight="1">
      <c r="A606" s="13"/>
      <c r="B606" s="282"/>
      <c r="C606" s="330"/>
      <c r="D606" s="330"/>
      <c r="E606" s="330"/>
      <c r="F606" s="13"/>
      <c r="G606" s="309"/>
      <c r="H606" s="309"/>
      <c r="I606" s="309"/>
      <c r="J606" s="310"/>
      <c r="K606" s="310"/>
      <c r="L606" s="310"/>
      <c r="M606" s="310"/>
      <c r="N606" s="310"/>
      <c r="O606" s="311"/>
      <c r="P606" s="310"/>
      <c r="Q606" s="311"/>
      <c r="R606" s="310"/>
      <c r="S606" s="13"/>
      <c r="T606" s="13"/>
      <c r="U606" s="13"/>
      <c r="V606" s="13"/>
      <c r="W606" s="13"/>
      <c r="X606" s="310"/>
      <c r="Y606" s="311"/>
      <c r="Z606" s="310"/>
      <c r="AA606" s="312"/>
      <c r="AB606" s="13"/>
      <c r="AC606" s="313"/>
      <c r="AD606" s="313"/>
      <c r="AE606" s="313"/>
      <c r="AF606" s="331"/>
      <c r="AG606" s="320"/>
      <c r="AH606" s="13"/>
      <c r="AI606" s="13"/>
      <c r="AJ606" s="13"/>
      <c r="AK606" s="13"/>
      <c r="AL606" s="13"/>
      <c r="AM606" s="13"/>
      <c r="AN606" s="13"/>
      <c r="AO606" s="13"/>
      <c r="AP606" s="13"/>
    </row>
    <row r="607" ht="18.75" customHeight="1">
      <c r="A607" s="13"/>
      <c r="B607" s="282"/>
      <c r="C607" s="330"/>
      <c r="D607" s="330"/>
      <c r="E607" s="330"/>
      <c r="F607" s="13"/>
      <c r="G607" s="309"/>
      <c r="H607" s="309"/>
      <c r="I607" s="309"/>
      <c r="J607" s="310"/>
      <c r="K607" s="310"/>
      <c r="L607" s="310"/>
      <c r="M607" s="310"/>
      <c r="N607" s="310"/>
      <c r="O607" s="311"/>
      <c r="P607" s="310"/>
      <c r="Q607" s="311"/>
      <c r="R607" s="310"/>
      <c r="S607" s="13"/>
      <c r="T607" s="13"/>
      <c r="U607" s="13"/>
      <c r="V607" s="13"/>
      <c r="W607" s="13"/>
      <c r="X607" s="310"/>
      <c r="Y607" s="311"/>
      <c r="Z607" s="310"/>
      <c r="AA607" s="312"/>
      <c r="AB607" s="13"/>
      <c r="AC607" s="313"/>
      <c r="AD607" s="313"/>
      <c r="AE607" s="313"/>
      <c r="AF607" s="331"/>
      <c r="AG607" s="320"/>
      <c r="AH607" s="13"/>
      <c r="AI607" s="13"/>
      <c r="AJ607" s="13"/>
      <c r="AK607" s="13"/>
      <c r="AL607" s="13"/>
      <c r="AM607" s="13"/>
      <c r="AN607" s="13"/>
      <c r="AO607" s="13"/>
      <c r="AP607" s="13"/>
    </row>
    <row r="608" ht="18.75" customHeight="1">
      <c r="A608" s="13"/>
      <c r="B608" s="282"/>
      <c r="C608" s="330"/>
      <c r="D608" s="330"/>
      <c r="E608" s="330"/>
      <c r="F608" s="13"/>
      <c r="G608" s="309"/>
      <c r="H608" s="309"/>
      <c r="I608" s="309"/>
      <c r="J608" s="310"/>
      <c r="K608" s="310"/>
      <c r="L608" s="310"/>
      <c r="M608" s="310"/>
      <c r="N608" s="310"/>
      <c r="O608" s="311"/>
      <c r="P608" s="310"/>
      <c r="Q608" s="311"/>
      <c r="R608" s="310"/>
      <c r="S608" s="13"/>
      <c r="T608" s="13"/>
      <c r="U608" s="13"/>
      <c r="V608" s="13"/>
      <c r="W608" s="13"/>
      <c r="X608" s="310"/>
      <c r="Y608" s="311"/>
      <c r="Z608" s="310"/>
      <c r="AA608" s="312"/>
      <c r="AB608" s="13"/>
      <c r="AC608" s="313"/>
      <c r="AD608" s="313"/>
      <c r="AE608" s="313"/>
      <c r="AF608" s="331"/>
      <c r="AG608" s="320"/>
      <c r="AH608" s="13"/>
      <c r="AI608" s="13"/>
      <c r="AJ608" s="13"/>
      <c r="AK608" s="13"/>
      <c r="AL608" s="13"/>
      <c r="AM608" s="13"/>
      <c r="AN608" s="13"/>
      <c r="AO608" s="13"/>
      <c r="AP608" s="13"/>
    </row>
    <row r="609" ht="18.75" customHeight="1">
      <c r="A609" s="13"/>
      <c r="B609" s="282"/>
      <c r="C609" s="330"/>
      <c r="D609" s="330"/>
      <c r="E609" s="330"/>
      <c r="F609" s="13"/>
      <c r="G609" s="309"/>
      <c r="H609" s="309"/>
      <c r="I609" s="309"/>
      <c r="J609" s="310"/>
      <c r="K609" s="310"/>
      <c r="L609" s="310"/>
      <c r="M609" s="310"/>
      <c r="N609" s="310"/>
      <c r="O609" s="311"/>
      <c r="P609" s="310"/>
      <c r="Q609" s="311"/>
      <c r="R609" s="310"/>
      <c r="S609" s="13"/>
      <c r="T609" s="13"/>
      <c r="U609" s="13"/>
      <c r="V609" s="13"/>
      <c r="W609" s="13"/>
      <c r="X609" s="310"/>
      <c r="Y609" s="311"/>
      <c r="Z609" s="310"/>
      <c r="AA609" s="312"/>
      <c r="AB609" s="13"/>
      <c r="AC609" s="313"/>
      <c r="AD609" s="313"/>
      <c r="AE609" s="313"/>
      <c r="AF609" s="331"/>
      <c r="AG609" s="320"/>
      <c r="AH609" s="13"/>
      <c r="AI609" s="13"/>
      <c r="AJ609" s="13"/>
      <c r="AK609" s="13"/>
      <c r="AL609" s="13"/>
      <c r="AM609" s="13"/>
      <c r="AN609" s="13"/>
      <c r="AO609" s="13"/>
      <c r="AP609" s="13"/>
    </row>
    <row r="610" ht="18.75" customHeight="1">
      <c r="A610" s="13"/>
      <c r="B610" s="282"/>
      <c r="C610" s="330"/>
      <c r="D610" s="330"/>
      <c r="E610" s="330"/>
      <c r="F610" s="13"/>
      <c r="G610" s="309"/>
      <c r="H610" s="309"/>
      <c r="I610" s="309"/>
      <c r="J610" s="310"/>
      <c r="K610" s="310"/>
      <c r="L610" s="310"/>
      <c r="M610" s="310"/>
      <c r="N610" s="310"/>
      <c r="O610" s="311"/>
      <c r="P610" s="310"/>
      <c r="Q610" s="311"/>
      <c r="R610" s="310"/>
      <c r="S610" s="13"/>
      <c r="T610" s="13"/>
      <c r="U610" s="13"/>
      <c r="V610" s="13"/>
      <c r="W610" s="13"/>
      <c r="X610" s="310"/>
      <c r="Y610" s="311"/>
      <c r="Z610" s="310"/>
      <c r="AA610" s="312"/>
      <c r="AB610" s="13"/>
      <c r="AC610" s="313"/>
      <c r="AD610" s="313"/>
      <c r="AE610" s="313"/>
      <c r="AF610" s="331"/>
      <c r="AG610" s="320"/>
      <c r="AH610" s="13"/>
      <c r="AI610" s="13"/>
      <c r="AJ610" s="13"/>
      <c r="AK610" s="13"/>
      <c r="AL610" s="13"/>
      <c r="AM610" s="13"/>
      <c r="AN610" s="13"/>
      <c r="AO610" s="13"/>
      <c r="AP610" s="13"/>
    </row>
    <row r="611" ht="18.75" customHeight="1">
      <c r="A611" s="13"/>
      <c r="B611" s="282"/>
      <c r="C611" s="330"/>
      <c r="D611" s="330"/>
      <c r="E611" s="330"/>
      <c r="F611" s="13"/>
      <c r="G611" s="309"/>
      <c r="H611" s="309"/>
      <c r="I611" s="309"/>
      <c r="J611" s="310"/>
      <c r="K611" s="310"/>
      <c r="L611" s="310"/>
      <c r="M611" s="310"/>
      <c r="N611" s="310"/>
      <c r="O611" s="311"/>
      <c r="P611" s="310"/>
      <c r="Q611" s="311"/>
      <c r="R611" s="310"/>
      <c r="S611" s="13"/>
      <c r="T611" s="13"/>
      <c r="U611" s="13"/>
      <c r="V611" s="13"/>
      <c r="W611" s="13"/>
      <c r="X611" s="310"/>
      <c r="Y611" s="311"/>
      <c r="Z611" s="310"/>
      <c r="AA611" s="312"/>
      <c r="AB611" s="13"/>
      <c r="AC611" s="313"/>
      <c r="AD611" s="313"/>
      <c r="AE611" s="313"/>
      <c r="AF611" s="331"/>
      <c r="AG611" s="320"/>
      <c r="AH611" s="13"/>
      <c r="AI611" s="13"/>
      <c r="AJ611" s="13"/>
      <c r="AK611" s="13"/>
      <c r="AL611" s="13"/>
      <c r="AM611" s="13"/>
      <c r="AN611" s="13"/>
      <c r="AO611" s="13"/>
      <c r="AP611" s="13"/>
    </row>
    <row r="612" ht="18.75" customHeight="1">
      <c r="A612" s="13"/>
      <c r="B612" s="282"/>
      <c r="C612" s="330"/>
      <c r="D612" s="330"/>
      <c r="E612" s="330"/>
      <c r="F612" s="13"/>
      <c r="G612" s="309"/>
      <c r="H612" s="309"/>
      <c r="I612" s="309"/>
      <c r="J612" s="310"/>
      <c r="K612" s="310"/>
      <c r="L612" s="310"/>
      <c r="M612" s="310"/>
      <c r="N612" s="310"/>
      <c r="O612" s="311"/>
      <c r="P612" s="310"/>
      <c r="Q612" s="311"/>
      <c r="R612" s="310"/>
      <c r="S612" s="13"/>
      <c r="T612" s="13"/>
      <c r="U612" s="13"/>
      <c r="V612" s="13"/>
      <c r="W612" s="13"/>
      <c r="X612" s="310"/>
      <c r="Y612" s="311"/>
      <c r="Z612" s="310"/>
      <c r="AA612" s="312"/>
      <c r="AB612" s="13"/>
      <c r="AC612" s="313"/>
      <c r="AD612" s="313"/>
      <c r="AE612" s="313"/>
      <c r="AF612" s="331"/>
      <c r="AG612" s="320"/>
      <c r="AH612" s="13"/>
      <c r="AI612" s="13"/>
      <c r="AJ612" s="13"/>
      <c r="AK612" s="13"/>
      <c r="AL612" s="13"/>
      <c r="AM612" s="13"/>
      <c r="AN612" s="13"/>
      <c r="AO612" s="13"/>
      <c r="AP612" s="13"/>
    </row>
    <row r="613" ht="18.75" customHeight="1">
      <c r="A613" s="13"/>
      <c r="B613" s="282"/>
      <c r="C613" s="330"/>
      <c r="D613" s="330"/>
      <c r="E613" s="330"/>
      <c r="F613" s="13"/>
      <c r="G613" s="309"/>
      <c r="H613" s="309"/>
      <c r="I613" s="309"/>
      <c r="J613" s="310"/>
      <c r="K613" s="310"/>
      <c r="L613" s="310"/>
      <c r="M613" s="310"/>
      <c r="N613" s="310"/>
      <c r="O613" s="311"/>
      <c r="P613" s="310"/>
      <c r="Q613" s="311"/>
      <c r="R613" s="310"/>
      <c r="S613" s="13"/>
      <c r="T613" s="13"/>
      <c r="U613" s="13"/>
      <c r="V613" s="13"/>
      <c r="W613" s="13"/>
      <c r="X613" s="310"/>
      <c r="Y613" s="311"/>
      <c r="Z613" s="310"/>
      <c r="AA613" s="312"/>
      <c r="AB613" s="13"/>
      <c r="AC613" s="313"/>
      <c r="AD613" s="313"/>
      <c r="AE613" s="313"/>
      <c r="AF613" s="331"/>
      <c r="AG613" s="320"/>
      <c r="AH613" s="13"/>
      <c r="AI613" s="13"/>
      <c r="AJ613" s="13"/>
      <c r="AK613" s="13"/>
      <c r="AL613" s="13"/>
      <c r="AM613" s="13"/>
      <c r="AN613" s="13"/>
      <c r="AO613" s="13"/>
      <c r="AP613" s="13"/>
    </row>
    <row r="614" ht="18.75" customHeight="1">
      <c r="A614" s="13"/>
      <c r="B614" s="282"/>
      <c r="C614" s="330"/>
      <c r="D614" s="330"/>
      <c r="E614" s="330"/>
      <c r="F614" s="13"/>
      <c r="G614" s="309"/>
      <c r="H614" s="309"/>
      <c r="I614" s="309"/>
      <c r="J614" s="310"/>
      <c r="K614" s="310"/>
      <c r="L614" s="310"/>
      <c r="M614" s="310"/>
      <c r="N614" s="310"/>
      <c r="O614" s="311"/>
      <c r="P614" s="310"/>
      <c r="Q614" s="311"/>
      <c r="R614" s="310"/>
      <c r="S614" s="13"/>
      <c r="T614" s="13"/>
      <c r="U614" s="13"/>
      <c r="V614" s="13"/>
      <c r="W614" s="13"/>
      <c r="X614" s="310"/>
      <c r="Y614" s="311"/>
      <c r="Z614" s="310"/>
      <c r="AA614" s="312"/>
      <c r="AB614" s="13"/>
      <c r="AC614" s="313"/>
      <c r="AD614" s="313"/>
      <c r="AE614" s="313"/>
      <c r="AF614" s="331"/>
      <c r="AG614" s="320"/>
      <c r="AH614" s="13"/>
      <c r="AI614" s="13"/>
      <c r="AJ614" s="13"/>
      <c r="AK614" s="13"/>
      <c r="AL614" s="13"/>
      <c r="AM614" s="13"/>
      <c r="AN614" s="13"/>
      <c r="AO614" s="13"/>
      <c r="AP614" s="13"/>
    </row>
    <row r="615" ht="18.75" customHeight="1">
      <c r="A615" s="13"/>
      <c r="B615" s="282"/>
      <c r="C615" s="330"/>
      <c r="D615" s="330"/>
      <c r="E615" s="330"/>
      <c r="F615" s="13"/>
      <c r="G615" s="309"/>
      <c r="H615" s="309"/>
      <c r="I615" s="309"/>
      <c r="J615" s="310"/>
      <c r="K615" s="310"/>
      <c r="L615" s="310"/>
      <c r="M615" s="310"/>
      <c r="N615" s="310"/>
      <c r="O615" s="311"/>
      <c r="P615" s="310"/>
      <c r="Q615" s="311"/>
      <c r="R615" s="310"/>
      <c r="S615" s="13"/>
      <c r="T615" s="13"/>
      <c r="U615" s="13"/>
      <c r="V615" s="13"/>
      <c r="W615" s="13"/>
      <c r="X615" s="310"/>
      <c r="Y615" s="311"/>
      <c r="Z615" s="310"/>
      <c r="AA615" s="312"/>
      <c r="AB615" s="13"/>
      <c r="AC615" s="313"/>
      <c r="AD615" s="313"/>
      <c r="AE615" s="313"/>
      <c r="AF615" s="331"/>
      <c r="AG615" s="320"/>
      <c r="AH615" s="13"/>
      <c r="AI615" s="13"/>
      <c r="AJ615" s="13"/>
      <c r="AK615" s="13"/>
      <c r="AL615" s="13"/>
      <c r="AM615" s="13"/>
      <c r="AN615" s="13"/>
      <c r="AO615" s="13"/>
      <c r="AP615" s="13"/>
    </row>
    <row r="616" ht="18.75" customHeight="1">
      <c r="A616" s="13"/>
      <c r="B616" s="282"/>
      <c r="C616" s="330"/>
      <c r="D616" s="330"/>
      <c r="E616" s="330"/>
      <c r="F616" s="13"/>
      <c r="G616" s="309"/>
      <c r="H616" s="309"/>
      <c r="I616" s="309"/>
      <c r="J616" s="310"/>
      <c r="K616" s="310"/>
      <c r="L616" s="310"/>
      <c r="M616" s="310"/>
      <c r="N616" s="310"/>
      <c r="O616" s="311"/>
      <c r="P616" s="310"/>
      <c r="Q616" s="311"/>
      <c r="R616" s="310"/>
      <c r="S616" s="13"/>
      <c r="T616" s="13"/>
      <c r="U616" s="13"/>
      <c r="V616" s="13"/>
      <c r="W616" s="13"/>
      <c r="X616" s="310"/>
      <c r="Y616" s="311"/>
      <c r="Z616" s="310"/>
      <c r="AA616" s="312"/>
      <c r="AB616" s="13"/>
      <c r="AC616" s="313"/>
      <c r="AD616" s="313"/>
      <c r="AE616" s="313"/>
      <c r="AF616" s="331"/>
      <c r="AG616" s="320"/>
      <c r="AH616" s="13"/>
      <c r="AI616" s="13"/>
      <c r="AJ616" s="13"/>
      <c r="AK616" s="13"/>
      <c r="AL616" s="13"/>
      <c r="AM616" s="13"/>
      <c r="AN616" s="13"/>
      <c r="AO616" s="13"/>
      <c r="AP616" s="13"/>
    </row>
    <row r="617" ht="18.75" customHeight="1">
      <c r="A617" s="13"/>
      <c r="B617" s="282"/>
      <c r="C617" s="330"/>
      <c r="D617" s="330"/>
      <c r="E617" s="330"/>
      <c r="F617" s="13"/>
      <c r="G617" s="309"/>
      <c r="H617" s="309"/>
      <c r="I617" s="309"/>
      <c r="J617" s="310"/>
      <c r="K617" s="310"/>
      <c r="L617" s="310"/>
      <c r="M617" s="310"/>
      <c r="N617" s="310"/>
      <c r="O617" s="311"/>
      <c r="P617" s="310"/>
      <c r="Q617" s="311"/>
      <c r="R617" s="310"/>
      <c r="S617" s="13"/>
      <c r="T617" s="13"/>
      <c r="U617" s="13"/>
      <c r="V617" s="13"/>
      <c r="W617" s="13"/>
      <c r="X617" s="310"/>
      <c r="Y617" s="311"/>
      <c r="Z617" s="310"/>
      <c r="AA617" s="312"/>
      <c r="AB617" s="13"/>
      <c r="AC617" s="313"/>
      <c r="AD617" s="313"/>
      <c r="AE617" s="313"/>
      <c r="AF617" s="331"/>
      <c r="AG617" s="320"/>
      <c r="AH617" s="13"/>
      <c r="AI617" s="13"/>
      <c r="AJ617" s="13"/>
      <c r="AK617" s="13"/>
      <c r="AL617" s="13"/>
      <c r="AM617" s="13"/>
      <c r="AN617" s="13"/>
      <c r="AO617" s="13"/>
      <c r="AP617" s="13"/>
    </row>
    <row r="618" ht="18.75" customHeight="1">
      <c r="A618" s="13"/>
      <c r="B618" s="282"/>
      <c r="C618" s="330"/>
      <c r="D618" s="330"/>
      <c r="E618" s="330"/>
      <c r="F618" s="13"/>
      <c r="G618" s="309"/>
      <c r="H618" s="309"/>
      <c r="I618" s="309"/>
      <c r="J618" s="310"/>
      <c r="K618" s="310"/>
      <c r="L618" s="310"/>
      <c r="M618" s="310"/>
      <c r="N618" s="310"/>
      <c r="O618" s="311"/>
      <c r="P618" s="310"/>
      <c r="Q618" s="311"/>
      <c r="R618" s="310"/>
      <c r="S618" s="13"/>
      <c r="T618" s="13"/>
      <c r="U618" s="13"/>
      <c r="V618" s="13"/>
      <c r="W618" s="13"/>
      <c r="X618" s="310"/>
      <c r="Y618" s="311"/>
      <c r="Z618" s="310"/>
      <c r="AA618" s="312"/>
      <c r="AB618" s="13"/>
      <c r="AC618" s="313"/>
      <c r="AD618" s="313"/>
      <c r="AE618" s="313"/>
      <c r="AF618" s="331"/>
      <c r="AG618" s="320"/>
      <c r="AH618" s="13"/>
      <c r="AI618" s="13"/>
      <c r="AJ618" s="13"/>
      <c r="AK618" s="13"/>
      <c r="AL618" s="13"/>
      <c r="AM618" s="13"/>
      <c r="AN618" s="13"/>
      <c r="AO618" s="13"/>
      <c r="AP618" s="13"/>
    </row>
    <row r="619" ht="18.75" customHeight="1">
      <c r="A619" s="13"/>
      <c r="B619" s="282"/>
      <c r="C619" s="330"/>
      <c r="D619" s="330"/>
      <c r="E619" s="330"/>
      <c r="F619" s="13"/>
      <c r="G619" s="309"/>
      <c r="H619" s="309"/>
      <c r="I619" s="309"/>
      <c r="J619" s="310"/>
      <c r="K619" s="310"/>
      <c r="L619" s="310"/>
      <c r="M619" s="310"/>
      <c r="N619" s="310"/>
      <c r="O619" s="311"/>
      <c r="P619" s="310"/>
      <c r="Q619" s="311"/>
      <c r="R619" s="310"/>
      <c r="S619" s="13"/>
      <c r="T619" s="13"/>
      <c r="U619" s="13"/>
      <c r="V619" s="13"/>
      <c r="W619" s="13"/>
      <c r="X619" s="310"/>
      <c r="Y619" s="311"/>
      <c r="Z619" s="310"/>
      <c r="AA619" s="312"/>
      <c r="AB619" s="13"/>
      <c r="AC619" s="313"/>
      <c r="AD619" s="313"/>
      <c r="AE619" s="313"/>
      <c r="AF619" s="331"/>
      <c r="AG619" s="320"/>
      <c r="AH619" s="13"/>
      <c r="AI619" s="13"/>
      <c r="AJ619" s="13"/>
      <c r="AK619" s="13"/>
      <c r="AL619" s="13"/>
      <c r="AM619" s="13"/>
      <c r="AN619" s="13"/>
      <c r="AO619" s="13"/>
      <c r="AP619" s="13"/>
    </row>
    <row r="620" ht="18.75" customHeight="1">
      <c r="A620" s="13"/>
      <c r="B620" s="282"/>
      <c r="C620" s="330"/>
      <c r="D620" s="330"/>
      <c r="E620" s="330"/>
      <c r="F620" s="13"/>
      <c r="G620" s="309"/>
      <c r="H620" s="309"/>
      <c r="I620" s="309"/>
      <c r="J620" s="310"/>
      <c r="K620" s="310"/>
      <c r="L620" s="310"/>
      <c r="M620" s="310"/>
      <c r="N620" s="310"/>
      <c r="O620" s="311"/>
      <c r="P620" s="310"/>
      <c r="Q620" s="311"/>
      <c r="R620" s="310"/>
      <c r="S620" s="13"/>
      <c r="T620" s="13"/>
      <c r="U620" s="13"/>
      <c r="V620" s="13"/>
      <c r="W620" s="13"/>
      <c r="X620" s="310"/>
      <c r="Y620" s="311"/>
      <c r="Z620" s="310"/>
      <c r="AA620" s="312"/>
      <c r="AB620" s="13"/>
      <c r="AC620" s="313"/>
      <c r="AD620" s="313"/>
      <c r="AE620" s="313"/>
      <c r="AF620" s="331"/>
      <c r="AG620" s="320"/>
      <c r="AH620" s="13"/>
      <c r="AI620" s="13"/>
      <c r="AJ620" s="13"/>
      <c r="AK620" s="13"/>
      <c r="AL620" s="13"/>
      <c r="AM620" s="13"/>
      <c r="AN620" s="13"/>
      <c r="AO620" s="13"/>
      <c r="AP620" s="13"/>
    </row>
    <row r="621" ht="18.75" customHeight="1">
      <c r="A621" s="13"/>
      <c r="B621" s="282"/>
      <c r="C621" s="330"/>
      <c r="D621" s="330"/>
      <c r="E621" s="330"/>
      <c r="F621" s="13"/>
      <c r="G621" s="309"/>
      <c r="H621" s="309"/>
      <c r="I621" s="309"/>
      <c r="J621" s="310"/>
      <c r="K621" s="310"/>
      <c r="L621" s="310"/>
      <c r="M621" s="310"/>
      <c r="N621" s="310"/>
      <c r="O621" s="311"/>
      <c r="P621" s="310"/>
      <c r="Q621" s="311"/>
      <c r="R621" s="310"/>
      <c r="S621" s="13"/>
      <c r="T621" s="13"/>
      <c r="U621" s="13"/>
      <c r="V621" s="13"/>
      <c r="W621" s="13"/>
      <c r="X621" s="310"/>
      <c r="Y621" s="311"/>
      <c r="Z621" s="310"/>
      <c r="AA621" s="312"/>
      <c r="AB621" s="13"/>
      <c r="AC621" s="313"/>
      <c r="AD621" s="313"/>
      <c r="AE621" s="313"/>
      <c r="AF621" s="331"/>
      <c r="AG621" s="320"/>
      <c r="AH621" s="13"/>
      <c r="AI621" s="13"/>
      <c r="AJ621" s="13"/>
      <c r="AK621" s="13"/>
      <c r="AL621" s="13"/>
      <c r="AM621" s="13"/>
      <c r="AN621" s="13"/>
      <c r="AO621" s="13"/>
      <c r="AP621" s="13"/>
    </row>
    <row r="622" ht="18.75" customHeight="1">
      <c r="A622" s="13"/>
      <c r="B622" s="282"/>
      <c r="C622" s="330"/>
      <c r="D622" s="330"/>
      <c r="E622" s="330"/>
      <c r="F622" s="13"/>
      <c r="G622" s="309"/>
      <c r="H622" s="309"/>
      <c r="I622" s="309"/>
      <c r="J622" s="310"/>
      <c r="K622" s="310"/>
      <c r="L622" s="310"/>
      <c r="M622" s="310"/>
      <c r="N622" s="310"/>
      <c r="O622" s="311"/>
      <c r="P622" s="310"/>
      <c r="Q622" s="311"/>
      <c r="R622" s="310"/>
      <c r="S622" s="13"/>
      <c r="T622" s="13"/>
      <c r="U622" s="13"/>
      <c r="V622" s="13"/>
      <c r="W622" s="13"/>
      <c r="X622" s="310"/>
      <c r="Y622" s="311"/>
      <c r="Z622" s="310"/>
      <c r="AA622" s="312"/>
      <c r="AB622" s="13"/>
      <c r="AC622" s="313"/>
      <c r="AD622" s="313"/>
      <c r="AE622" s="313"/>
      <c r="AF622" s="331"/>
      <c r="AG622" s="320"/>
      <c r="AH622" s="13"/>
      <c r="AI622" s="13"/>
      <c r="AJ622" s="13"/>
      <c r="AK622" s="13"/>
      <c r="AL622" s="13"/>
      <c r="AM622" s="13"/>
      <c r="AN622" s="13"/>
      <c r="AO622" s="13"/>
      <c r="AP622" s="13"/>
    </row>
    <row r="623" ht="18.75" customHeight="1">
      <c r="A623" s="13"/>
      <c r="B623" s="282"/>
      <c r="C623" s="330"/>
      <c r="D623" s="330"/>
      <c r="E623" s="330"/>
      <c r="F623" s="13"/>
      <c r="G623" s="309"/>
      <c r="H623" s="309"/>
      <c r="I623" s="309"/>
      <c r="J623" s="310"/>
      <c r="K623" s="310"/>
      <c r="L623" s="310"/>
      <c r="M623" s="310"/>
      <c r="N623" s="310"/>
      <c r="O623" s="311"/>
      <c r="P623" s="310"/>
      <c r="Q623" s="311"/>
      <c r="R623" s="310"/>
      <c r="S623" s="13"/>
      <c r="T623" s="13"/>
      <c r="U623" s="13"/>
      <c r="V623" s="13"/>
      <c r="W623" s="13"/>
      <c r="X623" s="310"/>
      <c r="Y623" s="311"/>
      <c r="Z623" s="310"/>
      <c r="AA623" s="312"/>
      <c r="AB623" s="13"/>
      <c r="AC623" s="313"/>
      <c r="AD623" s="313"/>
      <c r="AE623" s="313"/>
      <c r="AF623" s="331"/>
      <c r="AG623" s="320"/>
      <c r="AH623" s="13"/>
      <c r="AI623" s="13"/>
      <c r="AJ623" s="13"/>
      <c r="AK623" s="13"/>
      <c r="AL623" s="13"/>
      <c r="AM623" s="13"/>
      <c r="AN623" s="13"/>
      <c r="AO623" s="13"/>
      <c r="AP623" s="13"/>
    </row>
    <row r="624" ht="18.75" customHeight="1">
      <c r="A624" s="13"/>
      <c r="B624" s="282"/>
      <c r="C624" s="330"/>
      <c r="D624" s="330"/>
      <c r="E624" s="330"/>
      <c r="F624" s="13"/>
      <c r="G624" s="309"/>
      <c r="H624" s="309"/>
      <c r="I624" s="309"/>
      <c r="J624" s="310"/>
      <c r="K624" s="310"/>
      <c r="L624" s="310"/>
      <c r="M624" s="310"/>
      <c r="N624" s="310"/>
      <c r="O624" s="311"/>
      <c r="P624" s="310"/>
      <c r="Q624" s="311"/>
      <c r="R624" s="310"/>
      <c r="S624" s="13"/>
      <c r="T624" s="13"/>
      <c r="U624" s="13"/>
      <c r="V624" s="13"/>
      <c r="W624" s="13"/>
      <c r="X624" s="310"/>
      <c r="Y624" s="311"/>
      <c r="Z624" s="310"/>
      <c r="AA624" s="312"/>
      <c r="AB624" s="13"/>
      <c r="AC624" s="313"/>
      <c r="AD624" s="313"/>
      <c r="AE624" s="313"/>
      <c r="AF624" s="331"/>
      <c r="AG624" s="320"/>
      <c r="AH624" s="13"/>
      <c r="AI624" s="13"/>
      <c r="AJ624" s="13"/>
      <c r="AK624" s="13"/>
      <c r="AL624" s="13"/>
      <c r="AM624" s="13"/>
      <c r="AN624" s="13"/>
      <c r="AO624" s="13"/>
      <c r="AP624" s="13"/>
    </row>
    <row r="625" ht="18.75" customHeight="1">
      <c r="A625" s="13"/>
      <c r="B625" s="282"/>
      <c r="C625" s="330"/>
      <c r="D625" s="330"/>
      <c r="E625" s="330"/>
      <c r="F625" s="13"/>
      <c r="G625" s="309"/>
      <c r="H625" s="309"/>
      <c r="I625" s="309"/>
      <c r="J625" s="310"/>
      <c r="K625" s="310"/>
      <c r="L625" s="310"/>
      <c r="M625" s="310"/>
      <c r="N625" s="310"/>
      <c r="O625" s="311"/>
      <c r="P625" s="310"/>
      <c r="Q625" s="311"/>
      <c r="R625" s="310"/>
      <c r="S625" s="13"/>
      <c r="T625" s="13"/>
      <c r="U625" s="13"/>
      <c r="V625" s="13"/>
      <c r="W625" s="13"/>
      <c r="X625" s="310"/>
      <c r="Y625" s="311"/>
      <c r="Z625" s="310"/>
      <c r="AA625" s="312"/>
      <c r="AB625" s="13"/>
      <c r="AC625" s="313"/>
      <c r="AD625" s="313"/>
      <c r="AE625" s="313"/>
      <c r="AF625" s="331"/>
      <c r="AG625" s="320"/>
      <c r="AH625" s="13"/>
      <c r="AI625" s="13"/>
      <c r="AJ625" s="13"/>
      <c r="AK625" s="13"/>
      <c r="AL625" s="13"/>
      <c r="AM625" s="13"/>
      <c r="AN625" s="13"/>
      <c r="AO625" s="13"/>
      <c r="AP625" s="13"/>
    </row>
    <row r="626" ht="18.75" customHeight="1">
      <c r="A626" s="13"/>
      <c r="B626" s="282"/>
      <c r="C626" s="330"/>
      <c r="D626" s="330"/>
      <c r="E626" s="330"/>
      <c r="F626" s="13"/>
      <c r="G626" s="309"/>
      <c r="H626" s="309"/>
      <c r="I626" s="309"/>
      <c r="J626" s="310"/>
      <c r="K626" s="310"/>
      <c r="L626" s="310"/>
      <c r="M626" s="310"/>
      <c r="N626" s="310"/>
      <c r="O626" s="311"/>
      <c r="P626" s="310"/>
      <c r="Q626" s="311"/>
      <c r="R626" s="310"/>
      <c r="S626" s="13"/>
      <c r="T626" s="13"/>
      <c r="U626" s="13"/>
      <c r="V626" s="13"/>
      <c r="W626" s="13"/>
      <c r="X626" s="310"/>
      <c r="Y626" s="311"/>
      <c r="Z626" s="310"/>
      <c r="AA626" s="312"/>
      <c r="AB626" s="13"/>
      <c r="AC626" s="313"/>
      <c r="AD626" s="313"/>
      <c r="AE626" s="313"/>
      <c r="AF626" s="331"/>
      <c r="AG626" s="320"/>
      <c r="AH626" s="13"/>
      <c r="AI626" s="13"/>
      <c r="AJ626" s="13"/>
      <c r="AK626" s="13"/>
      <c r="AL626" s="13"/>
      <c r="AM626" s="13"/>
      <c r="AN626" s="13"/>
      <c r="AO626" s="13"/>
      <c r="AP626" s="13"/>
    </row>
    <row r="627" ht="18.75" customHeight="1">
      <c r="A627" s="13"/>
      <c r="B627" s="282"/>
      <c r="C627" s="330"/>
      <c r="D627" s="330"/>
      <c r="E627" s="330"/>
      <c r="F627" s="13"/>
      <c r="G627" s="309"/>
      <c r="H627" s="309"/>
      <c r="I627" s="309"/>
      <c r="J627" s="310"/>
      <c r="K627" s="310"/>
      <c r="L627" s="310"/>
      <c r="M627" s="310"/>
      <c r="N627" s="310"/>
      <c r="O627" s="311"/>
      <c r="P627" s="310"/>
      <c r="Q627" s="311"/>
      <c r="R627" s="310"/>
      <c r="S627" s="13"/>
      <c r="T627" s="13"/>
      <c r="U627" s="13"/>
      <c r="V627" s="13"/>
      <c r="W627" s="13"/>
      <c r="X627" s="310"/>
      <c r="Y627" s="311"/>
      <c r="Z627" s="310"/>
      <c r="AA627" s="312"/>
      <c r="AB627" s="13"/>
      <c r="AC627" s="313"/>
      <c r="AD627" s="313"/>
      <c r="AE627" s="313"/>
      <c r="AF627" s="331"/>
      <c r="AG627" s="320"/>
      <c r="AH627" s="13"/>
      <c r="AI627" s="13"/>
      <c r="AJ627" s="13"/>
      <c r="AK627" s="13"/>
      <c r="AL627" s="13"/>
      <c r="AM627" s="13"/>
      <c r="AN627" s="13"/>
      <c r="AO627" s="13"/>
      <c r="AP627" s="13"/>
    </row>
    <row r="628" ht="18.75" customHeight="1">
      <c r="A628" s="13"/>
      <c r="B628" s="282"/>
      <c r="C628" s="330"/>
      <c r="D628" s="330"/>
      <c r="E628" s="330"/>
      <c r="F628" s="13"/>
      <c r="G628" s="309"/>
      <c r="H628" s="309"/>
      <c r="I628" s="309"/>
      <c r="J628" s="310"/>
      <c r="K628" s="310"/>
      <c r="L628" s="310"/>
      <c r="M628" s="310"/>
      <c r="N628" s="310"/>
      <c r="O628" s="311"/>
      <c r="P628" s="310"/>
      <c r="Q628" s="311"/>
      <c r="R628" s="310"/>
      <c r="S628" s="13"/>
      <c r="T628" s="13"/>
      <c r="U628" s="13"/>
      <c r="V628" s="13"/>
      <c r="W628" s="13"/>
      <c r="X628" s="310"/>
      <c r="Y628" s="311"/>
      <c r="Z628" s="310"/>
      <c r="AA628" s="312"/>
      <c r="AB628" s="13"/>
      <c r="AC628" s="313"/>
      <c r="AD628" s="313"/>
      <c r="AE628" s="313"/>
      <c r="AF628" s="331"/>
      <c r="AG628" s="320"/>
      <c r="AH628" s="13"/>
      <c r="AI628" s="13"/>
      <c r="AJ628" s="13"/>
      <c r="AK628" s="13"/>
      <c r="AL628" s="13"/>
      <c r="AM628" s="13"/>
      <c r="AN628" s="13"/>
      <c r="AO628" s="13"/>
      <c r="AP628" s="13"/>
    </row>
    <row r="629" ht="18.75" customHeight="1">
      <c r="A629" s="13"/>
      <c r="B629" s="282"/>
      <c r="C629" s="330"/>
      <c r="D629" s="330"/>
      <c r="E629" s="330"/>
      <c r="F629" s="13"/>
      <c r="G629" s="309"/>
      <c r="H629" s="309"/>
      <c r="I629" s="309"/>
      <c r="J629" s="310"/>
      <c r="K629" s="310"/>
      <c r="L629" s="310"/>
      <c r="M629" s="310"/>
      <c r="N629" s="310"/>
      <c r="O629" s="311"/>
      <c r="P629" s="310"/>
      <c r="Q629" s="311"/>
      <c r="R629" s="310"/>
      <c r="S629" s="13"/>
      <c r="T629" s="13"/>
      <c r="U629" s="13"/>
      <c r="V629" s="13"/>
      <c r="W629" s="13"/>
      <c r="X629" s="310"/>
      <c r="Y629" s="311"/>
      <c r="Z629" s="310"/>
      <c r="AA629" s="312"/>
      <c r="AB629" s="13"/>
      <c r="AC629" s="313"/>
      <c r="AD629" s="313"/>
      <c r="AE629" s="313"/>
      <c r="AF629" s="331"/>
      <c r="AG629" s="320"/>
      <c r="AH629" s="13"/>
      <c r="AI629" s="13"/>
      <c r="AJ629" s="13"/>
      <c r="AK629" s="13"/>
      <c r="AL629" s="13"/>
      <c r="AM629" s="13"/>
      <c r="AN629" s="13"/>
      <c r="AO629" s="13"/>
      <c r="AP629" s="13"/>
    </row>
    <row r="630" ht="18.75" customHeight="1">
      <c r="A630" s="13"/>
      <c r="B630" s="282"/>
      <c r="C630" s="330"/>
      <c r="D630" s="330"/>
      <c r="E630" s="330"/>
      <c r="F630" s="13"/>
      <c r="G630" s="309"/>
      <c r="H630" s="309"/>
      <c r="I630" s="309"/>
      <c r="J630" s="310"/>
      <c r="K630" s="310"/>
      <c r="L630" s="310"/>
      <c r="M630" s="310"/>
      <c r="N630" s="310"/>
      <c r="O630" s="311"/>
      <c r="P630" s="310"/>
      <c r="Q630" s="311"/>
      <c r="R630" s="310"/>
      <c r="S630" s="13"/>
      <c r="T630" s="13"/>
      <c r="U630" s="13"/>
      <c r="V630" s="13"/>
      <c r="W630" s="13"/>
      <c r="X630" s="310"/>
      <c r="Y630" s="311"/>
      <c r="Z630" s="310"/>
      <c r="AA630" s="312"/>
      <c r="AB630" s="13"/>
      <c r="AC630" s="313"/>
      <c r="AD630" s="313"/>
      <c r="AE630" s="313"/>
      <c r="AF630" s="331"/>
      <c r="AG630" s="320"/>
      <c r="AH630" s="13"/>
      <c r="AI630" s="13"/>
      <c r="AJ630" s="13"/>
      <c r="AK630" s="13"/>
      <c r="AL630" s="13"/>
      <c r="AM630" s="13"/>
      <c r="AN630" s="13"/>
      <c r="AO630" s="13"/>
      <c r="AP630" s="13"/>
    </row>
    <row r="631" ht="18.75" customHeight="1">
      <c r="A631" s="13"/>
      <c r="B631" s="282"/>
      <c r="C631" s="330"/>
      <c r="D631" s="330"/>
      <c r="E631" s="330"/>
      <c r="F631" s="13"/>
      <c r="G631" s="309"/>
      <c r="H631" s="309"/>
      <c r="I631" s="309"/>
      <c r="J631" s="310"/>
      <c r="K631" s="310"/>
      <c r="L631" s="310"/>
      <c r="M631" s="310"/>
      <c r="N631" s="310"/>
      <c r="O631" s="311"/>
      <c r="P631" s="310"/>
      <c r="Q631" s="311"/>
      <c r="R631" s="310"/>
      <c r="S631" s="13"/>
      <c r="T631" s="13"/>
      <c r="U631" s="13"/>
      <c r="V631" s="13"/>
      <c r="W631" s="13"/>
      <c r="X631" s="310"/>
      <c r="Y631" s="311"/>
      <c r="Z631" s="310"/>
      <c r="AA631" s="312"/>
      <c r="AB631" s="13"/>
      <c r="AC631" s="313"/>
      <c r="AD631" s="313"/>
      <c r="AE631" s="313"/>
      <c r="AF631" s="331"/>
      <c r="AG631" s="320"/>
      <c r="AH631" s="13"/>
      <c r="AI631" s="13"/>
      <c r="AJ631" s="13"/>
      <c r="AK631" s="13"/>
      <c r="AL631" s="13"/>
      <c r="AM631" s="13"/>
      <c r="AN631" s="13"/>
      <c r="AO631" s="13"/>
      <c r="AP631" s="13"/>
    </row>
    <row r="632" ht="18.75" customHeight="1">
      <c r="A632" s="13"/>
      <c r="B632" s="282"/>
      <c r="C632" s="330"/>
      <c r="D632" s="330"/>
      <c r="E632" s="330"/>
      <c r="F632" s="13"/>
      <c r="G632" s="309"/>
      <c r="H632" s="309"/>
      <c r="I632" s="309"/>
      <c r="J632" s="310"/>
      <c r="K632" s="310"/>
      <c r="L632" s="310"/>
      <c r="M632" s="310"/>
      <c r="N632" s="310"/>
      <c r="O632" s="311"/>
      <c r="P632" s="310"/>
      <c r="Q632" s="311"/>
      <c r="R632" s="310"/>
      <c r="S632" s="13"/>
      <c r="T632" s="13"/>
      <c r="U632" s="13"/>
      <c r="V632" s="13"/>
      <c r="W632" s="13"/>
      <c r="X632" s="310"/>
      <c r="Y632" s="311"/>
      <c r="Z632" s="310"/>
      <c r="AA632" s="312"/>
      <c r="AB632" s="13"/>
      <c r="AC632" s="313"/>
      <c r="AD632" s="313"/>
      <c r="AE632" s="313"/>
      <c r="AF632" s="331"/>
      <c r="AG632" s="320"/>
      <c r="AH632" s="13"/>
      <c r="AI632" s="13"/>
      <c r="AJ632" s="13"/>
      <c r="AK632" s="13"/>
      <c r="AL632" s="13"/>
      <c r="AM632" s="13"/>
      <c r="AN632" s="13"/>
      <c r="AO632" s="13"/>
      <c r="AP632" s="13"/>
    </row>
    <row r="633" ht="18.75" customHeight="1">
      <c r="A633" s="13"/>
      <c r="B633" s="282"/>
      <c r="C633" s="330"/>
      <c r="D633" s="330"/>
      <c r="E633" s="330"/>
      <c r="F633" s="13"/>
      <c r="G633" s="309"/>
      <c r="H633" s="309"/>
      <c r="I633" s="309"/>
      <c r="J633" s="310"/>
      <c r="K633" s="310"/>
      <c r="L633" s="310"/>
      <c r="M633" s="310"/>
      <c r="N633" s="310"/>
      <c r="O633" s="311"/>
      <c r="P633" s="310"/>
      <c r="Q633" s="311"/>
      <c r="R633" s="310"/>
      <c r="S633" s="13"/>
      <c r="T633" s="13"/>
      <c r="U633" s="13"/>
      <c r="V633" s="13"/>
      <c r="W633" s="13"/>
      <c r="X633" s="310"/>
      <c r="Y633" s="311"/>
      <c r="Z633" s="310"/>
      <c r="AA633" s="312"/>
      <c r="AB633" s="13"/>
      <c r="AC633" s="313"/>
      <c r="AD633" s="313"/>
      <c r="AE633" s="313"/>
      <c r="AF633" s="331"/>
      <c r="AG633" s="320"/>
      <c r="AH633" s="13"/>
      <c r="AI633" s="13"/>
      <c r="AJ633" s="13"/>
      <c r="AK633" s="13"/>
      <c r="AL633" s="13"/>
      <c r="AM633" s="13"/>
      <c r="AN633" s="13"/>
      <c r="AO633" s="13"/>
      <c r="AP633" s="13"/>
    </row>
    <row r="634" ht="18.75" customHeight="1">
      <c r="A634" s="13"/>
      <c r="B634" s="282"/>
      <c r="C634" s="330"/>
      <c r="D634" s="330"/>
      <c r="E634" s="330"/>
      <c r="F634" s="13"/>
      <c r="G634" s="309"/>
      <c r="H634" s="309"/>
      <c r="I634" s="309"/>
      <c r="J634" s="310"/>
      <c r="K634" s="310"/>
      <c r="L634" s="310"/>
      <c r="M634" s="310"/>
      <c r="N634" s="310"/>
      <c r="O634" s="311"/>
      <c r="P634" s="310"/>
      <c r="Q634" s="311"/>
      <c r="R634" s="310"/>
      <c r="S634" s="13"/>
      <c r="T634" s="13"/>
      <c r="U634" s="13"/>
      <c r="V634" s="13"/>
      <c r="W634" s="13"/>
      <c r="X634" s="310"/>
      <c r="Y634" s="311"/>
      <c r="Z634" s="310"/>
      <c r="AA634" s="312"/>
      <c r="AB634" s="13"/>
      <c r="AC634" s="313"/>
      <c r="AD634" s="313"/>
      <c r="AE634" s="313"/>
      <c r="AF634" s="331"/>
      <c r="AG634" s="320"/>
      <c r="AH634" s="13"/>
      <c r="AI634" s="13"/>
      <c r="AJ634" s="13"/>
      <c r="AK634" s="13"/>
      <c r="AL634" s="13"/>
      <c r="AM634" s="13"/>
      <c r="AN634" s="13"/>
      <c r="AO634" s="13"/>
      <c r="AP634" s="13"/>
    </row>
    <row r="635" ht="18.75" customHeight="1">
      <c r="A635" s="13"/>
      <c r="B635" s="282"/>
      <c r="C635" s="330"/>
      <c r="D635" s="330"/>
      <c r="E635" s="330"/>
      <c r="F635" s="13"/>
      <c r="G635" s="309"/>
      <c r="H635" s="309"/>
      <c r="I635" s="309"/>
      <c r="J635" s="310"/>
      <c r="K635" s="310"/>
      <c r="L635" s="310"/>
      <c r="M635" s="310"/>
      <c r="N635" s="310"/>
      <c r="O635" s="311"/>
      <c r="P635" s="310"/>
      <c r="Q635" s="311"/>
      <c r="R635" s="310"/>
      <c r="S635" s="13"/>
      <c r="T635" s="13"/>
      <c r="U635" s="13"/>
      <c r="V635" s="13"/>
      <c r="W635" s="13"/>
      <c r="X635" s="310"/>
      <c r="Y635" s="311"/>
      <c r="Z635" s="310"/>
      <c r="AA635" s="312"/>
      <c r="AB635" s="13"/>
      <c r="AC635" s="313"/>
      <c r="AD635" s="313"/>
      <c r="AE635" s="313"/>
      <c r="AF635" s="331"/>
      <c r="AG635" s="320"/>
      <c r="AH635" s="13"/>
      <c r="AI635" s="13"/>
      <c r="AJ635" s="13"/>
      <c r="AK635" s="13"/>
      <c r="AL635" s="13"/>
      <c r="AM635" s="13"/>
      <c r="AN635" s="13"/>
      <c r="AO635" s="13"/>
      <c r="AP635" s="13"/>
    </row>
    <row r="636" ht="18.75" customHeight="1">
      <c r="A636" s="13"/>
      <c r="B636" s="282"/>
      <c r="C636" s="330"/>
      <c r="D636" s="330"/>
      <c r="E636" s="330"/>
      <c r="F636" s="13"/>
      <c r="G636" s="309"/>
      <c r="H636" s="309"/>
      <c r="I636" s="309"/>
      <c r="J636" s="310"/>
      <c r="K636" s="310"/>
      <c r="L636" s="310"/>
      <c r="M636" s="310"/>
      <c r="N636" s="310"/>
      <c r="O636" s="311"/>
      <c r="P636" s="310"/>
      <c r="Q636" s="311"/>
      <c r="R636" s="310"/>
      <c r="S636" s="13"/>
      <c r="T636" s="13"/>
      <c r="U636" s="13"/>
      <c r="V636" s="13"/>
      <c r="W636" s="13"/>
      <c r="X636" s="310"/>
      <c r="Y636" s="311"/>
      <c r="Z636" s="310"/>
      <c r="AA636" s="312"/>
      <c r="AB636" s="13"/>
      <c r="AC636" s="313"/>
      <c r="AD636" s="313"/>
      <c r="AE636" s="313"/>
      <c r="AF636" s="331"/>
      <c r="AG636" s="320"/>
      <c r="AH636" s="13"/>
      <c r="AI636" s="13"/>
      <c r="AJ636" s="13"/>
      <c r="AK636" s="13"/>
      <c r="AL636" s="13"/>
      <c r="AM636" s="13"/>
      <c r="AN636" s="13"/>
      <c r="AO636" s="13"/>
      <c r="AP636" s="13"/>
    </row>
    <row r="637" ht="18.75" customHeight="1">
      <c r="A637" s="13"/>
      <c r="B637" s="282"/>
      <c r="C637" s="330"/>
      <c r="D637" s="330"/>
      <c r="E637" s="330"/>
      <c r="F637" s="13"/>
      <c r="G637" s="309"/>
      <c r="H637" s="309"/>
      <c r="I637" s="309"/>
      <c r="J637" s="310"/>
      <c r="K637" s="310"/>
      <c r="L637" s="310"/>
      <c r="M637" s="310"/>
      <c r="N637" s="310"/>
      <c r="O637" s="311"/>
      <c r="P637" s="310"/>
      <c r="Q637" s="311"/>
      <c r="R637" s="310"/>
      <c r="S637" s="13"/>
      <c r="T637" s="13"/>
      <c r="U637" s="13"/>
      <c r="V637" s="13"/>
      <c r="W637" s="13"/>
      <c r="X637" s="310"/>
      <c r="Y637" s="311"/>
      <c r="Z637" s="310"/>
      <c r="AA637" s="312"/>
      <c r="AB637" s="13"/>
      <c r="AC637" s="313"/>
      <c r="AD637" s="313"/>
      <c r="AE637" s="313"/>
      <c r="AF637" s="331"/>
      <c r="AG637" s="320"/>
      <c r="AH637" s="13"/>
      <c r="AI637" s="13"/>
      <c r="AJ637" s="13"/>
      <c r="AK637" s="13"/>
      <c r="AL637" s="13"/>
      <c r="AM637" s="13"/>
      <c r="AN637" s="13"/>
      <c r="AO637" s="13"/>
      <c r="AP637" s="13"/>
    </row>
    <row r="638" ht="18.75" customHeight="1">
      <c r="A638" s="13"/>
      <c r="B638" s="282"/>
      <c r="C638" s="330"/>
      <c r="D638" s="330"/>
      <c r="E638" s="330"/>
      <c r="F638" s="13"/>
      <c r="G638" s="309"/>
      <c r="H638" s="309"/>
      <c r="I638" s="309"/>
      <c r="J638" s="310"/>
      <c r="K638" s="310"/>
      <c r="L638" s="310"/>
      <c r="M638" s="310"/>
      <c r="N638" s="310"/>
      <c r="O638" s="311"/>
      <c r="P638" s="310"/>
      <c r="Q638" s="311"/>
      <c r="R638" s="310"/>
      <c r="S638" s="13"/>
      <c r="T638" s="13"/>
      <c r="U638" s="13"/>
      <c r="V638" s="13"/>
      <c r="W638" s="13"/>
      <c r="X638" s="310"/>
      <c r="Y638" s="311"/>
      <c r="Z638" s="310"/>
      <c r="AA638" s="312"/>
      <c r="AB638" s="13"/>
      <c r="AC638" s="313"/>
      <c r="AD638" s="313"/>
      <c r="AE638" s="313"/>
      <c r="AF638" s="331"/>
      <c r="AG638" s="320"/>
      <c r="AH638" s="13"/>
      <c r="AI638" s="13"/>
      <c r="AJ638" s="13"/>
      <c r="AK638" s="13"/>
      <c r="AL638" s="13"/>
      <c r="AM638" s="13"/>
      <c r="AN638" s="13"/>
      <c r="AO638" s="13"/>
      <c r="AP638" s="13"/>
    </row>
    <row r="639" ht="18.75" customHeight="1">
      <c r="A639" s="13"/>
      <c r="B639" s="282"/>
      <c r="C639" s="330"/>
      <c r="D639" s="330"/>
      <c r="E639" s="330"/>
      <c r="F639" s="13"/>
      <c r="G639" s="309"/>
      <c r="H639" s="309"/>
      <c r="I639" s="309"/>
      <c r="J639" s="310"/>
      <c r="K639" s="310"/>
      <c r="L639" s="310"/>
      <c r="M639" s="310"/>
      <c r="N639" s="310"/>
      <c r="O639" s="311"/>
      <c r="P639" s="310"/>
      <c r="Q639" s="311"/>
      <c r="R639" s="310"/>
      <c r="S639" s="13"/>
      <c r="T639" s="13"/>
      <c r="U639" s="13"/>
      <c r="V639" s="13"/>
      <c r="W639" s="13"/>
      <c r="X639" s="310"/>
      <c r="Y639" s="311"/>
      <c r="Z639" s="310"/>
      <c r="AA639" s="312"/>
      <c r="AB639" s="13"/>
      <c r="AC639" s="313"/>
      <c r="AD639" s="313"/>
      <c r="AE639" s="313"/>
      <c r="AF639" s="331"/>
      <c r="AG639" s="320"/>
      <c r="AH639" s="13"/>
      <c r="AI639" s="13"/>
      <c r="AJ639" s="13"/>
      <c r="AK639" s="13"/>
      <c r="AL639" s="13"/>
      <c r="AM639" s="13"/>
      <c r="AN639" s="13"/>
      <c r="AO639" s="13"/>
      <c r="AP639" s="13"/>
    </row>
    <row r="640" ht="18.75" customHeight="1">
      <c r="A640" s="13"/>
      <c r="B640" s="282"/>
      <c r="C640" s="330"/>
      <c r="D640" s="330"/>
      <c r="E640" s="330"/>
      <c r="F640" s="13"/>
      <c r="G640" s="309"/>
      <c r="H640" s="309"/>
      <c r="I640" s="309"/>
      <c r="J640" s="310"/>
      <c r="K640" s="310"/>
      <c r="L640" s="310"/>
      <c r="M640" s="310"/>
      <c r="N640" s="310"/>
      <c r="O640" s="311"/>
      <c r="P640" s="310"/>
      <c r="Q640" s="311"/>
      <c r="R640" s="310"/>
      <c r="S640" s="13"/>
      <c r="T640" s="13"/>
      <c r="U640" s="13"/>
      <c r="V640" s="13"/>
      <c r="W640" s="13"/>
      <c r="X640" s="310"/>
      <c r="Y640" s="311"/>
      <c r="Z640" s="310"/>
      <c r="AA640" s="312"/>
      <c r="AB640" s="13"/>
      <c r="AC640" s="313"/>
      <c r="AD640" s="313"/>
      <c r="AE640" s="313"/>
      <c r="AF640" s="331"/>
      <c r="AG640" s="320"/>
      <c r="AH640" s="13"/>
      <c r="AI640" s="13"/>
      <c r="AJ640" s="13"/>
      <c r="AK640" s="13"/>
      <c r="AL640" s="13"/>
      <c r="AM640" s="13"/>
      <c r="AN640" s="13"/>
      <c r="AO640" s="13"/>
      <c r="AP640" s="13"/>
    </row>
    <row r="641" ht="18.75" customHeight="1">
      <c r="A641" s="13"/>
      <c r="B641" s="282"/>
      <c r="C641" s="330"/>
      <c r="D641" s="330"/>
      <c r="E641" s="330"/>
      <c r="F641" s="13"/>
      <c r="G641" s="309"/>
      <c r="H641" s="309"/>
      <c r="I641" s="309"/>
      <c r="J641" s="310"/>
      <c r="K641" s="310"/>
      <c r="L641" s="310"/>
      <c r="M641" s="310"/>
      <c r="N641" s="310"/>
      <c r="O641" s="311"/>
      <c r="P641" s="310"/>
      <c r="Q641" s="311"/>
      <c r="R641" s="310"/>
      <c r="S641" s="13"/>
      <c r="T641" s="13"/>
      <c r="U641" s="13"/>
      <c r="V641" s="13"/>
      <c r="W641" s="13"/>
      <c r="X641" s="310"/>
      <c r="Y641" s="311"/>
      <c r="Z641" s="310"/>
      <c r="AA641" s="312"/>
      <c r="AB641" s="13"/>
      <c r="AC641" s="313"/>
      <c r="AD641" s="313"/>
      <c r="AE641" s="313"/>
      <c r="AF641" s="331"/>
      <c r="AG641" s="320"/>
      <c r="AH641" s="13"/>
      <c r="AI641" s="13"/>
      <c r="AJ641" s="13"/>
      <c r="AK641" s="13"/>
      <c r="AL641" s="13"/>
      <c r="AM641" s="13"/>
      <c r="AN641" s="13"/>
      <c r="AO641" s="13"/>
      <c r="AP641" s="13"/>
    </row>
    <row r="642" ht="18.75" customHeight="1">
      <c r="A642" s="13"/>
      <c r="B642" s="282"/>
      <c r="C642" s="330"/>
      <c r="D642" s="330"/>
      <c r="E642" s="330"/>
      <c r="F642" s="13"/>
      <c r="G642" s="309"/>
      <c r="H642" s="309"/>
      <c r="I642" s="309"/>
      <c r="J642" s="310"/>
      <c r="K642" s="310"/>
      <c r="L642" s="310"/>
      <c r="M642" s="310"/>
      <c r="N642" s="310"/>
      <c r="O642" s="311"/>
      <c r="P642" s="310"/>
      <c r="Q642" s="311"/>
      <c r="R642" s="310"/>
      <c r="S642" s="13"/>
      <c r="T642" s="13"/>
      <c r="U642" s="13"/>
      <c r="V642" s="13"/>
      <c r="W642" s="13"/>
      <c r="X642" s="310"/>
      <c r="Y642" s="311"/>
      <c r="Z642" s="310"/>
      <c r="AA642" s="312"/>
      <c r="AB642" s="13"/>
      <c r="AC642" s="313"/>
      <c r="AD642" s="313"/>
      <c r="AE642" s="313"/>
      <c r="AF642" s="331"/>
      <c r="AG642" s="320"/>
      <c r="AH642" s="13"/>
      <c r="AI642" s="13"/>
      <c r="AJ642" s="13"/>
      <c r="AK642" s="13"/>
      <c r="AL642" s="13"/>
      <c r="AM642" s="13"/>
      <c r="AN642" s="13"/>
      <c r="AO642" s="13"/>
      <c r="AP642" s="13"/>
    </row>
    <row r="643" ht="18.75" customHeight="1">
      <c r="A643" s="13"/>
      <c r="B643" s="282"/>
      <c r="C643" s="330"/>
      <c r="D643" s="330"/>
      <c r="E643" s="330"/>
      <c r="F643" s="13"/>
      <c r="G643" s="309"/>
      <c r="H643" s="309"/>
      <c r="I643" s="309"/>
      <c r="J643" s="310"/>
      <c r="K643" s="310"/>
      <c r="L643" s="310"/>
      <c r="M643" s="310"/>
      <c r="N643" s="310"/>
      <c r="O643" s="311"/>
      <c r="P643" s="310"/>
      <c r="Q643" s="311"/>
      <c r="R643" s="310"/>
      <c r="S643" s="13"/>
      <c r="T643" s="13"/>
      <c r="U643" s="13"/>
      <c r="V643" s="13"/>
      <c r="W643" s="13"/>
      <c r="X643" s="310"/>
      <c r="Y643" s="311"/>
      <c r="Z643" s="310"/>
      <c r="AA643" s="312"/>
      <c r="AB643" s="13"/>
      <c r="AC643" s="313"/>
      <c r="AD643" s="313"/>
      <c r="AE643" s="313"/>
      <c r="AF643" s="331"/>
      <c r="AG643" s="320"/>
      <c r="AH643" s="13"/>
      <c r="AI643" s="13"/>
      <c r="AJ643" s="13"/>
      <c r="AK643" s="13"/>
      <c r="AL643" s="13"/>
      <c r="AM643" s="13"/>
      <c r="AN643" s="13"/>
      <c r="AO643" s="13"/>
      <c r="AP643" s="13"/>
    </row>
    <row r="644" ht="18.75" customHeight="1">
      <c r="A644" s="13"/>
      <c r="B644" s="282"/>
      <c r="C644" s="330"/>
      <c r="D644" s="330"/>
      <c r="E644" s="330"/>
      <c r="F644" s="13"/>
      <c r="G644" s="309"/>
      <c r="H644" s="309"/>
      <c r="I644" s="309"/>
      <c r="J644" s="310"/>
      <c r="K644" s="310"/>
      <c r="L644" s="310"/>
      <c r="M644" s="310"/>
      <c r="N644" s="310"/>
      <c r="O644" s="311"/>
      <c r="P644" s="310"/>
      <c r="Q644" s="311"/>
      <c r="R644" s="310"/>
      <c r="S644" s="13"/>
      <c r="T644" s="13"/>
      <c r="U644" s="13"/>
      <c r="V644" s="13"/>
      <c r="W644" s="13"/>
      <c r="X644" s="310"/>
      <c r="Y644" s="311"/>
      <c r="Z644" s="310"/>
      <c r="AA644" s="312"/>
      <c r="AB644" s="13"/>
      <c r="AC644" s="313"/>
      <c r="AD644" s="313"/>
      <c r="AE644" s="313"/>
      <c r="AF644" s="331"/>
      <c r="AG644" s="320"/>
      <c r="AH644" s="13"/>
      <c r="AI644" s="13"/>
      <c r="AJ644" s="13"/>
      <c r="AK644" s="13"/>
      <c r="AL644" s="13"/>
      <c r="AM644" s="13"/>
      <c r="AN644" s="13"/>
      <c r="AO644" s="13"/>
      <c r="AP644" s="13"/>
    </row>
    <row r="645" ht="18.75" customHeight="1">
      <c r="A645" s="13"/>
      <c r="B645" s="282"/>
      <c r="C645" s="330"/>
      <c r="D645" s="330"/>
      <c r="E645" s="330"/>
      <c r="F645" s="13"/>
      <c r="G645" s="309"/>
      <c r="H645" s="309"/>
      <c r="I645" s="309"/>
      <c r="J645" s="310"/>
      <c r="K645" s="310"/>
      <c r="L645" s="310"/>
      <c r="M645" s="310"/>
      <c r="N645" s="310"/>
      <c r="O645" s="311"/>
      <c r="P645" s="310"/>
      <c r="Q645" s="311"/>
      <c r="R645" s="310"/>
      <c r="S645" s="13"/>
      <c r="T645" s="13"/>
      <c r="U645" s="13"/>
      <c r="V645" s="13"/>
      <c r="W645" s="13"/>
      <c r="X645" s="310"/>
      <c r="Y645" s="311"/>
      <c r="Z645" s="310"/>
      <c r="AA645" s="312"/>
      <c r="AB645" s="13"/>
      <c r="AC645" s="313"/>
      <c r="AD645" s="313"/>
      <c r="AE645" s="313"/>
      <c r="AF645" s="331"/>
      <c r="AG645" s="320"/>
      <c r="AH645" s="13"/>
      <c r="AI645" s="13"/>
      <c r="AJ645" s="13"/>
      <c r="AK645" s="13"/>
      <c r="AL645" s="13"/>
      <c r="AM645" s="13"/>
      <c r="AN645" s="13"/>
      <c r="AO645" s="13"/>
      <c r="AP645" s="13"/>
    </row>
    <row r="646" ht="18.75" customHeight="1">
      <c r="A646" s="13"/>
      <c r="B646" s="282"/>
      <c r="C646" s="330"/>
      <c r="D646" s="330"/>
      <c r="E646" s="330"/>
      <c r="F646" s="13"/>
      <c r="G646" s="309"/>
      <c r="H646" s="309"/>
      <c r="I646" s="309"/>
      <c r="J646" s="310"/>
      <c r="K646" s="310"/>
      <c r="L646" s="310"/>
      <c r="M646" s="310"/>
      <c r="N646" s="310"/>
      <c r="O646" s="311"/>
      <c r="P646" s="310"/>
      <c r="Q646" s="311"/>
      <c r="R646" s="310"/>
      <c r="S646" s="13"/>
      <c r="T646" s="13"/>
      <c r="U646" s="13"/>
      <c r="V646" s="13"/>
      <c r="W646" s="13"/>
      <c r="X646" s="310"/>
      <c r="Y646" s="311"/>
      <c r="Z646" s="310"/>
      <c r="AA646" s="312"/>
      <c r="AB646" s="13"/>
      <c r="AC646" s="313"/>
      <c r="AD646" s="313"/>
      <c r="AE646" s="313"/>
      <c r="AF646" s="331"/>
      <c r="AG646" s="320"/>
      <c r="AH646" s="13"/>
      <c r="AI646" s="13"/>
      <c r="AJ646" s="13"/>
      <c r="AK646" s="13"/>
      <c r="AL646" s="13"/>
      <c r="AM646" s="13"/>
      <c r="AN646" s="13"/>
      <c r="AO646" s="13"/>
      <c r="AP646" s="13"/>
    </row>
    <row r="647" ht="18.75" customHeight="1">
      <c r="A647" s="13"/>
      <c r="B647" s="282"/>
      <c r="C647" s="330"/>
      <c r="D647" s="330"/>
      <c r="E647" s="330"/>
      <c r="F647" s="13"/>
      <c r="G647" s="309"/>
      <c r="H647" s="309"/>
      <c r="I647" s="309"/>
      <c r="J647" s="310"/>
      <c r="K647" s="310"/>
      <c r="L647" s="310"/>
      <c r="M647" s="310"/>
      <c r="N647" s="310"/>
      <c r="O647" s="311"/>
      <c r="P647" s="310"/>
      <c r="Q647" s="311"/>
      <c r="R647" s="310"/>
      <c r="S647" s="13"/>
      <c r="T647" s="13"/>
      <c r="U647" s="13"/>
      <c r="V647" s="13"/>
      <c r="W647" s="13"/>
      <c r="X647" s="310"/>
      <c r="Y647" s="311"/>
      <c r="Z647" s="310"/>
      <c r="AA647" s="312"/>
      <c r="AB647" s="13"/>
      <c r="AC647" s="313"/>
      <c r="AD647" s="313"/>
      <c r="AE647" s="313"/>
      <c r="AF647" s="331"/>
      <c r="AG647" s="320"/>
      <c r="AH647" s="13"/>
      <c r="AI647" s="13"/>
      <c r="AJ647" s="13"/>
      <c r="AK647" s="13"/>
      <c r="AL647" s="13"/>
      <c r="AM647" s="13"/>
      <c r="AN647" s="13"/>
      <c r="AO647" s="13"/>
      <c r="AP647" s="13"/>
    </row>
    <row r="648" ht="18.75" customHeight="1">
      <c r="A648" s="13"/>
      <c r="B648" s="282"/>
      <c r="C648" s="330"/>
      <c r="D648" s="330"/>
      <c r="E648" s="330"/>
      <c r="F648" s="13"/>
      <c r="G648" s="309"/>
      <c r="H648" s="309"/>
      <c r="I648" s="309"/>
      <c r="J648" s="310"/>
      <c r="K648" s="310"/>
      <c r="L648" s="310"/>
      <c r="M648" s="310"/>
      <c r="N648" s="310"/>
      <c r="O648" s="311"/>
      <c r="P648" s="310"/>
      <c r="Q648" s="311"/>
      <c r="R648" s="310"/>
      <c r="S648" s="13"/>
      <c r="T648" s="13"/>
      <c r="U648" s="13"/>
      <c r="V648" s="13"/>
      <c r="W648" s="13"/>
      <c r="X648" s="310"/>
      <c r="Y648" s="311"/>
      <c r="Z648" s="310"/>
      <c r="AA648" s="312"/>
      <c r="AB648" s="13"/>
      <c r="AC648" s="313"/>
      <c r="AD648" s="313"/>
      <c r="AE648" s="313"/>
      <c r="AF648" s="331"/>
      <c r="AG648" s="320"/>
      <c r="AH648" s="13"/>
      <c r="AI648" s="13"/>
      <c r="AJ648" s="13"/>
      <c r="AK648" s="13"/>
      <c r="AL648" s="13"/>
      <c r="AM648" s="13"/>
      <c r="AN648" s="13"/>
      <c r="AO648" s="13"/>
      <c r="AP648" s="13"/>
    </row>
    <row r="649" ht="18.75" customHeight="1">
      <c r="A649" s="13"/>
      <c r="B649" s="282"/>
      <c r="C649" s="330"/>
      <c r="D649" s="330"/>
      <c r="E649" s="330"/>
      <c r="F649" s="13"/>
      <c r="G649" s="309"/>
      <c r="H649" s="309"/>
      <c r="I649" s="309"/>
      <c r="J649" s="310"/>
      <c r="K649" s="310"/>
      <c r="L649" s="310"/>
      <c r="M649" s="310"/>
      <c r="N649" s="310"/>
      <c r="O649" s="311"/>
      <c r="P649" s="310"/>
      <c r="Q649" s="311"/>
      <c r="R649" s="310"/>
      <c r="S649" s="13"/>
      <c r="T649" s="13"/>
      <c r="U649" s="13"/>
      <c r="V649" s="13"/>
      <c r="W649" s="13"/>
      <c r="X649" s="310"/>
      <c r="Y649" s="311"/>
      <c r="Z649" s="310"/>
      <c r="AA649" s="312"/>
      <c r="AB649" s="13"/>
      <c r="AC649" s="313"/>
      <c r="AD649" s="313"/>
      <c r="AE649" s="313"/>
      <c r="AF649" s="331"/>
      <c r="AG649" s="320"/>
      <c r="AH649" s="13"/>
      <c r="AI649" s="13"/>
      <c r="AJ649" s="13"/>
      <c r="AK649" s="13"/>
      <c r="AL649" s="13"/>
      <c r="AM649" s="13"/>
      <c r="AN649" s="13"/>
      <c r="AO649" s="13"/>
      <c r="AP649" s="13"/>
    </row>
    <row r="650" ht="18.75" customHeight="1">
      <c r="A650" s="13"/>
      <c r="B650" s="282"/>
      <c r="C650" s="330"/>
      <c r="D650" s="330"/>
      <c r="E650" s="330"/>
      <c r="F650" s="13"/>
      <c r="G650" s="309"/>
      <c r="H650" s="309"/>
      <c r="I650" s="309"/>
      <c r="J650" s="310"/>
      <c r="K650" s="310"/>
      <c r="L650" s="310"/>
      <c r="M650" s="310"/>
      <c r="N650" s="310"/>
      <c r="O650" s="311"/>
      <c r="P650" s="310"/>
      <c r="Q650" s="311"/>
      <c r="R650" s="310"/>
      <c r="S650" s="13"/>
      <c r="T650" s="13"/>
      <c r="U650" s="13"/>
      <c r="V650" s="13"/>
      <c r="W650" s="13"/>
      <c r="X650" s="310"/>
      <c r="Y650" s="311"/>
      <c r="Z650" s="310"/>
      <c r="AA650" s="312"/>
      <c r="AB650" s="13"/>
      <c r="AC650" s="313"/>
      <c r="AD650" s="313"/>
      <c r="AE650" s="313"/>
      <c r="AF650" s="331"/>
      <c r="AG650" s="320"/>
      <c r="AH650" s="13"/>
      <c r="AI650" s="13"/>
      <c r="AJ650" s="13"/>
      <c r="AK650" s="13"/>
      <c r="AL650" s="13"/>
      <c r="AM650" s="13"/>
      <c r="AN650" s="13"/>
      <c r="AO650" s="13"/>
      <c r="AP650" s="13"/>
    </row>
    <row r="651" ht="18.75" customHeight="1">
      <c r="A651" s="13"/>
      <c r="B651" s="282"/>
      <c r="C651" s="330"/>
      <c r="D651" s="330"/>
      <c r="E651" s="330"/>
      <c r="F651" s="13"/>
      <c r="G651" s="309"/>
      <c r="H651" s="309"/>
      <c r="I651" s="309"/>
      <c r="J651" s="310"/>
      <c r="K651" s="310"/>
      <c r="L651" s="310"/>
      <c r="M651" s="310"/>
      <c r="N651" s="310"/>
      <c r="O651" s="311"/>
      <c r="P651" s="310"/>
      <c r="Q651" s="311"/>
      <c r="R651" s="310"/>
      <c r="S651" s="13"/>
      <c r="T651" s="13"/>
      <c r="U651" s="13"/>
      <c r="V651" s="13"/>
      <c r="W651" s="13"/>
      <c r="X651" s="310"/>
      <c r="Y651" s="311"/>
      <c r="Z651" s="310"/>
      <c r="AA651" s="312"/>
      <c r="AB651" s="13"/>
      <c r="AC651" s="313"/>
      <c r="AD651" s="313"/>
      <c r="AE651" s="313"/>
      <c r="AF651" s="331"/>
      <c r="AG651" s="320"/>
      <c r="AH651" s="13"/>
      <c r="AI651" s="13"/>
      <c r="AJ651" s="13"/>
      <c r="AK651" s="13"/>
      <c r="AL651" s="13"/>
      <c r="AM651" s="13"/>
      <c r="AN651" s="13"/>
      <c r="AO651" s="13"/>
      <c r="AP651" s="13"/>
    </row>
    <row r="652" ht="18.75" customHeight="1">
      <c r="A652" s="13"/>
      <c r="B652" s="282"/>
      <c r="C652" s="330"/>
      <c r="D652" s="330"/>
      <c r="E652" s="330"/>
      <c r="F652" s="13"/>
      <c r="G652" s="309"/>
      <c r="H652" s="309"/>
      <c r="I652" s="309"/>
      <c r="J652" s="310"/>
      <c r="K652" s="310"/>
      <c r="L652" s="310"/>
      <c r="M652" s="310"/>
      <c r="N652" s="310"/>
      <c r="O652" s="311"/>
      <c r="P652" s="310"/>
      <c r="Q652" s="311"/>
      <c r="R652" s="310"/>
      <c r="S652" s="13"/>
      <c r="T652" s="13"/>
      <c r="U652" s="13"/>
      <c r="V652" s="13"/>
      <c r="W652" s="13"/>
      <c r="X652" s="310"/>
      <c r="Y652" s="311"/>
      <c r="Z652" s="310"/>
      <c r="AA652" s="312"/>
      <c r="AB652" s="13"/>
      <c r="AC652" s="313"/>
      <c r="AD652" s="313"/>
      <c r="AE652" s="313"/>
      <c r="AF652" s="331"/>
      <c r="AG652" s="320"/>
      <c r="AH652" s="13"/>
      <c r="AI652" s="13"/>
      <c r="AJ652" s="13"/>
      <c r="AK652" s="13"/>
      <c r="AL652" s="13"/>
      <c r="AM652" s="13"/>
      <c r="AN652" s="13"/>
      <c r="AO652" s="13"/>
      <c r="AP652" s="13"/>
    </row>
    <row r="653" ht="18.75" customHeight="1">
      <c r="A653" s="13"/>
      <c r="B653" s="282"/>
      <c r="C653" s="330"/>
      <c r="D653" s="330"/>
      <c r="E653" s="330"/>
      <c r="F653" s="13"/>
      <c r="G653" s="309"/>
      <c r="H653" s="309"/>
      <c r="I653" s="309"/>
      <c r="J653" s="310"/>
      <c r="K653" s="310"/>
      <c r="L653" s="310"/>
      <c r="M653" s="310"/>
      <c r="N653" s="310"/>
      <c r="O653" s="311"/>
      <c r="P653" s="310"/>
      <c r="Q653" s="311"/>
      <c r="R653" s="310"/>
      <c r="S653" s="13"/>
      <c r="T653" s="13"/>
      <c r="U653" s="13"/>
      <c r="V653" s="13"/>
      <c r="W653" s="13"/>
      <c r="X653" s="310"/>
      <c r="Y653" s="311"/>
      <c r="Z653" s="310"/>
      <c r="AA653" s="312"/>
      <c r="AB653" s="13"/>
      <c r="AC653" s="313"/>
      <c r="AD653" s="313"/>
      <c r="AE653" s="313"/>
      <c r="AF653" s="331"/>
      <c r="AG653" s="320"/>
      <c r="AH653" s="13"/>
      <c r="AI653" s="13"/>
      <c r="AJ653" s="13"/>
      <c r="AK653" s="13"/>
      <c r="AL653" s="13"/>
      <c r="AM653" s="13"/>
      <c r="AN653" s="13"/>
      <c r="AO653" s="13"/>
      <c r="AP653" s="13"/>
    </row>
    <row r="654" ht="18.75" customHeight="1">
      <c r="A654" s="13"/>
      <c r="B654" s="282"/>
      <c r="C654" s="330"/>
      <c r="D654" s="330"/>
      <c r="E654" s="330"/>
      <c r="F654" s="13"/>
      <c r="G654" s="309"/>
      <c r="H654" s="309"/>
      <c r="I654" s="309"/>
      <c r="J654" s="310"/>
      <c r="K654" s="310"/>
      <c r="L654" s="310"/>
      <c r="M654" s="310"/>
      <c r="N654" s="310"/>
      <c r="O654" s="311"/>
      <c r="P654" s="310"/>
      <c r="Q654" s="311"/>
      <c r="R654" s="310"/>
      <c r="S654" s="13"/>
      <c r="T654" s="13"/>
      <c r="U654" s="13"/>
      <c r="V654" s="13"/>
      <c r="W654" s="13"/>
      <c r="X654" s="310"/>
      <c r="Y654" s="311"/>
      <c r="Z654" s="310"/>
      <c r="AA654" s="312"/>
      <c r="AB654" s="13"/>
      <c r="AC654" s="313"/>
      <c r="AD654" s="313"/>
      <c r="AE654" s="313"/>
      <c r="AF654" s="331"/>
      <c r="AG654" s="320"/>
      <c r="AH654" s="13"/>
      <c r="AI654" s="13"/>
      <c r="AJ654" s="13"/>
      <c r="AK654" s="13"/>
      <c r="AL654" s="13"/>
      <c r="AM654" s="13"/>
      <c r="AN654" s="13"/>
      <c r="AO654" s="13"/>
      <c r="AP654" s="13"/>
    </row>
    <row r="655" ht="18.75" customHeight="1">
      <c r="A655" s="13"/>
      <c r="B655" s="282"/>
      <c r="C655" s="330"/>
      <c r="D655" s="330"/>
      <c r="E655" s="330"/>
      <c r="F655" s="13"/>
      <c r="G655" s="309"/>
      <c r="H655" s="309"/>
      <c r="I655" s="309"/>
      <c r="J655" s="310"/>
      <c r="K655" s="310"/>
      <c r="L655" s="310"/>
      <c r="M655" s="310"/>
      <c r="N655" s="310"/>
      <c r="O655" s="311"/>
      <c r="P655" s="310"/>
      <c r="Q655" s="311"/>
      <c r="R655" s="310"/>
      <c r="S655" s="13"/>
      <c r="T655" s="13"/>
      <c r="U655" s="13"/>
      <c r="V655" s="13"/>
      <c r="W655" s="13"/>
      <c r="X655" s="310"/>
      <c r="Y655" s="311"/>
      <c r="Z655" s="310"/>
      <c r="AA655" s="312"/>
      <c r="AB655" s="13"/>
      <c r="AC655" s="313"/>
      <c r="AD655" s="313"/>
      <c r="AE655" s="313"/>
      <c r="AF655" s="331"/>
      <c r="AG655" s="320"/>
      <c r="AH655" s="13"/>
      <c r="AI655" s="13"/>
      <c r="AJ655" s="13"/>
      <c r="AK655" s="13"/>
      <c r="AL655" s="13"/>
      <c r="AM655" s="13"/>
      <c r="AN655" s="13"/>
      <c r="AO655" s="13"/>
      <c r="AP655" s="13"/>
    </row>
    <row r="656" ht="18.75" customHeight="1">
      <c r="A656" s="13"/>
      <c r="B656" s="282"/>
      <c r="C656" s="330"/>
      <c r="D656" s="330"/>
      <c r="E656" s="330"/>
      <c r="F656" s="13"/>
      <c r="G656" s="309"/>
      <c r="H656" s="309"/>
      <c r="I656" s="309"/>
      <c r="J656" s="310"/>
      <c r="K656" s="310"/>
      <c r="L656" s="310"/>
      <c r="M656" s="310"/>
      <c r="N656" s="310"/>
      <c r="O656" s="311"/>
      <c r="P656" s="310"/>
      <c r="Q656" s="311"/>
      <c r="R656" s="310"/>
      <c r="S656" s="13"/>
      <c r="T656" s="13"/>
      <c r="U656" s="13"/>
      <c r="V656" s="13"/>
      <c r="W656" s="13"/>
      <c r="X656" s="310"/>
      <c r="Y656" s="311"/>
      <c r="Z656" s="310"/>
      <c r="AA656" s="312"/>
      <c r="AB656" s="13"/>
      <c r="AC656" s="313"/>
      <c r="AD656" s="313"/>
      <c r="AE656" s="313"/>
      <c r="AF656" s="331"/>
      <c r="AG656" s="320"/>
      <c r="AH656" s="13"/>
      <c r="AI656" s="13"/>
      <c r="AJ656" s="13"/>
      <c r="AK656" s="13"/>
      <c r="AL656" s="13"/>
      <c r="AM656" s="13"/>
      <c r="AN656" s="13"/>
      <c r="AO656" s="13"/>
      <c r="AP656" s="13"/>
    </row>
    <row r="657" ht="18.75" customHeight="1">
      <c r="A657" s="13"/>
      <c r="B657" s="282"/>
      <c r="C657" s="330"/>
      <c r="D657" s="330"/>
      <c r="E657" s="330"/>
      <c r="F657" s="13"/>
      <c r="G657" s="309"/>
      <c r="H657" s="309"/>
      <c r="I657" s="309"/>
      <c r="J657" s="310"/>
      <c r="K657" s="310"/>
      <c r="L657" s="310"/>
      <c r="M657" s="310"/>
      <c r="N657" s="310"/>
      <c r="O657" s="311"/>
      <c r="P657" s="310"/>
      <c r="Q657" s="311"/>
      <c r="R657" s="310"/>
      <c r="S657" s="13"/>
      <c r="T657" s="13"/>
      <c r="U657" s="13"/>
      <c r="V657" s="13"/>
      <c r="W657" s="13"/>
      <c r="X657" s="310"/>
      <c r="Y657" s="311"/>
      <c r="Z657" s="310"/>
      <c r="AA657" s="312"/>
      <c r="AB657" s="13"/>
      <c r="AC657" s="313"/>
      <c r="AD657" s="313"/>
      <c r="AE657" s="313"/>
      <c r="AF657" s="331"/>
      <c r="AG657" s="320"/>
      <c r="AH657" s="13"/>
      <c r="AI657" s="13"/>
      <c r="AJ657" s="13"/>
      <c r="AK657" s="13"/>
      <c r="AL657" s="13"/>
      <c r="AM657" s="13"/>
      <c r="AN657" s="13"/>
      <c r="AO657" s="13"/>
      <c r="AP657" s="13"/>
    </row>
    <row r="658" ht="18.75" customHeight="1">
      <c r="A658" s="13"/>
      <c r="B658" s="282"/>
      <c r="C658" s="330"/>
      <c r="D658" s="330"/>
      <c r="E658" s="330"/>
      <c r="F658" s="13"/>
      <c r="G658" s="309"/>
      <c r="H658" s="309"/>
      <c r="I658" s="309"/>
      <c r="J658" s="310"/>
      <c r="K658" s="310"/>
      <c r="L658" s="310"/>
      <c r="M658" s="310"/>
      <c r="N658" s="310"/>
      <c r="O658" s="311"/>
      <c r="P658" s="310"/>
      <c r="Q658" s="311"/>
      <c r="R658" s="310"/>
      <c r="S658" s="13"/>
      <c r="T658" s="13"/>
      <c r="U658" s="13"/>
      <c r="V658" s="13"/>
      <c r="W658" s="13"/>
      <c r="X658" s="310"/>
      <c r="Y658" s="311"/>
      <c r="Z658" s="310"/>
      <c r="AA658" s="312"/>
      <c r="AB658" s="13"/>
      <c r="AC658" s="313"/>
      <c r="AD658" s="313"/>
      <c r="AE658" s="313"/>
      <c r="AF658" s="331"/>
      <c r="AG658" s="320"/>
      <c r="AH658" s="13"/>
      <c r="AI658" s="13"/>
      <c r="AJ658" s="13"/>
      <c r="AK658" s="13"/>
      <c r="AL658" s="13"/>
      <c r="AM658" s="13"/>
      <c r="AN658" s="13"/>
      <c r="AO658" s="13"/>
      <c r="AP658" s="13"/>
    </row>
    <row r="659" ht="18.75" customHeight="1">
      <c r="A659" s="13"/>
      <c r="B659" s="282"/>
      <c r="C659" s="330"/>
      <c r="D659" s="330"/>
      <c r="E659" s="330"/>
      <c r="F659" s="13"/>
      <c r="G659" s="309"/>
      <c r="H659" s="309"/>
      <c r="I659" s="309"/>
      <c r="J659" s="310"/>
      <c r="K659" s="310"/>
      <c r="L659" s="310"/>
      <c r="M659" s="310"/>
      <c r="N659" s="310"/>
      <c r="O659" s="311"/>
      <c r="P659" s="310"/>
      <c r="Q659" s="311"/>
      <c r="R659" s="310"/>
      <c r="S659" s="13"/>
      <c r="T659" s="13"/>
      <c r="U659" s="13"/>
      <c r="V659" s="13"/>
      <c r="W659" s="13"/>
      <c r="X659" s="310"/>
      <c r="Y659" s="311"/>
      <c r="Z659" s="310"/>
      <c r="AA659" s="312"/>
      <c r="AB659" s="13"/>
      <c r="AC659" s="313"/>
      <c r="AD659" s="313"/>
      <c r="AE659" s="313"/>
      <c r="AF659" s="331"/>
      <c r="AG659" s="320"/>
      <c r="AH659" s="13"/>
      <c r="AI659" s="13"/>
      <c r="AJ659" s="13"/>
      <c r="AK659" s="13"/>
      <c r="AL659" s="13"/>
      <c r="AM659" s="13"/>
      <c r="AN659" s="13"/>
      <c r="AO659" s="13"/>
      <c r="AP659" s="13"/>
    </row>
    <row r="660" ht="18.75" customHeight="1">
      <c r="A660" s="13"/>
      <c r="B660" s="282"/>
      <c r="C660" s="330"/>
      <c r="D660" s="330"/>
      <c r="E660" s="330"/>
      <c r="F660" s="13"/>
      <c r="G660" s="309"/>
      <c r="H660" s="309"/>
      <c r="I660" s="309"/>
      <c r="J660" s="310"/>
      <c r="K660" s="310"/>
      <c r="L660" s="310"/>
      <c r="M660" s="310"/>
      <c r="N660" s="310"/>
      <c r="O660" s="311"/>
      <c r="P660" s="310"/>
      <c r="Q660" s="311"/>
      <c r="R660" s="310"/>
      <c r="S660" s="13"/>
      <c r="T660" s="13"/>
      <c r="U660" s="13"/>
      <c r="V660" s="13"/>
      <c r="W660" s="13"/>
      <c r="X660" s="310"/>
      <c r="Y660" s="311"/>
      <c r="Z660" s="310"/>
      <c r="AA660" s="312"/>
      <c r="AB660" s="13"/>
      <c r="AC660" s="313"/>
      <c r="AD660" s="313"/>
      <c r="AE660" s="313"/>
      <c r="AF660" s="331"/>
      <c r="AG660" s="320"/>
      <c r="AH660" s="13"/>
      <c r="AI660" s="13"/>
      <c r="AJ660" s="13"/>
      <c r="AK660" s="13"/>
      <c r="AL660" s="13"/>
      <c r="AM660" s="13"/>
      <c r="AN660" s="13"/>
      <c r="AO660" s="13"/>
      <c r="AP660" s="13"/>
    </row>
    <row r="661" ht="18.75" customHeight="1">
      <c r="A661" s="13"/>
      <c r="B661" s="282"/>
      <c r="C661" s="330"/>
      <c r="D661" s="330"/>
      <c r="E661" s="330"/>
      <c r="F661" s="13"/>
      <c r="G661" s="309"/>
      <c r="H661" s="309"/>
      <c r="I661" s="309"/>
      <c r="J661" s="310"/>
      <c r="K661" s="310"/>
      <c r="L661" s="310"/>
      <c r="M661" s="310"/>
      <c r="N661" s="310"/>
      <c r="O661" s="311"/>
      <c r="P661" s="310"/>
      <c r="Q661" s="311"/>
      <c r="R661" s="310"/>
      <c r="S661" s="13"/>
      <c r="T661" s="13"/>
      <c r="U661" s="13"/>
      <c r="V661" s="13"/>
      <c r="W661" s="13"/>
      <c r="X661" s="310"/>
      <c r="Y661" s="311"/>
      <c r="Z661" s="310"/>
      <c r="AA661" s="312"/>
      <c r="AB661" s="13"/>
      <c r="AC661" s="313"/>
      <c r="AD661" s="313"/>
      <c r="AE661" s="313"/>
      <c r="AF661" s="331"/>
      <c r="AG661" s="320"/>
      <c r="AH661" s="13"/>
      <c r="AI661" s="13"/>
      <c r="AJ661" s="13"/>
      <c r="AK661" s="13"/>
      <c r="AL661" s="13"/>
      <c r="AM661" s="13"/>
      <c r="AN661" s="13"/>
      <c r="AO661" s="13"/>
      <c r="AP661" s="13"/>
    </row>
    <row r="662" ht="18.75" customHeight="1">
      <c r="A662" s="13"/>
      <c r="B662" s="282"/>
      <c r="C662" s="330"/>
      <c r="D662" s="330"/>
      <c r="E662" s="330"/>
      <c r="F662" s="13"/>
      <c r="G662" s="309"/>
      <c r="H662" s="309"/>
      <c r="I662" s="309"/>
      <c r="J662" s="310"/>
      <c r="K662" s="310"/>
      <c r="L662" s="310"/>
      <c r="M662" s="310"/>
      <c r="N662" s="310"/>
      <c r="O662" s="311"/>
      <c r="P662" s="310"/>
      <c r="Q662" s="311"/>
      <c r="R662" s="310"/>
      <c r="S662" s="13"/>
      <c r="T662" s="13"/>
      <c r="U662" s="13"/>
      <c r="V662" s="13"/>
      <c r="W662" s="13"/>
      <c r="X662" s="310"/>
      <c r="Y662" s="311"/>
      <c r="Z662" s="310"/>
      <c r="AA662" s="312"/>
      <c r="AB662" s="13"/>
      <c r="AC662" s="313"/>
      <c r="AD662" s="313"/>
      <c r="AE662" s="313"/>
      <c r="AF662" s="331"/>
      <c r="AG662" s="320"/>
      <c r="AH662" s="13"/>
      <c r="AI662" s="13"/>
      <c r="AJ662" s="13"/>
      <c r="AK662" s="13"/>
      <c r="AL662" s="13"/>
      <c r="AM662" s="13"/>
      <c r="AN662" s="13"/>
      <c r="AO662" s="13"/>
      <c r="AP662" s="13"/>
    </row>
    <row r="663" ht="18.75" customHeight="1">
      <c r="A663" s="13"/>
      <c r="B663" s="282"/>
      <c r="C663" s="330"/>
      <c r="D663" s="330"/>
      <c r="E663" s="330"/>
      <c r="F663" s="13"/>
      <c r="G663" s="309"/>
      <c r="H663" s="309"/>
      <c r="I663" s="309"/>
      <c r="J663" s="310"/>
      <c r="K663" s="310"/>
      <c r="L663" s="310"/>
      <c r="M663" s="310"/>
      <c r="N663" s="310"/>
      <c r="O663" s="311"/>
      <c r="P663" s="310"/>
      <c r="Q663" s="311"/>
      <c r="R663" s="310"/>
      <c r="S663" s="13"/>
      <c r="T663" s="13"/>
      <c r="U663" s="13"/>
      <c r="V663" s="13"/>
      <c r="W663" s="13"/>
      <c r="X663" s="310"/>
      <c r="Y663" s="311"/>
      <c r="Z663" s="310"/>
      <c r="AA663" s="312"/>
      <c r="AB663" s="13"/>
      <c r="AC663" s="313"/>
      <c r="AD663" s="313"/>
      <c r="AE663" s="313"/>
      <c r="AF663" s="331"/>
      <c r="AG663" s="320"/>
      <c r="AH663" s="13"/>
      <c r="AI663" s="13"/>
      <c r="AJ663" s="13"/>
      <c r="AK663" s="13"/>
      <c r="AL663" s="13"/>
      <c r="AM663" s="13"/>
      <c r="AN663" s="13"/>
      <c r="AO663" s="13"/>
      <c r="AP663" s="13"/>
    </row>
    <row r="664" ht="18.75" customHeight="1">
      <c r="A664" s="13"/>
      <c r="B664" s="282"/>
      <c r="C664" s="330"/>
      <c r="D664" s="330"/>
      <c r="E664" s="330"/>
      <c r="F664" s="13"/>
      <c r="G664" s="309"/>
      <c r="H664" s="309"/>
      <c r="I664" s="309"/>
      <c r="J664" s="310"/>
      <c r="K664" s="310"/>
      <c r="L664" s="310"/>
      <c r="M664" s="310"/>
      <c r="N664" s="310"/>
      <c r="O664" s="311"/>
      <c r="P664" s="310"/>
      <c r="Q664" s="311"/>
      <c r="R664" s="310"/>
      <c r="S664" s="13"/>
      <c r="T664" s="13"/>
      <c r="U664" s="13"/>
      <c r="V664" s="13"/>
      <c r="W664" s="13"/>
      <c r="X664" s="310"/>
      <c r="Y664" s="311"/>
      <c r="Z664" s="310"/>
      <c r="AA664" s="312"/>
      <c r="AB664" s="13"/>
      <c r="AC664" s="313"/>
      <c r="AD664" s="313"/>
      <c r="AE664" s="313"/>
      <c r="AF664" s="331"/>
      <c r="AG664" s="320"/>
      <c r="AH664" s="13"/>
      <c r="AI664" s="13"/>
      <c r="AJ664" s="13"/>
      <c r="AK664" s="13"/>
      <c r="AL664" s="13"/>
      <c r="AM664" s="13"/>
      <c r="AN664" s="13"/>
      <c r="AO664" s="13"/>
      <c r="AP664" s="13"/>
    </row>
    <row r="665" ht="18.75" customHeight="1">
      <c r="A665" s="13"/>
      <c r="B665" s="282"/>
      <c r="C665" s="330"/>
      <c r="D665" s="330"/>
      <c r="E665" s="330"/>
      <c r="F665" s="13"/>
      <c r="G665" s="309"/>
      <c r="H665" s="309"/>
      <c r="I665" s="309"/>
      <c r="J665" s="310"/>
      <c r="K665" s="310"/>
      <c r="L665" s="310"/>
      <c r="M665" s="310"/>
      <c r="N665" s="310"/>
      <c r="O665" s="311"/>
      <c r="P665" s="310"/>
      <c r="Q665" s="311"/>
      <c r="R665" s="310"/>
      <c r="S665" s="13"/>
      <c r="T665" s="13"/>
      <c r="U665" s="13"/>
      <c r="V665" s="13"/>
      <c r="W665" s="13"/>
      <c r="X665" s="310"/>
      <c r="Y665" s="311"/>
      <c r="Z665" s="310"/>
      <c r="AA665" s="312"/>
      <c r="AB665" s="13"/>
      <c r="AC665" s="313"/>
      <c r="AD665" s="313"/>
      <c r="AE665" s="313"/>
      <c r="AF665" s="331"/>
      <c r="AG665" s="320"/>
      <c r="AH665" s="13"/>
      <c r="AI665" s="13"/>
      <c r="AJ665" s="13"/>
      <c r="AK665" s="13"/>
      <c r="AL665" s="13"/>
      <c r="AM665" s="13"/>
      <c r="AN665" s="13"/>
      <c r="AO665" s="13"/>
      <c r="AP665" s="13"/>
    </row>
    <row r="666" ht="18.75" customHeight="1">
      <c r="A666" s="13"/>
      <c r="B666" s="282"/>
      <c r="C666" s="330"/>
      <c r="D666" s="330"/>
      <c r="E666" s="330"/>
      <c r="F666" s="13"/>
      <c r="G666" s="309"/>
      <c r="H666" s="309"/>
      <c r="I666" s="309"/>
      <c r="J666" s="310"/>
      <c r="K666" s="310"/>
      <c r="L666" s="310"/>
      <c r="M666" s="310"/>
      <c r="N666" s="310"/>
      <c r="O666" s="311"/>
      <c r="P666" s="310"/>
      <c r="Q666" s="311"/>
      <c r="R666" s="310"/>
      <c r="S666" s="13"/>
      <c r="T666" s="13"/>
      <c r="U666" s="13"/>
      <c r="V666" s="13"/>
      <c r="W666" s="13"/>
      <c r="X666" s="310"/>
      <c r="Y666" s="311"/>
      <c r="Z666" s="310"/>
      <c r="AA666" s="312"/>
      <c r="AB666" s="13"/>
      <c r="AC666" s="313"/>
      <c r="AD666" s="313"/>
      <c r="AE666" s="313"/>
      <c r="AF666" s="331"/>
      <c r="AG666" s="320"/>
      <c r="AH666" s="13"/>
      <c r="AI666" s="13"/>
      <c r="AJ666" s="13"/>
      <c r="AK666" s="13"/>
      <c r="AL666" s="13"/>
      <c r="AM666" s="13"/>
      <c r="AN666" s="13"/>
      <c r="AO666" s="13"/>
      <c r="AP666" s="13"/>
    </row>
    <row r="667" ht="18.75" customHeight="1">
      <c r="A667" s="13"/>
      <c r="B667" s="282"/>
      <c r="C667" s="330"/>
      <c r="D667" s="330"/>
      <c r="E667" s="330"/>
      <c r="F667" s="13"/>
      <c r="G667" s="309"/>
      <c r="H667" s="309"/>
      <c r="I667" s="309"/>
      <c r="J667" s="310"/>
      <c r="K667" s="310"/>
      <c r="L667" s="310"/>
      <c r="M667" s="310"/>
      <c r="N667" s="310"/>
      <c r="O667" s="311"/>
      <c r="P667" s="310"/>
      <c r="Q667" s="311"/>
      <c r="R667" s="310"/>
      <c r="S667" s="13"/>
      <c r="T667" s="13"/>
      <c r="U667" s="13"/>
      <c r="V667" s="13"/>
      <c r="W667" s="13"/>
      <c r="X667" s="310"/>
      <c r="Y667" s="311"/>
      <c r="Z667" s="310"/>
      <c r="AA667" s="312"/>
      <c r="AB667" s="13"/>
      <c r="AC667" s="313"/>
      <c r="AD667" s="313"/>
      <c r="AE667" s="313"/>
      <c r="AF667" s="331"/>
      <c r="AG667" s="320"/>
      <c r="AH667" s="13"/>
      <c r="AI667" s="13"/>
      <c r="AJ667" s="13"/>
      <c r="AK667" s="13"/>
      <c r="AL667" s="13"/>
      <c r="AM667" s="13"/>
      <c r="AN667" s="13"/>
      <c r="AO667" s="13"/>
      <c r="AP667" s="13"/>
    </row>
    <row r="668" ht="18.75" customHeight="1">
      <c r="A668" s="13"/>
      <c r="B668" s="282"/>
      <c r="C668" s="330"/>
      <c r="D668" s="330"/>
      <c r="E668" s="330"/>
      <c r="F668" s="13"/>
      <c r="G668" s="309"/>
      <c r="H668" s="309"/>
      <c r="I668" s="309"/>
      <c r="J668" s="310"/>
      <c r="K668" s="310"/>
      <c r="L668" s="310"/>
      <c r="M668" s="310"/>
      <c r="N668" s="310"/>
      <c r="O668" s="311"/>
      <c r="P668" s="310"/>
      <c r="Q668" s="311"/>
      <c r="R668" s="310"/>
      <c r="S668" s="13"/>
      <c r="T668" s="13"/>
      <c r="U668" s="13"/>
      <c r="V668" s="13"/>
      <c r="W668" s="13"/>
      <c r="X668" s="310"/>
      <c r="Y668" s="311"/>
      <c r="Z668" s="310"/>
      <c r="AA668" s="312"/>
      <c r="AB668" s="13"/>
      <c r="AC668" s="313"/>
      <c r="AD668" s="313"/>
      <c r="AE668" s="313"/>
      <c r="AF668" s="331"/>
      <c r="AG668" s="320"/>
      <c r="AH668" s="13"/>
      <c r="AI668" s="13"/>
      <c r="AJ668" s="13"/>
      <c r="AK668" s="13"/>
      <c r="AL668" s="13"/>
      <c r="AM668" s="13"/>
      <c r="AN668" s="13"/>
      <c r="AO668" s="13"/>
      <c r="AP668" s="13"/>
    </row>
    <row r="669" ht="18.75" customHeight="1">
      <c r="A669" s="13"/>
      <c r="B669" s="282"/>
      <c r="C669" s="330"/>
      <c r="D669" s="330"/>
      <c r="E669" s="330"/>
      <c r="F669" s="13"/>
      <c r="G669" s="309"/>
      <c r="H669" s="309"/>
      <c r="I669" s="309"/>
      <c r="J669" s="310"/>
      <c r="K669" s="310"/>
      <c r="L669" s="310"/>
      <c r="M669" s="310"/>
      <c r="N669" s="310"/>
      <c r="O669" s="311"/>
      <c r="P669" s="310"/>
      <c r="Q669" s="311"/>
      <c r="R669" s="310"/>
      <c r="S669" s="13"/>
      <c r="T669" s="13"/>
      <c r="U669" s="13"/>
      <c r="V669" s="13"/>
      <c r="W669" s="13"/>
      <c r="X669" s="310"/>
      <c r="Y669" s="311"/>
      <c r="Z669" s="310"/>
      <c r="AA669" s="312"/>
      <c r="AB669" s="13"/>
      <c r="AC669" s="313"/>
      <c r="AD669" s="313"/>
      <c r="AE669" s="313"/>
      <c r="AF669" s="331"/>
      <c r="AG669" s="320"/>
      <c r="AH669" s="13"/>
      <c r="AI669" s="13"/>
      <c r="AJ669" s="13"/>
      <c r="AK669" s="13"/>
      <c r="AL669" s="13"/>
      <c r="AM669" s="13"/>
      <c r="AN669" s="13"/>
      <c r="AO669" s="13"/>
      <c r="AP669" s="13"/>
    </row>
    <row r="670" ht="18.75" customHeight="1">
      <c r="A670" s="13"/>
      <c r="B670" s="282"/>
      <c r="C670" s="330"/>
      <c r="D670" s="330"/>
      <c r="E670" s="330"/>
      <c r="F670" s="13"/>
      <c r="G670" s="309"/>
      <c r="H670" s="309"/>
      <c r="I670" s="309"/>
      <c r="J670" s="310"/>
      <c r="K670" s="310"/>
      <c r="L670" s="310"/>
      <c r="M670" s="310"/>
      <c r="N670" s="310"/>
      <c r="O670" s="311"/>
      <c r="P670" s="310"/>
      <c r="Q670" s="311"/>
      <c r="R670" s="310"/>
      <c r="S670" s="13"/>
      <c r="T670" s="13"/>
      <c r="U670" s="13"/>
      <c r="V670" s="13"/>
      <c r="W670" s="13"/>
      <c r="X670" s="310"/>
      <c r="Y670" s="311"/>
      <c r="Z670" s="310"/>
      <c r="AA670" s="312"/>
      <c r="AB670" s="13"/>
      <c r="AC670" s="313"/>
      <c r="AD670" s="313"/>
      <c r="AE670" s="313"/>
      <c r="AF670" s="331"/>
      <c r="AG670" s="320"/>
      <c r="AH670" s="13"/>
      <c r="AI670" s="13"/>
      <c r="AJ670" s="13"/>
      <c r="AK670" s="13"/>
      <c r="AL670" s="13"/>
      <c r="AM670" s="13"/>
      <c r="AN670" s="13"/>
      <c r="AO670" s="13"/>
      <c r="AP670" s="13"/>
    </row>
    <row r="671" ht="18.75" customHeight="1">
      <c r="A671" s="13"/>
      <c r="B671" s="282"/>
      <c r="C671" s="330"/>
      <c r="D671" s="330"/>
      <c r="E671" s="330"/>
      <c r="F671" s="13"/>
      <c r="G671" s="309"/>
      <c r="H671" s="309"/>
      <c r="I671" s="309"/>
      <c r="J671" s="310"/>
      <c r="K671" s="310"/>
      <c r="L671" s="310"/>
      <c r="M671" s="310"/>
      <c r="N671" s="310"/>
      <c r="O671" s="311"/>
      <c r="P671" s="310"/>
      <c r="Q671" s="311"/>
      <c r="R671" s="310"/>
      <c r="S671" s="13"/>
      <c r="T671" s="13"/>
      <c r="U671" s="13"/>
      <c r="V671" s="13"/>
      <c r="W671" s="13"/>
      <c r="X671" s="310"/>
      <c r="Y671" s="311"/>
      <c r="Z671" s="310"/>
      <c r="AA671" s="312"/>
      <c r="AB671" s="13"/>
      <c r="AC671" s="313"/>
      <c r="AD671" s="313"/>
      <c r="AE671" s="313"/>
      <c r="AF671" s="331"/>
      <c r="AG671" s="320"/>
      <c r="AH671" s="13"/>
      <c r="AI671" s="13"/>
      <c r="AJ671" s="13"/>
      <c r="AK671" s="13"/>
      <c r="AL671" s="13"/>
      <c r="AM671" s="13"/>
      <c r="AN671" s="13"/>
      <c r="AO671" s="13"/>
      <c r="AP671" s="13"/>
    </row>
    <row r="672" ht="18.75" customHeight="1">
      <c r="A672" s="13"/>
      <c r="B672" s="282"/>
      <c r="C672" s="330"/>
      <c r="D672" s="330"/>
      <c r="E672" s="330"/>
      <c r="F672" s="13"/>
      <c r="G672" s="309"/>
      <c r="H672" s="309"/>
      <c r="I672" s="309"/>
      <c r="J672" s="310"/>
      <c r="K672" s="310"/>
      <c r="L672" s="310"/>
      <c r="M672" s="310"/>
      <c r="N672" s="310"/>
      <c r="O672" s="311"/>
      <c r="P672" s="310"/>
      <c r="Q672" s="311"/>
      <c r="R672" s="310"/>
      <c r="S672" s="13"/>
      <c r="T672" s="13"/>
      <c r="U672" s="13"/>
      <c r="V672" s="13"/>
      <c r="W672" s="13"/>
      <c r="X672" s="310"/>
      <c r="Y672" s="311"/>
      <c r="Z672" s="310"/>
      <c r="AA672" s="312"/>
      <c r="AB672" s="13"/>
      <c r="AC672" s="313"/>
      <c r="AD672" s="313"/>
      <c r="AE672" s="313"/>
      <c r="AF672" s="331"/>
      <c r="AG672" s="320"/>
      <c r="AH672" s="13"/>
      <c r="AI672" s="13"/>
      <c r="AJ672" s="13"/>
      <c r="AK672" s="13"/>
      <c r="AL672" s="13"/>
      <c r="AM672" s="13"/>
      <c r="AN672" s="13"/>
      <c r="AO672" s="13"/>
      <c r="AP672" s="13"/>
    </row>
    <row r="673" ht="18.75" customHeight="1">
      <c r="A673" s="13"/>
      <c r="B673" s="282"/>
      <c r="C673" s="330"/>
      <c r="D673" s="330"/>
      <c r="E673" s="330"/>
      <c r="F673" s="13"/>
      <c r="G673" s="309"/>
      <c r="H673" s="309"/>
      <c r="I673" s="309"/>
      <c r="J673" s="310"/>
      <c r="K673" s="310"/>
      <c r="L673" s="310"/>
      <c r="M673" s="310"/>
      <c r="N673" s="310"/>
      <c r="O673" s="311"/>
      <c r="P673" s="310"/>
      <c r="Q673" s="311"/>
      <c r="R673" s="310"/>
      <c r="S673" s="13"/>
      <c r="T673" s="13"/>
      <c r="U673" s="13"/>
      <c r="V673" s="13"/>
      <c r="W673" s="13"/>
      <c r="X673" s="310"/>
      <c r="Y673" s="311"/>
      <c r="Z673" s="310"/>
      <c r="AA673" s="312"/>
      <c r="AB673" s="13"/>
      <c r="AC673" s="313"/>
      <c r="AD673" s="313"/>
      <c r="AE673" s="313"/>
      <c r="AF673" s="331"/>
      <c r="AG673" s="320"/>
      <c r="AH673" s="13"/>
      <c r="AI673" s="13"/>
      <c r="AJ673" s="13"/>
      <c r="AK673" s="13"/>
      <c r="AL673" s="13"/>
      <c r="AM673" s="13"/>
      <c r="AN673" s="13"/>
      <c r="AO673" s="13"/>
      <c r="AP673" s="13"/>
    </row>
    <row r="674" ht="18.75" customHeight="1">
      <c r="A674" s="13"/>
      <c r="B674" s="282"/>
      <c r="C674" s="330"/>
      <c r="D674" s="330"/>
      <c r="E674" s="330"/>
      <c r="F674" s="13"/>
      <c r="G674" s="309"/>
      <c r="H674" s="309"/>
      <c r="I674" s="309"/>
      <c r="J674" s="310"/>
      <c r="K674" s="310"/>
      <c r="L674" s="310"/>
      <c r="M674" s="310"/>
      <c r="N674" s="310"/>
      <c r="O674" s="311"/>
      <c r="P674" s="310"/>
      <c r="Q674" s="311"/>
      <c r="R674" s="310"/>
      <c r="S674" s="13"/>
      <c r="T674" s="13"/>
      <c r="U674" s="13"/>
      <c r="V674" s="13"/>
      <c r="W674" s="13"/>
      <c r="X674" s="310"/>
      <c r="Y674" s="311"/>
      <c r="Z674" s="310"/>
      <c r="AA674" s="312"/>
      <c r="AB674" s="13"/>
      <c r="AC674" s="313"/>
      <c r="AD674" s="313"/>
      <c r="AE674" s="313"/>
      <c r="AF674" s="331"/>
      <c r="AG674" s="320"/>
      <c r="AH674" s="13"/>
      <c r="AI674" s="13"/>
      <c r="AJ674" s="13"/>
      <c r="AK674" s="13"/>
      <c r="AL674" s="13"/>
      <c r="AM674" s="13"/>
      <c r="AN674" s="13"/>
      <c r="AO674" s="13"/>
      <c r="AP674" s="13"/>
    </row>
    <row r="675" ht="18.75" customHeight="1">
      <c r="A675" s="13"/>
      <c r="B675" s="282"/>
      <c r="C675" s="330"/>
      <c r="D675" s="330"/>
      <c r="E675" s="330"/>
      <c r="F675" s="13"/>
      <c r="G675" s="309"/>
      <c r="H675" s="309"/>
      <c r="I675" s="309"/>
      <c r="J675" s="310"/>
      <c r="K675" s="310"/>
      <c r="L675" s="310"/>
      <c r="M675" s="310"/>
      <c r="N675" s="310"/>
      <c r="O675" s="311"/>
      <c r="P675" s="310"/>
      <c r="Q675" s="311"/>
      <c r="R675" s="310"/>
      <c r="S675" s="13"/>
      <c r="T675" s="13"/>
      <c r="U675" s="13"/>
      <c r="V675" s="13"/>
      <c r="W675" s="13"/>
      <c r="X675" s="310"/>
      <c r="Y675" s="311"/>
      <c r="Z675" s="310"/>
      <c r="AA675" s="312"/>
      <c r="AB675" s="13"/>
      <c r="AC675" s="313"/>
      <c r="AD675" s="313"/>
      <c r="AE675" s="313"/>
      <c r="AF675" s="331"/>
      <c r="AG675" s="320"/>
      <c r="AH675" s="13"/>
      <c r="AI675" s="13"/>
      <c r="AJ675" s="13"/>
      <c r="AK675" s="13"/>
      <c r="AL675" s="13"/>
      <c r="AM675" s="13"/>
      <c r="AN675" s="13"/>
      <c r="AO675" s="13"/>
      <c r="AP675" s="13"/>
    </row>
    <row r="676" ht="18.75" customHeight="1">
      <c r="A676" s="13"/>
      <c r="B676" s="282"/>
      <c r="C676" s="330"/>
      <c r="D676" s="330"/>
      <c r="E676" s="330"/>
      <c r="F676" s="13"/>
      <c r="G676" s="309"/>
      <c r="H676" s="309"/>
      <c r="I676" s="309"/>
      <c r="J676" s="310"/>
      <c r="K676" s="310"/>
      <c r="L676" s="310"/>
      <c r="M676" s="310"/>
      <c r="N676" s="310"/>
      <c r="O676" s="311"/>
      <c r="P676" s="310"/>
      <c r="Q676" s="311"/>
      <c r="R676" s="310"/>
      <c r="S676" s="13"/>
      <c r="T676" s="13"/>
      <c r="U676" s="13"/>
      <c r="V676" s="13"/>
      <c r="W676" s="13"/>
      <c r="X676" s="310"/>
      <c r="Y676" s="311"/>
      <c r="Z676" s="310"/>
      <c r="AA676" s="312"/>
      <c r="AB676" s="13"/>
      <c r="AC676" s="313"/>
      <c r="AD676" s="313"/>
      <c r="AE676" s="313"/>
      <c r="AF676" s="331"/>
      <c r="AG676" s="320"/>
      <c r="AH676" s="13"/>
      <c r="AI676" s="13"/>
      <c r="AJ676" s="13"/>
      <c r="AK676" s="13"/>
      <c r="AL676" s="13"/>
      <c r="AM676" s="13"/>
      <c r="AN676" s="13"/>
      <c r="AO676" s="13"/>
      <c r="AP676" s="13"/>
    </row>
    <row r="677" ht="18.75" customHeight="1">
      <c r="A677" s="13"/>
      <c r="B677" s="282"/>
      <c r="C677" s="330"/>
      <c r="D677" s="330"/>
      <c r="E677" s="330"/>
      <c r="F677" s="13"/>
      <c r="G677" s="309"/>
      <c r="H677" s="309"/>
      <c r="I677" s="309"/>
      <c r="J677" s="310"/>
      <c r="K677" s="310"/>
      <c r="L677" s="310"/>
      <c r="M677" s="310"/>
      <c r="N677" s="310"/>
      <c r="O677" s="311"/>
      <c r="P677" s="310"/>
      <c r="Q677" s="311"/>
      <c r="R677" s="310"/>
      <c r="S677" s="13"/>
      <c r="T677" s="13"/>
      <c r="U677" s="13"/>
      <c r="V677" s="13"/>
      <c r="W677" s="13"/>
      <c r="X677" s="310"/>
      <c r="Y677" s="311"/>
      <c r="Z677" s="310"/>
      <c r="AA677" s="312"/>
      <c r="AB677" s="13"/>
      <c r="AC677" s="313"/>
      <c r="AD677" s="313"/>
      <c r="AE677" s="313"/>
      <c r="AF677" s="331"/>
      <c r="AG677" s="320"/>
      <c r="AH677" s="13"/>
      <c r="AI677" s="13"/>
      <c r="AJ677" s="13"/>
      <c r="AK677" s="13"/>
      <c r="AL677" s="13"/>
      <c r="AM677" s="13"/>
      <c r="AN677" s="13"/>
      <c r="AO677" s="13"/>
      <c r="AP677" s="13"/>
    </row>
    <row r="678" ht="18.75" customHeight="1">
      <c r="A678" s="13"/>
      <c r="B678" s="282"/>
      <c r="C678" s="330"/>
      <c r="D678" s="330"/>
      <c r="E678" s="330"/>
      <c r="F678" s="13"/>
      <c r="G678" s="309"/>
      <c r="H678" s="309"/>
      <c r="I678" s="309"/>
      <c r="J678" s="310"/>
      <c r="K678" s="310"/>
      <c r="L678" s="310"/>
      <c r="M678" s="310"/>
      <c r="N678" s="310"/>
      <c r="O678" s="311"/>
      <c r="P678" s="310"/>
      <c r="Q678" s="311"/>
      <c r="R678" s="310"/>
      <c r="S678" s="13"/>
      <c r="T678" s="13"/>
      <c r="U678" s="13"/>
      <c r="V678" s="13"/>
      <c r="W678" s="13"/>
      <c r="X678" s="310"/>
      <c r="Y678" s="311"/>
      <c r="Z678" s="310"/>
      <c r="AA678" s="312"/>
      <c r="AB678" s="13"/>
      <c r="AC678" s="313"/>
      <c r="AD678" s="313"/>
      <c r="AE678" s="313"/>
      <c r="AF678" s="331"/>
      <c r="AG678" s="320"/>
      <c r="AH678" s="13"/>
      <c r="AI678" s="13"/>
      <c r="AJ678" s="13"/>
      <c r="AK678" s="13"/>
      <c r="AL678" s="13"/>
      <c r="AM678" s="13"/>
      <c r="AN678" s="13"/>
      <c r="AO678" s="13"/>
      <c r="AP678" s="13"/>
    </row>
    <row r="679" ht="18.75" customHeight="1">
      <c r="A679" s="13"/>
      <c r="B679" s="282"/>
      <c r="C679" s="330"/>
      <c r="D679" s="330"/>
      <c r="E679" s="330"/>
      <c r="F679" s="13"/>
      <c r="G679" s="309"/>
      <c r="H679" s="309"/>
      <c r="I679" s="309"/>
      <c r="J679" s="310"/>
      <c r="K679" s="310"/>
      <c r="L679" s="310"/>
      <c r="M679" s="310"/>
      <c r="N679" s="310"/>
      <c r="O679" s="311"/>
      <c r="P679" s="310"/>
      <c r="Q679" s="311"/>
      <c r="R679" s="310"/>
      <c r="S679" s="13"/>
      <c r="T679" s="13"/>
      <c r="U679" s="13"/>
      <c r="V679" s="13"/>
      <c r="W679" s="13"/>
      <c r="X679" s="310"/>
      <c r="Y679" s="311"/>
      <c r="Z679" s="310"/>
      <c r="AA679" s="312"/>
      <c r="AB679" s="13"/>
      <c r="AC679" s="313"/>
      <c r="AD679" s="313"/>
      <c r="AE679" s="313"/>
      <c r="AF679" s="331"/>
      <c r="AG679" s="320"/>
      <c r="AH679" s="13"/>
      <c r="AI679" s="13"/>
      <c r="AJ679" s="13"/>
      <c r="AK679" s="13"/>
      <c r="AL679" s="13"/>
      <c r="AM679" s="13"/>
      <c r="AN679" s="13"/>
      <c r="AO679" s="13"/>
      <c r="AP679" s="13"/>
    </row>
    <row r="680" ht="18.75" customHeight="1">
      <c r="A680" s="13"/>
      <c r="B680" s="282"/>
      <c r="C680" s="330"/>
      <c r="D680" s="330"/>
      <c r="E680" s="330"/>
      <c r="F680" s="13"/>
      <c r="G680" s="309"/>
      <c r="H680" s="309"/>
      <c r="I680" s="309"/>
      <c r="J680" s="310"/>
      <c r="K680" s="310"/>
      <c r="L680" s="310"/>
      <c r="M680" s="310"/>
      <c r="N680" s="310"/>
      <c r="O680" s="311"/>
      <c r="P680" s="310"/>
      <c r="Q680" s="311"/>
      <c r="R680" s="310"/>
      <c r="S680" s="13"/>
      <c r="T680" s="13"/>
      <c r="U680" s="13"/>
      <c r="V680" s="13"/>
      <c r="W680" s="13"/>
      <c r="X680" s="310"/>
      <c r="Y680" s="311"/>
      <c r="Z680" s="310"/>
      <c r="AA680" s="312"/>
      <c r="AB680" s="13"/>
      <c r="AC680" s="313"/>
      <c r="AD680" s="313"/>
      <c r="AE680" s="313"/>
      <c r="AF680" s="331"/>
      <c r="AG680" s="320"/>
      <c r="AH680" s="13"/>
      <c r="AI680" s="13"/>
      <c r="AJ680" s="13"/>
      <c r="AK680" s="13"/>
      <c r="AL680" s="13"/>
      <c r="AM680" s="13"/>
      <c r="AN680" s="13"/>
      <c r="AO680" s="13"/>
      <c r="AP680" s="13"/>
    </row>
    <row r="681" ht="18.75" customHeight="1">
      <c r="A681" s="13"/>
      <c r="B681" s="282"/>
      <c r="C681" s="330"/>
      <c r="D681" s="330"/>
      <c r="E681" s="330"/>
      <c r="F681" s="13"/>
      <c r="G681" s="309"/>
      <c r="H681" s="309"/>
      <c r="I681" s="309"/>
      <c r="J681" s="310"/>
      <c r="K681" s="310"/>
      <c r="L681" s="310"/>
      <c r="M681" s="310"/>
      <c r="N681" s="310"/>
      <c r="O681" s="311"/>
      <c r="P681" s="310"/>
      <c r="Q681" s="311"/>
      <c r="R681" s="310"/>
      <c r="S681" s="13"/>
      <c r="T681" s="13"/>
      <c r="U681" s="13"/>
      <c r="V681" s="13"/>
      <c r="W681" s="13"/>
      <c r="X681" s="310"/>
      <c r="Y681" s="311"/>
      <c r="Z681" s="310"/>
      <c r="AA681" s="312"/>
      <c r="AB681" s="13"/>
      <c r="AC681" s="313"/>
      <c r="AD681" s="313"/>
      <c r="AE681" s="313"/>
      <c r="AF681" s="331"/>
      <c r="AG681" s="320"/>
      <c r="AH681" s="13"/>
      <c r="AI681" s="13"/>
      <c r="AJ681" s="13"/>
      <c r="AK681" s="13"/>
      <c r="AL681" s="13"/>
      <c r="AM681" s="13"/>
      <c r="AN681" s="13"/>
      <c r="AO681" s="13"/>
      <c r="AP681" s="13"/>
    </row>
    <row r="682" ht="18.75" customHeight="1">
      <c r="A682" s="13"/>
      <c r="B682" s="282"/>
      <c r="C682" s="330"/>
      <c r="D682" s="330"/>
      <c r="E682" s="330"/>
      <c r="F682" s="13"/>
      <c r="G682" s="309"/>
      <c r="H682" s="309"/>
      <c r="I682" s="309"/>
      <c r="J682" s="310"/>
      <c r="K682" s="310"/>
      <c r="L682" s="310"/>
      <c r="M682" s="310"/>
      <c r="N682" s="310"/>
      <c r="O682" s="311"/>
      <c r="P682" s="310"/>
      <c r="Q682" s="311"/>
      <c r="R682" s="310"/>
      <c r="S682" s="13"/>
      <c r="T682" s="13"/>
      <c r="U682" s="13"/>
      <c r="V682" s="13"/>
      <c r="W682" s="13"/>
      <c r="X682" s="310"/>
      <c r="Y682" s="311"/>
      <c r="Z682" s="310"/>
      <c r="AA682" s="312"/>
      <c r="AB682" s="13"/>
      <c r="AC682" s="313"/>
      <c r="AD682" s="313"/>
      <c r="AE682" s="313"/>
      <c r="AF682" s="331"/>
      <c r="AG682" s="320"/>
      <c r="AH682" s="13"/>
      <c r="AI682" s="13"/>
      <c r="AJ682" s="13"/>
      <c r="AK682" s="13"/>
      <c r="AL682" s="13"/>
      <c r="AM682" s="13"/>
      <c r="AN682" s="13"/>
      <c r="AO682" s="13"/>
      <c r="AP682" s="13"/>
    </row>
    <row r="683" ht="18.75" customHeight="1">
      <c r="A683" s="13"/>
      <c r="B683" s="282"/>
      <c r="C683" s="330"/>
      <c r="D683" s="330"/>
      <c r="E683" s="330"/>
      <c r="F683" s="13"/>
      <c r="G683" s="309"/>
      <c r="H683" s="309"/>
      <c r="I683" s="309"/>
      <c r="J683" s="310"/>
      <c r="K683" s="310"/>
      <c r="L683" s="310"/>
      <c r="M683" s="310"/>
      <c r="N683" s="310"/>
      <c r="O683" s="311"/>
      <c r="P683" s="310"/>
      <c r="Q683" s="311"/>
      <c r="R683" s="310"/>
      <c r="S683" s="13"/>
      <c r="T683" s="13"/>
      <c r="U683" s="13"/>
      <c r="V683" s="13"/>
      <c r="W683" s="13"/>
      <c r="X683" s="310"/>
      <c r="Y683" s="311"/>
      <c r="Z683" s="310"/>
      <c r="AA683" s="312"/>
      <c r="AB683" s="13"/>
      <c r="AC683" s="313"/>
      <c r="AD683" s="313"/>
      <c r="AE683" s="313"/>
      <c r="AF683" s="331"/>
      <c r="AG683" s="320"/>
      <c r="AH683" s="13"/>
      <c r="AI683" s="13"/>
      <c r="AJ683" s="13"/>
      <c r="AK683" s="13"/>
      <c r="AL683" s="13"/>
      <c r="AM683" s="13"/>
      <c r="AN683" s="13"/>
      <c r="AO683" s="13"/>
      <c r="AP683" s="13"/>
    </row>
    <row r="684" ht="18.75" customHeight="1">
      <c r="A684" s="13"/>
      <c r="B684" s="282"/>
      <c r="C684" s="330"/>
      <c r="D684" s="330"/>
      <c r="E684" s="330"/>
      <c r="F684" s="13"/>
      <c r="G684" s="309"/>
      <c r="H684" s="309"/>
      <c r="I684" s="309"/>
      <c r="J684" s="310"/>
      <c r="K684" s="310"/>
      <c r="L684" s="310"/>
      <c r="M684" s="310"/>
      <c r="N684" s="310"/>
      <c r="O684" s="311"/>
      <c r="P684" s="310"/>
      <c r="Q684" s="311"/>
      <c r="R684" s="310"/>
      <c r="S684" s="13"/>
      <c r="T684" s="13"/>
      <c r="U684" s="13"/>
      <c r="V684" s="13"/>
      <c r="W684" s="13"/>
      <c r="X684" s="310"/>
      <c r="Y684" s="311"/>
      <c r="Z684" s="310"/>
      <c r="AA684" s="312"/>
      <c r="AB684" s="13"/>
      <c r="AC684" s="313"/>
      <c r="AD684" s="313"/>
      <c r="AE684" s="313"/>
      <c r="AF684" s="331"/>
      <c r="AG684" s="320"/>
      <c r="AH684" s="13"/>
      <c r="AI684" s="13"/>
      <c r="AJ684" s="13"/>
      <c r="AK684" s="13"/>
      <c r="AL684" s="13"/>
      <c r="AM684" s="13"/>
      <c r="AN684" s="13"/>
      <c r="AO684" s="13"/>
      <c r="AP684" s="13"/>
    </row>
    <row r="685" ht="18.75" customHeight="1">
      <c r="A685" s="13"/>
      <c r="B685" s="282"/>
      <c r="C685" s="330"/>
      <c r="D685" s="330"/>
      <c r="E685" s="330"/>
      <c r="F685" s="13"/>
      <c r="G685" s="309"/>
      <c r="H685" s="309"/>
      <c r="I685" s="309"/>
      <c r="J685" s="310"/>
      <c r="K685" s="310"/>
      <c r="L685" s="310"/>
      <c r="M685" s="310"/>
      <c r="N685" s="310"/>
      <c r="O685" s="311"/>
      <c r="P685" s="310"/>
      <c r="Q685" s="311"/>
      <c r="R685" s="310"/>
      <c r="S685" s="13"/>
      <c r="T685" s="13"/>
      <c r="U685" s="13"/>
      <c r="V685" s="13"/>
      <c r="W685" s="13"/>
      <c r="X685" s="310"/>
      <c r="Y685" s="311"/>
      <c r="Z685" s="310"/>
      <c r="AA685" s="312"/>
      <c r="AB685" s="13"/>
      <c r="AC685" s="313"/>
      <c r="AD685" s="313"/>
      <c r="AE685" s="313"/>
      <c r="AF685" s="331"/>
      <c r="AG685" s="320"/>
      <c r="AH685" s="13"/>
      <c r="AI685" s="13"/>
      <c r="AJ685" s="13"/>
      <c r="AK685" s="13"/>
      <c r="AL685" s="13"/>
      <c r="AM685" s="13"/>
      <c r="AN685" s="13"/>
      <c r="AO685" s="13"/>
      <c r="AP685" s="13"/>
    </row>
    <row r="686" ht="18.75" customHeight="1">
      <c r="A686" s="13"/>
      <c r="B686" s="282"/>
      <c r="C686" s="330"/>
      <c r="D686" s="330"/>
      <c r="E686" s="330"/>
      <c r="F686" s="13"/>
      <c r="G686" s="309"/>
      <c r="H686" s="309"/>
      <c r="I686" s="309"/>
      <c r="J686" s="310"/>
      <c r="K686" s="310"/>
      <c r="L686" s="310"/>
      <c r="M686" s="310"/>
      <c r="N686" s="310"/>
      <c r="O686" s="311"/>
      <c r="P686" s="310"/>
      <c r="Q686" s="311"/>
      <c r="R686" s="310"/>
      <c r="S686" s="13"/>
      <c r="T686" s="13"/>
      <c r="U686" s="13"/>
      <c r="V686" s="13"/>
      <c r="W686" s="13"/>
      <c r="X686" s="310"/>
      <c r="Y686" s="311"/>
      <c r="Z686" s="310"/>
      <c r="AA686" s="312"/>
      <c r="AB686" s="13"/>
      <c r="AC686" s="313"/>
      <c r="AD686" s="313"/>
      <c r="AE686" s="313"/>
      <c r="AF686" s="331"/>
      <c r="AG686" s="320"/>
      <c r="AH686" s="13"/>
      <c r="AI686" s="13"/>
      <c r="AJ686" s="13"/>
      <c r="AK686" s="13"/>
      <c r="AL686" s="13"/>
      <c r="AM686" s="13"/>
      <c r="AN686" s="13"/>
      <c r="AO686" s="13"/>
      <c r="AP686" s="13"/>
    </row>
    <row r="687" ht="18.75" customHeight="1">
      <c r="A687" s="13"/>
      <c r="B687" s="282"/>
      <c r="C687" s="330"/>
      <c r="D687" s="330"/>
      <c r="E687" s="330"/>
      <c r="F687" s="13"/>
      <c r="G687" s="309"/>
      <c r="H687" s="309"/>
      <c r="I687" s="309"/>
      <c r="J687" s="310"/>
      <c r="K687" s="310"/>
      <c r="L687" s="310"/>
      <c r="M687" s="310"/>
      <c r="N687" s="310"/>
      <c r="O687" s="311"/>
      <c r="P687" s="310"/>
      <c r="Q687" s="311"/>
      <c r="R687" s="310"/>
      <c r="S687" s="13"/>
      <c r="T687" s="13"/>
      <c r="U687" s="13"/>
      <c r="V687" s="13"/>
      <c r="W687" s="13"/>
      <c r="X687" s="310"/>
      <c r="Y687" s="311"/>
      <c r="Z687" s="310"/>
      <c r="AA687" s="312"/>
      <c r="AB687" s="13"/>
      <c r="AC687" s="313"/>
      <c r="AD687" s="313"/>
      <c r="AE687" s="313"/>
      <c r="AF687" s="331"/>
      <c r="AG687" s="320"/>
      <c r="AH687" s="13"/>
      <c r="AI687" s="13"/>
      <c r="AJ687" s="13"/>
      <c r="AK687" s="13"/>
      <c r="AL687" s="13"/>
      <c r="AM687" s="13"/>
      <c r="AN687" s="13"/>
      <c r="AO687" s="13"/>
      <c r="AP687" s="13"/>
    </row>
    <row r="688" ht="18.75" customHeight="1">
      <c r="A688" s="13"/>
      <c r="B688" s="282"/>
      <c r="C688" s="330"/>
      <c r="D688" s="330"/>
      <c r="E688" s="330"/>
      <c r="F688" s="13"/>
      <c r="G688" s="309"/>
      <c r="H688" s="309"/>
      <c r="I688" s="309"/>
      <c r="J688" s="310"/>
      <c r="K688" s="310"/>
      <c r="L688" s="310"/>
      <c r="M688" s="310"/>
      <c r="N688" s="310"/>
      <c r="O688" s="311"/>
      <c r="P688" s="310"/>
      <c r="Q688" s="311"/>
      <c r="R688" s="310"/>
      <c r="S688" s="13"/>
      <c r="T688" s="13"/>
      <c r="U688" s="13"/>
      <c r="V688" s="13"/>
      <c r="W688" s="13"/>
      <c r="X688" s="310"/>
      <c r="Y688" s="311"/>
      <c r="Z688" s="310"/>
      <c r="AA688" s="312"/>
      <c r="AB688" s="13"/>
      <c r="AC688" s="313"/>
      <c r="AD688" s="313"/>
      <c r="AE688" s="313"/>
      <c r="AF688" s="331"/>
      <c r="AG688" s="320"/>
      <c r="AH688" s="13"/>
      <c r="AI688" s="13"/>
      <c r="AJ688" s="13"/>
      <c r="AK688" s="13"/>
      <c r="AL688" s="13"/>
      <c r="AM688" s="13"/>
      <c r="AN688" s="13"/>
      <c r="AO688" s="13"/>
      <c r="AP688" s="13"/>
    </row>
    <row r="689" ht="18.75" customHeight="1">
      <c r="A689" s="13"/>
      <c r="B689" s="282"/>
      <c r="C689" s="330"/>
      <c r="D689" s="330"/>
      <c r="E689" s="330"/>
      <c r="F689" s="13"/>
      <c r="G689" s="309"/>
      <c r="H689" s="309"/>
      <c r="I689" s="309"/>
      <c r="J689" s="310"/>
      <c r="K689" s="310"/>
      <c r="L689" s="310"/>
      <c r="M689" s="310"/>
      <c r="N689" s="310"/>
      <c r="O689" s="311"/>
      <c r="P689" s="310"/>
      <c r="Q689" s="311"/>
      <c r="R689" s="310"/>
      <c r="S689" s="13"/>
      <c r="T689" s="13"/>
      <c r="U689" s="13"/>
      <c r="V689" s="13"/>
      <c r="W689" s="13"/>
      <c r="X689" s="310"/>
      <c r="Y689" s="311"/>
      <c r="Z689" s="310"/>
      <c r="AA689" s="312"/>
      <c r="AB689" s="13"/>
      <c r="AC689" s="313"/>
      <c r="AD689" s="313"/>
      <c r="AE689" s="313"/>
      <c r="AF689" s="331"/>
      <c r="AG689" s="320"/>
      <c r="AH689" s="13"/>
      <c r="AI689" s="13"/>
      <c r="AJ689" s="13"/>
      <c r="AK689" s="13"/>
      <c r="AL689" s="13"/>
      <c r="AM689" s="13"/>
      <c r="AN689" s="13"/>
      <c r="AO689" s="13"/>
      <c r="AP689" s="13"/>
    </row>
    <row r="690" ht="18.75" customHeight="1">
      <c r="A690" s="13"/>
      <c r="B690" s="282"/>
      <c r="C690" s="330"/>
      <c r="D690" s="330"/>
      <c r="E690" s="330"/>
      <c r="F690" s="13"/>
      <c r="G690" s="309"/>
      <c r="H690" s="309"/>
      <c r="I690" s="309"/>
      <c r="J690" s="310"/>
      <c r="K690" s="310"/>
      <c r="L690" s="310"/>
      <c r="M690" s="310"/>
      <c r="N690" s="310"/>
      <c r="O690" s="311"/>
      <c r="P690" s="310"/>
      <c r="Q690" s="311"/>
      <c r="R690" s="310"/>
      <c r="S690" s="13"/>
      <c r="T690" s="13"/>
      <c r="U690" s="13"/>
      <c r="V690" s="13"/>
      <c r="W690" s="13"/>
      <c r="X690" s="310"/>
      <c r="Y690" s="311"/>
      <c r="Z690" s="310"/>
      <c r="AA690" s="312"/>
      <c r="AB690" s="13"/>
      <c r="AC690" s="313"/>
      <c r="AD690" s="313"/>
      <c r="AE690" s="313"/>
      <c r="AF690" s="331"/>
      <c r="AG690" s="320"/>
      <c r="AH690" s="13"/>
      <c r="AI690" s="13"/>
      <c r="AJ690" s="13"/>
      <c r="AK690" s="13"/>
      <c r="AL690" s="13"/>
      <c r="AM690" s="13"/>
      <c r="AN690" s="13"/>
      <c r="AO690" s="13"/>
      <c r="AP690" s="13"/>
    </row>
    <row r="691" ht="18.75" customHeight="1">
      <c r="A691" s="13"/>
      <c r="B691" s="282"/>
      <c r="C691" s="330"/>
      <c r="D691" s="330"/>
      <c r="E691" s="330"/>
      <c r="F691" s="13"/>
      <c r="G691" s="309"/>
      <c r="H691" s="309"/>
      <c r="I691" s="309"/>
      <c r="J691" s="310"/>
      <c r="K691" s="310"/>
      <c r="L691" s="310"/>
      <c r="M691" s="310"/>
      <c r="N691" s="310"/>
      <c r="O691" s="311"/>
      <c r="P691" s="310"/>
      <c r="Q691" s="311"/>
      <c r="R691" s="310"/>
      <c r="S691" s="13"/>
      <c r="T691" s="13"/>
      <c r="U691" s="13"/>
      <c r="V691" s="13"/>
      <c r="W691" s="13"/>
      <c r="X691" s="310"/>
      <c r="Y691" s="311"/>
      <c r="Z691" s="310"/>
      <c r="AA691" s="312"/>
      <c r="AB691" s="13"/>
      <c r="AC691" s="313"/>
      <c r="AD691" s="313"/>
      <c r="AE691" s="313"/>
      <c r="AF691" s="331"/>
      <c r="AG691" s="320"/>
      <c r="AH691" s="13"/>
      <c r="AI691" s="13"/>
      <c r="AJ691" s="13"/>
      <c r="AK691" s="13"/>
      <c r="AL691" s="13"/>
      <c r="AM691" s="13"/>
      <c r="AN691" s="13"/>
      <c r="AO691" s="13"/>
      <c r="AP691" s="13"/>
    </row>
    <row r="692" ht="18.75" customHeight="1">
      <c r="A692" s="13"/>
      <c r="B692" s="282"/>
      <c r="C692" s="330"/>
      <c r="D692" s="330"/>
      <c r="E692" s="330"/>
      <c r="F692" s="13"/>
      <c r="G692" s="309"/>
      <c r="H692" s="309"/>
      <c r="I692" s="309"/>
      <c r="J692" s="310"/>
      <c r="K692" s="310"/>
      <c r="L692" s="310"/>
      <c r="M692" s="310"/>
      <c r="N692" s="310"/>
      <c r="O692" s="311"/>
      <c r="P692" s="310"/>
      <c r="Q692" s="311"/>
      <c r="R692" s="310"/>
      <c r="S692" s="13"/>
      <c r="T692" s="13"/>
      <c r="U692" s="13"/>
      <c r="V692" s="13"/>
      <c r="W692" s="13"/>
      <c r="X692" s="310"/>
      <c r="Y692" s="311"/>
      <c r="Z692" s="310"/>
      <c r="AA692" s="312"/>
      <c r="AB692" s="13"/>
      <c r="AC692" s="313"/>
      <c r="AD692" s="313"/>
      <c r="AE692" s="313"/>
      <c r="AF692" s="331"/>
      <c r="AG692" s="320"/>
      <c r="AH692" s="13"/>
      <c r="AI692" s="13"/>
      <c r="AJ692" s="13"/>
      <c r="AK692" s="13"/>
      <c r="AL692" s="13"/>
      <c r="AM692" s="13"/>
      <c r="AN692" s="13"/>
      <c r="AO692" s="13"/>
      <c r="AP692" s="13"/>
    </row>
    <row r="693" ht="18.75" customHeight="1">
      <c r="A693" s="13"/>
      <c r="B693" s="282"/>
      <c r="C693" s="330"/>
      <c r="D693" s="330"/>
      <c r="E693" s="330"/>
      <c r="F693" s="13"/>
      <c r="G693" s="309"/>
      <c r="H693" s="309"/>
      <c r="I693" s="309"/>
      <c r="J693" s="310"/>
      <c r="K693" s="310"/>
      <c r="L693" s="310"/>
      <c r="M693" s="310"/>
      <c r="N693" s="310"/>
      <c r="O693" s="311"/>
      <c r="P693" s="310"/>
      <c r="Q693" s="311"/>
      <c r="R693" s="310"/>
      <c r="S693" s="13"/>
      <c r="T693" s="13"/>
      <c r="U693" s="13"/>
      <c r="V693" s="13"/>
      <c r="W693" s="13"/>
      <c r="X693" s="310"/>
      <c r="Y693" s="311"/>
      <c r="Z693" s="310"/>
      <c r="AA693" s="312"/>
      <c r="AB693" s="13"/>
      <c r="AC693" s="313"/>
      <c r="AD693" s="313"/>
      <c r="AE693" s="313"/>
      <c r="AF693" s="331"/>
      <c r="AG693" s="320"/>
      <c r="AH693" s="13"/>
      <c r="AI693" s="13"/>
      <c r="AJ693" s="13"/>
      <c r="AK693" s="13"/>
      <c r="AL693" s="13"/>
      <c r="AM693" s="13"/>
      <c r="AN693" s="13"/>
      <c r="AO693" s="13"/>
      <c r="AP693" s="13"/>
    </row>
    <row r="694" ht="18.75" customHeight="1">
      <c r="A694" s="13"/>
      <c r="B694" s="282"/>
      <c r="C694" s="330"/>
      <c r="D694" s="330"/>
      <c r="E694" s="330"/>
      <c r="F694" s="13"/>
      <c r="G694" s="309"/>
      <c r="H694" s="309"/>
      <c r="I694" s="309"/>
      <c r="J694" s="310"/>
      <c r="K694" s="310"/>
      <c r="L694" s="310"/>
      <c r="M694" s="310"/>
      <c r="N694" s="310"/>
      <c r="O694" s="311"/>
      <c r="P694" s="310"/>
      <c r="Q694" s="311"/>
      <c r="R694" s="310"/>
      <c r="S694" s="13"/>
      <c r="T694" s="13"/>
      <c r="U694" s="13"/>
      <c r="V694" s="13"/>
      <c r="W694" s="13"/>
      <c r="X694" s="310"/>
      <c r="Y694" s="311"/>
      <c r="Z694" s="310"/>
      <c r="AA694" s="312"/>
      <c r="AB694" s="13"/>
      <c r="AC694" s="313"/>
      <c r="AD694" s="313"/>
      <c r="AE694" s="313"/>
      <c r="AF694" s="331"/>
      <c r="AG694" s="320"/>
      <c r="AH694" s="13"/>
      <c r="AI694" s="13"/>
      <c r="AJ694" s="13"/>
      <c r="AK694" s="13"/>
      <c r="AL694" s="13"/>
      <c r="AM694" s="13"/>
      <c r="AN694" s="13"/>
      <c r="AO694" s="13"/>
      <c r="AP694" s="13"/>
    </row>
    <row r="695" ht="18.75" customHeight="1">
      <c r="A695" s="13"/>
      <c r="B695" s="282"/>
      <c r="C695" s="330"/>
      <c r="D695" s="330"/>
      <c r="E695" s="330"/>
      <c r="F695" s="13"/>
      <c r="G695" s="309"/>
      <c r="H695" s="309"/>
      <c r="I695" s="309"/>
      <c r="J695" s="310"/>
      <c r="K695" s="310"/>
      <c r="L695" s="310"/>
      <c r="M695" s="310"/>
      <c r="N695" s="310"/>
      <c r="O695" s="311"/>
      <c r="P695" s="310"/>
      <c r="Q695" s="311"/>
      <c r="R695" s="310"/>
      <c r="S695" s="13"/>
      <c r="T695" s="13"/>
      <c r="U695" s="13"/>
      <c r="V695" s="13"/>
      <c r="W695" s="13"/>
      <c r="X695" s="310"/>
      <c r="Y695" s="311"/>
      <c r="Z695" s="310"/>
      <c r="AA695" s="312"/>
      <c r="AB695" s="13"/>
      <c r="AC695" s="313"/>
      <c r="AD695" s="313"/>
      <c r="AE695" s="313"/>
      <c r="AF695" s="331"/>
      <c r="AG695" s="320"/>
      <c r="AH695" s="13"/>
      <c r="AI695" s="13"/>
      <c r="AJ695" s="13"/>
      <c r="AK695" s="13"/>
      <c r="AL695" s="13"/>
      <c r="AM695" s="13"/>
      <c r="AN695" s="13"/>
      <c r="AO695" s="13"/>
      <c r="AP695" s="13"/>
    </row>
    <row r="696" ht="18.75" customHeight="1">
      <c r="A696" s="13"/>
      <c r="B696" s="282"/>
      <c r="C696" s="330"/>
      <c r="D696" s="330"/>
      <c r="E696" s="330"/>
      <c r="F696" s="13"/>
      <c r="G696" s="309"/>
      <c r="H696" s="309"/>
      <c r="I696" s="309"/>
      <c r="J696" s="310"/>
      <c r="K696" s="310"/>
      <c r="L696" s="310"/>
      <c r="M696" s="310"/>
      <c r="N696" s="310"/>
      <c r="O696" s="311"/>
      <c r="P696" s="310"/>
      <c r="Q696" s="311"/>
      <c r="R696" s="310"/>
      <c r="S696" s="13"/>
      <c r="T696" s="13"/>
      <c r="U696" s="13"/>
      <c r="V696" s="13"/>
      <c r="W696" s="13"/>
      <c r="X696" s="310"/>
      <c r="Y696" s="311"/>
      <c r="Z696" s="310"/>
      <c r="AA696" s="312"/>
      <c r="AB696" s="13"/>
      <c r="AC696" s="313"/>
      <c r="AD696" s="313"/>
      <c r="AE696" s="313"/>
      <c r="AF696" s="331"/>
      <c r="AG696" s="320"/>
      <c r="AH696" s="13"/>
      <c r="AI696" s="13"/>
      <c r="AJ696" s="13"/>
      <c r="AK696" s="13"/>
      <c r="AL696" s="13"/>
      <c r="AM696" s="13"/>
      <c r="AN696" s="13"/>
      <c r="AO696" s="13"/>
      <c r="AP696" s="13"/>
    </row>
    <row r="697" ht="18.75" customHeight="1">
      <c r="A697" s="13"/>
      <c r="B697" s="282"/>
      <c r="C697" s="330"/>
      <c r="D697" s="330"/>
      <c r="E697" s="330"/>
      <c r="F697" s="13"/>
      <c r="G697" s="309"/>
      <c r="H697" s="309"/>
      <c r="I697" s="309"/>
      <c r="J697" s="310"/>
      <c r="K697" s="310"/>
      <c r="L697" s="310"/>
      <c r="M697" s="310"/>
      <c r="N697" s="310"/>
      <c r="O697" s="311"/>
      <c r="P697" s="310"/>
      <c r="Q697" s="311"/>
      <c r="R697" s="310"/>
      <c r="S697" s="13"/>
      <c r="T697" s="13"/>
      <c r="U697" s="13"/>
      <c r="V697" s="13"/>
      <c r="W697" s="13"/>
      <c r="X697" s="310"/>
      <c r="Y697" s="311"/>
      <c r="Z697" s="310"/>
      <c r="AA697" s="312"/>
      <c r="AB697" s="13"/>
      <c r="AC697" s="313"/>
      <c r="AD697" s="313"/>
      <c r="AE697" s="313"/>
      <c r="AF697" s="331"/>
      <c r="AG697" s="320"/>
      <c r="AH697" s="13"/>
      <c r="AI697" s="13"/>
      <c r="AJ697" s="13"/>
      <c r="AK697" s="13"/>
      <c r="AL697" s="13"/>
      <c r="AM697" s="13"/>
      <c r="AN697" s="13"/>
      <c r="AO697" s="13"/>
      <c r="AP697" s="13"/>
    </row>
    <row r="698" ht="18.75" customHeight="1">
      <c r="A698" s="13"/>
      <c r="B698" s="282"/>
      <c r="C698" s="330"/>
      <c r="D698" s="330"/>
      <c r="E698" s="330"/>
      <c r="F698" s="13"/>
      <c r="G698" s="309"/>
      <c r="H698" s="309"/>
      <c r="I698" s="309"/>
      <c r="J698" s="310"/>
      <c r="K698" s="310"/>
      <c r="L698" s="310"/>
      <c r="M698" s="310"/>
      <c r="N698" s="310"/>
      <c r="O698" s="311"/>
      <c r="P698" s="310"/>
      <c r="Q698" s="311"/>
      <c r="R698" s="310"/>
      <c r="S698" s="13"/>
      <c r="T698" s="13"/>
      <c r="U698" s="13"/>
      <c r="V698" s="13"/>
      <c r="W698" s="13"/>
      <c r="X698" s="310"/>
      <c r="Y698" s="311"/>
      <c r="Z698" s="310"/>
      <c r="AA698" s="312"/>
      <c r="AB698" s="13"/>
      <c r="AC698" s="313"/>
      <c r="AD698" s="313"/>
      <c r="AE698" s="313"/>
      <c r="AF698" s="331"/>
      <c r="AG698" s="320"/>
      <c r="AH698" s="13"/>
      <c r="AI698" s="13"/>
      <c r="AJ698" s="13"/>
      <c r="AK698" s="13"/>
      <c r="AL698" s="13"/>
      <c r="AM698" s="13"/>
      <c r="AN698" s="13"/>
      <c r="AO698" s="13"/>
      <c r="AP698" s="13"/>
    </row>
    <row r="699" ht="18.75" customHeight="1">
      <c r="A699" s="13"/>
      <c r="B699" s="282"/>
      <c r="C699" s="330"/>
      <c r="D699" s="330"/>
      <c r="E699" s="330"/>
      <c r="F699" s="13"/>
      <c r="G699" s="309"/>
      <c r="H699" s="309"/>
      <c r="I699" s="309"/>
      <c r="J699" s="310"/>
      <c r="K699" s="310"/>
      <c r="L699" s="310"/>
      <c r="M699" s="310"/>
      <c r="N699" s="310"/>
      <c r="O699" s="311"/>
      <c r="P699" s="310"/>
      <c r="Q699" s="311"/>
      <c r="R699" s="310"/>
      <c r="S699" s="13"/>
      <c r="T699" s="13"/>
      <c r="U699" s="13"/>
      <c r="V699" s="13"/>
      <c r="W699" s="13"/>
      <c r="X699" s="310"/>
      <c r="Y699" s="311"/>
      <c r="Z699" s="310"/>
      <c r="AA699" s="312"/>
      <c r="AB699" s="13"/>
      <c r="AC699" s="313"/>
      <c r="AD699" s="313"/>
      <c r="AE699" s="313"/>
      <c r="AF699" s="331"/>
      <c r="AG699" s="320"/>
      <c r="AH699" s="13"/>
      <c r="AI699" s="13"/>
      <c r="AJ699" s="13"/>
      <c r="AK699" s="13"/>
      <c r="AL699" s="13"/>
      <c r="AM699" s="13"/>
      <c r="AN699" s="13"/>
      <c r="AO699" s="13"/>
      <c r="AP699" s="13"/>
    </row>
    <row r="700" ht="18.75" customHeight="1">
      <c r="A700" s="13"/>
      <c r="B700" s="282"/>
      <c r="C700" s="330"/>
      <c r="D700" s="330"/>
      <c r="E700" s="330"/>
      <c r="F700" s="13"/>
      <c r="G700" s="309"/>
      <c r="H700" s="309"/>
      <c r="I700" s="309"/>
      <c r="J700" s="310"/>
      <c r="K700" s="310"/>
      <c r="L700" s="310"/>
      <c r="M700" s="310"/>
      <c r="N700" s="310"/>
      <c r="O700" s="311"/>
      <c r="P700" s="310"/>
      <c r="Q700" s="311"/>
      <c r="R700" s="310"/>
      <c r="S700" s="13"/>
      <c r="T700" s="13"/>
      <c r="U700" s="13"/>
      <c r="V700" s="13"/>
      <c r="W700" s="13"/>
      <c r="X700" s="310"/>
      <c r="Y700" s="311"/>
      <c r="Z700" s="310"/>
      <c r="AA700" s="312"/>
      <c r="AB700" s="13"/>
      <c r="AC700" s="313"/>
      <c r="AD700" s="313"/>
      <c r="AE700" s="313"/>
      <c r="AF700" s="331"/>
      <c r="AG700" s="320"/>
      <c r="AH700" s="13"/>
      <c r="AI700" s="13"/>
      <c r="AJ700" s="13"/>
      <c r="AK700" s="13"/>
      <c r="AL700" s="13"/>
      <c r="AM700" s="13"/>
      <c r="AN700" s="13"/>
      <c r="AO700" s="13"/>
      <c r="AP700" s="13"/>
    </row>
    <row r="701" ht="18.75" customHeight="1">
      <c r="A701" s="13"/>
      <c r="B701" s="282"/>
      <c r="C701" s="330"/>
      <c r="D701" s="330"/>
      <c r="E701" s="330"/>
      <c r="F701" s="13"/>
      <c r="G701" s="309"/>
      <c r="H701" s="309"/>
      <c r="I701" s="309"/>
      <c r="J701" s="310"/>
      <c r="K701" s="310"/>
      <c r="L701" s="310"/>
      <c r="M701" s="310"/>
      <c r="N701" s="310"/>
      <c r="O701" s="311"/>
      <c r="P701" s="310"/>
      <c r="Q701" s="311"/>
      <c r="R701" s="310"/>
      <c r="S701" s="13"/>
      <c r="T701" s="13"/>
      <c r="U701" s="13"/>
      <c r="V701" s="13"/>
      <c r="W701" s="13"/>
      <c r="X701" s="310"/>
      <c r="Y701" s="311"/>
      <c r="Z701" s="310"/>
      <c r="AA701" s="312"/>
      <c r="AB701" s="13"/>
      <c r="AC701" s="313"/>
      <c r="AD701" s="313"/>
      <c r="AE701" s="313"/>
      <c r="AF701" s="331"/>
      <c r="AG701" s="320"/>
      <c r="AH701" s="13"/>
      <c r="AI701" s="13"/>
      <c r="AJ701" s="13"/>
      <c r="AK701" s="13"/>
      <c r="AL701" s="13"/>
      <c r="AM701" s="13"/>
      <c r="AN701" s="13"/>
      <c r="AO701" s="13"/>
      <c r="AP701" s="13"/>
    </row>
    <row r="702" ht="18.75" customHeight="1">
      <c r="A702" s="13"/>
      <c r="B702" s="282"/>
      <c r="C702" s="330"/>
      <c r="D702" s="330"/>
      <c r="E702" s="330"/>
      <c r="F702" s="13"/>
      <c r="G702" s="309"/>
      <c r="H702" s="309"/>
      <c r="I702" s="309"/>
      <c r="J702" s="310"/>
      <c r="K702" s="310"/>
      <c r="L702" s="310"/>
      <c r="M702" s="310"/>
      <c r="N702" s="310"/>
      <c r="O702" s="311"/>
      <c r="P702" s="310"/>
      <c r="Q702" s="311"/>
      <c r="R702" s="310"/>
      <c r="S702" s="13"/>
      <c r="T702" s="13"/>
      <c r="U702" s="13"/>
      <c r="V702" s="13"/>
      <c r="W702" s="13"/>
      <c r="X702" s="310"/>
      <c r="Y702" s="311"/>
      <c r="Z702" s="310"/>
      <c r="AA702" s="312"/>
      <c r="AB702" s="13"/>
      <c r="AC702" s="313"/>
      <c r="AD702" s="313"/>
      <c r="AE702" s="313"/>
      <c r="AF702" s="331"/>
      <c r="AG702" s="320"/>
      <c r="AH702" s="13"/>
      <c r="AI702" s="13"/>
      <c r="AJ702" s="13"/>
      <c r="AK702" s="13"/>
      <c r="AL702" s="13"/>
      <c r="AM702" s="13"/>
      <c r="AN702" s="13"/>
      <c r="AO702" s="13"/>
      <c r="AP702" s="13"/>
    </row>
    <row r="703" ht="18.75" customHeight="1">
      <c r="A703" s="13"/>
      <c r="B703" s="282"/>
      <c r="C703" s="330"/>
      <c r="D703" s="330"/>
      <c r="E703" s="330"/>
      <c r="F703" s="13"/>
      <c r="G703" s="309"/>
      <c r="H703" s="309"/>
      <c r="I703" s="309"/>
      <c r="J703" s="310"/>
      <c r="K703" s="310"/>
      <c r="L703" s="310"/>
      <c r="M703" s="310"/>
      <c r="N703" s="310"/>
      <c r="O703" s="311"/>
      <c r="P703" s="310"/>
      <c r="Q703" s="311"/>
      <c r="R703" s="310"/>
      <c r="S703" s="13"/>
      <c r="T703" s="13"/>
      <c r="U703" s="13"/>
      <c r="V703" s="13"/>
      <c r="W703" s="13"/>
      <c r="X703" s="310"/>
      <c r="Y703" s="311"/>
      <c r="Z703" s="310"/>
      <c r="AA703" s="312"/>
      <c r="AB703" s="13"/>
      <c r="AC703" s="313"/>
      <c r="AD703" s="313"/>
      <c r="AE703" s="313"/>
      <c r="AF703" s="331"/>
      <c r="AG703" s="320"/>
      <c r="AH703" s="13"/>
      <c r="AI703" s="13"/>
      <c r="AJ703" s="13"/>
      <c r="AK703" s="13"/>
      <c r="AL703" s="13"/>
      <c r="AM703" s="13"/>
      <c r="AN703" s="13"/>
      <c r="AO703" s="13"/>
      <c r="AP703" s="13"/>
    </row>
    <row r="704" ht="18.75" customHeight="1">
      <c r="A704" s="13"/>
      <c r="B704" s="282"/>
      <c r="C704" s="330"/>
      <c r="D704" s="330"/>
      <c r="E704" s="330"/>
      <c r="F704" s="13"/>
      <c r="G704" s="309"/>
      <c r="H704" s="309"/>
      <c r="I704" s="309"/>
      <c r="J704" s="310"/>
      <c r="K704" s="310"/>
      <c r="L704" s="310"/>
      <c r="M704" s="310"/>
      <c r="N704" s="310"/>
      <c r="O704" s="311"/>
      <c r="P704" s="310"/>
      <c r="Q704" s="311"/>
      <c r="R704" s="310"/>
      <c r="S704" s="13"/>
      <c r="T704" s="13"/>
      <c r="U704" s="13"/>
      <c r="V704" s="13"/>
      <c r="W704" s="13"/>
      <c r="X704" s="310"/>
      <c r="Y704" s="311"/>
      <c r="Z704" s="310"/>
      <c r="AA704" s="312"/>
      <c r="AB704" s="13"/>
      <c r="AC704" s="313"/>
      <c r="AD704" s="313"/>
      <c r="AE704" s="313"/>
      <c r="AF704" s="331"/>
      <c r="AG704" s="320"/>
      <c r="AH704" s="13"/>
      <c r="AI704" s="13"/>
      <c r="AJ704" s="13"/>
      <c r="AK704" s="13"/>
      <c r="AL704" s="13"/>
      <c r="AM704" s="13"/>
      <c r="AN704" s="13"/>
      <c r="AO704" s="13"/>
      <c r="AP704" s="13"/>
    </row>
    <row r="705" ht="18.75" customHeight="1">
      <c r="A705" s="13"/>
      <c r="B705" s="282"/>
      <c r="C705" s="330"/>
      <c r="D705" s="330"/>
      <c r="E705" s="330"/>
      <c r="F705" s="13"/>
      <c r="G705" s="309"/>
      <c r="H705" s="309"/>
      <c r="I705" s="309"/>
      <c r="J705" s="310"/>
      <c r="K705" s="310"/>
      <c r="L705" s="310"/>
      <c r="M705" s="310"/>
      <c r="N705" s="310"/>
      <c r="O705" s="311"/>
      <c r="P705" s="310"/>
      <c r="Q705" s="311"/>
      <c r="R705" s="310"/>
      <c r="S705" s="13"/>
      <c r="T705" s="13"/>
      <c r="U705" s="13"/>
      <c r="V705" s="13"/>
      <c r="W705" s="13"/>
      <c r="X705" s="310"/>
      <c r="Y705" s="311"/>
      <c r="Z705" s="310"/>
      <c r="AA705" s="312"/>
      <c r="AB705" s="13"/>
      <c r="AC705" s="313"/>
      <c r="AD705" s="313"/>
      <c r="AE705" s="313"/>
      <c r="AF705" s="331"/>
      <c r="AG705" s="320"/>
      <c r="AH705" s="13"/>
      <c r="AI705" s="13"/>
      <c r="AJ705" s="13"/>
      <c r="AK705" s="13"/>
      <c r="AL705" s="13"/>
      <c r="AM705" s="13"/>
      <c r="AN705" s="13"/>
      <c r="AO705" s="13"/>
      <c r="AP705" s="13"/>
    </row>
    <row r="706" ht="18.75" customHeight="1">
      <c r="A706" s="13"/>
      <c r="B706" s="282"/>
      <c r="C706" s="330"/>
      <c r="D706" s="330"/>
      <c r="E706" s="330"/>
      <c r="F706" s="13"/>
      <c r="G706" s="309"/>
      <c r="H706" s="309"/>
      <c r="I706" s="309"/>
      <c r="J706" s="310"/>
      <c r="K706" s="310"/>
      <c r="L706" s="310"/>
      <c r="M706" s="310"/>
      <c r="N706" s="310"/>
      <c r="O706" s="311"/>
      <c r="P706" s="310"/>
      <c r="Q706" s="311"/>
      <c r="R706" s="310"/>
      <c r="S706" s="13"/>
      <c r="T706" s="13"/>
      <c r="U706" s="13"/>
      <c r="V706" s="13"/>
      <c r="W706" s="13"/>
      <c r="X706" s="310"/>
      <c r="Y706" s="311"/>
      <c r="Z706" s="310"/>
      <c r="AA706" s="312"/>
      <c r="AB706" s="13"/>
      <c r="AC706" s="313"/>
      <c r="AD706" s="313"/>
      <c r="AE706" s="313"/>
      <c r="AF706" s="331"/>
      <c r="AG706" s="320"/>
      <c r="AH706" s="13"/>
      <c r="AI706" s="13"/>
      <c r="AJ706" s="13"/>
      <c r="AK706" s="13"/>
      <c r="AL706" s="13"/>
      <c r="AM706" s="13"/>
      <c r="AN706" s="13"/>
      <c r="AO706" s="13"/>
      <c r="AP706" s="13"/>
    </row>
    <row r="707" ht="18.75" customHeight="1">
      <c r="A707" s="13"/>
      <c r="B707" s="282"/>
      <c r="C707" s="330"/>
      <c r="D707" s="330"/>
      <c r="E707" s="330"/>
      <c r="F707" s="13"/>
      <c r="G707" s="309"/>
      <c r="H707" s="309"/>
      <c r="I707" s="309"/>
      <c r="J707" s="310"/>
      <c r="K707" s="310"/>
      <c r="L707" s="310"/>
      <c r="M707" s="310"/>
      <c r="N707" s="310"/>
      <c r="O707" s="311"/>
      <c r="P707" s="310"/>
      <c r="Q707" s="311"/>
      <c r="R707" s="310"/>
      <c r="S707" s="13"/>
      <c r="T707" s="13"/>
      <c r="U707" s="13"/>
      <c r="V707" s="13"/>
      <c r="W707" s="13"/>
      <c r="X707" s="310"/>
      <c r="Y707" s="311"/>
      <c r="Z707" s="310"/>
      <c r="AA707" s="312"/>
      <c r="AB707" s="13"/>
      <c r="AC707" s="313"/>
      <c r="AD707" s="313"/>
      <c r="AE707" s="313"/>
      <c r="AF707" s="331"/>
      <c r="AG707" s="320"/>
      <c r="AH707" s="13"/>
      <c r="AI707" s="13"/>
      <c r="AJ707" s="13"/>
      <c r="AK707" s="13"/>
      <c r="AL707" s="13"/>
      <c r="AM707" s="13"/>
      <c r="AN707" s="13"/>
      <c r="AO707" s="13"/>
      <c r="AP707" s="13"/>
    </row>
    <row r="708" ht="18.75" customHeight="1">
      <c r="A708" s="13"/>
      <c r="B708" s="282"/>
      <c r="C708" s="330"/>
      <c r="D708" s="330"/>
      <c r="E708" s="330"/>
      <c r="F708" s="13"/>
      <c r="G708" s="309"/>
      <c r="H708" s="309"/>
      <c r="I708" s="309"/>
      <c r="J708" s="310"/>
      <c r="K708" s="310"/>
      <c r="L708" s="310"/>
      <c r="M708" s="310"/>
      <c r="N708" s="310"/>
      <c r="O708" s="311"/>
      <c r="P708" s="310"/>
      <c r="Q708" s="311"/>
      <c r="R708" s="310"/>
      <c r="S708" s="13"/>
      <c r="T708" s="13"/>
      <c r="U708" s="13"/>
      <c r="V708" s="13"/>
      <c r="W708" s="13"/>
      <c r="X708" s="310"/>
      <c r="Y708" s="311"/>
      <c r="Z708" s="310"/>
      <c r="AA708" s="312"/>
      <c r="AB708" s="13"/>
      <c r="AC708" s="313"/>
      <c r="AD708" s="313"/>
      <c r="AE708" s="313"/>
      <c r="AF708" s="331"/>
      <c r="AG708" s="320"/>
      <c r="AH708" s="13"/>
      <c r="AI708" s="13"/>
      <c r="AJ708" s="13"/>
      <c r="AK708" s="13"/>
      <c r="AL708" s="13"/>
      <c r="AM708" s="13"/>
      <c r="AN708" s="13"/>
      <c r="AO708" s="13"/>
      <c r="AP708" s="13"/>
    </row>
    <row r="709" ht="18.75" customHeight="1">
      <c r="A709" s="13"/>
      <c r="B709" s="282"/>
      <c r="C709" s="330"/>
      <c r="D709" s="330"/>
      <c r="E709" s="330"/>
      <c r="F709" s="13"/>
      <c r="G709" s="309"/>
      <c r="H709" s="309"/>
      <c r="I709" s="309"/>
      <c r="J709" s="310"/>
      <c r="K709" s="310"/>
      <c r="L709" s="310"/>
      <c r="M709" s="310"/>
      <c r="N709" s="310"/>
      <c r="O709" s="311"/>
      <c r="P709" s="310"/>
      <c r="Q709" s="311"/>
      <c r="R709" s="310"/>
      <c r="S709" s="13"/>
      <c r="T709" s="13"/>
      <c r="U709" s="13"/>
      <c r="V709" s="13"/>
      <c r="W709" s="13"/>
      <c r="X709" s="310"/>
      <c r="Y709" s="311"/>
      <c r="Z709" s="310"/>
      <c r="AA709" s="312"/>
      <c r="AB709" s="13"/>
      <c r="AC709" s="313"/>
      <c r="AD709" s="313"/>
      <c r="AE709" s="313"/>
      <c r="AF709" s="331"/>
      <c r="AG709" s="320"/>
      <c r="AH709" s="13"/>
      <c r="AI709" s="13"/>
      <c r="AJ709" s="13"/>
      <c r="AK709" s="13"/>
      <c r="AL709" s="13"/>
      <c r="AM709" s="13"/>
      <c r="AN709" s="13"/>
      <c r="AO709" s="13"/>
      <c r="AP709" s="13"/>
    </row>
    <row r="710" ht="18.75" customHeight="1">
      <c r="A710" s="13"/>
      <c r="B710" s="282"/>
      <c r="C710" s="330"/>
      <c r="D710" s="330"/>
      <c r="E710" s="330"/>
      <c r="F710" s="13"/>
      <c r="G710" s="309"/>
      <c r="H710" s="309"/>
      <c r="I710" s="309"/>
      <c r="J710" s="310"/>
      <c r="K710" s="310"/>
      <c r="L710" s="310"/>
      <c r="M710" s="310"/>
      <c r="N710" s="310"/>
      <c r="O710" s="311"/>
      <c r="P710" s="310"/>
      <c r="Q710" s="311"/>
      <c r="R710" s="310"/>
      <c r="S710" s="13"/>
      <c r="T710" s="13"/>
      <c r="U710" s="13"/>
      <c r="V710" s="13"/>
      <c r="W710" s="13"/>
      <c r="X710" s="310"/>
      <c r="Y710" s="311"/>
      <c r="Z710" s="310"/>
      <c r="AA710" s="312"/>
      <c r="AB710" s="13"/>
      <c r="AC710" s="313"/>
      <c r="AD710" s="313"/>
      <c r="AE710" s="313"/>
      <c r="AF710" s="331"/>
      <c r="AG710" s="320"/>
      <c r="AH710" s="13"/>
      <c r="AI710" s="13"/>
      <c r="AJ710" s="13"/>
      <c r="AK710" s="13"/>
      <c r="AL710" s="13"/>
      <c r="AM710" s="13"/>
      <c r="AN710" s="13"/>
      <c r="AO710" s="13"/>
      <c r="AP710" s="13"/>
    </row>
    <row r="711" ht="18.75" customHeight="1">
      <c r="A711" s="13"/>
      <c r="B711" s="282"/>
      <c r="C711" s="330"/>
      <c r="D711" s="330"/>
      <c r="E711" s="330"/>
      <c r="F711" s="13"/>
      <c r="G711" s="309"/>
      <c r="H711" s="309"/>
      <c r="I711" s="309"/>
      <c r="J711" s="310"/>
      <c r="K711" s="310"/>
      <c r="L711" s="310"/>
      <c r="M711" s="310"/>
      <c r="N711" s="310"/>
      <c r="O711" s="311"/>
      <c r="P711" s="310"/>
      <c r="Q711" s="311"/>
      <c r="R711" s="310"/>
      <c r="S711" s="13"/>
      <c r="T711" s="13"/>
      <c r="U711" s="13"/>
      <c r="V711" s="13"/>
      <c r="W711" s="13"/>
      <c r="X711" s="310"/>
      <c r="Y711" s="311"/>
      <c r="Z711" s="310"/>
      <c r="AA711" s="312"/>
      <c r="AB711" s="13"/>
      <c r="AC711" s="313"/>
      <c r="AD711" s="313"/>
      <c r="AE711" s="313"/>
      <c r="AF711" s="331"/>
      <c r="AG711" s="320"/>
      <c r="AH711" s="13"/>
      <c r="AI711" s="13"/>
      <c r="AJ711" s="13"/>
      <c r="AK711" s="13"/>
      <c r="AL711" s="13"/>
      <c r="AM711" s="13"/>
      <c r="AN711" s="13"/>
      <c r="AO711" s="13"/>
      <c r="AP711" s="13"/>
    </row>
    <row r="712" ht="18.75" customHeight="1">
      <c r="A712" s="13"/>
      <c r="B712" s="282"/>
      <c r="C712" s="330"/>
      <c r="D712" s="330"/>
      <c r="E712" s="330"/>
      <c r="F712" s="13"/>
      <c r="G712" s="309"/>
      <c r="H712" s="309"/>
      <c r="I712" s="309"/>
      <c r="J712" s="310"/>
      <c r="K712" s="310"/>
      <c r="L712" s="310"/>
      <c r="M712" s="310"/>
      <c r="N712" s="310"/>
      <c r="O712" s="311"/>
      <c r="P712" s="310"/>
      <c r="Q712" s="311"/>
      <c r="R712" s="310"/>
      <c r="S712" s="13"/>
      <c r="T712" s="13"/>
      <c r="U712" s="13"/>
      <c r="V712" s="13"/>
      <c r="W712" s="13"/>
      <c r="X712" s="310"/>
      <c r="Y712" s="311"/>
      <c r="Z712" s="310"/>
      <c r="AA712" s="312"/>
      <c r="AB712" s="13"/>
      <c r="AC712" s="313"/>
      <c r="AD712" s="313"/>
      <c r="AE712" s="313"/>
      <c r="AF712" s="331"/>
      <c r="AG712" s="320"/>
      <c r="AH712" s="13"/>
      <c r="AI712" s="13"/>
      <c r="AJ712" s="13"/>
      <c r="AK712" s="13"/>
      <c r="AL712" s="13"/>
      <c r="AM712" s="13"/>
      <c r="AN712" s="13"/>
      <c r="AO712" s="13"/>
      <c r="AP712" s="13"/>
    </row>
    <row r="713" ht="18.75" customHeight="1">
      <c r="A713" s="13"/>
      <c r="B713" s="282"/>
      <c r="C713" s="330"/>
      <c r="D713" s="330"/>
      <c r="E713" s="330"/>
      <c r="F713" s="13"/>
      <c r="G713" s="309"/>
      <c r="H713" s="309"/>
      <c r="I713" s="309"/>
      <c r="J713" s="310"/>
      <c r="K713" s="310"/>
      <c r="L713" s="310"/>
      <c r="M713" s="310"/>
      <c r="N713" s="310"/>
      <c r="O713" s="311"/>
      <c r="P713" s="310"/>
      <c r="Q713" s="311"/>
      <c r="R713" s="310"/>
      <c r="S713" s="13"/>
      <c r="T713" s="13"/>
      <c r="U713" s="13"/>
      <c r="V713" s="13"/>
      <c r="W713" s="13"/>
      <c r="X713" s="310"/>
      <c r="Y713" s="311"/>
      <c r="Z713" s="310"/>
      <c r="AA713" s="312"/>
      <c r="AB713" s="13"/>
      <c r="AC713" s="313"/>
      <c r="AD713" s="313"/>
      <c r="AE713" s="313"/>
      <c r="AF713" s="331"/>
      <c r="AG713" s="320"/>
      <c r="AH713" s="13"/>
      <c r="AI713" s="13"/>
      <c r="AJ713" s="13"/>
      <c r="AK713" s="13"/>
      <c r="AL713" s="13"/>
      <c r="AM713" s="13"/>
      <c r="AN713" s="13"/>
      <c r="AO713" s="13"/>
      <c r="AP713" s="13"/>
    </row>
    <row r="714" ht="18.75" customHeight="1">
      <c r="A714" s="13"/>
      <c r="B714" s="282"/>
      <c r="C714" s="330"/>
      <c r="D714" s="330"/>
      <c r="E714" s="330"/>
      <c r="F714" s="13"/>
      <c r="G714" s="309"/>
      <c r="H714" s="309"/>
      <c r="I714" s="309"/>
      <c r="J714" s="310"/>
      <c r="K714" s="310"/>
      <c r="L714" s="310"/>
      <c r="M714" s="310"/>
      <c r="N714" s="310"/>
      <c r="O714" s="311"/>
      <c r="P714" s="310"/>
      <c r="Q714" s="311"/>
      <c r="R714" s="310"/>
      <c r="S714" s="13"/>
      <c r="T714" s="13"/>
      <c r="U714" s="13"/>
      <c r="V714" s="13"/>
      <c r="W714" s="13"/>
      <c r="X714" s="310"/>
      <c r="Y714" s="311"/>
      <c r="Z714" s="310"/>
      <c r="AA714" s="312"/>
      <c r="AB714" s="13"/>
      <c r="AC714" s="313"/>
      <c r="AD714" s="313"/>
      <c r="AE714" s="313"/>
      <c r="AF714" s="331"/>
      <c r="AG714" s="320"/>
      <c r="AH714" s="13"/>
      <c r="AI714" s="13"/>
      <c r="AJ714" s="13"/>
      <c r="AK714" s="13"/>
      <c r="AL714" s="13"/>
      <c r="AM714" s="13"/>
      <c r="AN714" s="13"/>
      <c r="AO714" s="13"/>
      <c r="AP714" s="13"/>
    </row>
    <row r="715" ht="18.75" customHeight="1">
      <c r="A715" s="13"/>
      <c r="B715" s="282"/>
      <c r="C715" s="330"/>
      <c r="D715" s="330"/>
      <c r="E715" s="330"/>
      <c r="F715" s="13"/>
      <c r="G715" s="309"/>
      <c r="H715" s="309"/>
      <c r="I715" s="309"/>
      <c r="J715" s="310"/>
      <c r="K715" s="310"/>
      <c r="L715" s="310"/>
      <c r="M715" s="310"/>
      <c r="N715" s="310"/>
      <c r="O715" s="311"/>
      <c r="P715" s="310"/>
      <c r="Q715" s="311"/>
      <c r="R715" s="310"/>
      <c r="S715" s="13"/>
      <c r="T715" s="13"/>
      <c r="U715" s="13"/>
      <c r="V715" s="13"/>
      <c r="W715" s="13"/>
      <c r="X715" s="310"/>
      <c r="Y715" s="311"/>
      <c r="Z715" s="310"/>
      <c r="AA715" s="312"/>
      <c r="AB715" s="13"/>
      <c r="AC715" s="313"/>
      <c r="AD715" s="313"/>
      <c r="AE715" s="313"/>
      <c r="AF715" s="331"/>
      <c r="AG715" s="320"/>
      <c r="AH715" s="13"/>
      <c r="AI715" s="13"/>
      <c r="AJ715" s="13"/>
      <c r="AK715" s="13"/>
      <c r="AL715" s="13"/>
      <c r="AM715" s="13"/>
      <c r="AN715" s="13"/>
      <c r="AO715" s="13"/>
      <c r="AP715" s="13"/>
    </row>
    <row r="716" ht="18.75" customHeight="1">
      <c r="A716" s="13"/>
      <c r="B716" s="282"/>
      <c r="C716" s="330"/>
      <c r="D716" s="330"/>
      <c r="E716" s="330"/>
      <c r="F716" s="13"/>
      <c r="G716" s="309"/>
      <c r="H716" s="309"/>
      <c r="I716" s="309"/>
      <c r="J716" s="310"/>
      <c r="K716" s="310"/>
      <c r="L716" s="310"/>
      <c r="M716" s="310"/>
      <c r="N716" s="310"/>
      <c r="O716" s="311"/>
      <c r="P716" s="310"/>
      <c r="Q716" s="311"/>
      <c r="R716" s="310"/>
      <c r="S716" s="13"/>
      <c r="T716" s="13"/>
      <c r="U716" s="13"/>
      <c r="V716" s="13"/>
      <c r="W716" s="13"/>
      <c r="X716" s="310"/>
      <c r="Y716" s="311"/>
      <c r="Z716" s="310"/>
      <c r="AA716" s="312"/>
      <c r="AB716" s="13"/>
      <c r="AC716" s="313"/>
      <c r="AD716" s="313"/>
      <c r="AE716" s="313"/>
      <c r="AF716" s="331"/>
      <c r="AG716" s="320"/>
      <c r="AH716" s="13"/>
      <c r="AI716" s="13"/>
      <c r="AJ716" s="13"/>
      <c r="AK716" s="13"/>
      <c r="AL716" s="13"/>
      <c r="AM716" s="13"/>
      <c r="AN716" s="13"/>
      <c r="AO716" s="13"/>
      <c r="AP716" s="13"/>
    </row>
    <row r="717" ht="18.75" customHeight="1">
      <c r="A717" s="13"/>
      <c r="B717" s="282"/>
      <c r="C717" s="330"/>
      <c r="D717" s="330"/>
      <c r="E717" s="330"/>
      <c r="F717" s="13"/>
      <c r="G717" s="309"/>
      <c r="H717" s="309"/>
      <c r="I717" s="309"/>
      <c r="J717" s="310"/>
      <c r="K717" s="310"/>
      <c r="L717" s="310"/>
      <c r="M717" s="310"/>
      <c r="N717" s="310"/>
      <c r="O717" s="311"/>
      <c r="P717" s="310"/>
      <c r="Q717" s="311"/>
      <c r="R717" s="310"/>
      <c r="S717" s="13"/>
      <c r="T717" s="13"/>
      <c r="U717" s="13"/>
      <c r="V717" s="13"/>
      <c r="W717" s="13"/>
      <c r="X717" s="310"/>
      <c r="Y717" s="311"/>
      <c r="Z717" s="310"/>
      <c r="AA717" s="312"/>
      <c r="AB717" s="13"/>
      <c r="AC717" s="313"/>
      <c r="AD717" s="313"/>
      <c r="AE717" s="313"/>
      <c r="AF717" s="331"/>
      <c r="AG717" s="320"/>
      <c r="AH717" s="13"/>
      <c r="AI717" s="13"/>
      <c r="AJ717" s="13"/>
      <c r="AK717" s="13"/>
      <c r="AL717" s="13"/>
      <c r="AM717" s="13"/>
      <c r="AN717" s="13"/>
      <c r="AO717" s="13"/>
      <c r="AP717" s="13"/>
    </row>
    <row r="718" ht="18.75" customHeight="1">
      <c r="A718" s="13"/>
      <c r="B718" s="282"/>
      <c r="C718" s="330"/>
      <c r="D718" s="330"/>
      <c r="E718" s="330"/>
      <c r="F718" s="13"/>
      <c r="G718" s="309"/>
      <c r="H718" s="309"/>
      <c r="I718" s="309"/>
      <c r="J718" s="310"/>
      <c r="K718" s="310"/>
      <c r="L718" s="310"/>
      <c r="M718" s="310"/>
      <c r="N718" s="310"/>
      <c r="O718" s="311"/>
      <c r="P718" s="310"/>
      <c r="Q718" s="311"/>
      <c r="R718" s="310"/>
      <c r="S718" s="13"/>
      <c r="T718" s="13"/>
      <c r="U718" s="13"/>
      <c r="V718" s="13"/>
      <c r="W718" s="13"/>
      <c r="X718" s="310"/>
      <c r="Y718" s="311"/>
      <c r="Z718" s="310"/>
      <c r="AA718" s="312"/>
      <c r="AB718" s="13"/>
      <c r="AC718" s="313"/>
      <c r="AD718" s="313"/>
      <c r="AE718" s="313"/>
      <c r="AF718" s="331"/>
      <c r="AG718" s="320"/>
      <c r="AH718" s="13"/>
      <c r="AI718" s="13"/>
      <c r="AJ718" s="13"/>
      <c r="AK718" s="13"/>
      <c r="AL718" s="13"/>
      <c r="AM718" s="13"/>
      <c r="AN718" s="13"/>
      <c r="AO718" s="13"/>
      <c r="AP718" s="13"/>
    </row>
    <row r="719" ht="18.75" customHeight="1">
      <c r="A719" s="13"/>
      <c r="B719" s="282"/>
      <c r="C719" s="330"/>
      <c r="D719" s="330"/>
      <c r="E719" s="330"/>
      <c r="F719" s="13"/>
      <c r="G719" s="309"/>
      <c r="H719" s="309"/>
      <c r="I719" s="309"/>
      <c r="J719" s="310"/>
      <c r="K719" s="310"/>
      <c r="L719" s="310"/>
      <c r="M719" s="310"/>
      <c r="N719" s="310"/>
      <c r="O719" s="311"/>
      <c r="P719" s="310"/>
      <c r="Q719" s="311"/>
      <c r="R719" s="310"/>
      <c r="S719" s="13"/>
      <c r="T719" s="13"/>
      <c r="U719" s="13"/>
      <c r="V719" s="13"/>
      <c r="W719" s="13"/>
      <c r="X719" s="310"/>
      <c r="Y719" s="311"/>
      <c r="Z719" s="310"/>
      <c r="AA719" s="312"/>
      <c r="AB719" s="13"/>
      <c r="AC719" s="313"/>
      <c r="AD719" s="313"/>
      <c r="AE719" s="313"/>
      <c r="AF719" s="331"/>
      <c r="AG719" s="320"/>
      <c r="AH719" s="13"/>
      <c r="AI719" s="13"/>
      <c r="AJ719" s="13"/>
      <c r="AK719" s="13"/>
      <c r="AL719" s="13"/>
      <c r="AM719" s="13"/>
      <c r="AN719" s="13"/>
      <c r="AO719" s="13"/>
      <c r="AP719" s="13"/>
    </row>
    <row r="720" ht="18.75" customHeight="1">
      <c r="A720" s="13"/>
      <c r="B720" s="282"/>
      <c r="C720" s="330"/>
      <c r="D720" s="330"/>
      <c r="E720" s="330"/>
      <c r="F720" s="13"/>
      <c r="G720" s="309"/>
      <c r="H720" s="309"/>
      <c r="I720" s="309"/>
      <c r="J720" s="310"/>
      <c r="K720" s="310"/>
      <c r="L720" s="310"/>
      <c r="M720" s="310"/>
      <c r="N720" s="310"/>
      <c r="O720" s="311"/>
      <c r="P720" s="310"/>
      <c r="Q720" s="311"/>
      <c r="R720" s="310"/>
      <c r="S720" s="13"/>
      <c r="T720" s="13"/>
      <c r="U720" s="13"/>
      <c r="V720" s="13"/>
      <c r="W720" s="13"/>
      <c r="X720" s="310"/>
      <c r="Y720" s="311"/>
      <c r="Z720" s="310"/>
      <c r="AA720" s="312"/>
      <c r="AB720" s="13"/>
      <c r="AC720" s="313"/>
      <c r="AD720" s="313"/>
      <c r="AE720" s="313"/>
      <c r="AF720" s="331"/>
      <c r="AG720" s="320"/>
      <c r="AH720" s="13"/>
      <c r="AI720" s="13"/>
      <c r="AJ720" s="13"/>
      <c r="AK720" s="13"/>
      <c r="AL720" s="13"/>
      <c r="AM720" s="13"/>
      <c r="AN720" s="13"/>
      <c r="AO720" s="13"/>
      <c r="AP720" s="13"/>
    </row>
    <row r="721" ht="18.75" customHeight="1">
      <c r="A721" s="13"/>
      <c r="B721" s="282"/>
      <c r="C721" s="330"/>
      <c r="D721" s="330"/>
      <c r="E721" s="330"/>
      <c r="F721" s="13"/>
      <c r="G721" s="309"/>
      <c r="H721" s="309"/>
      <c r="I721" s="309"/>
      <c r="J721" s="310"/>
      <c r="K721" s="310"/>
      <c r="L721" s="310"/>
      <c r="M721" s="310"/>
      <c r="N721" s="310"/>
      <c r="O721" s="311"/>
      <c r="P721" s="310"/>
      <c r="Q721" s="311"/>
      <c r="R721" s="310"/>
      <c r="S721" s="13"/>
      <c r="T721" s="13"/>
      <c r="U721" s="13"/>
      <c r="V721" s="13"/>
      <c r="W721" s="13"/>
      <c r="X721" s="310"/>
      <c r="Y721" s="311"/>
      <c r="Z721" s="310"/>
      <c r="AA721" s="312"/>
      <c r="AB721" s="13"/>
      <c r="AC721" s="313"/>
      <c r="AD721" s="313"/>
      <c r="AE721" s="313"/>
      <c r="AF721" s="331"/>
      <c r="AG721" s="320"/>
      <c r="AH721" s="13"/>
      <c r="AI721" s="13"/>
      <c r="AJ721" s="13"/>
      <c r="AK721" s="13"/>
      <c r="AL721" s="13"/>
      <c r="AM721" s="13"/>
      <c r="AN721" s="13"/>
      <c r="AO721" s="13"/>
      <c r="AP721" s="13"/>
    </row>
    <row r="722" ht="18.75" customHeight="1">
      <c r="A722" s="13"/>
      <c r="B722" s="282"/>
      <c r="C722" s="330"/>
      <c r="D722" s="330"/>
      <c r="E722" s="330"/>
      <c r="F722" s="13"/>
      <c r="G722" s="309"/>
      <c r="H722" s="309"/>
      <c r="I722" s="309"/>
      <c r="J722" s="310"/>
      <c r="K722" s="310"/>
      <c r="L722" s="310"/>
      <c r="M722" s="310"/>
      <c r="N722" s="310"/>
      <c r="O722" s="311"/>
      <c r="P722" s="310"/>
      <c r="Q722" s="311"/>
      <c r="R722" s="310"/>
      <c r="S722" s="13"/>
      <c r="T722" s="13"/>
      <c r="U722" s="13"/>
      <c r="V722" s="13"/>
      <c r="W722" s="13"/>
      <c r="X722" s="310"/>
      <c r="Y722" s="311"/>
      <c r="Z722" s="310"/>
      <c r="AA722" s="312"/>
      <c r="AB722" s="13"/>
      <c r="AC722" s="313"/>
      <c r="AD722" s="313"/>
      <c r="AE722" s="313"/>
      <c r="AF722" s="331"/>
      <c r="AG722" s="320"/>
      <c r="AH722" s="13"/>
      <c r="AI722" s="13"/>
      <c r="AJ722" s="13"/>
      <c r="AK722" s="13"/>
      <c r="AL722" s="13"/>
      <c r="AM722" s="13"/>
      <c r="AN722" s="13"/>
      <c r="AO722" s="13"/>
      <c r="AP722" s="13"/>
    </row>
    <row r="723" ht="18.75" customHeight="1">
      <c r="A723" s="13"/>
      <c r="B723" s="282"/>
      <c r="C723" s="330"/>
      <c r="D723" s="330"/>
      <c r="E723" s="330"/>
      <c r="F723" s="13"/>
      <c r="G723" s="309"/>
      <c r="H723" s="309"/>
      <c r="I723" s="309"/>
      <c r="J723" s="310"/>
      <c r="K723" s="310"/>
      <c r="L723" s="310"/>
      <c r="M723" s="310"/>
      <c r="N723" s="310"/>
      <c r="O723" s="311"/>
      <c r="P723" s="310"/>
      <c r="Q723" s="311"/>
      <c r="R723" s="310"/>
      <c r="S723" s="13"/>
      <c r="T723" s="13"/>
      <c r="U723" s="13"/>
      <c r="V723" s="13"/>
      <c r="W723" s="13"/>
      <c r="X723" s="310"/>
      <c r="Y723" s="311"/>
      <c r="Z723" s="310"/>
      <c r="AA723" s="312"/>
      <c r="AB723" s="13"/>
      <c r="AC723" s="313"/>
      <c r="AD723" s="313"/>
      <c r="AE723" s="313"/>
      <c r="AF723" s="331"/>
      <c r="AG723" s="320"/>
      <c r="AH723" s="13"/>
      <c r="AI723" s="13"/>
      <c r="AJ723" s="13"/>
      <c r="AK723" s="13"/>
      <c r="AL723" s="13"/>
      <c r="AM723" s="13"/>
      <c r="AN723" s="13"/>
      <c r="AO723" s="13"/>
      <c r="AP723" s="13"/>
    </row>
    <row r="724" ht="18.75" customHeight="1">
      <c r="A724" s="13"/>
      <c r="B724" s="282"/>
      <c r="C724" s="330"/>
      <c r="D724" s="330"/>
      <c r="E724" s="330"/>
      <c r="F724" s="13"/>
      <c r="G724" s="309"/>
      <c r="H724" s="309"/>
      <c r="I724" s="309"/>
      <c r="J724" s="310"/>
      <c r="K724" s="310"/>
      <c r="L724" s="310"/>
      <c r="M724" s="310"/>
      <c r="N724" s="310"/>
      <c r="O724" s="311"/>
      <c r="P724" s="310"/>
      <c r="Q724" s="311"/>
      <c r="R724" s="310"/>
      <c r="S724" s="13"/>
      <c r="T724" s="13"/>
      <c r="U724" s="13"/>
      <c r="V724" s="13"/>
      <c r="W724" s="13"/>
      <c r="X724" s="310"/>
      <c r="Y724" s="311"/>
      <c r="Z724" s="310"/>
      <c r="AA724" s="312"/>
      <c r="AB724" s="13"/>
      <c r="AC724" s="313"/>
      <c r="AD724" s="313"/>
      <c r="AE724" s="313"/>
      <c r="AF724" s="331"/>
      <c r="AG724" s="320"/>
      <c r="AH724" s="13"/>
      <c r="AI724" s="13"/>
      <c r="AJ724" s="13"/>
      <c r="AK724" s="13"/>
      <c r="AL724" s="13"/>
      <c r="AM724" s="13"/>
      <c r="AN724" s="13"/>
      <c r="AO724" s="13"/>
      <c r="AP724" s="13"/>
    </row>
    <row r="725" ht="18.75" customHeight="1">
      <c r="A725" s="13"/>
      <c r="B725" s="282"/>
      <c r="C725" s="330"/>
      <c r="D725" s="330"/>
      <c r="E725" s="330"/>
      <c r="F725" s="13"/>
      <c r="G725" s="309"/>
      <c r="H725" s="309"/>
      <c r="I725" s="309"/>
      <c r="J725" s="310"/>
      <c r="K725" s="310"/>
      <c r="L725" s="310"/>
      <c r="M725" s="310"/>
      <c r="N725" s="310"/>
      <c r="O725" s="311"/>
      <c r="P725" s="310"/>
      <c r="Q725" s="311"/>
      <c r="R725" s="310"/>
      <c r="S725" s="13"/>
      <c r="T725" s="13"/>
      <c r="U725" s="13"/>
      <c r="V725" s="13"/>
      <c r="W725" s="13"/>
      <c r="X725" s="310"/>
      <c r="Y725" s="311"/>
      <c r="Z725" s="310"/>
      <c r="AA725" s="312"/>
      <c r="AB725" s="13"/>
      <c r="AC725" s="313"/>
      <c r="AD725" s="313"/>
      <c r="AE725" s="313"/>
      <c r="AF725" s="331"/>
      <c r="AG725" s="320"/>
      <c r="AH725" s="13"/>
      <c r="AI725" s="13"/>
      <c r="AJ725" s="13"/>
      <c r="AK725" s="13"/>
      <c r="AL725" s="13"/>
      <c r="AM725" s="13"/>
      <c r="AN725" s="13"/>
      <c r="AO725" s="13"/>
      <c r="AP725" s="13"/>
    </row>
    <row r="726" ht="18.75" customHeight="1">
      <c r="A726" s="13"/>
      <c r="B726" s="282"/>
      <c r="C726" s="330"/>
      <c r="D726" s="330"/>
      <c r="E726" s="330"/>
      <c r="F726" s="13"/>
      <c r="G726" s="309"/>
      <c r="H726" s="309"/>
      <c r="I726" s="309"/>
      <c r="J726" s="310"/>
      <c r="K726" s="310"/>
      <c r="L726" s="310"/>
      <c r="M726" s="310"/>
      <c r="N726" s="310"/>
      <c r="O726" s="311"/>
      <c r="P726" s="310"/>
      <c r="Q726" s="311"/>
      <c r="R726" s="310"/>
      <c r="S726" s="13"/>
      <c r="T726" s="13"/>
      <c r="U726" s="13"/>
      <c r="V726" s="13"/>
      <c r="W726" s="13"/>
      <c r="X726" s="310"/>
      <c r="Y726" s="311"/>
      <c r="Z726" s="310"/>
      <c r="AA726" s="312"/>
      <c r="AB726" s="13"/>
      <c r="AC726" s="313"/>
      <c r="AD726" s="313"/>
      <c r="AE726" s="313"/>
      <c r="AF726" s="331"/>
      <c r="AG726" s="320"/>
      <c r="AH726" s="13"/>
      <c r="AI726" s="13"/>
      <c r="AJ726" s="13"/>
      <c r="AK726" s="13"/>
      <c r="AL726" s="13"/>
      <c r="AM726" s="13"/>
      <c r="AN726" s="13"/>
      <c r="AO726" s="13"/>
      <c r="AP726" s="13"/>
    </row>
    <row r="727" ht="18.75" customHeight="1">
      <c r="A727" s="13"/>
      <c r="B727" s="282"/>
      <c r="C727" s="330"/>
      <c r="D727" s="330"/>
      <c r="E727" s="330"/>
      <c r="F727" s="13"/>
      <c r="G727" s="309"/>
      <c r="H727" s="309"/>
      <c r="I727" s="309"/>
      <c r="J727" s="310"/>
      <c r="K727" s="310"/>
      <c r="L727" s="310"/>
      <c r="M727" s="310"/>
      <c r="N727" s="310"/>
      <c r="O727" s="311"/>
      <c r="P727" s="310"/>
      <c r="Q727" s="311"/>
      <c r="R727" s="310"/>
      <c r="S727" s="13"/>
      <c r="T727" s="13"/>
      <c r="U727" s="13"/>
      <c r="V727" s="13"/>
      <c r="W727" s="13"/>
      <c r="X727" s="310"/>
      <c r="Y727" s="311"/>
      <c r="Z727" s="310"/>
      <c r="AA727" s="312"/>
      <c r="AB727" s="13"/>
      <c r="AC727" s="313"/>
      <c r="AD727" s="313"/>
      <c r="AE727" s="313"/>
      <c r="AF727" s="331"/>
      <c r="AG727" s="320"/>
      <c r="AH727" s="13"/>
      <c r="AI727" s="13"/>
      <c r="AJ727" s="13"/>
      <c r="AK727" s="13"/>
      <c r="AL727" s="13"/>
      <c r="AM727" s="13"/>
      <c r="AN727" s="13"/>
      <c r="AO727" s="13"/>
      <c r="AP727" s="13"/>
    </row>
    <row r="728" ht="18.75" customHeight="1">
      <c r="A728" s="13"/>
      <c r="B728" s="282"/>
      <c r="C728" s="330"/>
      <c r="D728" s="330"/>
      <c r="E728" s="330"/>
      <c r="F728" s="13"/>
      <c r="G728" s="309"/>
      <c r="H728" s="309"/>
      <c r="I728" s="309"/>
      <c r="J728" s="310"/>
      <c r="K728" s="310"/>
      <c r="L728" s="310"/>
      <c r="M728" s="310"/>
      <c r="N728" s="310"/>
      <c r="O728" s="311"/>
      <c r="P728" s="310"/>
      <c r="Q728" s="311"/>
      <c r="R728" s="310"/>
      <c r="S728" s="13"/>
      <c r="T728" s="13"/>
      <c r="U728" s="13"/>
      <c r="V728" s="13"/>
      <c r="W728" s="13"/>
      <c r="X728" s="310"/>
      <c r="Y728" s="311"/>
      <c r="Z728" s="310"/>
      <c r="AA728" s="312"/>
      <c r="AB728" s="13"/>
      <c r="AC728" s="313"/>
      <c r="AD728" s="313"/>
      <c r="AE728" s="313"/>
      <c r="AF728" s="331"/>
      <c r="AG728" s="320"/>
      <c r="AH728" s="13"/>
      <c r="AI728" s="13"/>
      <c r="AJ728" s="13"/>
      <c r="AK728" s="13"/>
      <c r="AL728" s="13"/>
      <c r="AM728" s="13"/>
      <c r="AN728" s="13"/>
      <c r="AO728" s="13"/>
      <c r="AP728" s="13"/>
    </row>
    <row r="729" ht="18.75" customHeight="1">
      <c r="A729" s="13"/>
      <c r="B729" s="282"/>
      <c r="C729" s="330"/>
      <c r="D729" s="330"/>
      <c r="E729" s="330"/>
      <c r="F729" s="13"/>
      <c r="G729" s="309"/>
      <c r="H729" s="309"/>
      <c r="I729" s="309"/>
      <c r="J729" s="310"/>
      <c r="K729" s="310"/>
      <c r="L729" s="310"/>
      <c r="M729" s="310"/>
      <c r="N729" s="310"/>
      <c r="O729" s="311"/>
      <c r="P729" s="310"/>
      <c r="Q729" s="311"/>
      <c r="R729" s="310"/>
      <c r="S729" s="13"/>
      <c r="T729" s="13"/>
      <c r="U729" s="13"/>
      <c r="V729" s="13"/>
      <c r="W729" s="13"/>
      <c r="X729" s="310"/>
      <c r="Y729" s="311"/>
      <c r="Z729" s="310"/>
      <c r="AA729" s="312"/>
      <c r="AB729" s="13"/>
      <c r="AC729" s="313"/>
      <c r="AD729" s="313"/>
      <c r="AE729" s="313"/>
      <c r="AF729" s="331"/>
      <c r="AG729" s="320"/>
      <c r="AH729" s="13"/>
      <c r="AI729" s="13"/>
      <c r="AJ729" s="13"/>
      <c r="AK729" s="13"/>
      <c r="AL729" s="13"/>
      <c r="AM729" s="13"/>
      <c r="AN729" s="13"/>
      <c r="AO729" s="13"/>
      <c r="AP729" s="13"/>
    </row>
    <row r="730" ht="18.75" customHeight="1">
      <c r="A730" s="13"/>
      <c r="B730" s="282"/>
      <c r="C730" s="330"/>
      <c r="D730" s="330"/>
      <c r="E730" s="330"/>
      <c r="F730" s="13"/>
      <c r="G730" s="309"/>
      <c r="H730" s="309"/>
      <c r="I730" s="309"/>
      <c r="J730" s="310"/>
      <c r="K730" s="310"/>
      <c r="L730" s="310"/>
      <c r="M730" s="310"/>
      <c r="N730" s="310"/>
      <c r="O730" s="311"/>
      <c r="P730" s="310"/>
      <c r="Q730" s="311"/>
      <c r="R730" s="310"/>
      <c r="S730" s="13"/>
      <c r="T730" s="13"/>
      <c r="U730" s="13"/>
      <c r="V730" s="13"/>
      <c r="W730" s="13"/>
      <c r="X730" s="310"/>
      <c r="Y730" s="311"/>
      <c r="Z730" s="310"/>
      <c r="AA730" s="312"/>
      <c r="AB730" s="13"/>
      <c r="AC730" s="313"/>
      <c r="AD730" s="313"/>
      <c r="AE730" s="313"/>
      <c r="AF730" s="331"/>
      <c r="AG730" s="320"/>
      <c r="AH730" s="13"/>
      <c r="AI730" s="13"/>
      <c r="AJ730" s="13"/>
      <c r="AK730" s="13"/>
      <c r="AL730" s="13"/>
      <c r="AM730" s="13"/>
      <c r="AN730" s="13"/>
      <c r="AO730" s="13"/>
      <c r="AP730" s="13"/>
    </row>
    <row r="731" ht="18.75" customHeight="1">
      <c r="A731" s="13"/>
      <c r="B731" s="282"/>
      <c r="C731" s="330"/>
      <c r="D731" s="330"/>
      <c r="E731" s="330"/>
      <c r="F731" s="13"/>
      <c r="G731" s="309"/>
      <c r="H731" s="309"/>
      <c r="I731" s="309"/>
      <c r="J731" s="310"/>
      <c r="K731" s="310"/>
      <c r="L731" s="310"/>
      <c r="M731" s="310"/>
      <c r="N731" s="310"/>
      <c r="O731" s="311"/>
      <c r="P731" s="310"/>
      <c r="Q731" s="311"/>
      <c r="R731" s="310"/>
      <c r="S731" s="13"/>
      <c r="T731" s="13"/>
      <c r="U731" s="13"/>
      <c r="V731" s="13"/>
      <c r="W731" s="13"/>
      <c r="X731" s="310"/>
      <c r="Y731" s="311"/>
      <c r="Z731" s="310"/>
      <c r="AA731" s="312"/>
      <c r="AB731" s="13"/>
      <c r="AC731" s="313"/>
      <c r="AD731" s="313"/>
      <c r="AE731" s="313"/>
      <c r="AF731" s="331"/>
      <c r="AG731" s="320"/>
      <c r="AH731" s="13"/>
      <c r="AI731" s="13"/>
      <c r="AJ731" s="13"/>
      <c r="AK731" s="13"/>
      <c r="AL731" s="13"/>
      <c r="AM731" s="13"/>
      <c r="AN731" s="13"/>
      <c r="AO731" s="13"/>
      <c r="AP731" s="13"/>
    </row>
    <row r="732" ht="18.75" customHeight="1">
      <c r="A732" s="13"/>
      <c r="B732" s="282"/>
      <c r="C732" s="330"/>
      <c r="D732" s="330"/>
      <c r="E732" s="330"/>
      <c r="F732" s="13"/>
      <c r="G732" s="309"/>
      <c r="H732" s="309"/>
      <c r="I732" s="309"/>
      <c r="J732" s="310"/>
      <c r="K732" s="310"/>
      <c r="L732" s="310"/>
      <c r="M732" s="310"/>
      <c r="N732" s="310"/>
      <c r="O732" s="311"/>
      <c r="P732" s="310"/>
      <c r="Q732" s="311"/>
      <c r="R732" s="310"/>
      <c r="S732" s="13"/>
      <c r="T732" s="13"/>
      <c r="U732" s="13"/>
      <c r="V732" s="13"/>
      <c r="W732" s="13"/>
      <c r="X732" s="310"/>
      <c r="Y732" s="311"/>
      <c r="Z732" s="310"/>
      <c r="AA732" s="312"/>
      <c r="AB732" s="13"/>
      <c r="AC732" s="313"/>
      <c r="AD732" s="313"/>
      <c r="AE732" s="313"/>
      <c r="AF732" s="331"/>
      <c r="AG732" s="320"/>
      <c r="AH732" s="13"/>
      <c r="AI732" s="13"/>
      <c r="AJ732" s="13"/>
      <c r="AK732" s="13"/>
      <c r="AL732" s="13"/>
      <c r="AM732" s="13"/>
      <c r="AN732" s="13"/>
      <c r="AO732" s="13"/>
      <c r="AP732" s="13"/>
    </row>
    <row r="733" ht="18.75" customHeight="1">
      <c r="A733" s="13"/>
      <c r="B733" s="282"/>
      <c r="C733" s="330"/>
      <c r="D733" s="330"/>
      <c r="E733" s="330"/>
      <c r="F733" s="13"/>
      <c r="G733" s="309"/>
      <c r="H733" s="309"/>
      <c r="I733" s="309"/>
      <c r="J733" s="310"/>
      <c r="K733" s="310"/>
      <c r="L733" s="310"/>
      <c r="M733" s="310"/>
      <c r="N733" s="310"/>
      <c r="O733" s="311"/>
      <c r="P733" s="310"/>
      <c r="Q733" s="311"/>
      <c r="R733" s="310"/>
      <c r="S733" s="13"/>
      <c r="T733" s="13"/>
      <c r="U733" s="13"/>
      <c r="V733" s="13"/>
      <c r="W733" s="13"/>
      <c r="X733" s="310"/>
      <c r="Y733" s="311"/>
      <c r="Z733" s="310"/>
      <c r="AA733" s="312"/>
      <c r="AB733" s="13"/>
      <c r="AC733" s="313"/>
      <c r="AD733" s="313"/>
      <c r="AE733" s="313"/>
      <c r="AF733" s="331"/>
      <c r="AG733" s="320"/>
      <c r="AH733" s="13"/>
      <c r="AI733" s="13"/>
      <c r="AJ733" s="13"/>
      <c r="AK733" s="13"/>
      <c r="AL733" s="13"/>
      <c r="AM733" s="13"/>
      <c r="AN733" s="13"/>
      <c r="AO733" s="13"/>
      <c r="AP733" s="13"/>
    </row>
    <row r="734" ht="18.75" customHeight="1">
      <c r="A734" s="13"/>
      <c r="B734" s="282"/>
      <c r="C734" s="330"/>
      <c r="D734" s="330"/>
      <c r="E734" s="330"/>
      <c r="F734" s="13"/>
      <c r="G734" s="309"/>
      <c r="H734" s="309"/>
      <c r="I734" s="309"/>
      <c r="J734" s="310"/>
      <c r="K734" s="310"/>
      <c r="L734" s="310"/>
      <c r="M734" s="310"/>
      <c r="N734" s="310"/>
      <c r="O734" s="311"/>
      <c r="P734" s="310"/>
      <c r="Q734" s="311"/>
      <c r="R734" s="310"/>
      <c r="S734" s="13"/>
      <c r="T734" s="13"/>
      <c r="U734" s="13"/>
      <c r="V734" s="13"/>
      <c r="W734" s="13"/>
      <c r="X734" s="310"/>
      <c r="Y734" s="311"/>
      <c r="Z734" s="310"/>
      <c r="AA734" s="312"/>
      <c r="AB734" s="13"/>
      <c r="AC734" s="313"/>
      <c r="AD734" s="313"/>
      <c r="AE734" s="313"/>
      <c r="AF734" s="331"/>
      <c r="AG734" s="320"/>
      <c r="AH734" s="13"/>
      <c r="AI734" s="13"/>
      <c r="AJ734" s="13"/>
      <c r="AK734" s="13"/>
      <c r="AL734" s="13"/>
      <c r="AM734" s="13"/>
      <c r="AN734" s="13"/>
      <c r="AO734" s="13"/>
      <c r="AP734" s="13"/>
    </row>
    <row r="735" ht="18.75" customHeight="1">
      <c r="A735" s="13"/>
      <c r="B735" s="282"/>
      <c r="C735" s="330"/>
      <c r="D735" s="330"/>
      <c r="E735" s="330"/>
      <c r="F735" s="13"/>
      <c r="G735" s="309"/>
      <c r="H735" s="309"/>
      <c r="I735" s="309"/>
      <c r="J735" s="310"/>
      <c r="K735" s="310"/>
      <c r="L735" s="310"/>
      <c r="M735" s="310"/>
      <c r="N735" s="310"/>
      <c r="O735" s="311"/>
      <c r="P735" s="310"/>
      <c r="Q735" s="311"/>
      <c r="R735" s="310"/>
      <c r="S735" s="13"/>
      <c r="T735" s="13"/>
      <c r="U735" s="13"/>
      <c r="V735" s="13"/>
      <c r="W735" s="13"/>
      <c r="X735" s="310"/>
      <c r="Y735" s="311"/>
      <c r="Z735" s="310"/>
      <c r="AA735" s="312"/>
      <c r="AB735" s="13"/>
      <c r="AC735" s="313"/>
      <c r="AD735" s="313"/>
      <c r="AE735" s="313"/>
      <c r="AF735" s="331"/>
      <c r="AG735" s="320"/>
      <c r="AH735" s="13"/>
      <c r="AI735" s="13"/>
      <c r="AJ735" s="13"/>
      <c r="AK735" s="13"/>
      <c r="AL735" s="13"/>
      <c r="AM735" s="13"/>
      <c r="AN735" s="13"/>
      <c r="AO735" s="13"/>
      <c r="AP735" s="13"/>
    </row>
    <row r="736" ht="18.75" customHeight="1">
      <c r="A736" s="13"/>
      <c r="B736" s="282"/>
      <c r="C736" s="330"/>
      <c r="D736" s="330"/>
      <c r="E736" s="330"/>
      <c r="F736" s="13"/>
      <c r="G736" s="309"/>
      <c r="H736" s="309"/>
      <c r="I736" s="309"/>
      <c r="J736" s="310"/>
      <c r="K736" s="310"/>
      <c r="L736" s="310"/>
      <c r="M736" s="310"/>
      <c r="N736" s="310"/>
      <c r="O736" s="311"/>
      <c r="P736" s="310"/>
      <c r="Q736" s="311"/>
      <c r="R736" s="310"/>
      <c r="S736" s="13"/>
      <c r="T736" s="13"/>
      <c r="U736" s="13"/>
      <c r="V736" s="13"/>
      <c r="W736" s="13"/>
      <c r="X736" s="310"/>
      <c r="Y736" s="311"/>
      <c r="Z736" s="310"/>
      <c r="AA736" s="312"/>
      <c r="AB736" s="13"/>
      <c r="AC736" s="313"/>
      <c r="AD736" s="313"/>
      <c r="AE736" s="313"/>
      <c r="AF736" s="331"/>
      <c r="AG736" s="320"/>
      <c r="AH736" s="13"/>
      <c r="AI736" s="13"/>
      <c r="AJ736" s="13"/>
      <c r="AK736" s="13"/>
      <c r="AL736" s="13"/>
      <c r="AM736" s="13"/>
      <c r="AN736" s="13"/>
      <c r="AO736" s="13"/>
      <c r="AP736" s="13"/>
    </row>
    <row r="737" ht="18.75" customHeight="1">
      <c r="A737" s="13"/>
      <c r="B737" s="282"/>
      <c r="C737" s="330"/>
      <c r="D737" s="330"/>
      <c r="E737" s="330"/>
      <c r="F737" s="13"/>
      <c r="G737" s="309"/>
      <c r="H737" s="309"/>
      <c r="I737" s="309"/>
      <c r="J737" s="310"/>
      <c r="K737" s="310"/>
      <c r="L737" s="310"/>
      <c r="M737" s="310"/>
      <c r="N737" s="310"/>
      <c r="O737" s="311"/>
      <c r="P737" s="310"/>
      <c r="Q737" s="311"/>
      <c r="R737" s="310"/>
      <c r="S737" s="13"/>
      <c r="T737" s="13"/>
      <c r="U737" s="13"/>
      <c r="V737" s="13"/>
      <c r="W737" s="13"/>
      <c r="X737" s="310"/>
      <c r="Y737" s="311"/>
      <c r="Z737" s="310"/>
      <c r="AA737" s="312"/>
      <c r="AB737" s="13"/>
      <c r="AC737" s="313"/>
      <c r="AD737" s="313"/>
      <c r="AE737" s="313"/>
      <c r="AF737" s="331"/>
      <c r="AG737" s="320"/>
      <c r="AH737" s="13"/>
      <c r="AI737" s="13"/>
      <c r="AJ737" s="13"/>
      <c r="AK737" s="13"/>
      <c r="AL737" s="13"/>
      <c r="AM737" s="13"/>
      <c r="AN737" s="13"/>
      <c r="AO737" s="13"/>
      <c r="AP737" s="13"/>
    </row>
    <row r="738" ht="18.75" customHeight="1">
      <c r="A738" s="13"/>
      <c r="B738" s="282"/>
      <c r="C738" s="330"/>
      <c r="D738" s="330"/>
      <c r="E738" s="330"/>
      <c r="F738" s="13"/>
      <c r="G738" s="309"/>
      <c r="H738" s="309"/>
      <c r="I738" s="309"/>
      <c r="J738" s="310"/>
      <c r="K738" s="310"/>
      <c r="L738" s="310"/>
      <c r="M738" s="310"/>
      <c r="N738" s="310"/>
      <c r="O738" s="311"/>
      <c r="P738" s="310"/>
      <c r="Q738" s="311"/>
      <c r="R738" s="310"/>
      <c r="S738" s="13"/>
      <c r="T738" s="13"/>
      <c r="U738" s="13"/>
      <c r="V738" s="13"/>
      <c r="W738" s="13"/>
      <c r="X738" s="310"/>
      <c r="Y738" s="311"/>
      <c r="Z738" s="310"/>
      <c r="AA738" s="312"/>
      <c r="AB738" s="13"/>
      <c r="AC738" s="313"/>
      <c r="AD738" s="313"/>
      <c r="AE738" s="313"/>
      <c r="AF738" s="331"/>
      <c r="AG738" s="320"/>
      <c r="AH738" s="13"/>
      <c r="AI738" s="13"/>
      <c r="AJ738" s="13"/>
      <c r="AK738" s="13"/>
      <c r="AL738" s="13"/>
      <c r="AM738" s="13"/>
      <c r="AN738" s="13"/>
      <c r="AO738" s="13"/>
      <c r="AP738" s="13"/>
    </row>
    <row r="739" ht="18.75" customHeight="1">
      <c r="A739" s="13"/>
      <c r="B739" s="282"/>
      <c r="C739" s="330"/>
      <c r="D739" s="330"/>
      <c r="E739" s="330"/>
      <c r="F739" s="13"/>
      <c r="G739" s="309"/>
      <c r="H739" s="309"/>
      <c r="I739" s="309"/>
      <c r="J739" s="310"/>
      <c r="K739" s="310"/>
      <c r="L739" s="310"/>
      <c r="M739" s="310"/>
      <c r="N739" s="310"/>
      <c r="O739" s="311"/>
      <c r="P739" s="310"/>
      <c r="Q739" s="311"/>
      <c r="R739" s="310"/>
      <c r="S739" s="13"/>
      <c r="T739" s="13"/>
      <c r="U739" s="13"/>
      <c r="V739" s="13"/>
      <c r="W739" s="13"/>
      <c r="X739" s="310"/>
      <c r="Y739" s="311"/>
      <c r="Z739" s="310"/>
      <c r="AA739" s="312"/>
      <c r="AB739" s="13"/>
      <c r="AC739" s="313"/>
      <c r="AD739" s="313"/>
      <c r="AE739" s="313"/>
      <c r="AF739" s="331"/>
      <c r="AG739" s="320"/>
      <c r="AH739" s="13"/>
      <c r="AI739" s="13"/>
      <c r="AJ739" s="13"/>
      <c r="AK739" s="13"/>
      <c r="AL739" s="13"/>
      <c r="AM739" s="13"/>
      <c r="AN739" s="13"/>
      <c r="AO739" s="13"/>
      <c r="AP739" s="13"/>
    </row>
    <row r="740" ht="18.75" customHeight="1">
      <c r="A740" s="13"/>
      <c r="B740" s="282"/>
      <c r="C740" s="330"/>
      <c r="D740" s="330"/>
      <c r="E740" s="330"/>
      <c r="F740" s="13"/>
      <c r="G740" s="309"/>
      <c r="H740" s="309"/>
      <c r="I740" s="309"/>
      <c r="J740" s="310"/>
      <c r="K740" s="310"/>
      <c r="L740" s="310"/>
      <c r="M740" s="310"/>
      <c r="N740" s="310"/>
      <c r="O740" s="311"/>
      <c r="P740" s="310"/>
      <c r="Q740" s="311"/>
      <c r="R740" s="310"/>
      <c r="S740" s="13"/>
      <c r="T740" s="13"/>
      <c r="U740" s="13"/>
      <c r="V740" s="13"/>
      <c r="W740" s="13"/>
      <c r="X740" s="310"/>
      <c r="Y740" s="311"/>
      <c r="Z740" s="310"/>
      <c r="AA740" s="312"/>
      <c r="AB740" s="13"/>
      <c r="AC740" s="313"/>
      <c r="AD740" s="313"/>
      <c r="AE740" s="313"/>
      <c r="AF740" s="331"/>
      <c r="AG740" s="320"/>
      <c r="AH740" s="13"/>
      <c r="AI740" s="13"/>
      <c r="AJ740" s="13"/>
      <c r="AK740" s="13"/>
      <c r="AL740" s="13"/>
      <c r="AM740" s="13"/>
      <c r="AN740" s="13"/>
      <c r="AO740" s="13"/>
      <c r="AP740" s="13"/>
    </row>
    <row r="741" ht="18.75" customHeight="1">
      <c r="A741" s="13"/>
      <c r="B741" s="282"/>
      <c r="C741" s="330"/>
      <c r="D741" s="330"/>
      <c r="E741" s="330"/>
      <c r="F741" s="13"/>
      <c r="G741" s="309"/>
      <c r="H741" s="309"/>
      <c r="I741" s="309"/>
      <c r="J741" s="310"/>
      <c r="K741" s="310"/>
      <c r="L741" s="310"/>
      <c r="M741" s="310"/>
      <c r="N741" s="310"/>
      <c r="O741" s="311"/>
      <c r="P741" s="310"/>
      <c r="Q741" s="311"/>
      <c r="R741" s="310"/>
      <c r="S741" s="13"/>
      <c r="T741" s="13"/>
      <c r="U741" s="13"/>
      <c r="V741" s="13"/>
      <c r="W741" s="13"/>
      <c r="X741" s="310"/>
      <c r="Y741" s="311"/>
      <c r="Z741" s="310"/>
      <c r="AA741" s="312"/>
      <c r="AB741" s="13"/>
      <c r="AC741" s="313"/>
      <c r="AD741" s="313"/>
      <c r="AE741" s="313"/>
      <c r="AF741" s="331"/>
      <c r="AG741" s="320"/>
      <c r="AH741" s="13"/>
      <c r="AI741" s="13"/>
      <c r="AJ741" s="13"/>
      <c r="AK741" s="13"/>
      <c r="AL741" s="13"/>
      <c r="AM741" s="13"/>
      <c r="AN741" s="13"/>
      <c r="AO741" s="13"/>
      <c r="AP741" s="13"/>
    </row>
    <row r="742" ht="18.75" customHeight="1">
      <c r="A742" s="13"/>
      <c r="B742" s="282"/>
      <c r="C742" s="330"/>
      <c r="D742" s="330"/>
      <c r="E742" s="330"/>
      <c r="F742" s="13"/>
      <c r="G742" s="309"/>
      <c r="H742" s="309"/>
      <c r="I742" s="309"/>
      <c r="J742" s="310"/>
      <c r="K742" s="310"/>
      <c r="L742" s="310"/>
      <c r="M742" s="310"/>
      <c r="N742" s="310"/>
      <c r="O742" s="311"/>
      <c r="P742" s="310"/>
      <c r="Q742" s="311"/>
      <c r="R742" s="310"/>
      <c r="S742" s="13"/>
      <c r="T742" s="13"/>
      <c r="U742" s="13"/>
      <c r="V742" s="13"/>
      <c r="W742" s="13"/>
      <c r="X742" s="310"/>
      <c r="Y742" s="311"/>
      <c r="Z742" s="310"/>
      <c r="AA742" s="312"/>
      <c r="AB742" s="13"/>
      <c r="AC742" s="313"/>
      <c r="AD742" s="313"/>
      <c r="AE742" s="313"/>
      <c r="AF742" s="331"/>
      <c r="AG742" s="320"/>
      <c r="AH742" s="13"/>
      <c r="AI742" s="13"/>
      <c r="AJ742" s="13"/>
      <c r="AK742" s="13"/>
      <c r="AL742" s="13"/>
      <c r="AM742" s="13"/>
      <c r="AN742" s="13"/>
      <c r="AO742" s="13"/>
      <c r="AP742" s="13"/>
    </row>
    <row r="743" ht="18.75" customHeight="1">
      <c r="A743" s="13"/>
      <c r="B743" s="282"/>
      <c r="C743" s="330"/>
      <c r="D743" s="330"/>
      <c r="E743" s="330"/>
      <c r="F743" s="13"/>
      <c r="G743" s="309"/>
      <c r="H743" s="309"/>
      <c r="I743" s="309"/>
      <c r="J743" s="310"/>
      <c r="K743" s="310"/>
      <c r="L743" s="310"/>
      <c r="M743" s="310"/>
      <c r="N743" s="310"/>
      <c r="O743" s="311"/>
      <c r="P743" s="310"/>
      <c r="Q743" s="311"/>
      <c r="R743" s="310"/>
      <c r="S743" s="13"/>
      <c r="T743" s="13"/>
      <c r="U743" s="13"/>
      <c r="V743" s="13"/>
      <c r="W743" s="13"/>
      <c r="X743" s="310"/>
      <c r="Y743" s="311"/>
      <c r="Z743" s="310"/>
      <c r="AA743" s="312"/>
      <c r="AB743" s="13"/>
      <c r="AC743" s="313"/>
      <c r="AD743" s="313"/>
      <c r="AE743" s="313"/>
      <c r="AF743" s="331"/>
      <c r="AG743" s="320"/>
      <c r="AH743" s="13"/>
      <c r="AI743" s="13"/>
      <c r="AJ743" s="13"/>
      <c r="AK743" s="13"/>
      <c r="AL743" s="13"/>
      <c r="AM743" s="13"/>
      <c r="AN743" s="13"/>
      <c r="AO743" s="13"/>
      <c r="AP743" s="13"/>
    </row>
    <row r="744" ht="18.75" customHeight="1">
      <c r="A744" s="13"/>
      <c r="B744" s="282"/>
      <c r="C744" s="330"/>
      <c r="D744" s="330"/>
      <c r="E744" s="330"/>
      <c r="F744" s="13"/>
      <c r="G744" s="309"/>
      <c r="H744" s="309"/>
      <c r="I744" s="309"/>
      <c r="J744" s="310"/>
      <c r="K744" s="310"/>
      <c r="L744" s="310"/>
      <c r="M744" s="310"/>
      <c r="N744" s="310"/>
      <c r="O744" s="311"/>
      <c r="P744" s="310"/>
      <c r="Q744" s="311"/>
      <c r="R744" s="310"/>
      <c r="S744" s="13"/>
      <c r="T744" s="13"/>
      <c r="U744" s="13"/>
      <c r="V744" s="13"/>
      <c r="W744" s="13"/>
      <c r="X744" s="310"/>
      <c r="Y744" s="311"/>
      <c r="Z744" s="310"/>
      <c r="AA744" s="312"/>
      <c r="AB744" s="13"/>
      <c r="AC744" s="313"/>
      <c r="AD744" s="313"/>
      <c r="AE744" s="313"/>
      <c r="AF744" s="331"/>
      <c r="AG744" s="320"/>
      <c r="AH744" s="13"/>
      <c r="AI744" s="13"/>
      <c r="AJ744" s="13"/>
      <c r="AK744" s="13"/>
      <c r="AL744" s="13"/>
      <c r="AM744" s="13"/>
      <c r="AN744" s="13"/>
      <c r="AO744" s="13"/>
      <c r="AP744" s="13"/>
    </row>
    <row r="745" ht="18.75" customHeight="1">
      <c r="A745" s="13"/>
      <c r="B745" s="282"/>
      <c r="C745" s="330"/>
      <c r="D745" s="330"/>
      <c r="E745" s="330"/>
      <c r="F745" s="13"/>
      <c r="G745" s="309"/>
      <c r="H745" s="309"/>
      <c r="I745" s="309"/>
      <c r="J745" s="310"/>
      <c r="K745" s="310"/>
      <c r="L745" s="310"/>
      <c r="M745" s="310"/>
      <c r="N745" s="310"/>
      <c r="O745" s="311"/>
      <c r="P745" s="310"/>
      <c r="Q745" s="311"/>
      <c r="R745" s="310"/>
      <c r="S745" s="13"/>
      <c r="T745" s="13"/>
      <c r="U745" s="13"/>
      <c r="V745" s="13"/>
      <c r="W745" s="13"/>
      <c r="X745" s="310"/>
      <c r="Y745" s="311"/>
      <c r="Z745" s="310"/>
      <c r="AA745" s="312"/>
      <c r="AB745" s="13"/>
      <c r="AC745" s="313"/>
      <c r="AD745" s="313"/>
      <c r="AE745" s="313"/>
      <c r="AF745" s="331"/>
      <c r="AG745" s="320"/>
      <c r="AH745" s="13"/>
      <c r="AI745" s="13"/>
      <c r="AJ745" s="13"/>
      <c r="AK745" s="13"/>
      <c r="AL745" s="13"/>
      <c r="AM745" s="13"/>
      <c r="AN745" s="13"/>
      <c r="AO745" s="13"/>
      <c r="AP745" s="13"/>
    </row>
    <row r="746" ht="18.75" customHeight="1">
      <c r="A746" s="13"/>
      <c r="B746" s="282"/>
      <c r="C746" s="330"/>
      <c r="D746" s="330"/>
      <c r="E746" s="330"/>
      <c r="F746" s="13"/>
      <c r="G746" s="309"/>
      <c r="H746" s="309"/>
      <c r="I746" s="309"/>
      <c r="J746" s="310"/>
      <c r="K746" s="310"/>
      <c r="L746" s="310"/>
      <c r="M746" s="310"/>
      <c r="N746" s="310"/>
      <c r="O746" s="311"/>
      <c r="P746" s="310"/>
      <c r="Q746" s="311"/>
      <c r="R746" s="310"/>
      <c r="S746" s="13"/>
      <c r="T746" s="13"/>
      <c r="U746" s="13"/>
      <c r="V746" s="13"/>
      <c r="W746" s="13"/>
      <c r="X746" s="310"/>
      <c r="Y746" s="311"/>
      <c r="Z746" s="310"/>
      <c r="AA746" s="312"/>
      <c r="AB746" s="13"/>
      <c r="AC746" s="313"/>
      <c r="AD746" s="313"/>
      <c r="AE746" s="313"/>
      <c r="AF746" s="331"/>
      <c r="AG746" s="320"/>
      <c r="AH746" s="13"/>
      <c r="AI746" s="13"/>
      <c r="AJ746" s="13"/>
      <c r="AK746" s="13"/>
      <c r="AL746" s="13"/>
      <c r="AM746" s="13"/>
      <c r="AN746" s="13"/>
      <c r="AO746" s="13"/>
      <c r="AP746" s="13"/>
    </row>
    <row r="747" ht="18.75" customHeight="1">
      <c r="A747" s="13"/>
      <c r="B747" s="282"/>
      <c r="C747" s="330"/>
      <c r="D747" s="330"/>
      <c r="E747" s="330"/>
      <c r="F747" s="13"/>
      <c r="G747" s="309"/>
      <c r="H747" s="309"/>
      <c r="I747" s="309"/>
      <c r="J747" s="310"/>
      <c r="K747" s="310"/>
      <c r="L747" s="310"/>
      <c r="M747" s="310"/>
      <c r="N747" s="310"/>
      <c r="O747" s="311"/>
      <c r="P747" s="310"/>
      <c r="Q747" s="311"/>
      <c r="R747" s="310"/>
      <c r="S747" s="13"/>
      <c r="T747" s="13"/>
      <c r="U747" s="13"/>
      <c r="V747" s="13"/>
      <c r="W747" s="13"/>
      <c r="X747" s="310"/>
      <c r="Y747" s="311"/>
      <c r="Z747" s="310"/>
      <c r="AA747" s="312"/>
      <c r="AB747" s="13"/>
      <c r="AC747" s="313"/>
      <c r="AD747" s="313"/>
      <c r="AE747" s="313"/>
      <c r="AF747" s="331"/>
      <c r="AG747" s="320"/>
      <c r="AH747" s="13"/>
      <c r="AI747" s="13"/>
      <c r="AJ747" s="13"/>
      <c r="AK747" s="13"/>
      <c r="AL747" s="13"/>
      <c r="AM747" s="13"/>
      <c r="AN747" s="13"/>
      <c r="AO747" s="13"/>
      <c r="AP747" s="13"/>
    </row>
    <row r="748" ht="18.75" customHeight="1">
      <c r="A748" s="13"/>
      <c r="B748" s="282"/>
      <c r="C748" s="330"/>
      <c r="D748" s="330"/>
      <c r="E748" s="330"/>
      <c r="F748" s="13"/>
      <c r="G748" s="309"/>
      <c r="H748" s="309"/>
      <c r="I748" s="309"/>
      <c r="J748" s="310"/>
      <c r="K748" s="310"/>
      <c r="L748" s="310"/>
      <c r="M748" s="310"/>
      <c r="N748" s="310"/>
      <c r="O748" s="311"/>
      <c r="P748" s="310"/>
      <c r="Q748" s="311"/>
      <c r="R748" s="310"/>
      <c r="S748" s="13"/>
      <c r="T748" s="13"/>
      <c r="U748" s="13"/>
      <c r="V748" s="13"/>
      <c r="W748" s="13"/>
      <c r="X748" s="310"/>
      <c r="Y748" s="311"/>
      <c r="Z748" s="310"/>
      <c r="AA748" s="312"/>
      <c r="AB748" s="13"/>
      <c r="AC748" s="313"/>
      <c r="AD748" s="313"/>
      <c r="AE748" s="313"/>
      <c r="AF748" s="331"/>
      <c r="AG748" s="320"/>
      <c r="AH748" s="13"/>
      <c r="AI748" s="13"/>
      <c r="AJ748" s="13"/>
      <c r="AK748" s="13"/>
      <c r="AL748" s="13"/>
      <c r="AM748" s="13"/>
      <c r="AN748" s="13"/>
      <c r="AO748" s="13"/>
      <c r="AP748" s="13"/>
    </row>
    <row r="749" ht="18.75" customHeight="1">
      <c r="A749" s="13"/>
      <c r="B749" s="282"/>
      <c r="C749" s="330"/>
      <c r="D749" s="330"/>
      <c r="E749" s="330"/>
      <c r="F749" s="13"/>
      <c r="G749" s="309"/>
      <c r="H749" s="309"/>
      <c r="I749" s="309"/>
      <c r="J749" s="310"/>
      <c r="K749" s="310"/>
      <c r="L749" s="310"/>
      <c r="M749" s="310"/>
      <c r="N749" s="310"/>
      <c r="O749" s="311"/>
      <c r="P749" s="310"/>
      <c r="Q749" s="311"/>
      <c r="R749" s="310"/>
      <c r="S749" s="13"/>
      <c r="T749" s="13"/>
      <c r="U749" s="13"/>
      <c r="V749" s="13"/>
      <c r="W749" s="13"/>
      <c r="X749" s="310"/>
      <c r="Y749" s="311"/>
      <c r="Z749" s="310"/>
      <c r="AA749" s="312"/>
      <c r="AB749" s="13"/>
      <c r="AC749" s="313"/>
      <c r="AD749" s="313"/>
      <c r="AE749" s="313"/>
      <c r="AF749" s="331"/>
      <c r="AG749" s="320"/>
      <c r="AH749" s="13"/>
      <c r="AI749" s="13"/>
      <c r="AJ749" s="13"/>
      <c r="AK749" s="13"/>
      <c r="AL749" s="13"/>
      <c r="AM749" s="13"/>
      <c r="AN749" s="13"/>
      <c r="AO749" s="13"/>
      <c r="AP749" s="13"/>
    </row>
    <row r="750" ht="18.75" customHeight="1">
      <c r="A750" s="13"/>
      <c r="B750" s="282"/>
      <c r="C750" s="330"/>
      <c r="D750" s="330"/>
      <c r="E750" s="330"/>
      <c r="F750" s="13"/>
      <c r="G750" s="309"/>
      <c r="H750" s="309"/>
      <c r="I750" s="309"/>
      <c r="J750" s="310"/>
      <c r="K750" s="310"/>
      <c r="L750" s="310"/>
      <c r="M750" s="310"/>
      <c r="N750" s="310"/>
      <c r="O750" s="311"/>
      <c r="P750" s="310"/>
      <c r="Q750" s="311"/>
      <c r="R750" s="310"/>
      <c r="S750" s="13"/>
      <c r="T750" s="13"/>
      <c r="U750" s="13"/>
      <c r="V750" s="13"/>
      <c r="W750" s="13"/>
      <c r="X750" s="310"/>
      <c r="Y750" s="311"/>
      <c r="Z750" s="310"/>
      <c r="AA750" s="312"/>
      <c r="AB750" s="13"/>
      <c r="AC750" s="313"/>
      <c r="AD750" s="313"/>
      <c r="AE750" s="313"/>
      <c r="AF750" s="331"/>
      <c r="AG750" s="320"/>
      <c r="AH750" s="13"/>
      <c r="AI750" s="13"/>
      <c r="AJ750" s="13"/>
      <c r="AK750" s="13"/>
      <c r="AL750" s="13"/>
      <c r="AM750" s="13"/>
      <c r="AN750" s="13"/>
      <c r="AO750" s="13"/>
      <c r="AP750" s="13"/>
    </row>
    <row r="751" ht="18.75" customHeight="1">
      <c r="A751" s="13"/>
      <c r="B751" s="282"/>
      <c r="C751" s="330"/>
      <c r="D751" s="330"/>
      <c r="E751" s="330"/>
      <c r="F751" s="13"/>
      <c r="G751" s="309"/>
      <c r="H751" s="309"/>
      <c r="I751" s="309"/>
      <c r="J751" s="310"/>
      <c r="K751" s="310"/>
      <c r="L751" s="310"/>
      <c r="M751" s="310"/>
      <c r="N751" s="310"/>
      <c r="O751" s="311"/>
      <c r="P751" s="310"/>
      <c r="Q751" s="311"/>
      <c r="R751" s="310"/>
      <c r="S751" s="13"/>
      <c r="T751" s="13"/>
      <c r="U751" s="13"/>
      <c r="V751" s="13"/>
      <c r="W751" s="13"/>
      <c r="X751" s="310"/>
      <c r="Y751" s="311"/>
      <c r="Z751" s="310"/>
      <c r="AA751" s="312"/>
      <c r="AB751" s="13"/>
      <c r="AC751" s="313"/>
      <c r="AD751" s="313"/>
      <c r="AE751" s="313"/>
      <c r="AF751" s="331"/>
      <c r="AG751" s="320"/>
      <c r="AH751" s="13"/>
      <c r="AI751" s="13"/>
      <c r="AJ751" s="13"/>
      <c r="AK751" s="13"/>
      <c r="AL751" s="13"/>
      <c r="AM751" s="13"/>
      <c r="AN751" s="13"/>
      <c r="AO751" s="13"/>
      <c r="AP751" s="13"/>
    </row>
    <row r="752" ht="18.75" customHeight="1">
      <c r="A752" s="13"/>
      <c r="B752" s="282"/>
      <c r="C752" s="330"/>
      <c r="D752" s="330"/>
      <c r="E752" s="330"/>
      <c r="F752" s="13"/>
      <c r="G752" s="309"/>
      <c r="H752" s="309"/>
      <c r="I752" s="309"/>
      <c r="J752" s="310"/>
      <c r="K752" s="310"/>
      <c r="L752" s="310"/>
      <c r="M752" s="310"/>
      <c r="N752" s="310"/>
      <c r="O752" s="311"/>
      <c r="P752" s="310"/>
      <c r="Q752" s="311"/>
      <c r="R752" s="310"/>
      <c r="S752" s="13"/>
      <c r="T752" s="13"/>
      <c r="U752" s="13"/>
      <c r="V752" s="13"/>
      <c r="W752" s="13"/>
      <c r="X752" s="310"/>
      <c r="Y752" s="311"/>
      <c r="Z752" s="310"/>
      <c r="AA752" s="312"/>
      <c r="AB752" s="13"/>
      <c r="AC752" s="313"/>
      <c r="AD752" s="313"/>
      <c r="AE752" s="313"/>
      <c r="AF752" s="331"/>
      <c r="AG752" s="320"/>
      <c r="AH752" s="13"/>
      <c r="AI752" s="13"/>
      <c r="AJ752" s="13"/>
      <c r="AK752" s="13"/>
      <c r="AL752" s="13"/>
      <c r="AM752" s="13"/>
      <c r="AN752" s="13"/>
      <c r="AO752" s="13"/>
      <c r="AP752" s="13"/>
    </row>
    <row r="753" ht="18.75" customHeight="1">
      <c r="A753" s="13"/>
      <c r="B753" s="282"/>
      <c r="C753" s="330"/>
      <c r="D753" s="330"/>
      <c r="E753" s="330"/>
      <c r="F753" s="13"/>
      <c r="G753" s="309"/>
      <c r="H753" s="309"/>
      <c r="I753" s="309"/>
      <c r="J753" s="310"/>
      <c r="K753" s="310"/>
      <c r="L753" s="310"/>
      <c r="M753" s="310"/>
      <c r="N753" s="310"/>
      <c r="O753" s="311"/>
      <c r="P753" s="310"/>
      <c r="Q753" s="311"/>
      <c r="R753" s="310"/>
      <c r="S753" s="13"/>
      <c r="T753" s="13"/>
      <c r="U753" s="13"/>
      <c r="V753" s="13"/>
      <c r="W753" s="13"/>
      <c r="X753" s="310"/>
      <c r="Y753" s="311"/>
      <c r="Z753" s="310"/>
      <c r="AA753" s="312"/>
      <c r="AB753" s="13"/>
      <c r="AC753" s="313"/>
      <c r="AD753" s="313"/>
      <c r="AE753" s="313"/>
      <c r="AF753" s="331"/>
      <c r="AG753" s="320"/>
      <c r="AH753" s="13"/>
      <c r="AI753" s="13"/>
      <c r="AJ753" s="13"/>
      <c r="AK753" s="13"/>
      <c r="AL753" s="13"/>
      <c r="AM753" s="13"/>
      <c r="AN753" s="13"/>
      <c r="AO753" s="13"/>
      <c r="AP753" s="13"/>
    </row>
    <row r="754" ht="18.75" customHeight="1">
      <c r="A754" s="13"/>
      <c r="B754" s="282"/>
      <c r="C754" s="330"/>
      <c r="D754" s="330"/>
      <c r="E754" s="330"/>
      <c r="F754" s="13"/>
      <c r="G754" s="309"/>
      <c r="H754" s="309"/>
      <c r="I754" s="309"/>
      <c r="J754" s="310"/>
      <c r="K754" s="310"/>
      <c r="L754" s="310"/>
      <c r="M754" s="310"/>
      <c r="N754" s="310"/>
      <c r="O754" s="311"/>
      <c r="P754" s="310"/>
      <c r="Q754" s="311"/>
      <c r="R754" s="310"/>
      <c r="S754" s="13"/>
      <c r="T754" s="13"/>
      <c r="U754" s="13"/>
      <c r="V754" s="13"/>
      <c r="W754" s="13"/>
      <c r="X754" s="310"/>
      <c r="Y754" s="311"/>
      <c r="Z754" s="310"/>
      <c r="AA754" s="312"/>
      <c r="AB754" s="13"/>
      <c r="AC754" s="313"/>
      <c r="AD754" s="313"/>
      <c r="AE754" s="313"/>
      <c r="AF754" s="331"/>
      <c r="AG754" s="320"/>
      <c r="AH754" s="13"/>
      <c r="AI754" s="13"/>
      <c r="AJ754" s="13"/>
      <c r="AK754" s="13"/>
      <c r="AL754" s="13"/>
      <c r="AM754" s="13"/>
      <c r="AN754" s="13"/>
      <c r="AO754" s="13"/>
      <c r="AP754" s="13"/>
    </row>
    <row r="755" ht="18.75" customHeight="1">
      <c r="A755" s="13"/>
      <c r="B755" s="282"/>
      <c r="C755" s="330"/>
      <c r="D755" s="330"/>
      <c r="E755" s="330"/>
      <c r="F755" s="13"/>
      <c r="G755" s="309"/>
      <c r="H755" s="309"/>
      <c r="I755" s="309"/>
      <c r="J755" s="310"/>
      <c r="K755" s="310"/>
      <c r="L755" s="310"/>
      <c r="M755" s="310"/>
      <c r="N755" s="310"/>
      <c r="O755" s="311"/>
      <c r="P755" s="310"/>
      <c r="Q755" s="311"/>
      <c r="R755" s="310"/>
      <c r="S755" s="13"/>
      <c r="T755" s="13"/>
      <c r="U755" s="13"/>
      <c r="V755" s="13"/>
      <c r="W755" s="13"/>
      <c r="X755" s="310"/>
      <c r="Y755" s="311"/>
      <c r="Z755" s="310"/>
      <c r="AA755" s="312"/>
      <c r="AB755" s="13"/>
      <c r="AC755" s="313"/>
      <c r="AD755" s="313"/>
      <c r="AE755" s="313"/>
      <c r="AF755" s="331"/>
      <c r="AG755" s="320"/>
      <c r="AH755" s="13"/>
      <c r="AI755" s="13"/>
      <c r="AJ755" s="13"/>
      <c r="AK755" s="13"/>
      <c r="AL755" s="13"/>
      <c r="AM755" s="13"/>
      <c r="AN755" s="13"/>
      <c r="AO755" s="13"/>
      <c r="AP755" s="13"/>
    </row>
    <row r="756" ht="18.75" customHeight="1">
      <c r="A756" s="13"/>
      <c r="B756" s="282"/>
      <c r="C756" s="330"/>
      <c r="D756" s="330"/>
      <c r="E756" s="330"/>
      <c r="F756" s="13"/>
      <c r="G756" s="309"/>
      <c r="H756" s="309"/>
      <c r="I756" s="309"/>
      <c r="J756" s="310"/>
      <c r="K756" s="310"/>
      <c r="L756" s="310"/>
      <c r="M756" s="310"/>
      <c r="N756" s="310"/>
      <c r="O756" s="311"/>
      <c r="P756" s="310"/>
      <c r="Q756" s="311"/>
      <c r="R756" s="310"/>
      <c r="S756" s="13"/>
      <c r="T756" s="13"/>
      <c r="U756" s="13"/>
      <c r="V756" s="13"/>
      <c r="W756" s="13"/>
      <c r="X756" s="310"/>
      <c r="Y756" s="311"/>
      <c r="Z756" s="310"/>
      <c r="AA756" s="312"/>
      <c r="AB756" s="13"/>
      <c r="AC756" s="313"/>
      <c r="AD756" s="313"/>
      <c r="AE756" s="313"/>
      <c r="AF756" s="331"/>
      <c r="AG756" s="320"/>
      <c r="AH756" s="13"/>
      <c r="AI756" s="13"/>
      <c r="AJ756" s="13"/>
      <c r="AK756" s="13"/>
      <c r="AL756" s="13"/>
      <c r="AM756" s="13"/>
      <c r="AN756" s="13"/>
      <c r="AO756" s="13"/>
      <c r="AP756" s="13"/>
    </row>
    <row r="757" ht="18.75" customHeight="1">
      <c r="A757" s="13"/>
      <c r="B757" s="282"/>
      <c r="C757" s="330"/>
      <c r="D757" s="330"/>
      <c r="E757" s="330"/>
      <c r="F757" s="13"/>
      <c r="G757" s="309"/>
      <c r="H757" s="309"/>
      <c r="I757" s="309"/>
      <c r="J757" s="310"/>
      <c r="K757" s="310"/>
      <c r="L757" s="310"/>
      <c r="M757" s="310"/>
      <c r="N757" s="310"/>
      <c r="O757" s="311"/>
      <c r="P757" s="310"/>
      <c r="Q757" s="311"/>
      <c r="R757" s="310"/>
      <c r="S757" s="13"/>
      <c r="T757" s="13"/>
      <c r="U757" s="13"/>
      <c r="V757" s="13"/>
      <c r="W757" s="13"/>
      <c r="X757" s="310"/>
      <c r="Y757" s="311"/>
      <c r="Z757" s="310"/>
      <c r="AA757" s="312"/>
      <c r="AB757" s="13"/>
      <c r="AC757" s="313"/>
      <c r="AD757" s="313"/>
      <c r="AE757" s="313"/>
      <c r="AF757" s="331"/>
      <c r="AG757" s="320"/>
      <c r="AH757" s="13"/>
      <c r="AI757" s="13"/>
      <c r="AJ757" s="13"/>
      <c r="AK757" s="13"/>
      <c r="AL757" s="13"/>
      <c r="AM757" s="13"/>
      <c r="AN757" s="13"/>
      <c r="AO757" s="13"/>
      <c r="AP757" s="13"/>
    </row>
    <row r="758" ht="18.75" customHeight="1">
      <c r="A758" s="13"/>
      <c r="B758" s="282"/>
      <c r="C758" s="330"/>
      <c r="D758" s="330"/>
      <c r="E758" s="330"/>
      <c r="F758" s="13"/>
      <c r="G758" s="309"/>
      <c r="H758" s="309"/>
      <c r="I758" s="309"/>
      <c r="J758" s="310"/>
      <c r="K758" s="310"/>
      <c r="L758" s="310"/>
      <c r="M758" s="310"/>
      <c r="N758" s="310"/>
      <c r="O758" s="311"/>
      <c r="P758" s="310"/>
      <c r="Q758" s="311"/>
      <c r="R758" s="310"/>
      <c r="S758" s="13"/>
      <c r="T758" s="13"/>
      <c r="U758" s="13"/>
      <c r="V758" s="13"/>
      <c r="W758" s="13"/>
      <c r="X758" s="310"/>
      <c r="Y758" s="311"/>
      <c r="Z758" s="310"/>
      <c r="AA758" s="312"/>
      <c r="AB758" s="13"/>
      <c r="AC758" s="313"/>
      <c r="AD758" s="313"/>
      <c r="AE758" s="313"/>
      <c r="AF758" s="331"/>
      <c r="AG758" s="320"/>
      <c r="AH758" s="13"/>
      <c r="AI758" s="13"/>
      <c r="AJ758" s="13"/>
      <c r="AK758" s="13"/>
      <c r="AL758" s="13"/>
      <c r="AM758" s="13"/>
      <c r="AN758" s="13"/>
      <c r="AO758" s="13"/>
      <c r="AP758" s="13"/>
    </row>
    <row r="759" ht="18.75" customHeight="1">
      <c r="A759" s="13"/>
      <c r="B759" s="282"/>
      <c r="C759" s="330"/>
      <c r="D759" s="330"/>
      <c r="E759" s="330"/>
      <c r="F759" s="13"/>
      <c r="G759" s="309"/>
      <c r="H759" s="309"/>
      <c r="I759" s="309"/>
      <c r="J759" s="310"/>
      <c r="K759" s="310"/>
      <c r="L759" s="310"/>
      <c r="M759" s="310"/>
      <c r="N759" s="310"/>
      <c r="O759" s="311"/>
      <c r="P759" s="310"/>
      <c r="Q759" s="311"/>
      <c r="R759" s="310"/>
      <c r="S759" s="13"/>
      <c r="T759" s="13"/>
      <c r="U759" s="13"/>
      <c r="V759" s="13"/>
      <c r="W759" s="13"/>
      <c r="X759" s="310"/>
      <c r="Y759" s="311"/>
      <c r="Z759" s="310"/>
      <c r="AA759" s="312"/>
      <c r="AB759" s="13"/>
      <c r="AC759" s="313"/>
      <c r="AD759" s="313"/>
      <c r="AE759" s="313"/>
      <c r="AF759" s="331"/>
      <c r="AG759" s="320"/>
      <c r="AH759" s="13"/>
      <c r="AI759" s="13"/>
      <c r="AJ759" s="13"/>
      <c r="AK759" s="13"/>
      <c r="AL759" s="13"/>
      <c r="AM759" s="13"/>
      <c r="AN759" s="13"/>
      <c r="AO759" s="13"/>
      <c r="AP759" s="13"/>
    </row>
    <row r="760" ht="18.75" customHeight="1">
      <c r="A760" s="13"/>
      <c r="B760" s="282"/>
      <c r="C760" s="330"/>
      <c r="D760" s="330"/>
      <c r="E760" s="330"/>
      <c r="F760" s="13"/>
      <c r="G760" s="309"/>
      <c r="H760" s="309"/>
      <c r="I760" s="309"/>
      <c r="J760" s="310"/>
      <c r="K760" s="310"/>
      <c r="L760" s="310"/>
      <c r="M760" s="310"/>
      <c r="N760" s="310"/>
      <c r="O760" s="311"/>
      <c r="P760" s="310"/>
      <c r="Q760" s="311"/>
      <c r="R760" s="310"/>
      <c r="S760" s="13"/>
      <c r="T760" s="13"/>
      <c r="U760" s="13"/>
      <c r="V760" s="13"/>
      <c r="W760" s="13"/>
      <c r="X760" s="310"/>
      <c r="Y760" s="311"/>
      <c r="Z760" s="310"/>
      <c r="AA760" s="312"/>
      <c r="AB760" s="13"/>
      <c r="AC760" s="313"/>
      <c r="AD760" s="313"/>
      <c r="AE760" s="313"/>
      <c r="AF760" s="331"/>
      <c r="AG760" s="320"/>
      <c r="AH760" s="13"/>
      <c r="AI760" s="13"/>
      <c r="AJ760" s="13"/>
      <c r="AK760" s="13"/>
      <c r="AL760" s="13"/>
      <c r="AM760" s="13"/>
      <c r="AN760" s="13"/>
      <c r="AO760" s="13"/>
      <c r="AP760" s="13"/>
    </row>
    <row r="761" ht="18.75" customHeight="1">
      <c r="A761" s="13"/>
      <c r="B761" s="282"/>
      <c r="C761" s="330"/>
      <c r="D761" s="330"/>
      <c r="E761" s="330"/>
      <c r="F761" s="13"/>
      <c r="G761" s="309"/>
      <c r="H761" s="309"/>
      <c r="I761" s="309"/>
      <c r="J761" s="310"/>
      <c r="K761" s="310"/>
      <c r="L761" s="310"/>
      <c r="M761" s="310"/>
      <c r="N761" s="310"/>
      <c r="O761" s="311"/>
      <c r="P761" s="310"/>
      <c r="Q761" s="311"/>
      <c r="R761" s="310"/>
      <c r="S761" s="13"/>
      <c r="T761" s="13"/>
      <c r="U761" s="13"/>
      <c r="V761" s="13"/>
      <c r="W761" s="13"/>
      <c r="X761" s="310"/>
      <c r="Y761" s="311"/>
      <c r="Z761" s="310"/>
      <c r="AA761" s="312"/>
      <c r="AB761" s="13"/>
      <c r="AC761" s="313"/>
      <c r="AD761" s="313"/>
      <c r="AE761" s="313"/>
      <c r="AF761" s="331"/>
      <c r="AG761" s="320"/>
      <c r="AH761" s="13"/>
      <c r="AI761" s="13"/>
      <c r="AJ761" s="13"/>
      <c r="AK761" s="13"/>
      <c r="AL761" s="13"/>
      <c r="AM761" s="13"/>
      <c r="AN761" s="13"/>
      <c r="AO761" s="13"/>
      <c r="AP761" s="13"/>
    </row>
    <row r="762" ht="18.75" customHeight="1">
      <c r="A762" s="13"/>
      <c r="B762" s="282"/>
      <c r="C762" s="330"/>
      <c r="D762" s="330"/>
      <c r="E762" s="330"/>
      <c r="F762" s="13"/>
      <c r="G762" s="309"/>
      <c r="H762" s="309"/>
      <c r="I762" s="309"/>
      <c r="J762" s="310"/>
      <c r="K762" s="310"/>
      <c r="L762" s="310"/>
      <c r="M762" s="310"/>
      <c r="N762" s="310"/>
      <c r="O762" s="311"/>
      <c r="P762" s="310"/>
      <c r="Q762" s="311"/>
      <c r="R762" s="310"/>
      <c r="S762" s="13"/>
      <c r="T762" s="13"/>
      <c r="U762" s="13"/>
      <c r="V762" s="13"/>
      <c r="W762" s="13"/>
      <c r="X762" s="310"/>
      <c r="Y762" s="311"/>
      <c r="Z762" s="310"/>
      <c r="AA762" s="312"/>
      <c r="AB762" s="13"/>
      <c r="AC762" s="313"/>
      <c r="AD762" s="313"/>
      <c r="AE762" s="313"/>
      <c r="AF762" s="331"/>
      <c r="AG762" s="320"/>
      <c r="AH762" s="13"/>
      <c r="AI762" s="13"/>
      <c r="AJ762" s="13"/>
      <c r="AK762" s="13"/>
      <c r="AL762" s="13"/>
      <c r="AM762" s="13"/>
      <c r="AN762" s="13"/>
      <c r="AO762" s="13"/>
      <c r="AP762" s="13"/>
    </row>
    <row r="763" ht="18.75" customHeight="1">
      <c r="A763" s="13"/>
      <c r="B763" s="282"/>
      <c r="C763" s="330"/>
      <c r="D763" s="330"/>
      <c r="E763" s="330"/>
      <c r="F763" s="13"/>
      <c r="G763" s="309"/>
      <c r="H763" s="309"/>
      <c r="I763" s="309"/>
      <c r="J763" s="310"/>
      <c r="K763" s="310"/>
      <c r="L763" s="310"/>
      <c r="M763" s="310"/>
      <c r="N763" s="310"/>
      <c r="O763" s="311"/>
      <c r="P763" s="310"/>
      <c r="Q763" s="311"/>
      <c r="R763" s="310"/>
      <c r="S763" s="13"/>
      <c r="T763" s="13"/>
      <c r="U763" s="13"/>
      <c r="V763" s="13"/>
      <c r="W763" s="13"/>
      <c r="X763" s="310"/>
      <c r="Y763" s="311"/>
      <c r="Z763" s="310"/>
      <c r="AA763" s="312"/>
      <c r="AB763" s="13"/>
      <c r="AC763" s="313"/>
      <c r="AD763" s="313"/>
      <c r="AE763" s="313"/>
      <c r="AF763" s="331"/>
      <c r="AG763" s="320"/>
      <c r="AH763" s="13"/>
      <c r="AI763" s="13"/>
      <c r="AJ763" s="13"/>
      <c r="AK763" s="13"/>
      <c r="AL763" s="13"/>
      <c r="AM763" s="13"/>
      <c r="AN763" s="13"/>
      <c r="AO763" s="13"/>
      <c r="AP763" s="13"/>
    </row>
    <row r="764" ht="18.75" customHeight="1">
      <c r="A764" s="13"/>
      <c r="B764" s="282"/>
      <c r="C764" s="330"/>
      <c r="D764" s="330"/>
      <c r="E764" s="330"/>
      <c r="F764" s="13"/>
      <c r="G764" s="309"/>
      <c r="H764" s="309"/>
      <c r="I764" s="309"/>
      <c r="J764" s="310"/>
      <c r="K764" s="310"/>
      <c r="L764" s="310"/>
      <c r="M764" s="310"/>
      <c r="N764" s="310"/>
      <c r="O764" s="311"/>
      <c r="P764" s="310"/>
      <c r="Q764" s="311"/>
      <c r="R764" s="310"/>
      <c r="S764" s="13"/>
      <c r="T764" s="13"/>
      <c r="U764" s="13"/>
      <c r="V764" s="13"/>
      <c r="W764" s="13"/>
      <c r="X764" s="310"/>
      <c r="Y764" s="311"/>
      <c r="Z764" s="310"/>
      <c r="AA764" s="312"/>
      <c r="AB764" s="13"/>
      <c r="AC764" s="313"/>
      <c r="AD764" s="313"/>
      <c r="AE764" s="313"/>
      <c r="AF764" s="331"/>
      <c r="AG764" s="320"/>
      <c r="AH764" s="13"/>
      <c r="AI764" s="13"/>
      <c r="AJ764" s="13"/>
      <c r="AK764" s="13"/>
      <c r="AL764" s="13"/>
      <c r="AM764" s="13"/>
      <c r="AN764" s="13"/>
      <c r="AO764" s="13"/>
      <c r="AP764" s="13"/>
    </row>
    <row r="765" ht="18.75" customHeight="1">
      <c r="A765" s="13"/>
      <c r="B765" s="282"/>
      <c r="C765" s="330"/>
      <c r="D765" s="330"/>
      <c r="E765" s="330"/>
      <c r="F765" s="13"/>
      <c r="G765" s="309"/>
      <c r="H765" s="309"/>
      <c r="I765" s="309"/>
      <c r="J765" s="310"/>
      <c r="K765" s="310"/>
      <c r="L765" s="310"/>
      <c r="M765" s="310"/>
      <c r="N765" s="310"/>
      <c r="O765" s="311"/>
      <c r="P765" s="310"/>
      <c r="Q765" s="311"/>
      <c r="R765" s="310"/>
      <c r="S765" s="13"/>
      <c r="T765" s="13"/>
      <c r="U765" s="13"/>
      <c r="V765" s="13"/>
      <c r="W765" s="13"/>
      <c r="X765" s="310"/>
      <c r="Y765" s="311"/>
      <c r="Z765" s="310"/>
      <c r="AA765" s="312"/>
      <c r="AB765" s="13"/>
      <c r="AC765" s="313"/>
      <c r="AD765" s="313"/>
      <c r="AE765" s="313"/>
      <c r="AF765" s="331"/>
      <c r="AG765" s="320"/>
      <c r="AH765" s="13"/>
      <c r="AI765" s="13"/>
      <c r="AJ765" s="13"/>
      <c r="AK765" s="13"/>
      <c r="AL765" s="13"/>
      <c r="AM765" s="13"/>
      <c r="AN765" s="13"/>
      <c r="AO765" s="13"/>
      <c r="AP765" s="13"/>
    </row>
    <row r="766" ht="18.75" customHeight="1">
      <c r="A766" s="13"/>
      <c r="B766" s="282"/>
      <c r="C766" s="330"/>
      <c r="D766" s="330"/>
      <c r="E766" s="330"/>
      <c r="F766" s="13"/>
      <c r="G766" s="309"/>
      <c r="H766" s="309"/>
      <c r="I766" s="309"/>
      <c r="J766" s="310"/>
      <c r="K766" s="310"/>
      <c r="L766" s="310"/>
      <c r="M766" s="310"/>
      <c r="N766" s="310"/>
      <c r="O766" s="311"/>
      <c r="P766" s="310"/>
      <c r="Q766" s="311"/>
      <c r="R766" s="310"/>
      <c r="S766" s="13"/>
      <c r="T766" s="13"/>
      <c r="U766" s="13"/>
      <c r="V766" s="13"/>
      <c r="W766" s="13"/>
      <c r="X766" s="310"/>
      <c r="Y766" s="311"/>
      <c r="Z766" s="310"/>
      <c r="AA766" s="312"/>
      <c r="AB766" s="13"/>
      <c r="AC766" s="313"/>
      <c r="AD766" s="313"/>
      <c r="AE766" s="313"/>
      <c r="AF766" s="331"/>
      <c r="AG766" s="320"/>
      <c r="AH766" s="13"/>
      <c r="AI766" s="13"/>
      <c r="AJ766" s="13"/>
      <c r="AK766" s="13"/>
      <c r="AL766" s="13"/>
      <c r="AM766" s="13"/>
      <c r="AN766" s="13"/>
      <c r="AO766" s="13"/>
      <c r="AP766" s="13"/>
    </row>
    <row r="767" ht="18.75" customHeight="1">
      <c r="A767" s="13"/>
      <c r="B767" s="282"/>
      <c r="C767" s="330"/>
      <c r="D767" s="330"/>
      <c r="E767" s="330"/>
      <c r="F767" s="13"/>
      <c r="G767" s="309"/>
      <c r="H767" s="309"/>
      <c r="I767" s="309"/>
      <c r="J767" s="310"/>
      <c r="K767" s="310"/>
      <c r="L767" s="310"/>
      <c r="M767" s="310"/>
      <c r="N767" s="310"/>
      <c r="O767" s="311"/>
      <c r="P767" s="310"/>
      <c r="Q767" s="311"/>
      <c r="R767" s="310"/>
      <c r="S767" s="13"/>
      <c r="T767" s="13"/>
      <c r="U767" s="13"/>
      <c r="V767" s="13"/>
      <c r="W767" s="13"/>
      <c r="X767" s="310"/>
      <c r="Y767" s="311"/>
      <c r="Z767" s="310"/>
      <c r="AA767" s="312"/>
      <c r="AB767" s="13"/>
      <c r="AC767" s="313"/>
      <c r="AD767" s="313"/>
      <c r="AE767" s="313"/>
      <c r="AF767" s="331"/>
      <c r="AG767" s="320"/>
      <c r="AH767" s="13"/>
      <c r="AI767" s="13"/>
      <c r="AJ767" s="13"/>
      <c r="AK767" s="13"/>
      <c r="AL767" s="13"/>
      <c r="AM767" s="13"/>
      <c r="AN767" s="13"/>
      <c r="AO767" s="13"/>
      <c r="AP767" s="13"/>
    </row>
    <row r="768" ht="18.75" customHeight="1">
      <c r="A768" s="13"/>
      <c r="B768" s="282"/>
      <c r="C768" s="330"/>
      <c r="D768" s="330"/>
      <c r="E768" s="330"/>
      <c r="F768" s="13"/>
      <c r="G768" s="309"/>
      <c r="H768" s="309"/>
      <c r="I768" s="309"/>
      <c r="J768" s="310"/>
      <c r="K768" s="310"/>
      <c r="L768" s="310"/>
      <c r="M768" s="310"/>
      <c r="N768" s="310"/>
      <c r="O768" s="311"/>
      <c r="P768" s="310"/>
      <c r="Q768" s="311"/>
      <c r="R768" s="310"/>
      <c r="S768" s="13"/>
      <c r="T768" s="13"/>
      <c r="U768" s="13"/>
      <c r="V768" s="13"/>
      <c r="W768" s="13"/>
      <c r="X768" s="310"/>
      <c r="Y768" s="311"/>
      <c r="Z768" s="310"/>
      <c r="AA768" s="312"/>
      <c r="AB768" s="13"/>
      <c r="AC768" s="313"/>
      <c r="AD768" s="313"/>
      <c r="AE768" s="313"/>
      <c r="AF768" s="331"/>
      <c r="AG768" s="320"/>
      <c r="AH768" s="13"/>
      <c r="AI768" s="13"/>
      <c r="AJ768" s="13"/>
      <c r="AK768" s="13"/>
      <c r="AL768" s="13"/>
      <c r="AM768" s="13"/>
      <c r="AN768" s="13"/>
      <c r="AO768" s="13"/>
      <c r="AP768" s="13"/>
    </row>
    <row r="769" ht="18.75" customHeight="1">
      <c r="A769" s="13"/>
      <c r="B769" s="282"/>
      <c r="C769" s="330"/>
      <c r="D769" s="330"/>
      <c r="E769" s="330"/>
      <c r="F769" s="13"/>
      <c r="G769" s="309"/>
      <c r="H769" s="309"/>
      <c r="I769" s="309"/>
      <c r="J769" s="310"/>
      <c r="K769" s="310"/>
      <c r="L769" s="310"/>
      <c r="M769" s="310"/>
      <c r="N769" s="310"/>
      <c r="O769" s="311"/>
      <c r="P769" s="310"/>
      <c r="Q769" s="311"/>
      <c r="R769" s="310"/>
      <c r="S769" s="13"/>
      <c r="T769" s="13"/>
      <c r="U769" s="13"/>
      <c r="V769" s="13"/>
      <c r="W769" s="13"/>
      <c r="X769" s="310"/>
      <c r="Y769" s="311"/>
      <c r="Z769" s="310"/>
      <c r="AA769" s="312"/>
      <c r="AB769" s="13"/>
      <c r="AC769" s="313"/>
      <c r="AD769" s="313"/>
      <c r="AE769" s="313"/>
      <c r="AF769" s="331"/>
      <c r="AG769" s="320"/>
      <c r="AH769" s="13"/>
      <c r="AI769" s="13"/>
      <c r="AJ769" s="13"/>
      <c r="AK769" s="13"/>
      <c r="AL769" s="13"/>
      <c r="AM769" s="13"/>
      <c r="AN769" s="13"/>
      <c r="AO769" s="13"/>
      <c r="AP769" s="13"/>
    </row>
    <row r="770" ht="18.75" customHeight="1">
      <c r="A770" s="13"/>
      <c r="B770" s="282"/>
      <c r="C770" s="330"/>
      <c r="D770" s="330"/>
      <c r="E770" s="330"/>
      <c r="F770" s="13"/>
      <c r="G770" s="309"/>
      <c r="H770" s="309"/>
      <c r="I770" s="309"/>
      <c r="J770" s="310"/>
      <c r="K770" s="310"/>
      <c r="L770" s="310"/>
      <c r="M770" s="310"/>
      <c r="N770" s="310"/>
      <c r="O770" s="311"/>
      <c r="P770" s="310"/>
      <c r="Q770" s="311"/>
      <c r="R770" s="310"/>
      <c r="S770" s="13"/>
      <c r="T770" s="13"/>
      <c r="U770" s="13"/>
      <c r="V770" s="13"/>
      <c r="W770" s="13"/>
      <c r="X770" s="310"/>
      <c r="Y770" s="311"/>
      <c r="Z770" s="310"/>
      <c r="AA770" s="312"/>
      <c r="AB770" s="13"/>
      <c r="AC770" s="313"/>
      <c r="AD770" s="313"/>
      <c r="AE770" s="313"/>
      <c r="AF770" s="331"/>
      <c r="AG770" s="320"/>
      <c r="AH770" s="13"/>
      <c r="AI770" s="13"/>
      <c r="AJ770" s="13"/>
      <c r="AK770" s="13"/>
      <c r="AL770" s="13"/>
      <c r="AM770" s="13"/>
      <c r="AN770" s="13"/>
      <c r="AO770" s="13"/>
      <c r="AP770" s="13"/>
    </row>
    <row r="771" ht="18.75" customHeight="1">
      <c r="A771" s="13"/>
      <c r="B771" s="282"/>
      <c r="C771" s="330"/>
      <c r="D771" s="330"/>
      <c r="E771" s="330"/>
      <c r="F771" s="13"/>
      <c r="G771" s="309"/>
      <c r="H771" s="309"/>
      <c r="I771" s="309"/>
      <c r="J771" s="310"/>
      <c r="K771" s="310"/>
      <c r="L771" s="310"/>
      <c r="M771" s="310"/>
      <c r="N771" s="310"/>
      <c r="O771" s="311"/>
      <c r="P771" s="310"/>
      <c r="Q771" s="311"/>
      <c r="R771" s="310"/>
      <c r="S771" s="13"/>
      <c r="T771" s="13"/>
      <c r="U771" s="13"/>
      <c r="V771" s="13"/>
      <c r="W771" s="13"/>
      <c r="X771" s="310"/>
      <c r="Y771" s="311"/>
      <c r="Z771" s="310"/>
      <c r="AA771" s="312"/>
      <c r="AB771" s="13"/>
      <c r="AC771" s="313"/>
      <c r="AD771" s="313"/>
      <c r="AE771" s="313"/>
      <c r="AF771" s="331"/>
      <c r="AG771" s="320"/>
      <c r="AH771" s="13"/>
      <c r="AI771" s="13"/>
      <c r="AJ771" s="13"/>
      <c r="AK771" s="13"/>
      <c r="AL771" s="13"/>
      <c r="AM771" s="13"/>
      <c r="AN771" s="13"/>
      <c r="AO771" s="13"/>
      <c r="AP771" s="13"/>
    </row>
    <row r="772" ht="18.75" customHeight="1">
      <c r="A772" s="13"/>
      <c r="B772" s="282"/>
      <c r="C772" s="330"/>
      <c r="D772" s="330"/>
      <c r="E772" s="330"/>
      <c r="F772" s="13"/>
      <c r="G772" s="309"/>
      <c r="H772" s="309"/>
      <c r="I772" s="309"/>
      <c r="J772" s="310"/>
      <c r="K772" s="310"/>
      <c r="L772" s="310"/>
      <c r="M772" s="310"/>
      <c r="N772" s="310"/>
      <c r="O772" s="311"/>
      <c r="P772" s="310"/>
      <c r="Q772" s="311"/>
      <c r="R772" s="310"/>
      <c r="S772" s="13"/>
      <c r="T772" s="13"/>
      <c r="U772" s="13"/>
      <c r="V772" s="13"/>
      <c r="W772" s="13"/>
      <c r="X772" s="310"/>
      <c r="Y772" s="311"/>
      <c r="Z772" s="310"/>
      <c r="AA772" s="312"/>
      <c r="AB772" s="13"/>
      <c r="AC772" s="313"/>
      <c r="AD772" s="313"/>
      <c r="AE772" s="313"/>
      <c r="AF772" s="331"/>
      <c r="AG772" s="320"/>
      <c r="AH772" s="13"/>
      <c r="AI772" s="13"/>
      <c r="AJ772" s="13"/>
      <c r="AK772" s="13"/>
      <c r="AL772" s="13"/>
      <c r="AM772" s="13"/>
      <c r="AN772" s="13"/>
      <c r="AO772" s="13"/>
      <c r="AP772" s="13"/>
    </row>
    <row r="773" ht="18.75" customHeight="1">
      <c r="A773" s="13"/>
      <c r="B773" s="282"/>
      <c r="C773" s="330"/>
      <c r="D773" s="330"/>
      <c r="E773" s="330"/>
      <c r="F773" s="13"/>
      <c r="G773" s="309"/>
      <c r="H773" s="309"/>
      <c r="I773" s="309"/>
      <c r="J773" s="310"/>
      <c r="K773" s="310"/>
      <c r="L773" s="310"/>
      <c r="M773" s="310"/>
      <c r="N773" s="310"/>
      <c r="O773" s="311"/>
      <c r="P773" s="310"/>
      <c r="Q773" s="311"/>
      <c r="R773" s="310"/>
      <c r="S773" s="13"/>
      <c r="T773" s="13"/>
      <c r="U773" s="13"/>
      <c r="V773" s="13"/>
      <c r="W773" s="13"/>
      <c r="X773" s="310"/>
      <c r="Y773" s="311"/>
      <c r="Z773" s="310"/>
      <c r="AA773" s="312"/>
      <c r="AB773" s="13"/>
      <c r="AC773" s="313"/>
      <c r="AD773" s="313"/>
      <c r="AE773" s="313"/>
      <c r="AF773" s="331"/>
      <c r="AG773" s="320"/>
      <c r="AH773" s="13"/>
      <c r="AI773" s="13"/>
      <c r="AJ773" s="13"/>
      <c r="AK773" s="13"/>
      <c r="AL773" s="13"/>
      <c r="AM773" s="13"/>
      <c r="AN773" s="13"/>
      <c r="AO773" s="13"/>
      <c r="AP773" s="13"/>
    </row>
    <row r="774" ht="18.75" customHeight="1">
      <c r="A774" s="13"/>
      <c r="B774" s="282"/>
      <c r="C774" s="330"/>
      <c r="D774" s="330"/>
      <c r="E774" s="330"/>
      <c r="F774" s="13"/>
      <c r="G774" s="309"/>
      <c r="H774" s="309"/>
      <c r="I774" s="309"/>
      <c r="J774" s="310"/>
      <c r="K774" s="310"/>
      <c r="L774" s="310"/>
      <c r="M774" s="310"/>
      <c r="N774" s="310"/>
      <c r="O774" s="311"/>
      <c r="P774" s="310"/>
      <c r="Q774" s="311"/>
      <c r="R774" s="310"/>
      <c r="S774" s="13"/>
      <c r="T774" s="13"/>
      <c r="U774" s="13"/>
      <c r="V774" s="13"/>
      <c r="W774" s="13"/>
      <c r="X774" s="310"/>
      <c r="Y774" s="311"/>
      <c r="Z774" s="310"/>
      <c r="AA774" s="312"/>
      <c r="AB774" s="13"/>
      <c r="AC774" s="313"/>
      <c r="AD774" s="313"/>
      <c r="AE774" s="313"/>
      <c r="AF774" s="331"/>
      <c r="AG774" s="320"/>
      <c r="AH774" s="13"/>
      <c r="AI774" s="13"/>
      <c r="AJ774" s="13"/>
      <c r="AK774" s="13"/>
      <c r="AL774" s="13"/>
      <c r="AM774" s="13"/>
      <c r="AN774" s="13"/>
      <c r="AO774" s="13"/>
      <c r="AP774" s="13"/>
    </row>
    <row r="775" ht="18.75" customHeight="1">
      <c r="A775" s="13"/>
      <c r="B775" s="282"/>
      <c r="C775" s="330"/>
      <c r="D775" s="330"/>
      <c r="E775" s="330"/>
      <c r="F775" s="13"/>
      <c r="G775" s="309"/>
      <c r="H775" s="309"/>
      <c r="I775" s="309"/>
      <c r="J775" s="310"/>
      <c r="K775" s="310"/>
      <c r="L775" s="310"/>
      <c r="M775" s="310"/>
      <c r="N775" s="310"/>
      <c r="O775" s="311"/>
      <c r="P775" s="310"/>
      <c r="Q775" s="311"/>
      <c r="R775" s="310"/>
      <c r="S775" s="13"/>
      <c r="T775" s="13"/>
      <c r="U775" s="13"/>
      <c r="V775" s="13"/>
      <c r="W775" s="13"/>
      <c r="X775" s="310"/>
      <c r="Y775" s="311"/>
      <c r="Z775" s="310"/>
      <c r="AA775" s="312"/>
      <c r="AB775" s="13"/>
      <c r="AC775" s="313"/>
      <c r="AD775" s="313"/>
      <c r="AE775" s="313"/>
      <c r="AF775" s="331"/>
      <c r="AG775" s="320"/>
      <c r="AH775" s="13"/>
      <c r="AI775" s="13"/>
      <c r="AJ775" s="13"/>
      <c r="AK775" s="13"/>
      <c r="AL775" s="13"/>
      <c r="AM775" s="13"/>
      <c r="AN775" s="13"/>
      <c r="AO775" s="13"/>
      <c r="AP775" s="13"/>
    </row>
    <row r="776" ht="18.75" customHeight="1">
      <c r="A776" s="13"/>
      <c r="B776" s="282"/>
      <c r="C776" s="330"/>
      <c r="D776" s="330"/>
      <c r="E776" s="330"/>
      <c r="F776" s="13"/>
      <c r="G776" s="309"/>
      <c r="H776" s="309"/>
      <c r="I776" s="309"/>
      <c r="J776" s="310"/>
      <c r="K776" s="310"/>
      <c r="L776" s="310"/>
      <c r="M776" s="310"/>
      <c r="N776" s="310"/>
      <c r="O776" s="311"/>
      <c r="P776" s="310"/>
      <c r="Q776" s="311"/>
      <c r="R776" s="310"/>
      <c r="S776" s="13"/>
      <c r="T776" s="13"/>
      <c r="U776" s="13"/>
      <c r="V776" s="13"/>
      <c r="W776" s="13"/>
      <c r="X776" s="310"/>
      <c r="Y776" s="311"/>
      <c r="Z776" s="310"/>
      <c r="AA776" s="312"/>
      <c r="AB776" s="13"/>
      <c r="AC776" s="313"/>
      <c r="AD776" s="313"/>
      <c r="AE776" s="313"/>
      <c r="AF776" s="331"/>
      <c r="AG776" s="320"/>
      <c r="AH776" s="13"/>
      <c r="AI776" s="13"/>
      <c r="AJ776" s="13"/>
      <c r="AK776" s="13"/>
      <c r="AL776" s="13"/>
      <c r="AM776" s="13"/>
      <c r="AN776" s="13"/>
      <c r="AO776" s="13"/>
      <c r="AP776" s="13"/>
    </row>
    <row r="777" ht="18.75" customHeight="1">
      <c r="A777" s="13"/>
      <c r="B777" s="282"/>
      <c r="C777" s="330"/>
      <c r="D777" s="330"/>
      <c r="E777" s="330"/>
      <c r="F777" s="13"/>
      <c r="G777" s="309"/>
      <c r="H777" s="309"/>
      <c r="I777" s="309"/>
      <c r="J777" s="310"/>
      <c r="K777" s="310"/>
      <c r="L777" s="310"/>
      <c r="M777" s="310"/>
      <c r="N777" s="310"/>
      <c r="O777" s="311"/>
      <c r="P777" s="310"/>
      <c r="Q777" s="311"/>
      <c r="R777" s="310"/>
      <c r="S777" s="13"/>
      <c r="T777" s="13"/>
      <c r="U777" s="13"/>
      <c r="V777" s="13"/>
      <c r="W777" s="13"/>
      <c r="X777" s="310"/>
      <c r="Y777" s="311"/>
      <c r="Z777" s="310"/>
      <c r="AA777" s="312"/>
      <c r="AB777" s="13"/>
      <c r="AC777" s="313"/>
      <c r="AD777" s="313"/>
      <c r="AE777" s="313"/>
      <c r="AF777" s="331"/>
      <c r="AG777" s="320"/>
      <c r="AH777" s="13"/>
      <c r="AI777" s="13"/>
      <c r="AJ777" s="13"/>
      <c r="AK777" s="13"/>
      <c r="AL777" s="13"/>
      <c r="AM777" s="13"/>
      <c r="AN777" s="13"/>
      <c r="AO777" s="13"/>
      <c r="AP777" s="13"/>
    </row>
    <row r="778" ht="18.75" customHeight="1">
      <c r="A778" s="13"/>
      <c r="B778" s="282"/>
      <c r="C778" s="330"/>
      <c r="D778" s="330"/>
      <c r="E778" s="330"/>
      <c r="F778" s="13"/>
      <c r="G778" s="309"/>
      <c r="H778" s="309"/>
      <c r="I778" s="309"/>
      <c r="J778" s="310"/>
      <c r="K778" s="310"/>
      <c r="L778" s="310"/>
      <c r="M778" s="310"/>
      <c r="N778" s="310"/>
      <c r="O778" s="311"/>
      <c r="P778" s="310"/>
      <c r="Q778" s="311"/>
      <c r="R778" s="310"/>
      <c r="S778" s="13"/>
      <c r="T778" s="13"/>
      <c r="U778" s="13"/>
      <c r="V778" s="13"/>
      <c r="W778" s="13"/>
      <c r="X778" s="310"/>
      <c r="Y778" s="311"/>
      <c r="Z778" s="310"/>
      <c r="AA778" s="312"/>
      <c r="AB778" s="13"/>
      <c r="AC778" s="313"/>
      <c r="AD778" s="313"/>
      <c r="AE778" s="313"/>
      <c r="AF778" s="331"/>
      <c r="AG778" s="320"/>
      <c r="AH778" s="13"/>
      <c r="AI778" s="13"/>
      <c r="AJ778" s="13"/>
      <c r="AK778" s="13"/>
      <c r="AL778" s="13"/>
      <c r="AM778" s="13"/>
      <c r="AN778" s="13"/>
      <c r="AO778" s="13"/>
      <c r="AP778" s="13"/>
    </row>
    <row r="779" ht="18.75" customHeight="1">
      <c r="A779" s="13"/>
      <c r="B779" s="282"/>
      <c r="C779" s="330"/>
      <c r="D779" s="330"/>
      <c r="E779" s="330"/>
      <c r="F779" s="13"/>
      <c r="G779" s="309"/>
      <c r="H779" s="309"/>
      <c r="I779" s="309"/>
      <c r="J779" s="310"/>
      <c r="K779" s="310"/>
      <c r="L779" s="310"/>
      <c r="M779" s="310"/>
      <c r="N779" s="310"/>
      <c r="O779" s="311"/>
      <c r="P779" s="310"/>
      <c r="Q779" s="311"/>
      <c r="R779" s="310"/>
      <c r="S779" s="13"/>
      <c r="T779" s="13"/>
      <c r="U779" s="13"/>
      <c r="V779" s="13"/>
      <c r="W779" s="13"/>
      <c r="X779" s="310"/>
      <c r="Y779" s="311"/>
      <c r="Z779" s="310"/>
      <c r="AA779" s="312"/>
      <c r="AB779" s="13"/>
      <c r="AC779" s="313"/>
      <c r="AD779" s="313"/>
      <c r="AE779" s="313"/>
      <c r="AF779" s="331"/>
      <c r="AG779" s="320"/>
      <c r="AH779" s="13"/>
      <c r="AI779" s="13"/>
      <c r="AJ779" s="13"/>
      <c r="AK779" s="13"/>
      <c r="AL779" s="13"/>
      <c r="AM779" s="13"/>
      <c r="AN779" s="13"/>
      <c r="AO779" s="13"/>
      <c r="AP779" s="13"/>
    </row>
    <row r="780" ht="18.75" customHeight="1">
      <c r="A780" s="13"/>
      <c r="B780" s="282"/>
      <c r="C780" s="330"/>
      <c r="D780" s="330"/>
      <c r="E780" s="330"/>
      <c r="F780" s="13"/>
      <c r="G780" s="309"/>
      <c r="H780" s="309"/>
      <c r="I780" s="309"/>
      <c r="J780" s="310"/>
      <c r="K780" s="310"/>
      <c r="L780" s="310"/>
      <c r="M780" s="310"/>
      <c r="N780" s="310"/>
      <c r="O780" s="311"/>
      <c r="P780" s="310"/>
      <c r="Q780" s="311"/>
      <c r="R780" s="310"/>
      <c r="S780" s="13"/>
      <c r="T780" s="13"/>
      <c r="U780" s="13"/>
      <c r="V780" s="13"/>
      <c r="W780" s="13"/>
      <c r="X780" s="310"/>
      <c r="Y780" s="311"/>
      <c r="Z780" s="310"/>
      <c r="AA780" s="312"/>
      <c r="AB780" s="13"/>
      <c r="AC780" s="313"/>
      <c r="AD780" s="313"/>
      <c r="AE780" s="313"/>
      <c r="AF780" s="331"/>
      <c r="AG780" s="320"/>
      <c r="AH780" s="13"/>
      <c r="AI780" s="13"/>
      <c r="AJ780" s="13"/>
      <c r="AK780" s="13"/>
      <c r="AL780" s="13"/>
      <c r="AM780" s="13"/>
      <c r="AN780" s="13"/>
      <c r="AO780" s="13"/>
      <c r="AP780" s="13"/>
    </row>
    <row r="781" ht="18.75" customHeight="1">
      <c r="A781" s="13"/>
      <c r="B781" s="282"/>
      <c r="C781" s="330"/>
      <c r="D781" s="330"/>
      <c r="E781" s="330"/>
      <c r="F781" s="13"/>
      <c r="G781" s="309"/>
      <c r="H781" s="309"/>
      <c r="I781" s="309"/>
      <c r="J781" s="310"/>
      <c r="K781" s="310"/>
      <c r="L781" s="310"/>
      <c r="M781" s="310"/>
      <c r="N781" s="310"/>
      <c r="O781" s="311"/>
      <c r="P781" s="310"/>
      <c r="Q781" s="311"/>
      <c r="R781" s="310"/>
      <c r="S781" s="13"/>
      <c r="T781" s="13"/>
      <c r="U781" s="13"/>
      <c r="V781" s="13"/>
      <c r="W781" s="13"/>
      <c r="X781" s="310"/>
      <c r="Y781" s="311"/>
      <c r="Z781" s="310"/>
      <c r="AA781" s="312"/>
      <c r="AB781" s="13"/>
      <c r="AC781" s="313"/>
      <c r="AD781" s="313"/>
      <c r="AE781" s="313"/>
      <c r="AF781" s="331"/>
      <c r="AG781" s="320"/>
      <c r="AH781" s="13"/>
      <c r="AI781" s="13"/>
      <c r="AJ781" s="13"/>
      <c r="AK781" s="13"/>
      <c r="AL781" s="13"/>
      <c r="AM781" s="13"/>
      <c r="AN781" s="13"/>
      <c r="AO781" s="13"/>
      <c r="AP781" s="13"/>
    </row>
    <row r="782" ht="18.75" customHeight="1">
      <c r="A782" s="13"/>
      <c r="B782" s="282"/>
      <c r="C782" s="330"/>
      <c r="D782" s="330"/>
      <c r="E782" s="330"/>
      <c r="F782" s="13"/>
      <c r="G782" s="309"/>
      <c r="H782" s="309"/>
      <c r="I782" s="309"/>
      <c r="J782" s="310"/>
      <c r="K782" s="310"/>
      <c r="L782" s="310"/>
      <c r="M782" s="310"/>
      <c r="N782" s="310"/>
      <c r="O782" s="311"/>
      <c r="P782" s="310"/>
      <c r="Q782" s="311"/>
      <c r="R782" s="310"/>
      <c r="S782" s="13"/>
      <c r="T782" s="13"/>
      <c r="U782" s="13"/>
      <c r="V782" s="13"/>
      <c r="W782" s="13"/>
      <c r="X782" s="310"/>
      <c r="Y782" s="311"/>
      <c r="Z782" s="310"/>
      <c r="AA782" s="312"/>
      <c r="AB782" s="13"/>
      <c r="AC782" s="313"/>
      <c r="AD782" s="313"/>
      <c r="AE782" s="313"/>
      <c r="AF782" s="331"/>
      <c r="AG782" s="320"/>
      <c r="AH782" s="13"/>
      <c r="AI782" s="13"/>
      <c r="AJ782" s="13"/>
      <c r="AK782" s="13"/>
      <c r="AL782" s="13"/>
      <c r="AM782" s="13"/>
      <c r="AN782" s="13"/>
      <c r="AO782" s="13"/>
      <c r="AP782" s="13"/>
    </row>
    <row r="783" ht="18.75" customHeight="1">
      <c r="A783" s="13"/>
      <c r="B783" s="282"/>
      <c r="C783" s="330"/>
      <c r="D783" s="330"/>
      <c r="E783" s="330"/>
      <c r="F783" s="13"/>
      <c r="G783" s="309"/>
      <c r="H783" s="309"/>
      <c r="I783" s="309"/>
      <c r="J783" s="310"/>
      <c r="K783" s="310"/>
      <c r="L783" s="310"/>
      <c r="M783" s="310"/>
      <c r="N783" s="310"/>
      <c r="O783" s="311"/>
      <c r="P783" s="310"/>
      <c r="Q783" s="311"/>
      <c r="R783" s="310"/>
      <c r="S783" s="13"/>
      <c r="T783" s="13"/>
      <c r="U783" s="13"/>
      <c r="V783" s="13"/>
      <c r="W783" s="13"/>
      <c r="X783" s="310"/>
      <c r="Y783" s="311"/>
      <c r="Z783" s="310"/>
      <c r="AA783" s="312"/>
      <c r="AB783" s="13"/>
      <c r="AC783" s="313"/>
      <c r="AD783" s="313"/>
      <c r="AE783" s="313"/>
      <c r="AF783" s="331"/>
      <c r="AG783" s="320"/>
      <c r="AH783" s="13"/>
      <c r="AI783" s="13"/>
      <c r="AJ783" s="13"/>
      <c r="AK783" s="13"/>
      <c r="AL783" s="13"/>
      <c r="AM783" s="13"/>
      <c r="AN783" s="13"/>
      <c r="AO783" s="13"/>
      <c r="AP783" s="13"/>
    </row>
    <row r="784" ht="18.75" customHeight="1">
      <c r="A784" s="13"/>
      <c r="B784" s="282"/>
      <c r="C784" s="330"/>
      <c r="D784" s="330"/>
      <c r="E784" s="330"/>
      <c r="F784" s="13"/>
      <c r="G784" s="309"/>
      <c r="H784" s="309"/>
      <c r="I784" s="309"/>
      <c r="J784" s="310"/>
      <c r="K784" s="310"/>
      <c r="L784" s="310"/>
      <c r="M784" s="310"/>
      <c r="N784" s="310"/>
      <c r="O784" s="311"/>
      <c r="P784" s="310"/>
      <c r="Q784" s="311"/>
      <c r="R784" s="310"/>
      <c r="S784" s="13"/>
      <c r="T784" s="13"/>
      <c r="U784" s="13"/>
      <c r="V784" s="13"/>
      <c r="W784" s="13"/>
      <c r="X784" s="310"/>
      <c r="Y784" s="311"/>
      <c r="Z784" s="310"/>
      <c r="AA784" s="312"/>
      <c r="AB784" s="13"/>
      <c r="AC784" s="313"/>
      <c r="AD784" s="313"/>
      <c r="AE784" s="313"/>
      <c r="AF784" s="331"/>
      <c r="AG784" s="320"/>
      <c r="AH784" s="13"/>
      <c r="AI784" s="13"/>
      <c r="AJ784" s="13"/>
      <c r="AK784" s="13"/>
      <c r="AL784" s="13"/>
      <c r="AM784" s="13"/>
      <c r="AN784" s="13"/>
      <c r="AO784" s="13"/>
      <c r="AP784" s="13"/>
    </row>
    <row r="785" ht="18.75" customHeight="1">
      <c r="A785" s="13"/>
      <c r="B785" s="282"/>
      <c r="C785" s="330"/>
      <c r="D785" s="330"/>
      <c r="E785" s="330"/>
      <c r="F785" s="13"/>
      <c r="G785" s="309"/>
      <c r="H785" s="309"/>
      <c r="I785" s="309"/>
      <c r="J785" s="310"/>
      <c r="K785" s="310"/>
      <c r="L785" s="310"/>
      <c r="M785" s="310"/>
      <c r="N785" s="310"/>
      <c r="O785" s="311"/>
      <c r="P785" s="310"/>
      <c r="Q785" s="311"/>
      <c r="R785" s="310"/>
      <c r="S785" s="13"/>
      <c r="T785" s="13"/>
      <c r="U785" s="13"/>
      <c r="V785" s="13"/>
      <c r="W785" s="13"/>
      <c r="X785" s="310"/>
      <c r="Y785" s="311"/>
      <c r="Z785" s="310"/>
      <c r="AA785" s="312"/>
      <c r="AB785" s="13"/>
      <c r="AC785" s="313"/>
      <c r="AD785" s="313"/>
      <c r="AE785" s="313"/>
      <c r="AF785" s="331"/>
      <c r="AG785" s="320"/>
      <c r="AH785" s="13"/>
      <c r="AI785" s="13"/>
      <c r="AJ785" s="13"/>
      <c r="AK785" s="13"/>
      <c r="AL785" s="13"/>
      <c r="AM785" s="13"/>
      <c r="AN785" s="13"/>
      <c r="AO785" s="13"/>
      <c r="AP785" s="13"/>
    </row>
    <row r="786" ht="18.75" customHeight="1">
      <c r="A786" s="13"/>
      <c r="B786" s="282"/>
      <c r="C786" s="330"/>
      <c r="D786" s="330"/>
      <c r="E786" s="330"/>
      <c r="F786" s="13"/>
      <c r="G786" s="309"/>
      <c r="H786" s="309"/>
      <c r="I786" s="309"/>
      <c r="J786" s="310"/>
      <c r="K786" s="310"/>
      <c r="L786" s="310"/>
      <c r="M786" s="310"/>
      <c r="N786" s="310"/>
      <c r="O786" s="311"/>
      <c r="P786" s="310"/>
      <c r="Q786" s="311"/>
      <c r="R786" s="310"/>
      <c r="S786" s="13"/>
      <c r="T786" s="13"/>
      <c r="U786" s="13"/>
      <c r="V786" s="13"/>
      <c r="W786" s="13"/>
      <c r="X786" s="310"/>
      <c r="Y786" s="311"/>
      <c r="Z786" s="310"/>
      <c r="AA786" s="312"/>
      <c r="AB786" s="13"/>
      <c r="AC786" s="313"/>
      <c r="AD786" s="313"/>
      <c r="AE786" s="313"/>
      <c r="AF786" s="331"/>
      <c r="AG786" s="320"/>
      <c r="AH786" s="13"/>
      <c r="AI786" s="13"/>
      <c r="AJ786" s="13"/>
      <c r="AK786" s="13"/>
      <c r="AL786" s="13"/>
      <c r="AM786" s="13"/>
      <c r="AN786" s="13"/>
      <c r="AO786" s="13"/>
      <c r="AP786" s="13"/>
    </row>
    <row r="787" ht="18.75" customHeight="1">
      <c r="A787" s="13"/>
      <c r="B787" s="282"/>
      <c r="C787" s="330"/>
      <c r="D787" s="330"/>
      <c r="E787" s="330"/>
      <c r="F787" s="13"/>
      <c r="G787" s="309"/>
      <c r="H787" s="309"/>
      <c r="I787" s="309"/>
      <c r="J787" s="310"/>
      <c r="K787" s="310"/>
      <c r="L787" s="310"/>
      <c r="M787" s="310"/>
      <c r="N787" s="310"/>
      <c r="O787" s="311"/>
      <c r="P787" s="310"/>
      <c r="Q787" s="311"/>
      <c r="R787" s="310"/>
      <c r="S787" s="13"/>
      <c r="T787" s="13"/>
      <c r="U787" s="13"/>
      <c r="V787" s="13"/>
      <c r="W787" s="13"/>
      <c r="X787" s="310"/>
      <c r="Y787" s="311"/>
      <c r="Z787" s="310"/>
      <c r="AA787" s="312"/>
      <c r="AB787" s="13"/>
      <c r="AC787" s="313"/>
      <c r="AD787" s="313"/>
      <c r="AE787" s="313"/>
      <c r="AF787" s="331"/>
      <c r="AG787" s="320"/>
      <c r="AH787" s="13"/>
      <c r="AI787" s="13"/>
      <c r="AJ787" s="13"/>
      <c r="AK787" s="13"/>
      <c r="AL787" s="13"/>
      <c r="AM787" s="13"/>
      <c r="AN787" s="13"/>
      <c r="AO787" s="13"/>
      <c r="AP787" s="13"/>
    </row>
    <row r="788" ht="18.75" customHeight="1">
      <c r="A788" s="13"/>
      <c r="B788" s="282"/>
      <c r="C788" s="330"/>
      <c r="D788" s="330"/>
      <c r="E788" s="330"/>
      <c r="F788" s="13"/>
      <c r="G788" s="309"/>
      <c r="H788" s="309"/>
      <c r="I788" s="309"/>
      <c r="J788" s="310"/>
      <c r="K788" s="310"/>
      <c r="L788" s="310"/>
      <c r="M788" s="310"/>
      <c r="N788" s="310"/>
      <c r="O788" s="311"/>
      <c r="P788" s="310"/>
      <c r="Q788" s="311"/>
      <c r="R788" s="310"/>
      <c r="S788" s="13"/>
      <c r="T788" s="13"/>
      <c r="U788" s="13"/>
      <c r="V788" s="13"/>
      <c r="W788" s="13"/>
      <c r="X788" s="310"/>
      <c r="Y788" s="311"/>
      <c r="Z788" s="310"/>
      <c r="AA788" s="312"/>
      <c r="AB788" s="13"/>
      <c r="AC788" s="313"/>
      <c r="AD788" s="313"/>
      <c r="AE788" s="313"/>
      <c r="AF788" s="331"/>
      <c r="AG788" s="320"/>
      <c r="AH788" s="13"/>
      <c r="AI788" s="13"/>
      <c r="AJ788" s="13"/>
      <c r="AK788" s="13"/>
      <c r="AL788" s="13"/>
      <c r="AM788" s="13"/>
      <c r="AN788" s="13"/>
      <c r="AO788" s="13"/>
      <c r="AP788" s="13"/>
    </row>
    <row r="789" ht="18.75" customHeight="1">
      <c r="A789" s="13"/>
      <c r="B789" s="282"/>
      <c r="C789" s="330"/>
      <c r="D789" s="330"/>
      <c r="E789" s="330"/>
      <c r="F789" s="13"/>
      <c r="G789" s="309"/>
      <c r="H789" s="309"/>
      <c r="I789" s="309"/>
      <c r="J789" s="310"/>
      <c r="K789" s="310"/>
      <c r="L789" s="310"/>
      <c r="M789" s="310"/>
      <c r="N789" s="310"/>
      <c r="O789" s="311"/>
      <c r="P789" s="310"/>
      <c r="Q789" s="311"/>
      <c r="R789" s="310"/>
      <c r="S789" s="13"/>
      <c r="T789" s="13"/>
      <c r="U789" s="13"/>
      <c r="V789" s="13"/>
      <c r="W789" s="13"/>
      <c r="X789" s="310"/>
      <c r="Y789" s="311"/>
      <c r="Z789" s="310"/>
      <c r="AA789" s="312"/>
      <c r="AB789" s="13"/>
      <c r="AC789" s="313"/>
      <c r="AD789" s="313"/>
      <c r="AE789" s="313"/>
      <c r="AF789" s="331"/>
      <c r="AG789" s="320"/>
      <c r="AH789" s="13"/>
      <c r="AI789" s="13"/>
      <c r="AJ789" s="13"/>
      <c r="AK789" s="13"/>
      <c r="AL789" s="13"/>
      <c r="AM789" s="13"/>
      <c r="AN789" s="13"/>
      <c r="AO789" s="13"/>
      <c r="AP789" s="13"/>
    </row>
    <row r="790" ht="18.75" customHeight="1">
      <c r="A790" s="13"/>
      <c r="B790" s="282"/>
      <c r="C790" s="330"/>
      <c r="D790" s="330"/>
      <c r="E790" s="330"/>
      <c r="F790" s="13"/>
      <c r="G790" s="309"/>
      <c r="H790" s="309"/>
      <c r="I790" s="309"/>
      <c r="J790" s="310"/>
      <c r="K790" s="310"/>
      <c r="L790" s="310"/>
      <c r="M790" s="310"/>
      <c r="N790" s="310"/>
      <c r="O790" s="311"/>
      <c r="P790" s="310"/>
      <c r="Q790" s="311"/>
      <c r="R790" s="310"/>
      <c r="S790" s="13"/>
      <c r="T790" s="13"/>
      <c r="U790" s="13"/>
      <c r="V790" s="13"/>
      <c r="W790" s="13"/>
      <c r="X790" s="310"/>
      <c r="Y790" s="311"/>
      <c r="Z790" s="310"/>
      <c r="AA790" s="312"/>
      <c r="AB790" s="13"/>
      <c r="AC790" s="313"/>
      <c r="AD790" s="313"/>
      <c r="AE790" s="313"/>
      <c r="AF790" s="331"/>
      <c r="AG790" s="320"/>
      <c r="AH790" s="13"/>
      <c r="AI790" s="13"/>
      <c r="AJ790" s="13"/>
      <c r="AK790" s="13"/>
      <c r="AL790" s="13"/>
      <c r="AM790" s="13"/>
      <c r="AN790" s="13"/>
      <c r="AO790" s="13"/>
      <c r="AP790" s="13"/>
    </row>
    <row r="791" ht="18.75" customHeight="1">
      <c r="A791" s="13"/>
      <c r="B791" s="282"/>
      <c r="C791" s="330"/>
      <c r="D791" s="330"/>
      <c r="E791" s="330"/>
      <c r="F791" s="13"/>
      <c r="G791" s="309"/>
      <c r="H791" s="309"/>
      <c r="I791" s="309"/>
      <c r="J791" s="310"/>
      <c r="K791" s="310"/>
      <c r="L791" s="310"/>
      <c r="M791" s="310"/>
      <c r="N791" s="310"/>
      <c r="O791" s="311"/>
      <c r="P791" s="310"/>
      <c r="Q791" s="311"/>
      <c r="R791" s="310"/>
      <c r="S791" s="13"/>
      <c r="T791" s="13"/>
      <c r="U791" s="13"/>
      <c r="V791" s="13"/>
      <c r="W791" s="13"/>
      <c r="X791" s="310"/>
      <c r="Y791" s="311"/>
      <c r="Z791" s="310"/>
      <c r="AA791" s="312"/>
      <c r="AB791" s="13"/>
      <c r="AC791" s="313"/>
      <c r="AD791" s="313"/>
      <c r="AE791" s="313"/>
      <c r="AF791" s="331"/>
      <c r="AG791" s="320"/>
      <c r="AH791" s="13"/>
      <c r="AI791" s="13"/>
      <c r="AJ791" s="13"/>
      <c r="AK791" s="13"/>
      <c r="AL791" s="13"/>
      <c r="AM791" s="13"/>
      <c r="AN791" s="13"/>
      <c r="AO791" s="13"/>
      <c r="AP791" s="13"/>
    </row>
    <row r="792" ht="18.75" customHeight="1">
      <c r="A792" s="13"/>
      <c r="B792" s="282"/>
      <c r="C792" s="330"/>
      <c r="D792" s="330"/>
      <c r="E792" s="330"/>
      <c r="F792" s="13"/>
      <c r="G792" s="309"/>
      <c r="H792" s="309"/>
      <c r="I792" s="309"/>
      <c r="J792" s="310"/>
      <c r="K792" s="310"/>
      <c r="L792" s="310"/>
      <c r="M792" s="310"/>
      <c r="N792" s="310"/>
      <c r="O792" s="311"/>
      <c r="P792" s="310"/>
      <c r="Q792" s="311"/>
      <c r="R792" s="310"/>
      <c r="S792" s="13"/>
      <c r="T792" s="13"/>
      <c r="U792" s="13"/>
      <c r="V792" s="13"/>
      <c r="W792" s="13"/>
      <c r="X792" s="310"/>
      <c r="Y792" s="311"/>
      <c r="Z792" s="310"/>
      <c r="AA792" s="312"/>
      <c r="AB792" s="13"/>
      <c r="AC792" s="313"/>
      <c r="AD792" s="313"/>
      <c r="AE792" s="313"/>
      <c r="AF792" s="331"/>
      <c r="AG792" s="320"/>
      <c r="AH792" s="13"/>
      <c r="AI792" s="13"/>
      <c r="AJ792" s="13"/>
      <c r="AK792" s="13"/>
      <c r="AL792" s="13"/>
      <c r="AM792" s="13"/>
      <c r="AN792" s="13"/>
      <c r="AO792" s="13"/>
      <c r="AP792" s="13"/>
    </row>
    <row r="793" ht="18.75" customHeight="1">
      <c r="A793" s="13"/>
      <c r="B793" s="282"/>
      <c r="C793" s="330"/>
      <c r="D793" s="330"/>
      <c r="E793" s="330"/>
      <c r="F793" s="13"/>
      <c r="G793" s="309"/>
      <c r="H793" s="309"/>
      <c r="I793" s="309"/>
      <c r="J793" s="310"/>
      <c r="K793" s="310"/>
      <c r="L793" s="310"/>
      <c r="M793" s="310"/>
      <c r="N793" s="310"/>
      <c r="O793" s="311"/>
      <c r="P793" s="310"/>
      <c r="Q793" s="311"/>
      <c r="R793" s="310"/>
      <c r="S793" s="13"/>
      <c r="T793" s="13"/>
      <c r="U793" s="13"/>
      <c r="V793" s="13"/>
      <c r="W793" s="13"/>
      <c r="X793" s="310"/>
      <c r="Y793" s="311"/>
      <c r="Z793" s="310"/>
      <c r="AA793" s="312"/>
      <c r="AB793" s="13"/>
      <c r="AC793" s="313"/>
      <c r="AD793" s="313"/>
      <c r="AE793" s="313"/>
      <c r="AF793" s="331"/>
      <c r="AG793" s="320"/>
      <c r="AH793" s="13"/>
      <c r="AI793" s="13"/>
      <c r="AJ793" s="13"/>
      <c r="AK793" s="13"/>
      <c r="AL793" s="13"/>
      <c r="AM793" s="13"/>
      <c r="AN793" s="13"/>
      <c r="AO793" s="13"/>
      <c r="AP793" s="13"/>
    </row>
    <row r="794" ht="18.75" customHeight="1">
      <c r="A794" s="13"/>
      <c r="B794" s="282"/>
      <c r="C794" s="330"/>
      <c r="D794" s="330"/>
      <c r="E794" s="330"/>
      <c r="F794" s="13"/>
      <c r="G794" s="309"/>
      <c r="H794" s="309"/>
      <c r="I794" s="309"/>
      <c r="J794" s="310"/>
      <c r="K794" s="310"/>
      <c r="L794" s="310"/>
      <c r="M794" s="310"/>
      <c r="N794" s="310"/>
      <c r="O794" s="311"/>
      <c r="P794" s="310"/>
      <c r="Q794" s="311"/>
      <c r="R794" s="310"/>
      <c r="S794" s="13"/>
      <c r="T794" s="13"/>
      <c r="U794" s="13"/>
      <c r="V794" s="13"/>
      <c r="W794" s="13"/>
      <c r="X794" s="310"/>
      <c r="Y794" s="311"/>
      <c r="Z794" s="310"/>
      <c r="AA794" s="312"/>
      <c r="AB794" s="13"/>
      <c r="AC794" s="313"/>
      <c r="AD794" s="313"/>
      <c r="AE794" s="313"/>
      <c r="AF794" s="331"/>
      <c r="AG794" s="320"/>
      <c r="AH794" s="13"/>
      <c r="AI794" s="13"/>
      <c r="AJ794" s="13"/>
      <c r="AK794" s="13"/>
      <c r="AL794" s="13"/>
      <c r="AM794" s="13"/>
      <c r="AN794" s="13"/>
      <c r="AO794" s="13"/>
      <c r="AP794" s="13"/>
    </row>
    <row r="795" ht="18.75" customHeight="1">
      <c r="A795" s="13"/>
      <c r="B795" s="282"/>
      <c r="C795" s="330"/>
      <c r="D795" s="330"/>
      <c r="E795" s="330"/>
      <c r="F795" s="13"/>
      <c r="G795" s="309"/>
      <c r="H795" s="309"/>
      <c r="I795" s="309"/>
      <c r="J795" s="310"/>
      <c r="K795" s="310"/>
      <c r="L795" s="310"/>
      <c r="M795" s="310"/>
      <c r="N795" s="310"/>
      <c r="O795" s="311"/>
      <c r="P795" s="310"/>
      <c r="Q795" s="311"/>
      <c r="R795" s="310"/>
      <c r="S795" s="13"/>
      <c r="T795" s="13"/>
      <c r="U795" s="13"/>
      <c r="V795" s="13"/>
      <c r="W795" s="13"/>
      <c r="X795" s="310"/>
      <c r="Y795" s="311"/>
      <c r="Z795" s="310"/>
      <c r="AA795" s="312"/>
      <c r="AB795" s="13"/>
      <c r="AC795" s="313"/>
      <c r="AD795" s="313"/>
      <c r="AE795" s="313"/>
      <c r="AF795" s="331"/>
      <c r="AG795" s="320"/>
      <c r="AH795" s="13"/>
      <c r="AI795" s="13"/>
      <c r="AJ795" s="13"/>
      <c r="AK795" s="13"/>
      <c r="AL795" s="13"/>
      <c r="AM795" s="13"/>
      <c r="AN795" s="13"/>
      <c r="AO795" s="13"/>
      <c r="AP795" s="13"/>
    </row>
    <row r="796" ht="18.75" customHeight="1">
      <c r="A796" s="13"/>
      <c r="B796" s="282"/>
      <c r="C796" s="330"/>
      <c r="D796" s="330"/>
      <c r="E796" s="330"/>
      <c r="F796" s="13"/>
      <c r="G796" s="309"/>
      <c r="H796" s="309"/>
      <c r="I796" s="309"/>
      <c r="J796" s="310"/>
      <c r="K796" s="310"/>
      <c r="L796" s="310"/>
      <c r="M796" s="310"/>
      <c r="N796" s="310"/>
      <c r="O796" s="311"/>
      <c r="P796" s="310"/>
      <c r="Q796" s="311"/>
      <c r="R796" s="310"/>
      <c r="S796" s="13"/>
      <c r="T796" s="13"/>
      <c r="U796" s="13"/>
      <c r="V796" s="13"/>
      <c r="W796" s="13"/>
      <c r="X796" s="310"/>
      <c r="Y796" s="311"/>
      <c r="Z796" s="310"/>
      <c r="AA796" s="312"/>
      <c r="AB796" s="13"/>
      <c r="AC796" s="313"/>
      <c r="AD796" s="313"/>
      <c r="AE796" s="313"/>
      <c r="AF796" s="331"/>
      <c r="AG796" s="320"/>
      <c r="AH796" s="13"/>
      <c r="AI796" s="13"/>
      <c r="AJ796" s="13"/>
      <c r="AK796" s="13"/>
      <c r="AL796" s="13"/>
      <c r="AM796" s="13"/>
      <c r="AN796" s="13"/>
      <c r="AO796" s="13"/>
      <c r="AP796" s="13"/>
    </row>
    <row r="797" ht="18.75" customHeight="1">
      <c r="A797" s="13"/>
      <c r="B797" s="282"/>
      <c r="C797" s="330"/>
      <c r="D797" s="330"/>
      <c r="E797" s="330"/>
      <c r="F797" s="13"/>
      <c r="G797" s="309"/>
      <c r="H797" s="309"/>
      <c r="I797" s="309"/>
      <c r="J797" s="310"/>
      <c r="K797" s="310"/>
      <c r="L797" s="310"/>
      <c r="M797" s="310"/>
      <c r="N797" s="310"/>
      <c r="O797" s="311"/>
      <c r="P797" s="310"/>
      <c r="Q797" s="311"/>
      <c r="R797" s="310"/>
      <c r="S797" s="13"/>
      <c r="T797" s="13"/>
      <c r="U797" s="13"/>
      <c r="V797" s="13"/>
      <c r="W797" s="13"/>
      <c r="X797" s="310"/>
      <c r="Y797" s="311"/>
      <c r="Z797" s="310"/>
      <c r="AA797" s="312"/>
      <c r="AB797" s="13"/>
      <c r="AC797" s="313"/>
      <c r="AD797" s="313"/>
      <c r="AE797" s="313"/>
      <c r="AF797" s="331"/>
      <c r="AG797" s="320"/>
      <c r="AH797" s="13"/>
      <c r="AI797" s="13"/>
      <c r="AJ797" s="13"/>
      <c r="AK797" s="13"/>
      <c r="AL797" s="13"/>
      <c r="AM797" s="13"/>
      <c r="AN797" s="13"/>
      <c r="AO797" s="13"/>
      <c r="AP797" s="13"/>
    </row>
    <row r="798" ht="18.75" customHeight="1">
      <c r="A798" s="13"/>
      <c r="B798" s="282"/>
      <c r="C798" s="330"/>
      <c r="D798" s="330"/>
      <c r="E798" s="330"/>
      <c r="F798" s="13"/>
      <c r="G798" s="309"/>
      <c r="H798" s="309"/>
      <c r="I798" s="309"/>
      <c r="J798" s="310"/>
      <c r="K798" s="310"/>
      <c r="L798" s="310"/>
      <c r="M798" s="310"/>
      <c r="N798" s="310"/>
      <c r="O798" s="311"/>
      <c r="P798" s="310"/>
      <c r="Q798" s="311"/>
      <c r="R798" s="310"/>
      <c r="S798" s="13"/>
      <c r="T798" s="13"/>
      <c r="U798" s="13"/>
      <c r="V798" s="13"/>
      <c r="W798" s="13"/>
      <c r="X798" s="310"/>
      <c r="Y798" s="311"/>
      <c r="Z798" s="310"/>
      <c r="AA798" s="312"/>
      <c r="AB798" s="13"/>
      <c r="AC798" s="313"/>
      <c r="AD798" s="313"/>
      <c r="AE798" s="313"/>
      <c r="AF798" s="331"/>
      <c r="AG798" s="320"/>
      <c r="AH798" s="13"/>
      <c r="AI798" s="13"/>
      <c r="AJ798" s="13"/>
      <c r="AK798" s="13"/>
      <c r="AL798" s="13"/>
      <c r="AM798" s="13"/>
      <c r="AN798" s="13"/>
      <c r="AO798" s="13"/>
      <c r="AP798" s="13"/>
    </row>
    <row r="799" ht="18.75" customHeight="1">
      <c r="A799" s="13"/>
      <c r="B799" s="282"/>
      <c r="C799" s="330"/>
      <c r="D799" s="330"/>
      <c r="E799" s="330"/>
      <c r="F799" s="13"/>
      <c r="G799" s="309"/>
      <c r="H799" s="309"/>
      <c r="I799" s="309"/>
      <c r="J799" s="310"/>
      <c r="K799" s="310"/>
      <c r="L799" s="310"/>
      <c r="M799" s="310"/>
      <c r="N799" s="310"/>
      <c r="O799" s="311"/>
      <c r="P799" s="310"/>
      <c r="Q799" s="311"/>
      <c r="R799" s="310"/>
      <c r="S799" s="13"/>
      <c r="T799" s="13"/>
      <c r="U799" s="13"/>
      <c r="V799" s="13"/>
      <c r="W799" s="13"/>
      <c r="X799" s="310"/>
      <c r="Y799" s="311"/>
      <c r="Z799" s="310"/>
      <c r="AA799" s="312"/>
      <c r="AB799" s="13"/>
      <c r="AC799" s="313"/>
      <c r="AD799" s="313"/>
      <c r="AE799" s="313"/>
      <c r="AF799" s="331"/>
      <c r="AG799" s="320"/>
      <c r="AH799" s="13"/>
      <c r="AI799" s="13"/>
      <c r="AJ799" s="13"/>
      <c r="AK799" s="13"/>
      <c r="AL799" s="13"/>
      <c r="AM799" s="13"/>
      <c r="AN799" s="13"/>
      <c r="AO799" s="13"/>
      <c r="AP799" s="13"/>
    </row>
    <row r="800" ht="18.75" customHeight="1">
      <c r="A800" s="13"/>
      <c r="B800" s="282"/>
      <c r="C800" s="330"/>
      <c r="D800" s="330"/>
      <c r="E800" s="330"/>
      <c r="F800" s="13"/>
      <c r="G800" s="309"/>
      <c r="H800" s="309"/>
      <c r="I800" s="309"/>
      <c r="J800" s="310"/>
      <c r="K800" s="310"/>
      <c r="L800" s="310"/>
      <c r="M800" s="310"/>
      <c r="N800" s="310"/>
      <c r="O800" s="311"/>
      <c r="P800" s="310"/>
      <c r="Q800" s="311"/>
      <c r="R800" s="310"/>
      <c r="S800" s="13"/>
      <c r="T800" s="13"/>
      <c r="U800" s="13"/>
      <c r="V800" s="13"/>
      <c r="W800" s="13"/>
      <c r="X800" s="310"/>
      <c r="Y800" s="311"/>
      <c r="Z800" s="310"/>
      <c r="AA800" s="312"/>
      <c r="AB800" s="13"/>
      <c r="AC800" s="313"/>
      <c r="AD800" s="313"/>
      <c r="AE800" s="313"/>
      <c r="AF800" s="331"/>
      <c r="AG800" s="320"/>
      <c r="AH800" s="13"/>
      <c r="AI800" s="13"/>
      <c r="AJ800" s="13"/>
      <c r="AK800" s="13"/>
      <c r="AL800" s="13"/>
      <c r="AM800" s="13"/>
      <c r="AN800" s="13"/>
      <c r="AO800" s="13"/>
      <c r="AP800" s="13"/>
    </row>
    <row r="801" ht="18.75" customHeight="1">
      <c r="A801" s="13"/>
      <c r="B801" s="282"/>
      <c r="C801" s="330"/>
      <c r="D801" s="330"/>
      <c r="E801" s="330"/>
      <c r="F801" s="13"/>
      <c r="G801" s="309"/>
      <c r="H801" s="309"/>
      <c r="I801" s="309"/>
      <c r="J801" s="310"/>
      <c r="K801" s="310"/>
      <c r="L801" s="310"/>
      <c r="M801" s="310"/>
      <c r="N801" s="310"/>
      <c r="O801" s="311"/>
      <c r="P801" s="310"/>
      <c r="Q801" s="311"/>
      <c r="R801" s="310"/>
      <c r="S801" s="13"/>
      <c r="T801" s="13"/>
      <c r="U801" s="13"/>
      <c r="V801" s="13"/>
      <c r="W801" s="13"/>
      <c r="X801" s="310"/>
      <c r="Y801" s="311"/>
      <c r="Z801" s="310"/>
      <c r="AA801" s="312"/>
      <c r="AB801" s="13"/>
      <c r="AC801" s="313"/>
      <c r="AD801" s="313"/>
      <c r="AE801" s="313"/>
      <c r="AF801" s="331"/>
      <c r="AG801" s="320"/>
      <c r="AH801" s="13"/>
      <c r="AI801" s="13"/>
      <c r="AJ801" s="13"/>
      <c r="AK801" s="13"/>
      <c r="AL801" s="13"/>
      <c r="AM801" s="13"/>
      <c r="AN801" s="13"/>
      <c r="AO801" s="13"/>
      <c r="AP801" s="13"/>
    </row>
    <row r="802" ht="18.75" customHeight="1">
      <c r="A802" s="13"/>
      <c r="B802" s="282"/>
      <c r="C802" s="330"/>
      <c r="D802" s="330"/>
      <c r="E802" s="330"/>
      <c r="F802" s="13"/>
      <c r="G802" s="309"/>
      <c r="H802" s="309"/>
      <c r="I802" s="309"/>
      <c r="J802" s="310"/>
      <c r="K802" s="310"/>
      <c r="L802" s="310"/>
      <c r="M802" s="310"/>
      <c r="N802" s="310"/>
      <c r="O802" s="311"/>
      <c r="P802" s="310"/>
      <c r="Q802" s="311"/>
      <c r="R802" s="310"/>
      <c r="S802" s="13"/>
      <c r="T802" s="13"/>
      <c r="U802" s="13"/>
      <c r="V802" s="13"/>
      <c r="W802" s="13"/>
      <c r="X802" s="310"/>
      <c r="Y802" s="311"/>
      <c r="Z802" s="310"/>
      <c r="AA802" s="312"/>
      <c r="AB802" s="13"/>
      <c r="AC802" s="313"/>
      <c r="AD802" s="313"/>
      <c r="AE802" s="313"/>
      <c r="AF802" s="331"/>
      <c r="AG802" s="320"/>
      <c r="AH802" s="13"/>
      <c r="AI802" s="13"/>
      <c r="AJ802" s="13"/>
      <c r="AK802" s="13"/>
      <c r="AL802" s="13"/>
      <c r="AM802" s="13"/>
      <c r="AN802" s="13"/>
      <c r="AO802" s="13"/>
      <c r="AP802" s="13"/>
    </row>
    <row r="803" ht="18.75" customHeight="1">
      <c r="A803" s="13"/>
      <c r="B803" s="282"/>
      <c r="C803" s="330"/>
      <c r="D803" s="330"/>
      <c r="E803" s="330"/>
      <c r="F803" s="13"/>
      <c r="G803" s="309"/>
      <c r="H803" s="309"/>
      <c r="I803" s="309"/>
      <c r="J803" s="310"/>
      <c r="K803" s="310"/>
      <c r="L803" s="310"/>
      <c r="M803" s="310"/>
      <c r="N803" s="310"/>
      <c r="O803" s="311"/>
      <c r="P803" s="310"/>
      <c r="Q803" s="311"/>
      <c r="R803" s="310"/>
      <c r="S803" s="13"/>
      <c r="T803" s="13"/>
      <c r="U803" s="13"/>
      <c r="V803" s="13"/>
      <c r="W803" s="13"/>
      <c r="X803" s="310"/>
      <c r="Y803" s="311"/>
      <c r="Z803" s="310"/>
      <c r="AA803" s="312"/>
      <c r="AB803" s="13"/>
      <c r="AC803" s="313"/>
      <c r="AD803" s="313"/>
      <c r="AE803" s="313"/>
      <c r="AF803" s="331"/>
      <c r="AG803" s="320"/>
      <c r="AH803" s="13"/>
      <c r="AI803" s="13"/>
      <c r="AJ803" s="13"/>
      <c r="AK803" s="13"/>
      <c r="AL803" s="13"/>
      <c r="AM803" s="13"/>
      <c r="AN803" s="13"/>
      <c r="AO803" s="13"/>
      <c r="AP803" s="13"/>
    </row>
    <row r="804" ht="18.75" customHeight="1">
      <c r="A804" s="13"/>
      <c r="B804" s="282"/>
      <c r="C804" s="330"/>
      <c r="D804" s="330"/>
      <c r="E804" s="330"/>
      <c r="F804" s="13"/>
      <c r="G804" s="309"/>
      <c r="H804" s="309"/>
      <c r="I804" s="309"/>
      <c r="J804" s="310"/>
      <c r="K804" s="310"/>
      <c r="L804" s="310"/>
      <c r="M804" s="310"/>
      <c r="N804" s="310"/>
      <c r="O804" s="311"/>
      <c r="P804" s="310"/>
      <c r="Q804" s="311"/>
      <c r="R804" s="310"/>
      <c r="S804" s="13"/>
      <c r="T804" s="13"/>
      <c r="U804" s="13"/>
      <c r="V804" s="13"/>
      <c r="W804" s="13"/>
      <c r="X804" s="310"/>
      <c r="Y804" s="311"/>
      <c r="Z804" s="310"/>
      <c r="AA804" s="312"/>
      <c r="AB804" s="13"/>
      <c r="AC804" s="313"/>
      <c r="AD804" s="313"/>
      <c r="AE804" s="313"/>
      <c r="AF804" s="331"/>
      <c r="AG804" s="320"/>
      <c r="AH804" s="13"/>
      <c r="AI804" s="13"/>
      <c r="AJ804" s="13"/>
      <c r="AK804" s="13"/>
      <c r="AL804" s="13"/>
      <c r="AM804" s="13"/>
      <c r="AN804" s="13"/>
      <c r="AO804" s="13"/>
      <c r="AP804" s="13"/>
    </row>
    <row r="805" ht="18.75" customHeight="1">
      <c r="A805" s="13"/>
      <c r="B805" s="282"/>
      <c r="C805" s="330"/>
      <c r="D805" s="330"/>
      <c r="E805" s="330"/>
      <c r="F805" s="13"/>
      <c r="G805" s="309"/>
      <c r="H805" s="309"/>
      <c r="I805" s="309"/>
      <c r="J805" s="310"/>
      <c r="K805" s="310"/>
      <c r="L805" s="310"/>
      <c r="M805" s="310"/>
      <c r="N805" s="310"/>
      <c r="O805" s="311"/>
      <c r="P805" s="310"/>
      <c r="Q805" s="311"/>
      <c r="R805" s="310"/>
      <c r="S805" s="13"/>
      <c r="T805" s="13"/>
      <c r="U805" s="13"/>
      <c r="V805" s="13"/>
      <c r="W805" s="13"/>
      <c r="X805" s="310"/>
      <c r="Y805" s="311"/>
      <c r="Z805" s="310"/>
      <c r="AA805" s="312"/>
      <c r="AB805" s="13"/>
      <c r="AC805" s="313"/>
      <c r="AD805" s="313"/>
      <c r="AE805" s="313"/>
      <c r="AF805" s="331"/>
      <c r="AG805" s="320"/>
      <c r="AH805" s="13"/>
      <c r="AI805" s="13"/>
      <c r="AJ805" s="13"/>
      <c r="AK805" s="13"/>
      <c r="AL805" s="13"/>
      <c r="AM805" s="13"/>
      <c r="AN805" s="13"/>
      <c r="AO805" s="13"/>
      <c r="AP805" s="13"/>
    </row>
    <row r="806" ht="18.75" customHeight="1">
      <c r="A806" s="13"/>
      <c r="B806" s="282"/>
      <c r="C806" s="330"/>
      <c r="D806" s="330"/>
      <c r="E806" s="330"/>
      <c r="F806" s="13"/>
      <c r="G806" s="309"/>
      <c r="H806" s="309"/>
      <c r="I806" s="309"/>
      <c r="J806" s="310"/>
      <c r="K806" s="310"/>
      <c r="L806" s="310"/>
      <c r="M806" s="310"/>
      <c r="N806" s="310"/>
      <c r="O806" s="311"/>
      <c r="P806" s="310"/>
      <c r="Q806" s="311"/>
      <c r="R806" s="310"/>
      <c r="S806" s="13"/>
      <c r="T806" s="13"/>
      <c r="U806" s="13"/>
      <c r="V806" s="13"/>
      <c r="W806" s="13"/>
      <c r="X806" s="310"/>
      <c r="Y806" s="311"/>
      <c r="Z806" s="310"/>
      <c r="AA806" s="312"/>
      <c r="AB806" s="13"/>
      <c r="AC806" s="313"/>
      <c r="AD806" s="313"/>
      <c r="AE806" s="313"/>
      <c r="AF806" s="331"/>
      <c r="AG806" s="320"/>
      <c r="AH806" s="13"/>
      <c r="AI806" s="13"/>
      <c r="AJ806" s="13"/>
      <c r="AK806" s="13"/>
      <c r="AL806" s="13"/>
      <c r="AM806" s="13"/>
      <c r="AN806" s="13"/>
      <c r="AO806" s="13"/>
      <c r="AP806" s="13"/>
    </row>
    <row r="807" ht="18.75" customHeight="1">
      <c r="A807" s="13"/>
      <c r="B807" s="282"/>
      <c r="C807" s="330"/>
      <c r="D807" s="330"/>
      <c r="E807" s="330"/>
      <c r="F807" s="13"/>
      <c r="G807" s="309"/>
      <c r="H807" s="309"/>
      <c r="I807" s="309"/>
      <c r="J807" s="310"/>
      <c r="K807" s="310"/>
      <c r="L807" s="310"/>
      <c r="M807" s="310"/>
      <c r="N807" s="310"/>
      <c r="O807" s="311"/>
      <c r="P807" s="310"/>
      <c r="Q807" s="311"/>
      <c r="R807" s="310"/>
      <c r="S807" s="13"/>
      <c r="T807" s="13"/>
      <c r="U807" s="13"/>
      <c r="V807" s="13"/>
      <c r="W807" s="13"/>
      <c r="X807" s="310"/>
      <c r="Y807" s="311"/>
      <c r="Z807" s="310"/>
      <c r="AA807" s="312"/>
      <c r="AB807" s="13"/>
      <c r="AC807" s="313"/>
      <c r="AD807" s="313"/>
      <c r="AE807" s="313"/>
      <c r="AF807" s="331"/>
      <c r="AG807" s="320"/>
      <c r="AH807" s="13"/>
      <c r="AI807" s="13"/>
      <c r="AJ807" s="13"/>
      <c r="AK807" s="13"/>
      <c r="AL807" s="13"/>
      <c r="AM807" s="13"/>
      <c r="AN807" s="13"/>
      <c r="AO807" s="13"/>
      <c r="AP807" s="13"/>
    </row>
    <row r="808" ht="18.75" customHeight="1">
      <c r="A808" s="13"/>
      <c r="B808" s="282"/>
      <c r="C808" s="330"/>
      <c r="D808" s="330"/>
      <c r="E808" s="330"/>
      <c r="F808" s="13"/>
      <c r="G808" s="309"/>
      <c r="H808" s="309"/>
      <c r="I808" s="309"/>
      <c r="J808" s="310"/>
      <c r="K808" s="310"/>
      <c r="L808" s="310"/>
      <c r="M808" s="310"/>
      <c r="N808" s="310"/>
      <c r="O808" s="311"/>
      <c r="P808" s="310"/>
      <c r="Q808" s="311"/>
      <c r="R808" s="310"/>
      <c r="S808" s="13"/>
      <c r="T808" s="13"/>
      <c r="U808" s="13"/>
      <c r="V808" s="13"/>
      <c r="W808" s="13"/>
      <c r="X808" s="310"/>
      <c r="Y808" s="311"/>
      <c r="Z808" s="310"/>
      <c r="AA808" s="312"/>
      <c r="AB808" s="13"/>
      <c r="AC808" s="313"/>
      <c r="AD808" s="313"/>
      <c r="AE808" s="313"/>
      <c r="AF808" s="331"/>
      <c r="AG808" s="320"/>
      <c r="AH808" s="13"/>
      <c r="AI808" s="13"/>
      <c r="AJ808" s="13"/>
      <c r="AK808" s="13"/>
      <c r="AL808" s="13"/>
      <c r="AM808" s="13"/>
      <c r="AN808" s="13"/>
      <c r="AO808" s="13"/>
      <c r="AP808" s="13"/>
    </row>
    <row r="809" ht="18.75" customHeight="1">
      <c r="A809" s="13"/>
      <c r="B809" s="282"/>
      <c r="C809" s="330"/>
      <c r="D809" s="330"/>
      <c r="E809" s="330"/>
      <c r="F809" s="13"/>
      <c r="G809" s="309"/>
      <c r="H809" s="309"/>
      <c r="I809" s="309"/>
      <c r="J809" s="310"/>
      <c r="K809" s="310"/>
      <c r="L809" s="310"/>
      <c r="M809" s="310"/>
      <c r="N809" s="310"/>
      <c r="O809" s="311"/>
      <c r="P809" s="310"/>
      <c r="Q809" s="311"/>
      <c r="R809" s="310"/>
      <c r="S809" s="13"/>
      <c r="T809" s="13"/>
      <c r="U809" s="13"/>
      <c r="V809" s="13"/>
      <c r="W809" s="13"/>
      <c r="X809" s="310"/>
      <c r="Y809" s="311"/>
      <c r="Z809" s="310"/>
      <c r="AA809" s="312"/>
      <c r="AB809" s="13"/>
      <c r="AC809" s="313"/>
      <c r="AD809" s="313"/>
      <c r="AE809" s="313"/>
      <c r="AF809" s="331"/>
      <c r="AG809" s="320"/>
      <c r="AH809" s="13"/>
      <c r="AI809" s="13"/>
      <c r="AJ809" s="13"/>
      <c r="AK809" s="13"/>
      <c r="AL809" s="13"/>
      <c r="AM809" s="13"/>
      <c r="AN809" s="13"/>
      <c r="AO809" s="13"/>
      <c r="AP809" s="13"/>
    </row>
    <row r="810" ht="18.75" customHeight="1">
      <c r="A810" s="13"/>
      <c r="B810" s="282"/>
      <c r="C810" s="330"/>
      <c r="D810" s="330"/>
      <c r="E810" s="330"/>
      <c r="F810" s="13"/>
      <c r="G810" s="309"/>
      <c r="H810" s="309"/>
      <c r="I810" s="309"/>
      <c r="J810" s="310"/>
      <c r="K810" s="310"/>
      <c r="L810" s="310"/>
      <c r="M810" s="310"/>
      <c r="N810" s="310"/>
      <c r="O810" s="311"/>
      <c r="P810" s="310"/>
      <c r="Q810" s="311"/>
      <c r="R810" s="310"/>
      <c r="S810" s="13"/>
      <c r="T810" s="13"/>
      <c r="U810" s="13"/>
      <c r="V810" s="13"/>
      <c r="W810" s="13"/>
      <c r="X810" s="310"/>
      <c r="Y810" s="311"/>
      <c r="Z810" s="310"/>
      <c r="AA810" s="312"/>
      <c r="AB810" s="13"/>
      <c r="AC810" s="313"/>
      <c r="AD810" s="313"/>
      <c r="AE810" s="313"/>
      <c r="AF810" s="331"/>
      <c r="AG810" s="320"/>
      <c r="AH810" s="13"/>
      <c r="AI810" s="13"/>
      <c r="AJ810" s="13"/>
      <c r="AK810" s="13"/>
      <c r="AL810" s="13"/>
      <c r="AM810" s="13"/>
      <c r="AN810" s="13"/>
      <c r="AO810" s="13"/>
      <c r="AP810" s="13"/>
    </row>
    <row r="811" ht="18.75" customHeight="1">
      <c r="A811" s="13"/>
      <c r="B811" s="282"/>
      <c r="C811" s="330"/>
      <c r="D811" s="330"/>
      <c r="E811" s="330"/>
      <c r="F811" s="13"/>
      <c r="G811" s="309"/>
      <c r="H811" s="309"/>
      <c r="I811" s="309"/>
      <c r="J811" s="310"/>
      <c r="K811" s="310"/>
      <c r="L811" s="310"/>
      <c r="M811" s="310"/>
      <c r="N811" s="310"/>
      <c r="O811" s="311"/>
      <c r="P811" s="310"/>
      <c r="Q811" s="311"/>
      <c r="R811" s="310"/>
      <c r="S811" s="13"/>
      <c r="T811" s="13"/>
      <c r="U811" s="13"/>
      <c r="V811" s="13"/>
      <c r="W811" s="13"/>
      <c r="X811" s="310"/>
      <c r="Y811" s="311"/>
      <c r="Z811" s="310"/>
      <c r="AA811" s="312"/>
      <c r="AB811" s="13"/>
      <c r="AC811" s="313"/>
      <c r="AD811" s="313"/>
      <c r="AE811" s="313"/>
      <c r="AF811" s="331"/>
      <c r="AG811" s="320"/>
      <c r="AH811" s="13"/>
      <c r="AI811" s="13"/>
      <c r="AJ811" s="13"/>
      <c r="AK811" s="13"/>
      <c r="AL811" s="13"/>
      <c r="AM811" s="13"/>
      <c r="AN811" s="13"/>
      <c r="AO811" s="13"/>
      <c r="AP811" s="13"/>
    </row>
    <row r="812" ht="18.75" customHeight="1">
      <c r="A812" s="13"/>
      <c r="B812" s="282"/>
      <c r="C812" s="330"/>
      <c r="D812" s="330"/>
      <c r="E812" s="330"/>
      <c r="F812" s="13"/>
      <c r="G812" s="309"/>
      <c r="H812" s="309"/>
      <c r="I812" s="309"/>
      <c r="J812" s="310"/>
      <c r="K812" s="310"/>
      <c r="L812" s="310"/>
      <c r="M812" s="310"/>
      <c r="N812" s="310"/>
      <c r="O812" s="311"/>
      <c r="P812" s="310"/>
      <c r="Q812" s="311"/>
      <c r="R812" s="310"/>
      <c r="S812" s="13"/>
      <c r="T812" s="13"/>
      <c r="U812" s="13"/>
      <c r="V812" s="13"/>
      <c r="W812" s="13"/>
      <c r="X812" s="310"/>
      <c r="Y812" s="311"/>
      <c r="Z812" s="310"/>
      <c r="AA812" s="312"/>
      <c r="AB812" s="13"/>
      <c r="AC812" s="313"/>
      <c r="AD812" s="313"/>
      <c r="AE812" s="313"/>
      <c r="AF812" s="331"/>
      <c r="AG812" s="320"/>
      <c r="AH812" s="13"/>
      <c r="AI812" s="13"/>
      <c r="AJ812" s="13"/>
      <c r="AK812" s="13"/>
      <c r="AL812" s="13"/>
      <c r="AM812" s="13"/>
      <c r="AN812" s="13"/>
      <c r="AO812" s="13"/>
      <c r="AP812" s="13"/>
    </row>
    <row r="813" ht="18.75" customHeight="1">
      <c r="A813" s="13"/>
      <c r="B813" s="282"/>
      <c r="C813" s="330"/>
      <c r="D813" s="330"/>
      <c r="E813" s="330"/>
      <c r="F813" s="13"/>
      <c r="G813" s="309"/>
      <c r="H813" s="309"/>
      <c r="I813" s="309"/>
      <c r="J813" s="310"/>
      <c r="K813" s="310"/>
      <c r="L813" s="310"/>
      <c r="M813" s="310"/>
      <c r="N813" s="310"/>
      <c r="O813" s="311"/>
      <c r="P813" s="310"/>
      <c r="Q813" s="311"/>
      <c r="R813" s="310"/>
      <c r="S813" s="13"/>
      <c r="T813" s="13"/>
      <c r="U813" s="13"/>
      <c r="V813" s="13"/>
      <c r="W813" s="13"/>
      <c r="X813" s="310"/>
      <c r="Y813" s="311"/>
      <c r="Z813" s="310"/>
      <c r="AA813" s="312"/>
      <c r="AB813" s="13"/>
      <c r="AC813" s="313"/>
      <c r="AD813" s="313"/>
      <c r="AE813" s="313"/>
      <c r="AF813" s="331"/>
      <c r="AG813" s="320"/>
      <c r="AH813" s="13"/>
      <c r="AI813" s="13"/>
      <c r="AJ813" s="13"/>
      <c r="AK813" s="13"/>
      <c r="AL813" s="13"/>
      <c r="AM813" s="13"/>
      <c r="AN813" s="13"/>
      <c r="AO813" s="13"/>
      <c r="AP813" s="13"/>
    </row>
    <row r="814" ht="18.75" customHeight="1">
      <c r="A814" s="13"/>
      <c r="B814" s="282"/>
      <c r="C814" s="330"/>
      <c r="D814" s="330"/>
      <c r="E814" s="330"/>
      <c r="F814" s="13"/>
      <c r="G814" s="309"/>
      <c r="H814" s="309"/>
      <c r="I814" s="309"/>
      <c r="J814" s="310"/>
      <c r="K814" s="310"/>
      <c r="L814" s="310"/>
      <c r="M814" s="310"/>
      <c r="N814" s="310"/>
      <c r="O814" s="311"/>
      <c r="P814" s="310"/>
      <c r="Q814" s="311"/>
      <c r="R814" s="310"/>
      <c r="S814" s="13"/>
      <c r="T814" s="13"/>
      <c r="U814" s="13"/>
      <c r="V814" s="13"/>
      <c r="W814" s="13"/>
      <c r="X814" s="310"/>
      <c r="Y814" s="311"/>
      <c r="Z814" s="310"/>
      <c r="AA814" s="312"/>
      <c r="AB814" s="13"/>
      <c r="AC814" s="313"/>
      <c r="AD814" s="313"/>
      <c r="AE814" s="313"/>
      <c r="AF814" s="331"/>
      <c r="AG814" s="320"/>
      <c r="AH814" s="13"/>
      <c r="AI814" s="13"/>
      <c r="AJ814" s="13"/>
      <c r="AK814" s="13"/>
      <c r="AL814" s="13"/>
      <c r="AM814" s="13"/>
      <c r="AN814" s="13"/>
      <c r="AO814" s="13"/>
      <c r="AP814" s="13"/>
    </row>
    <row r="815" ht="18.75" customHeight="1">
      <c r="A815" s="13"/>
      <c r="B815" s="282"/>
      <c r="C815" s="330"/>
      <c r="D815" s="330"/>
      <c r="E815" s="330"/>
      <c r="F815" s="13"/>
      <c r="G815" s="309"/>
      <c r="H815" s="309"/>
      <c r="I815" s="309"/>
      <c r="J815" s="310"/>
      <c r="K815" s="310"/>
      <c r="L815" s="310"/>
      <c r="M815" s="310"/>
      <c r="N815" s="310"/>
      <c r="O815" s="311"/>
      <c r="P815" s="310"/>
      <c r="Q815" s="311"/>
      <c r="R815" s="310"/>
      <c r="S815" s="13"/>
      <c r="T815" s="13"/>
      <c r="U815" s="13"/>
      <c r="V815" s="13"/>
      <c r="W815" s="13"/>
      <c r="X815" s="310"/>
      <c r="Y815" s="311"/>
      <c r="Z815" s="310"/>
      <c r="AA815" s="312"/>
      <c r="AB815" s="13"/>
      <c r="AC815" s="313"/>
      <c r="AD815" s="313"/>
      <c r="AE815" s="313"/>
      <c r="AF815" s="331"/>
      <c r="AG815" s="320"/>
      <c r="AH815" s="13"/>
      <c r="AI815" s="13"/>
      <c r="AJ815" s="13"/>
      <c r="AK815" s="13"/>
      <c r="AL815" s="13"/>
      <c r="AM815" s="13"/>
      <c r="AN815" s="13"/>
      <c r="AO815" s="13"/>
      <c r="AP815" s="13"/>
    </row>
    <row r="816" ht="18.75" customHeight="1">
      <c r="A816" s="13"/>
      <c r="B816" s="282"/>
      <c r="C816" s="330"/>
      <c r="D816" s="330"/>
      <c r="E816" s="330"/>
      <c r="F816" s="13"/>
      <c r="G816" s="309"/>
      <c r="H816" s="309"/>
      <c r="I816" s="309"/>
      <c r="J816" s="310"/>
      <c r="K816" s="310"/>
      <c r="L816" s="310"/>
      <c r="M816" s="310"/>
      <c r="N816" s="310"/>
      <c r="O816" s="311"/>
      <c r="P816" s="310"/>
      <c r="Q816" s="311"/>
      <c r="R816" s="310"/>
      <c r="S816" s="13"/>
      <c r="T816" s="13"/>
      <c r="U816" s="13"/>
      <c r="V816" s="13"/>
      <c r="W816" s="13"/>
      <c r="X816" s="310"/>
      <c r="Y816" s="311"/>
      <c r="Z816" s="310"/>
      <c r="AA816" s="312"/>
      <c r="AB816" s="13"/>
      <c r="AC816" s="313"/>
      <c r="AD816" s="313"/>
      <c r="AE816" s="313"/>
      <c r="AF816" s="331"/>
      <c r="AG816" s="320"/>
      <c r="AH816" s="13"/>
      <c r="AI816" s="13"/>
      <c r="AJ816" s="13"/>
      <c r="AK816" s="13"/>
      <c r="AL816" s="13"/>
      <c r="AM816" s="13"/>
      <c r="AN816" s="13"/>
      <c r="AO816" s="13"/>
      <c r="AP816" s="13"/>
    </row>
    <row r="817" ht="18.75" customHeight="1">
      <c r="A817" s="13"/>
      <c r="B817" s="282"/>
      <c r="C817" s="330"/>
      <c r="D817" s="330"/>
      <c r="E817" s="330"/>
      <c r="F817" s="13"/>
      <c r="G817" s="309"/>
      <c r="H817" s="309"/>
      <c r="I817" s="309"/>
      <c r="J817" s="310"/>
      <c r="K817" s="310"/>
      <c r="L817" s="310"/>
      <c r="M817" s="310"/>
      <c r="N817" s="310"/>
      <c r="O817" s="311"/>
      <c r="P817" s="310"/>
      <c r="Q817" s="311"/>
      <c r="R817" s="310"/>
      <c r="S817" s="13"/>
      <c r="T817" s="13"/>
      <c r="U817" s="13"/>
      <c r="V817" s="13"/>
      <c r="W817" s="13"/>
      <c r="X817" s="310"/>
      <c r="Y817" s="311"/>
      <c r="Z817" s="310"/>
      <c r="AA817" s="312"/>
      <c r="AB817" s="13"/>
      <c r="AC817" s="313"/>
      <c r="AD817" s="313"/>
      <c r="AE817" s="313"/>
      <c r="AF817" s="331"/>
      <c r="AG817" s="320"/>
      <c r="AH817" s="13"/>
      <c r="AI817" s="13"/>
      <c r="AJ817" s="13"/>
      <c r="AK817" s="13"/>
      <c r="AL817" s="13"/>
      <c r="AM817" s="13"/>
      <c r="AN817" s="13"/>
      <c r="AO817" s="13"/>
      <c r="AP817" s="13"/>
    </row>
    <row r="818" ht="18.75" customHeight="1">
      <c r="A818" s="13"/>
      <c r="B818" s="282"/>
      <c r="C818" s="330"/>
      <c r="D818" s="330"/>
      <c r="E818" s="330"/>
      <c r="F818" s="13"/>
      <c r="G818" s="309"/>
      <c r="H818" s="309"/>
      <c r="I818" s="309"/>
      <c r="J818" s="310"/>
      <c r="K818" s="310"/>
      <c r="L818" s="310"/>
      <c r="M818" s="310"/>
      <c r="N818" s="310"/>
      <c r="O818" s="311"/>
      <c r="P818" s="310"/>
      <c r="Q818" s="311"/>
      <c r="R818" s="310"/>
      <c r="S818" s="13"/>
      <c r="T818" s="13"/>
      <c r="U818" s="13"/>
      <c r="V818" s="13"/>
      <c r="W818" s="13"/>
      <c r="X818" s="310"/>
      <c r="Y818" s="311"/>
      <c r="Z818" s="310"/>
      <c r="AA818" s="312"/>
      <c r="AB818" s="13"/>
      <c r="AC818" s="313"/>
      <c r="AD818" s="313"/>
      <c r="AE818" s="313"/>
      <c r="AF818" s="331"/>
      <c r="AG818" s="320"/>
      <c r="AH818" s="13"/>
      <c r="AI818" s="13"/>
      <c r="AJ818" s="13"/>
      <c r="AK818" s="13"/>
      <c r="AL818" s="13"/>
      <c r="AM818" s="13"/>
      <c r="AN818" s="13"/>
      <c r="AO818" s="13"/>
      <c r="AP818" s="13"/>
    </row>
    <row r="819" ht="18.75" customHeight="1">
      <c r="A819" s="13"/>
      <c r="B819" s="282"/>
      <c r="C819" s="330"/>
      <c r="D819" s="330"/>
      <c r="E819" s="330"/>
      <c r="F819" s="13"/>
      <c r="G819" s="309"/>
      <c r="H819" s="309"/>
      <c r="I819" s="309"/>
      <c r="J819" s="310"/>
      <c r="K819" s="310"/>
      <c r="L819" s="310"/>
      <c r="M819" s="310"/>
      <c r="N819" s="310"/>
      <c r="O819" s="311"/>
      <c r="P819" s="310"/>
      <c r="Q819" s="311"/>
      <c r="R819" s="310"/>
      <c r="S819" s="13"/>
      <c r="T819" s="13"/>
      <c r="U819" s="13"/>
      <c r="V819" s="13"/>
      <c r="W819" s="13"/>
      <c r="X819" s="310"/>
      <c r="Y819" s="311"/>
      <c r="Z819" s="310"/>
      <c r="AA819" s="312"/>
      <c r="AB819" s="13"/>
      <c r="AC819" s="313"/>
      <c r="AD819" s="313"/>
      <c r="AE819" s="313"/>
      <c r="AF819" s="331"/>
      <c r="AG819" s="320"/>
      <c r="AH819" s="13"/>
      <c r="AI819" s="13"/>
      <c r="AJ819" s="13"/>
      <c r="AK819" s="13"/>
      <c r="AL819" s="13"/>
      <c r="AM819" s="13"/>
      <c r="AN819" s="13"/>
      <c r="AO819" s="13"/>
      <c r="AP819" s="13"/>
    </row>
    <row r="820" ht="18.75" customHeight="1">
      <c r="A820" s="13"/>
      <c r="B820" s="282"/>
      <c r="C820" s="330"/>
      <c r="D820" s="330"/>
      <c r="E820" s="330"/>
      <c r="F820" s="13"/>
      <c r="G820" s="309"/>
      <c r="H820" s="309"/>
      <c r="I820" s="309"/>
      <c r="J820" s="310"/>
      <c r="K820" s="310"/>
      <c r="L820" s="310"/>
      <c r="M820" s="310"/>
      <c r="N820" s="310"/>
      <c r="O820" s="311"/>
      <c r="P820" s="310"/>
      <c r="Q820" s="311"/>
      <c r="R820" s="310"/>
      <c r="S820" s="13"/>
      <c r="T820" s="13"/>
      <c r="U820" s="13"/>
      <c r="V820" s="13"/>
      <c r="W820" s="13"/>
      <c r="X820" s="310"/>
      <c r="Y820" s="311"/>
      <c r="Z820" s="310"/>
      <c r="AA820" s="312"/>
      <c r="AB820" s="13"/>
      <c r="AC820" s="313"/>
      <c r="AD820" s="313"/>
      <c r="AE820" s="313"/>
      <c r="AF820" s="331"/>
      <c r="AG820" s="320"/>
      <c r="AH820" s="13"/>
      <c r="AI820" s="13"/>
      <c r="AJ820" s="13"/>
      <c r="AK820" s="13"/>
      <c r="AL820" s="13"/>
      <c r="AM820" s="13"/>
      <c r="AN820" s="13"/>
      <c r="AO820" s="13"/>
      <c r="AP820" s="13"/>
    </row>
    <row r="821" ht="18.75" customHeight="1">
      <c r="A821" s="13"/>
      <c r="B821" s="282"/>
      <c r="C821" s="330"/>
      <c r="D821" s="330"/>
      <c r="E821" s="330"/>
      <c r="F821" s="13"/>
      <c r="G821" s="309"/>
      <c r="H821" s="309"/>
      <c r="I821" s="309"/>
      <c r="J821" s="310"/>
      <c r="K821" s="310"/>
      <c r="L821" s="310"/>
      <c r="M821" s="310"/>
      <c r="N821" s="310"/>
      <c r="O821" s="311"/>
      <c r="P821" s="310"/>
      <c r="Q821" s="311"/>
      <c r="R821" s="310"/>
      <c r="S821" s="13"/>
      <c r="T821" s="13"/>
      <c r="U821" s="13"/>
      <c r="V821" s="13"/>
      <c r="W821" s="13"/>
      <c r="X821" s="310"/>
      <c r="Y821" s="311"/>
      <c r="Z821" s="310"/>
      <c r="AA821" s="312"/>
      <c r="AB821" s="13"/>
      <c r="AC821" s="313"/>
      <c r="AD821" s="313"/>
      <c r="AE821" s="313"/>
      <c r="AF821" s="331"/>
      <c r="AG821" s="320"/>
      <c r="AH821" s="13"/>
      <c r="AI821" s="13"/>
      <c r="AJ821" s="13"/>
      <c r="AK821" s="13"/>
      <c r="AL821" s="13"/>
      <c r="AM821" s="13"/>
      <c r="AN821" s="13"/>
      <c r="AO821" s="13"/>
      <c r="AP821" s="13"/>
    </row>
    <row r="822" ht="18.75" customHeight="1">
      <c r="A822" s="13"/>
      <c r="B822" s="282"/>
      <c r="C822" s="330"/>
      <c r="D822" s="330"/>
      <c r="E822" s="330"/>
      <c r="F822" s="13"/>
      <c r="G822" s="309"/>
      <c r="H822" s="309"/>
      <c r="I822" s="309"/>
      <c r="J822" s="310"/>
      <c r="K822" s="310"/>
      <c r="L822" s="310"/>
      <c r="M822" s="310"/>
      <c r="N822" s="310"/>
      <c r="O822" s="311"/>
      <c r="P822" s="310"/>
      <c r="Q822" s="311"/>
      <c r="R822" s="310"/>
      <c r="S822" s="13"/>
      <c r="T822" s="13"/>
      <c r="U822" s="13"/>
      <c r="V822" s="13"/>
      <c r="W822" s="13"/>
      <c r="X822" s="310"/>
      <c r="Y822" s="311"/>
      <c r="Z822" s="310"/>
      <c r="AA822" s="312"/>
      <c r="AB822" s="13"/>
      <c r="AC822" s="313"/>
      <c r="AD822" s="313"/>
      <c r="AE822" s="313"/>
      <c r="AF822" s="331"/>
      <c r="AG822" s="320"/>
      <c r="AH822" s="13"/>
      <c r="AI822" s="13"/>
      <c r="AJ822" s="13"/>
      <c r="AK822" s="13"/>
      <c r="AL822" s="13"/>
      <c r="AM822" s="13"/>
      <c r="AN822" s="13"/>
      <c r="AO822" s="13"/>
      <c r="AP822" s="13"/>
    </row>
    <row r="823" ht="18.75" customHeight="1">
      <c r="A823" s="13"/>
      <c r="B823" s="282"/>
      <c r="C823" s="330"/>
      <c r="D823" s="330"/>
      <c r="E823" s="330"/>
      <c r="F823" s="13"/>
      <c r="G823" s="309"/>
      <c r="H823" s="309"/>
      <c r="I823" s="309"/>
      <c r="J823" s="310"/>
      <c r="K823" s="310"/>
      <c r="L823" s="310"/>
      <c r="M823" s="310"/>
      <c r="N823" s="310"/>
      <c r="O823" s="311"/>
      <c r="P823" s="310"/>
      <c r="Q823" s="311"/>
      <c r="R823" s="310"/>
      <c r="S823" s="13"/>
      <c r="T823" s="13"/>
      <c r="U823" s="13"/>
      <c r="V823" s="13"/>
      <c r="W823" s="13"/>
      <c r="X823" s="310"/>
      <c r="Y823" s="311"/>
      <c r="Z823" s="310"/>
      <c r="AA823" s="312"/>
      <c r="AB823" s="13"/>
      <c r="AC823" s="313"/>
      <c r="AD823" s="313"/>
      <c r="AE823" s="313"/>
      <c r="AF823" s="331"/>
      <c r="AG823" s="320"/>
      <c r="AH823" s="13"/>
      <c r="AI823" s="13"/>
      <c r="AJ823" s="13"/>
      <c r="AK823" s="13"/>
      <c r="AL823" s="13"/>
      <c r="AM823" s="13"/>
      <c r="AN823" s="13"/>
      <c r="AO823" s="13"/>
      <c r="AP823" s="13"/>
    </row>
    <row r="824" ht="18.75" customHeight="1">
      <c r="A824" s="13"/>
      <c r="B824" s="282"/>
      <c r="C824" s="330"/>
      <c r="D824" s="330"/>
      <c r="E824" s="330"/>
      <c r="F824" s="13"/>
      <c r="G824" s="309"/>
      <c r="H824" s="309"/>
      <c r="I824" s="309"/>
      <c r="J824" s="310"/>
      <c r="K824" s="310"/>
      <c r="L824" s="310"/>
      <c r="M824" s="310"/>
      <c r="N824" s="310"/>
      <c r="O824" s="311"/>
      <c r="P824" s="310"/>
      <c r="Q824" s="311"/>
      <c r="R824" s="310"/>
      <c r="S824" s="13"/>
      <c r="T824" s="13"/>
      <c r="U824" s="13"/>
      <c r="V824" s="13"/>
      <c r="W824" s="13"/>
      <c r="X824" s="310"/>
      <c r="Y824" s="311"/>
      <c r="Z824" s="310"/>
      <c r="AA824" s="312"/>
      <c r="AB824" s="13"/>
      <c r="AC824" s="313"/>
      <c r="AD824" s="313"/>
      <c r="AE824" s="313"/>
      <c r="AF824" s="331"/>
      <c r="AG824" s="320"/>
      <c r="AH824" s="13"/>
      <c r="AI824" s="13"/>
      <c r="AJ824" s="13"/>
      <c r="AK824" s="13"/>
      <c r="AL824" s="13"/>
      <c r="AM824" s="13"/>
      <c r="AN824" s="13"/>
      <c r="AO824" s="13"/>
      <c r="AP824" s="13"/>
    </row>
    <row r="825" ht="18.75" customHeight="1">
      <c r="A825" s="13"/>
      <c r="B825" s="282"/>
      <c r="C825" s="330"/>
      <c r="D825" s="330"/>
      <c r="E825" s="330"/>
      <c r="F825" s="13"/>
      <c r="G825" s="309"/>
      <c r="H825" s="309"/>
      <c r="I825" s="309"/>
      <c r="J825" s="310"/>
      <c r="K825" s="310"/>
      <c r="L825" s="310"/>
      <c r="M825" s="310"/>
      <c r="N825" s="310"/>
      <c r="O825" s="311"/>
      <c r="P825" s="310"/>
      <c r="Q825" s="311"/>
      <c r="R825" s="310"/>
      <c r="S825" s="13"/>
      <c r="T825" s="13"/>
      <c r="U825" s="13"/>
      <c r="V825" s="13"/>
      <c r="W825" s="13"/>
      <c r="X825" s="310"/>
      <c r="Y825" s="311"/>
      <c r="Z825" s="310"/>
      <c r="AA825" s="312"/>
      <c r="AB825" s="13"/>
      <c r="AC825" s="313"/>
      <c r="AD825" s="313"/>
      <c r="AE825" s="313"/>
      <c r="AF825" s="331"/>
      <c r="AG825" s="320"/>
      <c r="AH825" s="13"/>
      <c r="AI825" s="13"/>
      <c r="AJ825" s="13"/>
      <c r="AK825" s="13"/>
      <c r="AL825" s="13"/>
      <c r="AM825" s="13"/>
      <c r="AN825" s="13"/>
      <c r="AO825" s="13"/>
      <c r="AP825" s="13"/>
    </row>
    <row r="826" ht="18.75" customHeight="1">
      <c r="A826" s="13"/>
      <c r="B826" s="282"/>
      <c r="C826" s="330"/>
      <c r="D826" s="330"/>
      <c r="E826" s="330"/>
      <c r="F826" s="13"/>
      <c r="G826" s="309"/>
      <c r="H826" s="309"/>
      <c r="I826" s="309"/>
      <c r="J826" s="310"/>
      <c r="K826" s="310"/>
      <c r="L826" s="310"/>
      <c r="M826" s="310"/>
      <c r="N826" s="310"/>
      <c r="O826" s="311"/>
      <c r="P826" s="310"/>
      <c r="Q826" s="311"/>
      <c r="R826" s="310"/>
      <c r="S826" s="13"/>
      <c r="T826" s="13"/>
      <c r="U826" s="13"/>
      <c r="V826" s="13"/>
      <c r="W826" s="13"/>
      <c r="X826" s="310"/>
      <c r="Y826" s="311"/>
      <c r="Z826" s="310"/>
      <c r="AA826" s="312"/>
      <c r="AB826" s="13"/>
      <c r="AC826" s="313"/>
      <c r="AD826" s="313"/>
      <c r="AE826" s="313"/>
      <c r="AF826" s="331"/>
      <c r="AG826" s="320"/>
      <c r="AH826" s="13"/>
      <c r="AI826" s="13"/>
      <c r="AJ826" s="13"/>
      <c r="AK826" s="13"/>
      <c r="AL826" s="13"/>
      <c r="AM826" s="13"/>
      <c r="AN826" s="13"/>
      <c r="AO826" s="13"/>
      <c r="AP826" s="13"/>
    </row>
    <row r="827" ht="18.75" customHeight="1">
      <c r="A827" s="13"/>
      <c r="B827" s="282"/>
      <c r="C827" s="330"/>
      <c r="D827" s="330"/>
      <c r="E827" s="330"/>
      <c r="F827" s="13"/>
      <c r="G827" s="309"/>
      <c r="H827" s="309"/>
      <c r="I827" s="309"/>
      <c r="J827" s="310"/>
      <c r="K827" s="310"/>
      <c r="L827" s="310"/>
      <c r="M827" s="310"/>
      <c r="N827" s="310"/>
      <c r="O827" s="311"/>
      <c r="P827" s="310"/>
      <c r="Q827" s="311"/>
      <c r="R827" s="310"/>
      <c r="S827" s="13"/>
      <c r="T827" s="13"/>
      <c r="U827" s="13"/>
      <c r="V827" s="13"/>
      <c r="W827" s="13"/>
      <c r="X827" s="310"/>
      <c r="Y827" s="311"/>
      <c r="Z827" s="310"/>
      <c r="AA827" s="312"/>
      <c r="AB827" s="13"/>
      <c r="AC827" s="313"/>
      <c r="AD827" s="313"/>
      <c r="AE827" s="313"/>
      <c r="AF827" s="331"/>
      <c r="AG827" s="320"/>
      <c r="AH827" s="13"/>
      <c r="AI827" s="13"/>
      <c r="AJ827" s="13"/>
      <c r="AK827" s="13"/>
      <c r="AL827" s="13"/>
      <c r="AM827" s="13"/>
      <c r="AN827" s="13"/>
      <c r="AO827" s="13"/>
      <c r="AP827" s="13"/>
    </row>
    <row r="828" ht="18.75" customHeight="1">
      <c r="A828" s="13"/>
      <c r="B828" s="282"/>
      <c r="C828" s="330"/>
      <c r="D828" s="330"/>
      <c r="E828" s="330"/>
      <c r="F828" s="13"/>
      <c r="G828" s="309"/>
      <c r="H828" s="309"/>
      <c r="I828" s="309"/>
      <c r="J828" s="310"/>
      <c r="K828" s="310"/>
      <c r="L828" s="310"/>
      <c r="M828" s="310"/>
      <c r="N828" s="310"/>
      <c r="O828" s="311"/>
      <c r="P828" s="310"/>
      <c r="Q828" s="311"/>
      <c r="R828" s="310"/>
      <c r="S828" s="13"/>
      <c r="T828" s="13"/>
      <c r="U828" s="13"/>
      <c r="V828" s="13"/>
      <c r="W828" s="13"/>
      <c r="X828" s="310"/>
      <c r="Y828" s="311"/>
      <c r="Z828" s="310"/>
      <c r="AA828" s="312"/>
      <c r="AB828" s="13"/>
      <c r="AC828" s="313"/>
      <c r="AD828" s="313"/>
      <c r="AE828" s="313"/>
      <c r="AF828" s="331"/>
      <c r="AG828" s="320"/>
      <c r="AH828" s="13"/>
      <c r="AI828" s="13"/>
      <c r="AJ828" s="13"/>
      <c r="AK828" s="13"/>
      <c r="AL828" s="13"/>
      <c r="AM828" s="13"/>
      <c r="AN828" s="13"/>
      <c r="AO828" s="13"/>
      <c r="AP828" s="13"/>
    </row>
    <row r="829" ht="18.75" customHeight="1">
      <c r="A829" s="13"/>
      <c r="B829" s="282"/>
      <c r="C829" s="330"/>
      <c r="D829" s="330"/>
      <c r="E829" s="330"/>
      <c r="F829" s="13"/>
      <c r="G829" s="309"/>
      <c r="H829" s="309"/>
      <c r="I829" s="309"/>
      <c r="J829" s="310"/>
      <c r="K829" s="310"/>
      <c r="L829" s="310"/>
      <c r="M829" s="310"/>
      <c r="N829" s="310"/>
      <c r="O829" s="311"/>
      <c r="P829" s="310"/>
      <c r="Q829" s="311"/>
      <c r="R829" s="310"/>
      <c r="S829" s="13"/>
      <c r="T829" s="13"/>
      <c r="U829" s="13"/>
      <c r="V829" s="13"/>
      <c r="W829" s="13"/>
      <c r="X829" s="310"/>
      <c r="Y829" s="311"/>
      <c r="Z829" s="310"/>
      <c r="AA829" s="312"/>
      <c r="AB829" s="13"/>
      <c r="AC829" s="313"/>
      <c r="AD829" s="313"/>
      <c r="AE829" s="313"/>
      <c r="AF829" s="331"/>
      <c r="AG829" s="320"/>
      <c r="AH829" s="13"/>
      <c r="AI829" s="13"/>
      <c r="AJ829" s="13"/>
      <c r="AK829" s="13"/>
      <c r="AL829" s="13"/>
      <c r="AM829" s="13"/>
      <c r="AN829" s="13"/>
      <c r="AO829" s="13"/>
      <c r="AP829" s="13"/>
    </row>
    <row r="830" ht="18.75" customHeight="1">
      <c r="A830" s="13"/>
      <c r="B830" s="282"/>
      <c r="C830" s="330"/>
      <c r="D830" s="330"/>
      <c r="E830" s="330"/>
      <c r="F830" s="13"/>
      <c r="G830" s="309"/>
      <c r="H830" s="309"/>
      <c r="I830" s="309"/>
      <c r="J830" s="310"/>
      <c r="K830" s="310"/>
      <c r="L830" s="310"/>
      <c r="M830" s="310"/>
      <c r="N830" s="310"/>
      <c r="O830" s="311"/>
      <c r="P830" s="310"/>
      <c r="Q830" s="311"/>
      <c r="R830" s="310"/>
      <c r="S830" s="13"/>
      <c r="T830" s="13"/>
      <c r="U830" s="13"/>
      <c r="V830" s="13"/>
      <c r="W830" s="13"/>
      <c r="X830" s="310"/>
      <c r="Y830" s="311"/>
      <c r="Z830" s="310"/>
      <c r="AA830" s="312"/>
      <c r="AB830" s="13"/>
      <c r="AC830" s="313"/>
      <c r="AD830" s="313"/>
      <c r="AE830" s="313"/>
      <c r="AF830" s="331"/>
      <c r="AG830" s="320"/>
      <c r="AH830" s="13"/>
      <c r="AI830" s="13"/>
      <c r="AJ830" s="13"/>
      <c r="AK830" s="13"/>
      <c r="AL830" s="13"/>
      <c r="AM830" s="13"/>
      <c r="AN830" s="13"/>
      <c r="AO830" s="13"/>
      <c r="AP830" s="13"/>
    </row>
    <row r="831" ht="18.75" customHeight="1">
      <c r="A831" s="13"/>
      <c r="B831" s="282"/>
      <c r="C831" s="330"/>
      <c r="D831" s="330"/>
      <c r="E831" s="330"/>
      <c r="F831" s="13"/>
      <c r="G831" s="309"/>
      <c r="H831" s="309"/>
      <c r="I831" s="309"/>
      <c r="J831" s="310"/>
      <c r="K831" s="310"/>
      <c r="L831" s="310"/>
      <c r="M831" s="310"/>
      <c r="N831" s="310"/>
      <c r="O831" s="311"/>
      <c r="P831" s="310"/>
      <c r="Q831" s="311"/>
      <c r="R831" s="310"/>
      <c r="S831" s="13"/>
      <c r="T831" s="13"/>
      <c r="U831" s="13"/>
      <c r="V831" s="13"/>
      <c r="W831" s="13"/>
      <c r="X831" s="310"/>
      <c r="Y831" s="311"/>
      <c r="Z831" s="310"/>
      <c r="AA831" s="312"/>
      <c r="AB831" s="13"/>
      <c r="AC831" s="313"/>
      <c r="AD831" s="313"/>
      <c r="AE831" s="313"/>
      <c r="AF831" s="331"/>
      <c r="AG831" s="320"/>
      <c r="AH831" s="13"/>
      <c r="AI831" s="13"/>
      <c r="AJ831" s="13"/>
      <c r="AK831" s="13"/>
      <c r="AL831" s="13"/>
      <c r="AM831" s="13"/>
      <c r="AN831" s="13"/>
      <c r="AO831" s="13"/>
      <c r="AP831" s="13"/>
    </row>
    <row r="832" ht="18.75" customHeight="1">
      <c r="A832" s="13"/>
      <c r="B832" s="282"/>
      <c r="C832" s="330"/>
      <c r="D832" s="330"/>
      <c r="E832" s="330"/>
      <c r="F832" s="13"/>
      <c r="G832" s="309"/>
      <c r="H832" s="309"/>
      <c r="I832" s="309"/>
      <c r="J832" s="310"/>
      <c r="K832" s="310"/>
      <c r="L832" s="310"/>
      <c r="M832" s="310"/>
      <c r="N832" s="310"/>
      <c r="O832" s="311"/>
      <c r="P832" s="310"/>
      <c r="Q832" s="311"/>
      <c r="R832" s="310"/>
      <c r="S832" s="13"/>
      <c r="T832" s="13"/>
      <c r="U832" s="13"/>
      <c r="V832" s="13"/>
      <c r="W832" s="13"/>
      <c r="X832" s="310"/>
      <c r="Y832" s="311"/>
      <c r="Z832" s="310"/>
      <c r="AA832" s="312"/>
      <c r="AB832" s="13"/>
      <c r="AC832" s="313"/>
      <c r="AD832" s="313"/>
      <c r="AE832" s="313"/>
      <c r="AF832" s="331"/>
      <c r="AG832" s="320"/>
      <c r="AH832" s="13"/>
      <c r="AI832" s="13"/>
      <c r="AJ832" s="13"/>
      <c r="AK832" s="13"/>
      <c r="AL832" s="13"/>
      <c r="AM832" s="13"/>
      <c r="AN832" s="13"/>
      <c r="AO832" s="13"/>
      <c r="AP832" s="13"/>
    </row>
    <row r="833" ht="18.75" customHeight="1">
      <c r="A833" s="13"/>
      <c r="B833" s="282"/>
      <c r="C833" s="330"/>
      <c r="D833" s="330"/>
      <c r="E833" s="330"/>
      <c r="F833" s="13"/>
      <c r="G833" s="309"/>
      <c r="H833" s="309"/>
      <c r="I833" s="309"/>
      <c r="J833" s="310"/>
      <c r="K833" s="310"/>
      <c r="L833" s="310"/>
      <c r="M833" s="310"/>
      <c r="N833" s="310"/>
      <c r="O833" s="311"/>
      <c r="P833" s="310"/>
      <c r="Q833" s="311"/>
      <c r="R833" s="310"/>
      <c r="S833" s="13"/>
      <c r="T833" s="13"/>
      <c r="U833" s="13"/>
      <c r="V833" s="13"/>
      <c r="W833" s="13"/>
      <c r="X833" s="310"/>
      <c r="Y833" s="311"/>
      <c r="Z833" s="310"/>
      <c r="AA833" s="312"/>
      <c r="AB833" s="13"/>
      <c r="AC833" s="313"/>
      <c r="AD833" s="313"/>
      <c r="AE833" s="313"/>
      <c r="AF833" s="331"/>
      <c r="AG833" s="320"/>
      <c r="AH833" s="13"/>
      <c r="AI833" s="13"/>
      <c r="AJ833" s="13"/>
      <c r="AK833" s="13"/>
      <c r="AL833" s="13"/>
      <c r="AM833" s="13"/>
      <c r="AN833" s="13"/>
      <c r="AO833" s="13"/>
      <c r="AP833" s="13"/>
    </row>
    <row r="834" ht="18.75" customHeight="1">
      <c r="A834" s="13"/>
      <c r="B834" s="282"/>
      <c r="C834" s="330"/>
      <c r="D834" s="330"/>
      <c r="E834" s="330"/>
      <c r="F834" s="13"/>
      <c r="G834" s="309"/>
      <c r="H834" s="309"/>
      <c r="I834" s="309"/>
      <c r="J834" s="310"/>
      <c r="K834" s="310"/>
      <c r="L834" s="310"/>
      <c r="M834" s="310"/>
      <c r="N834" s="310"/>
      <c r="O834" s="311"/>
      <c r="P834" s="310"/>
      <c r="Q834" s="311"/>
      <c r="R834" s="310"/>
      <c r="S834" s="13"/>
      <c r="T834" s="13"/>
      <c r="U834" s="13"/>
      <c r="V834" s="13"/>
      <c r="W834" s="13"/>
      <c r="X834" s="310"/>
      <c r="Y834" s="311"/>
      <c r="Z834" s="310"/>
      <c r="AA834" s="312"/>
      <c r="AB834" s="13"/>
      <c r="AC834" s="313"/>
      <c r="AD834" s="313"/>
      <c r="AE834" s="313"/>
      <c r="AF834" s="331"/>
      <c r="AG834" s="320"/>
      <c r="AH834" s="13"/>
      <c r="AI834" s="13"/>
      <c r="AJ834" s="13"/>
      <c r="AK834" s="13"/>
      <c r="AL834" s="13"/>
      <c r="AM834" s="13"/>
      <c r="AN834" s="13"/>
      <c r="AO834" s="13"/>
      <c r="AP834" s="13"/>
    </row>
    <row r="835" ht="18.75" customHeight="1">
      <c r="A835" s="13"/>
      <c r="B835" s="282"/>
      <c r="C835" s="330"/>
      <c r="D835" s="330"/>
      <c r="E835" s="330"/>
      <c r="F835" s="13"/>
      <c r="G835" s="309"/>
      <c r="H835" s="309"/>
      <c r="I835" s="309"/>
      <c r="J835" s="310"/>
      <c r="K835" s="310"/>
      <c r="L835" s="310"/>
      <c r="M835" s="310"/>
      <c r="N835" s="310"/>
      <c r="O835" s="311"/>
      <c r="P835" s="310"/>
      <c r="Q835" s="311"/>
      <c r="R835" s="310"/>
      <c r="S835" s="13"/>
      <c r="T835" s="13"/>
      <c r="U835" s="13"/>
      <c r="V835" s="13"/>
      <c r="W835" s="13"/>
      <c r="X835" s="310"/>
      <c r="Y835" s="311"/>
      <c r="Z835" s="310"/>
      <c r="AA835" s="312"/>
      <c r="AB835" s="13"/>
      <c r="AC835" s="313"/>
      <c r="AD835" s="313"/>
      <c r="AE835" s="313"/>
      <c r="AF835" s="331"/>
      <c r="AG835" s="320"/>
      <c r="AH835" s="13"/>
      <c r="AI835" s="13"/>
      <c r="AJ835" s="13"/>
      <c r="AK835" s="13"/>
      <c r="AL835" s="13"/>
      <c r="AM835" s="13"/>
      <c r="AN835" s="13"/>
      <c r="AO835" s="13"/>
      <c r="AP835" s="13"/>
    </row>
    <row r="836" ht="18.75" customHeight="1">
      <c r="A836" s="13"/>
      <c r="B836" s="282"/>
      <c r="C836" s="330"/>
      <c r="D836" s="330"/>
      <c r="E836" s="330"/>
      <c r="F836" s="13"/>
      <c r="G836" s="309"/>
      <c r="H836" s="309"/>
      <c r="I836" s="309"/>
      <c r="J836" s="310"/>
      <c r="K836" s="310"/>
      <c r="L836" s="310"/>
      <c r="M836" s="310"/>
      <c r="N836" s="310"/>
      <c r="O836" s="311"/>
      <c r="P836" s="310"/>
      <c r="Q836" s="311"/>
      <c r="R836" s="310"/>
      <c r="S836" s="13"/>
      <c r="T836" s="13"/>
      <c r="U836" s="13"/>
      <c r="V836" s="13"/>
      <c r="W836" s="13"/>
      <c r="X836" s="310"/>
      <c r="Y836" s="311"/>
      <c r="Z836" s="310"/>
      <c r="AA836" s="312"/>
      <c r="AB836" s="13"/>
      <c r="AC836" s="313"/>
      <c r="AD836" s="313"/>
      <c r="AE836" s="313"/>
      <c r="AF836" s="331"/>
      <c r="AG836" s="320"/>
      <c r="AH836" s="13"/>
      <c r="AI836" s="13"/>
      <c r="AJ836" s="13"/>
      <c r="AK836" s="13"/>
      <c r="AL836" s="13"/>
      <c r="AM836" s="13"/>
      <c r="AN836" s="13"/>
      <c r="AO836" s="13"/>
      <c r="AP836" s="13"/>
    </row>
    <row r="837" ht="18.75" customHeight="1">
      <c r="A837" s="13"/>
      <c r="B837" s="282"/>
      <c r="C837" s="330"/>
      <c r="D837" s="330"/>
      <c r="E837" s="330"/>
      <c r="F837" s="13"/>
      <c r="G837" s="309"/>
      <c r="H837" s="309"/>
      <c r="I837" s="309"/>
      <c r="J837" s="310"/>
      <c r="K837" s="310"/>
      <c r="L837" s="310"/>
      <c r="M837" s="310"/>
      <c r="N837" s="310"/>
      <c r="O837" s="311"/>
      <c r="P837" s="310"/>
      <c r="Q837" s="311"/>
      <c r="R837" s="310"/>
      <c r="S837" s="13"/>
      <c r="T837" s="13"/>
      <c r="U837" s="13"/>
      <c r="V837" s="13"/>
      <c r="W837" s="13"/>
      <c r="X837" s="310"/>
      <c r="Y837" s="311"/>
      <c r="Z837" s="310"/>
      <c r="AA837" s="312"/>
      <c r="AB837" s="13"/>
      <c r="AC837" s="313"/>
      <c r="AD837" s="313"/>
      <c r="AE837" s="313"/>
      <c r="AF837" s="331"/>
      <c r="AG837" s="320"/>
      <c r="AH837" s="13"/>
      <c r="AI837" s="13"/>
      <c r="AJ837" s="13"/>
      <c r="AK837" s="13"/>
      <c r="AL837" s="13"/>
      <c r="AM837" s="13"/>
      <c r="AN837" s="13"/>
      <c r="AO837" s="13"/>
      <c r="AP837" s="13"/>
    </row>
    <row r="838" ht="18.75" customHeight="1">
      <c r="A838" s="13"/>
      <c r="B838" s="282"/>
      <c r="C838" s="330"/>
      <c r="D838" s="330"/>
      <c r="E838" s="330"/>
      <c r="F838" s="13"/>
      <c r="G838" s="309"/>
      <c r="H838" s="309"/>
      <c r="I838" s="309"/>
      <c r="J838" s="310"/>
      <c r="K838" s="310"/>
      <c r="L838" s="310"/>
      <c r="M838" s="310"/>
      <c r="N838" s="310"/>
      <c r="O838" s="311"/>
      <c r="P838" s="310"/>
      <c r="Q838" s="311"/>
      <c r="R838" s="310"/>
      <c r="S838" s="13"/>
      <c r="T838" s="13"/>
      <c r="U838" s="13"/>
      <c r="V838" s="13"/>
      <c r="W838" s="13"/>
      <c r="X838" s="310"/>
      <c r="Y838" s="311"/>
      <c r="Z838" s="310"/>
      <c r="AA838" s="312"/>
      <c r="AB838" s="13"/>
      <c r="AC838" s="313"/>
      <c r="AD838" s="313"/>
      <c r="AE838" s="313"/>
      <c r="AF838" s="331"/>
      <c r="AG838" s="320"/>
      <c r="AH838" s="13"/>
      <c r="AI838" s="13"/>
      <c r="AJ838" s="13"/>
      <c r="AK838" s="13"/>
      <c r="AL838" s="13"/>
      <c r="AM838" s="13"/>
      <c r="AN838" s="13"/>
      <c r="AO838" s="13"/>
      <c r="AP838" s="13"/>
    </row>
    <row r="839" ht="18.75" customHeight="1">
      <c r="A839" s="13"/>
      <c r="B839" s="282"/>
      <c r="C839" s="330"/>
      <c r="D839" s="330"/>
      <c r="E839" s="330"/>
      <c r="F839" s="13"/>
      <c r="G839" s="309"/>
      <c r="H839" s="309"/>
      <c r="I839" s="309"/>
      <c r="J839" s="310"/>
      <c r="K839" s="310"/>
      <c r="L839" s="310"/>
      <c r="M839" s="310"/>
      <c r="N839" s="310"/>
      <c r="O839" s="311"/>
      <c r="P839" s="310"/>
      <c r="Q839" s="311"/>
      <c r="R839" s="310"/>
      <c r="S839" s="13"/>
      <c r="T839" s="13"/>
      <c r="U839" s="13"/>
      <c r="V839" s="13"/>
      <c r="W839" s="13"/>
      <c r="X839" s="310"/>
      <c r="Y839" s="311"/>
      <c r="Z839" s="310"/>
      <c r="AA839" s="312"/>
      <c r="AB839" s="13"/>
      <c r="AC839" s="313"/>
      <c r="AD839" s="313"/>
      <c r="AE839" s="313"/>
      <c r="AF839" s="331"/>
      <c r="AG839" s="320"/>
      <c r="AH839" s="13"/>
      <c r="AI839" s="13"/>
      <c r="AJ839" s="13"/>
      <c r="AK839" s="13"/>
      <c r="AL839" s="13"/>
      <c r="AM839" s="13"/>
      <c r="AN839" s="13"/>
      <c r="AO839" s="13"/>
      <c r="AP839" s="13"/>
    </row>
    <row r="840" ht="18.75" customHeight="1">
      <c r="A840" s="13"/>
      <c r="B840" s="282"/>
      <c r="C840" s="330"/>
      <c r="D840" s="330"/>
      <c r="E840" s="330"/>
      <c r="F840" s="13"/>
      <c r="G840" s="309"/>
      <c r="H840" s="309"/>
      <c r="I840" s="309"/>
      <c r="J840" s="310"/>
      <c r="K840" s="310"/>
      <c r="L840" s="310"/>
      <c r="M840" s="310"/>
      <c r="N840" s="310"/>
      <c r="O840" s="311"/>
      <c r="P840" s="310"/>
      <c r="Q840" s="311"/>
      <c r="R840" s="310"/>
      <c r="S840" s="13"/>
      <c r="T840" s="13"/>
      <c r="U840" s="13"/>
      <c r="V840" s="13"/>
      <c r="W840" s="13"/>
      <c r="X840" s="310"/>
      <c r="Y840" s="311"/>
      <c r="Z840" s="310"/>
      <c r="AA840" s="312"/>
      <c r="AB840" s="13"/>
      <c r="AC840" s="313"/>
      <c r="AD840" s="313"/>
      <c r="AE840" s="313"/>
      <c r="AF840" s="331"/>
      <c r="AG840" s="320"/>
      <c r="AH840" s="13"/>
      <c r="AI840" s="13"/>
      <c r="AJ840" s="13"/>
      <c r="AK840" s="13"/>
      <c r="AL840" s="13"/>
      <c r="AM840" s="13"/>
      <c r="AN840" s="13"/>
      <c r="AO840" s="13"/>
      <c r="AP840" s="13"/>
    </row>
    <row r="841" ht="18.75" customHeight="1">
      <c r="A841" s="13"/>
      <c r="B841" s="282"/>
      <c r="C841" s="330"/>
      <c r="D841" s="330"/>
      <c r="E841" s="330"/>
      <c r="F841" s="13"/>
      <c r="G841" s="309"/>
      <c r="H841" s="309"/>
      <c r="I841" s="309"/>
      <c r="J841" s="310"/>
      <c r="K841" s="310"/>
      <c r="L841" s="310"/>
      <c r="M841" s="310"/>
      <c r="N841" s="310"/>
      <c r="O841" s="311"/>
      <c r="P841" s="310"/>
      <c r="Q841" s="311"/>
      <c r="R841" s="310"/>
      <c r="S841" s="13"/>
      <c r="T841" s="13"/>
      <c r="U841" s="13"/>
      <c r="V841" s="13"/>
      <c r="W841" s="13"/>
      <c r="X841" s="310"/>
      <c r="Y841" s="311"/>
      <c r="Z841" s="310"/>
      <c r="AA841" s="312"/>
      <c r="AB841" s="13"/>
      <c r="AC841" s="313"/>
      <c r="AD841" s="313"/>
      <c r="AE841" s="313"/>
      <c r="AF841" s="331"/>
      <c r="AG841" s="320"/>
      <c r="AH841" s="13"/>
      <c r="AI841" s="13"/>
      <c r="AJ841" s="13"/>
      <c r="AK841" s="13"/>
      <c r="AL841" s="13"/>
      <c r="AM841" s="13"/>
      <c r="AN841" s="13"/>
      <c r="AO841" s="13"/>
      <c r="AP841" s="13"/>
    </row>
    <row r="842" ht="18.75" customHeight="1">
      <c r="A842" s="13"/>
      <c r="B842" s="282"/>
      <c r="C842" s="330"/>
      <c r="D842" s="330"/>
      <c r="E842" s="330"/>
      <c r="F842" s="13"/>
      <c r="G842" s="309"/>
      <c r="H842" s="309"/>
      <c r="I842" s="309"/>
      <c r="J842" s="310"/>
      <c r="K842" s="310"/>
      <c r="L842" s="310"/>
      <c r="M842" s="310"/>
      <c r="N842" s="310"/>
      <c r="O842" s="311"/>
      <c r="P842" s="310"/>
      <c r="Q842" s="311"/>
      <c r="R842" s="310"/>
      <c r="S842" s="13"/>
      <c r="T842" s="13"/>
      <c r="U842" s="13"/>
      <c r="V842" s="13"/>
      <c r="W842" s="13"/>
      <c r="X842" s="310"/>
      <c r="Y842" s="311"/>
      <c r="Z842" s="310"/>
      <c r="AA842" s="312"/>
      <c r="AB842" s="13"/>
      <c r="AC842" s="313"/>
      <c r="AD842" s="313"/>
      <c r="AE842" s="313"/>
      <c r="AF842" s="331"/>
      <c r="AG842" s="320"/>
      <c r="AH842" s="13"/>
      <c r="AI842" s="13"/>
      <c r="AJ842" s="13"/>
      <c r="AK842" s="13"/>
      <c r="AL842" s="13"/>
      <c r="AM842" s="13"/>
      <c r="AN842" s="13"/>
      <c r="AO842" s="13"/>
      <c r="AP842" s="13"/>
    </row>
    <row r="843" ht="18.75" customHeight="1">
      <c r="A843" s="13"/>
      <c r="B843" s="282"/>
      <c r="C843" s="330"/>
      <c r="D843" s="330"/>
      <c r="E843" s="330"/>
      <c r="F843" s="13"/>
      <c r="G843" s="309"/>
      <c r="H843" s="309"/>
      <c r="I843" s="309"/>
      <c r="J843" s="310"/>
      <c r="K843" s="310"/>
      <c r="L843" s="310"/>
      <c r="M843" s="310"/>
      <c r="N843" s="310"/>
      <c r="O843" s="311"/>
      <c r="P843" s="310"/>
      <c r="Q843" s="311"/>
      <c r="R843" s="310"/>
      <c r="S843" s="13"/>
      <c r="T843" s="13"/>
      <c r="U843" s="13"/>
      <c r="V843" s="13"/>
      <c r="W843" s="13"/>
      <c r="X843" s="310"/>
      <c r="Y843" s="311"/>
      <c r="Z843" s="310"/>
      <c r="AA843" s="312"/>
      <c r="AB843" s="13"/>
      <c r="AC843" s="313"/>
      <c r="AD843" s="313"/>
      <c r="AE843" s="313"/>
      <c r="AF843" s="331"/>
      <c r="AG843" s="320"/>
      <c r="AH843" s="13"/>
      <c r="AI843" s="13"/>
      <c r="AJ843" s="13"/>
      <c r="AK843" s="13"/>
      <c r="AL843" s="13"/>
      <c r="AM843" s="13"/>
      <c r="AN843" s="13"/>
      <c r="AO843" s="13"/>
      <c r="AP843" s="13"/>
    </row>
    <row r="844" ht="18.75" customHeight="1">
      <c r="A844" s="13"/>
      <c r="B844" s="282"/>
      <c r="C844" s="330"/>
      <c r="D844" s="330"/>
      <c r="E844" s="330"/>
      <c r="F844" s="13"/>
      <c r="G844" s="309"/>
      <c r="H844" s="309"/>
      <c r="I844" s="309"/>
      <c r="J844" s="310"/>
      <c r="K844" s="310"/>
      <c r="L844" s="310"/>
      <c r="M844" s="310"/>
      <c r="N844" s="310"/>
      <c r="O844" s="311"/>
      <c r="P844" s="310"/>
      <c r="Q844" s="311"/>
      <c r="R844" s="310"/>
      <c r="S844" s="13"/>
      <c r="T844" s="13"/>
      <c r="U844" s="13"/>
      <c r="V844" s="13"/>
      <c r="W844" s="13"/>
      <c r="X844" s="310"/>
      <c r="Y844" s="311"/>
      <c r="Z844" s="310"/>
      <c r="AA844" s="312"/>
      <c r="AB844" s="13"/>
      <c r="AC844" s="313"/>
      <c r="AD844" s="313"/>
      <c r="AE844" s="313"/>
      <c r="AF844" s="331"/>
      <c r="AG844" s="320"/>
      <c r="AH844" s="13"/>
      <c r="AI844" s="13"/>
      <c r="AJ844" s="13"/>
      <c r="AK844" s="13"/>
      <c r="AL844" s="13"/>
      <c r="AM844" s="13"/>
      <c r="AN844" s="13"/>
      <c r="AO844" s="13"/>
      <c r="AP844" s="13"/>
    </row>
    <row r="845" ht="18.75" customHeight="1">
      <c r="A845" s="13"/>
      <c r="B845" s="282"/>
      <c r="C845" s="330"/>
      <c r="D845" s="330"/>
      <c r="E845" s="330"/>
      <c r="F845" s="13"/>
      <c r="G845" s="309"/>
      <c r="H845" s="309"/>
      <c r="I845" s="309"/>
      <c r="J845" s="310"/>
      <c r="K845" s="310"/>
      <c r="L845" s="310"/>
      <c r="M845" s="310"/>
      <c r="N845" s="310"/>
      <c r="O845" s="311"/>
      <c r="P845" s="310"/>
      <c r="Q845" s="311"/>
      <c r="R845" s="310"/>
      <c r="S845" s="13"/>
      <c r="T845" s="13"/>
      <c r="U845" s="13"/>
      <c r="V845" s="13"/>
      <c r="W845" s="13"/>
      <c r="X845" s="310"/>
      <c r="Y845" s="311"/>
      <c r="Z845" s="310"/>
      <c r="AA845" s="312"/>
      <c r="AB845" s="13"/>
      <c r="AC845" s="313"/>
      <c r="AD845" s="313"/>
      <c r="AE845" s="313"/>
      <c r="AF845" s="331"/>
      <c r="AG845" s="320"/>
      <c r="AH845" s="13"/>
      <c r="AI845" s="13"/>
      <c r="AJ845" s="13"/>
      <c r="AK845" s="13"/>
      <c r="AL845" s="13"/>
      <c r="AM845" s="13"/>
      <c r="AN845" s="13"/>
      <c r="AO845" s="13"/>
      <c r="AP845" s="13"/>
    </row>
    <row r="846" ht="18.75" customHeight="1">
      <c r="A846" s="13"/>
      <c r="B846" s="282"/>
      <c r="C846" s="330"/>
      <c r="D846" s="330"/>
      <c r="E846" s="330"/>
      <c r="F846" s="13"/>
      <c r="G846" s="309"/>
      <c r="H846" s="309"/>
      <c r="I846" s="309"/>
      <c r="J846" s="310"/>
      <c r="K846" s="310"/>
      <c r="L846" s="310"/>
      <c r="M846" s="310"/>
      <c r="N846" s="310"/>
      <c r="O846" s="311"/>
      <c r="P846" s="310"/>
      <c r="Q846" s="311"/>
      <c r="R846" s="310"/>
      <c r="S846" s="13"/>
      <c r="T846" s="13"/>
      <c r="U846" s="13"/>
      <c r="V846" s="13"/>
      <c r="W846" s="13"/>
      <c r="X846" s="310"/>
      <c r="Y846" s="311"/>
      <c r="Z846" s="310"/>
      <c r="AA846" s="312"/>
      <c r="AB846" s="13"/>
      <c r="AC846" s="313"/>
      <c r="AD846" s="313"/>
      <c r="AE846" s="313"/>
      <c r="AF846" s="331"/>
      <c r="AG846" s="320"/>
      <c r="AH846" s="13"/>
      <c r="AI846" s="13"/>
      <c r="AJ846" s="13"/>
      <c r="AK846" s="13"/>
      <c r="AL846" s="13"/>
      <c r="AM846" s="13"/>
      <c r="AN846" s="13"/>
      <c r="AO846" s="13"/>
      <c r="AP846" s="13"/>
    </row>
    <row r="847" ht="18.75" customHeight="1">
      <c r="A847" s="13"/>
      <c r="B847" s="282"/>
      <c r="C847" s="330"/>
      <c r="D847" s="330"/>
      <c r="E847" s="330"/>
      <c r="F847" s="13"/>
      <c r="G847" s="309"/>
      <c r="H847" s="309"/>
      <c r="I847" s="309"/>
      <c r="J847" s="310"/>
      <c r="K847" s="310"/>
      <c r="L847" s="310"/>
      <c r="M847" s="310"/>
      <c r="N847" s="310"/>
      <c r="O847" s="311"/>
      <c r="P847" s="310"/>
      <c r="Q847" s="311"/>
      <c r="R847" s="310"/>
      <c r="S847" s="13"/>
      <c r="T847" s="13"/>
      <c r="U847" s="13"/>
      <c r="V847" s="13"/>
      <c r="W847" s="13"/>
      <c r="X847" s="310"/>
      <c r="Y847" s="311"/>
      <c r="Z847" s="310"/>
      <c r="AA847" s="312"/>
      <c r="AB847" s="13"/>
      <c r="AC847" s="313"/>
      <c r="AD847" s="313"/>
      <c r="AE847" s="313"/>
      <c r="AF847" s="331"/>
      <c r="AG847" s="320"/>
      <c r="AH847" s="13"/>
      <c r="AI847" s="13"/>
      <c r="AJ847" s="13"/>
      <c r="AK847" s="13"/>
      <c r="AL847" s="13"/>
      <c r="AM847" s="13"/>
      <c r="AN847" s="13"/>
      <c r="AO847" s="13"/>
      <c r="AP847" s="13"/>
    </row>
    <row r="848" ht="18.75" customHeight="1">
      <c r="A848" s="13"/>
      <c r="B848" s="282"/>
      <c r="C848" s="330"/>
      <c r="D848" s="330"/>
      <c r="E848" s="330"/>
      <c r="F848" s="13"/>
      <c r="G848" s="309"/>
      <c r="H848" s="309"/>
      <c r="I848" s="309"/>
      <c r="J848" s="310"/>
      <c r="K848" s="310"/>
      <c r="L848" s="310"/>
      <c r="M848" s="310"/>
      <c r="N848" s="310"/>
      <c r="O848" s="311"/>
      <c r="P848" s="310"/>
      <c r="Q848" s="311"/>
      <c r="R848" s="310"/>
      <c r="S848" s="13"/>
      <c r="T848" s="13"/>
      <c r="U848" s="13"/>
      <c r="V848" s="13"/>
      <c r="W848" s="13"/>
      <c r="X848" s="310"/>
      <c r="Y848" s="311"/>
      <c r="Z848" s="310"/>
      <c r="AA848" s="312"/>
      <c r="AB848" s="13"/>
      <c r="AC848" s="313"/>
      <c r="AD848" s="313"/>
      <c r="AE848" s="313"/>
      <c r="AF848" s="331"/>
      <c r="AG848" s="320"/>
      <c r="AH848" s="13"/>
      <c r="AI848" s="13"/>
      <c r="AJ848" s="13"/>
      <c r="AK848" s="13"/>
      <c r="AL848" s="13"/>
      <c r="AM848" s="13"/>
      <c r="AN848" s="13"/>
      <c r="AO848" s="13"/>
      <c r="AP848" s="13"/>
    </row>
    <row r="849" ht="18.75" customHeight="1">
      <c r="A849" s="13"/>
      <c r="B849" s="282"/>
      <c r="C849" s="330"/>
      <c r="D849" s="330"/>
      <c r="E849" s="330"/>
      <c r="F849" s="13"/>
      <c r="G849" s="309"/>
      <c r="H849" s="309"/>
      <c r="I849" s="309"/>
      <c r="J849" s="310"/>
      <c r="K849" s="310"/>
      <c r="L849" s="310"/>
      <c r="M849" s="310"/>
      <c r="N849" s="310"/>
      <c r="O849" s="311"/>
      <c r="P849" s="310"/>
      <c r="Q849" s="311"/>
      <c r="R849" s="310"/>
      <c r="S849" s="13"/>
      <c r="T849" s="13"/>
      <c r="U849" s="13"/>
      <c r="V849" s="13"/>
      <c r="W849" s="13"/>
      <c r="X849" s="310"/>
      <c r="Y849" s="311"/>
      <c r="Z849" s="310"/>
      <c r="AA849" s="312"/>
      <c r="AB849" s="13"/>
      <c r="AC849" s="313"/>
      <c r="AD849" s="313"/>
      <c r="AE849" s="313"/>
      <c r="AF849" s="331"/>
      <c r="AG849" s="320"/>
      <c r="AH849" s="13"/>
      <c r="AI849" s="13"/>
      <c r="AJ849" s="13"/>
      <c r="AK849" s="13"/>
      <c r="AL849" s="13"/>
      <c r="AM849" s="13"/>
      <c r="AN849" s="13"/>
      <c r="AO849" s="13"/>
      <c r="AP849" s="13"/>
    </row>
    <row r="850" ht="18.75" customHeight="1">
      <c r="A850" s="13"/>
      <c r="B850" s="282"/>
      <c r="C850" s="330"/>
      <c r="D850" s="330"/>
      <c r="E850" s="330"/>
      <c r="F850" s="13"/>
      <c r="G850" s="309"/>
      <c r="H850" s="309"/>
      <c r="I850" s="309"/>
      <c r="J850" s="310"/>
      <c r="K850" s="310"/>
      <c r="L850" s="310"/>
      <c r="M850" s="310"/>
      <c r="N850" s="310"/>
      <c r="O850" s="311"/>
      <c r="P850" s="310"/>
      <c r="Q850" s="311"/>
      <c r="R850" s="310"/>
      <c r="S850" s="13"/>
      <c r="T850" s="13"/>
      <c r="U850" s="13"/>
      <c r="V850" s="13"/>
      <c r="W850" s="13"/>
      <c r="X850" s="310"/>
      <c r="Y850" s="311"/>
      <c r="Z850" s="310"/>
      <c r="AA850" s="312"/>
      <c r="AB850" s="13"/>
      <c r="AC850" s="313"/>
      <c r="AD850" s="313"/>
      <c r="AE850" s="313"/>
      <c r="AF850" s="331"/>
      <c r="AG850" s="320"/>
      <c r="AH850" s="13"/>
      <c r="AI850" s="13"/>
      <c r="AJ850" s="13"/>
      <c r="AK850" s="13"/>
      <c r="AL850" s="13"/>
      <c r="AM850" s="13"/>
      <c r="AN850" s="13"/>
      <c r="AO850" s="13"/>
      <c r="AP850" s="13"/>
    </row>
    <row r="851" ht="18.75" customHeight="1">
      <c r="A851" s="13"/>
      <c r="B851" s="282"/>
      <c r="C851" s="330"/>
      <c r="D851" s="330"/>
      <c r="E851" s="330"/>
      <c r="F851" s="13"/>
      <c r="G851" s="309"/>
      <c r="H851" s="309"/>
      <c r="I851" s="309"/>
      <c r="J851" s="310"/>
      <c r="K851" s="310"/>
      <c r="L851" s="310"/>
      <c r="M851" s="310"/>
      <c r="N851" s="310"/>
      <c r="O851" s="311"/>
      <c r="P851" s="310"/>
      <c r="Q851" s="311"/>
      <c r="R851" s="310"/>
      <c r="S851" s="13"/>
      <c r="T851" s="13"/>
      <c r="U851" s="13"/>
      <c r="V851" s="13"/>
      <c r="W851" s="13"/>
      <c r="X851" s="310"/>
      <c r="Y851" s="311"/>
      <c r="Z851" s="310"/>
      <c r="AA851" s="312"/>
      <c r="AB851" s="13"/>
      <c r="AC851" s="313"/>
      <c r="AD851" s="313"/>
      <c r="AE851" s="313"/>
      <c r="AF851" s="331"/>
      <c r="AG851" s="320"/>
      <c r="AH851" s="13"/>
      <c r="AI851" s="13"/>
      <c r="AJ851" s="13"/>
      <c r="AK851" s="13"/>
      <c r="AL851" s="13"/>
      <c r="AM851" s="13"/>
      <c r="AN851" s="13"/>
      <c r="AO851" s="13"/>
      <c r="AP851" s="13"/>
    </row>
    <row r="852" ht="18.75" customHeight="1">
      <c r="A852" s="13"/>
      <c r="B852" s="282"/>
      <c r="C852" s="330"/>
      <c r="D852" s="330"/>
      <c r="E852" s="330"/>
      <c r="F852" s="13"/>
      <c r="G852" s="309"/>
      <c r="H852" s="309"/>
      <c r="I852" s="309"/>
      <c r="J852" s="310"/>
      <c r="K852" s="310"/>
      <c r="L852" s="310"/>
      <c r="M852" s="310"/>
      <c r="N852" s="310"/>
      <c r="O852" s="311"/>
      <c r="P852" s="310"/>
      <c r="Q852" s="311"/>
      <c r="R852" s="310"/>
      <c r="S852" s="13"/>
      <c r="T852" s="13"/>
      <c r="U852" s="13"/>
      <c r="V852" s="13"/>
      <c r="W852" s="13"/>
      <c r="X852" s="310"/>
      <c r="Y852" s="311"/>
      <c r="Z852" s="310"/>
      <c r="AA852" s="312"/>
      <c r="AB852" s="13"/>
      <c r="AC852" s="313"/>
      <c r="AD852" s="313"/>
      <c r="AE852" s="313"/>
      <c r="AF852" s="331"/>
      <c r="AG852" s="320"/>
      <c r="AH852" s="13"/>
      <c r="AI852" s="13"/>
      <c r="AJ852" s="13"/>
      <c r="AK852" s="13"/>
      <c r="AL852" s="13"/>
      <c r="AM852" s="13"/>
      <c r="AN852" s="13"/>
      <c r="AO852" s="13"/>
      <c r="AP852" s="13"/>
    </row>
    <row r="853" ht="18.75" customHeight="1">
      <c r="A853" s="13"/>
      <c r="B853" s="282"/>
      <c r="C853" s="330"/>
      <c r="D853" s="330"/>
      <c r="E853" s="330"/>
      <c r="F853" s="13"/>
      <c r="G853" s="309"/>
      <c r="H853" s="309"/>
      <c r="I853" s="309"/>
      <c r="J853" s="310"/>
      <c r="K853" s="310"/>
      <c r="L853" s="310"/>
      <c r="M853" s="310"/>
      <c r="N853" s="310"/>
      <c r="O853" s="311"/>
      <c r="P853" s="310"/>
      <c r="Q853" s="311"/>
      <c r="R853" s="310"/>
      <c r="S853" s="13"/>
      <c r="T853" s="13"/>
      <c r="U853" s="13"/>
      <c r="V853" s="13"/>
      <c r="W853" s="13"/>
      <c r="X853" s="310"/>
      <c r="Y853" s="311"/>
      <c r="Z853" s="310"/>
      <c r="AA853" s="312"/>
      <c r="AB853" s="13"/>
      <c r="AC853" s="313"/>
      <c r="AD853" s="313"/>
      <c r="AE853" s="313"/>
      <c r="AF853" s="331"/>
      <c r="AG853" s="320"/>
      <c r="AH853" s="13"/>
      <c r="AI853" s="13"/>
      <c r="AJ853" s="13"/>
      <c r="AK853" s="13"/>
      <c r="AL853" s="13"/>
      <c r="AM853" s="13"/>
      <c r="AN853" s="13"/>
      <c r="AO853" s="13"/>
      <c r="AP853" s="13"/>
    </row>
    <row r="854" ht="18.75" customHeight="1">
      <c r="A854" s="13"/>
      <c r="B854" s="282"/>
      <c r="C854" s="330"/>
      <c r="D854" s="330"/>
      <c r="E854" s="330"/>
      <c r="F854" s="13"/>
      <c r="G854" s="309"/>
      <c r="H854" s="309"/>
      <c r="I854" s="309"/>
      <c r="J854" s="310"/>
      <c r="K854" s="310"/>
      <c r="L854" s="310"/>
      <c r="M854" s="310"/>
      <c r="N854" s="310"/>
      <c r="O854" s="311"/>
      <c r="P854" s="310"/>
      <c r="Q854" s="311"/>
      <c r="R854" s="310"/>
      <c r="S854" s="13"/>
      <c r="T854" s="13"/>
      <c r="U854" s="13"/>
      <c r="V854" s="13"/>
      <c r="W854" s="13"/>
      <c r="X854" s="310"/>
      <c r="Y854" s="311"/>
      <c r="Z854" s="310"/>
      <c r="AA854" s="312"/>
      <c r="AB854" s="13"/>
      <c r="AC854" s="313"/>
      <c r="AD854" s="313"/>
      <c r="AE854" s="313"/>
      <c r="AF854" s="331"/>
      <c r="AG854" s="320"/>
      <c r="AH854" s="13"/>
      <c r="AI854" s="13"/>
      <c r="AJ854" s="13"/>
      <c r="AK854" s="13"/>
      <c r="AL854" s="13"/>
      <c r="AM854" s="13"/>
      <c r="AN854" s="13"/>
      <c r="AO854" s="13"/>
      <c r="AP854" s="13"/>
    </row>
    <row r="855" ht="18.75" customHeight="1">
      <c r="A855" s="13"/>
      <c r="B855" s="282"/>
      <c r="C855" s="330"/>
      <c r="D855" s="330"/>
      <c r="E855" s="330"/>
      <c r="F855" s="13"/>
      <c r="G855" s="309"/>
      <c r="H855" s="309"/>
      <c r="I855" s="309"/>
      <c r="J855" s="310"/>
      <c r="K855" s="310"/>
      <c r="L855" s="310"/>
      <c r="M855" s="310"/>
      <c r="N855" s="310"/>
      <c r="O855" s="311"/>
      <c r="P855" s="310"/>
      <c r="Q855" s="311"/>
      <c r="R855" s="310"/>
      <c r="S855" s="13"/>
      <c r="T855" s="13"/>
      <c r="U855" s="13"/>
      <c r="V855" s="13"/>
      <c r="W855" s="13"/>
      <c r="X855" s="310"/>
      <c r="Y855" s="311"/>
      <c r="Z855" s="310"/>
      <c r="AA855" s="312"/>
      <c r="AB855" s="13"/>
      <c r="AC855" s="313"/>
      <c r="AD855" s="313"/>
      <c r="AE855" s="313"/>
      <c r="AF855" s="331"/>
      <c r="AG855" s="320"/>
      <c r="AH855" s="13"/>
      <c r="AI855" s="13"/>
      <c r="AJ855" s="13"/>
      <c r="AK855" s="13"/>
      <c r="AL855" s="13"/>
      <c r="AM855" s="13"/>
      <c r="AN855" s="13"/>
      <c r="AO855" s="13"/>
      <c r="AP855" s="13"/>
    </row>
    <row r="856" ht="18.75" customHeight="1">
      <c r="A856" s="13"/>
      <c r="B856" s="282"/>
      <c r="C856" s="330"/>
      <c r="D856" s="330"/>
      <c r="E856" s="330"/>
      <c r="F856" s="13"/>
      <c r="G856" s="309"/>
      <c r="H856" s="309"/>
      <c r="I856" s="309"/>
      <c r="J856" s="310"/>
      <c r="K856" s="310"/>
      <c r="L856" s="310"/>
      <c r="M856" s="310"/>
      <c r="N856" s="310"/>
      <c r="O856" s="311"/>
      <c r="P856" s="310"/>
      <c r="Q856" s="311"/>
      <c r="R856" s="310"/>
      <c r="S856" s="13"/>
      <c r="T856" s="13"/>
      <c r="U856" s="13"/>
      <c r="V856" s="13"/>
      <c r="W856" s="13"/>
      <c r="X856" s="310"/>
      <c r="Y856" s="311"/>
      <c r="Z856" s="310"/>
      <c r="AA856" s="312"/>
      <c r="AB856" s="13"/>
      <c r="AC856" s="313"/>
      <c r="AD856" s="313"/>
      <c r="AE856" s="313"/>
      <c r="AF856" s="331"/>
      <c r="AG856" s="320"/>
      <c r="AH856" s="13"/>
      <c r="AI856" s="13"/>
      <c r="AJ856" s="13"/>
      <c r="AK856" s="13"/>
      <c r="AL856" s="13"/>
      <c r="AM856" s="13"/>
      <c r="AN856" s="13"/>
      <c r="AO856" s="13"/>
      <c r="AP856" s="13"/>
    </row>
    <row r="857" ht="18.75" customHeight="1">
      <c r="A857" s="13"/>
      <c r="B857" s="282"/>
      <c r="C857" s="330"/>
      <c r="D857" s="330"/>
      <c r="E857" s="330"/>
      <c r="F857" s="13"/>
      <c r="G857" s="309"/>
      <c r="H857" s="309"/>
      <c r="I857" s="309"/>
      <c r="J857" s="310"/>
      <c r="K857" s="310"/>
      <c r="L857" s="310"/>
      <c r="M857" s="310"/>
      <c r="N857" s="310"/>
      <c r="O857" s="311"/>
      <c r="P857" s="310"/>
      <c r="Q857" s="311"/>
      <c r="R857" s="310"/>
      <c r="S857" s="13"/>
      <c r="T857" s="13"/>
      <c r="U857" s="13"/>
      <c r="V857" s="13"/>
      <c r="W857" s="13"/>
      <c r="X857" s="310"/>
      <c r="Y857" s="311"/>
      <c r="Z857" s="310"/>
      <c r="AA857" s="312"/>
      <c r="AB857" s="13"/>
      <c r="AC857" s="313"/>
      <c r="AD857" s="313"/>
      <c r="AE857" s="313"/>
      <c r="AF857" s="331"/>
      <c r="AG857" s="320"/>
      <c r="AH857" s="13"/>
      <c r="AI857" s="13"/>
      <c r="AJ857" s="13"/>
      <c r="AK857" s="13"/>
      <c r="AL857" s="13"/>
      <c r="AM857" s="13"/>
      <c r="AN857" s="13"/>
      <c r="AO857" s="13"/>
      <c r="AP857" s="13"/>
    </row>
    <row r="858" ht="18.75" customHeight="1">
      <c r="A858" s="13"/>
      <c r="B858" s="282"/>
      <c r="C858" s="330"/>
      <c r="D858" s="330"/>
      <c r="E858" s="330"/>
      <c r="F858" s="13"/>
      <c r="G858" s="309"/>
      <c r="H858" s="309"/>
      <c r="I858" s="309"/>
      <c r="J858" s="310"/>
      <c r="K858" s="310"/>
      <c r="L858" s="310"/>
      <c r="M858" s="310"/>
      <c r="N858" s="310"/>
      <c r="O858" s="311"/>
      <c r="P858" s="310"/>
      <c r="Q858" s="311"/>
      <c r="R858" s="310"/>
      <c r="S858" s="13"/>
      <c r="T858" s="13"/>
      <c r="U858" s="13"/>
      <c r="V858" s="13"/>
      <c r="W858" s="13"/>
      <c r="X858" s="310"/>
      <c r="Y858" s="311"/>
      <c r="Z858" s="310"/>
      <c r="AA858" s="312"/>
      <c r="AB858" s="13"/>
      <c r="AC858" s="313"/>
      <c r="AD858" s="313"/>
      <c r="AE858" s="313"/>
      <c r="AF858" s="331"/>
      <c r="AG858" s="320"/>
      <c r="AH858" s="13"/>
      <c r="AI858" s="13"/>
      <c r="AJ858" s="13"/>
      <c r="AK858" s="13"/>
      <c r="AL858" s="13"/>
      <c r="AM858" s="13"/>
      <c r="AN858" s="13"/>
      <c r="AO858" s="13"/>
      <c r="AP858" s="13"/>
    </row>
    <row r="859" ht="18.75" customHeight="1">
      <c r="A859" s="13"/>
      <c r="B859" s="282"/>
      <c r="C859" s="330"/>
      <c r="D859" s="330"/>
      <c r="E859" s="330"/>
      <c r="F859" s="13"/>
      <c r="G859" s="309"/>
      <c r="H859" s="309"/>
      <c r="I859" s="309"/>
      <c r="J859" s="310"/>
      <c r="K859" s="310"/>
      <c r="L859" s="310"/>
      <c r="M859" s="310"/>
      <c r="N859" s="310"/>
      <c r="O859" s="311"/>
      <c r="P859" s="310"/>
      <c r="Q859" s="311"/>
      <c r="R859" s="310"/>
      <c r="S859" s="13"/>
      <c r="T859" s="13"/>
      <c r="U859" s="13"/>
      <c r="V859" s="13"/>
      <c r="W859" s="13"/>
      <c r="X859" s="310"/>
      <c r="Y859" s="311"/>
      <c r="Z859" s="310"/>
      <c r="AA859" s="312"/>
      <c r="AB859" s="13"/>
      <c r="AC859" s="313"/>
      <c r="AD859" s="313"/>
      <c r="AE859" s="313"/>
      <c r="AF859" s="331"/>
      <c r="AG859" s="320"/>
      <c r="AH859" s="13"/>
      <c r="AI859" s="13"/>
      <c r="AJ859" s="13"/>
      <c r="AK859" s="13"/>
      <c r="AL859" s="13"/>
      <c r="AM859" s="13"/>
      <c r="AN859" s="13"/>
      <c r="AO859" s="13"/>
      <c r="AP859" s="13"/>
    </row>
    <row r="860" ht="18.75" customHeight="1">
      <c r="A860" s="13"/>
      <c r="B860" s="282"/>
      <c r="C860" s="330"/>
      <c r="D860" s="330"/>
      <c r="E860" s="330"/>
      <c r="F860" s="13"/>
      <c r="G860" s="309"/>
      <c r="H860" s="309"/>
      <c r="I860" s="309"/>
      <c r="J860" s="310"/>
      <c r="K860" s="310"/>
      <c r="L860" s="310"/>
      <c r="M860" s="310"/>
      <c r="N860" s="310"/>
      <c r="O860" s="311"/>
      <c r="P860" s="310"/>
      <c r="Q860" s="311"/>
      <c r="R860" s="310"/>
      <c r="S860" s="13"/>
      <c r="T860" s="13"/>
      <c r="U860" s="13"/>
      <c r="V860" s="13"/>
      <c r="W860" s="13"/>
      <c r="X860" s="310"/>
      <c r="Y860" s="311"/>
      <c r="Z860" s="310"/>
      <c r="AA860" s="312"/>
      <c r="AB860" s="13"/>
      <c r="AC860" s="313"/>
      <c r="AD860" s="313"/>
      <c r="AE860" s="313"/>
      <c r="AF860" s="331"/>
      <c r="AG860" s="320"/>
      <c r="AH860" s="13"/>
      <c r="AI860" s="13"/>
      <c r="AJ860" s="13"/>
      <c r="AK860" s="13"/>
      <c r="AL860" s="13"/>
      <c r="AM860" s="13"/>
      <c r="AN860" s="13"/>
      <c r="AO860" s="13"/>
      <c r="AP860" s="13"/>
    </row>
    <row r="861" ht="18.75" customHeight="1">
      <c r="A861" s="13"/>
      <c r="B861" s="282"/>
      <c r="C861" s="330"/>
      <c r="D861" s="330"/>
      <c r="E861" s="330"/>
      <c r="F861" s="13"/>
      <c r="G861" s="309"/>
      <c r="H861" s="309"/>
      <c r="I861" s="309"/>
      <c r="J861" s="310"/>
      <c r="K861" s="310"/>
      <c r="L861" s="310"/>
      <c r="M861" s="310"/>
      <c r="N861" s="310"/>
      <c r="O861" s="311"/>
      <c r="P861" s="310"/>
      <c r="Q861" s="311"/>
      <c r="R861" s="310"/>
      <c r="S861" s="13"/>
      <c r="T861" s="13"/>
      <c r="U861" s="13"/>
      <c r="V861" s="13"/>
      <c r="W861" s="13"/>
      <c r="X861" s="310"/>
      <c r="Y861" s="311"/>
      <c r="Z861" s="310"/>
      <c r="AA861" s="312"/>
      <c r="AB861" s="13"/>
      <c r="AC861" s="313"/>
      <c r="AD861" s="313"/>
      <c r="AE861" s="313"/>
      <c r="AF861" s="331"/>
      <c r="AG861" s="320"/>
      <c r="AH861" s="13"/>
      <c r="AI861" s="13"/>
      <c r="AJ861" s="13"/>
      <c r="AK861" s="13"/>
      <c r="AL861" s="13"/>
      <c r="AM861" s="13"/>
      <c r="AN861" s="13"/>
      <c r="AO861" s="13"/>
      <c r="AP861" s="13"/>
    </row>
    <row r="862" ht="18.75" customHeight="1">
      <c r="A862" s="13"/>
      <c r="B862" s="282"/>
      <c r="C862" s="330"/>
      <c r="D862" s="330"/>
      <c r="E862" s="330"/>
      <c r="F862" s="13"/>
      <c r="G862" s="309"/>
      <c r="H862" s="309"/>
      <c r="I862" s="309"/>
      <c r="J862" s="310"/>
      <c r="K862" s="310"/>
      <c r="L862" s="310"/>
      <c r="M862" s="310"/>
      <c r="N862" s="310"/>
      <c r="O862" s="311"/>
      <c r="P862" s="310"/>
      <c r="Q862" s="311"/>
      <c r="R862" s="310"/>
      <c r="S862" s="13"/>
      <c r="T862" s="13"/>
      <c r="U862" s="13"/>
      <c r="V862" s="13"/>
      <c r="W862" s="13"/>
      <c r="X862" s="310"/>
      <c r="Y862" s="311"/>
      <c r="Z862" s="310"/>
      <c r="AA862" s="312"/>
      <c r="AB862" s="13"/>
      <c r="AC862" s="313"/>
      <c r="AD862" s="313"/>
      <c r="AE862" s="313"/>
      <c r="AF862" s="331"/>
      <c r="AG862" s="320"/>
      <c r="AH862" s="13"/>
      <c r="AI862" s="13"/>
      <c r="AJ862" s="13"/>
      <c r="AK862" s="13"/>
      <c r="AL862" s="13"/>
      <c r="AM862" s="13"/>
      <c r="AN862" s="13"/>
      <c r="AO862" s="13"/>
      <c r="AP862" s="13"/>
    </row>
    <row r="863" ht="18.75" customHeight="1">
      <c r="A863" s="13"/>
      <c r="B863" s="282"/>
      <c r="C863" s="330"/>
      <c r="D863" s="330"/>
      <c r="E863" s="330"/>
      <c r="F863" s="13"/>
      <c r="G863" s="309"/>
      <c r="H863" s="309"/>
      <c r="I863" s="309"/>
      <c r="J863" s="310"/>
      <c r="K863" s="310"/>
      <c r="L863" s="310"/>
      <c r="M863" s="310"/>
      <c r="N863" s="310"/>
      <c r="O863" s="311"/>
      <c r="P863" s="310"/>
      <c r="Q863" s="311"/>
      <c r="R863" s="310"/>
      <c r="S863" s="13"/>
      <c r="T863" s="13"/>
      <c r="U863" s="13"/>
      <c r="V863" s="13"/>
      <c r="W863" s="13"/>
      <c r="X863" s="310"/>
      <c r="Y863" s="311"/>
      <c r="Z863" s="310"/>
      <c r="AA863" s="312"/>
      <c r="AB863" s="13"/>
      <c r="AC863" s="313"/>
      <c r="AD863" s="313"/>
      <c r="AE863" s="313"/>
      <c r="AF863" s="331"/>
      <c r="AG863" s="320"/>
      <c r="AH863" s="13"/>
      <c r="AI863" s="13"/>
      <c r="AJ863" s="13"/>
      <c r="AK863" s="13"/>
      <c r="AL863" s="13"/>
      <c r="AM863" s="13"/>
      <c r="AN863" s="13"/>
      <c r="AO863" s="13"/>
      <c r="AP863" s="13"/>
    </row>
    <row r="864" ht="18.75" customHeight="1">
      <c r="A864" s="13"/>
      <c r="B864" s="282"/>
      <c r="C864" s="330"/>
      <c r="D864" s="330"/>
      <c r="E864" s="330"/>
      <c r="F864" s="13"/>
      <c r="G864" s="309"/>
      <c r="H864" s="309"/>
      <c r="I864" s="309"/>
      <c r="J864" s="310"/>
      <c r="K864" s="310"/>
      <c r="L864" s="310"/>
      <c r="M864" s="310"/>
      <c r="N864" s="310"/>
      <c r="O864" s="311"/>
      <c r="P864" s="310"/>
      <c r="Q864" s="311"/>
      <c r="R864" s="310"/>
      <c r="S864" s="13"/>
      <c r="T864" s="13"/>
      <c r="U864" s="13"/>
      <c r="V864" s="13"/>
      <c r="W864" s="13"/>
      <c r="X864" s="310"/>
      <c r="Y864" s="311"/>
      <c r="Z864" s="310"/>
      <c r="AA864" s="312"/>
      <c r="AB864" s="13"/>
      <c r="AC864" s="313"/>
      <c r="AD864" s="313"/>
      <c r="AE864" s="313"/>
      <c r="AF864" s="331"/>
      <c r="AG864" s="320"/>
      <c r="AH864" s="13"/>
      <c r="AI864" s="13"/>
      <c r="AJ864" s="13"/>
      <c r="AK864" s="13"/>
      <c r="AL864" s="13"/>
      <c r="AM864" s="13"/>
      <c r="AN864" s="13"/>
      <c r="AO864" s="13"/>
      <c r="AP864" s="13"/>
    </row>
    <row r="865" ht="18.75" customHeight="1">
      <c r="A865" s="13"/>
      <c r="B865" s="282"/>
      <c r="C865" s="330"/>
      <c r="D865" s="330"/>
      <c r="E865" s="330"/>
      <c r="F865" s="13"/>
      <c r="G865" s="309"/>
      <c r="H865" s="309"/>
      <c r="I865" s="309"/>
      <c r="J865" s="310"/>
      <c r="K865" s="310"/>
      <c r="L865" s="310"/>
      <c r="M865" s="310"/>
      <c r="N865" s="310"/>
      <c r="O865" s="311"/>
      <c r="P865" s="310"/>
      <c r="Q865" s="311"/>
      <c r="R865" s="310"/>
      <c r="S865" s="13"/>
      <c r="T865" s="13"/>
      <c r="U865" s="13"/>
      <c r="V865" s="13"/>
      <c r="W865" s="13"/>
      <c r="X865" s="310"/>
      <c r="Y865" s="311"/>
      <c r="Z865" s="310"/>
      <c r="AA865" s="312"/>
      <c r="AB865" s="13"/>
      <c r="AC865" s="313"/>
      <c r="AD865" s="313"/>
      <c r="AE865" s="313"/>
      <c r="AF865" s="331"/>
      <c r="AG865" s="320"/>
      <c r="AH865" s="13"/>
      <c r="AI865" s="13"/>
      <c r="AJ865" s="13"/>
      <c r="AK865" s="13"/>
      <c r="AL865" s="13"/>
      <c r="AM865" s="13"/>
      <c r="AN865" s="13"/>
      <c r="AO865" s="13"/>
      <c r="AP865" s="13"/>
    </row>
    <row r="866" ht="18.75" customHeight="1">
      <c r="A866" s="13"/>
      <c r="B866" s="282"/>
      <c r="C866" s="330"/>
      <c r="D866" s="330"/>
      <c r="E866" s="330"/>
      <c r="F866" s="13"/>
      <c r="G866" s="309"/>
      <c r="H866" s="309"/>
      <c r="I866" s="309"/>
      <c r="J866" s="310"/>
      <c r="K866" s="310"/>
      <c r="L866" s="310"/>
      <c r="M866" s="310"/>
      <c r="N866" s="310"/>
      <c r="O866" s="311"/>
      <c r="P866" s="310"/>
      <c r="Q866" s="311"/>
      <c r="R866" s="310"/>
      <c r="S866" s="13"/>
      <c r="T866" s="13"/>
      <c r="U866" s="13"/>
      <c r="V866" s="13"/>
      <c r="W866" s="13"/>
      <c r="X866" s="310"/>
      <c r="Y866" s="311"/>
      <c r="Z866" s="310"/>
      <c r="AA866" s="312"/>
      <c r="AB866" s="13"/>
      <c r="AC866" s="313"/>
      <c r="AD866" s="313"/>
      <c r="AE866" s="313"/>
      <c r="AF866" s="331"/>
      <c r="AG866" s="320"/>
      <c r="AH866" s="13"/>
      <c r="AI866" s="13"/>
      <c r="AJ866" s="13"/>
      <c r="AK866" s="13"/>
      <c r="AL866" s="13"/>
      <c r="AM866" s="13"/>
      <c r="AN866" s="13"/>
      <c r="AO866" s="13"/>
      <c r="AP866" s="13"/>
    </row>
    <row r="867" ht="18.75" customHeight="1">
      <c r="A867" s="13"/>
      <c r="B867" s="282"/>
      <c r="C867" s="330"/>
      <c r="D867" s="330"/>
      <c r="E867" s="330"/>
      <c r="F867" s="13"/>
      <c r="G867" s="309"/>
      <c r="H867" s="309"/>
      <c r="I867" s="309"/>
      <c r="J867" s="310"/>
      <c r="K867" s="310"/>
      <c r="L867" s="310"/>
      <c r="M867" s="310"/>
      <c r="N867" s="310"/>
      <c r="O867" s="311"/>
      <c r="P867" s="310"/>
      <c r="Q867" s="311"/>
      <c r="R867" s="310"/>
      <c r="S867" s="13"/>
      <c r="T867" s="13"/>
      <c r="U867" s="13"/>
      <c r="V867" s="13"/>
      <c r="W867" s="13"/>
      <c r="X867" s="310"/>
      <c r="Y867" s="311"/>
      <c r="Z867" s="310"/>
      <c r="AA867" s="312"/>
      <c r="AB867" s="13"/>
      <c r="AC867" s="313"/>
      <c r="AD867" s="313"/>
      <c r="AE867" s="313"/>
      <c r="AF867" s="331"/>
      <c r="AG867" s="320"/>
      <c r="AH867" s="13"/>
      <c r="AI867" s="13"/>
      <c r="AJ867" s="13"/>
      <c r="AK867" s="13"/>
      <c r="AL867" s="13"/>
      <c r="AM867" s="13"/>
      <c r="AN867" s="13"/>
      <c r="AO867" s="13"/>
      <c r="AP867" s="13"/>
    </row>
    <row r="868" ht="18.75" customHeight="1">
      <c r="A868" s="13"/>
      <c r="B868" s="282"/>
      <c r="C868" s="330"/>
      <c r="D868" s="330"/>
      <c r="E868" s="330"/>
      <c r="F868" s="13"/>
      <c r="G868" s="309"/>
      <c r="H868" s="309"/>
      <c r="I868" s="309"/>
      <c r="J868" s="310"/>
      <c r="K868" s="310"/>
      <c r="L868" s="310"/>
      <c r="M868" s="310"/>
      <c r="N868" s="310"/>
      <c r="O868" s="311"/>
      <c r="P868" s="310"/>
      <c r="Q868" s="311"/>
      <c r="R868" s="310"/>
      <c r="S868" s="13"/>
      <c r="T868" s="13"/>
      <c r="U868" s="13"/>
      <c r="V868" s="13"/>
      <c r="W868" s="13"/>
      <c r="X868" s="310"/>
      <c r="Y868" s="311"/>
      <c r="Z868" s="310"/>
      <c r="AA868" s="312"/>
      <c r="AB868" s="13"/>
      <c r="AC868" s="313"/>
      <c r="AD868" s="313"/>
      <c r="AE868" s="313"/>
      <c r="AF868" s="331"/>
      <c r="AG868" s="320"/>
      <c r="AH868" s="13"/>
      <c r="AI868" s="13"/>
      <c r="AJ868" s="13"/>
      <c r="AK868" s="13"/>
      <c r="AL868" s="13"/>
      <c r="AM868" s="13"/>
      <c r="AN868" s="13"/>
      <c r="AO868" s="13"/>
      <c r="AP868" s="13"/>
    </row>
    <row r="869" ht="18.75" customHeight="1">
      <c r="A869" s="13"/>
      <c r="B869" s="282"/>
      <c r="C869" s="330"/>
      <c r="D869" s="330"/>
      <c r="E869" s="330"/>
      <c r="F869" s="13"/>
      <c r="G869" s="309"/>
      <c r="H869" s="309"/>
      <c r="I869" s="309"/>
      <c r="J869" s="310"/>
      <c r="K869" s="310"/>
      <c r="L869" s="310"/>
      <c r="M869" s="310"/>
      <c r="N869" s="310"/>
      <c r="O869" s="311"/>
      <c r="P869" s="310"/>
      <c r="Q869" s="311"/>
      <c r="R869" s="310"/>
      <c r="S869" s="13"/>
      <c r="T869" s="13"/>
      <c r="U869" s="13"/>
      <c r="V869" s="13"/>
      <c r="W869" s="13"/>
      <c r="X869" s="310"/>
      <c r="Y869" s="311"/>
      <c r="Z869" s="310"/>
      <c r="AA869" s="312"/>
      <c r="AB869" s="13"/>
      <c r="AC869" s="313"/>
      <c r="AD869" s="313"/>
      <c r="AE869" s="313"/>
      <c r="AF869" s="331"/>
      <c r="AG869" s="320"/>
      <c r="AH869" s="13"/>
      <c r="AI869" s="13"/>
      <c r="AJ869" s="13"/>
      <c r="AK869" s="13"/>
      <c r="AL869" s="13"/>
      <c r="AM869" s="13"/>
      <c r="AN869" s="13"/>
      <c r="AO869" s="13"/>
      <c r="AP869" s="13"/>
    </row>
    <row r="870" ht="18.75" customHeight="1">
      <c r="A870" s="13"/>
      <c r="B870" s="282"/>
      <c r="C870" s="330"/>
      <c r="D870" s="330"/>
      <c r="E870" s="330"/>
      <c r="F870" s="13"/>
      <c r="G870" s="309"/>
      <c r="H870" s="309"/>
      <c r="I870" s="309"/>
      <c r="J870" s="310"/>
      <c r="K870" s="310"/>
      <c r="L870" s="310"/>
      <c r="M870" s="310"/>
      <c r="N870" s="310"/>
      <c r="O870" s="311"/>
      <c r="P870" s="310"/>
      <c r="Q870" s="311"/>
      <c r="R870" s="310"/>
      <c r="S870" s="13"/>
      <c r="T870" s="13"/>
      <c r="U870" s="13"/>
      <c r="V870" s="13"/>
      <c r="W870" s="13"/>
      <c r="X870" s="310"/>
      <c r="Y870" s="311"/>
      <c r="Z870" s="310"/>
      <c r="AA870" s="312"/>
      <c r="AB870" s="13"/>
      <c r="AC870" s="313"/>
      <c r="AD870" s="313"/>
      <c r="AE870" s="313"/>
      <c r="AF870" s="331"/>
      <c r="AG870" s="320"/>
      <c r="AH870" s="13"/>
      <c r="AI870" s="13"/>
      <c r="AJ870" s="13"/>
      <c r="AK870" s="13"/>
      <c r="AL870" s="13"/>
      <c r="AM870" s="13"/>
      <c r="AN870" s="13"/>
      <c r="AO870" s="13"/>
      <c r="AP870" s="13"/>
    </row>
    <row r="871" ht="18.75" customHeight="1">
      <c r="A871" s="13"/>
      <c r="B871" s="282"/>
      <c r="C871" s="330"/>
      <c r="D871" s="330"/>
      <c r="E871" s="330"/>
      <c r="F871" s="13"/>
      <c r="G871" s="309"/>
      <c r="H871" s="309"/>
      <c r="I871" s="309"/>
      <c r="J871" s="310"/>
      <c r="K871" s="310"/>
      <c r="L871" s="310"/>
      <c r="M871" s="310"/>
      <c r="N871" s="310"/>
      <c r="O871" s="311"/>
      <c r="P871" s="310"/>
      <c r="Q871" s="311"/>
      <c r="R871" s="310"/>
      <c r="S871" s="13"/>
      <c r="T871" s="13"/>
      <c r="U871" s="13"/>
      <c r="V871" s="13"/>
      <c r="W871" s="13"/>
      <c r="X871" s="310"/>
      <c r="Y871" s="311"/>
      <c r="Z871" s="310"/>
      <c r="AA871" s="312"/>
      <c r="AB871" s="13"/>
      <c r="AC871" s="313"/>
      <c r="AD871" s="313"/>
      <c r="AE871" s="313"/>
      <c r="AF871" s="331"/>
      <c r="AG871" s="320"/>
      <c r="AH871" s="13"/>
      <c r="AI871" s="13"/>
      <c r="AJ871" s="13"/>
      <c r="AK871" s="13"/>
      <c r="AL871" s="13"/>
      <c r="AM871" s="13"/>
      <c r="AN871" s="13"/>
      <c r="AO871" s="13"/>
      <c r="AP871" s="13"/>
    </row>
    <row r="872" ht="18.75" customHeight="1">
      <c r="A872" s="13"/>
      <c r="B872" s="282"/>
      <c r="C872" s="330"/>
      <c r="D872" s="330"/>
      <c r="E872" s="330"/>
      <c r="F872" s="13"/>
      <c r="G872" s="309"/>
      <c r="H872" s="309"/>
      <c r="I872" s="309"/>
      <c r="J872" s="310"/>
      <c r="K872" s="310"/>
      <c r="L872" s="310"/>
      <c r="M872" s="310"/>
      <c r="N872" s="310"/>
      <c r="O872" s="311"/>
      <c r="P872" s="310"/>
      <c r="Q872" s="311"/>
      <c r="R872" s="310"/>
      <c r="S872" s="13"/>
      <c r="T872" s="13"/>
      <c r="U872" s="13"/>
      <c r="V872" s="13"/>
      <c r="W872" s="13"/>
      <c r="X872" s="310"/>
      <c r="Y872" s="311"/>
      <c r="Z872" s="310"/>
      <c r="AA872" s="312"/>
      <c r="AB872" s="13"/>
      <c r="AC872" s="313"/>
      <c r="AD872" s="313"/>
      <c r="AE872" s="313"/>
      <c r="AF872" s="331"/>
      <c r="AG872" s="320"/>
      <c r="AH872" s="13"/>
      <c r="AI872" s="13"/>
      <c r="AJ872" s="13"/>
      <c r="AK872" s="13"/>
      <c r="AL872" s="13"/>
      <c r="AM872" s="13"/>
      <c r="AN872" s="13"/>
      <c r="AO872" s="13"/>
      <c r="AP872" s="13"/>
    </row>
    <row r="873" ht="18.75" customHeight="1">
      <c r="A873" s="13"/>
      <c r="B873" s="282"/>
      <c r="C873" s="330"/>
      <c r="D873" s="330"/>
      <c r="E873" s="330"/>
      <c r="F873" s="13"/>
      <c r="G873" s="309"/>
      <c r="H873" s="309"/>
      <c r="I873" s="309"/>
      <c r="J873" s="310"/>
      <c r="K873" s="310"/>
      <c r="L873" s="310"/>
      <c r="M873" s="310"/>
      <c r="N873" s="310"/>
      <c r="O873" s="311"/>
      <c r="P873" s="310"/>
      <c r="Q873" s="311"/>
      <c r="R873" s="310"/>
      <c r="S873" s="13"/>
      <c r="T873" s="13"/>
      <c r="U873" s="13"/>
      <c r="V873" s="13"/>
      <c r="W873" s="13"/>
      <c r="X873" s="310"/>
      <c r="Y873" s="311"/>
      <c r="Z873" s="310"/>
      <c r="AA873" s="312"/>
      <c r="AB873" s="13"/>
      <c r="AC873" s="313"/>
      <c r="AD873" s="313"/>
      <c r="AE873" s="313"/>
      <c r="AF873" s="331"/>
      <c r="AG873" s="320"/>
      <c r="AH873" s="13"/>
      <c r="AI873" s="13"/>
      <c r="AJ873" s="13"/>
      <c r="AK873" s="13"/>
      <c r="AL873" s="13"/>
      <c r="AM873" s="13"/>
      <c r="AN873" s="13"/>
      <c r="AO873" s="13"/>
      <c r="AP873" s="13"/>
    </row>
    <row r="874" ht="18.75" customHeight="1">
      <c r="A874" s="13"/>
      <c r="B874" s="282"/>
      <c r="C874" s="330"/>
      <c r="D874" s="330"/>
      <c r="E874" s="330"/>
      <c r="F874" s="13"/>
      <c r="G874" s="309"/>
      <c r="H874" s="309"/>
      <c r="I874" s="309"/>
      <c r="J874" s="310"/>
      <c r="K874" s="310"/>
      <c r="L874" s="310"/>
      <c r="M874" s="310"/>
      <c r="N874" s="310"/>
      <c r="O874" s="311"/>
      <c r="P874" s="310"/>
      <c r="Q874" s="311"/>
      <c r="R874" s="310"/>
      <c r="S874" s="13"/>
      <c r="T874" s="13"/>
      <c r="U874" s="13"/>
      <c r="V874" s="13"/>
      <c r="W874" s="13"/>
      <c r="X874" s="310"/>
      <c r="Y874" s="311"/>
      <c r="Z874" s="310"/>
      <c r="AA874" s="312"/>
      <c r="AB874" s="13"/>
      <c r="AC874" s="313"/>
      <c r="AD874" s="313"/>
      <c r="AE874" s="313"/>
      <c r="AF874" s="331"/>
      <c r="AG874" s="320"/>
      <c r="AH874" s="13"/>
      <c r="AI874" s="13"/>
      <c r="AJ874" s="13"/>
      <c r="AK874" s="13"/>
      <c r="AL874" s="13"/>
      <c r="AM874" s="13"/>
      <c r="AN874" s="13"/>
      <c r="AO874" s="13"/>
      <c r="AP874" s="13"/>
    </row>
    <row r="875" ht="18.75" customHeight="1">
      <c r="A875" s="13"/>
      <c r="B875" s="282"/>
      <c r="C875" s="330"/>
      <c r="D875" s="330"/>
      <c r="E875" s="330"/>
      <c r="F875" s="13"/>
      <c r="G875" s="309"/>
      <c r="H875" s="309"/>
      <c r="I875" s="309"/>
      <c r="J875" s="310"/>
      <c r="K875" s="310"/>
      <c r="L875" s="310"/>
      <c r="M875" s="310"/>
      <c r="N875" s="310"/>
      <c r="O875" s="311"/>
      <c r="P875" s="310"/>
      <c r="Q875" s="311"/>
      <c r="R875" s="310"/>
      <c r="S875" s="13"/>
      <c r="T875" s="13"/>
      <c r="U875" s="13"/>
      <c r="V875" s="13"/>
      <c r="W875" s="13"/>
      <c r="X875" s="310"/>
      <c r="Y875" s="311"/>
      <c r="Z875" s="310"/>
      <c r="AA875" s="312"/>
      <c r="AB875" s="13"/>
      <c r="AC875" s="313"/>
      <c r="AD875" s="313"/>
      <c r="AE875" s="313"/>
      <c r="AF875" s="331"/>
      <c r="AG875" s="320"/>
      <c r="AH875" s="13"/>
      <c r="AI875" s="13"/>
      <c r="AJ875" s="13"/>
      <c r="AK875" s="13"/>
      <c r="AL875" s="13"/>
      <c r="AM875" s="13"/>
      <c r="AN875" s="13"/>
      <c r="AO875" s="13"/>
      <c r="AP875" s="13"/>
    </row>
    <row r="876" ht="18.75" customHeight="1">
      <c r="A876" s="13"/>
      <c r="B876" s="282"/>
      <c r="C876" s="330"/>
      <c r="D876" s="330"/>
      <c r="E876" s="330"/>
      <c r="F876" s="13"/>
      <c r="G876" s="309"/>
      <c r="H876" s="309"/>
      <c r="I876" s="309"/>
      <c r="J876" s="310"/>
      <c r="K876" s="310"/>
      <c r="L876" s="310"/>
      <c r="M876" s="310"/>
      <c r="N876" s="310"/>
      <c r="O876" s="311"/>
      <c r="P876" s="310"/>
      <c r="Q876" s="311"/>
      <c r="R876" s="310"/>
      <c r="S876" s="13"/>
      <c r="T876" s="13"/>
      <c r="U876" s="13"/>
      <c r="V876" s="13"/>
      <c r="W876" s="13"/>
      <c r="X876" s="310"/>
      <c r="Y876" s="311"/>
      <c r="Z876" s="310"/>
      <c r="AA876" s="312"/>
      <c r="AB876" s="13"/>
      <c r="AC876" s="313"/>
      <c r="AD876" s="313"/>
      <c r="AE876" s="313"/>
      <c r="AF876" s="331"/>
      <c r="AG876" s="320"/>
      <c r="AH876" s="13"/>
      <c r="AI876" s="13"/>
      <c r="AJ876" s="13"/>
      <c r="AK876" s="13"/>
      <c r="AL876" s="13"/>
      <c r="AM876" s="13"/>
      <c r="AN876" s="13"/>
      <c r="AO876" s="13"/>
      <c r="AP876" s="13"/>
    </row>
    <row r="877" ht="18.75" customHeight="1">
      <c r="A877" s="13"/>
      <c r="B877" s="282"/>
      <c r="C877" s="330"/>
      <c r="D877" s="330"/>
      <c r="E877" s="330"/>
      <c r="F877" s="13"/>
      <c r="G877" s="309"/>
      <c r="H877" s="309"/>
      <c r="I877" s="309"/>
      <c r="J877" s="310"/>
      <c r="K877" s="310"/>
      <c r="L877" s="310"/>
      <c r="M877" s="310"/>
      <c r="N877" s="310"/>
      <c r="O877" s="311"/>
      <c r="P877" s="310"/>
      <c r="Q877" s="311"/>
      <c r="R877" s="310"/>
      <c r="S877" s="13"/>
      <c r="T877" s="13"/>
      <c r="U877" s="13"/>
      <c r="V877" s="13"/>
      <c r="W877" s="13"/>
      <c r="X877" s="310"/>
      <c r="Y877" s="311"/>
      <c r="Z877" s="310"/>
      <c r="AA877" s="312"/>
      <c r="AB877" s="13"/>
      <c r="AC877" s="313"/>
      <c r="AD877" s="313"/>
      <c r="AE877" s="313"/>
      <c r="AF877" s="331"/>
      <c r="AG877" s="320"/>
      <c r="AH877" s="13"/>
      <c r="AI877" s="13"/>
      <c r="AJ877" s="13"/>
      <c r="AK877" s="13"/>
      <c r="AL877" s="13"/>
      <c r="AM877" s="13"/>
      <c r="AN877" s="13"/>
      <c r="AO877" s="13"/>
      <c r="AP877" s="13"/>
    </row>
    <row r="878" ht="18.75" customHeight="1">
      <c r="A878" s="13"/>
      <c r="B878" s="282"/>
      <c r="C878" s="330"/>
      <c r="D878" s="330"/>
      <c r="E878" s="330"/>
      <c r="F878" s="13"/>
      <c r="G878" s="309"/>
      <c r="H878" s="309"/>
      <c r="I878" s="309"/>
      <c r="J878" s="310"/>
      <c r="K878" s="310"/>
      <c r="L878" s="310"/>
      <c r="M878" s="310"/>
      <c r="N878" s="310"/>
      <c r="O878" s="311"/>
      <c r="P878" s="310"/>
      <c r="Q878" s="311"/>
      <c r="R878" s="310"/>
      <c r="S878" s="13"/>
      <c r="T878" s="13"/>
      <c r="U878" s="13"/>
      <c r="V878" s="13"/>
      <c r="W878" s="13"/>
      <c r="X878" s="310"/>
      <c r="Y878" s="311"/>
      <c r="Z878" s="310"/>
      <c r="AA878" s="312"/>
      <c r="AB878" s="13"/>
      <c r="AC878" s="313"/>
      <c r="AD878" s="313"/>
      <c r="AE878" s="313"/>
      <c r="AF878" s="331"/>
      <c r="AG878" s="320"/>
      <c r="AH878" s="13"/>
      <c r="AI878" s="13"/>
      <c r="AJ878" s="13"/>
      <c r="AK878" s="13"/>
      <c r="AL878" s="13"/>
      <c r="AM878" s="13"/>
      <c r="AN878" s="13"/>
      <c r="AO878" s="13"/>
      <c r="AP878" s="13"/>
    </row>
    <row r="879" ht="18.75" customHeight="1">
      <c r="A879" s="13"/>
      <c r="B879" s="282"/>
      <c r="C879" s="330"/>
      <c r="D879" s="330"/>
      <c r="E879" s="330"/>
      <c r="F879" s="13"/>
      <c r="G879" s="309"/>
      <c r="H879" s="309"/>
      <c r="I879" s="309"/>
      <c r="J879" s="310"/>
      <c r="K879" s="310"/>
      <c r="L879" s="310"/>
      <c r="M879" s="310"/>
      <c r="N879" s="310"/>
      <c r="O879" s="311"/>
      <c r="P879" s="310"/>
      <c r="Q879" s="311"/>
      <c r="R879" s="310"/>
      <c r="S879" s="13"/>
      <c r="T879" s="13"/>
      <c r="U879" s="13"/>
      <c r="V879" s="13"/>
      <c r="W879" s="13"/>
      <c r="X879" s="310"/>
      <c r="Y879" s="311"/>
      <c r="Z879" s="310"/>
      <c r="AA879" s="312"/>
      <c r="AB879" s="13"/>
      <c r="AC879" s="313"/>
      <c r="AD879" s="313"/>
      <c r="AE879" s="313"/>
      <c r="AF879" s="331"/>
      <c r="AG879" s="320"/>
      <c r="AH879" s="13"/>
      <c r="AI879" s="13"/>
      <c r="AJ879" s="13"/>
      <c r="AK879" s="13"/>
      <c r="AL879" s="13"/>
      <c r="AM879" s="13"/>
      <c r="AN879" s="13"/>
      <c r="AO879" s="13"/>
      <c r="AP879" s="13"/>
    </row>
    <row r="880" ht="18.75" customHeight="1">
      <c r="A880" s="13"/>
      <c r="B880" s="282"/>
      <c r="C880" s="330"/>
      <c r="D880" s="330"/>
      <c r="E880" s="330"/>
      <c r="F880" s="13"/>
      <c r="G880" s="309"/>
      <c r="H880" s="309"/>
      <c r="I880" s="309"/>
      <c r="J880" s="310"/>
      <c r="K880" s="310"/>
      <c r="L880" s="310"/>
      <c r="M880" s="310"/>
      <c r="N880" s="310"/>
      <c r="O880" s="311"/>
      <c r="P880" s="310"/>
      <c r="Q880" s="311"/>
      <c r="R880" s="310"/>
      <c r="S880" s="13"/>
      <c r="T880" s="13"/>
      <c r="U880" s="13"/>
      <c r="V880" s="13"/>
      <c r="W880" s="13"/>
      <c r="X880" s="310"/>
      <c r="Y880" s="311"/>
      <c r="Z880" s="310"/>
      <c r="AA880" s="312"/>
      <c r="AB880" s="13"/>
      <c r="AC880" s="313"/>
      <c r="AD880" s="313"/>
      <c r="AE880" s="313"/>
      <c r="AF880" s="331"/>
      <c r="AG880" s="320"/>
      <c r="AH880" s="13"/>
      <c r="AI880" s="13"/>
      <c r="AJ880" s="13"/>
      <c r="AK880" s="13"/>
      <c r="AL880" s="13"/>
      <c r="AM880" s="13"/>
      <c r="AN880" s="13"/>
      <c r="AO880" s="13"/>
      <c r="AP880" s="13"/>
    </row>
    <row r="881" ht="18.75" customHeight="1">
      <c r="A881" s="13"/>
      <c r="B881" s="282"/>
      <c r="C881" s="330"/>
      <c r="D881" s="330"/>
      <c r="E881" s="330"/>
      <c r="F881" s="13"/>
      <c r="G881" s="309"/>
      <c r="H881" s="309"/>
      <c r="I881" s="309"/>
      <c r="J881" s="310"/>
      <c r="K881" s="310"/>
      <c r="L881" s="310"/>
      <c r="M881" s="310"/>
      <c r="N881" s="310"/>
      <c r="O881" s="311"/>
      <c r="P881" s="310"/>
      <c r="Q881" s="311"/>
      <c r="R881" s="310"/>
      <c r="S881" s="13"/>
      <c r="T881" s="13"/>
      <c r="U881" s="13"/>
      <c r="V881" s="13"/>
      <c r="W881" s="13"/>
      <c r="X881" s="310"/>
      <c r="Y881" s="311"/>
      <c r="Z881" s="310"/>
      <c r="AA881" s="312"/>
      <c r="AB881" s="13"/>
      <c r="AC881" s="313"/>
      <c r="AD881" s="313"/>
      <c r="AE881" s="313"/>
      <c r="AF881" s="331"/>
      <c r="AG881" s="320"/>
      <c r="AH881" s="13"/>
      <c r="AI881" s="13"/>
      <c r="AJ881" s="13"/>
      <c r="AK881" s="13"/>
      <c r="AL881" s="13"/>
      <c r="AM881" s="13"/>
      <c r="AN881" s="13"/>
      <c r="AO881" s="13"/>
      <c r="AP881" s="13"/>
    </row>
    <row r="882" ht="18.75" customHeight="1">
      <c r="A882" s="13"/>
      <c r="B882" s="282"/>
      <c r="C882" s="330"/>
      <c r="D882" s="330"/>
      <c r="E882" s="330"/>
      <c r="F882" s="13"/>
      <c r="G882" s="309"/>
      <c r="H882" s="309"/>
      <c r="I882" s="309"/>
      <c r="J882" s="310"/>
      <c r="K882" s="310"/>
      <c r="L882" s="310"/>
      <c r="M882" s="310"/>
      <c r="N882" s="310"/>
      <c r="O882" s="311"/>
      <c r="P882" s="310"/>
      <c r="Q882" s="311"/>
      <c r="R882" s="310"/>
      <c r="S882" s="13"/>
      <c r="T882" s="13"/>
      <c r="U882" s="13"/>
      <c r="V882" s="13"/>
      <c r="W882" s="13"/>
      <c r="X882" s="310"/>
      <c r="Y882" s="311"/>
      <c r="Z882" s="310"/>
      <c r="AA882" s="312"/>
      <c r="AB882" s="13"/>
      <c r="AC882" s="313"/>
      <c r="AD882" s="313"/>
      <c r="AE882" s="313"/>
      <c r="AF882" s="331"/>
      <c r="AG882" s="320"/>
      <c r="AH882" s="13"/>
      <c r="AI882" s="13"/>
      <c r="AJ882" s="13"/>
      <c r="AK882" s="13"/>
      <c r="AL882" s="13"/>
      <c r="AM882" s="13"/>
      <c r="AN882" s="13"/>
      <c r="AO882" s="13"/>
      <c r="AP882" s="13"/>
    </row>
    <row r="883" ht="18.75" customHeight="1">
      <c r="A883" s="13"/>
      <c r="B883" s="282"/>
      <c r="C883" s="330"/>
      <c r="D883" s="330"/>
      <c r="E883" s="330"/>
      <c r="F883" s="13"/>
      <c r="G883" s="309"/>
      <c r="H883" s="309"/>
      <c r="I883" s="309"/>
      <c r="J883" s="310"/>
      <c r="K883" s="310"/>
      <c r="L883" s="310"/>
      <c r="M883" s="310"/>
      <c r="N883" s="310"/>
      <c r="O883" s="311"/>
      <c r="P883" s="310"/>
      <c r="Q883" s="311"/>
      <c r="R883" s="310"/>
      <c r="S883" s="13"/>
      <c r="T883" s="13"/>
      <c r="U883" s="13"/>
      <c r="V883" s="13"/>
      <c r="W883" s="13"/>
      <c r="X883" s="310"/>
      <c r="Y883" s="311"/>
      <c r="Z883" s="310"/>
      <c r="AA883" s="312"/>
      <c r="AB883" s="13"/>
      <c r="AC883" s="313"/>
      <c r="AD883" s="313"/>
      <c r="AE883" s="313"/>
      <c r="AF883" s="331"/>
      <c r="AG883" s="320"/>
      <c r="AH883" s="13"/>
      <c r="AI883" s="13"/>
      <c r="AJ883" s="13"/>
      <c r="AK883" s="13"/>
      <c r="AL883" s="13"/>
      <c r="AM883" s="13"/>
      <c r="AN883" s="13"/>
      <c r="AO883" s="13"/>
      <c r="AP883" s="13"/>
    </row>
    <row r="884" ht="18.75" customHeight="1">
      <c r="A884" s="13"/>
      <c r="B884" s="282"/>
      <c r="C884" s="330"/>
      <c r="D884" s="330"/>
      <c r="E884" s="330"/>
      <c r="F884" s="13"/>
      <c r="G884" s="309"/>
      <c r="H884" s="309"/>
      <c r="I884" s="309"/>
      <c r="J884" s="310"/>
      <c r="K884" s="310"/>
      <c r="L884" s="310"/>
      <c r="M884" s="310"/>
      <c r="N884" s="310"/>
      <c r="O884" s="311"/>
      <c r="P884" s="310"/>
      <c r="Q884" s="311"/>
      <c r="R884" s="310"/>
      <c r="S884" s="13"/>
      <c r="T884" s="13"/>
      <c r="U884" s="13"/>
      <c r="V884" s="13"/>
      <c r="W884" s="13"/>
      <c r="X884" s="310"/>
      <c r="Y884" s="311"/>
      <c r="Z884" s="310"/>
      <c r="AA884" s="312"/>
      <c r="AB884" s="13"/>
      <c r="AC884" s="313"/>
      <c r="AD884" s="313"/>
      <c r="AE884" s="313"/>
      <c r="AF884" s="331"/>
      <c r="AG884" s="320"/>
      <c r="AH884" s="13"/>
      <c r="AI884" s="13"/>
      <c r="AJ884" s="13"/>
      <c r="AK884" s="13"/>
      <c r="AL884" s="13"/>
      <c r="AM884" s="13"/>
      <c r="AN884" s="13"/>
      <c r="AO884" s="13"/>
      <c r="AP884" s="13"/>
    </row>
    <row r="885" ht="18.75" customHeight="1">
      <c r="A885" s="13"/>
      <c r="B885" s="282"/>
      <c r="C885" s="330"/>
      <c r="D885" s="330"/>
      <c r="E885" s="330"/>
      <c r="F885" s="13"/>
      <c r="G885" s="309"/>
      <c r="H885" s="309"/>
      <c r="I885" s="309"/>
      <c r="J885" s="310"/>
      <c r="K885" s="310"/>
      <c r="L885" s="310"/>
      <c r="M885" s="310"/>
      <c r="N885" s="310"/>
      <c r="O885" s="311"/>
      <c r="P885" s="310"/>
      <c r="Q885" s="311"/>
      <c r="R885" s="310"/>
      <c r="S885" s="13"/>
      <c r="T885" s="13"/>
      <c r="U885" s="13"/>
      <c r="V885" s="13"/>
      <c r="W885" s="13"/>
      <c r="X885" s="310"/>
      <c r="Y885" s="311"/>
      <c r="Z885" s="310"/>
      <c r="AA885" s="312"/>
      <c r="AB885" s="13"/>
      <c r="AC885" s="313"/>
      <c r="AD885" s="313"/>
      <c r="AE885" s="313"/>
      <c r="AF885" s="331"/>
      <c r="AG885" s="320"/>
      <c r="AH885" s="13"/>
      <c r="AI885" s="13"/>
      <c r="AJ885" s="13"/>
      <c r="AK885" s="13"/>
      <c r="AL885" s="13"/>
      <c r="AM885" s="13"/>
      <c r="AN885" s="13"/>
      <c r="AO885" s="13"/>
      <c r="AP885" s="13"/>
    </row>
    <row r="886" ht="18.75" customHeight="1">
      <c r="A886" s="13"/>
      <c r="B886" s="282"/>
      <c r="C886" s="330"/>
      <c r="D886" s="330"/>
      <c r="E886" s="330"/>
      <c r="F886" s="13"/>
      <c r="G886" s="309"/>
      <c r="H886" s="309"/>
      <c r="I886" s="309"/>
      <c r="J886" s="310"/>
      <c r="K886" s="310"/>
      <c r="L886" s="310"/>
      <c r="M886" s="310"/>
      <c r="N886" s="310"/>
      <c r="O886" s="311"/>
      <c r="P886" s="310"/>
      <c r="Q886" s="311"/>
      <c r="R886" s="310"/>
      <c r="S886" s="13"/>
      <c r="T886" s="13"/>
      <c r="U886" s="13"/>
      <c r="V886" s="13"/>
      <c r="W886" s="13"/>
      <c r="X886" s="310"/>
      <c r="Y886" s="311"/>
      <c r="Z886" s="310"/>
      <c r="AA886" s="312"/>
      <c r="AB886" s="13"/>
      <c r="AC886" s="313"/>
      <c r="AD886" s="313"/>
      <c r="AE886" s="313"/>
      <c r="AF886" s="331"/>
      <c r="AG886" s="320"/>
      <c r="AH886" s="13"/>
      <c r="AI886" s="13"/>
      <c r="AJ886" s="13"/>
      <c r="AK886" s="13"/>
      <c r="AL886" s="13"/>
      <c r="AM886" s="13"/>
      <c r="AN886" s="13"/>
      <c r="AO886" s="13"/>
      <c r="AP886" s="13"/>
    </row>
    <row r="887" ht="18.75" customHeight="1">
      <c r="A887" s="13"/>
      <c r="B887" s="282"/>
      <c r="C887" s="330"/>
      <c r="D887" s="330"/>
      <c r="E887" s="330"/>
      <c r="F887" s="13"/>
      <c r="G887" s="309"/>
      <c r="H887" s="309"/>
      <c r="I887" s="309"/>
      <c r="J887" s="310"/>
      <c r="K887" s="310"/>
      <c r="L887" s="310"/>
      <c r="M887" s="310"/>
      <c r="N887" s="310"/>
      <c r="O887" s="311"/>
      <c r="P887" s="310"/>
      <c r="Q887" s="311"/>
      <c r="R887" s="310"/>
      <c r="S887" s="13"/>
      <c r="T887" s="13"/>
      <c r="U887" s="13"/>
      <c r="V887" s="13"/>
      <c r="W887" s="13"/>
      <c r="X887" s="310"/>
      <c r="Y887" s="311"/>
      <c r="Z887" s="310"/>
      <c r="AA887" s="312"/>
      <c r="AB887" s="13"/>
      <c r="AC887" s="313"/>
      <c r="AD887" s="313"/>
      <c r="AE887" s="313"/>
      <c r="AF887" s="331"/>
      <c r="AG887" s="320"/>
      <c r="AH887" s="13"/>
      <c r="AI887" s="13"/>
      <c r="AJ887" s="13"/>
      <c r="AK887" s="13"/>
      <c r="AL887" s="13"/>
      <c r="AM887" s="13"/>
      <c r="AN887" s="13"/>
      <c r="AO887" s="13"/>
      <c r="AP887" s="13"/>
    </row>
    <row r="888" ht="18.75" customHeight="1">
      <c r="A888" s="13"/>
      <c r="B888" s="282"/>
      <c r="C888" s="330"/>
      <c r="D888" s="330"/>
      <c r="E888" s="330"/>
      <c r="F888" s="13"/>
      <c r="G888" s="309"/>
      <c r="H888" s="309"/>
      <c r="I888" s="309"/>
      <c r="J888" s="310"/>
      <c r="K888" s="310"/>
      <c r="L888" s="310"/>
      <c r="M888" s="310"/>
      <c r="N888" s="310"/>
      <c r="O888" s="311"/>
      <c r="P888" s="310"/>
      <c r="Q888" s="311"/>
      <c r="R888" s="310"/>
      <c r="S888" s="13"/>
      <c r="T888" s="13"/>
      <c r="U888" s="13"/>
      <c r="V888" s="13"/>
      <c r="W888" s="13"/>
      <c r="X888" s="310"/>
      <c r="Y888" s="311"/>
      <c r="Z888" s="310"/>
      <c r="AA888" s="312"/>
      <c r="AB888" s="13"/>
      <c r="AC888" s="313"/>
      <c r="AD888" s="313"/>
      <c r="AE888" s="313"/>
      <c r="AF888" s="331"/>
      <c r="AG888" s="320"/>
      <c r="AH888" s="13"/>
      <c r="AI888" s="13"/>
      <c r="AJ888" s="13"/>
      <c r="AK888" s="13"/>
      <c r="AL888" s="13"/>
      <c r="AM888" s="13"/>
      <c r="AN888" s="13"/>
      <c r="AO888" s="13"/>
      <c r="AP888" s="13"/>
    </row>
    <row r="889" ht="18.75" customHeight="1">
      <c r="A889" s="13"/>
      <c r="B889" s="282"/>
      <c r="C889" s="330"/>
      <c r="D889" s="330"/>
      <c r="E889" s="330"/>
      <c r="F889" s="13"/>
      <c r="G889" s="309"/>
      <c r="H889" s="309"/>
      <c r="I889" s="309"/>
      <c r="J889" s="310"/>
      <c r="K889" s="310"/>
      <c r="L889" s="310"/>
      <c r="M889" s="310"/>
      <c r="N889" s="310"/>
      <c r="O889" s="311"/>
      <c r="P889" s="310"/>
      <c r="Q889" s="311"/>
      <c r="R889" s="310"/>
      <c r="S889" s="13"/>
      <c r="T889" s="13"/>
      <c r="U889" s="13"/>
      <c r="V889" s="13"/>
      <c r="W889" s="13"/>
      <c r="X889" s="310"/>
      <c r="Y889" s="311"/>
      <c r="Z889" s="310"/>
      <c r="AA889" s="312"/>
      <c r="AB889" s="13"/>
      <c r="AC889" s="313"/>
      <c r="AD889" s="313"/>
      <c r="AE889" s="313"/>
      <c r="AF889" s="331"/>
      <c r="AG889" s="320"/>
      <c r="AH889" s="13"/>
      <c r="AI889" s="13"/>
      <c r="AJ889" s="13"/>
      <c r="AK889" s="13"/>
      <c r="AL889" s="13"/>
      <c r="AM889" s="13"/>
      <c r="AN889" s="13"/>
      <c r="AO889" s="13"/>
      <c r="AP889" s="13"/>
    </row>
    <row r="890" ht="18.75" customHeight="1">
      <c r="A890" s="13"/>
      <c r="B890" s="282"/>
      <c r="C890" s="330"/>
      <c r="D890" s="330"/>
      <c r="E890" s="330"/>
      <c r="F890" s="13"/>
      <c r="G890" s="309"/>
      <c r="H890" s="309"/>
      <c r="I890" s="309"/>
      <c r="J890" s="310"/>
      <c r="K890" s="310"/>
      <c r="L890" s="310"/>
      <c r="M890" s="310"/>
      <c r="N890" s="310"/>
      <c r="O890" s="311"/>
      <c r="P890" s="310"/>
      <c r="Q890" s="311"/>
      <c r="R890" s="310"/>
      <c r="S890" s="13"/>
      <c r="T890" s="13"/>
      <c r="U890" s="13"/>
      <c r="V890" s="13"/>
      <c r="W890" s="13"/>
      <c r="X890" s="310"/>
      <c r="Y890" s="311"/>
      <c r="Z890" s="310"/>
      <c r="AA890" s="312"/>
      <c r="AB890" s="13"/>
      <c r="AC890" s="313"/>
      <c r="AD890" s="313"/>
      <c r="AE890" s="313"/>
      <c r="AF890" s="331"/>
      <c r="AG890" s="320"/>
      <c r="AH890" s="13"/>
      <c r="AI890" s="13"/>
      <c r="AJ890" s="13"/>
      <c r="AK890" s="13"/>
      <c r="AL890" s="13"/>
      <c r="AM890" s="13"/>
      <c r="AN890" s="13"/>
      <c r="AO890" s="13"/>
      <c r="AP890" s="13"/>
    </row>
    <row r="891" ht="18.75" customHeight="1">
      <c r="A891" s="13"/>
      <c r="B891" s="282"/>
      <c r="C891" s="330"/>
      <c r="D891" s="330"/>
      <c r="E891" s="330"/>
      <c r="F891" s="13"/>
      <c r="G891" s="309"/>
      <c r="H891" s="309"/>
      <c r="I891" s="309"/>
      <c r="J891" s="310"/>
      <c r="K891" s="310"/>
      <c r="L891" s="310"/>
      <c r="M891" s="310"/>
      <c r="N891" s="310"/>
      <c r="O891" s="311"/>
      <c r="P891" s="310"/>
      <c r="Q891" s="311"/>
      <c r="R891" s="310"/>
      <c r="S891" s="13"/>
      <c r="T891" s="13"/>
      <c r="U891" s="13"/>
      <c r="V891" s="13"/>
      <c r="W891" s="13"/>
      <c r="X891" s="310"/>
      <c r="Y891" s="311"/>
      <c r="Z891" s="310"/>
      <c r="AA891" s="312"/>
      <c r="AB891" s="13"/>
      <c r="AC891" s="313"/>
      <c r="AD891" s="313"/>
      <c r="AE891" s="313"/>
      <c r="AF891" s="331"/>
      <c r="AG891" s="320"/>
      <c r="AH891" s="13"/>
      <c r="AI891" s="13"/>
      <c r="AJ891" s="13"/>
      <c r="AK891" s="13"/>
      <c r="AL891" s="13"/>
      <c r="AM891" s="13"/>
      <c r="AN891" s="13"/>
      <c r="AO891" s="13"/>
      <c r="AP891" s="13"/>
    </row>
    <row r="892" ht="18.75" customHeight="1">
      <c r="A892" s="13"/>
      <c r="B892" s="282"/>
      <c r="C892" s="330"/>
      <c r="D892" s="330"/>
      <c r="E892" s="330"/>
      <c r="F892" s="13"/>
      <c r="G892" s="309"/>
      <c r="H892" s="309"/>
      <c r="I892" s="309"/>
      <c r="J892" s="310"/>
      <c r="K892" s="310"/>
      <c r="L892" s="310"/>
      <c r="M892" s="310"/>
      <c r="N892" s="310"/>
      <c r="O892" s="311"/>
      <c r="P892" s="310"/>
      <c r="Q892" s="311"/>
      <c r="R892" s="310"/>
      <c r="S892" s="13"/>
      <c r="T892" s="13"/>
      <c r="U892" s="13"/>
      <c r="V892" s="13"/>
      <c r="W892" s="13"/>
      <c r="X892" s="310"/>
      <c r="Y892" s="311"/>
      <c r="Z892" s="310"/>
      <c r="AA892" s="312"/>
      <c r="AB892" s="13"/>
      <c r="AC892" s="313"/>
      <c r="AD892" s="313"/>
      <c r="AE892" s="313"/>
      <c r="AF892" s="331"/>
      <c r="AG892" s="320"/>
      <c r="AH892" s="13"/>
      <c r="AI892" s="13"/>
      <c r="AJ892" s="13"/>
      <c r="AK892" s="13"/>
      <c r="AL892" s="13"/>
      <c r="AM892" s="13"/>
      <c r="AN892" s="13"/>
      <c r="AO892" s="13"/>
      <c r="AP892" s="13"/>
    </row>
    <row r="893" ht="18.75" customHeight="1">
      <c r="A893" s="13"/>
      <c r="B893" s="282"/>
      <c r="C893" s="330"/>
      <c r="D893" s="330"/>
      <c r="E893" s="330"/>
      <c r="F893" s="13"/>
      <c r="G893" s="309"/>
      <c r="H893" s="309"/>
      <c r="I893" s="309"/>
      <c r="J893" s="310"/>
      <c r="K893" s="310"/>
      <c r="L893" s="310"/>
      <c r="M893" s="310"/>
      <c r="N893" s="310"/>
      <c r="O893" s="311"/>
      <c r="P893" s="310"/>
      <c r="Q893" s="311"/>
      <c r="R893" s="310"/>
      <c r="S893" s="13"/>
      <c r="T893" s="13"/>
      <c r="U893" s="13"/>
      <c r="V893" s="13"/>
      <c r="W893" s="13"/>
      <c r="X893" s="310"/>
      <c r="Y893" s="311"/>
      <c r="Z893" s="310"/>
      <c r="AA893" s="312"/>
      <c r="AB893" s="13"/>
      <c r="AC893" s="313"/>
      <c r="AD893" s="313"/>
      <c r="AE893" s="313"/>
      <c r="AF893" s="331"/>
      <c r="AG893" s="320"/>
      <c r="AH893" s="13"/>
      <c r="AI893" s="13"/>
      <c r="AJ893" s="13"/>
      <c r="AK893" s="13"/>
      <c r="AL893" s="13"/>
      <c r="AM893" s="13"/>
      <c r="AN893" s="13"/>
      <c r="AO893" s="13"/>
      <c r="AP893" s="13"/>
    </row>
    <row r="894" ht="18.75" customHeight="1">
      <c r="A894" s="13"/>
      <c r="B894" s="282"/>
      <c r="C894" s="330"/>
      <c r="D894" s="330"/>
      <c r="E894" s="330"/>
      <c r="F894" s="13"/>
      <c r="G894" s="309"/>
      <c r="H894" s="309"/>
      <c r="I894" s="309"/>
      <c r="J894" s="310"/>
      <c r="K894" s="310"/>
      <c r="L894" s="310"/>
      <c r="M894" s="310"/>
      <c r="N894" s="310"/>
      <c r="O894" s="311"/>
      <c r="P894" s="310"/>
      <c r="Q894" s="311"/>
      <c r="R894" s="310"/>
      <c r="S894" s="13"/>
      <c r="T894" s="13"/>
      <c r="U894" s="13"/>
      <c r="V894" s="13"/>
      <c r="W894" s="13"/>
      <c r="X894" s="310"/>
      <c r="Y894" s="311"/>
      <c r="Z894" s="310"/>
      <c r="AA894" s="312"/>
      <c r="AB894" s="13"/>
      <c r="AC894" s="313"/>
      <c r="AD894" s="313"/>
      <c r="AE894" s="313"/>
      <c r="AF894" s="331"/>
      <c r="AG894" s="320"/>
      <c r="AH894" s="13"/>
      <c r="AI894" s="13"/>
      <c r="AJ894" s="13"/>
      <c r="AK894" s="13"/>
      <c r="AL894" s="13"/>
      <c r="AM894" s="13"/>
      <c r="AN894" s="13"/>
      <c r="AO894" s="13"/>
      <c r="AP894" s="13"/>
    </row>
    <row r="895" ht="18.75" customHeight="1">
      <c r="A895" s="13"/>
      <c r="B895" s="282"/>
      <c r="C895" s="330"/>
      <c r="D895" s="330"/>
      <c r="E895" s="330"/>
      <c r="F895" s="13"/>
      <c r="G895" s="309"/>
      <c r="H895" s="309"/>
      <c r="I895" s="309"/>
      <c r="J895" s="310"/>
      <c r="K895" s="310"/>
      <c r="L895" s="310"/>
      <c r="M895" s="310"/>
      <c r="N895" s="310"/>
      <c r="O895" s="311"/>
      <c r="P895" s="310"/>
      <c r="Q895" s="311"/>
      <c r="R895" s="310"/>
      <c r="S895" s="13"/>
      <c r="T895" s="13"/>
      <c r="U895" s="13"/>
      <c r="V895" s="13"/>
      <c r="W895" s="13"/>
      <c r="X895" s="310"/>
      <c r="Y895" s="311"/>
      <c r="Z895" s="310"/>
      <c r="AA895" s="312"/>
      <c r="AB895" s="13"/>
      <c r="AC895" s="313"/>
      <c r="AD895" s="313"/>
      <c r="AE895" s="313"/>
      <c r="AF895" s="331"/>
      <c r="AG895" s="320"/>
      <c r="AH895" s="13"/>
      <c r="AI895" s="13"/>
      <c r="AJ895" s="13"/>
      <c r="AK895" s="13"/>
      <c r="AL895" s="13"/>
      <c r="AM895" s="13"/>
      <c r="AN895" s="13"/>
      <c r="AO895" s="13"/>
      <c r="AP895" s="13"/>
    </row>
    <row r="896" ht="18.75" customHeight="1">
      <c r="A896" s="13"/>
      <c r="B896" s="282"/>
      <c r="C896" s="330"/>
      <c r="D896" s="330"/>
      <c r="E896" s="330"/>
      <c r="F896" s="13"/>
      <c r="G896" s="309"/>
      <c r="H896" s="309"/>
      <c r="I896" s="309"/>
      <c r="J896" s="310"/>
      <c r="K896" s="310"/>
      <c r="L896" s="310"/>
      <c r="M896" s="310"/>
      <c r="N896" s="310"/>
      <c r="O896" s="311"/>
      <c r="P896" s="310"/>
      <c r="Q896" s="311"/>
      <c r="R896" s="310"/>
      <c r="S896" s="13"/>
      <c r="T896" s="13"/>
      <c r="U896" s="13"/>
      <c r="V896" s="13"/>
      <c r="W896" s="13"/>
      <c r="X896" s="310"/>
      <c r="Y896" s="311"/>
      <c r="Z896" s="310"/>
      <c r="AA896" s="312"/>
      <c r="AB896" s="13"/>
      <c r="AC896" s="313"/>
      <c r="AD896" s="313"/>
      <c r="AE896" s="313"/>
      <c r="AF896" s="331"/>
      <c r="AG896" s="320"/>
      <c r="AH896" s="13"/>
      <c r="AI896" s="13"/>
      <c r="AJ896" s="13"/>
      <c r="AK896" s="13"/>
      <c r="AL896" s="13"/>
      <c r="AM896" s="13"/>
      <c r="AN896" s="13"/>
      <c r="AO896" s="13"/>
      <c r="AP896" s="13"/>
    </row>
    <row r="897" ht="18.75" customHeight="1">
      <c r="A897" s="13"/>
      <c r="B897" s="282"/>
      <c r="C897" s="330"/>
      <c r="D897" s="330"/>
      <c r="E897" s="330"/>
      <c r="F897" s="13"/>
      <c r="G897" s="309"/>
      <c r="H897" s="309"/>
      <c r="I897" s="309"/>
      <c r="J897" s="310"/>
      <c r="K897" s="310"/>
      <c r="L897" s="310"/>
      <c r="M897" s="310"/>
      <c r="N897" s="310"/>
      <c r="O897" s="311"/>
      <c r="P897" s="310"/>
      <c r="Q897" s="311"/>
      <c r="R897" s="310"/>
      <c r="S897" s="13"/>
      <c r="T897" s="13"/>
      <c r="U897" s="13"/>
      <c r="V897" s="13"/>
      <c r="W897" s="13"/>
      <c r="X897" s="310"/>
      <c r="Y897" s="311"/>
      <c r="Z897" s="310"/>
      <c r="AA897" s="312"/>
      <c r="AB897" s="13"/>
      <c r="AC897" s="313"/>
      <c r="AD897" s="313"/>
      <c r="AE897" s="313"/>
      <c r="AF897" s="331"/>
      <c r="AG897" s="320"/>
      <c r="AH897" s="13"/>
      <c r="AI897" s="13"/>
      <c r="AJ897" s="13"/>
      <c r="AK897" s="13"/>
      <c r="AL897" s="13"/>
      <c r="AM897" s="13"/>
      <c r="AN897" s="13"/>
      <c r="AO897" s="13"/>
      <c r="AP897" s="13"/>
    </row>
    <row r="898" ht="18.75" customHeight="1">
      <c r="A898" s="13"/>
      <c r="B898" s="282"/>
      <c r="C898" s="330"/>
      <c r="D898" s="330"/>
      <c r="E898" s="330"/>
      <c r="F898" s="13"/>
      <c r="G898" s="309"/>
      <c r="H898" s="309"/>
      <c r="I898" s="309"/>
      <c r="J898" s="310"/>
      <c r="K898" s="310"/>
      <c r="L898" s="310"/>
      <c r="M898" s="310"/>
      <c r="N898" s="310"/>
      <c r="O898" s="311"/>
      <c r="P898" s="310"/>
      <c r="Q898" s="311"/>
      <c r="R898" s="310"/>
      <c r="S898" s="13"/>
      <c r="T898" s="13"/>
      <c r="U898" s="13"/>
      <c r="V898" s="13"/>
      <c r="W898" s="13"/>
      <c r="X898" s="310"/>
      <c r="Y898" s="311"/>
      <c r="Z898" s="310"/>
      <c r="AA898" s="312"/>
      <c r="AB898" s="13"/>
      <c r="AC898" s="313"/>
      <c r="AD898" s="313"/>
      <c r="AE898" s="313"/>
      <c r="AF898" s="331"/>
      <c r="AG898" s="320"/>
      <c r="AH898" s="13"/>
      <c r="AI898" s="13"/>
      <c r="AJ898" s="13"/>
      <c r="AK898" s="13"/>
      <c r="AL898" s="13"/>
      <c r="AM898" s="13"/>
      <c r="AN898" s="13"/>
      <c r="AO898" s="13"/>
      <c r="AP898" s="13"/>
    </row>
    <row r="899" ht="18.75" customHeight="1">
      <c r="A899" s="13"/>
      <c r="B899" s="282"/>
      <c r="C899" s="330"/>
      <c r="D899" s="330"/>
      <c r="E899" s="330"/>
      <c r="F899" s="13"/>
      <c r="G899" s="309"/>
      <c r="H899" s="309"/>
      <c r="I899" s="309"/>
      <c r="J899" s="310"/>
      <c r="K899" s="310"/>
      <c r="L899" s="310"/>
      <c r="M899" s="310"/>
      <c r="N899" s="310"/>
      <c r="O899" s="311"/>
      <c r="P899" s="310"/>
      <c r="Q899" s="311"/>
      <c r="R899" s="310"/>
      <c r="S899" s="13"/>
      <c r="T899" s="13"/>
      <c r="U899" s="13"/>
      <c r="V899" s="13"/>
      <c r="W899" s="13"/>
      <c r="X899" s="310"/>
      <c r="Y899" s="311"/>
      <c r="Z899" s="310"/>
      <c r="AA899" s="312"/>
      <c r="AB899" s="13"/>
      <c r="AC899" s="313"/>
      <c r="AD899" s="313"/>
      <c r="AE899" s="313"/>
      <c r="AF899" s="331"/>
      <c r="AG899" s="320"/>
      <c r="AH899" s="13"/>
      <c r="AI899" s="13"/>
      <c r="AJ899" s="13"/>
      <c r="AK899" s="13"/>
      <c r="AL899" s="13"/>
      <c r="AM899" s="13"/>
      <c r="AN899" s="13"/>
      <c r="AO899" s="13"/>
      <c r="AP899" s="13"/>
    </row>
    <row r="900" ht="18.75" customHeight="1">
      <c r="A900" s="13"/>
      <c r="B900" s="282"/>
      <c r="C900" s="330"/>
      <c r="D900" s="330"/>
      <c r="E900" s="330"/>
      <c r="F900" s="13"/>
      <c r="G900" s="309"/>
      <c r="H900" s="309"/>
      <c r="I900" s="309"/>
      <c r="J900" s="310"/>
      <c r="K900" s="310"/>
      <c r="L900" s="310"/>
      <c r="M900" s="310"/>
      <c r="N900" s="310"/>
      <c r="O900" s="311"/>
      <c r="P900" s="310"/>
      <c r="Q900" s="311"/>
      <c r="R900" s="310"/>
      <c r="S900" s="13"/>
      <c r="T900" s="13"/>
      <c r="U900" s="13"/>
      <c r="V900" s="13"/>
      <c r="W900" s="13"/>
      <c r="X900" s="310"/>
      <c r="Y900" s="311"/>
      <c r="Z900" s="310"/>
      <c r="AA900" s="312"/>
      <c r="AB900" s="13"/>
      <c r="AC900" s="313"/>
      <c r="AD900" s="313"/>
      <c r="AE900" s="313"/>
      <c r="AF900" s="331"/>
      <c r="AG900" s="320"/>
      <c r="AH900" s="13"/>
      <c r="AI900" s="13"/>
      <c r="AJ900" s="13"/>
      <c r="AK900" s="13"/>
      <c r="AL900" s="13"/>
      <c r="AM900" s="13"/>
      <c r="AN900" s="13"/>
      <c r="AO900" s="13"/>
      <c r="AP900" s="13"/>
    </row>
    <row r="901" ht="18.75" customHeight="1">
      <c r="A901" s="13"/>
      <c r="B901" s="282"/>
      <c r="C901" s="330"/>
      <c r="D901" s="330"/>
      <c r="E901" s="330"/>
      <c r="F901" s="13"/>
      <c r="G901" s="309"/>
      <c r="H901" s="309"/>
      <c r="I901" s="309"/>
      <c r="J901" s="310"/>
      <c r="K901" s="310"/>
      <c r="L901" s="310"/>
      <c r="M901" s="310"/>
      <c r="N901" s="310"/>
      <c r="O901" s="311"/>
      <c r="P901" s="310"/>
      <c r="Q901" s="311"/>
      <c r="R901" s="310"/>
      <c r="S901" s="13"/>
      <c r="T901" s="13"/>
      <c r="U901" s="13"/>
      <c r="V901" s="13"/>
      <c r="W901" s="13"/>
      <c r="X901" s="310"/>
      <c r="Y901" s="311"/>
      <c r="Z901" s="310"/>
      <c r="AA901" s="312"/>
      <c r="AB901" s="13"/>
      <c r="AC901" s="313"/>
      <c r="AD901" s="313"/>
      <c r="AE901" s="313"/>
      <c r="AF901" s="331"/>
      <c r="AG901" s="320"/>
      <c r="AH901" s="13"/>
      <c r="AI901" s="13"/>
      <c r="AJ901" s="13"/>
      <c r="AK901" s="13"/>
      <c r="AL901" s="13"/>
      <c r="AM901" s="13"/>
      <c r="AN901" s="13"/>
      <c r="AO901" s="13"/>
      <c r="AP901" s="13"/>
    </row>
    <row r="902" ht="18.75" customHeight="1">
      <c r="A902" s="13"/>
      <c r="B902" s="282"/>
      <c r="C902" s="330"/>
      <c r="D902" s="330"/>
      <c r="E902" s="330"/>
      <c r="F902" s="13"/>
      <c r="G902" s="309"/>
      <c r="H902" s="309"/>
      <c r="I902" s="309"/>
      <c r="J902" s="310"/>
      <c r="K902" s="310"/>
      <c r="L902" s="310"/>
      <c r="M902" s="310"/>
      <c r="N902" s="310"/>
      <c r="O902" s="311"/>
      <c r="P902" s="310"/>
      <c r="Q902" s="311"/>
      <c r="R902" s="310"/>
      <c r="S902" s="13"/>
      <c r="T902" s="13"/>
      <c r="U902" s="13"/>
      <c r="V902" s="13"/>
      <c r="W902" s="13"/>
      <c r="X902" s="310"/>
      <c r="Y902" s="311"/>
      <c r="Z902" s="310"/>
      <c r="AA902" s="312"/>
      <c r="AB902" s="13"/>
      <c r="AC902" s="313"/>
      <c r="AD902" s="313"/>
      <c r="AE902" s="313"/>
      <c r="AF902" s="331"/>
      <c r="AG902" s="320"/>
      <c r="AH902" s="13"/>
      <c r="AI902" s="13"/>
      <c r="AJ902" s="13"/>
      <c r="AK902" s="13"/>
      <c r="AL902" s="13"/>
      <c r="AM902" s="13"/>
      <c r="AN902" s="13"/>
      <c r="AO902" s="13"/>
      <c r="AP902" s="13"/>
    </row>
    <row r="903" ht="18.75" customHeight="1">
      <c r="A903" s="13"/>
      <c r="B903" s="282"/>
      <c r="C903" s="330"/>
      <c r="D903" s="330"/>
      <c r="E903" s="330"/>
      <c r="F903" s="13"/>
      <c r="G903" s="309"/>
      <c r="H903" s="309"/>
      <c r="I903" s="309"/>
      <c r="J903" s="310"/>
      <c r="K903" s="310"/>
      <c r="L903" s="310"/>
      <c r="M903" s="310"/>
      <c r="N903" s="310"/>
      <c r="O903" s="311"/>
      <c r="P903" s="310"/>
      <c r="Q903" s="311"/>
      <c r="R903" s="310"/>
      <c r="S903" s="13"/>
      <c r="T903" s="13"/>
      <c r="U903" s="13"/>
      <c r="V903" s="13"/>
      <c r="W903" s="13"/>
      <c r="X903" s="310"/>
      <c r="Y903" s="311"/>
      <c r="Z903" s="310"/>
      <c r="AA903" s="312"/>
      <c r="AB903" s="13"/>
      <c r="AC903" s="313"/>
      <c r="AD903" s="313"/>
      <c r="AE903" s="313"/>
      <c r="AF903" s="331"/>
      <c r="AG903" s="320"/>
      <c r="AH903" s="13"/>
      <c r="AI903" s="13"/>
      <c r="AJ903" s="13"/>
      <c r="AK903" s="13"/>
      <c r="AL903" s="13"/>
      <c r="AM903" s="13"/>
      <c r="AN903" s="13"/>
      <c r="AO903" s="13"/>
      <c r="AP903" s="13"/>
    </row>
    <row r="904" ht="18.75" customHeight="1">
      <c r="A904" s="13"/>
      <c r="B904" s="282"/>
      <c r="C904" s="330"/>
      <c r="D904" s="330"/>
      <c r="E904" s="330"/>
      <c r="F904" s="13"/>
      <c r="G904" s="309"/>
      <c r="H904" s="309"/>
      <c r="I904" s="309"/>
      <c r="J904" s="310"/>
      <c r="K904" s="310"/>
      <c r="L904" s="310"/>
      <c r="M904" s="310"/>
      <c r="N904" s="310"/>
      <c r="O904" s="311"/>
      <c r="P904" s="310"/>
      <c r="Q904" s="311"/>
      <c r="R904" s="310"/>
      <c r="S904" s="13"/>
      <c r="T904" s="13"/>
      <c r="U904" s="13"/>
      <c r="V904" s="13"/>
      <c r="W904" s="13"/>
      <c r="X904" s="310"/>
      <c r="Y904" s="311"/>
      <c r="Z904" s="310"/>
      <c r="AA904" s="312"/>
      <c r="AB904" s="13"/>
      <c r="AC904" s="313"/>
      <c r="AD904" s="313"/>
      <c r="AE904" s="313"/>
      <c r="AF904" s="331"/>
      <c r="AG904" s="320"/>
      <c r="AH904" s="13"/>
      <c r="AI904" s="13"/>
      <c r="AJ904" s="13"/>
      <c r="AK904" s="13"/>
      <c r="AL904" s="13"/>
      <c r="AM904" s="13"/>
      <c r="AN904" s="13"/>
      <c r="AO904" s="13"/>
      <c r="AP904" s="13"/>
    </row>
    <row r="905" ht="18.75" customHeight="1">
      <c r="A905" s="13"/>
      <c r="B905" s="282"/>
      <c r="C905" s="330"/>
      <c r="D905" s="330"/>
      <c r="E905" s="330"/>
      <c r="F905" s="13"/>
      <c r="G905" s="309"/>
      <c r="H905" s="309"/>
      <c r="I905" s="309"/>
      <c r="J905" s="310"/>
      <c r="K905" s="310"/>
      <c r="L905" s="310"/>
      <c r="M905" s="310"/>
      <c r="N905" s="310"/>
      <c r="O905" s="311"/>
      <c r="P905" s="310"/>
      <c r="Q905" s="311"/>
      <c r="R905" s="310"/>
      <c r="S905" s="13"/>
      <c r="T905" s="13"/>
      <c r="U905" s="13"/>
      <c r="V905" s="13"/>
      <c r="W905" s="13"/>
      <c r="X905" s="310"/>
      <c r="Y905" s="311"/>
      <c r="Z905" s="310"/>
      <c r="AA905" s="312"/>
      <c r="AB905" s="13"/>
      <c r="AC905" s="313"/>
      <c r="AD905" s="313"/>
      <c r="AE905" s="313"/>
      <c r="AF905" s="331"/>
      <c r="AG905" s="320"/>
      <c r="AH905" s="13"/>
      <c r="AI905" s="13"/>
      <c r="AJ905" s="13"/>
      <c r="AK905" s="13"/>
      <c r="AL905" s="13"/>
      <c r="AM905" s="13"/>
      <c r="AN905" s="13"/>
      <c r="AO905" s="13"/>
      <c r="AP905" s="13"/>
    </row>
    <row r="906" ht="18.75" customHeight="1">
      <c r="A906" s="13"/>
      <c r="B906" s="282"/>
      <c r="C906" s="330"/>
      <c r="D906" s="330"/>
      <c r="E906" s="330"/>
      <c r="F906" s="13"/>
      <c r="G906" s="309"/>
      <c r="H906" s="309"/>
      <c r="I906" s="309"/>
      <c r="J906" s="310"/>
      <c r="K906" s="310"/>
      <c r="L906" s="310"/>
      <c r="M906" s="310"/>
      <c r="N906" s="310"/>
      <c r="O906" s="311"/>
      <c r="P906" s="310"/>
      <c r="Q906" s="311"/>
      <c r="R906" s="310"/>
      <c r="S906" s="13"/>
      <c r="T906" s="13"/>
      <c r="U906" s="13"/>
      <c r="V906" s="13"/>
      <c r="W906" s="13"/>
      <c r="X906" s="310"/>
      <c r="Y906" s="311"/>
      <c r="Z906" s="310"/>
      <c r="AA906" s="312"/>
      <c r="AB906" s="13"/>
      <c r="AC906" s="313"/>
      <c r="AD906" s="313"/>
      <c r="AE906" s="313"/>
      <c r="AF906" s="331"/>
      <c r="AG906" s="320"/>
      <c r="AH906" s="13"/>
      <c r="AI906" s="13"/>
      <c r="AJ906" s="13"/>
      <c r="AK906" s="13"/>
      <c r="AL906" s="13"/>
      <c r="AM906" s="13"/>
      <c r="AN906" s="13"/>
      <c r="AO906" s="13"/>
      <c r="AP906" s="13"/>
    </row>
    <row r="907" ht="18.75" customHeight="1">
      <c r="A907" s="13"/>
      <c r="B907" s="282"/>
      <c r="C907" s="330"/>
      <c r="D907" s="330"/>
      <c r="E907" s="330"/>
      <c r="F907" s="13"/>
      <c r="G907" s="309"/>
      <c r="H907" s="309"/>
      <c r="I907" s="309"/>
      <c r="J907" s="310"/>
      <c r="K907" s="310"/>
      <c r="L907" s="310"/>
      <c r="M907" s="310"/>
      <c r="N907" s="310"/>
      <c r="O907" s="311"/>
      <c r="P907" s="310"/>
      <c r="Q907" s="311"/>
      <c r="R907" s="310"/>
      <c r="S907" s="13"/>
      <c r="T907" s="13"/>
      <c r="U907" s="13"/>
      <c r="V907" s="13"/>
      <c r="W907" s="13"/>
      <c r="X907" s="310"/>
      <c r="Y907" s="311"/>
      <c r="Z907" s="310"/>
      <c r="AA907" s="312"/>
      <c r="AB907" s="13"/>
      <c r="AC907" s="313"/>
      <c r="AD907" s="313"/>
      <c r="AE907" s="313"/>
      <c r="AF907" s="331"/>
      <c r="AG907" s="320"/>
      <c r="AH907" s="13"/>
      <c r="AI907" s="13"/>
      <c r="AJ907" s="13"/>
      <c r="AK907" s="13"/>
      <c r="AL907" s="13"/>
      <c r="AM907" s="13"/>
      <c r="AN907" s="13"/>
      <c r="AO907" s="13"/>
      <c r="AP907" s="13"/>
    </row>
    <row r="908" ht="18.75" customHeight="1">
      <c r="A908" s="13"/>
      <c r="B908" s="282"/>
      <c r="C908" s="330"/>
      <c r="D908" s="330"/>
      <c r="E908" s="330"/>
      <c r="F908" s="13"/>
      <c r="G908" s="309"/>
      <c r="H908" s="309"/>
      <c r="I908" s="309"/>
      <c r="J908" s="310"/>
      <c r="K908" s="310"/>
      <c r="L908" s="310"/>
      <c r="M908" s="310"/>
      <c r="N908" s="310"/>
      <c r="O908" s="311"/>
      <c r="P908" s="310"/>
      <c r="Q908" s="311"/>
      <c r="R908" s="310"/>
      <c r="S908" s="13"/>
      <c r="T908" s="13"/>
      <c r="U908" s="13"/>
      <c r="V908" s="13"/>
      <c r="W908" s="13"/>
      <c r="X908" s="310"/>
      <c r="Y908" s="311"/>
      <c r="Z908" s="310"/>
      <c r="AA908" s="312"/>
      <c r="AB908" s="13"/>
      <c r="AC908" s="313"/>
      <c r="AD908" s="313"/>
      <c r="AE908" s="313"/>
      <c r="AF908" s="331"/>
      <c r="AG908" s="320"/>
      <c r="AH908" s="13"/>
      <c r="AI908" s="13"/>
      <c r="AJ908" s="13"/>
      <c r="AK908" s="13"/>
      <c r="AL908" s="13"/>
      <c r="AM908" s="13"/>
      <c r="AN908" s="13"/>
      <c r="AO908" s="13"/>
      <c r="AP908" s="13"/>
    </row>
    <row r="909" ht="18.75" customHeight="1">
      <c r="A909" s="13"/>
      <c r="B909" s="282"/>
      <c r="C909" s="330"/>
      <c r="D909" s="330"/>
      <c r="E909" s="330"/>
      <c r="F909" s="13"/>
      <c r="G909" s="309"/>
      <c r="H909" s="309"/>
      <c r="I909" s="309"/>
      <c r="J909" s="310"/>
      <c r="K909" s="310"/>
      <c r="L909" s="310"/>
      <c r="M909" s="310"/>
      <c r="N909" s="310"/>
      <c r="O909" s="311"/>
      <c r="P909" s="310"/>
      <c r="Q909" s="311"/>
      <c r="R909" s="310"/>
      <c r="S909" s="13"/>
      <c r="T909" s="13"/>
      <c r="U909" s="13"/>
      <c r="V909" s="13"/>
      <c r="W909" s="13"/>
      <c r="X909" s="310"/>
      <c r="Y909" s="311"/>
      <c r="Z909" s="310"/>
      <c r="AA909" s="312"/>
      <c r="AB909" s="13"/>
      <c r="AC909" s="313"/>
      <c r="AD909" s="313"/>
      <c r="AE909" s="313"/>
      <c r="AF909" s="331"/>
      <c r="AG909" s="320"/>
      <c r="AH909" s="13"/>
      <c r="AI909" s="13"/>
      <c r="AJ909" s="13"/>
      <c r="AK909" s="13"/>
      <c r="AL909" s="13"/>
      <c r="AM909" s="13"/>
      <c r="AN909" s="13"/>
      <c r="AO909" s="13"/>
      <c r="AP909" s="13"/>
    </row>
    <row r="910" ht="18.75" customHeight="1">
      <c r="A910" s="13"/>
      <c r="B910" s="282"/>
      <c r="C910" s="330"/>
      <c r="D910" s="330"/>
      <c r="E910" s="330"/>
      <c r="F910" s="13"/>
      <c r="G910" s="309"/>
      <c r="H910" s="309"/>
      <c r="I910" s="309"/>
      <c r="J910" s="310"/>
      <c r="K910" s="310"/>
      <c r="L910" s="310"/>
      <c r="M910" s="310"/>
      <c r="N910" s="310"/>
      <c r="O910" s="311"/>
      <c r="P910" s="310"/>
      <c r="Q910" s="311"/>
      <c r="R910" s="310"/>
      <c r="S910" s="13"/>
      <c r="T910" s="13"/>
      <c r="U910" s="13"/>
      <c r="V910" s="13"/>
      <c r="W910" s="13"/>
      <c r="X910" s="310"/>
      <c r="Y910" s="311"/>
      <c r="Z910" s="310"/>
      <c r="AA910" s="312"/>
      <c r="AB910" s="13"/>
      <c r="AC910" s="313"/>
      <c r="AD910" s="313"/>
      <c r="AE910" s="313"/>
      <c r="AF910" s="331"/>
      <c r="AG910" s="320"/>
      <c r="AH910" s="13"/>
      <c r="AI910" s="13"/>
      <c r="AJ910" s="13"/>
      <c r="AK910" s="13"/>
      <c r="AL910" s="13"/>
      <c r="AM910" s="13"/>
      <c r="AN910" s="13"/>
      <c r="AO910" s="13"/>
      <c r="AP910" s="13"/>
    </row>
    <row r="911" ht="18.75" customHeight="1">
      <c r="A911" s="13"/>
      <c r="B911" s="282"/>
      <c r="C911" s="330"/>
      <c r="D911" s="330"/>
      <c r="E911" s="330"/>
      <c r="F911" s="13"/>
      <c r="G911" s="309"/>
      <c r="H911" s="309"/>
      <c r="I911" s="309"/>
      <c r="J911" s="310"/>
      <c r="K911" s="310"/>
      <c r="L911" s="310"/>
      <c r="M911" s="310"/>
      <c r="N911" s="310"/>
      <c r="O911" s="311"/>
      <c r="P911" s="310"/>
      <c r="Q911" s="311"/>
      <c r="R911" s="310"/>
      <c r="S911" s="13"/>
      <c r="T911" s="13"/>
      <c r="U911" s="13"/>
      <c r="V911" s="13"/>
      <c r="W911" s="13"/>
      <c r="X911" s="310"/>
      <c r="Y911" s="311"/>
      <c r="Z911" s="310"/>
      <c r="AA911" s="312"/>
      <c r="AB911" s="13"/>
      <c r="AC911" s="313"/>
      <c r="AD911" s="313"/>
      <c r="AE911" s="313"/>
      <c r="AF911" s="331"/>
      <c r="AG911" s="320"/>
      <c r="AH911" s="13"/>
      <c r="AI911" s="13"/>
      <c r="AJ911" s="13"/>
      <c r="AK911" s="13"/>
      <c r="AL911" s="13"/>
      <c r="AM911" s="13"/>
      <c r="AN911" s="13"/>
      <c r="AO911" s="13"/>
      <c r="AP911" s="13"/>
    </row>
    <row r="912" ht="18.75" customHeight="1">
      <c r="A912" s="13"/>
      <c r="B912" s="282"/>
      <c r="C912" s="330"/>
      <c r="D912" s="330"/>
      <c r="E912" s="330"/>
      <c r="F912" s="13"/>
      <c r="G912" s="309"/>
      <c r="H912" s="309"/>
      <c r="I912" s="309"/>
      <c r="J912" s="310"/>
      <c r="K912" s="310"/>
      <c r="L912" s="310"/>
      <c r="M912" s="310"/>
      <c r="N912" s="310"/>
      <c r="O912" s="311"/>
      <c r="P912" s="310"/>
      <c r="Q912" s="311"/>
      <c r="R912" s="310"/>
      <c r="S912" s="13"/>
      <c r="T912" s="13"/>
      <c r="U912" s="13"/>
      <c r="V912" s="13"/>
      <c r="W912" s="13"/>
      <c r="X912" s="310"/>
      <c r="Y912" s="311"/>
      <c r="Z912" s="310"/>
      <c r="AA912" s="312"/>
      <c r="AB912" s="13"/>
      <c r="AC912" s="313"/>
      <c r="AD912" s="313"/>
      <c r="AE912" s="313"/>
      <c r="AF912" s="331"/>
      <c r="AG912" s="320"/>
      <c r="AH912" s="13"/>
      <c r="AI912" s="13"/>
      <c r="AJ912" s="13"/>
      <c r="AK912" s="13"/>
      <c r="AL912" s="13"/>
      <c r="AM912" s="13"/>
      <c r="AN912" s="13"/>
      <c r="AO912" s="13"/>
      <c r="AP912" s="13"/>
    </row>
    <row r="913" ht="18.75" customHeight="1">
      <c r="A913" s="13"/>
      <c r="B913" s="282"/>
      <c r="C913" s="330"/>
      <c r="D913" s="330"/>
      <c r="E913" s="330"/>
      <c r="F913" s="13"/>
      <c r="G913" s="309"/>
      <c r="H913" s="309"/>
      <c r="I913" s="309"/>
      <c r="J913" s="310"/>
      <c r="K913" s="310"/>
      <c r="L913" s="310"/>
      <c r="M913" s="310"/>
      <c r="N913" s="310"/>
      <c r="O913" s="311"/>
      <c r="P913" s="310"/>
      <c r="Q913" s="311"/>
      <c r="R913" s="310"/>
      <c r="S913" s="13"/>
      <c r="T913" s="13"/>
      <c r="U913" s="13"/>
      <c r="V913" s="13"/>
      <c r="W913" s="13"/>
      <c r="X913" s="310"/>
      <c r="Y913" s="311"/>
      <c r="Z913" s="310"/>
      <c r="AA913" s="312"/>
      <c r="AB913" s="13"/>
      <c r="AC913" s="313"/>
      <c r="AD913" s="313"/>
      <c r="AE913" s="313"/>
      <c r="AF913" s="331"/>
      <c r="AG913" s="320"/>
      <c r="AH913" s="13"/>
      <c r="AI913" s="13"/>
      <c r="AJ913" s="13"/>
      <c r="AK913" s="13"/>
      <c r="AL913" s="13"/>
      <c r="AM913" s="13"/>
      <c r="AN913" s="13"/>
      <c r="AO913" s="13"/>
      <c r="AP913" s="13"/>
    </row>
    <row r="914" ht="18.75" customHeight="1">
      <c r="A914" s="13"/>
      <c r="B914" s="282"/>
      <c r="C914" s="330"/>
      <c r="D914" s="330"/>
      <c r="E914" s="330"/>
      <c r="F914" s="13"/>
      <c r="G914" s="309"/>
      <c r="H914" s="309"/>
      <c r="I914" s="309"/>
      <c r="J914" s="310"/>
      <c r="K914" s="310"/>
      <c r="L914" s="310"/>
      <c r="M914" s="310"/>
      <c r="N914" s="310"/>
      <c r="O914" s="311"/>
      <c r="P914" s="310"/>
      <c r="Q914" s="311"/>
      <c r="R914" s="310"/>
      <c r="S914" s="13"/>
      <c r="T914" s="13"/>
      <c r="U914" s="13"/>
      <c r="V914" s="13"/>
      <c r="W914" s="13"/>
      <c r="X914" s="310"/>
      <c r="Y914" s="311"/>
      <c r="Z914" s="310"/>
      <c r="AA914" s="312"/>
      <c r="AB914" s="13"/>
      <c r="AC914" s="313"/>
      <c r="AD914" s="313"/>
      <c r="AE914" s="313"/>
      <c r="AF914" s="331"/>
      <c r="AG914" s="320"/>
      <c r="AH914" s="13"/>
      <c r="AI914" s="13"/>
      <c r="AJ914" s="13"/>
      <c r="AK914" s="13"/>
      <c r="AL914" s="13"/>
      <c r="AM914" s="13"/>
      <c r="AN914" s="13"/>
      <c r="AO914" s="13"/>
      <c r="AP914" s="13"/>
    </row>
    <row r="915" ht="18.75" customHeight="1">
      <c r="A915" s="13"/>
      <c r="B915" s="282"/>
      <c r="C915" s="330"/>
      <c r="D915" s="330"/>
      <c r="E915" s="330"/>
      <c r="F915" s="13"/>
      <c r="G915" s="309"/>
      <c r="H915" s="309"/>
      <c r="I915" s="309"/>
      <c r="J915" s="310"/>
      <c r="K915" s="310"/>
      <c r="L915" s="310"/>
      <c r="M915" s="310"/>
      <c r="N915" s="310"/>
      <c r="O915" s="311"/>
      <c r="P915" s="310"/>
      <c r="Q915" s="311"/>
      <c r="R915" s="310"/>
      <c r="S915" s="13"/>
      <c r="T915" s="13"/>
      <c r="U915" s="13"/>
      <c r="V915" s="13"/>
      <c r="W915" s="13"/>
      <c r="X915" s="310"/>
      <c r="Y915" s="311"/>
      <c r="Z915" s="310"/>
      <c r="AA915" s="312"/>
      <c r="AB915" s="13"/>
      <c r="AC915" s="313"/>
      <c r="AD915" s="313"/>
      <c r="AE915" s="313"/>
      <c r="AF915" s="331"/>
      <c r="AG915" s="320"/>
      <c r="AH915" s="13"/>
      <c r="AI915" s="13"/>
      <c r="AJ915" s="13"/>
      <c r="AK915" s="13"/>
      <c r="AL915" s="13"/>
      <c r="AM915" s="13"/>
      <c r="AN915" s="13"/>
      <c r="AO915" s="13"/>
      <c r="AP915" s="13"/>
    </row>
    <row r="916" ht="18.75" customHeight="1">
      <c r="A916" s="13"/>
      <c r="B916" s="282"/>
      <c r="C916" s="330"/>
      <c r="D916" s="330"/>
      <c r="E916" s="330"/>
      <c r="F916" s="13"/>
      <c r="G916" s="309"/>
      <c r="H916" s="309"/>
      <c r="I916" s="309"/>
      <c r="J916" s="310"/>
      <c r="K916" s="310"/>
      <c r="L916" s="310"/>
      <c r="M916" s="310"/>
      <c r="N916" s="310"/>
      <c r="O916" s="311"/>
      <c r="P916" s="310"/>
      <c r="Q916" s="311"/>
      <c r="R916" s="310"/>
      <c r="S916" s="13"/>
      <c r="T916" s="13"/>
      <c r="U916" s="13"/>
      <c r="V916" s="13"/>
      <c r="W916" s="13"/>
      <c r="X916" s="310"/>
      <c r="Y916" s="311"/>
      <c r="Z916" s="310"/>
      <c r="AA916" s="312"/>
      <c r="AB916" s="13"/>
      <c r="AC916" s="313"/>
      <c r="AD916" s="313"/>
      <c r="AE916" s="313"/>
      <c r="AF916" s="331"/>
      <c r="AG916" s="320"/>
      <c r="AH916" s="13"/>
      <c r="AI916" s="13"/>
      <c r="AJ916" s="13"/>
      <c r="AK916" s="13"/>
      <c r="AL916" s="13"/>
      <c r="AM916" s="13"/>
      <c r="AN916" s="13"/>
      <c r="AO916" s="13"/>
      <c r="AP916" s="13"/>
    </row>
    <row r="917" ht="18.75" customHeight="1">
      <c r="A917" s="13"/>
      <c r="B917" s="282"/>
      <c r="C917" s="330"/>
      <c r="D917" s="330"/>
      <c r="E917" s="330"/>
      <c r="F917" s="13"/>
      <c r="G917" s="309"/>
      <c r="H917" s="309"/>
      <c r="I917" s="309"/>
      <c r="J917" s="310"/>
      <c r="K917" s="310"/>
      <c r="L917" s="310"/>
      <c r="M917" s="310"/>
      <c r="N917" s="310"/>
      <c r="O917" s="311"/>
      <c r="P917" s="310"/>
      <c r="Q917" s="311"/>
      <c r="R917" s="310"/>
      <c r="S917" s="13"/>
      <c r="T917" s="13"/>
      <c r="U917" s="13"/>
      <c r="V917" s="13"/>
      <c r="W917" s="13"/>
      <c r="X917" s="310"/>
      <c r="Y917" s="311"/>
      <c r="Z917" s="310"/>
      <c r="AA917" s="312"/>
      <c r="AB917" s="13"/>
      <c r="AC917" s="313"/>
      <c r="AD917" s="313"/>
      <c r="AE917" s="313"/>
      <c r="AF917" s="331"/>
      <c r="AG917" s="320"/>
      <c r="AH917" s="13"/>
      <c r="AI917" s="13"/>
      <c r="AJ917" s="13"/>
      <c r="AK917" s="13"/>
      <c r="AL917" s="13"/>
      <c r="AM917" s="13"/>
      <c r="AN917" s="13"/>
      <c r="AO917" s="13"/>
      <c r="AP917" s="13"/>
    </row>
    <row r="918" ht="18.75" customHeight="1">
      <c r="A918" s="13"/>
      <c r="B918" s="282"/>
      <c r="C918" s="330"/>
      <c r="D918" s="330"/>
      <c r="E918" s="330"/>
      <c r="F918" s="13"/>
      <c r="G918" s="309"/>
      <c r="H918" s="309"/>
      <c r="I918" s="309"/>
      <c r="J918" s="310"/>
      <c r="K918" s="310"/>
      <c r="L918" s="310"/>
      <c r="M918" s="310"/>
      <c r="N918" s="310"/>
      <c r="O918" s="311"/>
      <c r="P918" s="310"/>
      <c r="Q918" s="311"/>
      <c r="R918" s="310"/>
      <c r="S918" s="13"/>
      <c r="T918" s="13"/>
      <c r="U918" s="13"/>
      <c r="V918" s="13"/>
      <c r="W918" s="13"/>
      <c r="X918" s="310"/>
      <c r="Y918" s="311"/>
      <c r="Z918" s="310"/>
      <c r="AA918" s="312"/>
      <c r="AB918" s="13"/>
      <c r="AC918" s="313"/>
      <c r="AD918" s="313"/>
      <c r="AE918" s="313"/>
      <c r="AF918" s="331"/>
      <c r="AG918" s="320"/>
      <c r="AH918" s="13"/>
      <c r="AI918" s="13"/>
      <c r="AJ918" s="13"/>
      <c r="AK918" s="13"/>
      <c r="AL918" s="13"/>
      <c r="AM918" s="13"/>
      <c r="AN918" s="13"/>
      <c r="AO918" s="13"/>
      <c r="AP918" s="13"/>
    </row>
    <row r="919" ht="18.75" customHeight="1">
      <c r="A919" s="13"/>
      <c r="B919" s="282"/>
      <c r="C919" s="330"/>
      <c r="D919" s="330"/>
      <c r="E919" s="330"/>
      <c r="F919" s="13"/>
      <c r="G919" s="309"/>
      <c r="H919" s="309"/>
      <c r="I919" s="309"/>
      <c r="J919" s="310"/>
      <c r="K919" s="310"/>
      <c r="L919" s="310"/>
      <c r="M919" s="310"/>
      <c r="N919" s="310"/>
      <c r="O919" s="311"/>
      <c r="P919" s="310"/>
      <c r="Q919" s="311"/>
      <c r="R919" s="310"/>
      <c r="S919" s="13"/>
      <c r="T919" s="13"/>
      <c r="U919" s="13"/>
      <c r="V919" s="13"/>
      <c r="W919" s="13"/>
      <c r="X919" s="310"/>
      <c r="Y919" s="311"/>
      <c r="Z919" s="310"/>
      <c r="AA919" s="312"/>
      <c r="AB919" s="13"/>
      <c r="AC919" s="313"/>
      <c r="AD919" s="313"/>
      <c r="AE919" s="313"/>
      <c r="AF919" s="331"/>
      <c r="AG919" s="320"/>
      <c r="AH919" s="13"/>
      <c r="AI919" s="13"/>
      <c r="AJ919" s="13"/>
      <c r="AK919" s="13"/>
      <c r="AL919" s="13"/>
      <c r="AM919" s="13"/>
      <c r="AN919" s="13"/>
      <c r="AO919" s="13"/>
      <c r="AP919" s="13"/>
    </row>
    <row r="920" ht="18.75" customHeight="1">
      <c r="A920" s="13"/>
      <c r="B920" s="282"/>
      <c r="C920" s="330"/>
      <c r="D920" s="330"/>
      <c r="E920" s="330"/>
      <c r="F920" s="13"/>
      <c r="G920" s="309"/>
      <c r="H920" s="309"/>
      <c r="I920" s="309"/>
      <c r="J920" s="310"/>
      <c r="K920" s="310"/>
      <c r="L920" s="310"/>
      <c r="M920" s="310"/>
      <c r="N920" s="310"/>
      <c r="O920" s="311"/>
      <c r="P920" s="310"/>
      <c r="Q920" s="311"/>
      <c r="R920" s="310"/>
      <c r="S920" s="13"/>
      <c r="T920" s="13"/>
      <c r="U920" s="13"/>
      <c r="V920" s="13"/>
      <c r="W920" s="13"/>
      <c r="X920" s="310"/>
      <c r="Y920" s="311"/>
      <c r="Z920" s="310"/>
      <c r="AA920" s="312"/>
      <c r="AB920" s="13"/>
      <c r="AC920" s="313"/>
      <c r="AD920" s="313"/>
      <c r="AE920" s="313"/>
      <c r="AF920" s="331"/>
      <c r="AG920" s="320"/>
      <c r="AH920" s="13"/>
      <c r="AI920" s="13"/>
      <c r="AJ920" s="13"/>
      <c r="AK920" s="13"/>
      <c r="AL920" s="13"/>
      <c r="AM920" s="13"/>
      <c r="AN920" s="13"/>
      <c r="AO920" s="13"/>
      <c r="AP920" s="13"/>
    </row>
    <row r="921" ht="18.75" customHeight="1">
      <c r="A921" s="13"/>
      <c r="B921" s="282"/>
      <c r="C921" s="330"/>
      <c r="D921" s="330"/>
      <c r="E921" s="330"/>
      <c r="F921" s="13"/>
      <c r="G921" s="309"/>
      <c r="H921" s="309"/>
      <c r="I921" s="309"/>
      <c r="J921" s="310"/>
      <c r="K921" s="310"/>
      <c r="L921" s="310"/>
      <c r="M921" s="310"/>
      <c r="N921" s="310"/>
      <c r="O921" s="311"/>
      <c r="P921" s="310"/>
      <c r="Q921" s="311"/>
      <c r="R921" s="310"/>
      <c r="S921" s="13"/>
      <c r="T921" s="13"/>
      <c r="U921" s="13"/>
      <c r="V921" s="13"/>
      <c r="W921" s="13"/>
      <c r="X921" s="310"/>
      <c r="Y921" s="311"/>
      <c r="Z921" s="310"/>
      <c r="AA921" s="312"/>
      <c r="AB921" s="13"/>
      <c r="AC921" s="313"/>
      <c r="AD921" s="313"/>
      <c r="AE921" s="313"/>
      <c r="AF921" s="331"/>
      <c r="AG921" s="320"/>
      <c r="AH921" s="13"/>
      <c r="AI921" s="13"/>
      <c r="AJ921" s="13"/>
      <c r="AK921" s="13"/>
      <c r="AL921" s="13"/>
      <c r="AM921" s="13"/>
      <c r="AN921" s="13"/>
      <c r="AO921" s="13"/>
      <c r="AP921" s="13"/>
    </row>
    <row r="922" ht="18.75" customHeight="1">
      <c r="A922" s="13"/>
      <c r="B922" s="282"/>
      <c r="C922" s="330"/>
      <c r="D922" s="330"/>
      <c r="E922" s="330"/>
      <c r="F922" s="13"/>
      <c r="G922" s="309"/>
      <c r="H922" s="309"/>
      <c r="I922" s="309"/>
      <c r="J922" s="310"/>
      <c r="K922" s="310"/>
      <c r="L922" s="310"/>
      <c r="M922" s="310"/>
      <c r="N922" s="310"/>
      <c r="O922" s="311"/>
      <c r="P922" s="310"/>
      <c r="Q922" s="311"/>
      <c r="R922" s="310"/>
      <c r="S922" s="13"/>
      <c r="T922" s="13"/>
      <c r="U922" s="13"/>
      <c r="V922" s="13"/>
      <c r="W922" s="13"/>
      <c r="X922" s="310"/>
      <c r="Y922" s="311"/>
      <c r="Z922" s="310"/>
      <c r="AA922" s="312"/>
      <c r="AB922" s="13"/>
      <c r="AC922" s="313"/>
      <c r="AD922" s="313"/>
      <c r="AE922" s="313"/>
      <c r="AF922" s="331"/>
      <c r="AG922" s="320"/>
      <c r="AH922" s="13"/>
      <c r="AI922" s="13"/>
      <c r="AJ922" s="13"/>
      <c r="AK922" s="13"/>
      <c r="AL922" s="13"/>
      <c r="AM922" s="13"/>
      <c r="AN922" s="13"/>
      <c r="AO922" s="13"/>
      <c r="AP922" s="13"/>
    </row>
    <row r="923" ht="18.75" customHeight="1">
      <c r="A923" s="13"/>
      <c r="B923" s="282"/>
      <c r="C923" s="330"/>
      <c r="D923" s="330"/>
      <c r="E923" s="330"/>
      <c r="F923" s="13"/>
      <c r="G923" s="309"/>
      <c r="H923" s="309"/>
      <c r="I923" s="309"/>
      <c r="J923" s="310"/>
      <c r="K923" s="310"/>
      <c r="L923" s="310"/>
      <c r="M923" s="310"/>
      <c r="N923" s="310"/>
      <c r="O923" s="311"/>
      <c r="P923" s="310"/>
      <c r="Q923" s="311"/>
      <c r="R923" s="310"/>
      <c r="S923" s="13"/>
      <c r="T923" s="13"/>
      <c r="U923" s="13"/>
      <c r="V923" s="13"/>
      <c r="W923" s="13"/>
      <c r="X923" s="310"/>
      <c r="Y923" s="311"/>
      <c r="Z923" s="310"/>
      <c r="AA923" s="312"/>
      <c r="AB923" s="13"/>
      <c r="AC923" s="313"/>
      <c r="AD923" s="313"/>
      <c r="AE923" s="313"/>
      <c r="AF923" s="331"/>
      <c r="AG923" s="320"/>
      <c r="AH923" s="13"/>
      <c r="AI923" s="13"/>
      <c r="AJ923" s="13"/>
      <c r="AK923" s="13"/>
      <c r="AL923" s="13"/>
      <c r="AM923" s="13"/>
      <c r="AN923" s="13"/>
      <c r="AO923" s="13"/>
      <c r="AP923" s="13"/>
    </row>
    <row r="924" ht="18.75" customHeight="1">
      <c r="A924" s="13"/>
      <c r="B924" s="282"/>
      <c r="C924" s="330"/>
      <c r="D924" s="330"/>
      <c r="E924" s="330"/>
      <c r="F924" s="13"/>
      <c r="G924" s="309"/>
      <c r="H924" s="309"/>
      <c r="I924" s="309"/>
      <c r="J924" s="310"/>
      <c r="K924" s="310"/>
      <c r="L924" s="310"/>
      <c r="M924" s="310"/>
      <c r="N924" s="310"/>
      <c r="O924" s="311"/>
      <c r="P924" s="310"/>
      <c r="Q924" s="311"/>
      <c r="R924" s="310"/>
      <c r="S924" s="13"/>
      <c r="T924" s="13"/>
      <c r="U924" s="13"/>
      <c r="V924" s="13"/>
      <c r="W924" s="13"/>
      <c r="X924" s="310"/>
      <c r="Y924" s="311"/>
      <c r="Z924" s="310"/>
      <c r="AA924" s="312"/>
      <c r="AB924" s="13"/>
      <c r="AC924" s="313"/>
      <c r="AD924" s="313"/>
      <c r="AE924" s="313"/>
      <c r="AF924" s="331"/>
      <c r="AG924" s="320"/>
      <c r="AH924" s="13"/>
      <c r="AI924" s="13"/>
      <c r="AJ924" s="13"/>
      <c r="AK924" s="13"/>
      <c r="AL924" s="13"/>
      <c r="AM924" s="13"/>
      <c r="AN924" s="13"/>
      <c r="AO924" s="13"/>
      <c r="AP924" s="13"/>
    </row>
    <row r="925" ht="18.75" customHeight="1">
      <c r="A925" s="13"/>
      <c r="B925" s="282"/>
      <c r="C925" s="330"/>
      <c r="D925" s="330"/>
      <c r="E925" s="330"/>
      <c r="F925" s="13"/>
      <c r="G925" s="309"/>
      <c r="H925" s="309"/>
      <c r="I925" s="309"/>
      <c r="J925" s="310"/>
      <c r="K925" s="310"/>
      <c r="L925" s="310"/>
      <c r="M925" s="310"/>
      <c r="N925" s="310"/>
      <c r="O925" s="311"/>
      <c r="P925" s="310"/>
      <c r="Q925" s="311"/>
      <c r="R925" s="310"/>
      <c r="S925" s="13"/>
      <c r="T925" s="13"/>
      <c r="U925" s="13"/>
      <c r="V925" s="13"/>
      <c r="W925" s="13"/>
      <c r="X925" s="310"/>
      <c r="Y925" s="311"/>
      <c r="Z925" s="310"/>
      <c r="AA925" s="312"/>
      <c r="AB925" s="13"/>
      <c r="AC925" s="313"/>
      <c r="AD925" s="313"/>
      <c r="AE925" s="313"/>
      <c r="AF925" s="331"/>
      <c r="AG925" s="320"/>
      <c r="AH925" s="13"/>
      <c r="AI925" s="13"/>
      <c r="AJ925" s="13"/>
      <c r="AK925" s="13"/>
      <c r="AL925" s="13"/>
      <c r="AM925" s="13"/>
      <c r="AN925" s="13"/>
      <c r="AO925" s="13"/>
      <c r="AP925" s="13"/>
    </row>
    <row r="926" ht="18.75" customHeight="1">
      <c r="A926" s="13"/>
      <c r="B926" s="282"/>
      <c r="C926" s="330"/>
      <c r="D926" s="330"/>
      <c r="E926" s="330"/>
      <c r="F926" s="13"/>
      <c r="G926" s="309"/>
      <c r="H926" s="309"/>
      <c r="I926" s="309"/>
      <c r="J926" s="310"/>
      <c r="K926" s="310"/>
      <c r="L926" s="310"/>
      <c r="M926" s="310"/>
      <c r="N926" s="310"/>
      <c r="O926" s="311"/>
      <c r="P926" s="310"/>
      <c r="Q926" s="311"/>
      <c r="R926" s="310"/>
      <c r="S926" s="13"/>
      <c r="T926" s="13"/>
      <c r="U926" s="13"/>
      <c r="V926" s="13"/>
      <c r="W926" s="13"/>
      <c r="X926" s="310"/>
      <c r="Y926" s="311"/>
      <c r="Z926" s="310"/>
      <c r="AA926" s="312"/>
      <c r="AB926" s="13"/>
      <c r="AC926" s="313"/>
      <c r="AD926" s="313"/>
      <c r="AE926" s="313"/>
      <c r="AF926" s="331"/>
      <c r="AG926" s="320"/>
      <c r="AH926" s="13"/>
      <c r="AI926" s="13"/>
      <c r="AJ926" s="13"/>
      <c r="AK926" s="13"/>
      <c r="AL926" s="13"/>
      <c r="AM926" s="13"/>
      <c r="AN926" s="13"/>
      <c r="AO926" s="13"/>
      <c r="AP926" s="13"/>
    </row>
    <row r="927" ht="18.75" customHeight="1">
      <c r="A927" s="13"/>
      <c r="B927" s="282"/>
      <c r="C927" s="330"/>
      <c r="D927" s="330"/>
      <c r="E927" s="330"/>
      <c r="F927" s="13"/>
      <c r="G927" s="309"/>
      <c r="H927" s="309"/>
      <c r="I927" s="309"/>
      <c r="J927" s="310"/>
      <c r="K927" s="310"/>
      <c r="L927" s="310"/>
      <c r="M927" s="310"/>
      <c r="N927" s="310"/>
      <c r="O927" s="311"/>
      <c r="P927" s="310"/>
      <c r="Q927" s="311"/>
      <c r="R927" s="310"/>
      <c r="S927" s="13"/>
      <c r="T927" s="13"/>
      <c r="U927" s="13"/>
      <c r="V927" s="13"/>
      <c r="W927" s="13"/>
      <c r="X927" s="310"/>
      <c r="Y927" s="311"/>
      <c r="Z927" s="310"/>
      <c r="AA927" s="312"/>
      <c r="AB927" s="13"/>
      <c r="AC927" s="313"/>
      <c r="AD927" s="313"/>
      <c r="AE927" s="313"/>
      <c r="AF927" s="331"/>
      <c r="AG927" s="320"/>
      <c r="AH927" s="13"/>
      <c r="AI927" s="13"/>
      <c r="AJ927" s="13"/>
      <c r="AK927" s="13"/>
      <c r="AL927" s="13"/>
      <c r="AM927" s="13"/>
      <c r="AN927" s="13"/>
      <c r="AO927" s="13"/>
      <c r="AP927" s="13"/>
    </row>
    <row r="928" ht="18.75" customHeight="1">
      <c r="A928" s="13"/>
      <c r="B928" s="282"/>
      <c r="C928" s="330"/>
      <c r="D928" s="330"/>
      <c r="E928" s="330"/>
      <c r="F928" s="13"/>
      <c r="G928" s="309"/>
      <c r="H928" s="309"/>
      <c r="I928" s="309"/>
      <c r="J928" s="310"/>
      <c r="K928" s="310"/>
      <c r="L928" s="310"/>
      <c r="M928" s="310"/>
      <c r="N928" s="310"/>
      <c r="O928" s="311"/>
      <c r="P928" s="310"/>
      <c r="Q928" s="311"/>
      <c r="R928" s="310"/>
      <c r="S928" s="13"/>
      <c r="T928" s="13"/>
      <c r="U928" s="13"/>
      <c r="V928" s="13"/>
      <c r="W928" s="13"/>
      <c r="X928" s="310"/>
      <c r="Y928" s="311"/>
      <c r="Z928" s="310"/>
      <c r="AA928" s="312"/>
      <c r="AB928" s="13"/>
      <c r="AC928" s="313"/>
      <c r="AD928" s="313"/>
      <c r="AE928" s="313"/>
      <c r="AF928" s="331"/>
      <c r="AG928" s="320"/>
      <c r="AH928" s="13"/>
      <c r="AI928" s="13"/>
      <c r="AJ928" s="13"/>
      <c r="AK928" s="13"/>
      <c r="AL928" s="13"/>
      <c r="AM928" s="13"/>
      <c r="AN928" s="13"/>
      <c r="AO928" s="13"/>
      <c r="AP928" s="13"/>
    </row>
    <row r="929" ht="18.75" customHeight="1">
      <c r="A929" s="13"/>
      <c r="B929" s="282"/>
      <c r="C929" s="330"/>
      <c r="D929" s="330"/>
      <c r="E929" s="330"/>
      <c r="F929" s="13"/>
      <c r="G929" s="309"/>
      <c r="H929" s="309"/>
      <c r="I929" s="309"/>
      <c r="J929" s="310"/>
      <c r="K929" s="310"/>
      <c r="L929" s="310"/>
      <c r="M929" s="310"/>
      <c r="N929" s="310"/>
      <c r="O929" s="311"/>
      <c r="P929" s="310"/>
      <c r="Q929" s="311"/>
      <c r="R929" s="310"/>
      <c r="S929" s="13"/>
      <c r="T929" s="13"/>
      <c r="U929" s="13"/>
      <c r="V929" s="13"/>
      <c r="W929" s="13"/>
      <c r="X929" s="310"/>
      <c r="Y929" s="311"/>
      <c r="Z929" s="310"/>
      <c r="AA929" s="312"/>
      <c r="AB929" s="13"/>
      <c r="AC929" s="313"/>
      <c r="AD929" s="313"/>
      <c r="AE929" s="313"/>
      <c r="AF929" s="331"/>
      <c r="AG929" s="320"/>
      <c r="AH929" s="13"/>
      <c r="AI929" s="13"/>
      <c r="AJ929" s="13"/>
      <c r="AK929" s="13"/>
      <c r="AL929" s="13"/>
      <c r="AM929" s="13"/>
      <c r="AN929" s="13"/>
      <c r="AO929" s="13"/>
      <c r="AP929" s="13"/>
    </row>
    <row r="930" ht="18.75" customHeight="1">
      <c r="A930" s="13"/>
      <c r="B930" s="282"/>
      <c r="C930" s="330"/>
      <c r="D930" s="330"/>
      <c r="E930" s="330"/>
      <c r="F930" s="13"/>
      <c r="G930" s="309"/>
      <c r="H930" s="309"/>
      <c r="I930" s="309"/>
      <c r="J930" s="310"/>
      <c r="K930" s="310"/>
      <c r="L930" s="310"/>
      <c r="M930" s="310"/>
      <c r="N930" s="310"/>
      <c r="O930" s="311"/>
      <c r="P930" s="310"/>
      <c r="Q930" s="311"/>
      <c r="R930" s="310"/>
      <c r="S930" s="13"/>
      <c r="T930" s="13"/>
      <c r="U930" s="13"/>
      <c r="V930" s="13"/>
      <c r="W930" s="13"/>
      <c r="X930" s="310"/>
      <c r="Y930" s="311"/>
      <c r="Z930" s="310"/>
      <c r="AA930" s="312"/>
      <c r="AB930" s="13"/>
      <c r="AC930" s="313"/>
      <c r="AD930" s="313"/>
      <c r="AE930" s="313"/>
      <c r="AF930" s="331"/>
      <c r="AG930" s="320"/>
      <c r="AH930" s="13"/>
      <c r="AI930" s="13"/>
      <c r="AJ930" s="13"/>
      <c r="AK930" s="13"/>
      <c r="AL930" s="13"/>
      <c r="AM930" s="13"/>
      <c r="AN930" s="13"/>
      <c r="AO930" s="13"/>
      <c r="AP930" s="13"/>
    </row>
    <row r="931" ht="18.75" customHeight="1">
      <c r="A931" s="13"/>
      <c r="B931" s="282"/>
      <c r="C931" s="330"/>
      <c r="D931" s="330"/>
      <c r="E931" s="330"/>
      <c r="F931" s="13"/>
      <c r="G931" s="309"/>
      <c r="H931" s="309"/>
      <c r="I931" s="309"/>
      <c r="J931" s="310"/>
      <c r="K931" s="310"/>
      <c r="L931" s="310"/>
      <c r="M931" s="310"/>
      <c r="N931" s="310"/>
      <c r="O931" s="311"/>
      <c r="P931" s="310"/>
      <c r="Q931" s="311"/>
      <c r="R931" s="310"/>
      <c r="S931" s="13"/>
      <c r="T931" s="13"/>
      <c r="U931" s="13"/>
      <c r="V931" s="13"/>
      <c r="W931" s="13"/>
      <c r="X931" s="310"/>
      <c r="Y931" s="311"/>
      <c r="Z931" s="310"/>
      <c r="AA931" s="312"/>
      <c r="AB931" s="13"/>
      <c r="AC931" s="313"/>
      <c r="AD931" s="313"/>
      <c r="AE931" s="313"/>
      <c r="AF931" s="331"/>
      <c r="AG931" s="320"/>
      <c r="AH931" s="13"/>
      <c r="AI931" s="13"/>
      <c r="AJ931" s="13"/>
      <c r="AK931" s="13"/>
      <c r="AL931" s="13"/>
      <c r="AM931" s="13"/>
      <c r="AN931" s="13"/>
      <c r="AO931" s="13"/>
      <c r="AP931" s="13"/>
    </row>
    <row r="932" ht="18.75" customHeight="1">
      <c r="A932" s="13"/>
      <c r="B932" s="282"/>
      <c r="C932" s="330"/>
      <c r="D932" s="330"/>
      <c r="E932" s="330"/>
      <c r="F932" s="13"/>
      <c r="G932" s="309"/>
      <c r="H932" s="309"/>
      <c r="I932" s="309"/>
      <c r="J932" s="310"/>
      <c r="K932" s="310"/>
      <c r="L932" s="310"/>
      <c r="M932" s="310"/>
      <c r="N932" s="310"/>
      <c r="O932" s="311"/>
      <c r="P932" s="310"/>
      <c r="Q932" s="311"/>
      <c r="R932" s="310"/>
      <c r="S932" s="13"/>
      <c r="T932" s="13"/>
      <c r="U932" s="13"/>
      <c r="V932" s="13"/>
      <c r="W932" s="13"/>
      <c r="X932" s="310"/>
      <c r="Y932" s="311"/>
      <c r="Z932" s="310"/>
      <c r="AA932" s="312"/>
      <c r="AB932" s="13"/>
      <c r="AC932" s="313"/>
      <c r="AD932" s="313"/>
      <c r="AE932" s="313"/>
      <c r="AF932" s="331"/>
      <c r="AG932" s="320"/>
      <c r="AH932" s="13"/>
      <c r="AI932" s="13"/>
      <c r="AJ932" s="13"/>
      <c r="AK932" s="13"/>
      <c r="AL932" s="13"/>
      <c r="AM932" s="13"/>
      <c r="AN932" s="13"/>
      <c r="AO932" s="13"/>
      <c r="AP932" s="13"/>
    </row>
    <row r="933" ht="18.75" customHeight="1">
      <c r="A933" s="13"/>
      <c r="B933" s="282"/>
      <c r="C933" s="330"/>
      <c r="D933" s="330"/>
      <c r="E933" s="330"/>
      <c r="F933" s="13"/>
      <c r="G933" s="309"/>
      <c r="H933" s="309"/>
      <c r="I933" s="309"/>
      <c r="J933" s="310"/>
      <c r="K933" s="310"/>
      <c r="L933" s="310"/>
      <c r="M933" s="310"/>
      <c r="N933" s="310"/>
      <c r="O933" s="311"/>
      <c r="P933" s="310"/>
      <c r="Q933" s="311"/>
      <c r="R933" s="310"/>
      <c r="S933" s="13"/>
      <c r="T933" s="13"/>
      <c r="U933" s="13"/>
      <c r="V933" s="13"/>
      <c r="W933" s="13"/>
      <c r="X933" s="310"/>
      <c r="Y933" s="311"/>
      <c r="Z933" s="310"/>
      <c r="AA933" s="312"/>
      <c r="AB933" s="13"/>
      <c r="AC933" s="313"/>
      <c r="AD933" s="313"/>
      <c r="AE933" s="313"/>
      <c r="AF933" s="331"/>
      <c r="AG933" s="320"/>
      <c r="AH933" s="13"/>
      <c r="AI933" s="13"/>
      <c r="AJ933" s="13"/>
      <c r="AK933" s="13"/>
      <c r="AL933" s="13"/>
      <c r="AM933" s="13"/>
      <c r="AN933" s="13"/>
      <c r="AO933" s="13"/>
      <c r="AP933" s="13"/>
    </row>
    <row r="934" ht="18.75" customHeight="1">
      <c r="A934" s="13"/>
      <c r="B934" s="282"/>
      <c r="C934" s="330"/>
      <c r="D934" s="330"/>
      <c r="E934" s="330"/>
      <c r="F934" s="13"/>
      <c r="G934" s="309"/>
      <c r="H934" s="309"/>
      <c r="I934" s="309"/>
      <c r="J934" s="310"/>
      <c r="K934" s="310"/>
      <c r="L934" s="310"/>
      <c r="M934" s="310"/>
      <c r="N934" s="310"/>
      <c r="O934" s="311"/>
      <c r="P934" s="310"/>
      <c r="Q934" s="311"/>
      <c r="R934" s="310"/>
      <c r="S934" s="13"/>
      <c r="T934" s="13"/>
      <c r="U934" s="13"/>
      <c r="V934" s="13"/>
      <c r="W934" s="13"/>
      <c r="X934" s="310"/>
      <c r="Y934" s="311"/>
      <c r="Z934" s="310"/>
      <c r="AA934" s="312"/>
      <c r="AB934" s="13"/>
      <c r="AC934" s="313"/>
      <c r="AD934" s="313"/>
      <c r="AE934" s="313"/>
      <c r="AF934" s="331"/>
      <c r="AG934" s="320"/>
      <c r="AH934" s="13"/>
      <c r="AI934" s="13"/>
      <c r="AJ934" s="13"/>
      <c r="AK934" s="13"/>
      <c r="AL934" s="13"/>
      <c r="AM934" s="13"/>
      <c r="AN934" s="13"/>
      <c r="AO934" s="13"/>
      <c r="AP934" s="13"/>
    </row>
    <row r="935" ht="18.75" customHeight="1">
      <c r="A935" s="13"/>
      <c r="B935" s="282"/>
      <c r="C935" s="330"/>
      <c r="D935" s="330"/>
      <c r="E935" s="330"/>
      <c r="F935" s="13"/>
      <c r="G935" s="309"/>
      <c r="H935" s="309"/>
      <c r="I935" s="309"/>
      <c r="J935" s="310"/>
      <c r="K935" s="310"/>
      <c r="L935" s="310"/>
      <c r="M935" s="310"/>
      <c r="N935" s="310"/>
      <c r="O935" s="311"/>
      <c r="P935" s="310"/>
      <c r="Q935" s="311"/>
      <c r="R935" s="310"/>
      <c r="S935" s="13"/>
      <c r="T935" s="13"/>
      <c r="U935" s="13"/>
      <c r="V935" s="13"/>
      <c r="W935" s="13"/>
      <c r="X935" s="310"/>
      <c r="Y935" s="311"/>
      <c r="Z935" s="310"/>
      <c r="AA935" s="312"/>
      <c r="AB935" s="13"/>
      <c r="AC935" s="313"/>
      <c r="AD935" s="313"/>
      <c r="AE935" s="313"/>
      <c r="AF935" s="331"/>
      <c r="AG935" s="320"/>
      <c r="AH935" s="13"/>
      <c r="AI935" s="13"/>
      <c r="AJ935" s="13"/>
      <c r="AK935" s="13"/>
      <c r="AL935" s="13"/>
      <c r="AM935" s="13"/>
      <c r="AN935" s="13"/>
      <c r="AO935" s="13"/>
      <c r="AP935" s="13"/>
    </row>
    <row r="936" ht="18.75" customHeight="1">
      <c r="A936" s="13"/>
      <c r="B936" s="282"/>
      <c r="C936" s="330"/>
      <c r="D936" s="330"/>
      <c r="E936" s="330"/>
      <c r="F936" s="13"/>
      <c r="G936" s="309"/>
      <c r="H936" s="309"/>
      <c r="I936" s="309"/>
      <c r="J936" s="310"/>
      <c r="K936" s="310"/>
      <c r="L936" s="310"/>
      <c r="M936" s="310"/>
      <c r="N936" s="310"/>
      <c r="O936" s="311"/>
      <c r="P936" s="310"/>
      <c r="Q936" s="311"/>
      <c r="R936" s="310"/>
      <c r="S936" s="13"/>
      <c r="T936" s="13"/>
      <c r="U936" s="13"/>
      <c r="V936" s="13"/>
      <c r="W936" s="13"/>
      <c r="X936" s="310"/>
      <c r="Y936" s="311"/>
      <c r="Z936" s="310"/>
      <c r="AA936" s="312"/>
      <c r="AB936" s="13"/>
      <c r="AC936" s="313"/>
      <c r="AD936" s="313"/>
      <c r="AE936" s="313"/>
      <c r="AF936" s="331"/>
      <c r="AG936" s="320"/>
      <c r="AH936" s="13"/>
      <c r="AI936" s="13"/>
      <c r="AJ936" s="13"/>
      <c r="AK936" s="13"/>
      <c r="AL936" s="13"/>
      <c r="AM936" s="13"/>
      <c r="AN936" s="13"/>
      <c r="AO936" s="13"/>
      <c r="AP936" s="13"/>
    </row>
    <row r="937" ht="18.75" customHeight="1">
      <c r="A937" s="13"/>
      <c r="B937" s="282"/>
      <c r="C937" s="330"/>
      <c r="D937" s="330"/>
      <c r="E937" s="330"/>
      <c r="F937" s="13"/>
      <c r="G937" s="309"/>
      <c r="H937" s="309"/>
      <c r="I937" s="309"/>
      <c r="J937" s="310"/>
      <c r="K937" s="310"/>
      <c r="L937" s="310"/>
      <c r="M937" s="310"/>
      <c r="N937" s="310"/>
      <c r="O937" s="311"/>
      <c r="P937" s="310"/>
      <c r="Q937" s="311"/>
      <c r="R937" s="310"/>
      <c r="S937" s="13"/>
      <c r="T937" s="13"/>
      <c r="U937" s="13"/>
      <c r="V937" s="13"/>
      <c r="W937" s="13"/>
      <c r="X937" s="310"/>
      <c r="Y937" s="311"/>
      <c r="Z937" s="310"/>
      <c r="AA937" s="312"/>
      <c r="AB937" s="13"/>
      <c r="AC937" s="313"/>
      <c r="AD937" s="313"/>
      <c r="AE937" s="313"/>
      <c r="AF937" s="331"/>
      <c r="AG937" s="320"/>
      <c r="AH937" s="13"/>
      <c r="AI937" s="13"/>
      <c r="AJ937" s="13"/>
      <c r="AK937" s="13"/>
      <c r="AL937" s="13"/>
      <c r="AM937" s="13"/>
      <c r="AN937" s="13"/>
      <c r="AO937" s="13"/>
      <c r="AP937" s="13"/>
    </row>
    <row r="938" ht="18.75" customHeight="1">
      <c r="A938" s="13"/>
      <c r="B938" s="282"/>
      <c r="C938" s="330"/>
      <c r="D938" s="330"/>
      <c r="E938" s="330"/>
      <c r="F938" s="13"/>
      <c r="G938" s="309"/>
      <c r="H938" s="309"/>
      <c r="I938" s="309"/>
      <c r="J938" s="310"/>
      <c r="K938" s="310"/>
      <c r="L938" s="310"/>
      <c r="M938" s="310"/>
      <c r="N938" s="310"/>
      <c r="O938" s="311"/>
      <c r="P938" s="310"/>
      <c r="Q938" s="311"/>
      <c r="R938" s="310"/>
      <c r="S938" s="13"/>
      <c r="T938" s="13"/>
      <c r="U938" s="13"/>
      <c r="V938" s="13"/>
      <c r="W938" s="13"/>
      <c r="X938" s="310"/>
      <c r="Y938" s="311"/>
      <c r="Z938" s="310"/>
      <c r="AA938" s="312"/>
      <c r="AB938" s="13"/>
      <c r="AC938" s="313"/>
      <c r="AD938" s="313"/>
      <c r="AE938" s="313"/>
      <c r="AF938" s="331"/>
      <c r="AG938" s="320"/>
      <c r="AH938" s="13"/>
      <c r="AI938" s="13"/>
      <c r="AJ938" s="13"/>
      <c r="AK938" s="13"/>
      <c r="AL938" s="13"/>
      <c r="AM938" s="13"/>
      <c r="AN938" s="13"/>
      <c r="AO938" s="13"/>
      <c r="AP938" s="13"/>
    </row>
    <row r="939" ht="18.75" customHeight="1">
      <c r="A939" s="13"/>
      <c r="B939" s="282"/>
      <c r="C939" s="330"/>
      <c r="D939" s="330"/>
      <c r="E939" s="330"/>
      <c r="F939" s="13"/>
      <c r="G939" s="309"/>
      <c r="H939" s="309"/>
      <c r="I939" s="309"/>
      <c r="J939" s="310"/>
      <c r="K939" s="310"/>
      <c r="L939" s="310"/>
      <c r="M939" s="310"/>
      <c r="N939" s="310"/>
      <c r="O939" s="311"/>
      <c r="P939" s="310"/>
      <c r="Q939" s="311"/>
      <c r="R939" s="310"/>
      <c r="S939" s="13"/>
      <c r="T939" s="13"/>
      <c r="U939" s="13"/>
      <c r="V939" s="13"/>
      <c r="W939" s="13"/>
      <c r="X939" s="310"/>
      <c r="Y939" s="311"/>
      <c r="Z939" s="310"/>
      <c r="AA939" s="312"/>
      <c r="AB939" s="13"/>
      <c r="AC939" s="313"/>
      <c r="AD939" s="313"/>
      <c r="AE939" s="313"/>
      <c r="AF939" s="331"/>
      <c r="AG939" s="320"/>
      <c r="AH939" s="13"/>
      <c r="AI939" s="13"/>
      <c r="AJ939" s="13"/>
      <c r="AK939" s="13"/>
      <c r="AL939" s="13"/>
      <c r="AM939" s="13"/>
      <c r="AN939" s="13"/>
      <c r="AO939" s="13"/>
      <c r="AP939" s="13"/>
    </row>
    <row r="940" ht="18.75" customHeight="1">
      <c r="A940" s="13"/>
      <c r="B940" s="282"/>
      <c r="C940" s="330"/>
      <c r="D940" s="330"/>
      <c r="E940" s="330"/>
      <c r="F940" s="13"/>
      <c r="G940" s="309"/>
      <c r="H940" s="309"/>
      <c r="I940" s="309"/>
      <c r="J940" s="310"/>
      <c r="K940" s="310"/>
      <c r="L940" s="310"/>
      <c r="M940" s="310"/>
      <c r="N940" s="310"/>
      <c r="O940" s="311"/>
      <c r="P940" s="310"/>
      <c r="Q940" s="311"/>
      <c r="R940" s="310"/>
      <c r="S940" s="13"/>
      <c r="T940" s="13"/>
      <c r="U940" s="13"/>
      <c r="V940" s="13"/>
      <c r="W940" s="13"/>
      <c r="X940" s="310"/>
      <c r="Y940" s="311"/>
      <c r="Z940" s="310"/>
      <c r="AA940" s="312"/>
      <c r="AB940" s="13"/>
      <c r="AC940" s="313"/>
      <c r="AD940" s="313"/>
      <c r="AE940" s="313"/>
      <c r="AF940" s="331"/>
      <c r="AG940" s="320"/>
      <c r="AH940" s="13"/>
      <c r="AI940" s="13"/>
      <c r="AJ940" s="13"/>
      <c r="AK940" s="13"/>
      <c r="AL940" s="13"/>
      <c r="AM940" s="13"/>
      <c r="AN940" s="13"/>
      <c r="AO940" s="13"/>
      <c r="AP940" s="13"/>
    </row>
    <row r="941" ht="18.75" customHeight="1">
      <c r="A941" s="13"/>
      <c r="B941" s="282"/>
      <c r="C941" s="330"/>
      <c r="D941" s="330"/>
      <c r="E941" s="330"/>
      <c r="F941" s="13"/>
      <c r="G941" s="309"/>
      <c r="H941" s="309"/>
      <c r="I941" s="309"/>
      <c r="J941" s="310"/>
      <c r="K941" s="310"/>
      <c r="L941" s="310"/>
      <c r="M941" s="310"/>
      <c r="N941" s="310"/>
      <c r="O941" s="311"/>
      <c r="P941" s="310"/>
      <c r="Q941" s="311"/>
      <c r="R941" s="310"/>
      <c r="S941" s="13"/>
      <c r="T941" s="13"/>
      <c r="U941" s="13"/>
      <c r="V941" s="13"/>
      <c r="W941" s="13"/>
      <c r="X941" s="310"/>
      <c r="Y941" s="311"/>
      <c r="Z941" s="310"/>
      <c r="AA941" s="312"/>
      <c r="AB941" s="13"/>
      <c r="AC941" s="313"/>
      <c r="AD941" s="313"/>
      <c r="AE941" s="313"/>
      <c r="AF941" s="331"/>
      <c r="AG941" s="320"/>
      <c r="AH941" s="13"/>
      <c r="AI941" s="13"/>
      <c r="AJ941" s="13"/>
      <c r="AK941" s="13"/>
      <c r="AL941" s="13"/>
      <c r="AM941" s="13"/>
      <c r="AN941" s="13"/>
      <c r="AO941" s="13"/>
      <c r="AP941" s="13"/>
    </row>
    <row r="942" ht="18.75" customHeight="1">
      <c r="A942" s="13"/>
      <c r="B942" s="282"/>
      <c r="C942" s="330"/>
      <c r="D942" s="330"/>
      <c r="E942" s="330"/>
      <c r="F942" s="13"/>
      <c r="G942" s="309"/>
      <c r="H942" s="309"/>
      <c r="I942" s="309"/>
      <c r="J942" s="310"/>
      <c r="K942" s="310"/>
      <c r="L942" s="310"/>
      <c r="M942" s="310"/>
      <c r="N942" s="310"/>
      <c r="O942" s="311"/>
      <c r="P942" s="310"/>
      <c r="Q942" s="311"/>
      <c r="R942" s="310"/>
      <c r="S942" s="13"/>
      <c r="T942" s="13"/>
      <c r="U942" s="13"/>
      <c r="V942" s="13"/>
      <c r="W942" s="13"/>
      <c r="X942" s="310"/>
      <c r="Y942" s="311"/>
      <c r="Z942" s="310"/>
      <c r="AA942" s="312"/>
      <c r="AB942" s="13"/>
      <c r="AC942" s="313"/>
      <c r="AD942" s="313"/>
      <c r="AE942" s="313"/>
      <c r="AF942" s="331"/>
      <c r="AG942" s="320"/>
      <c r="AH942" s="13"/>
      <c r="AI942" s="13"/>
      <c r="AJ942" s="13"/>
      <c r="AK942" s="13"/>
      <c r="AL942" s="13"/>
      <c r="AM942" s="13"/>
      <c r="AN942" s="13"/>
      <c r="AO942" s="13"/>
      <c r="AP942" s="13"/>
    </row>
    <row r="943" ht="18.75" customHeight="1">
      <c r="A943" s="13"/>
      <c r="B943" s="282"/>
      <c r="C943" s="330"/>
      <c r="D943" s="330"/>
      <c r="E943" s="330"/>
      <c r="F943" s="13"/>
      <c r="G943" s="309"/>
      <c r="H943" s="309"/>
      <c r="I943" s="309"/>
      <c r="J943" s="310"/>
      <c r="K943" s="310"/>
      <c r="L943" s="310"/>
      <c r="M943" s="310"/>
      <c r="N943" s="310"/>
      <c r="O943" s="311"/>
      <c r="P943" s="310"/>
      <c r="Q943" s="311"/>
      <c r="R943" s="310"/>
      <c r="S943" s="13"/>
      <c r="T943" s="13"/>
      <c r="U943" s="13"/>
      <c r="V943" s="13"/>
      <c r="W943" s="13"/>
      <c r="X943" s="310"/>
      <c r="Y943" s="311"/>
      <c r="Z943" s="310"/>
      <c r="AA943" s="312"/>
      <c r="AB943" s="13"/>
      <c r="AC943" s="313"/>
      <c r="AD943" s="313"/>
      <c r="AE943" s="313"/>
      <c r="AF943" s="331"/>
      <c r="AG943" s="320"/>
      <c r="AH943" s="13"/>
      <c r="AI943" s="13"/>
      <c r="AJ943" s="13"/>
      <c r="AK943" s="13"/>
      <c r="AL943" s="13"/>
      <c r="AM943" s="13"/>
      <c r="AN943" s="13"/>
      <c r="AO943" s="13"/>
      <c r="AP943" s="13"/>
    </row>
    <row r="944" ht="18.75" customHeight="1">
      <c r="A944" s="13"/>
      <c r="B944" s="282"/>
      <c r="C944" s="330"/>
      <c r="D944" s="330"/>
      <c r="E944" s="330"/>
      <c r="F944" s="13"/>
      <c r="G944" s="309"/>
      <c r="H944" s="309"/>
      <c r="I944" s="309"/>
      <c r="J944" s="310"/>
      <c r="K944" s="310"/>
      <c r="L944" s="310"/>
      <c r="M944" s="310"/>
      <c r="N944" s="310"/>
      <c r="O944" s="311"/>
      <c r="P944" s="310"/>
      <c r="Q944" s="311"/>
      <c r="R944" s="310"/>
      <c r="S944" s="13"/>
      <c r="T944" s="13"/>
      <c r="U944" s="13"/>
      <c r="V944" s="13"/>
      <c r="W944" s="13"/>
      <c r="X944" s="310"/>
      <c r="Y944" s="311"/>
      <c r="Z944" s="310"/>
      <c r="AA944" s="312"/>
      <c r="AB944" s="13"/>
      <c r="AC944" s="313"/>
      <c r="AD944" s="313"/>
      <c r="AE944" s="313"/>
      <c r="AF944" s="331"/>
      <c r="AG944" s="320"/>
      <c r="AH944" s="13"/>
      <c r="AI944" s="13"/>
      <c r="AJ944" s="13"/>
      <c r="AK944" s="13"/>
      <c r="AL944" s="13"/>
      <c r="AM944" s="13"/>
      <c r="AN944" s="13"/>
      <c r="AO944" s="13"/>
      <c r="AP944" s="13"/>
    </row>
    <row r="945" ht="18.75" customHeight="1">
      <c r="A945" s="13"/>
      <c r="B945" s="282"/>
      <c r="C945" s="330"/>
      <c r="D945" s="330"/>
      <c r="E945" s="330"/>
      <c r="F945" s="13"/>
      <c r="G945" s="309"/>
      <c r="H945" s="309"/>
      <c r="I945" s="309"/>
      <c r="J945" s="310"/>
      <c r="K945" s="310"/>
      <c r="L945" s="310"/>
      <c r="M945" s="310"/>
      <c r="N945" s="310"/>
      <c r="O945" s="311"/>
      <c r="P945" s="310"/>
      <c r="Q945" s="311"/>
      <c r="R945" s="310"/>
      <c r="S945" s="13"/>
      <c r="T945" s="13"/>
      <c r="U945" s="13"/>
      <c r="V945" s="13"/>
      <c r="W945" s="13"/>
      <c r="X945" s="310"/>
      <c r="Y945" s="311"/>
      <c r="Z945" s="310"/>
      <c r="AA945" s="312"/>
      <c r="AB945" s="13"/>
      <c r="AC945" s="313"/>
      <c r="AD945" s="313"/>
      <c r="AE945" s="313"/>
      <c r="AF945" s="331"/>
      <c r="AG945" s="320"/>
      <c r="AH945" s="13"/>
      <c r="AI945" s="13"/>
      <c r="AJ945" s="13"/>
      <c r="AK945" s="13"/>
      <c r="AL945" s="13"/>
      <c r="AM945" s="13"/>
      <c r="AN945" s="13"/>
      <c r="AO945" s="13"/>
      <c r="AP945" s="13"/>
    </row>
    <row r="946" ht="18.75" customHeight="1">
      <c r="A946" s="13"/>
      <c r="B946" s="282"/>
      <c r="C946" s="330"/>
      <c r="D946" s="330"/>
      <c r="E946" s="330"/>
      <c r="F946" s="13"/>
      <c r="G946" s="309"/>
      <c r="H946" s="309"/>
      <c r="I946" s="309"/>
      <c r="J946" s="310"/>
      <c r="K946" s="310"/>
      <c r="L946" s="310"/>
      <c r="M946" s="310"/>
      <c r="N946" s="310"/>
      <c r="O946" s="311"/>
      <c r="P946" s="310"/>
      <c r="Q946" s="311"/>
      <c r="R946" s="310"/>
      <c r="S946" s="13"/>
      <c r="T946" s="13"/>
      <c r="U946" s="13"/>
      <c r="V946" s="13"/>
      <c r="W946" s="13"/>
      <c r="X946" s="310"/>
      <c r="Y946" s="311"/>
      <c r="Z946" s="310"/>
      <c r="AA946" s="312"/>
      <c r="AB946" s="13"/>
      <c r="AC946" s="313"/>
      <c r="AD946" s="313"/>
      <c r="AE946" s="313"/>
      <c r="AF946" s="331"/>
      <c r="AG946" s="320"/>
      <c r="AH946" s="13"/>
      <c r="AI946" s="13"/>
      <c r="AJ946" s="13"/>
      <c r="AK946" s="13"/>
      <c r="AL946" s="13"/>
      <c r="AM946" s="13"/>
      <c r="AN946" s="13"/>
      <c r="AO946" s="13"/>
      <c r="AP946" s="13"/>
    </row>
    <row r="947" ht="18.75" customHeight="1">
      <c r="A947" s="13"/>
      <c r="B947" s="282"/>
      <c r="C947" s="330"/>
      <c r="D947" s="330"/>
      <c r="E947" s="330"/>
      <c r="F947" s="13"/>
      <c r="G947" s="309"/>
      <c r="H947" s="309"/>
      <c r="I947" s="309"/>
      <c r="J947" s="310"/>
      <c r="K947" s="310"/>
      <c r="L947" s="310"/>
      <c r="M947" s="310"/>
      <c r="N947" s="310"/>
      <c r="O947" s="311"/>
      <c r="P947" s="310"/>
      <c r="Q947" s="311"/>
      <c r="R947" s="310"/>
      <c r="S947" s="13"/>
      <c r="T947" s="13"/>
      <c r="U947" s="13"/>
      <c r="V947" s="13"/>
      <c r="W947" s="13"/>
      <c r="X947" s="310"/>
      <c r="Y947" s="311"/>
      <c r="Z947" s="310"/>
      <c r="AA947" s="312"/>
      <c r="AB947" s="13"/>
      <c r="AC947" s="313"/>
      <c r="AD947" s="313"/>
      <c r="AE947" s="313"/>
      <c r="AF947" s="331"/>
      <c r="AG947" s="320"/>
      <c r="AH947" s="13"/>
      <c r="AI947" s="13"/>
      <c r="AJ947" s="13"/>
      <c r="AK947" s="13"/>
      <c r="AL947" s="13"/>
      <c r="AM947" s="13"/>
      <c r="AN947" s="13"/>
      <c r="AO947" s="13"/>
      <c r="AP947" s="13"/>
    </row>
    <row r="948" ht="18.75" customHeight="1">
      <c r="A948" s="13"/>
      <c r="B948" s="282"/>
      <c r="C948" s="330"/>
      <c r="D948" s="330"/>
      <c r="E948" s="330"/>
      <c r="F948" s="13"/>
      <c r="G948" s="309"/>
      <c r="H948" s="309"/>
      <c r="I948" s="309"/>
      <c r="J948" s="310"/>
      <c r="K948" s="310"/>
      <c r="L948" s="310"/>
      <c r="M948" s="310"/>
      <c r="N948" s="310"/>
      <c r="O948" s="311"/>
      <c r="P948" s="310"/>
      <c r="Q948" s="311"/>
      <c r="R948" s="310"/>
      <c r="S948" s="13"/>
      <c r="T948" s="13"/>
      <c r="U948" s="13"/>
      <c r="V948" s="13"/>
      <c r="W948" s="13"/>
      <c r="X948" s="310"/>
      <c r="Y948" s="311"/>
      <c r="Z948" s="310"/>
      <c r="AA948" s="312"/>
      <c r="AB948" s="13"/>
      <c r="AC948" s="313"/>
      <c r="AD948" s="313"/>
      <c r="AE948" s="313"/>
      <c r="AF948" s="331"/>
      <c r="AG948" s="320"/>
      <c r="AH948" s="13"/>
      <c r="AI948" s="13"/>
      <c r="AJ948" s="13"/>
      <c r="AK948" s="13"/>
      <c r="AL948" s="13"/>
      <c r="AM948" s="13"/>
      <c r="AN948" s="13"/>
      <c r="AO948" s="13"/>
      <c r="AP948" s="13"/>
    </row>
    <row r="949" ht="18.75" customHeight="1">
      <c r="A949" s="13"/>
      <c r="B949" s="282"/>
      <c r="C949" s="330"/>
      <c r="D949" s="330"/>
      <c r="E949" s="330"/>
      <c r="F949" s="13"/>
      <c r="G949" s="309"/>
      <c r="H949" s="309"/>
      <c r="I949" s="309"/>
      <c r="J949" s="310"/>
      <c r="K949" s="310"/>
      <c r="L949" s="310"/>
      <c r="M949" s="310"/>
      <c r="N949" s="310"/>
      <c r="O949" s="311"/>
      <c r="P949" s="310"/>
      <c r="Q949" s="311"/>
      <c r="R949" s="310"/>
      <c r="S949" s="13"/>
      <c r="T949" s="13"/>
      <c r="U949" s="13"/>
      <c r="V949" s="13"/>
      <c r="W949" s="13"/>
      <c r="X949" s="310"/>
      <c r="Y949" s="311"/>
      <c r="Z949" s="310"/>
      <c r="AA949" s="312"/>
      <c r="AB949" s="13"/>
      <c r="AC949" s="313"/>
      <c r="AD949" s="313"/>
      <c r="AE949" s="313"/>
      <c r="AF949" s="331"/>
      <c r="AG949" s="320"/>
      <c r="AH949" s="13"/>
      <c r="AI949" s="13"/>
      <c r="AJ949" s="13"/>
      <c r="AK949" s="13"/>
      <c r="AL949" s="13"/>
      <c r="AM949" s="13"/>
      <c r="AN949" s="13"/>
      <c r="AO949" s="13"/>
      <c r="AP949" s="13"/>
    </row>
    <row r="950" ht="18.75" customHeight="1">
      <c r="A950" s="13"/>
      <c r="B950" s="282"/>
      <c r="C950" s="330"/>
      <c r="D950" s="330"/>
      <c r="E950" s="330"/>
      <c r="F950" s="13"/>
      <c r="G950" s="309"/>
      <c r="H950" s="309"/>
      <c r="I950" s="309"/>
      <c r="J950" s="310"/>
      <c r="K950" s="310"/>
      <c r="L950" s="310"/>
      <c r="M950" s="310"/>
      <c r="N950" s="310"/>
      <c r="O950" s="311"/>
      <c r="P950" s="310"/>
      <c r="Q950" s="311"/>
      <c r="R950" s="310"/>
      <c r="S950" s="13"/>
      <c r="T950" s="13"/>
      <c r="U950" s="13"/>
      <c r="V950" s="13"/>
      <c r="W950" s="13"/>
      <c r="X950" s="310"/>
      <c r="Y950" s="311"/>
      <c r="Z950" s="310"/>
      <c r="AA950" s="312"/>
      <c r="AB950" s="13"/>
      <c r="AC950" s="313"/>
      <c r="AD950" s="313"/>
      <c r="AE950" s="313"/>
      <c r="AF950" s="331"/>
      <c r="AG950" s="320"/>
      <c r="AH950" s="13"/>
      <c r="AI950" s="13"/>
      <c r="AJ950" s="13"/>
      <c r="AK950" s="13"/>
      <c r="AL950" s="13"/>
      <c r="AM950" s="13"/>
      <c r="AN950" s="13"/>
      <c r="AO950" s="13"/>
      <c r="AP950" s="13"/>
    </row>
    <row r="951" ht="18.75" customHeight="1">
      <c r="A951" s="13"/>
      <c r="B951" s="282"/>
      <c r="C951" s="330"/>
      <c r="D951" s="330"/>
      <c r="E951" s="330"/>
      <c r="F951" s="13"/>
      <c r="G951" s="309"/>
      <c r="H951" s="309"/>
      <c r="I951" s="309"/>
      <c r="J951" s="310"/>
      <c r="K951" s="310"/>
      <c r="L951" s="310"/>
      <c r="M951" s="310"/>
      <c r="N951" s="310"/>
      <c r="O951" s="311"/>
      <c r="P951" s="310"/>
      <c r="Q951" s="311"/>
      <c r="R951" s="310"/>
      <c r="S951" s="13"/>
      <c r="T951" s="13"/>
      <c r="U951" s="13"/>
      <c r="V951" s="13"/>
      <c r="W951" s="13"/>
      <c r="X951" s="310"/>
      <c r="Y951" s="311"/>
      <c r="Z951" s="310"/>
      <c r="AA951" s="312"/>
      <c r="AB951" s="13"/>
      <c r="AC951" s="313"/>
      <c r="AD951" s="313"/>
      <c r="AE951" s="313"/>
      <c r="AF951" s="331"/>
      <c r="AG951" s="320"/>
      <c r="AH951" s="13"/>
      <c r="AI951" s="13"/>
      <c r="AJ951" s="13"/>
      <c r="AK951" s="13"/>
      <c r="AL951" s="13"/>
      <c r="AM951" s="13"/>
      <c r="AN951" s="13"/>
      <c r="AO951" s="13"/>
      <c r="AP951" s="13"/>
    </row>
    <row r="952" ht="18.75" customHeight="1">
      <c r="A952" s="13"/>
      <c r="B952" s="282"/>
      <c r="C952" s="330"/>
      <c r="D952" s="330"/>
      <c r="E952" s="330"/>
      <c r="F952" s="13"/>
      <c r="G952" s="309"/>
      <c r="H952" s="309"/>
      <c r="I952" s="309"/>
      <c r="J952" s="310"/>
      <c r="K952" s="310"/>
      <c r="L952" s="310"/>
      <c r="M952" s="310"/>
      <c r="N952" s="310"/>
      <c r="O952" s="311"/>
      <c r="P952" s="310"/>
      <c r="Q952" s="311"/>
      <c r="R952" s="310"/>
      <c r="S952" s="13"/>
      <c r="T952" s="13"/>
      <c r="U952" s="13"/>
      <c r="V952" s="13"/>
      <c r="W952" s="13"/>
      <c r="X952" s="310"/>
      <c r="Y952" s="311"/>
      <c r="Z952" s="310"/>
      <c r="AA952" s="312"/>
      <c r="AB952" s="13"/>
      <c r="AC952" s="313"/>
      <c r="AD952" s="313"/>
      <c r="AE952" s="313"/>
      <c r="AF952" s="331"/>
      <c r="AG952" s="320"/>
      <c r="AH952" s="13"/>
      <c r="AI952" s="13"/>
      <c r="AJ952" s="13"/>
      <c r="AK952" s="13"/>
      <c r="AL952" s="13"/>
      <c r="AM952" s="13"/>
      <c r="AN952" s="13"/>
      <c r="AO952" s="13"/>
      <c r="AP952" s="13"/>
    </row>
    <row r="953" ht="18.75" customHeight="1">
      <c r="A953" s="13"/>
      <c r="B953" s="282"/>
      <c r="C953" s="330"/>
      <c r="D953" s="330"/>
      <c r="E953" s="330"/>
      <c r="F953" s="13"/>
      <c r="G953" s="309"/>
      <c r="H953" s="309"/>
      <c r="I953" s="309"/>
      <c r="J953" s="310"/>
      <c r="K953" s="310"/>
      <c r="L953" s="310"/>
      <c r="M953" s="310"/>
      <c r="N953" s="310"/>
      <c r="O953" s="311"/>
      <c r="P953" s="310"/>
      <c r="Q953" s="311"/>
      <c r="R953" s="310"/>
      <c r="S953" s="13"/>
      <c r="T953" s="13"/>
      <c r="U953" s="13"/>
      <c r="V953" s="13"/>
      <c r="W953" s="13"/>
      <c r="X953" s="310"/>
      <c r="Y953" s="311"/>
      <c r="Z953" s="310"/>
      <c r="AA953" s="312"/>
      <c r="AB953" s="13"/>
      <c r="AC953" s="313"/>
      <c r="AD953" s="313"/>
      <c r="AE953" s="313"/>
      <c r="AF953" s="331"/>
      <c r="AG953" s="320"/>
      <c r="AH953" s="13"/>
      <c r="AI953" s="13"/>
      <c r="AJ953" s="13"/>
      <c r="AK953" s="13"/>
      <c r="AL953" s="13"/>
      <c r="AM953" s="13"/>
      <c r="AN953" s="13"/>
      <c r="AO953" s="13"/>
      <c r="AP953" s="13"/>
    </row>
    <row r="954" ht="18.75" customHeight="1">
      <c r="A954" s="13"/>
      <c r="B954" s="282"/>
      <c r="C954" s="330"/>
      <c r="D954" s="330"/>
      <c r="E954" s="330"/>
      <c r="F954" s="13"/>
      <c r="G954" s="309"/>
      <c r="H954" s="309"/>
      <c r="I954" s="309"/>
      <c r="J954" s="310"/>
      <c r="K954" s="310"/>
      <c r="L954" s="310"/>
      <c r="M954" s="310"/>
      <c r="N954" s="310"/>
      <c r="O954" s="311"/>
      <c r="P954" s="310"/>
      <c r="Q954" s="311"/>
      <c r="R954" s="310"/>
      <c r="S954" s="13"/>
      <c r="T954" s="13"/>
      <c r="U954" s="13"/>
      <c r="V954" s="13"/>
      <c r="W954" s="13"/>
      <c r="X954" s="310"/>
      <c r="Y954" s="311"/>
      <c r="Z954" s="310"/>
      <c r="AA954" s="312"/>
      <c r="AB954" s="13"/>
      <c r="AC954" s="313"/>
      <c r="AD954" s="313"/>
      <c r="AE954" s="313"/>
      <c r="AF954" s="331"/>
      <c r="AG954" s="320"/>
      <c r="AH954" s="13"/>
      <c r="AI954" s="13"/>
      <c r="AJ954" s="13"/>
      <c r="AK954" s="13"/>
      <c r="AL954" s="13"/>
      <c r="AM954" s="13"/>
      <c r="AN954" s="13"/>
      <c r="AO954" s="13"/>
      <c r="AP954" s="13"/>
    </row>
    <row r="955" ht="18.75" customHeight="1">
      <c r="A955" s="13"/>
      <c r="B955" s="282"/>
      <c r="C955" s="330"/>
      <c r="D955" s="330"/>
      <c r="E955" s="330"/>
      <c r="F955" s="13"/>
      <c r="G955" s="309"/>
      <c r="H955" s="309"/>
      <c r="I955" s="309"/>
      <c r="J955" s="310"/>
      <c r="K955" s="310"/>
      <c r="L955" s="310"/>
      <c r="M955" s="310"/>
      <c r="N955" s="310"/>
      <c r="O955" s="311"/>
      <c r="P955" s="310"/>
      <c r="Q955" s="311"/>
      <c r="R955" s="310"/>
      <c r="S955" s="13"/>
      <c r="T955" s="13"/>
      <c r="U955" s="13"/>
      <c r="V955" s="13"/>
      <c r="W955" s="13"/>
      <c r="X955" s="310"/>
      <c r="Y955" s="311"/>
      <c r="Z955" s="310"/>
      <c r="AA955" s="312"/>
      <c r="AB955" s="13"/>
      <c r="AC955" s="313"/>
      <c r="AD955" s="313"/>
      <c r="AE955" s="313"/>
      <c r="AF955" s="331"/>
      <c r="AG955" s="320"/>
      <c r="AH955" s="13"/>
      <c r="AI955" s="13"/>
      <c r="AJ955" s="13"/>
      <c r="AK955" s="13"/>
      <c r="AL955" s="13"/>
      <c r="AM955" s="13"/>
      <c r="AN955" s="13"/>
      <c r="AO955" s="13"/>
      <c r="AP955" s="13"/>
    </row>
    <row r="956" ht="18.75" customHeight="1">
      <c r="A956" s="13"/>
      <c r="B956" s="282"/>
      <c r="C956" s="330"/>
      <c r="D956" s="330"/>
      <c r="E956" s="330"/>
      <c r="F956" s="13"/>
      <c r="G956" s="309"/>
      <c r="H956" s="309"/>
      <c r="I956" s="309"/>
      <c r="J956" s="310"/>
      <c r="K956" s="310"/>
      <c r="L956" s="310"/>
      <c r="M956" s="310"/>
      <c r="N956" s="310"/>
      <c r="O956" s="311"/>
      <c r="P956" s="310"/>
      <c r="Q956" s="311"/>
      <c r="R956" s="310"/>
      <c r="S956" s="13"/>
      <c r="T956" s="13"/>
      <c r="U956" s="13"/>
      <c r="V956" s="13"/>
      <c r="W956" s="13"/>
      <c r="X956" s="310"/>
      <c r="Y956" s="311"/>
      <c r="Z956" s="310"/>
      <c r="AA956" s="312"/>
      <c r="AB956" s="13"/>
      <c r="AC956" s="313"/>
      <c r="AD956" s="313"/>
      <c r="AE956" s="313"/>
      <c r="AF956" s="331"/>
      <c r="AG956" s="320"/>
      <c r="AH956" s="13"/>
      <c r="AI956" s="13"/>
      <c r="AJ956" s="13"/>
      <c r="AK956" s="13"/>
      <c r="AL956" s="13"/>
      <c r="AM956" s="13"/>
      <c r="AN956" s="13"/>
      <c r="AO956" s="13"/>
      <c r="AP956" s="13"/>
    </row>
    <row r="957" ht="18.75" customHeight="1">
      <c r="A957" s="13"/>
      <c r="B957" s="282"/>
      <c r="C957" s="330"/>
      <c r="D957" s="330"/>
      <c r="E957" s="330"/>
      <c r="F957" s="13"/>
      <c r="G957" s="309"/>
      <c r="H957" s="309"/>
      <c r="I957" s="309"/>
      <c r="J957" s="310"/>
      <c r="K957" s="310"/>
      <c r="L957" s="310"/>
      <c r="M957" s="310"/>
      <c r="N957" s="310"/>
      <c r="O957" s="311"/>
      <c r="P957" s="310"/>
      <c r="Q957" s="311"/>
      <c r="R957" s="310"/>
      <c r="S957" s="13"/>
      <c r="T957" s="13"/>
      <c r="U957" s="13"/>
      <c r="V957" s="13"/>
      <c r="W957" s="13"/>
      <c r="X957" s="310"/>
      <c r="Y957" s="311"/>
      <c r="Z957" s="310"/>
      <c r="AA957" s="312"/>
      <c r="AB957" s="13"/>
      <c r="AC957" s="313"/>
      <c r="AD957" s="313"/>
      <c r="AE957" s="313"/>
      <c r="AF957" s="331"/>
      <c r="AG957" s="320"/>
      <c r="AH957" s="13"/>
      <c r="AI957" s="13"/>
      <c r="AJ957" s="13"/>
      <c r="AK957" s="13"/>
      <c r="AL957" s="13"/>
      <c r="AM957" s="13"/>
      <c r="AN957" s="13"/>
      <c r="AO957" s="13"/>
      <c r="AP957" s="13"/>
    </row>
    <row r="958" ht="18.75" customHeight="1">
      <c r="A958" s="13"/>
      <c r="B958" s="282"/>
      <c r="C958" s="330"/>
      <c r="D958" s="330"/>
      <c r="E958" s="330"/>
      <c r="F958" s="13"/>
      <c r="G958" s="309"/>
      <c r="H958" s="309"/>
      <c r="I958" s="309"/>
      <c r="J958" s="310"/>
      <c r="K958" s="310"/>
      <c r="L958" s="310"/>
      <c r="M958" s="310"/>
      <c r="N958" s="310"/>
      <c r="O958" s="311"/>
      <c r="P958" s="310"/>
      <c r="Q958" s="311"/>
      <c r="R958" s="310"/>
      <c r="S958" s="13"/>
      <c r="T958" s="13"/>
      <c r="U958" s="13"/>
      <c r="V958" s="13"/>
      <c r="W958" s="13"/>
      <c r="X958" s="310"/>
      <c r="Y958" s="311"/>
      <c r="Z958" s="310"/>
      <c r="AA958" s="312"/>
      <c r="AB958" s="13"/>
      <c r="AC958" s="313"/>
      <c r="AD958" s="313"/>
      <c r="AE958" s="313"/>
      <c r="AF958" s="331"/>
      <c r="AG958" s="320"/>
      <c r="AH958" s="13"/>
      <c r="AI958" s="13"/>
      <c r="AJ958" s="13"/>
      <c r="AK958" s="13"/>
      <c r="AL958" s="13"/>
      <c r="AM958" s="13"/>
      <c r="AN958" s="13"/>
      <c r="AO958" s="13"/>
      <c r="AP958" s="13"/>
    </row>
    <row r="959" ht="18.75" customHeight="1">
      <c r="A959" s="13"/>
      <c r="B959" s="282"/>
      <c r="C959" s="330"/>
      <c r="D959" s="330"/>
      <c r="E959" s="330"/>
      <c r="F959" s="13"/>
      <c r="G959" s="309"/>
      <c r="H959" s="309"/>
      <c r="I959" s="309"/>
      <c r="J959" s="310"/>
      <c r="K959" s="310"/>
      <c r="L959" s="310"/>
      <c r="M959" s="310"/>
      <c r="N959" s="310"/>
      <c r="O959" s="311"/>
      <c r="P959" s="310"/>
      <c r="Q959" s="311"/>
      <c r="R959" s="310"/>
      <c r="S959" s="13"/>
      <c r="T959" s="13"/>
      <c r="U959" s="13"/>
      <c r="V959" s="13"/>
      <c r="W959" s="13"/>
      <c r="X959" s="310"/>
      <c r="Y959" s="311"/>
      <c r="Z959" s="310"/>
      <c r="AA959" s="312"/>
      <c r="AB959" s="13"/>
      <c r="AC959" s="313"/>
      <c r="AD959" s="313"/>
      <c r="AE959" s="313"/>
      <c r="AF959" s="331"/>
      <c r="AG959" s="320"/>
      <c r="AH959" s="13"/>
      <c r="AI959" s="13"/>
      <c r="AJ959" s="13"/>
      <c r="AK959" s="13"/>
      <c r="AL959" s="13"/>
      <c r="AM959" s="13"/>
      <c r="AN959" s="13"/>
      <c r="AO959" s="13"/>
      <c r="AP959" s="13"/>
    </row>
    <row r="960" ht="18.75" customHeight="1">
      <c r="A960" s="13"/>
      <c r="B960" s="282"/>
      <c r="C960" s="330"/>
      <c r="D960" s="330"/>
      <c r="E960" s="330"/>
      <c r="F960" s="13"/>
      <c r="G960" s="309"/>
      <c r="H960" s="309"/>
      <c r="I960" s="309"/>
      <c r="J960" s="310"/>
      <c r="K960" s="310"/>
      <c r="L960" s="310"/>
      <c r="M960" s="310"/>
      <c r="N960" s="310"/>
      <c r="O960" s="311"/>
      <c r="P960" s="310"/>
      <c r="Q960" s="311"/>
      <c r="R960" s="310"/>
      <c r="S960" s="13"/>
      <c r="T960" s="13"/>
      <c r="U960" s="13"/>
      <c r="V960" s="13"/>
      <c r="W960" s="13"/>
      <c r="X960" s="310"/>
      <c r="Y960" s="311"/>
      <c r="Z960" s="310"/>
      <c r="AA960" s="312"/>
      <c r="AB960" s="13"/>
      <c r="AC960" s="313"/>
      <c r="AD960" s="313"/>
      <c r="AE960" s="313"/>
      <c r="AF960" s="331"/>
      <c r="AG960" s="320"/>
      <c r="AH960" s="13"/>
      <c r="AI960" s="13"/>
      <c r="AJ960" s="13"/>
      <c r="AK960" s="13"/>
      <c r="AL960" s="13"/>
      <c r="AM960" s="13"/>
      <c r="AN960" s="13"/>
      <c r="AO960" s="13"/>
      <c r="AP960" s="13"/>
    </row>
    <row r="961" ht="18.75" customHeight="1">
      <c r="A961" s="13"/>
      <c r="B961" s="282"/>
      <c r="C961" s="330"/>
      <c r="D961" s="330"/>
      <c r="E961" s="330"/>
      <c r="F961" s="13"/>
      <c r="G961" s="309"/>
      <c r="H961" s="309"/>
      <c r="I961" s="309"/>
      <c r="J961" s="310"/>
      <c r="K961" s="310"/>
      <c r="L961" s="310"/>
      <c r="M961" s="310"/>
      <c r="N961" s="310"/>
      <c r="O961" s="311"/>
      <c r="P961" s="310"/>
      <c r="Q961" s="311"/>
      <c r="R961" s="310"/>
      <c r="S961" s="13"/>
      <c r="T961" s="13"/>
      <c r="U961" s="13"/>
      <c r="V961" s="13"/>
      <c r="W961" s="13"/>
      <c r="X961" s="310"/>
      <c r="Y961" s="311"/>
      <c r="Z961" s="310"/>
      <c r="AA961" s="312"/>
      <c r="AB961" s="13"/>
      <c r="AC961" s="313"/>
      <c r="AD961" s="313"/>
      <c r="AE961" s="313"/>
      <c r="AF961" s="331"/>
      <c r="AG961" s="320"/>
      <c r="AH961" s="13"/>
      <c r="AI961" s="13"/>
      <c r="AJ961" s="13"/>
      <c r="AK961" s="13"/>
      <c r="AL961" s="13"/>
      <c r="AM961" s="13"/>
      <c r="AN961" s="13"/>
      <c r="AO961" s="13"/>
      <c r="AP961" s="13"/>
    </row>
    <row r="962" ht="18.75" customHeight="1">
      <c r="A962" s="13"/>
      <c r="B962" s="282"/>
      <c r="C962" s="330"/>
      <c r="D962" s="330"/>
      <c r="E962" s="330"/>
      <c r="F962" s="13"/>
      <c r="G962" s="309"/>
      <c r="H962" s="309"/>
      <c r="I962" s="309"/>
      <c r="J962" s="310"/>
      <c r="K962" s="310"/>
      <c r="L962" s="310"/>
      <c r="M962" s="310"/>
      <c r="N962" s="310"/>
      <c r="O962" s="311"/>
      <c r="P962" s="310"/>
      <c r="Q962" s="311"/>
      <c r="R962" s="310"/>
      <c r="S962" s="13"/>
      <c r="T962" s="13"/>
      <c r="U962" s="13"/>
      <c r="V962" s="13"/>
      <c r="W962" s="13"/>
      <c r="X962" s="310"/>
      <c r="Y962" s="311"/>
      <c r="Z962" s="310"/>
      <c r="AA962" s="312"/>
      <c r="AB962" s="13"/>
      <c r="AC962" s="313"/>
      <c r="AD962" s="313"/>
      <c r="AE962" s="313"/>
      <c r="AF962" s="331"/>
      <c r="AG962" s="320"/>
      <c r="AH962" s="13"/>
      <c r="AI962" s="13"/>
      <c r="AJ962" s="13"/>
      <c r="AK962" s="13"/>
      <c r="AL962" s="13"/>
      <c r="AM962" s="13"/>
      <c r="AN962" s="13"/>
      <c r="AO962" s="13"/>
      <c r="AP962" s="13"/>
    </row>
    <row r="963" ht="18.75" customHeight="1">
      <c r="A963" s="13"/>
      <c r="B963" s="282"/>
      <c r="C963" s="330"/>
      <c r="D963" s="330"/>
      <c r="E963" s="330"/>
      <c r="F963" s="13"/>
      <c r="G963" s="309"/>
      <c r="H963" s="309"/>
      <c r="I963" s="309"/>
      <c r="J963" s="310"/>
      <c r="K963" s="310"/>
      <c r="L963" s="310"/>
      <c r="M963" s="310"/>
      <c r="N963" s="310"/>
      <c r="O963" s="311"/>
      <c r="P963" s="310"/>
      <c r="Q963" s="311"/>
      <c r="R963" s="310"/>
      <c r="S963" s="13"/>
      <c r="T963" s="13"/>
      <c r="U963" s="13"/>
      <c r="V963" s="13"/>
      <c r="W963" s="13"/>
      <c r="X963" s="310"/>
      <c r="Y963" s="311"/>
      <c r="Z963" s="310"/>
      <c r="AA963" s="312"/>
      <c r="AB963" s="13"/>
      <c r="AC963" s="313"/>
      <c r="AD963" s="313"/>
      <c r="AE963" s="313"/>
      <c r="AF963" s="331"/>
      <c r="AG963" s="320"/>
      <c r="AH963" s="13"/>
      <c r="AI963" s="13"/>
      <c r="AJ963" s="13"/>
      <c r="AK963" s="13"/>
      <c r="AL963" s="13"/>
      <c r="AM963" s="13"/>
      <c r="AN963" s="13"/>
      <c r="AO963" s="13"/>
      <c r="AP963" s="13"/>
    </row>
    <row r="964" ht="18.75" customHeight="1">
      <c r="A964" s="13"/>
      <c r="B964" s="282"/>
      <c r="C964" s="330"/>
      <c r="D964" s="330"/>
      <c r="E964" s="330"/>
      <c r="F964" s="13"/>
      <c r="G964" s="309"/>
      <c r="H964" s="309"/>
      <c r="I964" s="309"/>
      <c r="J964" s="310"/>
      <c r="K964" s="310"/>
      <c r="L964" s="310"/>
      <c r="M964" s="310"/>
      <c r="N964" s="310"/>
      <c r="O964" s="311"/>
      <c r="P964" s="310"/>
      <c r="Q964" s="311"/>
      <c r="R964" s="310"/>
      <c r="S964" s="13"/>
      <c r="T964" s="13"/>
      <c r="U964" s="13"/>
      <c r="V964" s="13"/>
      <c r="W964" s="13"/>
      <c r="X964" s="310"/>
      <c r="Y964" s="311"/>
      <c r="Z964" s="310"/>
      <c r="AA964" s="312"/>
      <c r="AB964" s="13"/>
      <c r="AC964" s="313"/>
      <c r="AD964" s="313"/>
      <c r="AE964" s="313"/>
      <c r="AF964" s="331"/>
      <c r="AG964" s="320"/>
      <c r="AH964" s="13"/>
      <c r="AI964" s="13"/>
      <c r="AJ964" s="13"/>
      <c r="AK964" s="13"/>
      <c r="AL964" s="13"/>
      <c r="AM964" s="13"/>
      <c r="AN964" s="13"/>
      <c r="AO964" s="13"/>
      <c r="AP964" s="13"/>
    </row>
    <row r="965" ht="18.75" customHeight="1">
      <c r="A965" s="13"/>
      <c r="B965" s="282"/>
      <c r="C965" s="330"/>
      <c r="D965" s="330"/>
      <c r="E965" s="330"/>
      <c r="F965" s="13"/>
      <c r="G965" s="309"/>
      <c r="H965" s="309"/>
      <c r="I965" s="309"/>
      <c r="J965" s="310"/>
      <c r="K965" s="310"/>
      <c r="L965" s="310"/>
      <c r="M965" s="310"/>
      <c r="N965" s="310"/>
      <c r="O965" s="311"/>
      <c r="P965" s="310"/>
      <c r="Q965" s="311"/>
      <c r="R965" s="310"/>
      <c r="S965" s="13"/>
      <c r="T965" s="13"/>
      <c r="U965" s="13"/>
      <c r="V965" s="13"/>
      <c r="W965" s="13"/>
      <c r="X965" s="310"/>
      <c r="Y965" s="311"/>
      <c r="Z965" s="310"/>
      <c r="AA965" s="312"/>
      <c r="AB965" s="13"/>
      <c r="AC965" s="313"/>
      <c r="AD965" s="313"/>
      <c r="AE965" s="313"/>
      <c r="AF965" s="331"/>
      <c r="AG965" s="320"/>
      <c r="AH965" s="13"/>
      <c r="AI965" s="13"/>
      <c r="AJ965" s="13"/>
      <c r="AK965" s="13"/>
      <c r="AL965" s="13"/>
      <c r="AM965" s="13"/>
      <c r="AN965" s="13"/>
      <c r="AO965" s="13"/>
      <c r="AP965" s="13"/>
    </row>
    <row r="966" ht="18.75" customHeight="1">
      <c r="A966" s="13"/>
      <c r="B966" s="282"/>
      <c r="C966" s="330"/>
      <c r="D966" s="330"/>
      <c r="E966" s="330"/>
      <c r="F966" s="13"/>
      <c r="G966" s="309"/>
      <c r="H966" s="309"/>
      <c r="I966" s="309"/>
      <c r="J966" s="310"/>
      <c r="K966" s="310"/>
      <c r="L966" s="310"/>
      <c r="M966" s="310"/>
      <c r="N966" s="310"/>
      <c r="O966" s="311"/>
      <c r="P966" s="310"/>
      <c r="Q966" s="311"/>
      <c r="R966" s="310"/>
      <c r="S966" s="13"/>
      <c r="T966" s="13"/>
      <c r="U966" s="13"/>
      <c r="V966" s="13"/>
      <c r="W966" s="13"/>
      <c r="X966" s="310"/>
      <c r="Y966" s="311"/>
      <c r="Z966" s="310"/>
      <c r="AA966" s="312"/>
      <c r="AB966" s="13"/>
      <c r="AC966" s="313"/>
      <c r="AD966" s="313"/>
      <c r="AE966" s="313"/>
      <c r="AF966" s="331"/>
      <c r="AG966" s="320"/>
      <c r="AH966" s="13"/>
      <c r="AI966" s="13"/>
      <c r="AJ966" s="13"/>
      <c r="AK966" s="13"/>
      <c r="AL966" s="13"/>
      <c r="AM966" s="13"/>
      <c r="AN966" s="13"/>
      <c r="AO966" s="13"/>
      <c r="AP966" s="13"/>
    </row>
    <row r="967" ht="18.75" customHeight="1">
      <c r="A967" s="13"/>
      <c r="B967" s="282"/>
      <c r="C967" s="330"/>
      <c r="D967" s="330"/>
      <c r="E967" s="330"/>
      <c r="F967" s="13"/>
      <c r="G967" s="309"/>
      <c r="H967" s="309"/>
      <c r="I967" s="309"/>
      <c r="J967" s="310"/>
      <c r="K967" s="310"/>
      <c r="L967" s="310"/>
      <c r="M967" s="310"/>
      <c r="N967" s="310"/>
      <c r="O967" s="311"/>
      <c r="P967" s="310"/>
      <c r="Q967" s="311"/>
      <c r="R967" s="310"/>
      <c r="S967" s="13"/>
      <c r="T967" s="13"/>
      <c r="U967" s="13"/>
      <c r="V967" s="13"/>
      <c r="W967" s="13"/>
      <c r="X967" s="310"/>
      <c r="Y967" s="311"/>
      <c r="Z967" s="310"/>
      <c r="AA967" s="312"/>
      <c r="AB967" s="13"/>
      <c r="AC967" s="313"/>
      <c r="AD967" s="313"/>
      <c r="AE967" s="313"/>
      <c r="AF967" s="331"/>
      <c r="AG967" s="320"/>
      <c r="AH967" s="13"/>
      <c r="AI967" s="13"/>
      <c r="AJ967" s="13"/>
      <c r="AK967" s="13"/>
      <c r="AL967" s="13"/>
      <c r="AM967" s="13"/>
      <c r="AN967" s="13"/>
      <c r="AO967" s="13"/>
      <c r="AP967" s="13"/>
    </row>
    <row r="968" ht="18.75" customHeight="1">
      <c r="A968" s="13"/>
      <c r="B968" s="282"/>
      <c r="C968" s="330"/>
      <c r="D968" s="330"/>
      <c r="E968" s="330"/>
      <c r="F968" s="13"/>
      <c r="G968" s="309"/>
      <c r="H968" s="309"/>
      <c r="I968" s="309"/>
      <c r="J968" s="310"/>
      <c r="K968" s="310"/>
      <c r="L968" s="310"/>
      <c r="M968" s="310"/>
      <c r="N968" s="310"/>
      <c r="O968" s="311"/>
      <c r="P968" s="310"/>
      <c r="Q968" s="311"/>
      <c r="R968" s="310"/>
      <c r="S968" s="13"/>
      <c r="T968" s="13"/>
      <c r="U968" s="13"/>
      <c r="V968" s="13"/>
      <c r="W968" s="13"/>
      <c r="X968" s="310"/>
      <c r="Y968" s="311"/>
      <c r="Z968" s="310"/>
      <c r="AA968" s="312"/>
      <c r="AB968" s="13"/>
      <c r="AC968" s="313"/>
      <c r="AD968" s="313"/>
      <c r="AE968" s="313"/>
      <c r="AF968" s="331"/>
      <c r="AG968" s="320"/>
      <c r="AH968" s="13"/>
      <c r="AI968" s="13"/>
      <c r="AJ968" s="13"/>
      <c r="AK968" s="13"/>
      <c r="AL968" s="13"/>
      <c r="AM968" s="13"/>
      <c r="AN968" s="13"/>
      <c r="AO968" s="13"/>
      <c r="AP968" s="13"/>
    </row>
    <row r="969" ht="18.75" customHeight="1">
      <c r="A969" s="13"/>
      <c r="B969" s="282"/>
      <c r="C969" s="330"/>
      <c r="D969" s="330"/>
      <c r="E969" s="330"/>
      <c r="F969" s="13"/>
      <c r="G969" s="309"/>
      <c r="H969" s="309"/>
      <c r="I969" s="309"/>
      <c r="J969" s="310"/>
      <c r="K969" s="310"/>
      <c r="L969" s="310"/>
      <c r="M969" s="310"/>
      <c r="N969" s="310"/>
      <c r="O969" s="311"/>
      <c r="P969" s="310"/>
      <c r="Q969" s="311"/>
      <c r="R969" s="310"/>
      <c r="S969" s="13"/>
      <c r="T969" s="13"/>
      <c r="U969" s="13"/>
      <c r="V969" s="13"/>
      <c r="W969" s="13"/>
      <c r="X969" s="310"/>
      <c r="Y969" s="311"/>
      <c r="Z969" s="310"/>
      <c r="AA969" s="312"/>
      <c r="AB969" s="13"/>
      <c r="AC969" s="313"/>
      <c r="AD969" s="313"/>
      <c r="AE969" s="313"/>
      <c r="AF969" s="331"/>
      <c r="AG969" s="320"/>
      <c r="AH969" s="13"/>
      <c r="AI969" s="13"/>
      <c r="AJ969" s="13"/>
      <c r="AK969" s="13"/>
      <c r="AL969" s="13"/>
      <c r="AM969" s="13"/>
      <c r="AN969" s="13"/>
      <c r="AO969" s="13"/>
      <c r="AP969" s="13"/>
    </row>
    <row r="970" ht="18.75" customHeight="1">
      <c r="A970" s="13"/>
      <c r="B970" s="282"/>
      <c r="C970" s="330"/>
      <c r="D970" s="330"/>
      <c r="E970" s="330"/>
      <c r="F970" s="13"/>
      <c r="G970" s="309"/>
      <c r="H970" s="309"/>
      <c r="I970" s="309"/>
      <c r="J970" s="310"/>
      <c r="K970" s="310"/>
      <c r="L970" s="310"/>
      <c r="M970" s="310"/>
      <c r="N970" s="310"/>
      <c r="O970" s="311"/>
      <c r="P970" s="310"/>
      <c r="Q970" s="311"/>
      <c r="R970" s="310"/>
      <c r="S970" s="13"/>
      <c r="T970" s="13"/>
      <c r="U970" s="13"/>
      <c r="V970" s="13"/>
      <c r="W970" s="13"/>
      <c r="X970" s="310"/>
      <c r="Y970" s="311"/>
      <c r="Z970" s="310"/>
      <c r="AA970" s="312"/>
      <c r="AB970" s="13"/>
      <c r="AC970" s="313"/>
      <c r="AD970" s="313"/>
      <c r="AE970" s="313"/>
      <c r="AF970" s="331"/>
      <c r="AG970" s="320"/>
      <c r="AH970" s="13"/>
      <c r="AI970" s="13"/>
      <c r="AJ970" s="13"/>
      <c r="AK970" s="13"/>
      <c r="AL970" s="13"/>
      <c r="AM970" s="13"/>
      <c r="AN970" s="13"/>
      <c r="AO970" s="13"/>
      <c r="AP970" s="13"/>
    </row>
    <row r="971" ht="18.75" customHeight="1">
      <c r="A971" s="13"/>
      <c r="B971" s="282"/>
      <c r="C971" s="330"/>
      <c r="D971" s="330"/>
      <c r="E971" s="330"/>
      <c r="F971" s="13"/>
      <c r="G971" s="309"/>
      <c r="H971" s="309"/>
      <c r="I971" s="309"/>
      <c r="J971" s="310"/>
      <c r="K971" s="310"/>
      <c r="L971" s="310"/>
      <c r="M971" s="310"/>
      <c r="N971" s="310"/>
      <c r="O971" s="311"/>
      <c r="P971" s="310"/>
      <c r="Q971" s="311"/>
      <c r="R971" s="310"/>
      <c r="S971" s="13"/>
      <c r="T971" s="13"/>
      <c r="U971" s="13"/>
      <c r="V971" s="13"/>
      <c r="W971" s="13"/>
      <c r="X971" s="310"/>
      <c r="Y971" s="311"/>
      <c r="Z971" s="310"/>
      <c r="AA971" s="312"/>
      <c r="AB971" s="13"/>
      <c r="AC971" s="313"/>
      <c r="AD971" s="313"/>
      <c r="AE971" s="313"/>
      <c r="AF971" s="331"/>
      <c r="AG971" s="320"/>
      <c r="AH971" s="13"/>
      <c r="AI971" s="13"/>
      <c r="AJ971" s="13"/>
      <c r="AK971" s="13"/>
      <c r="AL971" s="13"/>
      <c r="AM971" s="13"/>
      <c r="AN971" s="13"/>
      <c r="AO971" s="13"/>
      <c r="AP971" s="13"/>
    </row>
    <row r="972" ht="18.75" customHeight="1">
      <c r="A972" s="13"/>
      <c r="B972" s="282"/>
      <c r="C972" s="330"/>
      <c r="D972" s="330"/>
      <c r="E972" s="330"/>
      <c r="F972" s="13"/>
      <c r="G972" s="309"/>
      <c r="H972" s="309"/>
      <c r="I972" s="309"/>
      <c r="J972" s="310"/>
      <c r="K972" s="310"/>
      <c r="L972" s="310"/>
      <c r="M972" s="310"/>
      <c r="N972" s="310"/>
      <c r="O972" s="311"/>
      <c r="P972" s="310"/>
      <c r="Q972" s="311"/>
      <c r="R972" s="310"/>
      <c r="S972" s="13"/>
      <c r="T972" s="13"/>
      <c r="U972" s="13"/>
      <c r="V972" s="13"/>
      <c r="W972" s="13"/>
      <c r="X972" s="310"/>
      <c r="Y972" s="311"/>
      <c r="Z972" s="310"/>
      <c r="AA972" s="312"/>
      <c r="AB972" s="13"/>
      <c r="AC972" s="313"/>
      <c r="AD972" s="313"/>
      <c r="AE972" s="313"/>
      <c r="AF972" s="331"/>
      <c r="AG972" s="320"/>
      <c r="AH972" s="13"/>
      <c r="AI972" s="13"/>
      <c r="AJ972" s="13"/>
      <c r="AK972" s="13"/>
      <c r="AL972" s="13"/>
      <c r="AM972" s="13"/>
      <c r="AN972" s="13"/>
      <c r="AO972" s="13"/>
      <c r="AP972" s="13"/>
    </row>
    <row r="973" ht="18.75" customHeight="1">
      <c r="A973" s="13"/>
      <c r="B973" s="282"/>
      <c r="C973" s="330"/>
      <c r="D973" s="330"/>
      <c r="E973" s="330"/>
      <c r="F973" s="13"/>
      <c r="G973" s="309"/>
      <c r="H973" s="309"/>
      <c r="I973" s="309"/>
      <c r="J973" s="310"/>
      <c r="K973" s="310"/>
      <c r="L973" s="310"/>
      <c r="M973" s="310"/>
      <c r="N973" s="310"/>
      <c r="O973" s="311"/>
      <c r="P973" s="310"/>
      <c r="Q973" s="311"/>
      <c r="R973" s="310"/>
      <c r="S973" s="13"/>
      <c r="T973" s="13"/>
      <c r="U973" s="13"/>
      <c r="V973" s="13"/>
      <c r="W973" s="13"/>
      <c r="X973" s="310"/>
      <c r="Y973" s="311"/>
      <c r="Z973" s="310"/>
      <c r="AA973" s="312"/>
      <c r="AB973" s="13"/>
      <c r="AC973" s="313"/>
      <c r="AD973" s="313"/>
      <c r="AE973" s="313"/>
      <c r="AF973" s="331"/>
      <c r="AG973" s="320"/>
      <c r="AH973" s="13"/>
      <c r="AI973" s="13"/>
      <c r="AJ973" s="13"/>
      <c r="AK973" s="13"/>
      <c r="AL973" s="13"/>
      <c r="AM973" s="13"/>
      <c r="AN973" s="13"/>
      <c r="AO973" s="13"/>
      <c r="AP973" s="13"/>
    </row>
    <row r="974" ht="18.75" customHeight="1">
      <c r="A974" s="13"/>
      <c r="B974" s="282"/>
      <c r="C974" s="330"/>
      <c r="D974" s="330"/>
      <c r="E974" s="330"/>
      <c r="F974" s="13"/>
      <c r="G974" s="309"/>
      <c r="H974" s="309"/>
      <c r="I974" s="309"/>
      <c r="J974" s="310"/>
      <c r="K974" s="310"/>
      <c r="L974" s="310"/>
      <c r="M974" s="310"/>
      <c r="N974" s="310"/>
      <c r="O974" s="311"/>
      <c r="P974" s="310"/>
      <c r="Q974" s="311"/>
      <c r="R974" s="310"/>
      <c r="S974" s="13"/>
      <c r="T974" s="13"/>
      <c r="U974" s="13"/>
      <c r="V974" s="13"/>
      <c r="W974" s="13"/>
      <c r="X974" s="310"/>
      <c r="Y974" s="311"/>
      <c r="Z974" s="310"/>
      <c r="AA974" s="312"/>
      <c r="AB974" s="13"/>
      <c r="AC974" s="313"/>
      <c r="AD974" s="313"/>
      <c r="AE974" s="313"/>
      <c r="AF974" s="331"/>
      <c r="AG974" s="320"/>
      <c r="AH974" s="13"/>
      <c r="AI974" s="13"/>
      <c r="AJ974" s="13"/>
      <c r="AK974" s="13"/>
      <c r="AL974" s="13"/>
      <c r="AM974" s="13"/>
      <c r="AN974" s="13"/>
      <c r="AO974" s="13"/>
      <c r="AP974" s="13"/>
    </row>
    <row r="975" ht="18.75" customHeight="1">
      <c r="A975" s="13"/>
      <c r="B975" s="282"/>
      <c r="C975" s="330"/>
      <c r="D975" s="330"/>
      <c r="E975" s="330"/>
      <c r="F975" s="13"/>
      <c r="G975" s="309"/>
      <c r="H975" s="309"/>
      <c r="I975" s="309"/>
      <c r="J975" s="310"/>
      <c r="K975" s="310"/>
      <c r="L975" s="310"/>
      <c r="M975" s="310"/>
      <c r="N975" s="310"/>
      <c r="O975" s="311"/>
      <c r="P975" s="310"/>
      <c r="Q975" s="311"/>
      <c r="R975" s="310"/>
      <c r="S975" s="13"/>
      <c r="T975" s="13"/>
      <c r="U975" s="13"/>
      <c r="V975" s="13"/>
      <c r="W975" s="13"/>
      <c r="X975" s="310"/>
      <c r="Y975" s="311"/>
      <c r="Z975" s="310"/>
      <c r="AA975" s="312"/>
      <c r="AB975" s="13"/>
      <c r="AC975" s="313"/>
      <c r="AD975" s="313"/>
      <c r="AE975" s="313"/>
      <c r="AF975" s="331"/>
      <c r="AG975" s="320"/>
      <c r="AH975" s="13"/>
      <c r="AI975" s="13"/>
      <c r="AJ975" s="13"/>
      <c r="AK975" s="13"/>
      <c r="AL975" s="13"/>
      <c r="AM975" s="13"/>
      <c r="AN975" s="13"/>
      <c r="AO975" s="13"/>
      <c r="AP975" s="13"/>
    </row>
    <row r="976" ht="18.75" customHeight="1">
      <c r="A976" s="13"/>
      <c r="B976" s="282"/>
      <c r="C976" s="330"/>
      <c r="D976" s="330"/>
      <c r="E976" s="330"/>
      <c r="F976" s="13"/>
      <c r="G976" s="309"/>
      <c r="H976" s="309"/>
      <c r="I976" s="309"/>
      <c r="J976" s="310"/>
      <c r="K976" s="310"/>
      <c r="L976" s="310"/>
      <c r="M976" s="310"/>
      <c r="N976" s="310"/>
      <c r="O976" s="311"/>
      <c r="P976" s="310"/>
      <c r="Q976" s="311"/>
      <c r="R976" s="310"/>
      <c r="S976" s="13"/>
      <c r="T976" s="13"/>
      <c r="U976" s="13"/>
      <c r="V976" s="13"/>
      <c r="W976" s="13"/>
      <c r="X976" s="310"/>
      <c r="Y976" s="311"/>
      <c r="Z976" s="310"/>
      <c r="AA976" s="312"/>
      <c r="AB976" s="13"/>
      <c r="AC976" s="313"/>
      <c r="AD976" s="313"/>
      <c r="AE976" s="313"/>
      <c r="AF976" s="331"/>
      <c r="AG976" s="320"/>
      <c r="AH976" s="13"/>
      <c r="AI976" s="13"/>
      <c r="AJ976" s="13"/>
      <c r="AK976" s="13"/>
      <c r="AL976" s="13"/>
      <c r="AM976" s="13"/>
      <c r="AN976" s="13"/>
      <c r="AO976" s="13"/>
      <c r="AP976" s="13"/>
    </row>
    <row r="977" ht="18.75" customHeight="1">
      <c r="A977" s="13"/>
      <c r="B977" s="282"/>
      <c r="C977" s="330"/>
      <c r="D977" s="330"/>
      <c r="E977" s="330"/>
      <c r="F977" s="13"/>
      <c r="G977" s="309"/>
      <c r="H977" s="309"/>
      <c r="I977" s="309"/>
      <c r="J977" s="310"/>
      <c r="K977" s="310"/>
      <c r="L977" s="310"/>
      <c r="M977" s="310"/>
      <c r="N977" s="310"/>
      <c r="O977" s="311"/>
      <c r="P977" s="310"/>
      <c r="Q977" s="311"/>
      <c r="R977" s="310"/>
      <c r="S977" s="13"/>
      <c r="T977" s="13"/>
      <c r="U977" s="13"/>
      <c r="V977" s="13"/>
      <c r="W977" s="13"/>
      <c r="X977" s="310"/>
      <c r="Y977" s="311"/>
      <c r="Z977" s="310"/>
      <c r="AA977" s="312"/>
      <c r="AB977" s="13"/>
      <c r="AC977" s="313"/>
      <c r="AD977" s="313"/>
      <c r="AE977" s="313"/>
      <c r="AF977" s="331"/>
      <c r="AG977" s="320"/>
      <c r="AH977" s="13"/>
      <c r="AI977" s="13"/>
      <c r="AJ977" s="13"/>
      <c r="AK977" s="13"/>
      <c r="AL977" s="13"/>
      <c r="AM977" s="13"/>
      <c r="AN977" s="13"/>
      <c r="AO977" s="13"/>
      <c r="AP977" s="13"/>
    </row>
    <row r="978" ht="18.75" customHeight="1">
      <c r="A978" s="13"/>
      <c r="B978" s="282"/>
      <c r="C978" s="330"/>
      <c r="D978" s="330"/>
      <c r="E978" s="330"/>
      <c r="F978" s="13"/>
      <c r="G978" s="309"/>
      <c r="H978" s="309"/>
      <c r="I978" s="309"/>
      <c r="J978" s="310"/>
      <c r="K978" s="310"/>
      <c r="L978" s="310"/>
      <c r="M978" s="310"/>
      <c r="N978" s="310"/>
      <c r="O978" s="311"/>
      <c r="P978" s="310"/>
      <c r="Q978" s="311"/>
      <c r="R978" s="310"/>
      <c r="S978" s="13"/>
      <c r="T978" s="13"/>
      <c r="U978" s="13"/>
      <c r="V978" s="13"/>
      <c r="W978" s="13"/>
      <c r="X978" s="310"/>
      <c r="Y978" s="311"/>
      <c r="Z978" s="310"/>
      <c r="AA978" s="312"/>
      <c r="AB978" s="13"/>
      <c r="AC978" s="313"/>
      <c r="AD978" s="313"/>
      <c r="AE978" s="313"/>
      <c r="AF978" s="331"/>
      <c r="AG978" s="320"/>
      <c r="AH978" s="13"/>
      <c r="AI978" s="13"/>
      <c r="AJ978" s="13"/>
      <c r="AK978" s="13"/>
      <c r="AL978" s="13"/>
      <c r="AM978" s="13"/>
      <c r="AN978" s="13"/>
      <c r="AO978" s="13"/>
      <c r="AP978" s="13"/>
    </row>
    <row r="979" ht="18.75" customHeight="1">
      <c r="A979" s="13"/>
      <c r="B979" s="282"/>
      <c r="C979" s="330"/>
      <c r="D979" s="330"/>
      <c r="E979" s="330"/>
      <c r="F979" s="13"/>
      <c r="G979" s="309"/>
      <c r="H979" s="309"/>
      <c r="I979" s="309"/>
      <c r="J979" s="310"/>
      <c r="K979" s="310"/>
      <c r="L979" s="310"/>
      <c r="M979" s="310"/>
      <c r="N979" s="310"/>
      <c r="O979" s="311"/>
      <c r="P979" s="310"/>
      <c r="Q979" s="311"/>
      <c r="R979" s="310"/>
      <c r="S979" s="13"/>
      <c r="T979" s="13"/>
      <c r="U979" s="13"/>
      <c r="V979" s="13"/>
      <c r="W979" s="13"/>
      <c r="X979" s="310"/>
      <c r="Y979" s="311"/>
      <c r="Z979" s="310"/>
      <c r="AA979" s="312"/>
      <c r="AB979" s="13"/>
      <c r="AC979" s="313"/>
      <c r="AD979" s="313"/>
      <c r="AE979" s="313"/>
      <c r="AF979" s="331"/>
      <c r="AG979" s="320"/>
      <c r="AH979" s="13"/>
      <c r="AI979" s="13"/>
      <c r="AJ979" s="13"/>
      <c r="AK979" s="13"/>
      <c r="AL979" s="13"/>
      <c r="AM979" s="13"/>
      <c r="AN979" s="13"/>
      <c r="AO979" s="13"/>
      <c r="AP979" s="13"/>
    </row>
    <row r="980" ht="18.75" customHeight="1">
      <c r="A980" s="13"/>
      <c r="B980" s="282"/>
      <c r="C980" s="330"/>
      <c r="D980" s="330"/>
      <c r="E980" s="330"/>
      <c r="F980" s="13"/>
      <c r="G980" s="309"/>
      <c r="H980" s="309"/>
      <c r="I980" s="309"/>
      <c r="J980" s="310"/>
      <c r="K980" s="310"/>
      <c r="L980" s="310"/>
      <c r="M980" s="310"/>
      <c r="N980" s="310"/>
      <c r="O980" s="311"/>
      <c r="P980" s="310"/>
      <c r="Q980" s="311"/>
      <c r="R980" s="310"/>
      <c r="S980" s="13"/>
      <c r="T980" s="13"/>
      <c r="U980" s="13"/>
      <c r="V980" s="13"/>
      <c r="W980" s="13"/>
      <c r="X980" s="310"/>
      <c r="Y980" s="311"/>
      <c r="Z980" s="310"/>
      <c r="AA980" s="312"/>
      <c r="AB980" s="13"/>
      <c r="AC980" s="313"/>
      <c r="AD980" s="313"/>
      <c r="AE980" s="313"/>
      <c r="AF980" s="331"/>
      <c r="AG980" s="320"/>
      <c r="AH980" s="13"/>
      <c r="AI980" s="13"/>
      <c r="AJ980" s="13"/>
      <c r="AK980" s="13"/>
      <c r="AL980" s="13"/>
      <c r="AM980" s="13"/>
      <c r="AN980" s="13"/>
      <c r="AO980" s="13"/>
      <c r="AP980" s="13"/>
    </row>
    <row r="981" ht="18.75" customHeight="1">
      <c r="A981" s="13"/>
      <c r="B981" s="282"/>
      <c r="C981" s="330"/>
      <c r="D981" s="330"/>
      <c r="E981" s="330"/>
      <c r="F981" s="13"/>
      <c r="G981" s="309"/>
      <c r="H981" s="309"/>
      <c r="I981" s="309"/>
      <c r="J981" s="310"/>
      <c r="K981" s="310"/>
      <c r="L981" s="310"/>
      <c r="M981" s="310"/>
      <c r="N981" s="310"/>
      <c r="O981" s="311"/>
      <c r="P981" s="310"/>
      <c r="Q981" s="311"/>
      <c r="R981" s="310"/>
      <c r="S981" s="13"/>
      <c r="T981" s="13"/>
      <c r="U981" s="13"/>
      <c r="V981" s="13"/>
      <c r="W981" s="13"/>
      <c r="X981" s="310"/>
      <c r="Y981" s="311"/>
      <c r="Z981" s="310"/>
      <c r="AA981" s="312"/>
      <c r="AB981" s="13"/>
      <c r="AC981" s="313"/>
      <c r="AD981" s="313"/>
      <c r="AE981" s="313"/>
      <c r="AF981" s="331"/>
      <c r="AG981" s="320"/>
      <c r="AH981" s="13"/>
      <c r="AI981" s="13"/>
      <c r="AJ981" s="13"/>
      <c r="AK981" s="13"/>
      <c r="AL981" s="13"/>
      <c r="AM981" s="13"/>
      <c r="AN981" s="13"/>
      <c r="AO981" s="13"/>
      <c r="AP981" s="13"/>
    </row>
    <row r="982" ht="18.75" customHeight="1">
      <c r="A982" s="13"/>
      <c r="B982" s="282"/>
      <c r="C982" s="330"/>
      <c r="D982" s="330"/>
      <c r="E982" s="330"/>
      <c r="F982" s="13"/>
      <c r="G982" s="309"/>
      <c r="H982" s="309"/>
      <c r="I982" s="309"/>
      <c r="J982" s="310"/>
      <c r="K982" s="310"/>
      <c r="L982" s="310"/>
      <c r="M982" s="310"/>
      <c r="N982" s="310"/>
      <c r="O982" s="311"/>
      <c r="P982" s="310"/>
      <c r="Q982" s="311"/>
      <c r="R982" s="310"/>
      <c r="S982" s="13"/>
      <c r="T982" s="13"/>
      <c r="U982" s="13"/>
      <c r="V982" s="13"/>
      <c r="W982" s="13"/>
      <c r="X982" s="310"/>
      <c r="Y982" s="311"/>
      <c r="Z982" s="310"/>
      <c r="AA982" s="312"/>
      <c r="AB982" s="13"/>
      <c r="AC982" s="313"/>
      <c r="AD982" s="313"/>
      <c r="AE982" s="313"/>
      <c r="AF982" s="331"/>
      <c r="AG982" s="320"/>
      <c r="AH982" s="13"/>
      <c r="AI982" s="13"/>
      <c r="AJ982" s="13"/>
      <c r="AK982" s="13"/>
      <c r="AL982" s="13"/>
      <c r="AM982" s="13"/>
      <c r="AN982" s="13"/>
      <c r="AO982" s="13"/>
      <c r="AP982" s="13"/>
    </row>
    <row r="983" ht="18.75" customHeight="1">
      <c r="A983" s="13"/>
      <c r="B983" s="282"/>
      <c r="C983" s="330"/>
      <c r="D983" s="330"/>
      <c r="E983" s="330"/>
      <c r="F983" s="13"/>
      <c r="G983" s="309"/>
      <c r="H983" s="309"/>
      <c r="I983" s="309"/>
      <c r="J983" s="310"/>
      <c r="K983" s="310"/>
      <c r="L983" s="310"/>
      <c r="M983" s="310"/>
      <c r="N983" s="310"/>
      <c r="O983" s="311"/>
      <c r="P983" s="310"/>
      <c r="Q983" s="311"/>
      <c r="R983" s="310"/>
      <c r="S983" s="13"/>
      <c r="T983" s="13"/>
      <c r="U983" s="13"/>
      <c r="V983" s="13"/>
      <c r="W983" s="13"/>
      <c r="X983" s="310"/>
      <c r="Y983" s="311"/>
      <c r="Z983" s="310"/>
      <c r="AA983" s="312"/>
      <c r="AB983" s="13"/>
      <c r="AC983" s="313"/>
      <c r="AD983" s="313"/>
      <c r="AE983" s="313"/>
      <c r="AF983" s="331"/>
      <c r="AG983" s="320"/>
      <c r="AH983" s="13"/>
      <c r="AI983" s="13"/>
      <c r="AJ983" s="13"/>
      <c r="AK983" s="13"/>
      <c r="AL983" s="13"/>
      <c r="AM983" s="13"/>
      <c r="AN983" s="13"/>
      <c r="AO983" s="13"/>
      <c r="AP983" s="13"/>
    </row>
    <row r="984" ht="18.75" customHeight="1">
      <c r="A984" s="13"/>
      <c r="B984" s="282"/>
      <c r="C984" s="330"/>
      <c r="D984" s="330"/>
      <c r="E984" s="330"/>
      <c r="F984" s="13"/>
      <c r="G984" s="309"/>
      <c r="H984" s="309"/>
      <c r="I984" s="309"/>
      <c r="J984" s="310"/>
      <c r="K984" s="310"/>
      <c r="L984" s="310"/>
      <c r="M984" s="310"/>
      <c r="N984" s="310"/>
      <c r="O984" s="311"/>
      <c r="P984" s="310"/>
      <c r="Q984" s="311"/>
      <c r="R984" s="310"/>
      <c r="S984" s="13"/>
      <c r="T984" s="13"/>
      <c r="U984" s="13"/>
      <c r="V984" s="13"/>
      <c r="W984" s="13"/>
      <c r="X984" s="310"/>
      <c r="Y984" s="311"/>
      <c r="Z984" s="310"/>
      <c r="AA984" s="312"/>
      <c r="AB984" s="13"/>
      <c r="AC984" s="313"/>
      <c r="AD984" s="313"/>
      <c r="AE984" s="313"/>
      <c r="AF984" s="331"/>
      <c r="AG984" s="320"/>
      <c r="AH984" s="13"/>
      <c r="AI984" s="13"/>
      <c r="AJ984" s="13"/>
      <c r="AK984" s="13"/>
      <c r="AL984" s="13"/>
      <c r="AM984" s="13"/>
      <c r="AN984" s="13"/>
      <c r="AO984" s="13"/>
      <c r="AP984" s="13"/>
    </row>
    <row r="985" ht="18.75" customHeight="1">
      <c r="A985" s="13"/>
      <c r="B985" s="282"/>
      <c r="C985" s="330"/>
      <c r="D985" s="330"/>
      <c r="E985" s="330"/>
      <c r="F985" s="13"/>
      <c r="G985" s="309"/>
      <c r="H985" s="309"/>
      <c r="I985" s="309"/>
      <c r="J985" s="310"/>
      <c r="K985" s="310"/>
      <c r="L985" s="310"/>
      <c r="M985" s="310"/>
      <c r="N985" s="310"/>
      <c r="O985" s="311"/>
      <c r="P985" s="310"/>
      <c r="Q985" s="311"/>
      <c r="R985" s="310"/>
      <c r="S985" s="13"/>
      <c r="T985" s="13"/>
      <c r="U985" s="13"/>
      <c r="V985" s="13"/>
      <c r="W985" s="13"/>
      <c r="X985" s="310"/>
      <c r="Y985" s="311"/>
      <c r="Z985" s="310"/>
      <c r="AA985" s="312"/>
      <c r="AB985" s="13"/>
      <c r="AC985" s="313"/>
      <c r="AD985" s="313"/>
      <c r="AE985" s="313"/>
      <c r="AF985" s="331"/>
      <c r="AG985" s="320"/>
      <c r="AH985" s="13"/>
      <c r="AI985" s="13"/>
      <c r="AJ985" s="13"/>
      <c r="AK985" s="13"/>
      <c r="AL985" s="13"/>
      <c r="AM985" s="13"/>
      <c r="AN985" s="13"/>
      <c r="AO985" s="13"/>
      <c r="AP985" s="13"/>
    </row>
    <row r="986" ht="18.75" customHeight="1">
      <c r="A986" s="13"/>
      <c r="B986" s="282"/>
      <c r="C986" s="330"/>
      <c r="D986" s="330"/>
      <c r="E986" s="330"/>
      <c r="F986" s="13"/>
      <c r="G986" s="309"/>
      <c r="H986" s="309"/>
      <c r="I986" s="309"/>
      <c r="J986" s="310"/>
      <c r="K986" s="310"/>
      <c r="L986" s="310"/>
      <c r="M986" s="310"/>
      <c r="N986" s="310"/>
      <c r="O986" s="311"/>
      <c r="P986" s="310"/>
      <c r="Q986" s="311"/>
      <c r="R986" s="310"/>
      <c r="S986" s="13"/>
      <c r="T986" s="13"/>
      <c r="U986" s="13"/>
      <c r="V986" s="13"/>
      <c r="W986" s="13"/>
      <c r="X986" s="310"/>
      <c r="Y986" s="311"/>
      <c r="Z986" s="310"/>
      <c r="AA986" s="312"/>
      <c r="AB986" s="13"/>
      <c r="AC986" s="313"/>
      <c r="AD986" s="313"/>
      <c r="AE986" s="313"/>
      <c r="AF986" s="331"/>
      <c r="AG986" s="320"/>
      <c r="AH986" s="13"/>
      <c r="AI986" s="13"/>
      <c r="AJ986" s="13"/>
      <c r="AK986" s="13"/>
      <c r="AL986" s="13"/>
      <c r="AM986" s="13"/>
      <c r="AN986" s="13"/>
      <c r="AO986" s="13"/>
      <c r="AP986" s="13"/>
    </row>
    <row r="987" ht="18.75" customHeight="1">
      <c r="A987" s="13"/>
      <c r="B987" s="282"/>
      <c r="C987" s="330"/>
      <c r="D987" s="330"/>
      <c r="E987" s="330"/>
      <c r="F987" s="13"/>
      <c r="G987" s="309"/>
      <c r="H987" s="309"/>
      <c r="I987" s="309"/>
      <c r="J987" s="310"/>
      <c r="K987" s="310"/>
      <c r="L987" s="310"/>
      <c r="M987" s="310"/>
      <c r="N987" s="310"/>
      <c r="O987" s="311"/>
      <c r="P987" s="310"/>
      <c r="Q987" s="311"/>
      <c r="R987" s="310"/>
      <c r="S987" s="13"/>
      <c r="T987" s="13"/>
      <c r="U987" s="13"/>
      <c r="V987" s="13"/>
      <c r="W987" s="13"/>
      <c r="X987" s="310"/>
      <c r="Y987" s="311"/>
      <c r="Z987" s="310"/>
      <c r="AA987" s="312"/>
      <c r="AB987" s="13"/>
      <c r="AC987" s="313"/>
      <c r="AD987" s="313"/>
      <c r="AE987" s="313"/>
      <c r="AF987" s="331"/>
      <c r="AG987" s="320"/>
      <c r="AH987" s="13"/>
      <c r="AI987" s="13"/>
      <c r="AJ987" s="13"/>
      <c r="AK987" s="13"/>
      <c r="AL987" s="13"/>
      <c r="AM987" s="13"/>
      <c r="AN987" s="13"/>
      <c r="AO987" s="13"/>
      <c r="AP987" s="13"/>
    </row>
    <row r="988" ht="18.75" customHeight="1">
      <c r="A988" s="13"/>
      <c r="B988" s="282"/>
      <c r="C988" s="330"/>
      <c r="D988" s="330"/>
      <c r="E988" s="330"/>
      <c r="F988" s="13"/>
      <c r="G988" s="309"/>
      <c r="H988" s="309"/>
      <c r="I988" s="309"/>
      <c r="J988" s="310"/>
      <c r="K988" s="310"/>
      <c r="L988" s="310"/>
      <c r="M988" s="310"/>
      <c r="N988" s="310"/>
      <c r="O988" s="311"/>
      <c r="P988" s="310"/>
      <c r="Q988" s="311"/>
      <c r="R988" s="310"/>
      <c r="S988" s="13"/>
      <c r="T988" s="13"/>
      <c r="U988" s="13"/>
      <c r="V988" s="13"/>
      <c r="W988" s="13"/>
      <c r="X988" s="310"/>
      <c r="Y988" s="311"/>
      <c r="Z988" s="310"/>
      <c r="AA988" s="312"/>
      <c r="AB988" s="13"/>
      <c r="AC988" s="313"/>
      <c r="AD988" s="313"/>
      <c r="AE988" s="313"/>
      <c r="AF988" s="331"/>
      <c r="AG988" s="320"/>
      <c r="AH988" s="13"/>
      <c r="AI988" s="13"/>
      <c r="AJ988" s="13"/>
      <c r="AK988" s="13"/>
      <c r="AL988" s="13"/>
      <c r="AM988" s="13"/>
      <c r="AN988" s="13"/>
      <c r="AO988" s="13"/>
      <c r="AP988" s="13"/>
    </row>
    <row r="989" ht="18.75" customHeight="1">
      <c r="A989" s="13"/>
      <c r="B989" s="282"/>
      <c r="C989" s="330"/>
      <c r="D989" s="330"/>
      <c r="E989" s="330"/>
      <c r="F989" s="13"/>
      <c r="G989" s="309"/>
      <c r="H989" s="309"/>
      <c r="I989" s="309"/>
      <c r="J989" s="310"/>
      <c r="K989" s="310"/>
      <c r="L989" s="310"/>
      <c r="M989" s="310"/>
      <c r="N989" s="310"/>
      <c r="O989" s="311"/>
      <c r="P989" s="310"/>
      <c r="Q989" s="311"/>
      <c r="R989" s="310"/>
      <c r="S989" s="13"/>
      <c r="T989" s="13"/>
      <c r="U989" s="13"/>
      <c r="V989" s="13"/>
      <c r="W989" s="13"/>
      <c r="X989" s="310"/>
      <c r="Y989" s="311"/>
      <c r="Z989" s="310"/>
      <c r="AA989" s="312"/>
      <c r="AB989" s="13"/>
      <c r="AC989" s="313"/>
      <c r="AD989" s="313"/>
      <c r="AE989" s="313"/>
      <c r="AF989" s="331"/>
      <c r="AG989" s="320"/>
      <c r="AH989" s="13"/>
      <c r="AI989" s="13"/>
      <c r="AJ989" s="13"/>
      <c r="AK989" s="13"/>
      <c r="AL989" s="13"/>
      <c r="AM989" s="13"/>
      <c r="AN989" s="13"/>
      <c r="AO989" s="13"/>
      <c r="AP989" s="13"/>
    </row>
    <row r="990" ht="18.75" customHeight="1">
      <c r="A990" s="13"/>
      <c r="B990" s="282"/>
      <c r="C990" s="330"/>
      <c r="D990" s="330"/>
      <c r="E990" s="330"/>
      <c r="F990" s="13"/>
      <c r="G990" s="309"/>
      <c r="H990" s="309"/>
      <c r="I990" s="309"/>
      <c r="J990" s="310"/>
      <c r="K990" s="310"/>
      <c r="L990" s="310"/>
      <c r="M990" s="310"/>
      <c r="N990" s="310"/>
      <c r="O990" s="311"/>
      <c r="P990" s="310"/>
      <c r="Q990" s="311"/>
      <c r="R990" s="310"/>
      <c r="S990" s="13"/>
      <c r="T990" s="13"/>
      <c r="U990" s="13"/>
      <c r="V990" s="13"/>
      <c r="W990" s="13"/>
      <c r="X990" s="310"/>
      <c r="Y990" s="311"/>
      <c r="Z990" s="310"/>
      <c r="AA990" s="312"/>
      <c r="AB990" s="13"/>
      <c r="AC990" s="313"/>
      <c r="AD990" s="313"/>
      <c r="AE990" s="313"/>
      <c r="AF990" s="331"/>
      <c r="AG990" s="320"/>
      <c r="AH990" s="13"/>
      <c r="AI990" s="13"/>
      <c r="AJ990" s="13"/>
      <c r="AK990" s="13"/>
      <c r="AL990" s="13"/>
      <c r="AM990" s="13"/>
      <c r="AN990" s="13"/>
      <c r="AO990" s="13"/>
      <c r="AP990" s="13"/>
    </row>
    <row r="991" ht="18.75" customHeight="1">
      <c r="A991" s="13"/>
      <c r="B991" s="282"/>
      <c r="C991" s="330"/>
      <c r="D991" s="330"/>
      <c r="E991" s="330"/>
      <c r="F991" s="13"/>
      <c r="G991" s="309"/>
      <c r="H991" s="309"/>
      <c r="I991" s="309"/>
      <c r="J991" s="310"/>
      <c r="K991" s="310"/>
      <c r="L991" s="310"/>
      <c r="M991" s="310"/>
      <c r="N991" s="310"/>
      <c r="O991" s="311"/>
      <c r="P991" s="310"/>
      <c r="Q991" s="311"/>
      <c r="R991" s="310"/>
      <c r="S991" s="13"/>
      <c r="T991" s="13"/>
      <c r="U991" s="13"/>
      <c r="V991" s="13"/>
      <c r="W991" s="13"/>
      <c r="X991" s="310"/>
      <c r="Y991" s="311"/>
      <c r="Z991" s="310"/>
      <c r="AA991" s="312"/>
      <c r="AB991" s="13"/>
      <c r="AC991" s="313"/>
      <c r="AD991" s="313"/>
      <c r="AE991" s="313"/>
      <c r="AF991" s="331"/>
      <c r="AG991" s="320"/>
      <c r="AH991" s="13"/>
      <c r="AI991" s="13"/>
      <c r="AJ991" s="13"/>
      <c r="AK991" s="13"/>
      <c r="AL991" s="13"/>
      <c r="AM991" s="13"/>
      <c r="AN991" s="13"/>
      <c r="AO991" s="13"/>
      <c r="AP991" s="13"/>
    </row>
    <row r="992" ht="18.75" customHeight="1">
      <c r="A992" s="13"/>
      <c r="B992" s="282"/>
      <c r="C992" s="330"/>
      <c r="D992" s="330"/>
      <c r="E992" s="330"/>
      <c r="F992" s="13"/>
      <c r="G992" s="309"/>
      <c r="H992" s="309"/>
      <c r="I992" s="309"/>
      <c r="J992" s="310"/>
      <c r="K992" s="310"/>
      <c r="L992" s="310"/>
      <c r="M992" s="310"/>
      <c r="N992" s="310"/>
      <c r="O992" s="311"/>
      <c r="P992" s="310"/>
      <c r="Q992" s="311"/>
      <c r="R992" s="310"/>
      <c r="S992" s="13"/>
      <c r="T992" s="13"/>
      <c r="U992" s="13"/>
      <c r="V992" s="13"/>
      <c r="W992" s="13"/>
      <c r="X992" s="310"/>
      <c r="Y992" s="311"/>
      <c r="Z992" s="310"/>
      <c r="AA992" s="312"/>
      <c r="AB992" s="13"/>
      <c r="AC992" s="313"/>
      <c r="AD992" s="313"/>
      <c r="AE992" s="313"/>
      <c r="AF992" s="331"/>
      <c r="AG992" s="320"/>
      <c r="AH992" s="13"/>
      <c r="AI992" s="13"/>
      <c r="AJ992" s="13"/>
      <c r="AK992" s="13"/>
      <c r="AL992" s="13"/>
      <c r="AM992" s="13"/>
      <c r="AN992" s="13"/>
      <c r="AO992" s="13"/>
      <c r="AP992" s="13"/>
    </row>
    <row r="993" ht="18.75" customHeight="1">
      <c r="A993" s="13"/>
      <c r="B993" s="282"/>
      <c r="C993" s="330"/>
      <c r="D993" s="330"/>
      <c r="E993" s="330"/>
      <c r="F993" s="13"/>
      <c r="G993" s="309"/>
      <c r="H993" s="309"/>
      <c r="I993" s="309"/>
      <c r="J993" s="310"/>
      <c r="K993" s="310"/>
      <c r="L993" s="310"/>
      <c r="M993" s="310"/>
      <c r="N993" s="310"/>
      <c r="O993" s="311"/>
      <c r="P993" s="310"/>
      <c r="Q993" s="311"/>
      <c r="R993" s="310"/>
      <c r="S993" s="13"/>
      <c r="T993" s="13"/>
      <c r="U993" s="13"/>
      <c r="V993" s="13"/>
      <c r="W993" s="13"/>
      <c r="X993" s="310"/>
      <c r="Y993" s="311"/>
      <c r="Z993" s="310"/>
      <c r="AA993" s="312"/>
      <c r="AB993" s="13"/>
      <c r="AC993" s="313"/>
      <c r="AD993" s="313"/>
      <c r="AE993" s="313"/>
      <c r="AF993" s="331"/>
      <c r="AG993" s="320"/>
      <c r="AH993" s="13"/>
      <c r="AI993" s="13"/>
      <c r="AJ993" s="13"/>
      <c r="AK993" s="13"/>
      <c r="AL993" s="13"/>
      <c r="AM993" s="13"/>
      <c r="AN993" s="13"/>
      <c r="AO993" s="13"/>
      <c r="AP993" s="13"/>
    </row>
    <row r="994" ht="18.75" customHeight="1">
      <c r="A994" s="13"/>
      <c r="B994" s="282"/>
      <c r="C994" s="330"/>
      <c r="D994" s="330"/>
      <c r="E994" s="330"/>
      <c r="F994" s="13"/>
      <c r="G994" s="309"/>
      <c r="H994" s="309"/>
      <c r="I994" s="309"/>
      <c r="J994" s="310"/>
      <c r="K994" s="310"/>
      <c r="L994" s="310"/>
      <c r="M994" s="310"/>
      <c r="N994" s="310"/>
      <c r="O994" s="311"/>
      <c r="P994" s="310"/>
      <c r="Q994" s="311"/>
      <c r="R994" s="310"/>
      <c r="S994" s="13"/>
      <c r="T994" s="13"/>
      <c r="U994" s="13"/>
      <c r="V994" s="13"/>
      <c r="W994" s="13"/>
      <c r="X994" s="310"/>
      <c r="Y994" s="311"/>
      <c r="Z994" s="310"/>
      <c r="AA994" s="312"/>
      <c r="AB994" s="13"/>
      <c r="AC994" s="313"/>
      <c r="AD994" s="313"/>
      <c r="AE994" s="313"/>
      <c r="AF994" s="331"/>
      <c r="AG994" s="320"/>
      <c r="AH994" s="13"/>
      <c r="AI994" s="13"/>
      <c r="AJ994" s="13"/>
      <c r="AK994" s="13"/>
      <c r="AL994" s="13"/>
      <c r="AM994" s="13"/>
      <c r="AN994" s="13"/>
      <c r="AO994" s="13"/>
      <c r="AP994" s="13"/>
    </row>
    <row r="995" ht="18.75" customHeight="1">
      <c r="A995" s="13"/>
      <c r="B995" s="282"/>
      <c r="C995" s="330"/>
      <c r="D995" s="330"/>
      <c r="E995" s="330"/>
      <c r="F995" s="13"/>
      <c r="G995" s="309"/>
      <c r="H995" s="309"/>
      <c r="I995" s="309"/>
      <c r="J995" s="310"/>
      <c r="K995" s="310"/>
      <c r="L995" s="310"/>
      <c r="M995" s="310"/>
      <c r="N995" s="310"/>
      <c r="O995" s="311"/>
      <c r="P995" s="310"/>
      <c r="Q995" s="311"/>
      <c r="R995" s="310"/>
      <c r="S995" s="13"/>
      <c r="T995" s="13"/>
      <c r="U995" s="13"/>
      <c r="V995" s="13"/>
      <c r="W995" s="13"/>
      <c r="X995" s="310"/>
      <c r="Y995" s="311"/>
      <c r="Z995" s="310"/>
      <c r="AA995" s="312"/>
      <c r="AB995" s="13"/>
      <c r="AC995" s="313"/>
      <c r="AD995" s="313"/>
      <c r="AE995" s="313"/>
      <c r="AF995" s="331"/>
      <c r="AG995" s="320"/>
      <c r="AH995" s="13"/>
      <c r="AI995" s="13"/>
      <c r="AJ995" s="13"/>
      <c r="AK995" s="13"/>
      <c r="AL995" s="13"/>
      <c r="AM995" s="13"/>
      <c r="AN995" s="13"/>
      <c r="AO995" s="13"/>
      <c r="AP995" s="13"/>
    </row>
    <row r="996" ht="18.75" customHeight="1">
      <c r="A996" s="13"/>
      <c r="B996" s="282"/>
      <c r="C996" s="330"/>
      <c r="D996" s="330"/>
      <c r="E996" s="330"/>
      <c r="F996" s="13"/>
      <c r="G996" s="309"/>
      <c r="H996" s="309"/>
      <c r="I996" s="309"/>
      <c r="J996" s="310"/>
      <c r="K996" s="310"/>
      <c r="L996" s="310"/>
      <c r="M996" s="310"/>
      <c r="N996" s="310"/>
      <c r="O996" s="311"/>
      <c r="P996" s="310"/>
      <c r="Q996" s="311"/>
      <c r="R996" s="310"/>
      <c r="S996" s="13"/>
      <c r="T996" s="13"/>
      <c r="U996" s="13"/>
      <c r="V996" s="13"/>
      <c r="W996" s="13"/>
      <c r="X996" s="310"/>
      <c r="Y996" s="311"/>
      <c r="Z996" s="310"/>
      <c r="AA996" s="312"/>
      <c r="AB996" s="13"/>
      <c r="AC996" s="313"/>
      <c r="AD996" s="313"/>
      <c r="AE996" s="313"/>
      <c r="AF996" s="331"/>
      <c r="AG996" s="320"/>
      <c r="AH996" s="13"/>
      <c r="AI996" s="13"/>
      <c r="AJ996" s="13"/>
      <c r="AK996" s="13"/>
      <c r="AL996" s="13"/>
      <c r="AM996" s="13"/>
      <c r="AN996" s="13"/>
      <c r="AO996" s="13"/>
      <c r="AP996" s="13"/>
    </row>
    <row r="997" ht="18.75" customHeight="1">
      <c r="A997" s="13"/>
      <c r="B997" s="282"/>
      <c r="C997" s="330"/>
      <c r="D997" s="330"/>
      <c r="E997" s="330"/>
      <c r="F997" s="13"/>
      <c r="G997" s="309"/>
      <c r="H997" s="309"/>
      <c r="I997" s="309"/>
      <c r="J997" s="310"/>
      <c r="K997" s="310"/>
      <c r="L997" s="310"/>
      <c r="M997" s="310"/>
      <c r="N997" s="310"/>
      <c r="O997" s="311"/>
      <c r="P997" s="310"/>
      <c r="Q997" s="311"/>
      <c r="R997" s="310"/>
      <c r="S997" s="13"/>
      <c r="T997" s="13"/>
      <c r="U997" s="13"/>
      <c r="V997" s="13"/>
      <c r="W997" s="13"/>
      <c r="X997" s="310"/>
      <c r="Y997" s="311"/>
      <c r="Z997" s="310"/>
      <c r="AA997" s="312"/>
      <c r="AB997" s="13"/>
      <c r="AC997" s="313"/>
      <c r="AD997" s="313"/>
      <c r="AE997" s="313"/>
      <c r="AF997" s="331"/>
      <c r="AG997" s="320"/>
      <c r="AH997" s="13"/>
      <c r="AI997" s="13"/>
      <c r="AJ997" s="13"/>
      <c r="AK997" s="13"/>
      <c r="AL997" s="13"/>
      <c r="AM997" s="13"/>
      <c r="AN997" s="13"/>
      <c r="AO997" s="13"/>
      <c r="AP997" s="13"/>
    </row>
    <row r="998" ht="18.75" customHeight="1">
      <c r="A998" s="13"/>
      <c r="B998" s="282"/>
      <c r="C998" s="330"/>
      <c r="D998" s="330"/>
      <c r="E998" s="330"/>
      <c r="F998" s="13"/>
      <c r="G998" s="309"/>
      <c r="H998" s="309"/>
      <c r="I998" s="309"/>
      <c r="J998" s="310"/>
      <c r="K998" s="310"/>
      <c r="L998" s="310"/>
      <c r="M998" s="310"/>
      <c r="N998" s="310"/>
      <c r="O998" s="311"/>
      <c r="P998" s="310"/>
      <c r="Q998" s="311"/>
      <c r="R998" s="310"/>
      <c r="S998" s="13"/>
      <c r="T998" s="13"/>
      <c r="U998" s="13"/>
      <c r="V998" s="13"/>
      <c r="W998" s="13"/>
      <c r="X998" s="310"/>
      <c r="Y998" s="311"/>
      <c r="Z998" s="310"/>
      <c r="AA998" s="312"/>
      <c r="AB998" s="13"/>
      <c r="AC998" s="313"/>
      <c r="AD998" s="313"/>
      <c r="AE998" s="313"/>
      <c r="AF998" s="331"/>
      <c r="AG998" s="320"/>
      <c r="AH998" s="13"/>
      <c r="AI998" s="13"/>
      <c r="AJ998" s="13"/>
      <c r="AK998" s="13"/>
      <c r="AL998" s="13"/>
      <c r="AM998" s="13"/>
      <c r="AN998" s="13"/>
      <c r="AO998" s="13"/>
      <c r="AP998" s="13"/>
    </row>
    <row r="999" ht="18.75" customHeight="1">
      <c r="A999" s="13"/>
      <c r="B999" s="282"/>
      <c r="C999" s="330"/>
      <c r="D999" s="330"/>
      <c r="E999" s="330"/>
      <c r="F999" s="13"/>
      <c r="G999" s="309"/>
      <c r="H999" s="309"/>
      <c r="I999" s="309"/>
      <c r="J999" s="310"/>
      <c r="K999" s="310"/>
      <c r="L999" s="310"/>
      <c r="M999" s="310"/>
      <c r="N999" s="310"/>
      <c r="O999" s="311"/>
      <c r="P999" s="310"/>
      <c r="Q999" s="311"/>
      <c r="R999" s="310"/>
      <c r="S999" s="13"/>
      <c r="T999" s="13"/>
      <c r="U999" s="13"/>
      <c r="V999" s="13"/>
      <c r="W999" s="13"/>
      <c r="X999" s="310"/>
      <c r="Y999" s="311"/>
      <c r="Z999" s="310"/>
      <c r="AA999" s="312"/>
      <c r="AB999" s="13"/>
      <c r="AC999" s="313"/>
      <c r="AD999" s="313"/>
      <c r="AE999" s="313"/>
      <c r="AF999" s="331"/>
      <c r="AG999" s="320"/>
      <c r="AH999" s="13"/>
      <c r="AI999" s="13"/>
      <c r="AJ999" s="13"/>
      <c r="AK999" s="13"/>
      <c r="AL999" s="13"/>
      <c r="AM999" s="13"/>
      <c r="AN999" s="13"/>
      <c r="AO999" s="13"/>
      <c r="AP999" s="13"/>
    </row>
    <row r="1000" ht="18.75" customHeight="1">
      <c r="A1000" s="13"/>
      <c r="B1000" s="282"/>
      <c r="C1000" s="330"/>
      <c r="D1000" s="330"/>
      <c r="E1000" s="330"/>
      <c r="F1000" s="13"/>
      <c r="G1000" s="309"/>
      <c r="H1000" s="309"/>
      <c r="I1000" s="309"/>
      <c r="J1000" s="310"/>
      <c r="K1000" s="310"/>
      <c r="L1000" s="310"/>
      <c r="M1000" s="310"/>
      <c r="N1000" s="310"/>
      <c r="O1000" s="311"/>
      <c r="P1000" s="310"/>
      <c r="Q1000" s="311"/>
      <c r="R1000" s="310"/>
      <c r="S1000" s="13"/>
      <c r="T1000" s="13"/>
      <c r="U1000" s="13"/>
      <c r="V1000" s="13"/>
      <c r="W1000" s="13"/>
      <c r="X1000" s="310"/>
      <c r="Y1000" s="311"/>
      <c r="Z1000" s="310"/>
      <c r="AA1000" s="312"/>
      <c r="AB1000" s="13"/>
      <c r="AC1000" s="313"/>
      <c r="AD1000" s="313"/>
      <c r="AE1000" s="313"/>
      <c r="AF1000" s="331"/>
      <c r="AG1000" s="320"/>
      <c r="AH1000" s="13"/>
      <c r="AI1000" s="13"/>
      <c r="AJ1000" s="13"/>
      <c r="AK1000" s="13"/>
      <c r="AL1000" s="13"/>
      <c r="AM1000" s="13"/>
      <c r="AN1000" s="13"/>
      <c r="AO1000" s="13"/>
      <c r="AP1000" s="13"/>
    </row>
    <row r="1001" ht="18.75" customHeight="1">
      <c r="A1001" s="13"/>
      <c r="B1001" s="282"/>
      <c r="C1001" s="330"/>
      <c r="D1001" s="330"/>
      <c r="E1001" s="330"/>
      <c r="F1001" s="13"/>
      <c r="G1001" s="309"/>
      <c r="H1001" s="309"/>
      <c r="I1001" s="309"/>
      <c r="J1001" s="310"/>
      <c r="K1001" s="310"/>
      <c r="L1001" s="310"/>
      <c r="M1001" s="310"/>
      <c r="N1001" s="310"/>
      <c r="O1001" s="311"/>
      <c r="P1001" s="310"/>
      <c r="Q1001" s="311"/>
      <c r="R1001" s="310"/>
      <c r="S1001" s="13"/>
      <c r="T1001" s="13"/>
      <c r="U1001" s="13"/>
      <c r="V1001" s="13"/>
      <c r="W1001" s="13"/>
      <c r="X1001" s="310"/>
      <c r="Y1001" s="311"/>
      <c r="Z1001" s="310"/>
      <c r="AA1001" s="312"/>
      <c r="AB1001" s="13"/>
      <c r="AC1001" s="313"/>
      <c r="AD1001" s="313"/>
      <c r="AE1001" s="313"/>
      <c r="AF1001" s="331"/>
      <c r="AG1001" s="320"/>
      <c r="AH1001" s="13"/>
      <c r="AI1001" s="13"/>
      <c r="AJ1001" s="13"/>
      <c r="AK1001" s="13"/>
      <c r="AL1001" s="13"/>
      <c r="AM1001" s="13"/>
      <c r="AN1001" s="13"/>
      <c r="AO1001" s="13"/>
      <c r="AP1001" s="13"/>
    </row>
    <row r="1002" ht="18.75" customHeight="1">
      <c r="A1002" s="13"/>
      <c r="B1002" s="282"/>
      <c r="C1002" s="330"/>
      <c r="D1002" s="330"/>
      <c r="E1002" s="330"/>
      <c r="F1002" s="13"/>
      <c r="G1002" s="309"/>
      <c r="H1002" s="309"/>
      <c r="I1002" s="309"/>
      <c r="J1002" s="310"/>
      <c r="K1002" s="310"/>
      <c r="L1002" s="310"/>
      <c r="M1002" s="310"/>
      <c r="N1002" s="310"/>
      <c r="O1002" s="311"/>
      <c r="P1002" s="310"/>
      <c r="Q1002" s="311"/>
      <c r="R1002" s="310"/>
      <c r="S1002" s="13"/>
      <c r="T1002" s="13"/>
      <c r="U1002" s="13"/>
      <c r="V1002" s="13"/>
      <c r="W1002" s="13"/>
      <c r="X1002" s="310"/>
      <c r="Y1002" s="311"/>
      <c r="Z1002" s="310"/>
      <c r="AA1002" s="312"/>
      <c r="AB1002" s="13"/>
      <c r="AC1002" s="313"/>
      <c r="AD1002" s="313"/>
      <c r="AE1002" s="313"/>
      <c r="AF1002" s="331"/>
      <c r="AG1002" s="320"/>
      <c r="AH1002" s="13"/>
      <c r="AI1002" s="13"/>
      <c r="AJ1002" s="13"/>
      <c r="AK1002" s="13"/>
      <c r="AL1002" s="13"/>
      <c r="AM1002" s="13"/>
      <c r="AN1002" s="13"/>
      <c r="AO1002" s="13"/>
      <c r="AP1002" s="13"/>
    </row>
    <row r="1003" ht="18.75" customHeight="1">
      <c r="A1003" s="13"/>
      <c r="B1003" s="282"/>
      <c r="C1003" s="330"/>
      <c r="D1003" s="330"/>
      <c r="E1003" s="330"/>
      <c r="F1003" s="13"/>
      <c r="G1003" s="309"/>
      <c r="H1003" s="309"/>
      <c r="I1003" s="309"/>
      <c r="J1003" s="310"/>
      <c r="K1003" s="310"/>
      <c r="L1003" s="310"/>
      <c r="M1003" s="310"/>
      <c r="N1003" s="310"/>
      <c r="O1003" s="311"/>
      <c r="P1003" s="310"/>
      <c r="Q1003" s="311"/>
      <c r="R1003" s="310"/>
      <c r="S1003" s="13"/>
      <c r="T1003" s="13"/>
      <c r="U1003" s="13"/>
      <c r="V1003" s="13"/>
      <c r="W1003" s="13"/>
      <c r="X1003" s="310"/>
      <c r="Y1003" s="311"/>
      <c r="Z1003" s="310"/>
      <c r="AA1003" s="312"/>
      <c r="AB1003" s="13"/>
      <c r="AC1003" s="313"/>
      <c r="AD1003" s="313"/>
      <c r="AE1003" s="313"/>
      <c r="AF1003" s="331"/>
      <c r="AG1003" s="320"/>
      <c r="AH1003" s="13"/>
      <c r="AI1003" s="13"/>
      <c r="AJ1003" s="13"/>
      <c r="AK1003" s="13"/>
      <c r="AL1003" s="13"/>
      <c r="AM1003" s="13"/>
      <c r="AN1003" s="13"/>
      <c r="AO1003" s="13"/>
      <c r="AP1003" s="13"/>
    </row>
    <row r="1004" ht="18.75" customHeight="1">
      <c r="A1004" s="13"/>
      <c r="B1004" s="282"/>
      <c r="C1004" s="330"/>
      <c r="D1004" s="330"/>
      <c r="E1004" s="330"/>
      <c r="F1004" s="13"/>
      <c r="G1004" s="309"/>
      <c r="H1004" s="309"/>
      <c r="I1004" s="309"/>
      <c r="J1004" s="310"/>
      <c r="K1004" s="310"/>
      <c r="L1004" s="310"/>
      <c r="M1004" s="310"/>
      <c r="N1004" s="310"/>
      <c r="O1004" s="311"/>
      <c r="P1004" s="310"/>
      <c r="Q1004" s="311"/>
      <c r="R1004" s="310"/>
      <c r="S1004" s="13"/>
      <c r="T1004" s="13"/>
      <c r="U1004" s="13"/>
      <c r="V1004" s="13"/>
      <c r="W1004" s="13"/>
      <c r="X1004" s="310"/>
      <c r="Y1004" s="311"/>
      <c r="Z1004" s="310"/>
      <c r="AA1004" s="312"/>
      <c r="AB1004" s="13"/>
      <c r="AC1004" s="313"/>
      <c r="AD1004" s="313"/>
      <c r="AE1004" s="313"/>
      <c r="AF1004" s="331"/>
      <c r="AG1004" s="320"/>
      <c r="AH1004" s="13"/>
      <c r="AI1004" s="13"/>
      <c r="AJ1004" s="13"/>
      <c r="AK1004" s="13"/>
      <c r="AL1004" s="13"/>
      <c r="AM1004" s="13"/>
      <c r="AN1004" s="13"/>
      <c r="AO1004" s="13"/>
      <c r="AP1004" s="13"/>
    </row>
    <row r="1005" ht="18.75" customHeight="1">
      <c r="A1005" s="13"/>
      <c r="B1005" s="282"/>
      <c r="C1005" s="330"/>
      <c r="D1005" s="330"/>
      <c r="E1005" s="330"/>
      <c r="F1005" s="13"/>
      <c r="G1005" s="309"/>
      <c r="H1005" s="309"/>
      <c r="I1005" s="309"/>
      <c r="J1005" s="310"/>
      <c r="K1005" s="310"/>
      <c r="L1005" s="310"/>
      <c r="M1005" s="310"/>
      <c r="N1005" s="310"/>
      <c r="O1005" s="311"/>
      <c r="P1005" s="310"/>
      <c r="Q1005" s="311"/>
      <c r="R1005" s="310"/>
      <c r="S1005" s="13"/>
      <c r="T1005" s="13"/>
      <c r="U1005" s="13"/>
      <c r="V1005" s="13"/>
      <c r="W1005" s="13"/>
      <c r="X1005" s="310"/>
      <c r="Y1005" s="311"/>
      <c r="Z1005" s="310"/>
      <c r="AA1005" s="312"/>
      <c r="AB1005" s="13"/>
      <c r="AC1005" s="313"/>
      <c r="AD1005" s="313"/>
      <c r="AE1005" s="313"/>
      <c r="AF1005" s="331"/>
      <c r="AG1005" s="320"/>
      <c r="AH1005" s="13"/>
      <c r="AI1005" s="13"/>
      <c r="AJ1005" s="13"/>
      <c r="AK1005" s="13"/>
      <c r="AL1005" s="13"/>
      <c r="AM1005" s="13"/>
      <c r="AN1005" s="13"/>
      <c r="AO1005" s="13"/>
      <c r="AP1005" s="13"/>
    </row>
    <row r="1006" ht="18.75" customHeight="1">
      <c r="A1006" s="13"/>
      <c r="B1006" s="282"/>
      <c r="C1006" s="330"/>
      <c r="D1006" s="330"/>
      <c r="E1006" s="330"/>
      <c r="F1006" s="13"/>
      <c r="G1006" s="309"/>
      <c r="H1006" s="309"/>
      <c r="I1006" s="309"/>
      <c r="J1006" s="310"/>
      <c r="K1006" s="310"/>
      <c r="L1006" s="310"/>
      <c r="M1006" s="310"/>
      <c r="N1006" s="310"/>
      <c r="O1006" s="311"/>
      <c r="P1006" s="310"/>
      <c r="Q1006" s="311"/>
      <c r="R1006" s="310"/>
      <c r="S1006" s="13"/>
      <c r="T1006" s="13"/>
      <c r="U1006" s="13"/>
      <c r="V1006" s="13"/>
      <c r="W1006" s="13"/>
      <c r="X1006" s="310"/>
      <c r="Y1006" s="311"/>
      <c r="Z1006" s="310"/>
      <c r="AA1006" s="312"/>
      <c r="AB1006" s="13"/>
      <c r="AC1006" s="313"/>
      <c r="AD1006" s="313"/>
      <c r="AE1006" s="313"/>
      <c r="AF1006" s="331"/>
      <c r="AG1006" s="320"/>
      <c r="AH1006" s="13"/>
      <c r="AI1006" s="13"/>
      <c r="AJ1006" s="13"/>
      <c r="AK1006" s="13"/>
      <c r="AL1006" s="13"/>
      <c r="AM1006" s="13"/>
      <c r="AN1006" s="13"/>
      <c r="AO1006" s="13"/>
      <c r="AP1006" s="13"/>
    </row>
    <row r="1007" ht="18.75" customHeight="1">
      <c r="A1007" s="13"/>
      <c r="B1007" s="282"/>
      <c r="C1007" s="330"/>
      <c r="D1007" s="330"/>
      <c r="E1007" s="330"/>
      <c r="F1007" s="13"/>
      <c r="G1007" s="309"/>
      <c r="H1007" s="309"/>
      <c r="I1007" s="309"/>
      <c r="J1007" s="310"/>
      <c r="K1007" s="310"/>
      <c r="L1007" s="310"/>
      <c r="M1007" s="310"/>
      <c r="N1007" s="310"/>
      <c r="O1007" s="311"/>
      <c r="P1007" s="310"/>
      <c r="Q1007" s="311"/>
      <c r="R1007" s="310"/>
      <c r="S1007" s="13"/>
      <c r="T1007" s="13"/>
      <c r="U1007" s="13"/>
      <c r="V1007" s="13"/>
      <c r="W1007" s="13"/>
      <c r="X1007" s="310"/>
      <c r="Y1007" s="311"/>
      <c r="Z1007" s="310"/>
      <c r="AA1007" s="312"/>
      <c r="AB1007" s="13"/>
      <c r="AC1007" s="313"/>
      <c r="AD1007" s="313"/>
      <c r="AE1007" s="313"/>
      <c r="AF1007" s="331"/>
      <c r="AG1007" s="320"/>
      <c r="AH1007" s="13"/>
      <c r="AI1007" s="13"/>
      <c r="AJ1007" s="13"/>
      <c r="AK1007" s="13"/>
      <c r="AL1007" s="13"/>
      <c r="AM1007" s="13"/>
      <c r="AN1007" s="13"/>
      <c r="AO1007" s="13"/>
      <c r="AP1007" s="13"/>
    </row>
    <row r="1008" ht="18.75" customHeight="1">
      <c r="A1008" s="13"/>
      <c r="B1008" s="282"/>
      <c r="C1008" s="330"/>
      <c r="D1008" s="330"/>
      <c r="E1008" s="330"/>
      <c r="F1008" s="13"/>
      <c r="G1008" s="309"/>
      <c r="H1008" s="309"/>
      <c r="I1008" s="309"/>
      <c r="J1008" s="310"/>
      <c r="K1008" s="310"/>
      <c r="L1008" s="310"/>
      <c r="M1008" s="310"/>
      <c r="N1008" s="310"/>
      <c r="O1008" s="311"/>
      <c r="P1008" s="310"/>
      <c r="Q1008" s="311"/>
      <c r="R1008" s="310"/>
      <c r="S1008" s="13"/>
      <c r="T1008" s="13"/>
      <c r="U1008" s="13"/>
      <c r="V1008" s="13"/>
      <c r="W1008" s="13"/>
      <c r="X1008" s="310"/>
      <c r="Y1008" s="311"/>
      <c r="Z1008" s="310"/>
      <c r="AA1008" s="312"/>
      <c r="AB1008" s="13"/>
      <c r="AC1008" s="313"/>
      <c r="AD1008" s="313"/>
      <c r="AE1008" s="313"/>
      <c r="AF1008" s="331"/>
      <c r="AG1008" s="320"/>
      <c r="AH1008" s="13"/>
      <c r="AI1008" s="13"/>
      <c r="AJ1008" s="13"/>
      <c r="AK1008" s="13"/>
      <c r="AL1008" s="13"/>
      <c r="AM1008" s="13"/>
      <c r="AN1008" s="13"/>
      <c r="AO1008" s="13"/>
      <c r="AP1008" s="13"/>
    </row>
    <row r="1009" ht="18.75" customHeight="1">
      <c r="A1009" s="13"/>
      <c r="B1009" s="282"/>
      <c r="C1009" s="330"/>
      <c r="D1009" s="330"/>
      <c r="E1009" s="330"/>
      <c r="F1009" s="13"/>
      <c r="G1009" s="309"/>
      <c r="H1009" s="309"/>
      <c r="I1009" s="309"/>
      <c r="J1009" s="310"/>
      <c r="K1009" s="310"/>
      <c r="L1009" s="310"/>
      <c r="M1009" s="310"/>
      <c r="N1009" s="310"/>
      <c r="O1009" s="311"/>
      <c r="P1009" s="310"/>
      <c r="Q1009" s="311"/>
      <c r="R1009" s="310"/>
      <c r="S1009" s="13"/>
      <c r="T1009" s="13"/>
      <c r="U1009" s="13"/>
      <c r="V1009" s="13"/>
      <c r="W1009" s="13"/>
      <c r="X1009" s="310"/>
      <c r="Y1009" s="311"/>
      <c r="Z1009" s="310"/>
      <c r="AA1009" s="312"/>
      <c r="AB1009" s="13"/>
      <c r="AC1009" s="313"/>
      <c r="AD1009" s="313"/>
      <c r="AE1009" s="313"/>
      <c r="AF1009" s="331"/>
      <c r="AG1009" s="320"/>
      <c r="AH1009" s="13"/>
      <c r="AI1009" s="13"/>
      <c r="AJ1009" s="13"/>
      <c r="AK1009" s="13"/>
      <c r="AL1009" s="13"/>
      <c r="AM1009" s="13"/>
      <c r="AN1009" s="13"/>
      <c r="AO1009" s="13"/>
      <c r="AP1009" s="13"/>
    </row>
    <row r="1010" ht="18.75" customHeight="1">
      <c r="A1010" s="13"/>
      <c r="B1010" s="282"/>
      <c r="C1010" s="330"/>
      <c r="D1010" s="330"/>
      <c r="E1010" s="330"/>
      <c r="F1010" s="13"/>
      <c r="G1010" s="309"/>
      <c r="H1010" s="309"/>
      <c r="I1010" s="309"/>
      <c r="J1010" s="310"/>
      <c r="K1010" s="310"/>
      <c r="L1010" s="310"/>
      <c r="M1010" s="310"/>
      <c r="N1010" s="310"/>
      <c r="O1010" s="311"/>
      <c r="P1010" s="310"/>
      <c r="Q1010" s="311"/>
      <c r="R1010" s="310"/>
      <c r="S1010" s="13"/>
      <c r="T1010" s="13"/>
      <c r="U1010" s="13"/>
      <c r="V1010" s="13"/>
      <c r="W1010" s="13"/>
      <c r="X1010" s="310"/>
      <c r="Y1010" s="311"/>
      <c r="Z1010" s="310"/>
      <c r="AA1010" s="312"/>
      <c r="AB1010" s="13"/>
      <c r="AC1010" s="313"/>
      <c r="AD1010" s="313"/>
      <c r="AE1010" s="313"/>
      <c r="AF1010" s="331"/>
      <c r="AG1010" s="320"/>
      <c r="AH1010" s="13"/>
      <c r="AI1010" s="13"/>
      <c r="AJ1010" s="13"/>
      <c r="AK1010" s="13"/>
      <c r="AL1010" s="13"/>
      <c r="AM1010" s="13"/>
      <c r="AN1010" s="13"/>
      <c r="AO1010" s="13"/>
      <c r="AP1010" s="13"/>
    </row>
    <row r="1011" ht="18.75" customHeight="1">
      <c r="A1011" s="13"/>
      <c r="B1011" s="282"/>
      <c r="C1011" s="330"/>
      <c r="D1011" s="330"/>
      <c r="E1011" s="330"/>
      <c r="F1011" s="13"/>
      <c r="G1011" s="309"/>
      <c r="H1011" s="309"/>
      <c r="I1011" s="309"/>
      <c r="J1011" s="310"/>
      <c r="K1011" s="310"/>
      <c r="L1011" s="310"/>
      <c r="M1011" s="310"/>
      <c r="N1011" s="310"/>
      <c r="O1011" s="311"/>
      <c r="P1011" s="310"/>
      <c r="Q1011" s="311"/>
      <c r="R1011" s="310"/>
      <c r="S1011" s="13"/>
      <c r="T1011" s="13"/>
      <c r="U1011" s="13"/>
      <c r="V1011" s="13"/>
      <c r="W1011" s="13"/>
      <c r="X1011" s="310"/>
      <c r="Y1011" s="311"/>
      <c r="Z1011" s="310"/>
      <c r="AA1011" s="312"/>
      <c r="AB1011" s="13"/>
      <c r="AC1011" s="313"/>
      <c r="AD1011" s="313"/>
      <c r="AE1011" s="313"/>
      <c r="AF1011" s="331"/>
      <c r="AG1011" s="320"/>
      <c r="AH1011" s="13"/>
      <c r="AI1011" s="13"/>
      <c r="AJ1011" s="13"/>
      <c r="AK1011" s="13"/>
      <c r="AL1011" s="13"/>
      <c r="AM1011" s="13"/>
      <c r="AN1011" s="13"/>
      <c r="AO1011" s="13"/>
      <c r="AP1011" s="13"/>
    </row>
    <row r="1012" ht="18.75" customHeight="1">
      <c r="A1012" s="13"/>
      <c r="B1012" s="282"/>
      <c r="C1012" s="330"/>
      <c r="D1012" s="330"/>
      <c r="E1012" s="330"/>
      <c r="F1012" s="13"/>
      <c r="G1012" s="309"/>
      <c r="H1012" s="309"/>
      <c r="I1012" s="309"/>
      <c r="J1012" s="310"/>
      <c r="K1012" s="310"/>
      <c r="L1012" s="310"/>
      <c r="M1012" s="310"/>
      <c r="N1012" s="310"/>
      <c r="O1012" s="311"/>
      <c r="P1012" s="310"/>
      <c r="Q1012" s="311"/>
      <c r="R1012" s="310"/>
      <c r="S1012" s="13"/>
      <c r="T1012" s="13"/>
      <c r="U1012" s="13"/>
      <c r="V1012" s="13"/>
      <c r="W1012" s="13"/>
      <c r="X1012" s="310"/>
      <c r="Y1012" s="311"/>
      <c r="Z1012" s="310"/>
      <c r="AA1012" s="312"/>
      <c r="AB1012" s="13"/>
      <c r="AC1012" s="313"/>
      <c r="AD1012" s="313"/>
      <c r="AE1012" s="313"/>
      <c r="AF1012" s="331"/>
      <c r="AG1012" s="320"/>
      <c r="AH1012" s="13"/>
      <c r="AI1012" s="13"/>
      <c r="AJ1012" s="13"/>
      <c r="AK1012" s="13"/>
      <c r="AL1012" s="13"/>
      <c r="AM1012" s="13"/>
      <c r="AN1012" s="13"/>
      <c r="AO1012" s="13"/>
      <c r="AP1012" s="13"/>
    </row>
    <row r="1013" ht="18.75" customHeight="1">
      <c r="A1013" s="13"/>
      <c r="B1013" s="282"/>
      <c r="C1013" s="330"/>
      <c r="D1013" s="330"/>
      <c r="E1013" s="330"/>
      <c r="F1013" s="13"/>
      <c r="G1013" s="309"/>
      <c r="H1013" s="309"/>
      <c r="I1013" s="309"/>
      <c r="J1013" s="310"/>
      <c r="K1013" s="310"/>
      <c r="L1013" s="310"/>
      <c r="M1013" s="310"/>
      <c r="N1013" s="310"/>
      <c r="O1013" s="311"/>
      <c r="P1013" s="310"/>
      <c r="Q1013" s="311"/>
      <c r="R1013" s="310"/>
      <c r="S1013" s="13"/>
      <c r="T1013" s="13"/>
      <c r="U1013" s="13"/>
      <c r="V1013" s="13"/>
      <c r="W1013" s="13"/>
      <c r="X1013" s="310"/>
      <c r="Y1013" s="311"/>
      <c r="Z1013" s="310"/>
      <c r="AA1013" s="312"/>
      <c r="AB1013" s="13"/>
      <c r="AC1013" s="313"/>
      <c r="AD1013" s="313"/>
      <c r="AE1013" s="313"/>
      <c r="AF1013" s="331"/>
      <c r="AG1013" s="320"/>
      <c r="AH1013" s="13"/>
      <c r="AI1013" s="13"/>
      <c r="AJ1013" s="13"/>
      <c r="AK1013" s="13"/>
      <c r="AL1013" s="13"/>
      <c r="AM1013" s="13"/>
      <c r="AN1013" s="13"/>
      <c r="AO1013" s="13"/>
      <c r="AP1013" s="13"/>
    </row>
    <row r="1014" ht="18.75" customHeight="1">
      <c r="A1014" s="13"/>
      <c r="B1014" s="282"/>
      <c r="C1014" s="330"/>
      <c r="D1014" s="330"/>
      <c r="E1014" s="330"/>
      <c r="F1014" s="13"/>
      <c r="G1014" s="309"/>
      <c r="H1014" s="309"/>
      <c r="I1014" s="309"/>
      <c r="J1014" s="310"/>
      <c r="K1014" s="310"/>
      <c r="L1014" s="310"/>
      <c r="M1014" s="310"/>
      <c r="N1014" s="310"/>
      <c r="O1014" s="311"/>
      <c r="P1014" s="310"/>
      <c r="Q1014" s="311"/>
      <c r="R1014" s="310"/>
      <c r="S1014" s="13"/>
      <c r="T1014" s="13"/>
      <c r="U1014" s="13"/>
      <c r="V1014" s="13"/>
      <c r="W1014" s="13"/>
      <c r="X1014" s="310"/>
      <c r="Y1014" s="311"/>
      <c r="Z1014" s="310"/>
      <c r="AA1014" s="312"/>
      <c r="AB1014" s="13"/>
      <c r="AC1014" s="313"/>
      <c r="AD1014" s="313"/>
      <c r="AE1014" s="313"/>
      <c r="AF1014" s="331"/>
      <c r="AG1014" s="320"/>
      <c r="AH1014" s="13"/>
      <c r="AI1014" s="13"/>
      <c r="AJ1014" s="13"/>
      <c r="AK1014" s="13"/>
      <c r="AL1014" s="13"/>
      <c r="AM1014" s="13"/>
      <c r="AN1014" s="13"/>
      <c r="AO1014" s="13"/>
      <c r="AP1014" s="13"/>
    </row>
    <row r="1015" ht="18.75" customHeight="1">
      <c r="A1015" s="13"/>
      <c r="B1015" s="282"/>
      <c r="C1015" s="330"/>
      <c r="D1015" s="330"/>
      <c r="E1015" s="330"/>
      <c r="F1015" s="13"/>
      <c r="G1015" s="309"/>
      <c r="H1015" s="309"/>
      <c r="I1015" s="309"/>
      <c r="J1015" s="310"/>
      <c r="K1015" s="310"/>
      <c r="L1015" s="310"/>
      <c r="M1015" s="310"/>
      <c r="N1015" s="310"/>
      <c r="O1015" s="311"/>
      <c r="P1015" s="310"/>
      <c r="Q1015" s="311"/>
      <c r="R1015" s="310"/>
      <c r="S1015" s="13"/>
      <c r="T1015" s="13"/>
      <c r="U1015" s="13"/>
      <c r="V1015" s="13"/>
      <c r="W1015" s="13"/>
      <c r="X1015" s="310"/>
      <c r="Y1015" s="311"/>
      <c r="Z1015" s="310"/>
      <c r="AA1015" s="312"/>
      <c r="AB1015" s="13"/>
      <c r="AC1015" s="313"/>
      <c r="AD1015" s="313"/>
      <c r="AE1015" s="313"/>
      <c r="AF1015" s="331"/>
      <c r="AG1015" s="320"/>
      <c r="AH1015" s="13"/>
      <c r="AI1015" s="13"/>
      <c r="AJ1015" s="13"/>
      <c r="AK1015" s="13"/>
      <c r="AL1015" s="13"/>
      <c r="AM1015" s="13"/>
      <c r="AN1015" s="13"/>
      <c r="AO1015" s="13"/>
      <c r="AP1015" s="13"/>
    </row>
    <row r="1016" ht="18.75" customHeight="1">
      <c r="A1016" s="13"/>
      <c r="B1016" s="282"/>
      <c r="C1016" s="330"/>
      <c r="D1016" s="330"/>
      <c r="E1016" s="330"/>
      <c r="F1016" s="13"/>
      <c r="G1016" s="309"/>
      <c r="H1016" s="309"/>
      <c r="I1016" s="309"/>
      <c r="J1016" s="310"/>
      <c r="K1016" s="310"/>
      <c r="L1016" s="310"/>
      <c r="M1016" s="310"/>
      <c r="N1016" s="310"/>
      <c r="O1016" s="311"/>
      <c r="P1016" s="310"/>
      <c r="Q1016" s="311"/>
      <c r="R1016" s="310"/>
      <c r="S1016" s="13"/>
      <c r="T1016" s="13"/>
      <c r="U1016" s="13"/>
      <c r="V1016" s="13"/>
      <c r="W1016" s="13"/>
      <c r="X1016" s="310"/>
      <c r="Y1016" s="311"/>
      <c r="Z1016" s="310"/>
      <c r="AA1016" s="312"/>
      <c r="AB1016" s="13"/>
      <c r="AC1016" s="313"/>
      <c r="AD1016" s="313"/>
      <c r="AE1016" s="313"/>
      <c r="AF1016" s="331"/>
      <c r="AG1016" s="320"/>
      <c r="AH1016" s="13"/>
      <c r="AI1016" s="13"/>
      <c r="AJ1016" s="13"/>
      <c r="AK1016" s="13"/>
      <c r="AL1016" s="13"/>
      <c r="AM1016" s="13"/>
      <c r="AN1016" s="13"/>
      <c r="AO1016" s="13"/>
      <c r="AP1016" s="13"/>
    </row>
    <row r="1017" ht="18.75" customHeight="1">
      <c r="A1017" s="13"/>
      <c r="B1017" s="282"/>
      <c r="C1017" s="330"/>
      <c r="D1017" s="330"/>
      <c r="E1017" s="330"/>
      <c r="F1017" s="13"/>
      <c r="G1017" s="309"/>
      <c r="H1017" s="309"/>
      <c r="I1017" s="309"/>
      <c r="J1017" s="310"/>
      <c r="K1017" s="310"/>
      <c r="L1017" s="310"/>
      <c r="M1017" s="310"/>
      <c r="N1017" s="310"/>
      <c r="O1017" s="311"/>
      <c r="P1017" s="310"/>
      <c r="Q1017" s="311"/>
      <c r="R1017" s="310"/>
      <c r="S1017" s="13"/>
      <c r="T1017" s="13"/>
      <c r="U1017" s="13"/>
      <c r="V1017" s="13"/>
      <c r="W1017" s="13"/>
      <c r="X1017" s="310"/>
      <c r="Y1017" s="311"/>
      <c r="Z1017" s="310"/>
      <c r="AA1017" s="312"/>
      <c r="AB1017" s="13"/>
      <c r="AC1017" s="313"/>
      <c r="AD1017" s="313"/>
      <c r="AE1017" s="313"/>
      <c r="AF1017" s="331"/>
      <c r="AG1017" s="320"/>
      <c r="AH1017" s="13"/>
      <c r="AI1017" s="13"/>
      <c r="AJ1017" s="13"/>
      <c r="AK1017" s="13"/>
      <c r="AL1017" s="13"/>
      <c r="AM1017" s="13"/>
      <c r="AN1017" s="13"/>
      <c r="AO1017" s="13"/>
      <c r="AP1017" s="13"/>
    </row>
    <row r="1018" ht="18.75" customHeight="1">
      <c r="A1018" s="13"/>
      <c r="B1018" s="282"/>
      <c r="C1018" s="330"/>
      <c r="D1018" s="330"/>
      <c r="E1018" s="330"/>
      <c r="F1018" s="13"/>
      <c r="G1018" s="309"/>
      <c r="H1018" s="309"/>
      <c r="I1018" s="309"/>
      <c r="J1018" s="310"/>
      <c r="K1018" s="310"/>
      <c r="L1018" s="310"/>
      <c r="M1018" s="310"/>
      <c r="N1018" s="310"/>
      <c r="O1018" s="311"/>
      <c r="P1018" s="310"/>
      <c r="Q1018" s="311"/>
      <c r="R1018" s="310"/>
      <c r="S1018" s="13"/>
      <c r="T1018" s="13"/>
      <c r="U1018" s="13"/>
      <c r="V1018" s="13"/>
      <c r="W1018" s="13"/>
      <c r="X1018" s="310"/>
      <c r="Y1018" s="311"/>
      <c r="Z1018" s="310"/>
      <c r="AA1018" s="312"/>
      <c r="AB1018" s="13"/>
      <c r="AC1018" s="313"/>
      <c r="AD1018" s="313"/>
      <c r="AE1018" s="313"/>
      <c r="AF1018" s="331"/>
      <c r="AG1018" s="320"/>
      <c r="AH1018" s="13"/>
      <c r="AI1018" s="13"/>
      <c r="AJ1018" s="13"/>
      <c r="AK1018" s="13"/>
      <c r="AL1018" s="13"/>
      <c r="AM1018" s="13"/>
      <c r="AN1018" s="13"/>
      <c r="AO1018" s="13"/>
      <c r="AP1018" s="13"/>
    </row>
    <row r="1019" ht="18.75" customHeight="1">
      <c r="A1019" s="13"/>
      <c r="B1019" s="282"/>
      <c r="C1019" s="330"/>
      <c r="D1019" s="330"/>
      <c r="E1019" s="330"/>
      <c r="F1019" s="13"/>
      <c r="G1019" s="309"/>
      <c r="H1019" s="309"/>
      <c r="I1019" s="309"/>
      <c r="J1019" s="310"/>
      <c r="K1019" s="310"/>
      <c r="L1019" s="310"/>
      <c r="M1019" s="310"/>
      <c r="N1019" s="310"/>
      <c r="O1019" s="311"/>
      <c r="P1019" s="310"/>
      <c r="Q1019" s="311"/>
      <c r="R1019" s="310"/>
      <c r="S1019" s="13"/>
      <c r="T1019" s="13"/>
      <c r="U1019" s="13"/>
      <c r="V1019" s="13"/>
      <c r="W1019" s="13"/>
      <c r="X1019" s="310"/>
      <c r="Y1019" s="311"/>
      <c r="Z1019" s="310"/>
      <c r="AA1019" s="312"/>
      <c r="AB1019" s="13"/>
      <c r="AC1019" s="313"/>
      <c r="AD1019" s="313"/>
      <c r="AE1019" s="313"/>
      <c r="AF1019" s="331"/>
      <c r="AG1019" s="320"/>
      <c r="AH1019" s="13"/>
      <c r="AI1019" s="13"/>
      <c r="AJ1019" s="13"/>
      <c r="AK1019" s="13"/>
      <c r="AL1019" s="13"/>
      <c r="AM1019" s="13"/>
      <c r="AN1019" s="13"/>
      <c r="AO1019" s="13"/>
      <c r="AP1019" s="13"/>
    </row>
    <row r="1020" ht="18.75" customHeight="1">
      <c r="A1020" s="13"/>
      <c r="B1020" s="282"/>
      <c r="C1020" s="330"/>
      <c r="D1020" s="330"/>
      <c r="E1020" s="330"/>
      <c r="F1020" s="13"/>
      <c r="G1020" s="309"/>
      <c r="H1020" s="309"/>
      <c r="I1020" s="309"/>
      <c r="J1020" s="310"/>
      <c r="K1020" s="310"/>
      <c r="L1020" s="310"/>
      <c r="M1020" s="310"/>
      <c r="N1020" s="310"/>
      <c r="O1020" s="311"/>
      <c r="P1020" s="310"/>
      <c r="Q1020" s="311"/>
      <c r="R1020" s="310"/>
      <c r="S1020" s="13"/>
      <c r="T1020" s="13"/>
      <c r="U1020" s="13"/>
      <c r="V1020" s="13"/>
      <c r="W1020" s="13"/>
      <c r="X1020" s="310"/>
      <c r="Y1020" s="311"/>
      <c r="Z1020" s="310"/>
      <c r="AA1020" s="312"/>
      <c r="AB1020" s="13"/>
      <c r="AC1020" s="313"/>
      <c r="AD1020" s="313"/>
      <c r="AE1020" s="313"/>
      <c r="AF1020" s="331"/>
      <c r="AG1020" s="320"/>
      <c r="AH1020" s="13"/>
      <c r="AI1020" s="13"/>
      <c r="AJ1020" s="13"/>
      <c r="AK1020" s="13"/>
      <c r="AL1020" s="13"/>
      <c r="AM1020" s="13"/>
      <c r="AN1020" s="13"/>
      <c r="AO1020" s="13"/>
      <c r="AP1020" s="13"/>
    </row>
    <row r="1021" ht="18.75" customHeight="1">
      <c r="A1021" s="13"/>
      <c r="B1021" s="282"/>
      <c r="C1021" s="330"/>
      <c r="D1021" s="330"/>
      <c r="E1021" s="330"/>
      <c r="F1021" s="13"/>
      <c r="G1021" s="309"/>
      <c r="H1021" s="309"/>
      <c r="I1021" s="309"/>
      <c r="J1021" s="310"/>
      <c r="K1021" s="310"/>
      <c r="L1021" s="310"/>
      <c r="M1021" s="310"/>
      <c r="N1021" s="310"/>
      <c r="O1021" s="311"/>
      <c r="P1021" s="310"/>
      <c r="Q1021" s="311"/>
      <c r="R1021" s="310"/>
      <c r="S1021" s="13"/>
      <c r="T1021" s="13"/>
      <c r="U1021" s="13"/>
      <c r="V1021" s="13"/>
      <c r="W1021" s="13"/>
      <c r="X1021" s="310"/>
      <c r="Y1021" s="311"/>
      <c r="Z1021" s="310"/>
      <c r="AA1021" s="312"/>
      <c r="AB1021" s="13"/>
      <c r="AC1021" s="313"/>
      <c r="AD1021" s="313"/>
      <c r="AE1021" s="313"/>
      <c r="AF1021" s="331"/>
      <c r="AG1021" s="320"/>
      <c r="AH1021" s="13"/>
      <c r="AI1021" s="13"/>
      <c r="AJ1021" s="13"/>
      <c r="AK1021" s="13"/>
      <c r="AL1021" s="13"/>
      <c r="AM1021" s="13"/>
      <c r="AN1021" s="13"/>
      <c r="AO1021" s="13"/>
      <c r="AP1021" s="13"/>
    </row>
    <row r="1022" ht="18.75" customHeight="1">
      <c r="A1022" s="13"/>
      <c r="B1022" s="282"/>
      <c r="C1022" s="330"/>
      <c r="D1022" s="330"/>
      <c r="E1022" s="330"/>
      <c r="F1022" s="13"/>
      <c r="G1022" s="309"/>
      <c r="H1022" s="309"/>
      <c r="I1022" s="309"/>
      <c r="J1022" s="310"/>
      <c r="K1022" s="310"/>
      <c r="L1022" s="310"/>
      <c r="M1022" s="310"/>
      <c r="N1022" s="310"/>
      <c r="O1022" s="311"/>
      <c r="P1022" s="310"/>
      <c r="Q1022" s="311"/>
      <c r="R1022" s="310"/>
      <c r="S1022" s="13"/>
      <c r="T1022" s="13"/>
      <c r="U1022" s="13"/>
      <c r="V1022" s="13"/>
      <c r="W1022" s="13"/>
      <c r="X1022" s="310"/>
      <c r="Y1022" s="311"/>
      <c r="Z1022" s="310"/>
      <c r="AA1022" s="312"/>
      <c r="AB1022" s="13"/>
      <c r="AC1022" s="313"/>
      <c r="AD1022" s="313"/>
      <c r="AE1022" s="313"/>
      <c r="AF1022" s="331"/>
      <c r="AG1022" s="320"/>
      <c r="AH1022" s="13"/>
      <c r="AI1022" s="13"/>
      <c r="AJ1022" s="13"/>
      <c r="AK1022" s="13"/>
      <c r="AL1022" s="13"/>
      <c r="AM1022" s="13"/>
      <c r="AN1022" s="13"/>
      <c r="AO1022" s="13"/>
      <c r="AP1022" s="13"/>
    </row>
    <row r="1023" ht="18.75" customHeight="1">
      <c r="A1023" s="13"/>
      <c r="B1023" s="282"/>
      <c r="C1023" s="330"/>
      <c r="D1023" s="330"/>
      <c r="E1023" s="330"/>
      <c r="F1023" s="13"/>
      <c r="G1023" s="309"/>
      <c r="H1023" s="309"/>
      <c r="I1023" s="309"/>
      <c r="J1023" s="310"/>
      <c r="K1023" s="310"/>
      <c r="L1023" s="310"/>
      <c r="M1023" s="310"/>
      <c r="N1023" s="310"/>
      <c r="O1023" s="311"/>
      <c r="P1023" s="310"/>
      <c r="Q1023" s="311"/>
      <c r="R1023" s="310"/>
      <c r="S1023" s="13"/>
      <c r="T1023" s="13"/>
      <c r="U1023" s="13"/>
      <c r="V1023" s="13"/>
      <c r="W1023" s="13"/>
      <c r="X1023" s="310"/>
      <c r="Y1023" s="311"/>
      <c r="Z1023" s="310"/>
      <c r="AA1023" s="312"/>
      <c r="AB1023" s="13"/>
      <c r="AC1023" s="313"/>
      <c r="AD1023" s="313"/>
      <c r="AE1023" s="313"/>
      <c r="AF1023" s="331"/>
      <c r="AG1023" s="320"/>
      <c r="AH1023" s="13"/>
      <c r="AI1023" s="13"/>
      <c r="AJ1023" s="13"/>
      <c r="AK1023" s="13"/>
      <c r="AL1023" s="13"/>
      <c r="AM1023" s="13"/>
      <c r="AN1023" s="13"/>
      <c r="AO1023" s="13"/>
      <c r="AP1023" s="13"/>
    </row>
    <row r="1024" ht="18.75" customHeight="1">
      <c r="A1024" s="13"/>
      <c r="B1024" s="282"/>
      <c r="C1024" s="330"/>
      <c r="D1024" s="330"/>
      <c r="E1024" s="330"/>
      <c r="F1024" s="13"/>
      <c r="G1024" s="309"/>
      <c r="H1024" s="309"/>
      <c r="I1024" s="309"/>
      <c r="J1024" s="310"/>
      <c r="K1024" s="310"/>
      <c r="L1024" s="310"/>
      <c r="M1024" s="310"/>
      <c r="N1024" s="310"/>
      <c r="O1024" s="311"/>
      <c r="P1024" s="310"/>
      <c r="Q1024" s="311"/>
      <c r="R1024" s="310"/>
      <c r="S1024" s="13"/>
      <c r="T1024" s="13"/>
      <c r="U1024" s="13"/>
      <c r="V1024" s="13"/>
      <c r="W1024" s="13"/>
      <c r="X1024" s="310"/>
      <c r="Y1024" s="311"/>
      <c r="Z1024" s="310"/>
      <c r="AA1024" s="312"/>
      <c r="AB1024" s="13"/>
      <c r="AC1024" s="313"/>
      <c r="AD1024" s="313"/>
      <c r="AE1024" s="313"/>
      <c r="AF1024" s="331"/>
      <c r="AG1024" s="320"/>
      <c r="AH1024" s="13"/>
      <c r="AI1024" s="13"/>
      <c r="AJ1024" s="13"/>
      <c r="AK1024" s="13"/>
      <c r="AL1024" s="13"/>
      <c r="AM1024" s="13"/>
      <c r="AN1024" s="13"/>
      <c r="AO1024" s="13"/>
      <c r="AP1024" s="13"/>
    </row>
    <row r="1025" ht="18.75" customHeight="1">
      <c r="A1025" s="13"/>
      <c r="B1025" s="282"/>
      <c r="C1025" s="330"/>
      <c r="D1025" s="330"/>
      <c r="E1025" s="330"/>
      <c r="F1025" s="13"/>
      <c r="G1025" s="309"/>
      <c r="H1025" s="309"/>
      <c r="I1025" s="309"/>
      <c r="J1025" s="310"/>
      <c r="K1025" s="310"/>
      <c r="L1025" s="310"/>
      <c r="M1025" s="310"/>
      <c r="N1025" s="310"/>
      <c r="O1025" s="311"/>
      <c r="P1025" s="310"/>
      <c r="Q1025" s="311"/>
      <c r="R1025" s="310"/>
      <c r="S1025" s="13"/>
      <c r="T1025" s="13"/>
      <c r="U1025" s="13"/>
      <c r="V1025" s="13"/>
      <c r="W1025" s="13"/>
      <c r="X1025" s="310"/>
      <c r="Y1025" s="311"/>
      <c r="Z1025" s="310"/>
      <c r="AA1025" s="312"/>
      <c r="AB1025" s="13"/>
      <c r="AC1025" s="313"/>
      <c r="AD1025" s="313"/>
      <c r="AE1025" s="313"/>
      <c r="AF1025" s="331"/>
      <c r="AG1025" s="320"/>
      <c r="AH1025" s="13"/>
      <c r="AI1025" s="13"/>
      <c r="AJ1025" s="13"/>
      <c r="AK1025" s="13"/>
      <c r="AL1025" s="13"/>
      <c r="AM1025" s="13"/>
      <c r="AN1025" s="13"/>
      <c r="AO1025" s="13"/>
      <c r="AP1025" s="13"/>
    </row>
    <row r="1026" ht="18.75" customHeight="1">
      <c r="A1026" s="13"/>
      <c r="B1026" s="282"/>
      <c r="C1026" s="330"/>
      <c r="D1026" s="330"/>
      <c r="E1026" s="330"/>
      <c r="F1026" s="13"/>
      <c r="G1026" s="309"/>
      <c r="H1026" s="309"/>
      <c r="I1026" s="309"/>
      <c r="J1026" s="310"/>
      <c r="K1026" s="310"/>
      <c r="L1026" s="310"/>
      <c r="M1026" s="310"/>
      <c r="N1026" s="310"/>
      <c r="O1026" s="311"/>
      <c r="P1026" s="310"/>
      <c r="Q1026" s="311"/>
      <c r="R1026" s="310"/>
      <c r="S1026" s="13"/>
      <c r="T1026" s="13"/>
      <c r="U1026" s="13"/>
      <c r="V1026" s="13"/>
      <c r="W1026" s="13"/>
      <c r="X1026" s="310"/>
      <c r="Y1026" s="311"/>
      <c r="Z1026" s="310"/>
      <c r="AA1026" s="312"/>
      <c r="AB1026" s="13"/>
      <c r="AC1026" s="313"/>
      <c r="AD1026" s="313"/>
      <c r="AE1026" s="313"/>
      <c r="AF1026" s="331"/>
      <c r="AG1026" s="320"/>
      <c r="AH1026" s="13"/>
      <c r="AI1026" s="13"/>
      <c r="AJ1026" s="13"/>
      <c r="AK1026" s="13"/>
      <c r="AL1026" s="13"/>
      <c r="AM1026" s="13"/>
      <c r="AN1026" s="13"/>
      <c r="AO1026" s="13"/>
      <c r="AP1026" s="13"/>
    </row>
    <row r="1027" ht="18.75" customHeight="1">
      <c r="A1027" s="13"/>
      <c r="B1027" s="282"/>
      <c r="C1027" s="330"/>
      <c r="D1027" s="330"/>
      <c r="E1027" s="330"/>
      <c r="F1027" s="13"/>
      <c r="G1027" s="309"/>
      <c r="H1027" s="309"/>
      <c r="I1027" s="309"/>
      <c r="J1027" s="310"/>
      <c r="K1027" s="310"/>
      <c r="L1027" s="310"/>
      <c r="M1027" s="310"/>
      <c r="N1027" s="310"/>
      <c r="O1027" s="311"/>
      <c r="P1027" s="310"/>
      <c r="Q1027" s="311"/>
      <c r="R1027" s="310"/>
      <c r="S1027" s="13"/>
      <c r="T1027" s="13"/>
      <c r="U1027" s="13"/>
      <c r="V1027" s="13"/>
      <c r="W1027" s="13"/>
      <c r="X1027" s="310"/>
      <c r="Y1027" s="311"/>
      <c r="Z1027" s="310"/>
      <c r="AA1027" s="312"/>
      <c r="AB1027" s="13"/>
      <c r="AC1027" s="313"/>
      <c r="AD1027" s="313"/>
      <c r="AE1027" s="313"/>
      <c r="AF1027" s="331"/>
      <c r="AG1027" s="320"/>
      <c r="AH1027" s="13"/>
      <c r="AI1027" s="13"/>
      <c r="AJ1027" s="13"/>
      <c r="AK1027" s="13"/>
      <c r="AL1027" s="13"/>
      <c r="AM1027" s="13"/>
      <c r="AN1027" s="13"/>
      <c r="AO1027" s="13"/>
      <c r="AP1027" s="13"/>
    </row>
    <row r="1028" ht="18.75" customHeight="1">
      <c r="A1028" s="13"/>
      <c r="B1028" s="282"/>
      <c r="C1028" s="330"/>
      <c r="D1028" s="330"/>
      <c r="E1028" s="330"/>
      <c r="F1028" s="13"/>
      <c r="G1028" s="309"/>
      <c r="H1028" s="309"/>
      <c r="I1028" s="309"/>
      <c r="J1028" s="310"/>
      <c r="K1028" s="310"/>
      <c r="L1028" s="310"/>
      <c r="M1028" s="310"/>
      <c r="N1028" s="310"/>
      <c r="O1028" s="311"/>
      <c r="P1028" s="310"/>
      <c r="Q1028" s="311"/>
      <c r="R1028" s="310"/>
      <c r="S1028" s="13"/>
      <c r="T1028" s="13"/>
      <c r="U1028" s="13"/>
      <c r="V1028" s="13"/>
      <c r="W1028" s="13"/>
      <c r="X1028" s="310"/>
      <c r="Y1028" s="311"/>
      <c r="Z1028" s="310"/>
      <c r="AA1028" s="312"/>
      <c r="AB1028" s="13"/>
      <c r="AC1028" s="313"/>
      <c r="AD1028" s="313"/>
      <c r="AE1028" s="313"/>
      <c r="AF1028" s="331"/>
      <c r="AG1028" s="320"/>
      <c r="AH1028" s="13"/>
      <c r="AI1028" s="13"/>
      <c r="AJ1028" s="13"/>
      <c r="AK1028" s="13"/>
      <c r="AL1028" s="13"/>
      <c r="AM1028" s="13"/>
      <c r="AN1028" s="13"/>
      <c r="AO1028" s="13"/>
      <c r="AP1028" s="13"/>
    </row>
    <row r="1029" ht="18.75" customHeight="1">
      <c r="A1029" s="13"/>
      <c r="B1029" s="282"/>
      <c r="C1029" s="330"/>
      <c r="D1029" s="330"/>
      <c r="E1029" s="330"/>
      <c r="F1029" s="13"/>
      <c r="G1029" s="309"/>
      <c r="H1029" s="309"/>
      <c r="I1029" s="309"/>
      <c r="J1029" s="310"/>
      <c r="K1029" s="310"/>
      <c r="L1029" s="310"/>
      <c r="M1029" s="310"/>
      <c r="N1029" s="310"/>
      <c r="O1029" s="311"/>
      <c r="P1029" s="310"/>
      <c r="Q1029" s="311"/>
      <c r="R1029" s="310"/>
      <c r="S1029" s="13"/>
      <c r="T1029" s="13"/>
      <c r="U1029" s="13"/>
      <c r="V1029" s="13"/>
      <c r="W1029" s="13"/>
      <c r="X1029" s="310"/>
      <c r="Y1029" s="311"/>
      <c r="Z1029" s="310"/>
      <c r="AA1029" s="312"/>
      <c r="AB1029" s="13"/>
      <c r="AC1029" s="313"/>
      <c r="AD1029" s="313"/>
      <c r="AE1029" s="313"/>
      <c r="AF1029" s="331"/>
      <c r="AG1029" s="320"/>
      <c r="AH1029" s="13"/>
      <c r="AI1029" s="13"/>
      <c r="AJ1029" s="13"/>
      <c r="AK1029" s="13"/>
      <c r="AL1029" s="13"/>
      <c r="AM1029" s="13"/>
      <c r="AN1029" s="13"/>
      <c r="AO1029" s="13"/>
      <c r="AP1029" s="13"/>
    </row>
    <row r="1030" ht="18.75" customHeight="1">
      <c r="A1030" s="13"/>
      <c r="B1030" s="282"/>
      <c r="C1030" s="330"/>
      <c r="D1030" s="330"/>
      <c r="E1030" s="330"/>
      <c r="F1030" s="13"/>
      <c r="G1030" s="309"/>
      <c r="H1030" s="309"/>
      <c r="I1030" s="309"/>
      <c r="J1030" s="310"/>
      <c r="K1030" s="310"/>
      <c r="L1030" s="310"/>
      <c r="M1030" s="310"/>
      <c r="N1030" s="310"/>
      <c r="O1030" s="311"/>
      <c r="P1030" s="310"/>
      <c r="Q1030" s="311"/>
      <c r="R1030" s="310"/>
      <c r="S1030" s="13"/>
      <c r="T1030" s="13"/>
      <c r="U1030" s="13"/>
      <c r="V1030" s="13"/>
      <c r="W1030" s="13"/>
      <c r="X1030" s="310"/>
      <c r="Y1030" s="311"/>
      <c r="Z1030" s="310"/>
      <c r="AA1030" s="312"/>
      <c r="AB1030" s="13"/>
      <c r="AC1030" s="313"/>
      <c r="AD1030" s="313"/>
      <c r="AE1030" s="313"/>
      <c r="AF1030" s="331"/>
      <c r="AG1030" s="320"/>
      <c r="AH1030" s="13"/>
      <c r="AI1030" s="13"/>
      <c r="AJ1030" s="13"/>
      <c r="AK1030" s="13"/>
      <c r="AL1030" s="13"/>
      <c r="AM1030" s="13"/>
      <c r="AN1030" s="13"/>
      <c r="AO1030" s="13"/>
      <c r="AP1030" s="13"/>
    </row>
    <row r="1031" ht="18.75" customHeight="1">
      <c r="A1031" s="13"/>
      <c r="B1031" s="282"/>
      <c r="C1031" s="330"/>
      <c r="D1031" s="330"/>
      <c r="E1031" s="330"/>
      <c r="F1031" s="13"/>
      <c r="G1031" s="309"/>
      <c r="H1031" s="309"/>
      <c r="I1031" s="309"/>
      <c r="J1031" s="310"/>
      <c r="K1031" s="310"/>
      <c r="L1031" s="310"/>
      <c r="M1031" s="310"/>
      <c r="N1031" s="310"/>
      <c r="O1031" s="311"/>
      <c r="P1031" s="310"/>
      <c r="Q1031" s="311"/>
      <c r="R1031" s="310"/>
      <c r="S1031" s="13"/>
      <c r="T1031" s="13"/>
      <c r="U1031" s="13"/>
      <c r="V1031" s="13"/>
      <c r="W1031" s="13"/>
      <c r="X1031" s="310"/>
      <c r="Y1031" s="311"/>
      <c r="Z1031" s="310"/>
      <c r="AA1031" s="312"/>
      <c r="AB1031" s="13"/>
      <c r="AC1031" s="313"/>
      <c r="AD1031" s="313"/>
      <c r="AE1031" s="313"/>
      <c r="AF1031" s="331"/>
      <c r="AG1031" s="320"/>
      <c r="AH1031" s="13"/>
      <c r="AI1031" s="13"/>
      <c r="AJ1031" s="13"/>
      <c r="AK1031" s="13"/>
      <c r="AL1031" s="13"/>
      <c r="AM1031" s="13"/>
      <c r="AN1031" s="13"/>
      <c r="AO1031" s="13"/>
      <c r="AP1031" s="13"/>
    </row>
    <row r="1032" ht="18.75" customHeight="1">
      <c r="A1032" s="13"/>
      <c r="B1032" s="282"/>
      <c r="C1032" s="330"/>
      <c r="D1032" s="330"/>
      <c r="E1032" s="330"/>
      <c r="F1032" s="13"/>
      <c r="G1032" s="309"/>
      <c r="H1032" s="309"/>
      <c r="I1032" s="309"/>
      <c r="J1032" s="310"/>
      <c r="K1032" s="310"/>
      <c r="L1032" s="310"/>
      <c r="M1032" s="310"/>
      <c r="N1032" s="310"/>
      <c r="O1032" s="311"/>
      <c r="P1032" s="310"/>
      <c r="Q1032" s="311"/>
      <c r="R1032" s="310"/>
      <c r="S1032" s="13"/>
      <c r="T1032" s="13"/>
      <c r="U1032" s="13"/>
      <c r="V1032" s="13"/>
      <c r="W1032" s="13"/>
      <c r="X1032" s="310"/>
      <c r="Y1032" s="311"/>
      <c r="Z1032" s="310"/>
      <c r="AA1032" s="312"/>
      <c r="AB1032" s="13"/>
      <c r="AC1032" s="313"/>
      <c r="AD1032" s="313"/>
      <c r="AE1032" s="313"/>
      <c r="AF1032" s="331"/>
      <c r="AG1032" s="320"/>
      <c r="AH1032" s="13"/>
      <c r="AI1032" s="13"/>
      <c r="AJ1032" s="13"/>
      <c r="AK1032" s="13"/>
      <c r="AL1032" s="13"/>
      <c r="AM1032" s="13"/>
      <c r="AN1032" s="13"/>
      <c r="AO1032" s="13"/>
      <c r="AP1032" s="13"/>
    </row>
    <row r="1033" ht="18.75" customHeight="1">
      <c r="A1033" s="13"/>
      <c r="B1033" s="282"/>
      <c r="C1033" s="330"/>
      <c r="D1033" s="330"/>
      <c r="E1033" s="330"/>
      <c r="F1033" s="13"/>
      <c r="G1033" s="309"/>
      <c r="H1033" s="309"/>
      <c r="I1033" s="309"/>
      <c r="J1033" s="310"/>
      <c r="K1033" s="310"/>
      <c r="L1033" s="310"/>
      <c r="M1033" s="310"/>
      <c r="N1033" s="310"/>
      <c r="O1033" s="311"/>
      <c r="P1033" s="310"/>
      <c r="Q1033" s="311"/>
      <c r="R1033" s="310"/>
      <c r="S1033" s="13"/>
      <c r="T1033" s="13"/>
      <c r="U1033" s="13"/>
      <c r="V1033" s="13"/>
      <c r="W1033" s="13"/>
      <c r="X1033" s="310"/>
      <c r="Y1033" s="311"/>
      <c r="Z1033" s="310"/>
      <c r="AA1033" s="312"/>
      <c r="AB1033" s="13"/>
      <c r="AC1033" s="313"/>
      <c r="AD1033" s="313"/>
      <c r="AE1033" s="313"/>
      <c r="AF1033" s="331"/>
      <c r="AG1033" s="320"/>
      <c r="AH1033" s="13"/>
      <c r="AI1033" s="13"/>
      <c r="AJ1033" s="13"/>
      <c r="AK1033" s="13"/>
      <c r="AL1033" s="13"/>
      <c r="AM1033" s="13"/>
      <c r="AN1033" s="13"/>
      <c r="AO1033" s="13"/>
      <c r="AP1033" s="13"/>
    </row>
    <row r="1034" ht="18.75" customHeight="1">
      <c r="A1034" s="13"/>
      <c r="B1034" s="282"/>
      <c r="C1034" s="330"/>
      <c r="D1034" s="330"/>
      <c r="E1034" s="330"/>
      <c r="F1034" s="13"/>
      <c r="G1034" s="309"/>
      <c r="H1034" s="309"/>
      <c r="I1034" s="309"/>
      <c r="J1034" s="310"/>
      <c r="K1034" s="310"/>
      <c r="L1034" s="310"/>
      <c r="M1034" s="310"/>
      <c r="N1034" s="310"/>
      <c r="O1034" s="311"/>
      <c r="P1034" s="310"/>
      <c r="Q1034" s="311"/>
      <c r="R1034" s="310"/>
      <c r="S1034" s="13"/>
      <c r="T1034" s="13"/>
      <c r="U1034" s="13"/>
      <c r="V1034" s="13"/>
      <c r="W1034" s="13"/>
      <c r="X1034" s="310"/>
      <c r="Y1034" s="311"/>
      <c r="Z1034" s="310"/>
      <c r="AA1034" s="312"/>
      <c r="AB1034" s="13"/>
      <c r="AC1034" s="313"/>
      <c r="AD1034" s="313"/>
      <c r="AE1034" s="313"/>
      <c r="AF1034" s="331"/>
      <c r="AG1034" s="320"/>
      <c r="AH1034" s="13"/>
      <c r="AI1034" s="13"/>
      <c r="AJ1034" s="13"/>
      <c r="AK1034" s="13"/>
      <c r="AL1034" s="13"/>
      <c r="AM1034" s="13"/>
      <c r="AN1034" s="13"/>
      <c r="AO1034" s="13"/>
      <c r="AP1034" s="13"/>
    </row>
    <row r="1035" ht="18.75" customHeight="1">
      <c r="A1035" s="13"/>
      <c r="B1035" s="282"/>
      <c r="C1035" s="330"/>
      <c r="D1035" s="330"/>
      <c r="E1035" s="330"/>
      <c r="F1035" s="13"/>
      <c r="G1035" s="309"/>
      <c r="H1035" s="309"/>
      <c r="I1035" s="309"/>
      <c r="J1035" s="310"/>
      <c r="K1035" s="310"/>
      <c r="L1035" s="310"/>
      <c r="M1035" s="310"/>
      <c r="N1035" s="310"/>
      <c r="O1035" s="311"/>
      <c r="P1035" s="310"/>
      <c r="Q1035" s="311"/>
      <c r="R1035" s="310"/>
      <c r="S1035" s="13"/>
      <c r="T1035" s="13"/>
      <c r="U1035" s="13"/>
      <c r="V1035" s="13"/>
      <c r="W1035" s="13"/>
      <c r="X1035" s="310"/>
      <c r="Y1035" s="311"/>
      <c r="Z1035" s="310"/>
      <c r="AA1035" s="312"/>
      <c r="AB1035" s="13"/>
      <c r="AC1035" s="313"/>
      <c r="AD1035" s="313"/>
      <c r="AE1035" s="313"/>
      <c r="AF1035" s="331"/>
      <c r="AG1035" s="320"/>
      <c r="AH1035" s="13"/>
      <c r="AI1035" s="13"/>
      <c r="AJ1035" s="13"/>
      <c r="AK1035" s="13"/>
      <c r="AL1035" s="13"/>
      <c r="AM1035" s="13"/>
      <c r="AN1035" s="13"/>
      <c r="AO1035" s="13"/>
      <c r="AP1035" s="13"/>
    </row>
    <row r="1036" ht="18.75" customHeight="1">
      <c r="A1036" s="13"/>
      <c r="B1036" s="282"/>
      <c r="C1036" s="330"/>
      <c r="D1036" s="330"/>
      <c r="E1036" s="330"/>
      <c r="F1036" s="13"/>
      <c r="G1036" s="309"/>
      <c r="H1036" s="309"/>
      <c r="I1036" s="309"/>
      <c r="J1036" s="310"/>
      <c r="K1036" s="310"/>
      <c r="L1036" s="310"/>
      <c r="M1036" s="310"/>
      <c r="N1036" s="310"/>
      <c r="O1036" s="311"/>
      <c r="P1036" s="310"/>
      <c r="Q1036" s="311"/>
      <c r="R1036" s="310"/>
      <c r="S1036" s="13"/>
      <c r="T1036" s="13"/>
      <c r="U1036" s="13"/>
      <c r="V1036" s="13"/>
      <c r="W1036" s="13"/>
      <c r="X1036" s="310"/>
      <c r="Y1036" s="311"/>
      <c r="Z1036" s="310"/>
      <c r="AA1036" s="312"/>
      <c r="AB1036" s="13"/>
      <c r="AC1036" s="313"/>
      <c r="AD1036" s="313"/>
      <c r="AE1036" s="313"/>
      <c r="AF1036" s="331"/>
      <c r="AG1036" s="320"/>
      <c r="AH1036" s="13"/>
      <c r="AI1036" s="13"/>
      <c r="AJ1036" s="13"/>
      <c r="AK1036" s="13"/>
      <c r="AL1036" s="13"/>
      <c r="AM1036" s="13"/>
      <c r="AN1036" s="13"/>
      <c r="AO1036" s="13"/>
      <c r="AP1036" s="13"/>
    </row>
    <row r="1037" ht="18.75" customHeight="1">
      <c r="A1037" s="13"/>
      <c r="B1037" s="282"/>
      <c r="C1037" s="330"/>
      <c r="D1037" s="330"/>
      <c r="E1037" s="330"/>
      <c r="F1037" s="13"/>
      <c r="G1037" s="309"/>
      <c r="H1037" s="309"/>
      <c r="I1037" s="309"/>
      <c r="J1037" s="310"/>
      <c r="K1037" s="310"/>
      <c r="L1037" s="310"/>
      <c r="M1037" s="310"/>
      <c r="N1037" s="310"/>
      <c r="O1037" s="311"/>
      <c r="P1037" s="310"/>
      <c r="Q1037" s="311"/>
      <c r="R1037" s="310"/>
      <c r="S1037" s="13"/>
      <c r="T1037" s="13"/>
      <c r="U1037" s="13"/>
      <c r="V1037" s="13"/>
      <c r="W1037" s="13"/>
      <c r="X1037" s="310"/>
      <c r="Y1037" s="311"/>
      <c r="Z1037" s="310"/>
      <c r="AA1037" s="312"/>
      <c r="AB1037" s="13"/>
      <c r="AC1037" s="313"/>
      <c r="AD1037" s="313"/>
      <c r="AE1037" s="313"/>
      <c r="AF1037" s="331"/>
      <c r="AG1037" s="320"/>
      <c r="AH1037" s="13"/>
      <c r="AI1037" s="13"/>
      <c r="AJ1037" s="13"/>
      <c r="AK1037" s="13"/>
      <c r="AL1037" s="13"/>
      <c r="AM1037" s="13"/>
      <c r="AN1037" s="13"/>
      <c r="AO1037" s="13"/>
      <c r="AP1037" s="13"/>
    </row>
    <row r="1038" ht="18.75" customHeight="1">
      <c r="A1038" s="13"/>
      <c r="B1038" s="282"/>
      <c r="C1038" s="330"/>
      <c r="D1038" s="330"/>
      <c r="E1038" s="330"/>
      <c r="F1038" s="13"/>
      <c r="G1038" s="309"/>
      <c r="H1038" s="309"/>
      <c r="I1038" s="309"/>
      <c r="J1038" s="310"/>
      <c r="K1038" s="310"/>
      <c r="L1038" s="310"/>
      <c r="M1038" s="310"/>
      <c r="N1038" s="310"/>
      <c r="O1038" s="311"/>
      <c r="P1038" s="310"/>
      <c r="Q1038" s="311"/>
      <c r="R1038" s="310"/>
      <c r="S1038" s="13"/>
      <c r="T1038" s="13"/>
      <c r="U1038" s="13"/>
      <c r="V1038" s="13"/>
      <c r="W1038" s="13"/>
      <c r="X1038" s="310"/>
      <c r="Y1038" s="311"/>
      <c r="Z1038" s="310"/>
      <c r="AA1038" s="312"/>
      <c r="AB1038" s="13"/>
      <c r="AC1038" s="313"/>
      <c r="AD1038" s="313"/>
      <c r="AE1038" s="313"/>
      <c r="AF1038" s="331"/>
      <c r="AG1038" s="320"/>
      <c r="AH1038" s="13"/>
      <c r="AI1038" s="13"/>
      <c r="AJ1038" s="13"/>
      <c r="AK1038" s="13"/>
      <c r="AL1038" s="13"/>
      <c r="AM1038" s="13"/>
      <c r="AN1038" s="13"/>
      <c r="AO1038" s="13"/>
      <c r="AP1038" s="13"/>
    </row>
    <row r="1039" ht="18.75" customHeight="1">
      <c r="A1039" s="13"/>
      <c r="B1039" s="282"/>
      <c r="C1039" s="330"/>
      <c r="D1039" s="330"/>
      <c r="E1039" s="330"/>
      <c r="F1039" s="13"/>
      <c r="G1039" s="309"/>
      <c r="H1039" s="309"/>
      <c r="I1039" s="309"/>
      <c r="J1039" s="310"/>
      <c r="K1039" s="310"/>
      <c r="L1039" s="310"/>
      <c r="M1039" s="310"/>
      <c r="N1039" s="310"/>
      <c r="O1039" s="311"/>
      <c r="P1039" s="310"/>
      <c r="Q1039" s="311"/>
      <c r="R1039" s="310"/>
      <c r="S1039" s="13"/>
      <c r="T1039" s="13"/>
      <c r="U1039" s="13"/>
      <c r="V1039" s="13"/>
      <c r="W1039" s="13"/>
      <c r="X1039" s="310"/>
      <c r="Y1039" s="311"/>
      <c r="Z1039" s="310"/>
      <c r="AA1039" s="312"/>
      <c r="AB1039" s="13"/>
      <c r="AC1039" s="313"/>
      <c r="AD1039" s="313"/>
      <c r="AE1039" s="313"/>
      <c r="AF1039" s="331"/>
      <c r="AG1039" s="320"/>
      <c r="AH1039" s="13"/>
      <c r="AI1039" s="13"/>
      <c r="AJ1039" s="13"/>
      <c r="AK1039" s="13"/>
      <c r="AL1039" s="13"/>
      <c r="AM1039" s="13"/>
      <c r="AN1039" s="13"/>
      <c r="AO1039" s="13"/>
      <c r="AP1039" s="13"/>
    </row>
    <row r="1040" ht="18.75" customHeight="1">
      <c r="A1040" s="13"/>
      <c r="B1040" s="282"/>
      <c r="C1040" s="330"/>
      <c r="D1040" s="330"/>
      <c r="E1040" s="330"/>
      <c r="F1040" s="13"/>
      <c r="G1040" s="309"/>
      <c r="H1040" s="309"/>
      <c r="I1040" s="309"/>
      <c r="J1040" s="310"/>
      <c r="K1040" s="310"/>
      <c r="L1040" s="310"/>
      <c r="M1040" s="310"/>
      <c r="N1040" s="310"/>
      <c r="O1040" s="311"/>
      <c r="P1040" s="310"/>
      <c r="Q1040" s="311"/>
      <c r="R1040" s="310"/>
      <c r="S1040" s="13"/>
      <c r="T1040" s="13"/>
      <c r="U1040" s="13"/>
      <c r="V1040" s="13"/>
      <c r="W1040" s="13"/>
      <c r="X1040" s="310"/>
      <c r="Y1040" s="311"/>
      <c r="Z1040" s="310"/>
      <c r="AA1040" s="312"/>
      <c r="AB1040" s="13"/>
      <c r="AC1040" s="313"/>
      <c r="AD1040" s="313"/>
      <c r="AE1040" s="313"/>
      <c r="AF1040" s="331"/>
      <c r="AG1040" s="320"/>
      <c r="AH1040" s="13"/>
      <c r="AI1040" s="13"/>
      <c r="AJ1040" s="13"/>
      <c r="AK1040" s="13"/>
      <c r="AL1040" s="13"/>
      <c r="AM1040" s="13"/>
      <c r="AN1040" s="13"/>
      <c r="AO1040" s="13"/>
      <c r="AP1040" s="13"/>
    </row>
    <row r="1041" ht="18.75" customHeight="1">
      <c r="A1041" s="13"/>
      <c r="B1041" s="282"/>
      <c r="C1041" s="330"/>
      <c r="D1041" s="330"/>
      <c r="E1041" s="330"/>
      <c r="F1041" s="13"/>
      <c r="G1041" s="309"/>
      <c r="H1041" s="309"/>
      <c r="I1041" s="309"/>
      <c r="J1041" s="310"/>
      <c r="K1041" s="310"/>
      <c r="L1041" s="310"/>
      <c r="M1041" s="310"/>
      <c r="N1041" s="310"/>
      <c r="O1041" s="311"/>
      <c r="P1041" s="310"/>
      <c r="Q1041" s="311"/>
      <c r="R1041" s="310"/>
      <c r="S1041" s="13"/>
      <c r="T1041" s="13"/>
      <c r="U1041" s="13"/>
      <c r="V1041" s="13"/>
      <c r="W1041" s="13"/>
      <c r="X1041" s="310"/>
      <c r="Y1041" s="311"/>
      <c r="Z1041" s="310"/>
      <c r="AA1041" s="312"/>
      <c r="AB1041" s="13"/>
      <c r="AC1041" s="313"/>
      <c r="AD1041" s="313"/>
      <c r="AE1041" s="313"/>
      <c r="AF1041" s="331"/>
      <c r="AG1041" s="320"/>
      <c r="AH1041" s="13"/>
      <c r="AI1041" s="13"/>
      <c r="AJ1041" s="13"/>
      <c r="AK1041" s="13"/>
      <c r="AL1041" s="13"/>
      <c r="AM1041" s="13"/>
      <c r="AN1041" s="13"/>
      <c r="AO1041" s="13"/>
      <c r="AP1041" s="13"/>
    </row>
    <row r="1042" ht="18.75" customHeight="1">
      <c r="A1042" s="13"/>
      <c r="B1042" s="282"/>
      <c r="C1042" s="330"/>
      <c r="D1042" s="330"/>
      <c r="E1042" s="330"/>
      <c r="F1042" s="13"/>
      <c r="G1042" s="309"/>
      <c r="H1042" s="309"/>
      <c r="I1042" s="309"/>
      <c r="J1042" s="310"/>
      <c r="K1042" s="310"/>
      <c r="L1042" s="310"/>
      <c r="M1042" s="310"/>
      <c r="N1042" s="310"/>
      <c r="O1042" s="311"/>
      <c r="P1042" s="310"/>
      <c r="Q1042" s="311"/>
      <c r="R1042" s="310"/>
      <c r="S1042" s="13"/>
      <c r="T1042" s="13"/>
      <c r="U1042" s="13"/>
      <c r="V1042" s="13"/>
      <c r="W1042" s="13"/>
      <c r="X1042" s="310"/>
      <c r="Y1042" s="311"/>
      <c r="Z1042" s="310"/>
      <c r="AA1042" s="312"/>
      <c r="AB1042" s="13"/>
      <c r="AC1042" s="313"/>
      <c r="AD1042" s="313"/>
      <c r="AE1042" s="313"/>
      <c r="AF1042" s="331"/>
      <c r="AG1042" s="320"/>
      <c r="AH1042" s="13"/>
      <c r="AI1042" s="13"/>
      <c r="AJ1042" s="13"/>
      <c r="AK1042" s="13"/>
      <c r="AL1042" s="13"/>
      <c r="AM1042" s="13"/>
      <c r="AN1042" s="13"/>
      <c r="AO1042" s="13"/>
      <c r="AP1042" s="13"/>
    </row>
    <row r="1043" ht="18.75" customHeight="1">
      <c r="A1043" s="13"/>
      <c r="B1043" s="282"/>
      <c r="C1043" s="330"/>
      <c r="D1043" s="330"/>
      <c r="E1043" s="330"/>
      <c r="F1043" s="13"/>
      <c r="G1043" s="309"/>
      <c r="H1043" s="309"/>
      <c r="I1043" s="309"/>
      <c r="J1043" s="310"/>
      <c r="K1043" s="310"/>
      <c r="L1043" s="310"/>
      <c r="M1043" s="310"/>
      <c r="N1043" s="310"/>
      <c r="O1043" s="311"/>
      <c r="P1043" s="310"/>
      <c r="Q1043" s="311"/>
      <c r="R1043" s="310"/>
      <c r="S1043" s="13"/>
      <c r="T1043" s="13"/>
      <c r="U1043" s="13"/>
      <c r="V1043" s="13"/>
      <c r="W1043" s="13"/>
      <c r="X1043" s="310"/>
      <c r="Y1043" s="311"/>
      <c r="Z1043" s="310"/>
      <c r="AA1043" s="312"/>
      <c r="AB1043" s="13"/>
      <c r="AC1043" s="313"/>
      <c r="AD1043" s="313"/>
      <c r="AE1043" s="313"/>
      <c r="AF1043" s="331"/>
      <c r="AG1043" s="320"/>
      <c r="AH1043" s="13"/>
      <c r="AI1043" s="13"/>
      <c r="AJ1043" s="13"/>
      <c r="AK1043" s="13"/>
      <c r="AL1043" s="13"/>
      <c r="AM1043" s="13"/>
      <c r="AN1043" s="13"/>
      <c r="AO1043" s="13"/>
      <c r="AP1043" s="13"/>
    </row>
    <row r="1044" ht="18.75" customHeight="1">
      <c r="A1044" s="13"/>
      <c r="B1044" s="282"/>
      <c r="C1044" s="330"/>
      <c r="D1044" s="330"/>
      <c r="E1044" s="330"/>
      <c r="F1044" s="13"/>
      <c r="G1044" s="309"/>
      <c r="H1044" s="309"/>
      <c r="I1044" s="309"/>
      <c r="J1044" s="310"/>
      <c r="K1044" s="310"/>
      <c r="L1044" s="310"/>
      <c r="M1044" s="310"/>
      <c r="N1044" s="310"/>
      <c r="O1044" s="311"/>
      <c r="P1044" s="310"/>
      <c r="Q1044" s="311"/>
      <c r="R1044" s="310"/>
      <c r="S1044" s="13"/>
      <c r="T1044" s="13"/>
      <c r="U1044" s="13"/>
      <c r="V1044" s="13"/>
      <c r="W1044" s="13"/>
      <c r="X1044" s="310"/>
      <c r="Y1044" s="311"/>
      <c r="Z1044" s="310"/>
      <c r="AA1044" s="312"/>
      <c r="AB1044" s="13"/>
      <c r="AC1044" s="313"/>
      <c r="AD1044" s="313"/>
      <c r="AE1044" s="313"/>
      <c r="AF1044" s="331"/>
      <c r="AG1044" s="320"/>
      <c r="AH1044" s="13"/>
      <c r="AI1044" s="13"/>
      <c r="AJ1044" s="13"/>
      <c r="AK1044" s="13"/>
      <c r="AL1044" s="13"/>
      <c r="AM1044" s="13"/>
      <c r="AN1044" s="13"/>
      <c r="AO1044" s="13"/>
      <c r="AP1044" s="13"/>
    </row>
    <row r="1045" ht="18.75" customHeight="1">
      <c r="A1045" s="13"/>
      <c r="B1045" s="282"/>
      <c r="C1045" s="330"/>
      <c r="D1045" s="330"/>
      <c r="E1045" s="330"/>
      <c r="F1045" s="13"/>
      <c r="G1045" s="309"/>
      <c r="H1045" s="309"/>
      <c r="I1045" s="309"/>
      <c r="J1045" s="310"/>
      <c r="K1045" s="310"/>
      <c r="L1045" s="310"/>
      <c r="M1045" s="310"/>
      <c r="N1045" s="310"/>
      <c r="O1045" s="311"/>
      <c r="P1045" s="310"/>
      <c r="Q1045" s="311"/>
      <c r="R1045" s="310"/>
      <c r="S1045" s="13"/>
      <c r="T1045" s="13"/>
      <c r="U1045" s="13"/>
      <c r="V1045" s="13"/>
      <c r="W1045" s="13"/>
      <c r="X1045" s="310"/>
      <c r="Y1045" s="311"/>
      <c r="Z1045" s="310"/>
      <c r="AA1045" s="312"/>
      <c r="AB1045" s="13"/>
      <c r="AC1045" s="313"/>
      <c r="AD1045" s="313"/>
      <c r="AE1045" s="313"/>
      <c r="AF1045" s="331"/>
      <c r="AG1045" s="320"/>
      <c r="AH1045" s="13"/>
      <c r="AI1045" s="13"/>
      <c r="AJ1045" s="13"/>
      <c r="AK1045" s="13"/>
      <c r="AL1045" s="13"/>
      <c r="AM1045" s="13"/>
      <c r="AN1045" s="13"/>
      <c r="AO1045" s="13"/>
      <c r="AP1045" s="13"/>
    </row>
    <row r="1046" ht="18.75" customHeight="1">
      <c r="A1046" s="13"/>
      <c r="B1046" s="282"/>
      <c r="C1046" s="330"/>
      <c r="D1046" s="330"/>
      <c r="E1046" s="330"/>
      <c r="F1046" s="13"/>
      <c r="G1046" s="309"/>
      <c r="H1046" s="309"/>
      <c r="I1046" s="309"/>
      <c r="J1046" s="310"/>
      <c r="K1046" s="310"/>
      <c r="L1046" s="310"/>
      <c r="M1046" s="310"/>
      <c r="N1046" s="310"/>
      <c r="O1046" s="311"/>
      <c r="P1046" s="310"/>
      <c r="Q1046" s="311"/>
      <c r="R1046" s="310"/>
      <c r="S1046" s="13"/>
      <c r="T1046" s="13"/>
      <c r="U1046" s="13"/>
      <c r="V1046" s="13"/>
      <c r="W1046" s="13"/>
      <c r="X1046" s="310"/>
      <c r="Y1046" s="311"/>
      <c r="Z1046" s="310"/>
      <c r="AA1046" s="312"/>
      <c r="AB1046" s="13"/>
      <c r="AC1046" s="313"/>
      <c r="AD1046" s="313"/>
      <c r="AE1046" s="313"/>
      <c r="AF1046" s="331"/>
      <c r="AG1046" s="320"/>
      <c r="AH1046" s="13"/>
      <c r="AI1046" s="13"/>
      <c r="AJ1046" s="13"/>
      <c r="AK1046" s="13"/>
      <c r="AL1046" s="13"/>
      <c r="AM1046" s="13"/>
      <c r="AN1046" s="13"/>
      <c r="AO1046" s="13"/>
      <c r="AP1046" s="13"/>
    </row>
    <row r="1047" ht="18.75" customHeight="1">
      <c r="A1047" s="13"/>
      <c r="B1047" s="282"/>
      <c r="C1047" s="330"/>
      <c r="D1047" s="330"/>
      <c r="E1047" s="330"/>
      <c r="F1047" s="13"/>
      <c r="G1047" s="309"/>
      <c r="H1047" s="309"/>
      <c r="I1047" s="309"/>
      <c r="J1047" s="310"/>
      <c r="K1047" s="310"/>
      <c r="L1047" s="310"/>
      <c r="M1047" s="310"/>
      <c r="N1047" s="310"/>
      <c r="O1047" s="311"/>
      <c r="P1047" s="310"/>
      <c r="Q1047" s="311"/>
      <c r="R1047" s="310"/>
      <c r="S1047" s="13"/>
      <c r="T1047" s="13"/>
      <c r="U1047" s="13"/>
      <c r="V1047" s="13"/>
      <c r="W1047" s="13"/>
      <c r="X1047" s="310"/>
      <c r="Y1047" s="311"/>
      <c r="Z1047" s="310"/>
      <c r="AA1047" s="312"/>
      <c r="AB1047" s="13"/>
      <c r="AC1047" s="313"/>
      <c r="AD1047" s="313"/>
      <c r="AE1047" s="313"/>
      <c r="AF1047" s="331"/>
      <c r="AG1047" s="320"/>
      <c r="AH1047" s="13"/>
      <c r="AI1047" s="13"/>
      <c r="AJ1047" s="13"/>
      <c r="AK1047" s="13"/>
      <c r="AL1047" s="13"/>
      <c r="AM1047" s="13"/>
      <c r="AN1047" s="13"/>
      <c r="AO1047" s="13"/>
      <c r="AP1047" s="13"/>
    </row>
    <row r="1048" ht="18.75" customHeight="1">
      <c r="A1048" s="13"/>
      <c r="B1048" s="282"/>
      <c r="C1048" s="330"/>
      <c r="D1048" s="330"/>
      <c r="E1048" s="330"/>
      <c r="F1048" s="13"/>
      <c r="G1048" s="309"/>
      <c r="H1048" s="309"/>
      <c r="I1048" s="309"/>
      <c r="J1048" s="310"/>
      <c r="K1048" s="310"/>
      <c r="L1048" s="310"/>
      <c r="M1048" s="310"/>
      <c r="N1048" s="310"/>
      <c r="O1048" s="311"/>
      <c r="P1048" s="310"/>
      <c r="Q1048" s="311"/>
      <c r="R1048" s="310"/>
      <c r="S1048" s="13"/>
      <c r="T1048" s="13"/>
      <c r="U1048" s="13"/>
      <c r="V1048" s="13"/>
      <c r="W1048" s="13"/>
      <c r="X1048" s="310"/>
      <c r="Y1048" s="311"/>
      <c r="Z1048" s="310"/>
      <c r="AA1048" s="312"/>
      <c r="AB1048" s="13"/>
      <c r="AC1048" s="313"/>
      <c r="AD1048" s="313"/>
      <c r="AE1048" s="313"/>
      <c r="AF1048" s="331"/>
      <c r="AG1048" s="320"/>
      <c r="AH1048" s="13"/>
      <c r="AI1048" s="13"/>
      <c r="AJ1048" s="13"/>
      <c r="AK1048" s="13"/>
      <c r="AL1048" s="13"/>
      <c r="AM1048" s="13"/>
      <c r="AN1048" s="13"/>
      <c r="AO1048" s="13"/>
      <c r="AP1048" s="13"/>
    </row>
    <row r="1049" ht="18.75" customHeight="1">
      <c r="A1049" s="13"/>
      <c r="B1049" s="282"/>
      <c r="C1049" s="330"/>
      <c r="D1049" s="330"/>
      <c r="E1049" s="330"/>
      <c r="F1049" s="13"/>
      <c r="G1049" s="309"/>
      <c r="H1049" s="309"/>
      <c r="I1049" s="309"/>
      <c r="J1049" s="310"/>
      <c r="K1049" s="310"/>
      <c r="L1049" s="310"/>
      <c r="M1049" s="310"/>
      <c r="N1049" s="310"/>
      <c r="O1049" s="311"/>
      <c r="P1049" s="310"/>
      <c r="Q1049" s="311"/>
      <c r="R1049" s="310"/>
      <c r="S1049" s="13"/>
      <c r="T1049" s="13"/>
      <c r="U1049" s="13"/>
      <c r="V1049" s="13"/>
      <c r="W1049" s="13"/>
      <c r="X1049" s="310"/>
      <c r="Y1049" s="311"/>
      <c r="Z1049" s="310"/>
      <c r="AA1049" s="312"/>
      <c r="AB1049" s="13"/>
      <c r="AC1049" s="313"/>
      <c r="AD1049" s="313"/>
      <c r="AE1049" s="313"/>
      <c r="AF1049" s="331"/>
      <c r="AG1049" s="320"/>
      <c r="AH1049" s="13"/>
      <c r="AI1049" s="13"/>
      <c r="AJ1049" s="13"/>
      <c r="AK1049" s="13"/>
      <c r="AL1049" s="13"/>
      <c r="AM1049" s="13"/>
      <c r="AN1049" s="13"/>
      <c r="AO1049" s="13"/>
      <c r="AP1049" s="13"/>
    </row>
    <row r="1050" ht="18.75" customHeight="1">
      <c r="A1050" s="13"/>
      <c r="B1050" s="282"/>
      <c r="C1050" s="330"/>
      <c r="D1050" s="330"/>
      <c r="E1050" s="330"/>
      <c r="F1050" s="13"/>
      <c r="G1050" s="309"/>
      <c r="H1050" s="309"/>
      <c r="I1050" s="309"/>
      <c r="J1050" s="310"/>
      <c r="K1050" s="310"/>
      <c r="L1050" s="310"/>
      <c r="M1050" s="310"/>
      <c r="N1050" s="310"/>
      <c r="O1050" s="311"/>
      <c r="P1050" s="310"/>
      <c r="Q1050" s="311"/>
      <c r="R1050" s="310"/>
      <c r="S1050" s="13"/>
      <c r="T1050" s="13"/>
      <c r="U1050" s="13"/>
      <c r="V1050" s="13"/>
      <c r="W1050" s="13"/>
      <c r="X1050" s="310"/>
      <c r="Y1050" s="311"/>
      <c r="Z1050" s="310"/>
      <c r="AA1050" s="312"/>
      <c r="AB1050" s="13"/>
      <c r="AC1050" s="313"/>
      <c r="AD1050" s="313"/>
      <c r="AE1050" s="313"/>
      <c r="AF1050" s="331"/>
      <c r="AG1050" s="320"/>
      <c r="AH1050" s="13"/>
      <c r="AI1050" s="13"/>
      <c r="AJ1050" s="13"/>
      <c r="AK1050" s="13"/>
      <c r="AL1050" s="13"/>
      <c r="AM1050" s="13"/>
      <c r="AN1050" s="13"/>
      <c r="AO1050" s="13"/>
      <c r="AP1050" s="13"/>
    </row>
    <row r="1051" ht="18.75" customHeight="1">
      <c r="A1051" s="13"/>
      <c r="B1051" s="282"/>
      <c r="C1051" s="330"/>
      <c r="D1051" s="330"/>
      <c r="E1051" s="330"/>
      <c r="F1051" s="13"/>
      <c r="G1051" s="309"/>
      <c r="H1051" s="309"/>
      <c r="I1051" s="309"/>
      <c r="J1051" s="310"/>
      <c r="K1051" s="310"/>
      <c r="L1051" s="310"/>
      <c r="M1051" s="310"/>
      <c r="N1051" s="310"/>
      <c r="O1051" s="311"/>
      <c r="P1051" s="310"/>
      <c r="Q1051" s="311"/>
      <c r="R1051" s="310"/>
      <c r="S1051" s="13"/>
      <c r="T1051" s="13"/>
      <c r="U1051" s="13"/>
      <c r="V1051" s="13"/>
      <c r="W1051" s="13"/>
      <c r="X1051" s="310"/>
      <c r="Y1051" s="311"/>
      <c r="Z1051" s="310"/>
      <c r="AA1051" s="312"/>
      <c r="AB1051" s="13"/>
      <c r="AC1051" s="313"/>
      <c r="AD1051" s="313"/>
      <c r="AE1051" s="313"/>
      <c r="AF1051" s="331"/>
      <c r="AG1051" s="320"/>
      <c r="AH1051" s="13"/>
      <c r="AI1051" s="13"/>
      <c r="AJ1051" s="13"/>
      <c r="AK1051" s="13"/>
      <c r="AL1051" s="13"/>
      <c r="AM1051" s="13"/>
      <c r="AN1051" s="13"/>
      <c r="AO1051" s="13"/>
      <c r="AP1051" s="13"/>
    </row>
    <row r="1052" ht="18.75" customHeight="1">
      <c r="A1052" s="13"/>
      <c r="B1052" s="282"/>
      <c r="C1052" s="330"/>
      <c r="D1052" s="330"/>
      <c r="E1052" s="330"/>
      <c r="F1052" s="13"/>
      <c r="G1052" s="309"/>
      <c r="H1052" s="309"/>
      <c r="I1052" s="309"/>
      <c r="J1052" s="310"/>
      <c r="K1052" s="310"/>
      <c r="L1052" s="310"/>
      <c r="M1052" s="310"/>
      <c r="N1052" s="310"/>
      <c r="O1052" s="311"/>
      <c r="P1052" s="310"/>
      <c r="Q1052" s="311"/>
      <c r="R1052" s="310"/>
      <c r="S1052" s="13"/>
      <c r="T1052" s="13"/>
      <c r="U1052" s="13"/>
      <c r="V1052" s="13"/>
      <c r="W1052" s="13"/>
      <c r="X1052" s="310"/>
      <c r="Y1052" s="311"/>
      <c r="Z1052" s="310"/>
      <c r="AA1052" s="312"/>
      <c r="AB1052" s="13"/>
      <c r="AC1052" s="313"/>
      <c r="AD1052" s="313"/>
      <c r="AE1052" s="313"/>
      <c r="AF1052" s="331"/>
      <c r="AG1052" s="320"/>
      <c r="AH1052" s="13"/>
      <c r="AI1052" s="13"/>
      <c r="AJ1052" s="13"/>
      <c r="AK1052" s="13"/>
      <c r="AL1052" s="13"/>
      <c r="AM1052" s="13"/>
      <c r="AN1052" s="13"/>
      <c r="AO1052" s="13"/>
      <c r="AP1052" s="13"/>
    </row>
    <row r="1053" ht="18.75" customHeight="1">
      <c r="A1053" s="13"/>
      <c r="B1053" s="282"/>
      <c r="C1053" s="330"/>
      <c r="D1053" s="330"/>
      <c r="E1053" s="330"/>
      <c r="F1053" s="13"/>
      <c r="G1053" s="309"/>
      <c r="H1053" s="309"/>
      <c r="I1053" s="309"/>
      <c r="J1053" s="310"/>
      <c r="K1053" s="310"/>
      <c r="L1053" s="310"/>
      <c r="M1053" s="310"/>
      <c r="N1053" s="310"/>
      <c r="O1053" s="311"/>
      <c r="P1053" s="310"/>
      <c r="Q1053" s="311"/>
      <c r="R1053" s="310"/>
      <c r="S1053" s="13"/>
      <c r="T1053" s="13"/>
      <c r="U1053" s="13"/>
      <c r="V1053" s="13"/>
      <c r="W1053" s="13"/>
      <c r="X1053" s="310"/>
      <c r="Y1053" s="311"/>
      <c r="Z1053" s="310"/>
      <c r="AA1053" s="312"/>
      <c r="AB1053" s="13"/>
      <c r="AC1053" s="313"/>
      <c r="AD1053" s="313"/>
      <c r="AE1053" s="313"/>
      <c r="AF1053" s="331"/>
      <c r="AG1053" s="320"/>
      <c r="AH1053" s="13"/>
      <c r="AI1053" s="13"/>
      <c r="AJ1053" s="13"/>
      <c r="AK1053" s="13"/>
      <c r="AL1053" s="13"/>
      <c r="AM1053" s="13"/>
      <c r="AN1053" s="13"/>
      <c r="AO1053" s="13"/>
      <c r="AP1053" s="13"/>
    </row>
    <row r="1054" ht="18.75" customHeight="1">
      <c r="A1054" s="13"/>
      <c r="B1054" s="282"/>
      <c r="C1054" s="330"/>
      <c r="D1054" s="330"/>
      <c r="E1054" s="330"/>
      <c r="F1054" s="13"/>
      <c r="G1054" s="309"/>
      <c r="H1054" s="309"/>
      <c r="I1054" s="309"/>
      <c r="J1054" s="310"/>
      <c r="K1054" s="310"/>
      <c r="L1054" s="310"/>
      <c r="M1054" s="310"/>
      <c r="N1054" s="310"/>
      <c r="O1054" s="311"/>
      <c r="P1054" s="310"/>
      <c r="Q1054" s="311"/>
      <c r="R1054" s="310"/>
      <c r="S1054" s="13"/>
      <c r="T1054" s="13"/>
      <c r="U1054" s="13"/>
      <c r="V1054" s="13"/>
      <c r="W1054" s="13"/>
      <c r="X1054" s="310"/>
      <c r="Y1054" s="311"/>
      <c r="Z1054" s="310"/>
      <c r="AA1054" s="312"/>
      <c r="AB1054" s="13"/>
      <c r="AC1054" s="313"/>
      <c r="AD1054" s="313"/>
      <c r="AE1054" s="313"/>
      <c r="AF1054" s="331"/>
      <c r="AG1054" s="320"/>
      <c r="AH1054" s="13"/>
      <c r="AI1054" s="13"/>
      <c r="AJ1054" s="13"/>
      <c r="AK1054" s="13"/>
      <c r="AL1054" s="13"/>
      <c r="AM1054" s="13"/>
      <c r="AN1054" s="13"/>
      <c r="AO1054" s="13"/>
      <c r="AP1054" s="13"/>
    </row>
    <row r="1055" ht="18.75" customHeight="1">
      <c r="A1055" s="13"/>
      <c r="B1055" s="282"/>
      <c r="C1055" s="330"/>
      <c r="D1055" s="330"/>
      <c r="E1055" s="330"/>
      <c r="F1055" s="13"/>
      <c r="G1055" s="309"/>
      <c r="H1055" s="309"/>
      <c r="I1055" s="309"/>
      <c r="J1055" s="310"/>
      <c r="K1055" s="310"/>
      <c r="L1055" s="310"/>
      <c r="M1055" s="310"/>
      <c r="N1055" s="310"/>
      <c r="O1055" s="311"/>
      <c r="P1055" s="310"/>
      <c r="Q1055" s="311"/>
      <c r="R1055" s="310"/>
      <c r="S1055" s="13"/>
      <c r="T1055" s="13"/>
      <c r="U1055" s="13"/>
      <c r="V1055" s="13"/>
      <c r="W1055" s="13"/>
      <c r="X1055" s="310"/>
      <c r="Y1055" s="311"/>
      <c r="Z1055" s="310"/>
      <c r="AA1055" s="312"/>
      <c r="AB1055" s="13"/>
      <c r="AC1055" s="313"/>
      <c r="AD1055" s="313"/>
      <c r="AE1055" s="313"/>
      <c r="AF1055" s="331"/>
      <c r="AG1055" s="320"/>
      <c r="AH1055" s="13"/>
      <c r="AI1055" s="13"/>
      <c r="AJ1055" s="13"/>
      <c r="AK1055" s="13"/>
      <c r="AL1055" s="13"/>
      <c r="AM1055" s="13"/>
      <c r="AN1055" s="13"/>
      <c r="AO1055" s="13"/>
      <c r="AP1055" s="13"/>
    </row>
    <row r="1056" ht="18.75" customHeight="1">
      <c r="A1056" s="13"/>
      <c r="B1056" s="282"/>
      <c r="C1056" s="330"/>
      <c r="D1056" s="330"/>
      <c r="E1056" s="330"/>
      <c r="F1056" s="13"/>
      <c r="G1056" s="309"/>
      <c r="H1056" s="309"/>
      <c r="I1056" s="309"/>
      <c r="J1056" s="310"/>
      <c r="K1056" s="310"/>
      <c r="L1056" s="310"/>
      <c r="M1056" s="310"/>
      <c r="N1056" s="310"/>
      <c r="O1056" s="311"/>
      <c r="P1056" s="310"/>
      <c r="Q1056" s="311"/>
      <c r="R1056" s="310"/>
      <c r="S1056" s="13"/>
      <c r="T1056" s="13"/>
      <c r="U1056" s="13"/>
      <c r="V1056" s="13"/>
      <c r="W1056" s="13"/>
      <c r="X1056" s="310"/>
      <c r="Y1056" s="311"/>
      <c r="Z1056" s="310"/>
      <c r="AA1056" s="312"/>
      <c r="AB1056" s="13"/>
      <c r="AC1056" s="313"/>
      <c r="AD1056" s="313"/>
      <c r="AE1056" s="313"/>
      <c r="AF1056" s="331"/>
      <c r="AG1056" s="320"/>
      <c r="AH1056" s="13"/>
      <c r="AI1056" s="13"/>
      <c r="AJ1056" s="13"/>
      <c r="AK1056" s="13"/>
      <c r="AL1056" s="13"/>
      <c r="AM1056" s="13"/>
      <c r="AN1056" s="13"/>
      <c r="AO1056" s="13"/>
      <c r="AP1056" s="13"/>
    </row>
    <row r="1057" ht="18.75" customHeight="1">
      <c r="A1057" s="13"/>
      <c r="B1057" s="282"/>
      <c r="C1057" s="330"/>
      <c r="D1057" s="330"/>
      <c r="E1057" s="330"/>
      <c r="F1057" s="13"/>
      <c r="G1057" s="309"/>
      <c r="H1057" s="309"/>
      <c r="I1057" s="309"/>
      <c r="J1057" s="310"/>
      <c r="K1057" s="310"/>
      <c r="L1057" s="310"/>
      <c r="M1057" s="310"/>
      <c r="N1057" s="310"/>
      <c r="O1057" s="311"/>
      <c r="P1057" s="310"/>
      <c r="Q1057" s="311"/>
      <c r="R1057" s="310"/>
      <c r="S1057" s="13"/>
      <c r="T1057" s="13"/>
      <c r="U1057" s="13"/>
      <c r="V1057" s="13"/>
      <c r="W1057" s="13"/>
      <c r="X1057" s="310"/>
      <c r="Y1057" s="311"/>
      <c r="Z1057" s="310"/>
      <c r="AA1057" s="312"/>
      <c r="AB1057" s="13"/>
      <c r="AC1057" s="313"/>
      <c r="AD1057" s="313"/>
      <c r="AE1057" s="313"/>
      <c r="AF1057" s="331"/>
      <c r="AG1057" s="320"/>
      <c r="AH1057" s="13"/>
      <c r="AI1057" s="13"/>
      <c r="AJ1057" s="13"/>
      <c r="AK1057" s="13"/>
      <c r="AL1057" s="13"/>
      <c r="AM1057" s="13"/>
      <c r="AN1057" s="13"/>
      <c r="AO1057" s="13"/>
      <c r="AP1057" s="13"/>
    </row>
    <row r="1058" ht="18.75" customHeight="1">
      <c r="A1058" s="13"/>
      <c r="B1058" s="282"/>
      <c r="C1058" s="330"/>
      <c r="D1058" s="330"/>
      <c r="E1058" s="330"/>
      <c r="F1058" s="13"/>
      <c r="G1058" s="309"/>
      <c r="H1058" s="309"/>
      <c r="I1058" s="309"/>
      <c r="J1058" s="310"/>
      <c r="K1058" s="310"/>
      <c r="L1058" s="310"/>
      <c r="M1058" s="310"/>
      <c r="N1058" s="310"/>
      <c r="O1058" s="311"/>
      <c r="P1058" s="310"/>
      <c r="Q1058" s="311"/>
      <c r="R1058" s="310"/>
      <c r="S1058" s="13"/>
      <c r="T1058" s="13"/>
      <c r="U1058" s="13"/>
      <c r="V1058" s="13"/>
      <c r="W1058" s="13"/>
      <c r="X1058" s="310"/>
      <c r="Y1058" s="311"/>
      <c r="Z1058" s="310"/>
      <c r="AA1058" s="312"/>
      <c r="AB1058" s="13"/>
      <c r="AC1058" s="313"/>
      <c r="AD1058" s="313"/>
      <c r="AE1058" s="313"/>
      <c r="AF1058" s="331"/>
      <c r="AG1058" s="320"/>
      <c r="AH1058" s="13"/>
      <c r="AI1058" s="13"/>
      <c r="AJ1058" s="13"/>
      <c r="AK1058" s="13"/>
      <c r="AL1058" s="13"/>
      <c r="AM1058" s="13"/>
      <c r="AN1058" s="13"/>
      <c r="AO1058" s="13"/>
      <c r="AP1058" s="13"/>
    </row>
    <row r="1059" ht="18.75" customHeight="1">
      <c r="A1059" s="13"/>
      <c r="B1059" s="282"/>
      <c r="C1059" s="330"/>
      <c r="D1059" s="330"/>
      <c r="E1059" s="330"/>
      <c r="F1059" s="13"/>
      <c r="G1059" s="309"/>
      <c r="H1059" s="309"/>
      <c r="I1059" s="309"/>
      <c r="J1059" s="310"/>
      <c r="K1059" s="310"/>
      <c r="L1059" s="310"/>
      <c r="M1059" s="310"/>
      <c r="N1059" s="310"/>
      <c r="O1059" s="311"/>
      <c r="P1059" s="310"/>
      <c r="Q1059" s="311"/>
      <c r="R1059" s="310"/>
      <c r="S1059" s="13"/>
      <c r="T1059" s="13"/>
      <c r="U1059" s="13"/>
      <c r="V1059" s="13"/>
      <c r="W1059" s="13"/>
      <c r="X1059" s="310"/>
      <c r="Y1059" s="311"/>
      <c r="Z1059" s="310"/>
      <c r="AA1059" s="312"/>
      <c r="AB1059" s="13"/>
      <c r="AC1059" s="313"/>
      <c r="AD1059" s="313"/>
      <c r="AE1059" s="313"/>
      <c r="AF1059" s="331"/>
      <c r="AG1059" s="320"/>
      <c r="AH1059" s="13"/>
      <c r="AI1059" s="13"/>
      <c r="AJ1059" s="13"/>
      <c r="AK1059" s="13"/>
      <c r="AL1059" s="13"/>
      <c r="AM1059" s="13"/>
      <c r="AN1059" s="13"/>
      <c r="AO1059" s="13"/>
      <c r="AP1059" s="13"/>
    </row>
    <row r="1060" ht="18.75" customHeight="1">
      <c r="A1060" s="13"/>
      <c r="B1060" s="282"/>
      <c r="C1060" s="330"/>
      <c r="D1060" s="330"/>
      <c r="E1060" s="330"/>
      <c r="F1060" s="13"/>
      <c r="G1060" s="309"/>
      <c r="H1060" s="309"/>
      <c r="I1060" s="309"/>
      <c r="J1060" s="310"/>
      <c r="K1060" s="310"/>
      <c r="L1060" s="310"/>
      <c r="M1060" s="310"/>
      <c r="N1060" s="310"/>
      <c r="O1060" s="311"/>
      <c r="P1060" s="310"/>
      <c r="Q1060" s="311"/>
      <c r="R1060" s="310"/>
      <c r="S1060" s="13"/>
      <c r="T1060" s="13"/>
      <c r="U1060" s="13"/>
      <c r="V1060" s="13"/>
      <c r="W1060" s="13"/>
      <c r="X1060" s="310"/>
      <c r="Y1060" s="311"/>
      <c r="Z1060" s="310"/>
      <c r="AA1060" s="312"/>
      <c r="AB1060" s="13"/>
      <c r="AC1060" s="313"/>
      <c r="AD1060" s="313"/>
      <c r="AE1060" s="313"/>
      <c r="AF1060" s="331"/>
      <c r="AG1060" s="320"/>
      <c r="AH1060" s="13"/>
      <c r="AI1060" s="13"/>
      <c r="AJ1060" s="13"/>
      <c r="AK1060" s="13"/>
      <c r="AL1060" s="13"/>
      <c r="AM1060" s="13"/>
      <c r="AN1060" s="13"/>
      <c r="AO1060" s="13"/>
      <c r="AP1060" s="13"/>
    </row>
    <row r="1061" ht="18.75" customHeight="1">
      <c r="A1061" s="13"/>
      <c r="B1061" s="282"/>
      <c r="C1061" s="330"/>
      <c r="D1061" s="330"/>
      <c r="E1061" s="330"/>
      <c r="F1061" s="13"/>
      <c r="G1061" s="309"/>
      <c r="H1061" s="309"/>
      <c r="I1061" s="309"/>
      <c r="J1061" s="310"/>
      <c r="K1061" s="310"/>
      <c r="L1061" s="310"/>
      <c r="M1061" s="310"/>
      <c r="N1061" s="310"/>
      <c r="O1061" s="311"/>
      <c r="P1061" s="310"/>
      <c r="Q1061" s="311"/>
      <c r="R1061" s="310"/>
      <c r="S1061" s="13"/>
      <c r="T1061" s="13"/>
      <c r="U1061" s="13"/>
      <c r="V1061" s="13"/>
      <c r="W1061" s="13"/>
      <c r="X1061" s="310"/>
      <c r="Y1061" s="311"/>
      <c r="Z1061" s="310"/>
      <c r="AA1061" s="312"/>
      <c r="AB1061" s="13"/>
      <c r="AC1061" s="313"/>
      <c r="AD1061" s="313"/>
      <c r="AE1061" s="313"/>
      <c r="AF1061" s="331"/>
      <c r="AG1061" s="320"/>
      <c r="AH1061" s="13"/>
      <c r="AI1061" s="13"/>
      <c r="AJ1061" s="13"/>
      <c r="AK1061" s="13"/>
      <c r="AL1061" s="13"/>
      <c r="AM1061" s="13"/>
      <c r="AN1061" s="13"/>
      <c r="AO1061" s="13"/>
      <c r="AP1061" s="13"/>
    </row>
    <row r="1062" ht="18.75" customHeight="1">
      <c r="A1062" s="13"/>
      <c r="B1062" s="282"/>
      <c r="C1062" s="330"/>
      <c r="D1062" s="330"/>
      <c r="E1062" s="330"/>
      <c r="F1062" s="13"/>
      <c r="G1062" s="309"/>
      <c r="H1062" s="309"/>
      <c r="I1062" s="309"/>
      <c r="J1062" s="310"/>
      <c r="K1062" s="310"/>
      <c r="L1062" s="310"/>
      <c r="M1062" s="310"/>
      <c r="N1062" s="310"/>
      <c r="O1062" s="311"/>
      <c r="P1062" s="310"/>
      <c r="Q1062" s="311"/>
      <c r="R1062" s="310"/>
      <c r="S1062" s="13"/>
      <c r="T1062" s="13"/>
      <c r="U1062" s="13"/>
      <c r="V1062" s="13"/>
      <c r="W1062" s="13"/>
      <c r="X1062" s="310"/>
      <c r="Y1062" s="311"/>
      <c r="Z1062" s="310"/>
      <c r="AA1062" s="312"/>
      <c r="AB1062" s="13"/>
      <c r="AC1062" s="313"/>
      <c r="AD1062" s="313"/>
      <c r="AE1062" s="313"/>
      <c r="AF1062" s="331"/>
      <c r="AG1062" s="320"/>
      <c r="AH1062" s="13"/>
      <c r="AI1062" s="13"/>
      <c r="AJ1062" s="13"/>
      <c r="AK1062" s="13"/>
      <c r="AL1062" s="13"/>
      <c r="AM1062" s="13"/>
      <c r="AN1062" s="13"/>
      <c r="AO1062" s="13"/>
      <c r="AP1062" s="13"/>
    </row>
    <row r="1063" ht="18.75" customHeight="1">
      <c r="A1063" s="13"/>
      <c r="B1063" s="282"/>
      <c r="C1063" s="330"/>
      <c r="D1063" s="330"/>
      <c r="E1063" s="330"/>
      <c r="F1063" s="13"/>
      <c r="G1063" s="309"/>
      <c r="H1063" s="309"/>
      <c r="I1063" s="309"/>
      <c r="J1063" s="310"/>
      <c r="K1063" s="310"/>
      <c r="L1063" s="310"/>
      <c r="M1063" s="310"/>
      <c r="N1063" s="310"/>
      <c r="O1063" s="311"/>
      <c r="P1063" s="310"/>
      <c r="Q1063" s="311"/>
      <c r="R1063" s="310"/>
      <c r="S1063" s="13"/>
      <c r="T1063" s="13"/>
      <c r="U1063" s="13"/>
      <c r="V1063" s="13"/>
      <c r="W1063" s="13"/>
      <c r="X1063" s="310"/>
      <c r="Y1063" s="311"/>
      <c r="Z1063" s="310"/>
      <c r="AA1063" s="312"/>
      <c r="AB1063" s="13"/>
      <c r="AC1063" s="313"/>
      <c r="AD1063" s="313"/>
      <c r="AE1063" s="313"/>
      <c r="AF1063" s="331"/>
      <c r="AG1063" s="320"/>
      <c r="AH1063" s="13"/>
      <c r="AI1063" s="13"/>
      <c r="AJ1063" s="13"/>
      <c r="AK1063" s="13"/>
      <c r="AL1063" s="13"/>
      <c r="AM1063" s="13"/>
      <c r="AN1063" s="13"/>
      <c r="AO1063" s="13"/>
      <c r="AP1063" s="13"/>
    </row>
    <row r="1064" ht="18.75" customHeight="1">
      <c r="A1064" s="13"/>
      <c r="B1064" s="282"/>
      <c r="C1064" s="330"/>
      <c r="D1064" s="330"/>
      <c r="E1064" s="330"/>
      <c r="F1064" s="13"/>
      <c r="G1064" s="309"/>
      <c r="H1064" s="309"/>
      <c r="I1064" s="309"/>
      <c r="J1064" s="310"/>
      <c r="K1064" s="310"/>
      <c r="L1064" s="310"/>
      <c r="M1064" s="310"/>
      <c r="N1064" s="310"/>
      <c r="O1064" s="311"/>
      <c r="P1064" s="310"/>
      <c r="Q1064" s="311"/>
      <c r="R1064" s="310"/>
      <c r="S1064" s="13"/>
      <c r="T1064" s="13"/>
      <c r="U1064" s="13"/>
      <c r="V1064" s="13"/>
      <c r="W1064" s="13"/>
      <c r="X1064" s="310"/>
      <c r="Y1064" s="311"/>
      <c r="Z1064" s="310"/>
      <c r="AA1064" s="312"/>
      <c r="AB1064" s="13"/>
      <c r="AC1064" s="313"/>
      <c r="AD1064" s="313"/>
      <c r="AE1064" s="313"/>
      <c r="AF1064" s="331"/>
      <c r="AG1064" s="320"/>
      <c r="AH1064" s="13"/>
      <c r="AI1064" s="13"/>
      <c r="AJ1064" s="13"/>
      <c r="AK1064" s="13"/>
      <c r="AL1064" s="13"/>
      <c r="AM1064" s="13"/>
      <c r="AN1064" s="13"/>
      <c r="AO1064" s="13"/>
      <c r="AP1064" s="13"/>
    </row>
    <row r="1065" ht="18.75" customHeight="1">
      <c r="A1065" s="13"/>
      <c r="B1065" s="282"/>
      <c r="C1065" s="330"/>
      <c r="D1065" s="330"/>
      <c r="E1065" s="330"/>
      <c r="F1065" s="13"/>
      <c r="G1065" s="309"/>
      <c r="H1065" s="309"/>
      <c r="I1065" s="309"/>
      <c r="J1065" s="310"/>
      <c r="K1065" s="310"/>
      <c r="L1065" s="310"/>
      <c r="M1065" s="310"/>
      <c r="N1065" s="310"/>
      <c r="O1065" s="311"/>
      <c r="P1065" s="310"/>
      <c r="Q1065" s="311"/>
      <c r="R1065" s="310"/>
      <c r="S1065" s="13"/>
      <c r="T1065" s="13"/>
      <c r="U1065" s="13"/>
      <c r="V1065" s="13"/>
      <c r="W1065" s="13"/>
      <c r="X1065" s="310"/>
      <c r="Y1065" s="311"/>
      <c r="Z1065" s="310"/>
      <c r="AA1065" s="312"/>
      <c r="AB1065" s="13"/>
      <c r="AC1065" s="313"/>
      <c r="AD1065" s="313"/>
      <c r="AE1065" s="313"/>
      <c r="AF1065" s="331"/>
      <c r="AG1065" s="320"/>
      <c r="AH1065" s="13"/>
      <c r="AI1065" s="13"/>
      <c r="AJ1065" s="13"/>
      <c r="AK1065" s="13"/>
      <c r="AL1065" s="13"/>
      <c r="AM1065" s="13"/>
      <c r="AN1065" s="13"/>
      <c r="AO1065" s="13"/>
      <c r="AP1065" s="13"/>
    </row>
    <row r="1066" ht="18.75" customHeight="1">
      <c r="A1066" s="13"/>
      <c r="B1066" s="282"/>
      <c r="C1066" s="330"/>
      <c r="D1066" s="330"/>
      <c r="E1066" s="330"/>
      <c r="F1066" s="13"/>
      <c r="G1066" s="309"/>
      <c r="H1066" s="309"/>
      <c r="I1066" s="309"/>
      <c r="J1066" s="310"/>
      <c r="K1066" s="310"/>
      <c r="L1066" s="310"/>
      <c r="M1066" s="310"/>
      <c r="N1066" s="310"/>
      <c r="O1066" s="311"/>
      <c r="P1066" s="310"/>
      <c r="Q1066" s="311"/>
      <c r="R1066" s="310"/>
      <c r="S1066" s="13"/>
      <c r="T1066" s="13"/>
      <c r="U1066" s="13"/>
      <c r="V1066" s="13"/>
      <c r="W1066" s="13"/>
      <c r="X1066" s="310"/>
      <c r="Y1066" s="311"/>
      <c r="Z1066" s="310"/>
      <c r="AA1066" s="312"/>
      <c r="AB1066" s="13"/>
      <c r="AC1066" s="313"/>
      <c r="AD1066" s="313"/>
      <c r="AE1066" s="313"/>
      <c r="AF1066" s="331"/>
      <c r="AG1066" s="320"/>
      <c r="AH1066" s="13"/>
      <c r="AI1066" s="13"/>
      <c r="AJ1066" s="13"/>
      <c r="AK1066" s="13"/>
      <c r="AL1066" s="13"/>
      <c r="AM1066" s="13"/>
      <c r="AN1066" s="13"/>
      <c r="AO1066" s="13"/>
      <c r="AP1066" s="13"/>
    </row>
    <row r="1067" ht="18.75" customHeight="1">
      <c r="A1067" s="13"/>
      <c r="B1067" s="282"/>
      <c r="C1067" s="330"/>
      <c r="D1067" s="330"/>
      <c r="E1067" s="330"/>
      <c r="F1067" s="13"/>
      <c r="G1067" s="309"/>
      <c r="H1067" s="309"/>
      <c r="I1067" s="309"/>
      <c r="J1067" s="310"/>
      <c r="K1067" s="310"/>
      <c r="L1067" s="310"/>
      <c r="M1067" s="310"/>
      <c r="N1067" s="310"/>
      <c r="O1067" s="311"/>
      <c r="P1067" s="310"/>
      <c r="Q1067" s="311"/>
      <c r="R1067" s="310"/>
      <c r="S1067" s="13"/>
      <c r="T1067" s="13"/>
      <c r="U1067" s="13"/>
      <c r="V1067" s="13"/>
      <c r="W1067" s="13"/>
      <c r="X1067" s="310"/>
      <c r="Y1067" s="311"/>
      <c r="Z1067" s="310"/>
      <c r="AA1067" s="312"/>
      <c r="AB1067" s="13"/>
      <c r="AC1067" s="313"/>
      <c r="AD1067" s="313"/>
      <c r="AE1067" s="313"/>
      <c r="AF1067" s="331"/>
      <c r="AG1067" s="320"/>
      <c r="AH1067" s="13"/>
      <c r="AI1067" s="13"/>
      <c r="AJ1067" s="13"/>
      <c r="AK1067" s="13"/>
      <c r="AL1067" s="13"/>
      <c r="AM1067" s="13"/>
      <c r="AN1067" s="13"/>
      <c r="AO1067" s="13"/>
      <c r="AP1067" s="13"/>
    </row>
    <row r="1068" ht="18.75" customHeight="1">
      <c r="A1068" s="13"/>
      <c r="B1068" s="282"/>
      <c r="C1068" s="330"/>
      <c r="D1068" s="330"/>
      <c r="E1068" s="330"/>
      <c r="F1068" s="13"/>
      <c r="G1068" s="309"/>
      <c r="H1068" s="309"/>
      <c r="I1068" s="309"/>
      <c r="J1068" s="310"/>
      <c r="K1068" s="310"/>
      <c r="L1068" s="310"/>
      <c r="M1068" s="310"/>
      <c r="N1068" s="310"/>
      <c r="O1068" s="311"/>
      <c r="P1068" s="310"/>
      <c r="Q1068" s="311"/>
      <c r="R1068" s="310"/>
      <c r="S1068" s="13"/>
      <c r="T1068" s="13"/>
      <c r="U1068" s="13"/>
      <c r="V1068" s="13"/>
      <c r="W1068" s="13"/>
      <c r="X1068" s="310"/>
      <c r="Y1068" s="311"/>
      <c r="Z1068" s="310"/>
      <c r="AA1068" s="312"/>
      <c r="AB1068" s="13"/>
      <c r="AC1068" s="313"/>
      <c r="AD1068" s="313"/>
      <c r="AE1068" s="313"/>
      <c r="AF1068" s="331"/>
      <c r="AG1068" s="320"/>
      <c r="AH1068" s="13"/>
      <c r="AI1068" s="13"/>
      <c r="AJ1068" s="13"/>
      <c r="AK1068" s="13"/>
      <c r="AL1068" s="13"/>
      <c r="AM1068" s="13"/>
      <c r="AN1068" s="13"/>
      <c r="AO1068" s="13"/>
      <c r="AP1068" s="13"/>
    </row>
    <row r="1069" ht="18.75" customHeight="1">
      <c r="A1069" s="13"/>
      <c r="B1069" s="282"/>
      <c r="C1069" s="330"/>
      <c r="D1069" s="330"/>
      <c r="E1069" s="330"/>
      <c r="F1069" s="13"/>
      <c r="G1069" s="309"/>
      <c r="H1069" s="309"/>
      <c r="I1069" s="309"/>
      <c r="J1069" s="310"/>
      <c r="K1069" s="310"/>
      <c r="L1069" s="310"/>
      <c r="M1069" s="310"/>
      <c r="N1069" s="310"/>
      <c r="O1069" s="311"/>
      <c r="P1069" s="310"/>
      <c r="Q1069" s="311"/>
      <c r="R1069" s="310"/>
      <c r="S1069" s="13"/>
      <c r="T1069" s="13"/>
      <c r="U1069" s="13"/>
      <c r="V1069" s="13"/>
      <c r="W1069" s="13"/>
      <c r="X1069" s="310"/>
      <c r="Y1069" s="311"/>
      <c r="Z1069" s="310"/>
      <c r="AA1069" s="312"/>
      <c r="AB1069" s="13"/>
      <c r="AC1069" s="313"/>
      <c r="AD1069" s="313"/>
      <c r="AE1069" s="313"/>
      <c r="AF1069" s="331"/>
      <c r="AG1069" s="320"/>
      <c r="AH1069" s="13"/>
      <c r="AI1069" s="13"/>
      <c r="AJ1069" s="13"/>
      <c r="AK1069" s="13"/>
      <c r="AL1069" s="13"/>
      <c r="AM1069" s="13"/>
      <c r="AN1069" s="13"/>
      <c r="AO1069" s="13"/>
      <c r="AP1069" s="13"/>
    </row>
    <row r="1070" ht="18.75" customHeight="1">
      <c r="A1070" s="13"/>
      <c r="B1070" s="282"/>
      <c r="C1070" s="330"/>
      <c r="D1070" s="330"/>
      <c r="E1070" s="330"/>
      <c r="F1070" s="13"/>
      <c r="G1070" s="309"/>
      <c r="H1070" s="309"/>
      <c r="I1070" s="309"/>
      <c r="J1070" s="310"/>
      <c r="K1070" s="310"/>
      <c r="L1070" s="310"/>
      <c r="M1070" s="310"/>
      <c r="N1070" s="310"/>
      <c r="O1070" s="311"/>
      <c r="P1070" s="310"/>
      <c r="Q1070" s="311"/>
      <c r="R1070" s="310"/>
      <c r="S1070" s="13"/>
      <c r="T1070" s="13"/>
      <c r="U1070" s="13"/>
      <c r="V1070" s="13"/>
      <c r="W1070" s="13"/>
      <c r="X1070" s="310"/>
      <c r="Y1070" s="311"/>
      <c r="Z1070" s="310"/>
      <c r="AA1070" s="312"/>
      <c r="AB1070" s="13"/>
      <c r="AC1070" s="313"/>
      <c r="AD1070" s="313"/>
      <c r="AE1070" s="313"/>
      <c r="AF1070" s="331"/>
      <c r="AG1070" s="320"/>
      <c r="AH1070" s="13"/>
      <c r="AI1070" s="13"/>
      <c r="AJ1070" s="13"/>
      <c r="AK1070" s="13"/>
      <c r="AL1070" s="13"/>
      <c r="AM1070" s="13"/>
      <c r="AN1070" s="13"/>
      <c r="AO1070" s="13"/>
      <c r="AP1070" s="13"/>
    </row>
    <row r="1071" ht="18.75" customHeight="1">
      <c r="A1071" s="13"/>
      <c r="B1071" s="282"/>
      <c r="C1071" s="330"/>
      <c r="D1071" s="330"/>
      <c r="E1071" s="330"/>
      <c r="F1071" s="13"/>
      <c r="G1071" s="309"/>
      <c r="H1071" s="309"/>
      <c r="I1071" s="309"/>
      <c r="J1071" s="310"/>
      <c r="K1071" s="310"/>
      <c r="L1071" s="310"/>
      <c r="M1071" s="310"/>
      <c r="N1071" s="310"/>
      <c r="O1071" s="311"/>
      <c r="P1071" s="310"/>
      <c r="Q1071" s="311"/>
      <c r="R1071" s="310"/>
      <c r="S1071" s="13"/>
      <c r="T1071" s="13"/>
      <c r="U1071" s="13"/>
      <c r="V1071" s="13"/>
      <c r="W1071" s="13"/>
      <c r="X1071" s="310"/>
      <c r="Y1071" s="311"/>
      <c r="Z1071" s="310"/>
      <c r="AA1071" s="312"/>
      <c r="AB1071" s="13"/>
      <c r="AC1071" s="313"/>
      <c r="AD1071" s="313"/>
      <c r="AE1071" s="313"/>
      <c r="AF1071" s="331"/>
      <c r="AG1071" s="320"/>
      <c r="AH1071" s="13"/>
      <c r="AI1071" s="13"/>
      <c r="AJ1071" s="13"/>
      <c r="AK1071" s="13"/>
      <c r="AL1071" s="13"/>
      <c r="AM1071" s="13"/>
      <c r="AN1071" s="13"/>
      <c r="AO1071" s="13"/>
      <c r="AP1071" s="13"/>
    </row>
    <row r="1072" ht="18.75" customHeight="1">
      <c r="A1072" s="13"/>
      <c r="B1072" s="282"/>
      <c r="C1072" s="330"/>
      <c r="D1072" s="330"/>
      <c r="E1072" s="330"/>
      <c r="F1072" s="13"/>
      <c r="G1072" s="309"/>
      <c r="H1072" s="309"/>
      <c r="I1072" s="309"/>
      <c r="J1072" s="310"/>
      <c r="K1072" s="310"/>
      <c r="L1072" s="310"/>
      <c r="M1072" s="310"/>
      <c r="N1072" s="310"/>
      <c r="O1072" s="311"/>
      <c r="P1072" s="310"/>
      <c r="Q1072" s="311"/>
      <c r="R1072" s="310"/>
      <c r="S1072" s="13"/>
      <c r="T1072" s="13"/>
      <c r="U1072" s="13"/>
      <c r="V1072" s="13"/>
      <c r="W1072" s="13"/>
      <c r="X1072" s="310"/>
      <c r="Y1072" s="311"/>
      <c r="Z1072" s="310"/>
      <c r="AA1072" s="312"/>
      <c r="AB1072" s="13"/>
      <c r="AC1072" s="313"/>
      <c r="AD1072" s="313"/>
      <c r="AE1072" s="313"/>
      <c r="AF1072" s="331"/>
      <c r="AG1072" s="320"/>
      <c r="AH1072" s="13"/>
      <c r="AI1072" s="13"/>
      <c r="AJ1072" s="13"/>
      <c r="AK1072" s="13"/>
      <c r="AL1072" s="13"/>
      <c r="AM1072" s="13"/>
      <c r="AN1072" s="13"/>
      <c r="AO1072" s="13"/>
      <c r="AP1072" s="13"/>
    </row>
    <row r="1073" ht="18.75" customHeight="1">
      <c r="A1073" s="13"/>
      <c r="B1073" s="282"/>
      <c r="C1073" s="330"/>
      <c r="D1073" s="330"/>
      <c r="E1073" s="330"/>
      <c r="F1073" s="13"/>
      <c r="G1073" s="309"/>
      <c r="H1073" s="309"/>
      <c r="I1073" s="309"/>
      <c r="J1073" s="310"/>
      <c r="K1073" s="310"/>
      <c r="L1073" s="310"/>
      <c r="M1073" s="310"/>
      <c r="N1073" s="310"/>
      <c r="O1073" s="311"/>
      <c r="P1073" s="310"/>
      <c r="Q1073" s="311"/>
      <c r="R1073" s="310"/>
      <c r="S1073" s="13"/>
      <c r="T1073" s="13"/>
      <c r="U1073" s="13"/>
      <c r="V1073" s="13"/>
      <c r="W1073" s="13"/>
      <c r="X1073" s="310"/>
      <c r="Y1073" s="311"/>
      <c r="Z1073" s="310"/>
      <c r="AA1073" s="312"/>
      <c r="AB1073" s="13"/>
      <c r="AC1073" s="313"/>
      <c r="AD1073" s="313"/>
      <c r="AE1073" s="313"/>
      <c r="AF1073" s="331"/>
      <c r="AG1073" s="320"/>
      <c r="AH1073" s="13"/>
      <c r="AI1073" s="13"/>
      <c r="AJ1073" s="13"/>
      <c r="AK1073" s="13"/>
      <c r="AL1073" s="13"/>
      <c r="AM1073" s="13"/>
      <c r="AN1073" s="13"/>
      <c r="AO1073" s="13"/>
      <c r="AP1073" s="13"/>
    </row>
    <row r="1074" ht="18.75" customHeight="1">
      <c r="A1074" s="13"/>
      <c r="B1074" s="282"/>
      <c r="C1074" s="330"/>
      <c r="D1074" s="330"/>
      <c r="E1074" s="330"/>
      <c r="F1074" s="13"/>
      <c r="G1074" s="309"/>
      <c r="H1074" s="309"/>
      <c r="I1074" s="309"/>
      <c r="J1074" s="310"/>
      <c r="K1074" s="310"/>
      <c r="L1074" s="310"/>
      <c r="M1074" s="310"/>
      <c r="N1074" s="310"/>
      <c r="O1074" s="311"/>
      <c r="P1074" s="310"/>
      <c r="Q1074" s="311"/>
      <c r="R1074" s="310"/>
      <c r="S1074" s="13"/>
      <c r="T1074" s="13"/>
      <c r="U1074" s="13"/>
      <c r="V1074" s="13"/>
      <c r="W1074" s="13"/>
      <c r="X1074" s="310"/>
      <c r="Y1074" s="311"/>
      <c r="Z1074" s="310"/>
      <c r="AA1074" s="312"/>
      <c r="AB1074" s="13"/>
      <c r="AC1074" s="313"/>
      <c r="AD1074" s="313"/>
      <c r="AE1074" s="313"/>
      <c r="AF1074" s="331"/>
      <c r="AG1074" s="320"/>
      <c r="AH1074" s="13"/>
      <c r="AI1074" s="13"/>
      <c r="AJ1074" s="13"/>
      <c r="AK1074" s="13"/>
      <c r="AL1074" s="13"/>
      <c r="AM1074" s="13"/>
      <c r="AN1074" s="13"/>
      <c r="AO1074" s="13"/>
      <c r="AP1074" s="13"/>
    </row>
    <row r="1075" ht="18.75" customHeight="1">
      <c r="A1075" s="13"/>
      <c r="B1075" s="282"/>
      <c r="C1075" s="330"/>
      <c r="D1075" s="330"/>
      <c r="E1075" s="330"/>
      <c r="F1075" s="13"/>
      <c r="G1075" s="309"/>
      <c r="H1075" s="309"/>
      <c r="I1075" s="309"/>
      <c r="J1075" s="310"/>
      <c r="K1075" s="310"/>
      <c r="L1075" s="310"/>
      <c r="M1075" s="310"/>
      <c r="N1075" s="310"/>
      <c r="O1075" s="311"/>
      <c r="P1075" s="310"/>
      <c r="Q1075" s="311"/>
      <c r="R1075" s="310"/>
      <c r="S1075" s="13"/>
      <c r="T1075" s="13"/>
      <c r="U1075" s="13"/>
      <c r="V1075" s="13"/>
      <c r="W1075" s="13"/>
      <c r="X1075" s="310"/>
      <c r="Y1075" s="311"/>
      <c r="Z1075" s="310"/>
      <c r="AA1075" s="312"/>
      <c r="AB1075" s="13"/>
      <c r="AC1075" s="313"/>
      <c r="AD1075" s="313"/>
      <c r="AE1075" s="313"/>
      <c r="AF1075" s="331"/>
      <c r="AG1075" s="320"/>
      <c r="AH1075" s="13"/>
      <c r="AI1075" s="13"/>
      <c r="AJ1075" s="13"/>
      <c r="AK1075" s="13"/>
      <c r="AL1075" s="13"/>
      <c r="AM1075" s="13"/>
      <c r="AN1075" s="13"/>
      <c r="AO1075" s="13"/>
      <c r="AP1075" s="13"/>
    </row>
    <row r="1076" ht="18.75" customHeight="1">
      <c r="A1076" s="13"/>
      <c r="B1076" s="282"/>
      <c r="C1076" s="330"/>
      <c r="D1076" s="330"/>
      <c r="E1076" s="330"/>
      <c r="F1076" s="13"/>
      <c r="G1076" s="309"/>
      <c r="H1076" s="309"/>
      <c r="I1076" s="309"/>
      <c r="J1076" s="310"/>
      <c r="K1076" s="310"/>
      <c r="L1076" s="310"/>
      <c r="M1076" s="310"/>
      <c r="N1076" s="310"/>
      <c r="O1076" s="311"/>
      <c r="P1076" s="310"/>
      <c r="Q1076" s="311"/>
      <c r="R1076" s="310"/>
      <c r="S1076" s="13"/>
      <c r="T1076" s="13"/>
      <c r="U1076" s="13"/>
      <c r="V1076" s="13"/>
      <c r="W1076" s="13"/>
      <c r="X1076" s="310"/>
      <c r="Y1076" s="311"/>
      <c r="Z1076" s="310"/>
      <c r="AA1076" s="312"/>
      <c r="AB1076" s="13"/>
      <c r="AC1076" s="313"/>
      <c r="AD1076" s="313"/>
      <c r="AE1076" s="313"/>
      <c r="AF1076" s="331"/>
      <c r="AG1076" s="320"/>
      <c r="AH1076" s="13"/>
      <c r="AI1076" s="13"/>
      <c r="AJ1076" s="13"/>
      <c r="AK1076" s="13"/>
      <c r="AL1076" s="13"/>
      <c r="AM1076" s="13"/>
      <c r="AN1076" s="13"/>
      <c r="AO1076" s="13"/>
      <c r="AP1076" s="13"/>
    </row>
    <row r="1077" ht="18.75" customHeight="1">
      <c r="A1077" s="13"/>
      <c r="B1077" s="282"/>
      <c r="C1077" s="330"/>
      <c r="D1077" s="330"/>
      <c r="E1077" s="330"/>
      <c r="F1077" s="13"/>
      <c r="G1077" s="309"/>
      <c r="H1077" s="309"/>
      <c r="I1077" s="309"/>
      <c r="J1077" s="310"/>
      <c r="K1077" s="310"/>
      <c r="L1077" s="310"/>
      <c r="M1077" s="310"/>
      <c r="N1077" s="310"/>
      <c r="O1077" s="311"/>
      <c r="P1077" s="310"/>
      <c r="Q1077" s="311"/>
      <c r="R1077" s="310"/>
      <c r="S1077" s="13"/>
      <c r="T1077" s="13"/>
      <c r="U1077" s="13"/>
      <c r="V1077" s="13"/>
      <c r="W1077" s="13"/>
      <c r="X1077" s="310"/>
      <c r="Y1077" s="311"/>
      <c r="Z1077" s="310"/>
      <c r="AA1077" s="312"/>
      <c r="AB1077" s="13"/>
      <c r="AC1077" s="313"/>
      <c r="AD1077" s="313"/>
      <c r="AE1077" s="313"/>
      <c r="AF1077" s="331"/>
      <c r="AG1077" s="320"/>
      <c r="AH1077" s="13"/>
      <c r="AI1077" s="13"/>
      <c r="AJ1077" s="13"/>
      <c r="AK1077" s="13"/>
      <c r="AL1077" s="13"/>
      <c r="AM1077" s="13"/>
      <c r="AN1077" s="13"/>
      <c r="AO1077" s="13"/>
      <c r="AP1077" s="13"/>
    </row>
    <row r="1078" ht="18.75" customHeight="1">
      <c r="A1078" s="13"/>
      <c r="B1078" s="282"/>
      <c r="C1078" s="330"/>
      <c r="D1078" s="330"/>
      <c r="E1078" s="330"/>
      <c r="F1078" s="13"/>
      <c r="G1078" s="309"/>
      <c r="H1078" s="309"/>
      <c r="I1078" s="309"/>
      <c r="J1078" s="310"/>
      <c r="K1078" s="310"/>
      <c r="L1078" s="310"/>
      <c r="M1078" s="310"/>
      <c r="N1078" s="310"/>
      <c r="O1078" s="311"/>
      <c r="P1078" s="310"/>
      <c r="Q1078" s="311"/>
      <c r="R1078" s="310"/>
      <c r="S1078" s="13"/>
      <c r="T1078" s="13"/>
      <c r="U1078" s="13"/>
      <c r="V1078" s="13"/>
      <c r="W1078" s="13"/>
      <c r="X1078" s="310"/>
      <c r="Y1078" s="311"/>
      <c r="Z1078" s="310"/>
      <c r="AA1078" s="312"/>
      <c r="AB1078" s="13"/>
      <c r="AC1078" s="313"/>
      <c r="AD1078" s="313"/>
      <c r="AE1078" s="313"/>
      <c r="AF1078" s="331"/>
      <c r="AG1078" s="320"/>
      <c r="AH1078" s="13"/>
      <c r="AI1078" s="13"/>
      <c r="AJ1078" s="13"/>
      <c r="AK1078" s="13"/>
      <c r="AL1078" s="13"/>
      <c r="AM1078" s="13"/>
      <c r="AN1078" s="13"/>
      <c r="AO1078" s="13"/>
      <c r="AP1078" s="13"/>
    </row>
    <row r="1079" ht="18.75" customHeight="1">
      <c r="A1079" s="13"/>
      <c r="B1079" s="282"/>
      <c r="C1079" s="330"/>
      <c r="D1079" s="330"/>
      <c r="E1079" s="330"/>
      <c r="F1079" s="13"/>
      <c r="G1079" s="309"/>
      <c r="H1079" s="309"/>
      <c r="I1079" s="309"/>
      <c r="J1079" s="310"/>
      <c r="K1079" s="310"/>
      <c r="L1079" s="310"/>
      <c r="M1079" s="310"/>
      <c r="N1079" s="310"/>
      <c r="O1079" s="311"/>
      <c r="P1079" s="310"/>
      <c r="Q1079" s="311"/>
      <c r="R1079" s="310"/>
      <c r="S1079" s="13"/>
      <c r="T1079" s="13"/>
      <c r="U1079" s="13"/>
      <c r="V1079" s="13"/>
      <c r="W1079" s="13"/>
      <c r="X1079" s="310"/>
      <c r="Y1079" s="311"/>
      <c r="Z1079" s="310"/>
      <c r="AA1079" s="312"/>
      <c r="AB1079" s="13"/>
      <c r="AC1079" s="313"/>
      <c r="AD1079" s="313"/>
      <c r="AE1079" s="313"/>
      <c r="AF1079" s="331"/>
      <c r="AG1079" s="320"/>
      <c r="AH1079" s="13"/>
      <c r="AI1079" s="13"/>
      <c r="AJ1079" s="13"/>
      <c r="AK1079" s="13"/>
      <c r="AL1079" s="13"/>
      <c r="AM1079" s="13"/>
      <c r="AN1079" s="13"/>
      <c r="AO1079" s="13"/>
      <c r="AP1079" s="13"/>
    </row>
    <row r="1080" ht="18.75" customHeight="1">
      <c r="A1080" s="13"/>
      <c r="B1080" s="282"/>
      <c r="C1080" s="330"/>
      <c r="D1080" s="330"/>
      <c r="E1080" s="330"/>
      <c r="F1080" s="13"/>
      <c r="G1080" s="309"/>
      <c r="H1080" s="309"/>
      <c r="I1080" s="309"/>
      <c r="J1080" s="310"/>
      <c r="K1080" s="310"/>
      <c r="L1080" s="310"/>
      <c r="M1080" s="310"/>
      <c r="N1080" s="310"/>
      <c r="O1080" s="311"/>
      <c r="P1080" s="310"/>
      <c r="Q1080" s="311"/>
      <c r="R1080" s="310"/>
      <c r="S1080" s="13"/>
      <c r="T1080" s="13"/>
      <c r="U1080" s="13"/>
      <c r="V1080" s="13"/>
      <c r="W1080" s="13"/>
      <c r="X1080" s="310"/>
      <c r="Y1080" s="311"/>
      <c r="Z1080" s="310"/>
      <c r="AA1080" s="312"/>
      <c r="AB1080" s="13"/>
      <c r="AC1080" s="313"/>
      <c r="AD1080" s="313"/>
      <c r="AE1080" s="313"/>
      <c r="AF1080" s="331"/>
      <c r="AG1080" s="320"/>
      <c r="AH1080" s="13"/>
      <c r="AI1080" s="13"/>
      <c r="AJ1080" s="13"/>
      <c r="AK1080" s="13"/>
      <c r="AL1080" s="13"/>
      <c r="AM1080" s="13"/>
      <c r="AN1080" s="13"/>
      <c r="AO1080" s="13"/>
      <c r="AP1080" s="13"/>
    </row>
    <row r="1081" ht="18.75" customHeight="1">
      <c r="A1081" s="13"/>
      <c r="B1081" s="282"/>
      <c r="C1081" s="330"/>
      <c r="D1081" s="330"/>
      <c r="E1081" s="330"/>
      <c r="F1081" s="13"/>
      <c r="G1081" s="309"/>
      <c r="H1081" s="309"/>
      <c r="I1081" s="309"/>
      <c r="J1081" s="310"/>
      <c r="K1081" s="310"/>
      <c r="L1081" s="310"/>
      <c r="M1081" s="310"/>
      <c r="N1081" s="310"/>
      <c r="O1081" s="311"/>
      <c r="P1081" s="310"/>
      <c r="Q1081" s="311"/>
      <c r="R1081" s="310"/>
      <c r="S1081" s="13"/>
      <c r="T1081" s="13"/>
      <c r="U1081" s="13"/>
      <c r="V1081" s="13"/>
      <c r="W1081" s="13"/>
      <c r="X1081" s="310"/>
      <c r="Y1081" s="311"/>
      <c r="Z1081" s="310"/>
      <c r="AA1081" s="312"/>
      <c r="AB1081" s="13"/>
      <c r="AC1081" s="313"/>
      <c r="AD1081" s="313"/>
      <c r="AE1081" s="313"/>
      <c r="AF1081" s="331"/>
      <c r="AG1081" s="320"/>
      <c r="AH1081" s="13"/>
      <c r="AI1081" s="13"/>
      <c r="AJ1081" s="13"/>
      <c r="AK1081" s="13"/>
      <c r="AL1081" s="13"/>
      <c r="AM1081" s="13"/>
      <c r="AN1081" s="13"/>
      <c r="AO1081" s="13"/>
      <c r="AP1081" s="13"/>
    </row>
    <row r="1082" ht="18.75" customHeight="1">
      <c r="A1082" s="13"/>
      <c r="B1082" s="282"/>
      <c r="C1082" s="330"/>
      <c r="D1082" s="330"/>
      <c r="E1082" s="330"/>
      <c r="F1082" s="13"/>
      <c r="G1082" s="309"/>
      <c r="H1082" s="309"/>
      <c r="I1082" s="309"/>
      <c r="J1082" s="310"/>
      <c r="K1082" s="310"/>
      <c r="L1082" s="310"/>
      <c r="M1082" s="310"/>
      <c r="N1082" s="310"/>
      <c r="O1082" s="311"/>
      <c r="P1082" s="310"/>
      <c r="Q1082" s="311"/>
      <c r="R1082" s="310"/>
      <c r="S1082" s="13"/>
      <c r="T1082" s="13"/>
      <c r="U1082" s="13"/>
      <c r="V1082" s="13"/>
      <c r="W1082" s="13"/>
      <c r="X1082" s="310"/>
      <c r="Y1082" s="311"/>
      <c r="Z1082" s="310"/>
      <c r="AA1082" s="312"/>
      <c r="AB1082" s="13"/>
      <c r="AC1082" s="313"/>
      <c r="AD1082" s="313"/>
      <c r="AE1082" s="313"/>
      <c r="AF1082" s="331"/>
      <c r="AG1082" s="320"/>
      <c r="AH1082" s="13"/>
      <c r="AI1082" s="13"/>
      <c r="AJ1082" s="13"/>
      <c r="AK1082" s="13"/>
      <c r="AL1082" s="13"/>
      <c r="AM1082" s="13"/>
      <c r="AN1082" s="13"/>
      <c r="AO1082" s="13"/>
      <c r="AP1082" s="13"/>
    </row>
    <row r="1083" ht="18.75" customHeight="1">
      <c r="A1083" s="13"/>
      <c r="B1083" s="282"/>
      <c r="C1083" s="330"/>
      <c r="D1083" s="330"/>
      <c r="E1083" s="330"/>
      <c r="F1083" s="13"/>
      <c r="G1083" s="309"/>
      <c r="H1083" s="309"/>
      <c r="I1083" s="309"/>
      <c r="J1083" s="310"/>
      <c r="K1083" s="310"/>
      <c r="L1083" s="310"/>
      <c r="M1083" s="310"/>
      <c r="N1083" s="310"/>
      <c r="O1083" s="311"/>
      <c r="P1083" s="310"/>
      <c r="Q1083" s="311"/>
      <c r="R1083" s="310"/>
      <c r="S1083" s="13"/>
      <c r="T1083" s="13"/>
      <c r="U1083" s="13"/>
      <c r="V1083" s="13"/>
      <c r="W1083" s="13"/>
      <c r="X1083" s="310"/>
      <c r="Y1083" s="311"/>
      <c r="Z1083" s="310"/>
      <c r="AA1083" s="312"/>
      <c r="AB1083" s="13"/>
      <c r="AC1083" s="313"/>
      <c r="AD1083" s="313"/>
      <c r="AE1083" s="313"/>
      <c r="AF1083" s="331"/>
      <c r="AG1083" s="320"/>
      <c r="AH1083" s="13"/>
      <c r="AI1083" s="13"/>
      <c r="AJ1083" s="13"/>
      <c r="AK1083" s="13"/>
      <c r="AL1083" s="13"/>
      <c r="AM1083" s="13"/>
      <c r="AN1083" s="13"/>
      <c r="AO1083" s="13"/>
      <c r="AP1083" s="13"/>
    </row>
    <row r="1084" ht="18.75" customHeight="1">
      <c r="A1084" s="13"/>
      <c r="B1084" s="282"/>
      <c r="C1084" s="330"/>
      <c r="D1084" s="330"/>
      <c r="E1084" s="330"/>
      <c r="F1084" s="13"/>
      <c r="G1084" s="309"/>
      <c r="H1084" s="309"/>
      <c r="I1084" s="309"/>
      <c r="J1084" s="310"/>
      <c r="K1084" s="310"/>
      <c r="L1084" s="310"/>
      <c r="M1084" s="310"/>
      <c r="N1084" s="310"/>
      <c r="O1084" s="311"/>
      <c r="P1084" s="310"/>
      <c r="Q1084" s="311"/>
      <c r="R1084" s="310"/>
      <c r="S1084" s="13"/>
      <c r="T1084" s="13"/>
      <c r="U1084" s="13"/>
      <c r="V1084" s="13"/>
      <c r="W1084" s="13"/>
      <c r="X1084" s="310"/>
      <c r="Y1084" s="311"/>
      <c r="Z1084" s="310"/>
      <c r="AA1084" s="312"/>
      <c r="AB1084" s="13"/>
      <c r="AC1084" s="313"/>
      <c r="AD1084" s="313"/>
      <c r="AE1084" s="313"/>
      <c r="AF1084" s="331"/>
      <c r="AG1084" s="320"/>
      <c r="AH1084" s="13"/>
      <c r="AI1084" s="13"/>
      <c r="AJ1084" s="13"/>
      <c r="AK1084" s="13"/>
      <c r="AL1084" s="13"/>
      <c r="AM1084" s="13"/>
      <c r="AN1084" s="13"/>
      <c r="AO1084" s="13"/>
      <c r="AP1084" s="13"/>
    </row>
    <row r="1085" ht="18.75" customHeight="1">
      <c r="A1085" s="13"/>
      <c r="B1085" s="282"/>
      <c r="C1085" s="330"/>
      <c r="D1085" s="330"/>
      <c r="E1085" s="330"/>
      <c r="F1085" s="13"/>
      <c r="G1085" s="309"/>
      <c r="H1085" s="309"/>
      <c r="I1085" s="309"/>
      <c r="J1085" s="310"/>
      <c r="K1085" s="310"/>
      <c r="L1085" s="310"/>
      <c r="M1085" s="310"/>
      <c r="N1085" s="310"/>
      <c r="O1085" s="311"/>
      <c r="P1085" s="310"/>
      <c r="Q1085" s="311"/>
      <c r="R1085" s="310"/>
      <c r="S1085" s="13"/>
      <c r="T1085" s="13"/>
      <c r="U1085" s="13"/>
      <c r="V1085" s="13"/>
      <c r="W1085" s="13"/>
      <c r="X1085" s="310"/>
      <c r="Y1085" s="311"/>
      <c r="Z1085" s="310"/>
      <c r="AA1085" s="312"/>
      <c r="AB1085" s="13"/>
      <c r="AC1085" s="313"/>
      <c r="AD1085" s="313"/>
      <c r="AE1085" s="313"/>
      <c r="AF1085" s="331"/>
      <c r="AG1085" s="320"/>
      <c r="AH1085" s="13"/>
      <c r="AI1085" s="13"/>
      <c r="AJ1085" s="13"/>
      <c r="AK1085" s="13"/>
      <c r="AL1085" s="13"/>
      <c r="AM1085" s="13"/>
      <c r="AN1085" s="13"/>
      <c r="AO1085" s="13"/>
      <c r="AP1085" s="13"/>
    </row>
    <row r="1086" ht="18.75" customHeight="1">
      <c r="A1086" s="13"/>
      <c r="B1086" s="282"/>
      <c r="C1086" s="330"/>
      <c r="D1086" s="330"/>
      <c r="E1086" s="330"/>
      <c r="F1086" s="13"/>
      <c r="G1086" s="309"/>
      <c r="H1086" s="309"/>
      <c r="I1086" s="309"/>
      <c r="J1086" s="310"/>
      <c r="K1086" s="310"/>
      <c r="L1086" s="310"/>
      <c r="M1086" s="310"/>
      <c r="N1086" s="310"/>
      <c r="O1086" s="311"/>
      <c r="P1086" s="310"/>
      <c r="Q1086" s="311"/>
      <c r="R1086" s="310"/>
      <c r="S1086" s="13"/>
      <c r="T1086" s="13"/>
      <c r="U1086" s="13"/>
      <c r="V1086" s="13"/>
      <c r="W1086" s="13"/>
      <c r="X1086" s="310"/>
      <c r="Y1086" s="311"/>
      <c r="Z1086" s="310"/>
      <c r="AA1086" s="312"/>
      <c r="AB1086" s="13"/>
      <c r="AC1086" s="313"/>
      <c r="AD1086" s="313"/>
      <c r="AE1086" s="313"/>
      <c r="AF1086" s="331"/>
      <c r="AG1086" s="320"/>
      <c r="AH1086" s="13"/>
      <c r="AI1086" s="13"/>
      <c r="AJ1086" s="13"/>
      <c r="AK1086" s="13"/>
      <c r="AL1086" s="13"/>
      <c r="AM1086" s="13"/>
      <c r="AN1086" s="13"/>
      <c r="AO1086" s="13"/>
      <c r="AP1086" s="13"/>
    </row>
    <row r="1087" ht="18.75" customHeight="1">
      <c r="A1087" s="13"/>
      <c r="B1087" s="282"/>
      <c r="C1087" s="330"/>
      <c r="D1087" s="330"/>
      <c r="E1087" s="330"/>
      <c r="F1087" s="13"/>
      <c r="G1087" s="309"/>
      <c r="H1087" s="309"/>
      <c r="I1087" s="309"/>
      <c r="J1087" s="310"/>
      <c r="K1087" s="310"/>
      <c r="L1087" s="310"/>
      <c r="M1087" s="310"/>
      <c r="N1087" s="310"/>
      <c r="O1087" s="311"/>
      <c r="P1087" s="310"/>
      <c r="Q1087" s="311"/>
      <c r="R1087" s="310"/>
      <c r="S1087" s="13"/>
      <c r="T1087" s="13"/>
      <c r="U1087" s="13"/>
      <c r="V1087" s="13"/>
      <c r="W1087" s="13"/>
      <c r="X1087" s="310"/>
      <c r="Y1087" s="311"/>
      <c r="Z1087" s="310"/>
      <c r="AA1087" s="312"/>
      <c r="AB1087" s="13"/>
      <c r="AC1087" s="313"/>
      <c r="AD1087" s="313"/>
      <c r="AE1087" s="313"/>
      <c r="AF1087" s="331"/>
      <c r="AG1087" s="320"/>
      <c r="AH1087" s="13"/>
      <c r="AI1087" s="13"/>
      <c r="AJ1087" s="13"/>
      <c r="AK1087" s="13"/>
      <c r="AL1087" s="13"/>
      <c r="AM1087" s="13"/>
      <c r="AN1087" s="13"/>
      <c r="AO1087" s="13"/>
      <c r="AP1087" s="13"/>
    </row>
    <row r="1088" ht="18.75" customHeight="1">
      <c r="A1088" s="13"/>
      <c r="B1088" s="282"/>
      <c r="C1088" s="330"/>
      <c r="D1088" s="330"/>
      <c r="E1088" s="330"/>
      <c r="F1088" s="13"/>
      <c r="G1088" s="309"/>
      <c r="H1088" s="309"/>
      <c r="I1088" s="309"/>
      <c r="J1088" s="310"/>
      <c r="K1088" s="310"/>
      <c r="L1088" s="310"/>
      <c r="M1088" s="310"/>
      <c r="N1088" s="310"/>
      <c r="O1088" s="311"/>
      <c r="P1088" s="310"/>
      <c r="Q1088" s="311"/>
      <c r="R1088" s="310"/>
      <c r="S1088" s="13"/>
      <c r="T1088" s="13"/>
      <c r="U1088" s="13"/>
      <c r="V1088" s="13"/>
      <c r="W1088" s="13"/>
      <c r="X1088" s="310"/>
      <c r="Y1088" s="311"/>
      <c r="Z1088" s="310"/>
      <c r="AA1088" s="312"/>
      <c r="AB1088" s="13"/>
      <c r="AC1088" s="313"/>
      <c r="AD1088" s="313"/>
      <c r="AE1088" s="313"/>
      <c r="AF1088" s="331"/>
      <c r="AG1088" s="320"/>
      <c r="AH1088" s="13"/>
      <c r="AI1088" s="13"/>
      <c r="AJ1088" s="13"/>
      <c r="AK1088" s="13"/>
      <c r="AL1088" s="13"/>
      <c r="AM1088" s="13"/>
      <c r="AN1088" s="13"/>
      <c r="AO1088" s="13"/>
      <c r="AP1088" s="13"/>
    </row>
    <row r="1089" ht="18.75" customHeight="1">
      <c r="A1089" s="13"/>
      <c r="B1089" s="282"/>
      <c r="C1089" s="330"/>
      <c r="D1089" s="330"/>
      <c r="E1089" s="330"/>
      <c r="F1089" s="13"/>
      <c r="G1089" s="309"/>
      <c r="H1089" s="309"/>
      <c r="I1089" s="309"/>
      <c r="J1089" s="310"/>
      <c r="K1089" s="310"/>
      <c r="L1089" s="310"/>
      <c r="M1089" s="310"/>
      <c r="N1089" s="310"/>
      <c r="O1089" s="311"/>
      <c r="P1089" s="310"/>
      <c r="Q1089" s="311"/>
      <c r="R1089" s="310"/>
      <c r="S1089" s="13"/>
      <c r="T1089" s="13"/>
      <c r="U1089" s="13"/>
      <c r="V1089" s="13"/>
      <c r="W1089" s="13"/>
      <c r="X1089" s="310"/>
      <c r="Y1089" s="311"/>
      <c r="Z1089" s="310"/>
      <c r="AA1089" s="312"/>
      <c r="AB1089" s="13"/>
      <c r="AC1089" s="313"/>
      <c r="AD1089" s="313"/>
      <c r="AE1089" s="313"/>
      <c r="AF1089" s="331"/>
      <c r="AG1089" s="320"/>
      <c r="AH1089" s="13"/>
      <c r="AI1089" s="13"/>
      <c r="AJ1089" s="13"/>
      <c r="AK1089" s="13"/>
      <c r="AL1089" s="13"/>
      <c r="AM1089" s="13"/>
      <c r="AN1089" s="13"/>
      <c r="AO1089" s="13"/>
      <c r="AP1089" s="13"/>
    </row>
    <row r="1090" ht="18.75" customHeight="1">
      <c r="A1090" s="13"/>
      <c r="B1090" s="282"/>
      <c r="C1090" s="330"/>
      <c r="D1090" s="330"/>
      <c r="E1090" s="330"/>
      <c r="F1090" s="13"/>
      <c r="G1090" s="309"/>
      <c r="H1090" s="309"/>
      <c r="I1090" s="309"/>
      <c r="J1090" s="310"/>
      <c r="K1090" s="310"/>
      <c r="L1090" s="310"/>
      <c r="M1090" s="310"/>
      <c r="N1090" s="310"/>
      <c r="O1090" s="311"/>
      <c r="P1090" s="310"/>
      <c r="Q1090" s="311"/>
      <c r="R1090" s="310"/>
      <c r="S1090" s="13"/>
      <c r="T1090" s="13"/>
      <c r="U1090" s="13"/>
      <c r="V1090" s="13"/>
      <c r="W1090" s="13"/>
      <c r="X1090" s="310"/>
      <c r="Y1090" s="311"/>
      <c r="Z1090" s="310"/>
      <c r="AA1090" s="312"/>
      <c r="AB1090" s="13"/>
      <c r="AC1090" s="313"/>
      <c r="AD1090" s="313"/>
      <c r="AE1090" s="313"/>
      <c r="AF1090" s="331"/>
      <c r="AG1090" s="320"/>
      <c r="AH1090" s="13"/>
      <c r="AI1090" s="13"/>
      <c r="AJ1090" s="13"/>
      <c r="AK1090" s="13"/>
      <c r="AL1090" s="13"/>
      <c r="AM1090" s="13"/>
      <c r="AN1090" s="13"/>
      <c r="AO1090" s="13"/>
      <c r="AP1090" s="13"/>
    </row>
    <row r="1091" ht="18.75" customHeight="1">
      <c r="A1091" s="13"/>
      <c r="B1091" s="282"/>
      <c r="C1091" s="330"/>
      <c r="D1091" s="330"/>
      <c r="E1091" s="330"/>
      <c r="F1091" s="13"/>
      <c r="G1091" s="309"/>
      <c r="H1091" s="309"/>
      <c r="I1091" s="309"/>
      <c r="J1091" s="310"/>
      <c r="K1091" s="310"/>
      <c r="L1091" s="310"/>
      <c r="M1091" s="310"/>
      <c r="N1091" s="310"/>
      <c r="O1091" s="311"/>
      <c r="P1091" s="310"/>
      <c r="Q1091" s="311"/>
      <c r="R1091" s="310"/>
      <c r="S1091" s="13"/>
      <c r="T1091" s="13"/>
      <c r="U1091" s="13"/>
      <c r="V1091" s="13"/>
      <c r="W1091" s="13"/>
      <c r="X1091" s="310"/>
      <c r="Y1091" s="311"/>
      <c r="Z1091" s="310"/>
      <c r="AA1091" s="312"/>
      <c r="AB1091" s="13"/>
      <c r="AC1091" s="313"/>
      <c r="AD1091" s="313"/>
      <c r="AE1091" s="313"/>
      <c r="AF1091" s="331"/>
      <c r="AG1091" s="320"/>
      <c r="AH1091" s="13"/>
      <c r="AI1091" s="13"/>
      <c r="AJ1091" s="13"/>
      <c r="AK1091" s="13"/>
      <c r="AL1091" s="13"/>
      <c r="AM1091" s="13"/>
      <c r="AN1091" s="13"/>
      <c r="AO1091" s="13"/>
      <c r="AP1091" s="13"/>
    </row>
    <row r="1092" ht="18.75" customHeight="1">
      <c r="A1092" s="13"/>
      <c r="B1092" s="282"/>
      <c r="C1092" s="330"/>
      <c r="D1092" s="330"/>
      <c r="E1092" s="330"/>
      <c r="F1092" s="13"/>
      <c r="G1092" s="309"/>
      <c r="H1092" s="309"/>
      <c r="I1092" s="309"/>
      <c r="J1092" s="310"/>
      <c r="K1092" s="310"/>
      <c r="L1092" s="310"/>
      <c r="M1092" s="310"/>
      <c r="N1092" s="310"/>
      <c r="O1092" s="311"/>
      <c r="P1092" s="310"/>
      <c r="Q1092" s="311"/>
      <c r="R1092" s="310"/>
      <c r="S1092" s="13"/>
      <c r="T1092" s="13"/>
      <c r="U1092" s="13"/>
      <c r="V1092" s="13"/>
      <c r="W1092" s="13"/>
      <c r="X1092" s="310"/>
      <c r="Y1092" s="311"/>
      <c r="Z1092" s="310"/>
      <c r="AA1092" s="312"/>
      <c r="AB1092" s="13"/>
      <c r="AC1092" s="313"/>
      <c r="AD1092" s="313"/>
      <c r="AE1092" s="313"/>
      <c r="AF1092" s="331"/>
      <c r="AG1092" s="320"/>
      <c r="AH1092" s="13"/>
      <c r="AI1092" s="13"/>
      <c r="AJ1092" s="13"/>
      <c r="AK1092" s="13"/>
      <c r="AL1092" s="13"/>
      <c r="AM1092" s="13"/>
      <c r="AN1092" s="13"/>
      <c r="AO1092" s="13"/>
      <c r="AP1092" s="13"/>
    </row>
    <row r="1093" ht="18.75" customHeight="1">
      <c r="A1093" s="13"/>
      <c r="B1093" s="282"/>
      <c r="C1093" s="330"/>
      <c r="D1093" s="330"/>
      <c r="E1093" s="330"/>
      <c r="F1093" s="13"/>
      <c r="G1093" s="309"/>
      <c r="H1093" s="309"/>
      <c r="I1093" s="309"/>
      <c r="J1093" s="310"/>
      <c r="K1093" s="310"/>
      <c r="L1093" s="310"/>
      <c r="M1093" s="310"/>
      <c r="N1093" s="310"/>
      <c r="O1093" s="311"/>
      <c r="P1093" s="310"/>
      <c r="Q1093" s="311"/>
      <c r="R1093" s="310"/>
      <c r="S1093" s="13"/>
      <c r="T1093" s="13"/>
      <c r="U1093" s="13"/>
      <c r="V1093" s="13"/>
      <c r="W1093" s="13"/>
      <c r="X1093" s="310"/>
      <c r="Y1093" s="311"/>
      <c r="Z1093" s="310"/>
      <c r="AA1093" s="312"/>
      <c r="AB1093" s="13"/>
      <c r="AC1093" s="313"/>
      <c r="AD1093" s="313"/>
      <c r="AE1093" s="313"/>
      <c r="AF1093" s="331"/>
      <c r="AG1093" s="320"/>
      <c r="AH1093" s="13"/>
      <c r="AI1093" s="13"/>
      <c r="AJ1093" s="13"/>
      <c r="AK1093" s="13"/>
      <c r="AL1093" s="13"/>
      <c r="AM1093" s="13"/>
      <c r="AN1093" s="13"/>
      <c r="AO1093" s="13"/>
      <c r="AP1093" s="13"/>
    </row>
    <row r="1094" ht="18.75" customHeight="1">
      <c r="A1094" s="13"/>
      <c r="B1094" s="282"/>
      <c r="C1094" s="330"/>
      <c r="D1094" s="330"/>
      <c r="E1094" s="330"/>
      <c r="F1094" s="13"/>
      <c r="G1094" s="309"/>
      <c r="H1094" s="309"/>
      <c r="I1094" s="309"/>
      <c r="J1094" s="310"/>
      <c r="K1094" s="310"/>
      <c r="L1094" s="310"/>
      <c r="M1094" s="310"/>
      <c r="N1094" s="310"/>
      <c r="O1094" s="311"/>
      <c r="P1094" s="310"/>
      <c r="Q1094" s="311"/>
      <c r="R1094" s="310"/>
      <c r="S1094" s="13"/>
      <c r="T1094" s="13"/>
      <c r="U1094" s="13"/>
      <c r="V1094" s="13"/>
      <c r="W1094" s="13"/>
      <c r="X1094" s="310"/>
      <c r="Y1094" s="311"/>
      <c r="Z1094" s="310"/>
      <c r="AA1094" s="312"/>
      <c r="AB1094" s="13"/>
      <c r="AC1094" s="313"/>
      <c r="AD1094" s="313"/>
      <c r="AE1094" s="313"/>
      <c r="AF1094" s="331"/>
      <c r="AG1094" s="320"/>
      <c r="AH1094" s="13"/>
      <c r="AI1094" s="13"/>
      <c r="AJ1094" s="13"/>
      <c r="AK1094" s="13"/>
      <c r="AL1094" s="13"/>
      <c r="AM1094" s="13"/>
      <c r="AN1094" s="13"/>
      <c r="AO1094" s="13"/>
      <c r="AP1094" s="13"/>
    </row>
    <row r="1095" ht="18.75" customHeight="1">
      <c r="A1095" s="13"/>
      <c r="B1095" s="282"/>
      <c r="C1095" s="330"/>
      <c r="D1095" s="330"/>
      <c r="E1095" s="330"/>
      <c r="F1095" s="13"/>
      <c r="G1095" s="309"/>
      <c r="H1095" s="309"/>
      <c r="I1095" s="309"/>
      <c r="J1095" s="310"/>
      <c r="K1095" s="310"/>
      <c r="L1095" s="310"/>
      <c r="M1095" s="310"/>
      <c r="N1095" s="310"/>
      <c r="O1095" s="311"/>
      <c r="P1095" s="310"/>
      <c r="Q1095" s="311"/>
      <c r="R1095" s="310"/>
      <c r="S1095" s="13"/>
      <c r="T1095" s="13"/>
      <c r="U1095" s="13"/>
      <c r="V1095" s="13"/>
      <c r="W1095" s="13"/>
      <c r="X1095" s="310"/>
      <c r="Y1095" s="311"/>
      <c r="Z1095" s="310"/>
      <c r="AA1095" s="312"/>
      <c r="AB1095" s="13"/>
      <c r="AC1095" s="313"/>
      <c r="AD1095" s="313"/>
      <c r="AE1095" s="313"/>
      <c r="AF1095" s="331"/>
      <c r="AG1095" s="320"/>
      <c r="AH1095" s="13"/>
      <c r="AI1095" s="13"/>
      <c r="AJ1095" s="13"/>
      <c r="AK1095" s="13"/>
      <c r="AL1095" s="13"/>
      <c r="AM1095" s="13"/>
      <c r="AN1095" s="13"/>
      <c r="AO1095" s="13"/>
      <c r="AP1095" s="13"/>
    </row>
    <row r="1096" ht="18.75" customHeight="1">
      <c r="A1096" s="13"/>
      <c r="B1096" s="282"/>
      <c r="C1096" s="330"/>
      <c r="D1096" s="330"/>
      <c r="E1096" s="330"/>
      <c r="F1096" s="13"/>
      <c r="G1096" s="309"/>
      <c r="H1096" s="309"/>
      <c r="I1096" s="309"/>
      <c r="J1096" s="310"/>
      <c r="K1096" s="310"/>
      <c r="L1096" s="310"/>
      <c r="M1096" s="310"/>
      <c r="N1096" s="310"/>
      <c r="O1096" s="311"/>
      <c r="P1096" s="310"/>
      <c r="Q1096" s="311"/>
      <c r="R1096" s="310"/>
      <c r="S1096" s="13"/>
      <c r="T1096" s="13"/>
      <c r="U1096" s="13"/>
      <c r="V1096" s="13"/>
      <c r="W1096" s="13"/>
      <c r="X1096" s="310"/>
      <c r="Y1096" s="311"/>
      <c r="Z1096" s="310"/>
      <c r="AA1096" s="312"/>
      <c r="AB1096" s="13"/>
      <c r="AC1096" s="313"/>
      <c r="AD1096" s="313"/>
      <c r="AE1096" s="313"/>
      <c r="AF1096" s="331"/>
      <c r="AG1096" s="320"/>
      <c r="AH1096" s="13"/>
      <c r="AI1096" s="13"/>
      <c r="AJ1096" s="13"/>
      <c r="AK1096" s="13"/>
      <c r="AL1096" s="13"/>
      <c r="AM1096" s="13"/>
      <c r="AN1096" s="13"/>
      <c r="AO1096" s="13"/>
      <c r="AP1096" s="13"/>
    </row>
    <row r="1097" ht="18.75" customHeight="1">
      <c r="A1097" s="13"/>
      <c r="B1097" s="282"/>
      <c r="C1097" s="330"/>
      <c r="D1097" s="330"/>
      <c r="E1097" s="330"/>
      <c r="F1097" s="13"/>
      <c r="G1097" s="309"/>
      <c r="H1097" s="309"/>
      <c r="I1097" s="309"/>
      <c r="J1097" s="310"/>
      <c r="K1097" s="310"/>
      <c r="L1097" s="310"/>
      <c r="M1097" s="310"/>
      <c r="N1097" s="310"/>
      <c r="O1097" s="311"/>
      <c r="P1097" s="310"/>
      <c r="Q1097" s="311"/>
      <c r="R1097" s="310"/>
      <c r="S1097" s="13"/>
      <c r="T1097" s="13"/>
      <c r="U1097" s="13"/>
      <c r="V1097" s="13"/>
      <c r="W1097" s="13"/>
      <c r="X1097" s="310"/>
      <c r="Y1097" s="311"/>
      <c r="Z1097" s="310"/>
      <c r="AA1097" s="312"/>
      <c r="AB1097" s="13"/>
      <c r="AC1097" s="313"/>
      <c r="AD1097" s="313"/>
      <c r="AE1097" s="313"/>
      <c r="AF1097" s="331"/>
      <c r="AG1097" s="320"/>
      <c r="AH1097" s="13"/>
      <c r="AI1097" s="13"/>
      <c r="AJ1097" s="13"/>
      <c r="AK1097" s="13"/>
      <c r="AL1097" s="13"/>
      <c r="AM1097" s="13"/>
      <c r="AN1097" s="13"/>
      <c r="AO1097" s="13"/>
      <c r="AP1097" s="13"/>
    </row>
    <row r="1098" ht="18.75" customHeight="1">
      <c r="A1098" s="13"/>
      <c r="B1098" s="282"/>
      <c r="C1098" s="330"/>
      <c r="D1098" s="330"/>
      <c r="E1098" s="330"/>
      <c r="F1098" s="13"/>
      <c r="G1098" s="309"/>
      <c r="H1098" s="309"/>
      <c r="I1098" s="309"/>
      <c r="J1098" s="310"/>
      <c r="K1098" s="310"/>
      <c r="L1098" s="310"/>
      <c r="M1098" s="310"/>
      <c r="N1098" s="310"/>
      <c r="O1098" s="311"/>
      <c r="P1098" s="310"/>
      <c r="Q1098" s="311"/>
      <c r="R1098" s="310"/>
      <c r="S1098" s="13"/>
      <c r="T1098" s="13"/>
      <c r="U1098" s="13"/>
      <c r="V1098" s="13"/>
      <c r="W1098" s="13"/>
      <c r="X1098" s="310"/>
      <c r="Y1098" s="311"/>
      <c r="Z1098" s="310"/>
      <c r="AA1098" s="312"/>
      <c r="AB1098" s="13"/>
      <c r="AC1098" s="313"/>
      <c r="AD1098" s="313"/>
      <c r="AE1098" s="313"/>
      <c r="AF1098" s="331"/>
      <c r="AG1098" s="320"/>
      <c r="AH1098" s="13"/>
      <c r="AI1098" s="13"/>
      <c r="AJ1098" s="13"/>
      <c r="AK1098" s="13"/>
      <c r="AL1098" s="13"/>
      <c r="AM1098" s="13"/>
      <c r="AN1098" s="13"/>
      <c r="AO1098" s="13"/>
      <c r="AP1098" s="13"/>
    </row>
    <row r="1099" ht="18.75" customHeight="1">
      <c r="A1099" s="13"/>
      <c r="B1099" s="282"/>
      <c r="C1099" s="330"/>
      <c r="D1099" s="330"/>
      <c r="E1099" s="330"/>
      <c r="F1099" s="13"/>
      <c r="G1099" s="309"/>
      <c r="H1099" s="309"/>
      <c r="I1099" s="309"/>
      <c r="J1099" s="310"/>
      <c r="K1099" s="310"/>
      <c r="L1099" s="310"/>
      <c r="M1099" s="310"/>
      <c r="N1099" s="310"/>
      <c r="O1099" s="311"/>
      <c r="P1099" s="310"/>
      <c r="Q1099" s="311"/>
      <c r="R1099" s="310"/>
      <c r="S1099" s="13"/>
      <c r="T1099" s="13"/>
      <c r="U1099" s="13"/>
      <c r="V1099" s="13"/>
      <c r="W1099" s="13"/>
      <c r="X1099" s="310"/>
      <c r="Y1099" s="311"/>
      <c r="Z1099" s="310"/>
      <c r="AA1099" s="312"/>
      <c r="AB1099" s="13"/>
      <c r="AC1099" s="313"/>
      <c r="AD1099" s="313"/>
      <c r="AE1099" s="313"/>
      <c r="AF1099" s="331"/>
      <c r="AG1099" s="320"/>
      <c r="AH1099" s="13"/>
      <c r="AI1099" s="13"/>
      <c r="AJ1099" s="13"/>
      <c r="AK1099" s="13"/>
      <c r="AL1099" s="13"/>
      <c r="AM1099" s="13"/>
      <c r="AN1099" s="13"/>
      <c r="AO1099" s="13"/>
      <c r="AP1099" s="13"/>
    </row>
    <row r="1100" ht="18.75" customHeight="1">
      <c r="A1100" s="13"/>
      <c r="B1100" s="282"/>
      <c r="C1100" s="330"/>
      <c r="D1100" s="330"/>
      <c r="E1100" s="330"/>
      <c r="F1100" s="13"/>
      <c r="G1100" s="309"/>
      <c r="H1100" s="309"/>
      <c r="I1100" s="309"/>
      <c r="J1100" s="310"/>
      <c r="K1100" s="310"/>
      <c r="L1100" s="310"/>
      <c r="M1100" s="310"/>
      <c r="N1100" s="310"/>
      <c r="O1100" s="311"/>
      <c r="P1100" s="310"/>
      <c r="Q1100" s="311"/>
      <c r="R1100" s="310"/>
      <c r="S1100" s="13"/>
      <c r="T1100" s="13"/>
      <c r="U1100" s="13"/>
      <c r="V1100" s="13"/>
      <c r="W1100" s="13"/>
      <c r="X1100" s="310"/>
      <c r="Y1100" s="311"/>
      <c r="Z1100" s="310"/>
      <c r="AA1100" s="312"/>
      <c r="AB1100" s="13"/>
      <c r="AC1100" s="313"/>
      <c r="AD1100" s="313"/>
      <c r="AE1100" s="313"/>
      <c r="AF1100" s="331"/>
      <c r="AG1100" s="320"/>
      <c r="AH1100" s="13"/>
      <c r="AI1100" s="13"/>
      <c r="AJ1100" s="13"/>
      <c r="AK1100" s="13"/>
      <c r="AL1100" s="13"/>
      <c r="AM1100" s="13"/>
      <c r="AN1100" s="13"/>
      <c r="AO1100" s="13"/>
      <c r="AP1100" s="13"/>
    </row>
    <row r="1101" ht="18.75" customHeight="1">
      <c r="A1101" s="13"/>
      <c r="B1101" s="282"/>
      <c r="C1101" s="330"/>
      <c r="D1101" s="330"/>
      <c r="E1101" s="330"/>
      <c r="F1101" s="13"/>
      <c r="G1101" s="309"/>
      <c r="H1101" s="309"/>
      <c r="I1101" s="309"/>
      <c r="J1101" s="310"/>
      <c r="K1101" s="310"/>
      <c r="L1101" s="310"/>
      <c r="M1101" s="310"/>
      <c r="N1101" s="310"/>
      <c r="O1101" s="311"/>
      <c r="P1101" s="310"/>
      <c r="Q1101" s="311"/>
      <c r="R1101" s="310"/>
      <c r="S1101" s="13"/>
      <c r="T1101" s="13"/>
      <c r="U1101" s="13"/>
      <c r="V1101" s="13"/>
      <c r="W1101" s="13"/>
      <c r="X1101" s="310"/>
      <c r="Y1101" s="311"/>
      <c r="Z1101" s="310"/>
      <c r="AA1101" s="312"/>
      <c r="AB1101" s="13"/>
      <c r="AC1101" s="313"/>
      <c r="AD1101" s="313"/>
      <c r="AE1101" s="313"/>
      <c r="AF1101" s="331"/>
      <c r="AG1101" s="320"/>
      <c r="AH1101" s="13"/>
      <c r="AI1101" s="13"/>
      <c r="AJ1101" s="13"/>
      <c r="AK1101" s="13"/>
      <c r="AL1101" s="13"/>
      <c r="AM1101" s="13"/>
      <c r="AN1101" s="13"/>
      <c r="AO1101" s="13"/>
      <c r="AP1101" s="13"/>
    </row>
    <row r="1102" ht="18.75" customHeight="1">
      <c r="A1102" s="13"/>
      <c r="B1102" s="282"/>
      <c r="C1102" s="330"/>
      <c r="D1102" s="330"/>
      <c r="E1102" s="330"/>
      <c r="F1102" s="13"/>
      <c r="G1102" s="309"/>
      <c r="H1102" s="309"/>
      <c r="I1102" s="309"/>
      <c r="J1102" s="310"/>
      <c r="K1102" s="310"/>
      <c r="L1102" s="310"/>
      <c r="M1102" s="310"/>
      <c r="N1102" s="310"/>
      <c r="O1102" s="311"/>
      <c r="P1102" s="310"/>
      <c r="Q1102" s="311"/>
      <c r="R1102" s="310"/>
      <c r="S1102" s="13"/>
      <c r="T1102" s="13"/>
      <c r="U1102" s="13"/>
      <c r="V1102" s="13"/>
      <c r="W1102" s="13"/>
      <c r="X1102" s="310"/>
      <c r="Y1102" s="311"/>
      <c r="Z1102" s="310"/>
      <c r="AA1102" s="312"/>
      <c r="AB1102" s="13"/>
      <c r="AC1102" s="313"/>
      <c r="AD1102" s="313"/>
      <c r="AE1102" s="313"/>
      <c r="AF1102" s="331"/>
      <c r="AG1102" s="320"/>
      <c r="AH1102" s="13"/>
      <c r="AI1102" s="13"/>
      <c r="AJ1102" s="13"/>
      <c r="AK1102" s="13"/>
      <c r="AL1102" s="13"/>
      <c r="AM1102" s="13"/>
      <c r="AN1102" s="13"/>
      <c r="AO1102" s="13"/>
      <c r="AP1102" s="13"/>
    </row>
  </sheetData>
  <mergeCells count="719">
    <mergeCell ref="S67:T67"/>
    <mergeCell ref="S68:T68"/>
    <mergeCell ref="S69:T69"/>
    <mergeCell ref="S70:T70"/>
    <mergeCell ref="S71:T71"/>
    <mergeCell ref="S72:T72"/>
    <mergeCell ref="S73:T73"/>
    <mergeCell ref="S81:T81"/>
    <mergeCell ref="S82:T82"/>
    <mergeCell ref="S83:T83"/>
    <mergeCell ref="S74:T74"/>
    <mergeCell ref="S75:T75"/>
    <mergeCell ref="S76:T76"/>
    <mergeCell ref="S77:T77"/>
    <mergeCell ref="S78:T78"/>
    <mergeCell ref="S79:T79"/>
    <mergeCell ref="S80:T80"/>
    <mergeCell ref="S46:T46"/>
    <mergeCell ref="S47:T47"/>
    <mergeCell ref="U47:V47"/>
    <mergeCell ref="S48:T48"/>
    <mergeCell ref="U48:V48"/>
    <mergeCell ref="S49:T49"/>
    <mergeCell ref="U49:V49"/>
    <mergeCell ref="S50:T50"/>
    <mergeCell ref="U50:V50"/>
    <mergeCell ref="S51:T51"/>
    <mergeCell ref="U51:V51"/>
    <mergeCell ref="S52:T52"/>
    <mergeCell ref="U52:V52"/>
    <mergeCell ref="U53:V53"/>
    <mergeCell ref="S53:T53"/>
    <mergeCell ref="S54:T54"/>
    <mergeCell ref="S55:T55"/>
    <mergeCell ref="S56:T56"/>
    <mergeCell ref="S57:T57"/>
    <mergeCell ref="S58:T58"/>
    <mergeCell ref="S59:T59"/>
    <mergeCell ref="U54:V54"/>
    <mergeCell ref="U55:V55"/>
    <mergeCell ref="U56:V56"/>
    <mergeCell ref="U57:V57"/>
    <mergeCell ref="U58:V58"/>
    <mergeCell ref="U59:V59"/>
    <mergeCell ref="U60:V60"/>
    <mergeCell ref="S60:T60"/>
    <mergeCell ref="S61:T61"/>
    <mergeCell ref="S62:T62"/>
    <mergeCell ref="S63:T63"/>
    <mergeCell ref="S64:T64"/>
    <mergeCell ref="S65:T65"/>
    <mergeCell ref="S66:T66"/>
    <mergeCell ref="U61:V61"/>
    <mergeCell ref="U62:V62"/>
    <mergeCell ref="U63:V63"/>
    <mergeCell ref="U64:V64"/>
    <mergeCell ref="U65:V65"/>
    <mergeCell ref="U66:V66"/>
    <mergeCell ref="U67:V67"/>
    <mergeCell ref="U68:V68"/>
    <mergeCell ref="U69:V69"/>
    <mergeCell ref="U70:V70"/>
    <mergeCell ref="U71:V71"/>
    <mergeCell ref="U72:V72"/>
    <mergeCell ref="U73:V73"/>
    <mergeCell ref="U74:V74"/>
    <mergeCell ref="S107:T107"/>
    <mergeCell ref="S108:T108"/>
    <mergeCell ref="S100:T100"/>
    <mergeCell ref="S101:T101"/>
    <mergeCell ref="S102:T102"/>
    <mergeCell ref="S103:T103"/>
    <mergeCell ref="S104:T104"/>
    <mergeCell ref="S105:T105"/>
    <mergeCell ref="S106:T106"/>
    <mergeCell ref="U75:V75"/>
    <mergeCell ref="U76:V76"/>
    <mergeCell ref="U77:V77"/>
    <mergeCell ref="U78:V78"/>
    <mergeCell ref="U79:V79"/>
    <mergeCell ref="U80:V80"/>
    <mergeCell ref="U81:V81"/>
    <mergeCell ref="U82:V82"/>
    <mergeCell ref="U83:V83"/>
    <mergeCell ref="S84:T84"/>
    <mergeCell ref="U84:V84"/>
    <mergeCell ref="S85:T85"/>
    <mergeCell ref="U85:V85"/>
    <mergeCell ref="U86:V86"/>
    <mergeCell ref="S86:T86"/>
    <mergeCell ref="S87:T87"/>
    <mergeCell ref="S88:T88"/>
    <mergeCell ref="S89:T89"/>
    <mergeCell ref="S90:T90"/>
    <mergeCell ref="S91:T91"/>
    <mergeCell ref="S92:T92"/>
    <mergeCell ref="U87:V87"/>
    <mergeCell ref="U88:V88"/>
    <mergeCell ref="U89:V89"/>
    <mergeCell ref="U90:V90"/>
    <mergeCell ref="U91:V91"/>
    <mergeCell ref="U92:V92"/>
    <mergeCell ref="U93:V93"/>
    <mergeCell ref="S93:T93"/>
    <mergeCell ref="S94:T94"/>
    <mergeCell ref="S95:T95"/>
    <mergeCell ref="S96:T96"/>
    <mergeCell ref="S97:T97"/>
    <mergeCell ref="S98:T98"/>
    <mergeCell ref="S99:T99"/>
    <mergeCell ref="U101:V101"/>
    <mergeCell ref="U102:V102"/>
    <mergeCell ref="U103:V103"/>
    <mergeCell ref="U104:V104"/>
    <mergeCell ref="U105:V105"/>
    <mergeCell ref="U106:V106"/>
    <mergeCell ref="U107:V107"/>
    <mergeCell ref="U108:V108"/>
    <mergeCell ref="U94:V94"/>
    <mergeCell ref="U95:V95"/>
    <mergeCell ref="U96:V96"/>
    <mergeCell ref="U97:V97"/>
    <mergeCell ref="U98:V98"/>
    <mergeCell ref="U99:V99"/>
    <mergeCell ref="U100:V100"/>
    <mergeCell ref="G82:H82"/>
    <mergeCell ref="G83:H83"/>
    <mergeCell ref="G84:H84"/>
    <mergeCell ref="G85:H85"/>
    <mergeCell ref="G86:H86"/>
    <mergeCell ref="G87:H87"/>
    <mergeCell ref="G88:H88"/>
    <mergeCell ref="G89:H89"/>
    <mergeCell ref="G90:H90"/>
    <mergeCell ref="G91:H91"/>
    <mergeCell ref="G92:H92"/>
    <mergeCell ref="G93:H93"/>
    <mergeCell ref="G94:H94"/>
    <mergeCell ref="G95:H95"/>
    <mergeCell ref="G96:H96"/>
    <mergeCell ref="G97:H97"/>
    <mergeCell ref="G98:H98"/>
    <mergeCell ref="G99:H99"/>
    <mergeCell ref="G100:H100"/>
    <mergeCell ref="G101:H101"/>
    <mergeCell ref="G102:H102"/>
    <mergeCell ref="G103:H103"/>
    <mergeCell ref="G104:H104"/>
    <mergeCell ref="G105:H105"/>
    <mergeCell ref="G106:H106"/>
    <mergeCell ref="G107:H107"/>
    <mergeCell ref="G108:H108"/>
    <mergeCell ref="G109:H109"/>
    <mergeCell ref="G110:H110"/>
    <mergeCell ref="G111:H111"/>
    <mergeCell ref="G112:H112"/>
    <mergeCell ref="G113:H113"/>
    <mergeCell ref="G114:H114"/>
    <mergeCell ref="G115:H115"/>
    <mergeCell ref="G116:H116"/>
    <mergeCell ref="G117:H117"/>
    <mergeCell ref="G118:H118"/>
    <mergeCell ref="G119:H119"/>
    <mergeCell ref="G120:H120"/>
    <mergeCell ref="G121:H121"/>
    <mergeCell ref="G122:H122"/>
    <mergeCell ref="G123:H123"/>
    <mergeCell ref="G124:H124"/>
    <mergeCell ref="G125:H125"/>
    <mergeCell ref="G126:H126"/>
    <mergeCell ref="G127:H127"/>
    <mergeCell ref="G128:H128"/>
    <mergeCell ref="G129:H129"/>
    <mergeCell ref="G130:H130"/>
    <mergeCell ref="G131:H131"/>
    <mergeCell ref="G132:H132"/>
    <mergeCell ref="G133:H133"/>
    <mergeCell ref="G134:H134"/>
    <mergeCell ref="G135:H135"/>
    <mergeCell ref="G136:H136"/>
    <mergeCell ref="G137:H137"/>
    <mergeCell ref="G138:H138"/>
    <mergeCell ref="G139:H139"/>
    <mergeCell ref="G140:H140"/>
    <mergeCell ref="G141:H141"/>
    <mergeCell ref="G142:H142"/>
    <mergeCell ref="G143:H143"/>
    <mergeCell ref="G144:H144"/>
    <mergeCell ref="G145:H145"/>
    <mergeCell ref="G146:H146"/>
    <mergeCell ref="G147:H147"/>
    <mergeCell ref="G148:H148"/>
    <mergeCell ref="G149:H149"/>
    <mergeCell ref="G150:H150"/>
    <mergeCell ref="G151:H151"/>
    <mergeCell ref="G152:H152"/>
    <mergeCell ref="G153:H153"/>
    <mergeCell ref="G154:H154"/>
    <mergeCell ref="G155:H155"/>
    <mergeCell ref="G156:H156"/>
    <mergeCell ref="G157:H157"/>
    <mergeCell ref="G158:H158"/>
    <mergeCell ref="G159:H159"/>
    <mergeCell ref="G160:H160"/>
    <mergeCell ref="G161:H161"/>
    <mergeCell ref="G162:H162"/>
    <mergeCell ref="G163:H163"/>
    <mergeCell ref="G164:H164"/>
    <mergeCell ref="G165:H165"/>
    <mergeCell ref="G166:H166"/>
    <mergeCell ref="G167:H167"/>
    <mergeCell ref="G168:H168"/>
    <mergeCell ref="G169:H169"/>
    <mergeCell ref="G170:H170"/>
    <mergeCell ref="G171:H171"/>
    <mergeCell ref="G172:H172"/>
    <mergeCell ref="G173:H173"/>
    <mergeCell ref="G174:H174"/>
    <mergeCell ref="G175:H175"/>
    <mergeCell ref="G176:H176"/>
    <mergeCell ref="G177:H177"/>
    <mergeCell ref="G178:H178"/>
    <mergeCell ref="G179:H179"/>
    <mergeCell ref="G229:H229"/>
    <mergeCell ref="G230:H230"/>
    <mergeCell ref="G231:H231"/>
    <mergeCell ref="G232:H232"/>
    <mergeCell ref="G233:H233"/>
    <mergeCell ref="G234:H234"/>
    <mergeCell ref="G235:H235"/>
    <mergeCell ref="G243:H243"/>
    <mergeCell ref="G244:H244"/>
    <mergeCell ref="G245:H245"/>
    <mergeCell ref="G246:H246"/>
    <mergeCell ref="G247:H247"/>
    <mergeCell ref="G248:H248"/>
    <mergeCell ref="G249:H249"/>
    <mergeCell ref="G250:H250"/>
    <mergeCell ref="G236:H236"/>
    <mergeCell ref="G237:H237"/>
    <mergeCell ref="G238:H238"/>
    <mergeCell ref="G239:H239"/>
    <mergeCell ref="G240:H240"/>
    <mergeCell ref="G241:H241"/>
    <mergeCell ref="G242:H242"/>
    <mergeCell ref="G180:H180"/>
    <mergeCell ref="G181:H181"/>
    <mergeCell ref="G182:H182"/>
    <mergeCell ref="G183:H183"/>
    <mergeCell ref="G184:H184"/>
    <mergeCell ref="G185:H185"/>
    <mergeCell ref="G186:H186"/>
    <mergeCell ref="G187:H187"/>
    <mergeCell ref="G188:H188"/>
    <mergeCell ref="G189:H189"/>
    <mergeCell ref="G190:H190"/>
    <mergeCell ref="G191:H191"/>
    <mergeCell ref="G192:H192"/>
    <mergeCell ref="G193:H193"/>
    <mergeCell ref="G194:H194"/>
    <mergeCell ref="G195:H195"/>
    <mergeCell ref="G196:H196"/>
    <mergeCell ref="G197:H197"/>
    <mergeCell ref="G198:H198"/>
    <mergeCell ref="G199:H199"/>
    <mergeCell ref="G200:H200"/>
    <mergeCell ref="G201:H201"/>
    <mergeCell ref="G202:H202"/>
    <mergeCell ref="G203:H203"/>
    <mergeCell ref="G204:H204"/>
    <mergeCell ref="G205:H205"/>
    <mergeCell ref="G206:H206"/>
    <mergeCell ref="G207:H207"/>
    <mergeCell ref="G208:H208"/>
    <mergeCell ref="G209:H209"/>
    <mergeCell ref="G210:H210"/>
    <mergeCell ref="G211:H211"/>
    <mergeCell ref="G212:H212"/>
    <mergeCell ref="G213:H213"/>
    <mergeCell ref="G214:H214"/>
    <mergeCell ref="G215:H215"/>
    <mergeCell ref="G216:H216"/>
    <mergeCell ref="G217:H217"/>
    <mergeCell ref="G218:H218"/>
    <mergeCell ref="G219:H219"/>
    <mergeCell ref="G220:H220"/>
    <mergeCell ref="G221:H221"/>
    <mergeCell ref="G222:H222"/>
    <mergeCell ref="G223:H223"/>
    <mergeCell ref="G224:H224"/>
    <mergeCell ref="G225:H225"/>
    <mergeCell ref="G226:H226"/>
    <mergeCell ref="G227:H227"/>
    <mergeCell ref="G228:H228"/>
    <mergeCell ref="S125:T125"/>
    <mergeCell ref="S126:T126"/>
    <mergeCell ref="S127:T127"/>
    <mergeCell ref="S128:T128"/>
    <mergeCell ref="S129:T129"/>
    <mergeCell ref="S130:T130"/>
    <mergeCell ref="S131:T131"/>
    <mergeCell ref="S132:T132"/>
    <mergeCell ref="S133:T133"/>
    <mergeCell ref="S134:T134"/>
    <mergeCell ref="S135:T135"/>
    <mergeCell ref="S136:T136"/>
    <mergeCell ref="S137:T137"/>
    <mergeCell ref="S138:T138"/>
    <mergeCell ref="S139:T139"/>
    <mergeCell ref="S140:T140"/>
    <mergeCell ref="S141:T141"/>
    <mergeCell ref="S142:T142"/>
    <mergeCell ref="S143:T143"/>
    <mergeCell ref="S144:T144"/>
    <mergeCell ref="S145:T145"/>
    <mergeCell ref="S146:T146"/>
    <mergeCell ref="S147:T147"/>
    <mergeCell ref="S148:T148"/>
    <mergeCell ref="S149:T149"/>
    <mergeCell ref="S150:T150"/>
    <mergeCell ref="S151:T151"/>
    <mergeCell ref="S152:T152"/>
    <mergeCell ref="S153:T153"/>
    <mergeCell ref="S154:T154"/>
    <mergeCell ref="S155:T155"/>
    <mergeCell ref="S156:T156"/>
    <mergeCell ref="S157:T157"/>
    <mergeCell ref="S158:T158"/>
    <mergeCell ref="S159:T159"/>
    <mergeCell ref="S160:T160"/>
    <mergeCell ref="S161:T161"/>
    <mergeCell ref="S162:T162"/>
    <mergeCell ref="S163:T163"/>
    <mergeCell ref="S164:T164"/>
    <mergeCell ref="S165:T165"/>
    <mergeCell ref="S166:T166"/>
    <mergeCell ref="S167:T167"/>
    <mergeCell ref="S168:T168"/>
    <mergeCell ref="S169:T169"/>
    <mergeCell ref="S170:T170"/>
    <mergeCell ref="S171:T171"/>
    <mergeCell ref="S172:T172"/>
    <mergeCell ref="S173:T173"/>
    <mergeCell ref="S223:T223"/>
    <mergeCell ref="S224:T224"/>
    <mergeCell ref="S225:T225"/>
    <mergeCell ref="S226:T226"/>
    <mergeCell ref="S227:T227"/>
    <mergeCell ref="S228:T228"/>
    <mergeCell ref="S229:T229"/>
    <mergeCell ref="S230:T230"/>
    <mergeCell ref="S231:T231"/>
    <mergeCell ref="S232:T232"/>
    <mergeCell ref="S233:T233"/>
    <mergeCell ref="S234:T234"/>
    <mergeCell ref="S235:T235"/>
    <mergeCell ref="S236:T236"/>
    <mergeCell ref="S244:T244"/>
    <mergeCell ref="S245:T245"/>
    <mergeCell ref="S246:T246"/>
    <mergeCell ref="S247:T247"/>
    <mergeCell ref="S248:T248"/>
    <mergeCell ref="S249:T249"/>
    <mergeCell ref="S250:T250"/>
    <mergeCell ref="S237:T237"/>
    <mergeCell ref="S238:T238"/>
    <mergeCell ref="S239:T239"/>
    <mergeCell ref="S240:T240"/>
    <mergeCell ref="S241:T241"/>
    <mergeCell ref="S242:T242"/>
    <mergeCell ref="S243:T243"/>
    <mergeCell ref="S174:T174"/>
    <mergeCell ref="S175:T175"/>
    <mergeCell ref="S176:T176"/>
    <mergeCell ref="S177:T177"/>
    <mergeCell ref="S178:T178"/>
    <mergeCell ref="S179:T179"/>
    <mergeCell ref="S180:T180"/>
    <mergeCell ref="S181:T181"/>
    <mergeCell ref="S182:T182"/>
    <mergeCell ref="S183:T183"/>
    <mergeCell ref="S184:T184"/>
    <mergeCell ref="S185:T185"/>
    <mergeCell ref="S186:T186"/>
    <mergeCell ref="S187:T187"/>
    <mergeCell ref="S188:T188"/>
    <mergeCell ref="S189:T189"/>
    <mergeCell ref="S190:T190"/>
    <mergeCell ref="S191:T191"/>
    <mergeCell ref="S192:T192"/>
    <mergeCell ref="S193:T193"/>
    <mergeCell ref="S194:T194"/>
    <mergeCell ref="S195:T195"/>
    <mergeCell ref="S196:T196"/>
    <mergeCell ref="S197:T197"/>
    <mergeCell ref="S198:T198"/>
    <mergeCell ref="S199:T199"/>
    <mergeCell ref="S200:T200"/>
    <mergeCell ref="S201:T201"/>
    <mergeCell ref="S202:T202"/>
    <mergeCell ref="S203:T203"/>
    <mergeCell ref="S204:T204"/>
    <mergeCell ref="S205:T205"/>
    <mergeCell ref="S206:T206"/>
    <mergeCell ref="S207:T207"/>
    <mergeCell ref="S208:T208"/>
    <mergeCell ref="S209:T209"/>
    <mergeCell ref="S210:T210"/>
    <mergeCell ref="S211:T211"/>
    <mergeCell ref="S212:T212"/>
    <mergeCell ref="S213:T213"/>
    <mergeCell ref="S214:T214"/>
    <mergeCell ref="S215:T215"/>
    <mergeCell ref="S216:T216"/>
    <mergeCell ref="S217:T217"/>
    <mergeCell ref="S218:T218"/>
    <mergeCell ref="S219:T219"/>
    <mergeCell ref="S220:T220"/>
    <mergeCell ref="S221:T221"/>
    <mergeCell ref="S222:T222"/>
    <mergeCell ref="U231:V231"/>
    <mergeCell ref="U232:V232"/>
    <mergeCell ref="U233:V233"/>
    <mergeCell ref="U234:V234"/>
    <mergeCell ref="U235:V235"/>
    <mergeCell ref="U236:V236"/>
    <mergeCell ref="U237:V237"/>
    <mergeCell ref="U245:V245"/>
    <mergeCell ref="U246:V246"/>
    <mergeCell ref="U247:V247"/>
    <mergeCell ref="U248:V248"/>
    <mergeCell ref="U249:V249"/>
    <mergeCell ref="U250:V250"/>
    <mergeCell ref="U238:V238"/>
    <mergeCell ref="U239:V239"/>
    <mergeCell ref="U240:V240"/>
    <mergeCell ref="U241:V241"/>
    <mergeCell ref="U242:V242"/>
    <mergeCell ref="U243:V243"/>
    <mergeCell ref="U244:V244"/>
    <mergeCell ref="U182:V182"/>
    <mergeCell ref="U183:V183"/>
    <mergeCell ref="U184:V184"/>
    <mergeCell ref="U185:V185"/>
    <mergeCell ref="U186:V186"/>
    <mergeCell ref="U187:V187"/>
    <mergeCell ref="U188:V188"/>
    <mergeCell ref="U189:V189"/>
    <mergeCell ref="U190:V190"/>
    <mergeCell ref="U191:V191"/>
    <mergeCell ref="U192:V192"/>
    <mergeCell ref="U193:V193"/>
    <mergeCell ref="U194:V194"/>
    <mergeCell ref="U195:V195"/>
    <mergeCell ref="U196:V196"/>
    <mergeCell ref="U197:V197"/>
    <mergeCell ref="U198:V198"/>
    <mergeCell ref="U199:V199"/>
    <mergeCell ref="U200:V200"/>
    <mergeCell ref="U201:V201"/>
    <mergeCell ref="U202:V202"/>
    <mergeCell ref="U203:V203"/>
    <mergeCell ref="U204:V204"/>
    <mergeCell ref="U205:V205"/>
    <mergeCell ref="U206:V206"/>
    <mergeCell ref="U207:V207"/>
    <mergeCell ref="U208:V208"/>
    <mergeCell ref="U209:V209"/>
    <mergeCell ref="U210:V210"/>
    <mergeCell ref="U211:V211"/>
    <mergeCell ref="U212:V212"/>
    <mergeCell ref="U213:V213"/>
    <mergeCell ref="U214:V214"/>
    <mergeCell ref="U215:V215"/>
    <mergeCell ref="U216:V216"/>
    <mergeCell ref="U217:V217"/>
    <mergeCell ref="U218:V218"/>
    <mergeCell ref="U219:V219"/>
    <mergeCell ref="U220:V220"/>
    <mergeCell ref="U221:V221"/>
    <mergeCell ref="U222:V222"/>
    <mergeCell ref="U223:V223"/>
    <mergeCell ref="U224:V224"/>
    <mergeCell ref="U225:V225"/>
    <mergeCell ref="U226:V226"/>
    <mergeCell ref="U227:V227"/>
    <mergeCell ref="U228:V228"/>
    <mergeCell ref="U229:V229"/>
    <mergeCell ref="U230:V230"/>
    <mergeCell ref="AJ3:AN3"/>
    <mergeCell ref="AJ4:AN4"/>
    <mergeCell ref="U5:V5"/>
    <mergeCell ref="U6:V6"/>
    <mergeCell ref="U7:V7"/>
    <mergeCell ref="U8:V8"/>
    <mergeCell ref="U9:V9"/>
    <mergeCell ref="U10:V10"/>
    <mergeCell ref="U11:V11"/>
    <mergeCell ref="U12:V12"/>
    <mergeCell ref="AJ2:AN2"/>
    <mergeCell ref="U3:V3"/>
    <mergeCell ref="X3:Y3"/>
    <mergeCell ref="Z3:AB3"/>
    <mergeCell ref="U4:V4"/>
    <mergeCell ref="X4:Y15"/>
    <mergeCell ref="Z4:AB15"/>
    <mergeCell ref="W14:W15"/>
    <mergeCell ref="G19:H19"/>
    <mergeCell ref="G20:H20"/>
    <mergeCell ref="U34:V34"/>
    <mergeCell ref="U35:V35"/>
    <mergeCell ref="U27:V27"/>
    <mergeCell ref="U28:V28"/>
    <mergeCell ref="U29:V29"/>
    <mergeCell ref="U30:V30"/>
    <mergeCell ref="U31:V31"/>
    <mergeCell ref="U32:V32"/>
    <mergeCell ref="U33:V33"/>
    <mergeCell ref="S38:T38"/>
    <mergeCell ref="U38:V38"/>
    <mergeCell ref="S33:T33"/>
    <mergeCell ref="S34:T34"/>
    <mergeCell ref="S35:T35"/>
    <mergeCell ref="S36:T36"/>
    <mergeCell ref="U36:V36"/>
    <mergeCell ref="S37:T37"/>
    <mergeCell ref="U37:V37"/>
    <mergeCell ref="U13:V13"/>
    <mergeCell ref="U14:V15"/>
    <mergeCell ref="G18:H18"/>
    <mergeCell ref="S18:T18"/>
    <mergeCell ref="U18:V18"/>
    <mergeCell ref="S19:T19"/>
    <mergeCell ref="U19:V19"/>
    <mergeCell ref="S20:T20"/>
    <mergeCell ref="U20:V20"/>
    <mergeCell ref="G21:H21"/>
    <mergeCell ref="S21:T21"/>
    <mergeCell ref="U21:V21"/>
    <mergeCell ref="S22:T22"/>
    <mergeCell ref="U22:V22"/>
    <mergeCell ref="S23:T23"/>
    <mergeCell ref="U23:V23"/>
    <mergeCell ref="S24:T24"/>
    <mergeCell ref="U24:V24"/>
    <mergeCell ref="S25:T25"/>
    <mergeCell ref="U25:V25"/>
    <mergeCell ref="U26:V26"/>
    <mergeCell ref="G22:H22"/>
    <mergeCell ref="G23:H23"/>
    <mergeCell ref="G24:H24"/>
    <mergeCell ref="G25:H25"/>
    <mergeCell ref="G26:H26"/>
    <mergeCell ref="G27:H27"/>
    <mergeCell ref="G28:H28"/>
    <mergeCell ref="S26:T26"/>
    <mergeCell ref="S27:T27"/>
    <mergeCell ref="S28:T28"/>
    <mergeCell ref="S29:T29"/>
    <mergeCell ref="S30:T30"/>
    <mergeCell ref="S31:T31"/>
    <mergeCell ref="S32:T32"/>
    <mergeCell ref="G45:H45"/>
    <mergeCell ref="G46:H46"/>
    <mergeCell ref="G43:H43"/>
    <mergeCell ref="G44:H44"/>
    <mergeCell ref="S44:T44"/>
    <mergeCell ref="U44:V44"/>
    <mergeCell ref="S45:T45"/>
    <mergeCell ref="U45:V45"/>
    <mergeCell ref="U46:V46"/>
    <mergeCell ref="G29:H29"/>
    <mergeCell ref="G30:H30"/>
    <mergeCell ref="G31:H31"/>
    <mergeCell ref="G32:H32"/>
    <mergeCell ref="G33:H33"/>
    <mergeCell ref="G34:H34"/>
    <mergeCell ref="G35:H35"/>
    <mergeCell ref="G36:H36"/>
    <mergeCell ref="G37:H37"/>
    <mergeCell ref="G38:H38"/>
    <mergeCell ref="G39:H39"/>
    <mergeCell ref="G40:H40"/>
    <mergeCell ref="G41:H41"/>
    <mergeCell ref="G42:H42"/>
    <mergeCell ref="G47:H47"/>
    <mergeCell ref="G48:H48"/>
    <mergeCell ref="G49:H49"/>
    <mergeCell ref="G50:H50"/>
    <mergeCell ref="G51:H51"/>
    <mergeCell ref="G52:H52"/>
    <mergeCell ref="G53:H53"/>
    <mergeCell ref="G54:H54"/>
    <mergeCell ref="G55:H55"/>
    <mergeCell ref="G56:H56"/>
    <mergeCell ref="G57:H57"/>
    <mergeCell ref="G58:H58"/>
    <mergeCell ref="G59:H59"/>
    <mergeCell ref="G60:H60"/>
    <mergeCell ref="G61:H61"/>
    <mergeCell ref="G62:H62"/>
    <mergeCell ref="G63:H63"/>
    <mergeCell ref="G64:H64"/>
    <mergeCell ref="G65:H65"/>
    <mergeCell ref="G66:H66"/>
    <mergeCell ref="G67:H67"/>
    <mergeCell ref="G68:H68"/>
    <mergeCell ref="G69:H69"/>
    <mergeCell ref="G70:H70"/>
    <mergeCell ref="G71:H71"/>
    <mergeCell ref="G72:H72"/>
    <mergeCell ref="G73:H73"/>
    <mergeCell ref="G74:H74"/>
    <mergeCell ref="G75:H75"/>
    <mergeCell ref="G76:H76"/>
    <mergeCell ref="G77:H77"/>
    <mergeCell ref="G78:H78"/>
    <mergeCell ref="G79:H79"/>
    <mergeCell ref="G80:H80"/>
    <mergeCell ref="G81:H81"/>
    <mergeCell ref="S39:T39"/>
    <mergeCell ref="U39:V39"/>
    <mergeCell ref="S40:T40"/>
    <mergeCell ref="U40:V40"/>
    <mergeCell ref="S41:T41"/>
    <mergeCell ref="U41:V41"/>
    <mergeCell ref="U42:V42"/>
    <mergeCell ref="U43:V43"/>
    <mergeCell ref="S42:T42"/>
    <mergeCell ref="S43:T43"/>
    <mergeCell ref="S109:T109"/>
    <mergeCell ref="U109:V109"/>
    <mergeCell ref="S110:T110"/>
    <mergeCell ref="U110:V110"/>
    <mergeCell ref="U111:V111"/>
    <mergeCell ref="S111:T111"/>
    <mergeCell ref="S112:T112"/>
    <mergeCell ref="S113:T113"/>
    <mergeCell ref="S114:T114"/>
    <mergeCell ref="S115:T115"/>
    <mergeCell ref="S116:T116"/>
    <mergeCell ref="S117:T117"/>
    <mergeCell ref="U112:V112"/>
    <mergeCell ref="U113:V113"/>
    <mergeCell ref="U114:V114"/>
    <mergeCell ref="U115:V115"/>
    <mergeCell ref="U116:V116"/>
    <mergeCell ref="U117:V117"/>
    <mergeCell ref="U118:V118"/>
    <mergeCell ref="S118:T118"/>
    <mergeCell ref="S119:T119"/>
    <mergeCell ref="S120:T120"/>
    <mergeCell ref="S121:T121"/>
    <mergeCell ref="S122:T122"/>
    <mergeCell ref="S123:T123"/>
    <mergeCell ref="S124:T124"/>
    <mergeCell ref="U119:V119"/>
    <mergeCell ref="U120:V120"/>
    <mergeCell ref="U121:V121"/>
    <mergeCell ref="U122:V122"/>
    <mergeCell ref="U123:V123"/>
    <mergeCell ref="U124:V124"/>
    <mergeCell ref="U125:V125"/>
    <mergeCell ref="U126:V126"/>
    <mergeCell ref="U127:V127"/>
    <mergeCell ref="U128:V128"/>
    <mergeCell ref="U129:V129"/>
    <mergeCell ref="U130:V130"/>
    <mergeCell ref="U131:V131"/>
    <mergeCell ref="U132:V132"/>
    <mergeCell ref="U133:V133"/>
    <mergeCell ref="U134:V134"/>
    <mergeCell ref="U135:V135"/>
    <mergeCell ref="U136:V136"/>
    <mergeCell ref="U137:V137"/>
    <mergeCell ref="U138:V138"/>
    <mergeCell ref="U139:V139"/>
    <mergeCell ref="U140:V140"/>
    <mergeCell ref="U141:V141"/>
    <mergeCell ref="U142:V142"/>
    <mergeCell ref="U143:V143"/>
    <mergeCell ref="U144:V144"/>
    <mergeCell ref="U145:V145"/>
    <mergeCell ref="U146:V146"/>
    <mergeCell ref="U147:V147"/>
    <mergeCell ref="U148:V148"/>
    <mergeCell ref="U149:V149"/>
    <mergeCell ref="U150:V150"/>
    <mergeCell ref="U151:V151"/>
    <mergeCell ref="U152:V152"/>
    <mergeCell ref="U153:V153"/>
    <mergeCell ref="U154:V154"/>
    <mergeCell ref="U155:V155"/>
    <mergeCell ref="U156:V156"/>
    <mergeCell ref="U157:V157"/>
    <mergeCell ref="U158:V158"/>
    <mergeCell ref="U159:V159"/>
    <mergeCell ref="U160:V160"/>
    <mergeCell ref="U161:V161"/>
    <mergeCell ref="U162:V162"/>
    <mergeCell ref="U163:V163"/>
    <mergeCell ref="U164:V164"/>
    <mergeCell ref="U165:V165"/>
    <mergeCell ref="U166:V166"/>
    <mergeCell ref="U167:V167"/>
    <mergeCell ref="U168:V168"/>
    <mergeCell ref="U169:V169"/>
    <mergeCell ref="U170:V170"/>
    <mergeCell ref="U171:V171"/>
    <mergeCell ref="U172:V172"/>
    <mergeCell ref="U173:V173"/>
    <mergeCell ref="U174:V174"/>
    <mergeCell ref="U175:V175"/>
    <mergeCell ref="U176:V176"/>
    <mergeCell ref="U177:V177"/>
    <mergeCell ref="U178:V178"/>
    <mergeCell ref="U179:V179"/>
    <mergeCell ref="U180:V180"/>
    <mergeCell ref="U181:V181"/>
  </mergeCells>
  <conditionalFormatting sqref="W13:W15 F18:F1102 W18:W1102">
    <cfRule type="cellIs" dxfId="5" priority="1" operator="equal">
      <formula>"Buy"</formula>
    </cfRule>
  </conditionalFormatting>
  <conditionalFormatting sqref="W13:W15 F18:F1102 W18:W1102">
    <cfRule type="cellIs" dxfId="6" priority="2" operator="equal">
      <formula>"Sell"</formula>
    </cfRule>
  </conditionalFormatting>
  <conditionalFormatting sqref="W13:W15 F18:F1102 W18:W1102">
    <cfRule type="cellIs" dxfId="7" priority="3" operator="equal">
      <formula>"Hodl"</formula>
    </cfRule>
  </conditionalFormatting>
  <conditionalFormatting sqref="J18:N1102 P18:P1102 R18:R1102 X18:X1102 Z18:Z1102">
    <cfRule type="cellIs" dxfId="10" priority="4" operator="greaterThan">
      <formula>0</formula>
    </cfRule>
  </conditionalFormatting>
  <conditionalFormatting sqref="J18:N1102 P18:P1102 R18:R1102 X18:X1102 Z18:Z1102">
    <cfRule type="cellIs" dxfId="11" priority="5" operator="lessThan">
      <formula>0</formula>
    </cfRule>
  </conditionalFormatting>
  <conditionalFormatting sqref="B18:E1102">
    <cfRule type="expression" dxfId="4" priority="6">
      <formula>$B18&lt;&gt;""</formula>
    </cfRule>
  </conditionalFormatting>
  <conditionalFormatting sqref="AC18:AE1102">
    <cfRule type="cellIs" dxfId="23" priority="7" operator="equal">
      <formula>"Enter Manually"</formula>
    </cfRule>
  </conditionalFormatting>
  <drawing r:id="rId2"/>
  <legacyDrawing r:id="rId3"/>
</worksheet>
</file>